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G:\Otros ordenadores\LA CORONA COMPARTIDOS\AZUCAR INGENIO LA CORONA\2026 - ARCHIVOS GESTION  ZAFRA\ARCHIVOS DE TRABAJO ZAFRA 26\ARCHIVO GESTION AZUCAR INDUSTRIA ZAFRA 26\"/>
    </mc:Choice>
  </mc:AlternateContent>
  <xr:revisionPtr revIDLastSave="0" documentId="13_ncr:1_{021FD792-1A1F-4A19-BD51-1B3199085598}" xr6:coauthVersionLast="47" xr6:coauthVersionMax="47" xr10:uidLastSave="{00000000-0000-0000-0000-000000000000}"/>
  <bookViews>
    <workbookView xWindow="-120" yWindow="-120" windowWidth="20730" windowHeight="11040" firstSheet="2" activeTab="2" xr2:uid="{00000000-000D-0000-FFFF-FFFF00000000}"/>
  </bookViews>
  <sheets>
    <sheet name="KPI´S" sheetId="2" r:id="rId1"/>
    <sheet name="RESUMEN AVANCE MES" sheetId="3" r:id="rId2"/>
    <sheet name="CONSOLIDADO VTAS" sheetId="13" r:id="rId3"/>
    <sheet name="VENTA POR CLIENTE" sheetId="62" r:id="rId4"/>
    <sheet name="ACUMULADOS" sheetId="61" r:id="rId5"/>
    <sheet name="UNICOS" sheetId="73" r:id="rId6"/>
    <sheet name="EVOLUTIVO BOLSAS" sheetId="70" r:id="rId7"/>
    <sheet name="CREDITO CLIENTES" sheetId="63" r:id="rId8"/>
    <sheet name="VENTA + PREV COBRANZA SEMANAL" sheetId="4" r:id="rId9"/>
    <sheet name="DETALLE VALORES EN CARTERA" sheetId="11" r:id="rId10"/>
    <sheet name="VALORES POR FC EMPRESA" sheetId="68" r:id="rId11"/>
    <sheet name="OC FC RTO EQU" sheetId="66" r:id="rId12"/>
    <sheet name="CUADRO RESUMEN" sheetId="5" r:id="rId13"/>
    <sheet name="COMPARATIVO ANUAL" sheetId="6" r:id="rId14"/>
    <sheet name="COMPARATIVO PCIOS REFERENCIA" sheetId="7" r:id="rId15"/>
    <sheet name="RECLAMO CLIENTES ZAFRA 2026" sheetId="10" r:id="rId16"/>
    <sheet name="PRECIO CACTU" sheetId="60" r:id="rId17"/>
    <sheet name="TIPO DE CAMBIO" sheetId="67" r:id="rId18"/>
    <sheet name="ANALISIS COSTO FLETES" sheetId="72" r:id="rId19"/>
  </sheets>
  <definedNames>
    <definedName name="_xlnm._FilterDatabase" localSheetId="2" hidden="1">'CONSOLIDADO VTAS'!$A$3:$AO$879</definedName>
    <definedName name="_xlnm._FilterDatabase" localSheetId="9" hidden="1">'DETALLE VALORES EN CARTERA'!$A$8:$Q$1712</definedName>
    <definedName name="_xlnm._FilterDatabase" localSheetId="8" hidden="1">'VENTA + PREV COBRANZA SEMANAL'!$A$12:$G$76</definedName>
    <definedName name="CANTIDAD_EQUIPOS">'CONSOLIDADO VTAS'!$B:$B</definedName>
    <definedName name="CLIENTE">'CONSOLIDADO VTAS'!$C:$C</definedName>
    <definedName name="DIAS_VTO">'CONSOLIDADO VTAS'!$T:$T</definedName>
    <definedName name="ESTADO_ENTREGA">'CONSOLIDADO VTAS'!$G:$G</definedName>
    <definedName name="FC_SUCRO">'CONSOLIDADO VTAS'!$E:$E</definedName>
    <definedName name="FECHA_ENTREGA">'CONSOLIDADO VTAS'!$H:$H</definedName>
    <definedName name="FECHA_FC">'CONSOLIDADO VTAS'!$D:$D</definedName>
    <definedName name="FECHA_RETIRO_VALORES">'CONSOLIDADO VTAS'!$R:$R</definedName>
    <definedName name="FECHA_VTO_VALORES">'CONSOLIDADO VTAS'!$S:$S</definedName>
    <definedName name="FORMA_PAGO">'CONSOLIDADO VTAS'!$V:$V</definedName>
    <definedName name="IVA">'CONSOLIDADO VTAS'!$L:$L</definedName>
    <definedName name="KGS">'CONSOLIDADO VTAS'!$I:$I</definedName>
    <definedName name="MES">Tabla1[[#Headers],[MES]]</definedName>
    <definedName name="OC">'CONSOLIDADO VTAS'!$X:$X</definedName>
    <definedName name="PENDIENTE_DE_COBRO">'CONSOLIDADO VTAS'!$O:$O</definedName>
    <definedName name="PENDIENTE_DE_ENTREGA">'CONSOLIDADO VTAS'!$N:$N</definedName>
    <definedName name="PLAZO_PAGO_DIAS">'CONSOLIDADO VTAS'!$U:$U</definedName>
    <definedName name="PLAZO_VALORES">'CONSOLIDADO VTAS'!$AR:$AR</definedName>
    <definedName name="PRECIO_POR_KILO">'CONSOLIDADO VTAS'!$J:$J</definedName>
    <definedName name="PRODUCTO">'CONSOLIDADO VTAS'!$F:$F</definedName>
    <definedName name="SEMANA_ACREDITACION_PAGO">'CONSOLIDADO VTAS'!$W:$W</definedName>
    <definedName name="SUBTOTAL">'CONSOLIDADO VTAS'!$K:$K</definedName>
    <definedName name="TASA_FINANCIACION_MENSUAL">'CONSOLIDADO VTAS'!$AP:$AP</definedName>
    <definedName name="TOTAL">'CONSOLIDADO VTAS'!$M:$M</definedName>
    <definedName name="VALORES_COBRADOS">'CONSOLIDADO VTAS'!$Q:$Q</definedName>
    <definedName name="VALORES_EN_CARTERA">'CONSOLIDADO VTAS'!$P:$P</definedName>
  </definedNames>
  <calcPr calcId="191029"/>
  <pivotCaches>
    <pivotCache cacheId="1" r:id="rId20"/>
    <pivotCache cacheId="2" r:id="rId21"/>
    <pivotCache cacheId="3" r:id="rId22"/>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4" i="13" l="1"/>
  <c r="I101" i="13"/>
  <c r="I100" i="13"/>
  <c r="I99" i="13"/>
  <c r="I98" i="13"/>
  <c r="I97" i="13"/>
  <c r="I96" i="13"/>
  <c r="I95" i="13"/>
  <c r="I94" i="13"/>
  <c r="I93" i="13"/>
  <c r="I92" i="13"/>
  <c r="I264" i="13"/>
  <c r="AU264" i="13"/>
  <c r="AZ264" i="13" s="1"/>
  <c r="AJ264" i="13"/>
  <c r="AN264" i="13" s="1"/>
  <c r="AA264" i="13"/>
  <c r="Z264" i="13"/>
  <c r="J264" i="13"/>
  <c r="K264" i="13" s="1"/>
  <c r="D264" i="13"/>
  <c r="R264" i="13" s="1"/>
  <c r="I259" i="13"/>
  <c r="AU259" i="13"/>
  <c r="AZ259" i="13" s="1"/>
  <c r="AJ259" i="13"/>
  <c r="AB259" i="13"/>
  <c r="AA259" i="13"/>
  <c r="AD259" i="13" s="1"/>
  <c r="J259" i="13"/>
  <c r="K259" i="13" s="1"/>
  <c r="Z259" i="13"/>
  <c r="D259" i="13"/>
  <c r="S259" i="13" s="1"/>
  <c r="I261" i="13"/>
  <c r="L264" i="13" l="1"/>
  <c r="M264" i="13" s="1"/>
  <c r="AV264" i="13"/>
  <c r="AD264" i="13"/>
  <c r="BA264" i="13" s="1"/>
  <c r="S264" i="13"/>
  <c r="AB264" i="13"/>
  <c r="AC264" i="13" s="1"/>
  <c r="BA259" i="13"/>
  <c r="AN259" i="13"/>
  <c r="L259" i="13"/>
  <c r="M259" i="13" s="1"/>
  <c r="AV259" i="13"/>
  <c r="W259" i="13"/>
  <c r="AC259" i="13"/>
  <c r="AE259" i="13" s="1"/>
  <c r="R259" i="13"/>
  <c r="AE264" i="13" l="1"/>
  <c r="AO264" i="13" s="1"/>
  <c r="Q264" i="13"/>
  <c r="AT264" i="13"/>
  <c r="W264" i="13"/>
  <c r="AX264" i="13"/>
  <c r="AY264" i="13"/>
  <c r="BB264" i="13" s="1"/>
  <c r="Q259" i="13"/>
  <c r="AT259" i="13" s="1"/>
  <c r="AL259" i="13"/>
  <c r="AO259" i="13"/>
  <c r="AK259" i="13"/>
  <c r="AM259" i="13" s="1"/>
  <c r="AY259" i="13"/>
  <c r="BB259" i="13" s="1"/>
  <c r="AX259" i="13"/>
  <c r="AK264" i="13" l="1"/>
  <c r="AM264" i="13" s="1"/>
  <c r="AL264" i="13"/>
  <c r="I19" i="13" l="1"/>
  <c r="I18" i="13"/>
  <c r="I17" i="13"/>
  <c r="I109" i="13"/>
  <c r="I40" i="13" l="1"/>
  <c r="I37" i="13"/>
  <c r="Z37" i="13" s="1"/>
  <c r="AU37" i="13"/>
  <c r="AQ37" i="13"/>
  <c r="AB37" i="13" s="1"/>
  <c r="AJ37" i="13"/>
  <c r="AA37" i="13"/>
  <c r="AD37" i="13" s="1"/>
  <c r="D37" i="13"/>
  <c r="R37" i="13" s="1"/>
  <c r="I262" i="13"/>
  <c r="Z262" i="13" s="1"/>
  <c r="J262" i="13"/>
  <c r="AB262" i="13" s="1"/>
  <c r="J261" i="13"/>
  <c r="AB261" i="13" s="1"/>
  <c r="AU261" i="13"/>
  <c r="AZ261" i="13" s="1"/>
  <c r="AJ261" i="13"/>
  <c r="Z261" i="13"/>
  <c r="D261" i="13"/>
  <c r="S261" i="13" s="1"/>
  <c r="AU260" i="13"/>
  <c r="AZ260" i="13" s="1"/>
  <c r="AJ260" i="13"/>
  <c r="J260" i="13"/>
  <c r="AB260" i="13" s="1"/>
  <c r="I260" i="13"/>
  <c r="Z260" i="13" s="1"/>
  <c r="D260" i="13"/>
  <c r="S260" i="13" s="1"/>
  <c r="I258" i="13"/>
  <c r="I263" i="13"/>
  <c r="Z263" i="13" s="1"/>
  <c r="I62" i="13"/>
  <c r="AQ35" i="13"/>
  <c r="AB35" i="13" s="1"/>
  <c r="AU35" i="13"/>
  <c r="AJ35" i="13"/>
  <c r="AA35" i="13"/>
  <c r="AD35" i="13" s="1"/>
  <c r="Z35" i="13"/>
  <c r="K35" i="13"/>
  <c r="L35" i="13" s="1"/>
  <c r="M35" i="13" s="1"/>
  <c r="N35" i="13" s="1"/>
  <c r="D35" i="13"/>
  <c r="S35" i="13" s="1"/>
  <c r="AU257" i="13"/>
  <c r="AZ257" i="13" s="1"/>
  <c r="AJ257" i="13"/>
  <c r="J257" i="13"/>
  <c r="AB257" i="13" s="1"/>
  <c r="I257" i="13"/>
  <c r="Z257" i="13" s="1"/>
  <c r="D257" i="13"/>
  <c r="S257" i="13" s="1"/>
  <c r="AU263" i="13"/>
  <c r="AZ263" i="13" s="1"/>
  <c r="AJ263" i="13"/>
  <c r="J263" i="13"/>
  <c r="AB263" i="13" s="1"/>
  <c r="D263" i="13"/>
  <c r="S263" i="13" s="1"/>
  <c r="AU262" i="13"/>
  <c r="AZ262" i="13" s="1"/>
  <c r="AJ262" i="13"/>
  <c r="D262" i="13"/>
  <c r="S262" i="13" s="1"/>
  <c r="AU258" i="13"/>
  <c r="AZ258" i="13" s="1"/>
  <c r="AJ258" i="13"/>
  <c r="J258" i="13"/>
  <c r="AA258" i="13" s="1"/>
  <c r="AD258" i="13" s="1"/>
  <c r="Z258" i="13"/>
  <c r="AU256" i="13"/>
  <c r="AZ256" i="13" s="1"/>
  <c r="AJ256" i="13"/>
  <c r="J256" i="13"/>
  <c r="AB256" i="13" s="1"/>
  <c r="I256" i="13"/>
  <c r="Z256" i="13" s="1"/>
  <c r="AU255" i="13"/>
  <c r="AZ255" i="13" s="1"/>
  <c r="AJ255" i="13"/>
  <c r="J255" i="13"/>
  <c r="AA255" i="13" s="1"/>
  <c r="I255" i="13"/>
  <c r="Z255" i="13" s="1"/>
  <c r="AQ253" i="13"/>
  <c r="AB253" i="13" s="1"/>
  <c r="D258" i="13"/>
  <c r="R258" i="13" s="1"/>
  <c r="D256" i="13"/>
  <c r="R256" i="13" s="1"/>
  <c r="D255" i="13"/>
  <c r="R255" i="13" s="1"/>
  <c r="AU254" i="13"/>
  <c r="AQ254" i="13"/>
  <c r="AB254" i="13" s="1"/>
  <c r="AJ254" i="13"/>
  <c r="AA254" i="13"/>
  <c r="AD254" i="13" s="1"/>
  <c r="Z254" i="13"/>
  <c r="K254" i="13"/>
  <c r="L254" i="13" s="1"/>
  <c r="M254" i="13" s="1"/>
  <c r="D254" i="13"/>
  <c r="R254" i="13" s="1"/>
  <c r="AU253" i="13"/>
  <c r="AJ253" i="13"/>
  <c r="AA253" i="13"/>
  <c r="AD253" i="13" s="1"/>
  <c r="Z253" i="13"/>
  <c r="K253" i="13"/>
  <c r="D253" i="13"/>
  <c r="S253" i="13" s="1"/>
  <c r="W253" i="13" s="1"/>
  <c r="J109" i="13"/>
  <c r="J108" i="13"/>
  <c r="J107" i="13"/>
  <c r="J106" i="13"/>
  <c r="J105" i="13"/>
  <c r="J104" i="13"/>
  <c r="J103" i="13"/>
  <c r="J102" i="13"/>
  <c r="AU88" i="13"/>
  <c r="AZ88" i="13" s="1"/>
  <c r="AJ88" i="13"/>
  <c r="J88" i="13"/>
  <c r="AB88" i="13" s="1"/>
  <c r="I88" i="13"/>
  <c r="Z88" i="13" s="1"/>
  <c r="D88" i="13"/>
  <c r="S88" i="13" s="1"/>
  <c r="AU87" i="13"/>
  <c r="AZ87" i="13" s="1"/>
  <c r="AJ87" i="13"/>
  <c r="J87" i="13"/>
  <c r="I87" i="13"/>
  <c r="Z87" i="13" s="1"/>
  <c r="D87" i="13"/>
  <c r="S87" i="13" s="1"/>
  <c r="J86" i="13"/>
  <c r="AU86" i="13"/>
  <c r="AZ86" i="13" s="1"/>
  <c r="AJ86" i="13"/>
  <c r="I86" i="13"/>
  <c r="Z86" i="13" s="1"/>
  <c r="D86" i="13"/>
  <c r="S86" i="13" s="1"/>
  <c r="BA37" i="13" l="1"/>
  <c r="AZ37" i="13"/>
  <c r="S37" i="13"/>
  <c r="W37" i="13" s="1"/>
  <c r="AN37" i="13"/>
  <c r="K37" i="13"/>
  <c r="AC37" i="13"/>
  <c r="AE37" i="13" s="1"/>
  <c r="K260" i="13"/>
  <c r="AV260" i="13" s="1"/>
  <c r="AA260" i="13"/>
  <c r="AD260" i="13" s="1"/>
  <c r="BA260" i="13" s="1"/>
  <c r="AN261" i="13"/>
  <c r="R261" i="13"/>
  <c r="AA257" i="13"/>
  <c r="AD257" i="13" s="1"/>
  <c r="BA257" i="13" s="1"/>
  <c r="AA261" i="13"/>
  <c r="AC261" i="13" s="1"/>
  <c r="R260" i="13"/>
  <c r="AN260" i="13"/>
  <c r="W261" i="13"/>
  <c r="K261" i="13"/>
  <c r="W260" i="13"/>
  <c r="K257" i="13"/>
  <c r="L257" i="13" s="1"/>
  <c r="M257" i="13" s="1"/>
  <c r="AZ35" i="13"/>
  <c r="AN35" i="13"/>
  <c r="AV35" i="13"/>
  <c r="AY35" i="13" s="1"/>
  <c r="BA35" i="13"/>
  <c r="W35" i="13"/>
  <c r="AT35" i="13"/>
  <c r="R35" i="13"/>
  <c r="AC35" i="13"/>
  <c r="AE35" i="13" s="1"/>
  <c r="AN257" i="13"/>
  <c r="BA254" i="13"/>
  <c r="R257" i="13"/>
  <c r="W257" i="13"/>
  <c r="R263" i="13"/>
  <c r="AN263" i="13"/>
  <c r="AA263" i="13"/>
  <c r="K263" i="13"/>
  <c r="AV263" i="13" s="1"/>
  <c r="AX263" i="13" s="1"/>
  <c r="W262" i="13"/>
  <c r="W263" i="13"/>
  <c r="AN262" i="13"/>
  <c r="K262" i="13"/>
  <c r="R262" i="13"/>
  <c r="AA262" i="13"/>
  <c r="K256" i="13"/>
  <c r="AV256" i="13" s="1"/>
  <c r="AY256" i="13" s="1"/>
  <c r="K86" i="13"/>
  <c r="AV86" i="13" s="1"/>
  <c r="AZ254" i="13"/>
  <c r="AA256" i="13"/>
  <c r="AD256" i="13" s="1"/>
  <c r="BA256" i="13" s="1"/>
  <c r="K258" i="13"/>
  <c r="AV258" i="13" s="1"/>
  <c r="BA258" i="13"/>
  <c r="AN258" i="13"/>
  <c r="S256" i="13"/>
  <c r="W256" i="13" s="1"/>
  <c r="AN256" i="13"/>
  <c r="S258" i="13"/>
  <c r="W258" i="13" s="1"/>
  <c r="S255" i="13"/>
  <c r="W255" i="13" s="1"/>
  <c r="AN255" i="13"/>
  <c r="AD255" i="13"/>
  <c r="BA255" i="13" s="1"/>
  <c r="AB258" i="13"/>
  <c r="AC258" i="13" s="1"/>
  <c r="AE258" i="13" s="1"/>
  <c r="AB255" i="13"/>
  <c r="AC255" i="13" s="1"/>
  <c r="K255" i="13"/>
  <c r="AV253" i="13"/>
  <c r="AY253" i="13" s="1"/>
  <c r="BA253" i="13"/>
  <c r="R253" i="13"/>
  <c r="L253" i="13"/>
  <c r="M253" i="13" s="1"/>
  <c r="N253" i="13" s="1"/>
  <c r="AN253" i="13"/>
  <c r="AN254" i="13"/>
  <c r="S254" i="13"/>
  <c r="W254" i="13" s="1"/>
  <c r="N254" i="13"/>
  <c r="AC253" i="13"/>
  <c r="AE253" i="13" s="1"/>
  <c r="AZ253" i="13"/>
  <c r="AC254" i="13"/>
  <c r="AE254" i="13" s="1"/>
  <c r="AV254" i="13"/>
  <c r="K87" i="13"/>
  <c r="L87" i="13" s="1"/>
  <c r="M87" i="13" s="1"/>
  <c r="R88" i="13"/>
  <c r="AN88" i="13"/>
  <c r="W88" i="13"/>
  <c r="AN86" i="13"/>
  <c r="AA87" i="13"/>
  <c r="AB87" i="13"/>
  <c r="AA88" i="13"/>
  <c r="AN87" i="13"/>
  <c r="K88" i="13"/>
  <c r="R87" i="13"/>
  <c r="W87" i="13"/>
  <c r="AA86" i="13"/>
  <c r="AD86" i="13" s="1"/>
  <c r="BA86" i="13" s="1"/>
  <c r="AB86" i="13"/>
  <c r="R86" i="13"/>
  <c r="W86" i="13"/>
  <c r="J80" i="13"/>
  <c r="AC260" i="13" l="1"/>
  <c r="AE260" i="13" s="1"/>
  <c r="AV37" i="13"/>
  <c r="L37" i="13"/>
  <c r="M37" i="13" s="1"/>
  <c r="O37" i="13" s="1"/>
  <c r="AL37" i="13"/>
  <c r="AO37" i="13"/>
  <c r="AK37" i="13"/>
  <c r="AM37" i="13" s="1"/>
  <c r="L260" i="13"/>
  <c r="M260" i="13" s="1"/>
  <c r="Q260" i="13" s="1"/>
  <c r="AT260" i="13" s="1"/>
  <c r="AC257" i="13"/>
  <c r="AE257" i="13" s="1"/>
  <c r="AL257" i="13" s="1"/>
  <c r="AD261" i="13"/>
  <c r="BA261" i="13" s="1"/>
  <c r="AV261" i="13"/>
  <c r="L261" i="13"/>
  <c r="M261" i="13" s="1"/>
  <c r="AX260" i="13"/>
  <c r="AY260" i="13"/>
  <c r="BB260" i="13" s="1"/>
  <c r="AV257" i="13"/>
  <c r="AX257" i="13" s="1"/>
  <c r="L86" i="13"/>
  <c r="M86" i="13" s="1"/>
  <c r="Q86" i="13" s="1"/>
  <c r="AT86" i="13" s="1"/>
  <c r="L256" i="13"/>
  <c r="M256" i="13" s="1"/>
  <c r="Q256" i="13" s="1"/>
  <c r="AT256" i="13" s="1"/>
  <c r="AX35" i="13"/>
  <c r="BB35" i="13"/>
  <c r="AL35" i="13"/>
  <c r="AO35" i="13"/>
  <c r="AK35" i="13"/>
  <c r="AM35" i="13" s="1"/>
  <c r="L258" i="13"/>
  <c r="M258" i="13" s="1"/>
  <c r="Q258" i="13" s="1"/>
  <c r="AT258" i="13" s="1"/>
  <c r="Q257" i="13"/>
  <c r="AT257" i="13" s="1"/>
  <c r="AC263" i="13"/>
  <c r="AD263" i="13"/>
  <c r="BA263" i="13" s="1"/>
  <c r="L263" i="13"/>
  <c r="M263" i="13" s="1"/>
  <c r="Q263" i="13" s="1"/>
  <c r="AT263" i="13" s="1"/>
  <c r="AY263" i="13"/>
  <c r="AX253" i="13"/>
  <c r="AC262" i="13"/>
  <c r="AD262" i="13"/>
  <c r="BA262" i="13" s="1"/>
  <c r="AV262" i="13"/>
  <c r="L262" i="13"/>
  <c r="M262" i="13" s="1"/>
  <c r="AC256" i="13"/>
  <c r="AE256" i="13" s="1"/>
  <c r="AO256" i="13" s="1"/>
  <c r="AE255" i="13"/>
  <c r="AL255" i="13" s="1"/>
  <c r="AX256" i="13"/>
  <c r="AV87" i="13"/>
  <c r="AY87" i="13" s="1"/>
  <c r="BB256" i="13"/>
  <c r="AO258" i="13"/>
  <c r="AK258" i="13"/>
  <c r="AM258" i="13" s="1"/>
  <c r="AL258" i="13"/>
  <c r="AV255" i="13"/>
  <c r="L255" i="13"/>
  <c r="M255" i="13" s="1"/>
  <c r="AX258" i="13"/>
  <c r="AY258" i="13"/>
  <c r="BB258" i="13" s="1"/>
  <c r="AO253" i="13"/>
  <c r="AK253" i="13"/>
  <c r="AM253" i="13" s="1"/>
  <c r="AL253" i="13"/>
  <c r="BB253" i="13"/>
  <c r="AX254" i="13"/>
  <c r="AY254" i="13"/>
  <c r="BB254" i="13" s="1"/>
  <c r="AL254" i="13"/>
  <c r="AO254" i="13"/>
  <c r="AK254" i="13"/>
  <c r="AM254" i="13" s="1"/>
  <c r="AV88" i="13"/>
  <c r="L88" i="13"/>
  <c r="M88" i="13" s="1"/>
  <c r="AC87" i="13"/>
  <c r="AD87" i="13"/>
  <c r="BA87" i="13" s="1"/>
  <c r="AC88" i="13"/>
  <c r="AD88" i="13"/>
  <c r="BA88" i="13" s="1"/>
  <c r="Q87" i="13"/>
  <c r="AT87" i="13" s="1"/>
  <c r="AC86" i="13"/>
  <c r="AE86" i="13" s="1"/>
  <c r="AK86" i="13" s="1"/>
  <c r="AM86" i="13" s="1"/>
  <c r="AX86" i="13"/>
  <c r="AY86" i="13"/>
  <c r="BB86" i="13" s="1"/>
  <c r="I330" i="13"/>
  <c r="I328" i="13"/>
  <c r="I327" i="13"/>
  <c r="I329" i="13"/>
  <c r="I16" i="13"/>
  <c r="I15" i="13"/>
  <c r="I14" i="13"/>
  <c r="I13" i="13"/>
  <c r="I12" i="13"/>
  <c r="I11" i="13"/>
  <c r="I10" i="13"/>
  <c r="I9" i="13"/>
  <c r="I8" i="13"/>
  <c r="I7" i="13"/>
  <c r="I6" i="13"/>
  <c r="I5" i="13"/>
  <c r="I4" i="13"/>
  <c r="I108" i="13"/>
  <c r="I107" i="13"/>
  <c r="AU109" i="13"/>
  <c r="AZ109" i="13" s="1"/>
  <c r="AJ109" i="13"/>
  <c r="Z109" i="13"/>
  <c r="L109" i="13"/>
  <c r="AA109" i="13"/>
  <c r="D109" i="13"/>
  <c r="S109" i="13" s="1"/>
  <c r="I106" i="13"/>
  <c r="I104" i="13"/>
  <c r="AK257" i="13" l="1"/>
  <c r="AM257" i="13" s="1"/>
  <c r="AX37" i="13"/>
  <c r="AY37" i="13"/>
  <c r="BB37" i="13" s="1"/>
  <c r="AO257" i="13"/>
  <c r="AE261" i="13"/>
  <c r="AO261" i="13" s="1"/>
  <c r="AK260" i="13"/>
  <c r="AM260" i="13" s="1"/>
  <c r="AL260" i="13"/>
  <c r="AO260" i="13"/>
  <c r="AK261" i="13"/>
  <c r="AM261" i="13" s="1"/>
  <c r="Q261" i="13"/>
  <c r="AT261" i="13" s="1"/>
  <c r="AX261" i="13"/>
  <c r="AY261" i="13"/>
  <c r="BB261" i="13" s="1"/>
  <c r="AY257" i="13"/>
  <c r="BB257" i="13" s="1"/>
  <c r="AE263" i="13"/>
  <c r="AO263" i="13" s="1"/>
  <c r="BB263" i="13"/>
  <c r="Q262" i="13"/>
  <c r="AT262" i="13" s="1"/>
  <c r="AE262" i="13"/>
  <c r="AX262" i="13"/>
  <c r="AY262" i="13"/>
  <c r="BB262" i="13" s="1"/>
  <c r="AO255" i="13"/>
  <c r="AX87" i="13"/>
  <c r="AK255" i="13"/>
  <c r="AM255" i="13" s="1"/>
  <c r="AL256" i="13"/>
  <c r="AK256" i="13"/>
  <c r="AM256" i="13" s="1"/>
  <c r="Q255" i="13"/>
  <c r="AT255" i="13" s="1"/>
  <c r="AX255" i="13"/>
  <c r="AY255" i="13"/>
  <c r="BB255" i="13" s="1"/>
  <c r="AE87" i="13"/>
  <c r="AK87" i="13" s="1"/>
  <c r="AM87" i="13" s="1"/>
  <c r="BB87" i="13"/>
  <c r="Q88" i="13"/>
  <c r="AT88" i="13" s="1"/>
  <c r="AE88" i="13"/>
  <c r="AY88" i="13"/>
  <c r="BB88" i="13" s="1"/>
  <c r="AX88" i="13"/>
  <c r="AO86" i="13"/>
  <c r="AL86" i="13"/>
  <c r="K109" i="13"/>
  <c r="M109" i="13" s="1"/>
  <c r="Q109" i="13" s="1"/>
  <c r="AT109" i="13" s="1"/>
  <c r="AB109" i="13"/>
  <c r="AC109" i="13" s="1"/>
  <c r="AD109" i="13"/>
  <c r="BA109" i="13" s="1"/>
  <c r="AN109" i="13"/>
  <c r="R109" i="13"/>
  <c r="W109" i="13"/>
  <c r="I65" i="13"/>
  <c r="Z65" i="13" s="1"/>
  <c r="J65" i="13"/>
  <c r="AA65" i="13" s="1"/>
  <c r="AU65" i="13"/>
  <c r="AZ65" i="13" s="1"/>
  <c r="AJ65" i="13"/>
  <c r="U65" i="13"/>
  <c r="D65" i="13"/>
  <c r="I64" i="13"/>
  <c r="Z64" i="13" s="1"/>
  <c r="AU64" i="13"/>
  <c r="AZ64" i="13" s="1"/>
  <c r="AJ64" i="13"/>
  <c r="U64" i="13"/>
  <c r="J64" i="13"/>
  <c r="AA64" i="13" s="1"/>
  <c r="I63" i="13"/>
  <c r="I61" i="13"/>
  <c r="I60" i="13"/>
  <c r="AA108" i="13"/>
  <c r="AA107" i="13"/>
  <c r="AD107" i="13" s="1"/>
  <c r="AB106" i="13"/>
  <c r="AB105" i="13"/>
  <c r="AA104" i="13"/>
  <c r="AU115" i="13"/>
  <c r="J115" i="13" s="1"/>
  <c r="AJ115" i="13"/>
  <c r="Z115" i="13"/>
  <c r="L115" i="13"/>
  <c r="S115" i="13"/>
  <c r="AU114" i="13"/>
  <c r="AZ114" i="13" s="1"/>
  <c r="AJ114" i="13"/>
  <c r="Z114" i="13"/>
  <c r="L114" i="13"/>
  <c r="S114" i="13"/>
  <c r="AU70" i="13"/>
  <c r="AQ70" i="13"/>
  <c r="AB70" i="13" s="1"/>
  <c r="AJ70" i="13"/>
  <c r="AA70" i="13"/>
  <c r="Z70" i="13"/>
  <c r="K70" i="13"/>
  <c r="D70" i="13"/>
  <c r="S70" i="13" s="1"/>
  <c r="Z108" i="13"/>
  <c r="Z107" i="13"/>
  <c r="Z106" i="13"/>
  <c r="I103" i="13"/>
  <c r="Z103" i="13" s="1"/>
  <c r="AU108" i="13"/>
  <c r="AZ108" i="13" s="1"/>
  <c r="AJ108" i="13"/>
  <c r="L108" i="13"/>
  <c r="D108" i="13"/>
  <c r="S108" i="13" s="1"/>
  <c r="AU107" i="13"/>
  <c r="AZ107" i="13" s="1"/>
  <c r="AJ107" i="13"/>
  <c r="L107" i="13"/>
  <c r="D107" i="13"/>
  <c r="R107" i="13" s="1"/>
  <c r="AU106" i="13"/>
  <c r="AZ106" i="13" s="1"/>
  <c r="AJ106" i="13"/>
  <c r="L106" i="13"/>
  <c r="D106" i="13"/>
  <c r="S106" i="13" s="1"/>
  <c r="AU105" i="13"/>
  <c r="AZ105" i="13" s="1"/>
  <c r="AJ105" i="13"/>
  <c r="L105" i="13"/>
  <c r="I105" i="13"/>
  <c r="Z105" i="13" s="1"/>
  <c r="D105" i="13"/>
  <c r="S105" i="13" s="1"/>
  <c r="AU104" i="13"/>
  <c r="AZ104" i="13" s="1"/>
  <c r="AJ104" i="13"/>
  <c r="L104" i="13"/>
  <c r="Z104" i="13"/>
  <c r="D104" i="13"/>
  <c r="S104" i="13" s="1"/>
  <c r="AU103" i="13"/>
  <c r="AZ103" i="13" s="1"/>
  <c r="AJ103" i="13"/>
  <c r="L103" i="13"/>
  <c r="AB103" i="13"/>
  <c r="D103" i="13"/>
  <c r="R103" i="13" s="1"/>
  <c r="AB102" i="13"/>
  <c r="I102" i="13"/>
  <c r="AU102" i="13"/>
  <c r="AZ102" i="13" s="1"/>
  <c r="AJ102" i="13"/>
  <c r="AA102" i="13"/>
  <c r="D102" i="13"/>
  <c r="S102" i="13" s="1"/>
  <c r="D59" i="13"/>
  <c r="S59" i="13" s="1"/>
  <c r="W59" i="13" s="1"/>
  <c r="D58" i="13"/>
  <c r="S58" i="13" s="1"/>
  <c r="W58" i="13" s="1"/>
  <c r="AU59" i="13"/>
  <c r="AQ59" i="13"/>
  <c r="AJ59" i="13"/>
  <c r="AA59" i="13"/>
  <c r="AD59" i="13" s="1"/>
  <c r="Z59" i="13"/>
  <c r="K59" i="13"/>
  <c r="AQ58" i="13"/>
  <c r="AB58" i="13" s="1"/>
  <c r="AU58" i="13"/>
  <c r="AJ58" i="13"/>
  <c r="AA58" i="13"/>
  <c r="AD58" i="13" s="1"/>
  <c r="Z58" i="13"/>
  <c r="AL87" i="13" l="1"/>
  <c r="AL261" i="13"/>
  <c r="AK263" i="13"/>
  <c r="AM263" i="13" s="1"/>
  <c r="AL263" i="13"/>
  <c r="AK262" i="13"/>
  <c r="AM262" i="13" s="1"/>
  <c r="AO262" i="13"/>
  <c r="AL262" i="13"/>
  <c r="AO87" i="13"/>
  <c r="AL88" i="13"/>
  <c r="AO88" i="13"/>
  <c r="AK88" i="13"/>
  <c r="AM88" i="13" s="1"/>
  <c r="AV109" i="13"/>
  <c r="AX109" i="13" s="1"/>
  <c r="R65" i="13"/>
  <c r="R58" i="13"/>
  <c r="AN115" i="13"/>
  <c r="AE109" i="13"/>
  <c r="AD64" i="13"/>
  <c r="BA64" i="13" s="1"/>
  <c r="AD65" i="13"/>
  <c r="BA65" i="13" s="1"/>
  <c r="K65" i="13"/>
  <c r="AV65" i="13" s="1"/>
  <c r="AN65" i="13"/>
  <c r="S65" i="13"/>
  <c r="AB65" i="13"/>
  <c r="AC65" i="13" s="1"/>
  <c r="R64" i="13"/>
  <c r="K64" i="13"/>
  <c r="AV64" i="13" s="1"/>
  <c r="AN64" i="13"/>
  <c r="S64" i="13"/>
  <c r="AB64" i="13"/>
  <c r="AC64" i="13" s="1"/>
  <c r="J114" i="13"/>
  <c r="AA114" i="13" s="1"/>
  <c r="AD114" i="13" s="1"/>
  <c r="BA114" i="13" s="1"/>
  <c r="AN114" i="13"/>
  <c r="R115" i="13"/>
  <c r="R114" i="13"/>
  <c r="W115" i="13"/>
  <c r="W114" i="13"/>
  <c r="K115" i="13"/>
  <c r="AB115" i="13"/>
  <c r="AA115" i="13"/>
  <c r="AZ115" i="13"/>
  <c r="AA103" i="13"/>
  <c r="AD103" i="13" s="1"/>
  <c r="BA103" i="13" s="1"/>
  <c r="AB104" i="13"/>
  <c r="AC104" i="13" s="1"/>
  <c r="AN70" i="13"/>
  <c r="AZ70" i="13"/>
  <c r="U70" i="13"/>
  <c r="AD70" i="13" s="1"/>
  <c r="BA70" i="13" s="1"/>
  <c r="W70" i="13"/>
  <c r="L70" i="13"/>
  <c r="M70" i="13" s="1"/>
  <c r="AC70" i="13"/>
  <c r="AV70" i="13"/>
  <c r="AB108" i="13"/>
  <c r="AC108" i="13" s="1"/>
  <c r="AB107" i="13"/>
  <c r="AC107" i="13" s="1"/>
  <c r="AE107" i="13" s="1"/>
  <c r="R106" i="13"/>
  <c r="BA59" i="13"/>
  <c r="AV59" i="13"/>
  <c r="AY59" i="13" s="1"/>
  <c r="AZ59" i="13"/>
  <c r="AN105" i="13"/>
  <c r="AN107" i="13"/>
  <c r="AA106" i="13"/>
  <c r="AN106" i="13"/>
  <c r="K106" i="13"/>
  <c r="AV106" i="13" s="1"/>
  <c r="AY106" i="13" s="1"/>
  <c r="AN58" i="13"/>
  <c r="R105" i="13"/>
  <c r="R108" i="13"/>
  <c r="BA107" i="13"/>
  <c r="AN103" i="13"/>
  <c r="W105" i="13"/>
  <c r="W106" i="13"/>
  <c r="W108" i="13"/>
  <c r="W104" i="13"/>
  <c r="AN104" i="13"/>
  <c r="AD108" i="13"/>
  <c r="BA108" i="13" s="1"/>
  <c r="AN108" i="13"/>
  <c r="AD104" i="13"/>
  <c r="BA104" i="13" s="1"/>
  <c r="K105" i="13"/>
  <c r="S103" i="13"/>
  <c r="K104" i="13"/>
  <c r="R104" i="13"/>
  <c r="AA105" i="13"/>
  <c r="K108" i="13"/>
  <c r="S107" i="13"/>
  <c r="K103" i="13"/>
  <c r="K107" i="13"/>
  <c r="K102" i="13"/>
  <c r="AV102" i="13" s="1"/>
  <c r="AX102" i="13" s="1"/>
  <c r="L102" i="13"/>
  <c r="Z102" i="13"/>
  <c r="AN102" i="13" s="1"/>
  <c r="W102" i="13"/>
  <c r="AC102" i="13"/>
  <c r="L59" i="13"/>
  <c r="M59" i="13" s="1"/>
  <c r="N59" i="13" s="1"/>
  <c r="R59" i="13"/>
  <c r="BA58" i="13"/>
  <c r="AN59" i="13"/>
  <c r="AB59" i="13"/>
  <c r="AC59" i="13" s="1"/>
  <c r="AE59" i="13" s="1"/>
  <c r="AZ58" i="13"/>
  <c r="AC58" i="13"/>
  <c r="AE58" i="13" s="1"/>
  <c r="AU361" i="13"/>
  <c r="AZ361" i="13" s="1"/>
  <c r="AJ361" i="13"/>
  <c r="J361" i="13"/>
  <c r="AB361" i="13" s="1"/>
  <c r="I361" i="13"/>
  <c r="Z361" i="13" s="1"/>
  <c r="D361" i="13"/>
  <c r="R361" i="13" s="1"/>
  <c r="AU360" i="13"/>
  <c r="AZ360" i="13" s="1"/>
  <c r="AJ360" i="13"/>
  <c r="J360" i="13"/>
  <c r="I360" i="13"/>
  <c r="Z360" i="13" s="1"/>
  <c r="D360" i="13"/>
  <c r="R360" i="13" s="1"/>
  <c r="AU359" i="13"/>
  <c r="AZ359" i="13" s="1"/>
  <c r="AJ359" i="13"/>
  <c r="J359" i="13"/>
  <c r="I359" i="13"/>
  <c r="Z359" i="13" s="1"/>
  <c r="D359" i="13"/>
  <c r="R359" i="13" s="1"/>
  <c r="AU358" i="13"/>
  <c r="AZ358" i="13" s="1"/>
  <c r="AJ358" i="13"/>
  <c r="J358" i="13"/>
  <c r="AB358" i="13" s="1"/>
  <c r="I358" i="13"/>
  <c r="Z358" i="13" s="1"/>
  <c r="D358" i="13"/>
  <c r="R358" i="13" s="1"/>
  <c r="AU357" i="13"/>
  <c r="AZ357" i="13" s="1"/>
  <c r="AJ357" i="13"/>
  <c r="J357" i="13"/>
  <c r="I357" i="13"/>
  <c r="Z357" i="13" s="1"/>
  <c r="D357" i="13"/>
  <c r="R357" i="13" s="1"/>
  <c r="AU356" i="13"/>
  <c r="AZ356" i="13" s="1"/>
  <c r="AJ356" i="13"/>
  <c r="J356" i="13"/>
  <c r="AB356" i="13" s="1"/>
  <c r="I356" i="13"/>
  <c r="Z356" i="13" s="1"/>
  <c r="D356" i="13"/>
  <c r="S356" i="13" s="1"/>
  <c r="W356" i="13" s="1"/>
  <c r="AU355" i="13"/>
  <c r="AZ355" i="13" s="1"/>
  <c r="AJ355" i="13"/>
  <c r="J355" i="13"/>
  <c r="AB355" i="13" s="1"/>
  <c r="I355" i="13"/>
  <c r="Z355" i="13" s="1"/>
  <c r="D355" i="13"/>
  <c r="R355" i="13" s="1"/>
  <c r="AU354" i="13"/>
  <c r="AZ354" i="13" s="1"/>
  <c r="AJ354" i="13"/>
  <c r="J354" i="13"/>
  <c r="I354" i="13"/>
  <c r="Z354" i="13" s="1"/>
  <c r="D354" i="13"/>
  <c r="R354" i="13" s="1"/>
  <c r="AU353" i="13"/>
  <c r="AZ353" i="13" s="1"/>
  <c r="AJ353" i="13"/>
  <c r="J353" i="13"/>
  <c r="AB353" i="13" s="1"/>
  <c r="I353" i="13"/>
  <c r="Z353" i="13" s="1"/>
  <c r="D353" i="13"/>
  <c r="R353" i="13" s="1"/>
  <c r="AU352" i="13"/>
  <c r="AZ352" i="13" s="1"/>
  <c r="AJ352" i="13"/>
  <c r="J352" i="13"/>
  <c r="I352" i="13"/>
  <c r="Z352" i="13" s="1"/>
  <c r="D352" i="13"/>
  <c r="R352" i="13" s="1"/>
  <c r="AU351" i="13"/>
  <c r="AZ351" i="13" s="1"/>
  <c r="AJ351" i="13"/>
  <c r="J351" i="13"/>
  <c r="AB351" i="13" s="1"/>
  <c r="I351" i="13"/>
  <c r="Z351" i="13" s="1"/>
  <c r="D351" i="13"/>
  <c r="R351" i="13" s="1"/>
  <c r="AU350" i="13"/>
  <c r="AZ350" i="13" s="1"/>
  <c r="AJ350" i="13"/>
  <c r="J350" i="13"/>
  <c r="AA350" i="13" s="1"/>
  <c r="AD350" i="13" s="1"/>
  <c r="I350" i="13"/>
  <c r="Z350" i="13" s="1"/>
  <c r="D350" i="13"/>
  <c r="R350" i="13" s="1"/>
  <c r="AU349" i="13"/>
  <c r="AZ349" i="13" s="1"/>
  <c r="AJ349" i="13"/>
  <c r="J349" i="13"/>
  <c r="AA349" i="13" s="1"/>
  <c r="I349" i="13"/>
  <c r="Z349" i="13" s="1"/>
  <c r="D349" i="13"/>
  <c r="AB29" i="13"/>
  <c r="AB30" i="13"/>
  <c r="AB31" i="13"/>
  <c r="AB32" i="13"/>
  <c r="AB91" i="13"/>
  <c r="AB362" i="13"/>
  <c r="AB363" i="13"/>
  <c r="AB364" i="13"/>
  <c r="AB365" i="13"/>
  <c r="AB366" i="13"/>
  <c r="AB367" i="13"/>
  <c r="AB368" i="13"/>
  <c r="AB369" i="13"/>
  <c r="AB370" i="13"/>
  <c r="AB371" i="13"/>
  <c r="AB372" i="13"/>
  <c r="AB373" i="13"/>
  <c r="AB374" i="13"/>
  <c r="AB375" i="13"/>
  <c r="AB376" i="13"/>
  <c r="AB377" i="13"/>
  <c r="AB378" i="13"/>
  <c r="AB379" i="13"/>
  <c r="AB380" i="13"/>
  <c r="AB381" i="13"/>
  <c r="AB382" i="13"/>
  <c r="AB383" i="13"/>
  <c r="AB384" i="13"/>
  <c r="AB385" i="13"/>
  <c r="AB386" i="13"/>
  <c r="AB387" i="13"/>
  <c r="AB388" i="13"/>
  <c r="AB389" i="13"/>
  <c r="AB390" i="13"/>
  <c r="AB391" i="13"/>
  <c r="AB392" i="13"/>
  <c r="AB393" i="13"/>
  <c r="AB394" i="13"/>
  <c r="AB395" i="13"/>
  <c r="AB396" i="13"/>
  <c r="AB397" i="13"/>
  <c r="AB398" i="13"/>
  <c r="AB399" i="13"/>
  <c r="AB400" i="13"/>
  <c r="AB401" i="13"/>
  <c r="AB402" i="13"/>
  <c r="AB403" i="13"/>
  <c r="AB404" i="13"/>
  <c r="AB405" i="13"/>
  <c r="AB406" i="13"/>
  <c r="AB407" i="13"/>
  <c r="AB408" i="13"/>
  <c r="AB409" i="13"/>
  <c r="AB410" i="13"/>
  <c r="AB411" i="13"/>
  <c r="AB412" i="13"/>
  <c r="AB413" i="13"/>
  <c r="AB414" i="13"/>
  <c r="AB415" i="13"/>
  <c r="AB416" i="13"/>
  <c r="AB417" i="13"/>
  <c r="AB418" i="13"/>
  <c r="AB419" i="13"/>
  <c r="AB420" i="13"/>
  <c r="AB421" i="13"/>
  <c r="AB422" i="13"/>
  <c r="AB423" i="13"/>
  <c r="AB424" i="13"/>
  <c r="AB425" i="13"/>
  <c r="AB426" i="13"/>
  <c r="AB427" i="13"/>
  <c r="AB428" i="13"/>
  <c r="AB429" i="13"/>
  <c r="AB430" i="13"/>
  <c r="AB431" i="13"/>
  <c r="AB432" i="13"/>
  <c r="AB433" i="13"/>
  <c r="AB434" i="13"/>
  <c r="AB435" i="13"/>
  <c r="AB436" i="13"/>
  <c r="AB437" i="13"/>
  <c r="AB438" i="13"/>
  <c r="AB439" i="13"/>
  <c r="AB440" i="13"/>
  <c r="AB441" i="13"/>
  <c r="AB442" i="13"/>
  <c r="AB443" i="13"/>
  <c r="AB444" i="13"/>
  <c r="AB445" i="13"/>
  <c r="AB446" i="13"/>
  <c r="AB447" i="13"/>
  <c r="AB448" i="13"/>
  <c r="AB449" i="13"/>
  <c r="AB450" i="13"/>
  <c r="AB451" i="13"/>
  <c r="AB452" i="13"/>
  <c r="AB453" i="13"/>
  <c r="AB454" i="13"/>
  <c r="AB455" i="13"/>
  <c r="AB456" i="13"/>
  <c r="AB457" i="13"/>
  <c r="AB458" i="13"/>
  <c r="AB459" i="13"/>
  <c r="AB460" i="13"/>
  <c r="AB461" i="13"/>
  <c r="AB462" i="13"/>
  <c r="AB463" i="13"/>
  <c r="AB464" i="13"/>
  <c r="AB465" i="13"/>
  <c r="AB466" i="13"/>
  <c r="AB467" i="13"/>
  <c r="AB468" i="13"/>
  <c r="AB469" i="13"/>
  <c r="AB470" i="13"/>
  <c r="AB471" i="13"/>
  <c r="AB472" i="13"/>
  <c r="AB473" i="13"/>
  <c r="AB474" i="13"/>
  <c r="AB475" i="13"/>
  <c r="AB476" i="13"/>
  <c r="AB477" i="13"/>
  <c r="AB478" i="13"/>
  <c r="AB479" i="13"/>
  <c r="AB480" i="13"/>
  <c r="AB481" i="13"/>
  <c r="AB482" i="13"/>
  <c r="AB483" i="13"/>
  <c r="AB484" i="13"/>
  <c r="AB485" i="13"/>
  <c r="AB486" i="13"/>
  <c r="AB487" i="13"/>
  <c r="AB488" i="13"/>
  <c r="AB489" i="13"/>
  <c r="AB490" i="13"/>
  <c r="AB491" i="13"/>
  <c r="AB492" i="13"/>
  <c r="AB493" i="13"/>
  <c r="AB494" i="13"/>
  <c r="AB495" i="13"/>
  <c r="AB496" i="13"/>
  <c r="AB497" i="13"/>
  <c r="AB498" i="13"/>
  <c r="AB499" i="13"/>
  <c r="AB500" i="13"/>
  <c r="AB501" i="13"/>
  <c r="AB502" i="13"/>
  <c r="AB503" i="13"/>
  <c r="AB504" i="13"/>
  <c r="AB505" i="13"/>
  <c r="AB506" i="13"/>
  <c r="AB507" i="13"/>
  <c r="AB508" i="13"/>
  <c r="AB509" i="13"/>
  <c r="AB510" i="13"/>
  <c r="AB511" i="13"/>
  <c r="AB512" i="13"/>
  <c r="AB513" i="13"/>
  <c r="AB514" i="13"/>
  <c r="AB515" i="13"/>
  <c r="AB516" i="13"/>
  <c r="AB517" i="13"/>
  <c r="AB518" i="13"/>
  <c r="AB519" i="13"/>
  <c r="AB520" i="13"/>
  <c r="AB521" i="13"/>
  <c r="AB522" i="13"/>
  <c r="AB523" i="13"/>
  <c r="AB524" i="13"/>
  <c r="AB525" i="13"/>
  <c r="AB526" i="13"/>
  <c r="AB527" i="13"/>
  <c r="AB528" i="13"/>
  <c r="AB529" i="13"/>
  <c r="AB530" i="13"/>
  <c r="AB531" i="13"/>
  <c r="AB532" i="13"/>
  <c r="AB533" i="13"/>
  <c r="AB534" i="13"/>
  <c r="AB535" i="13"/>
  <c r="AB536" i="13"/>
  <c r="AB537" i="13"/>
  <c r="AB538" i="13"/>
  <c r="AB539" i="13"/>
  <c r="AB540" i="13"/>
  <c r="AB541" i="13"/>
  <c r="AB542" i="13"/>
  <c r="AB543" i="13"/>
  <c r="AB544" i="13"/>
  <c r="AB545" i="13"/>
  <c r="AB546" i="13"/>
  <c r="AB547" i="13"/>
  <c r="AB548" i="13"/>
  <c r="AB549" i="13"/>
  <c r="AB550" i="13"/>
  <c r="AB551" i="13"/>
  <c r="AB552" i="13"/>
  <c r="AB553" i="13"/>
  <c r="AB554" i="13"/>
  <c r="AB555" i="13"/>
  <c r="AB556" i="13"/>
  <c r="AB557" i="13"/>
  <c r="AB558" i="13"/>
  <c r="AB559" i="13"/>
  <c r="AB560" i="13"/>
  <c r="AB561" i="13"/>
  <c r="AB562" i="13"/>
  <c r="AB563" i="13"/>
  <c r="AB564" i="13"/>
  <c r="AB565" i="13"/>
  <c r="AB566" i="13"/>
  <c r="AB567" i="13"/>
  <c r="AB568" i="13"/>
  <c r="AB569" i="13"/>
  <c r="AB570" i="13"/>
  <c r="AB571" i="13"/>
  <c r="AB572" i="13"/>
  <c r="AB573" i="13"/>
  <c r="AB574" i="13"/>
  <c r="AB575" i="13"/>
  <c r="AB576" i="13"/>
  <c r="AB577" i="13"/>
  <c r="AB578" i="13"/>
  <c r="AB579" i="13"/>
  <c r="AB580" i="13"/>
  <c r="AB581" i="13"/>
  <c r="AB582" i="13"/>
  <c r="AB583" i="13"/>
  <c r="AB584" i="13"/>
  <c r="AB585" i="13"/>
  <c r="AB586" i="13"/>
  <c r="AB587" i="13"/>
  <c r="AB588" i="13"/>
  <c r="AB589" i="13"/>
  <c r="AB590" i="13"/>
  <c r="AB591" i="13"/>
  <c r="AB592" i="13"/>
  <c r="AB593" i="13"/>
  <c r="AB594" i="13"/>
  <c r="AB595" i="13"/>
  <c r="AB596" i="13"/>
  <c r="AB597" i="13"/>
  <c r="AB598" i="13"/>
  <c r="AB599" i="13"/>
  <c r="AB600" i="13"/>
  <c r="AB601" i="13"/>
  <c r="AB602" i="13"/>
  <c r="AB603" i="13"/>
  <c r="AB604" i="13"/>
  <c r="AB605" i="13"/>
  <c r="AB606" i="13"/>
  <c r="AB607" i="13"/>
  <c r="AB608" i="13"/>
  <c r="AB609" i="13"/>
  <c r="AB610" i="13"/>
  <c r="AB611" i="13"/>
  <c r="AB612" i="13"/>
  <c r="AB613" i="13"/>
  <c r="AB614" i="13"/>
  <c r="AB615" i="13"/>
  <c r="AB616" i="13"/>
  <c r="AB617" i="13"/>
  <c r="AB618" i="13"/>
  <c r="AB619" i="13"/>
  <c r="AB620" i="13"/>
  <c r="AB621" i="13"/>
  <c r="AB622" i="13"/>
  <c r="AB623" i="13"/>
  <c r="AB624" i="13"/>
  <c r="AB625" i="13"/>
  <c r="AB626" i="13"/>
  <c r="AB627" i="13"/>
  <c r="AB628" i="13"/>
  <c r="AB629" i="13"/>
  <c r="AB630" i="13"/>
  <c r="AB631" i="13"/>
  <c r="AB632" i="13"/>
  <c r="AB633" i="13"/>
  <c r="AB634" i="13"/>
  <c r="AB635" i="13"/>
  <c r="AB636" i="13"/>
  <c r="AB637" i="13"/>
  <c r="AB638" i="13"/>
  <c r="AB639" i="13"/>
  <c r="AB640" i="13"/>
  <c r="AB641" i="13"/>
  <c r="AB642" i="13"/>
  <c r="AB643" i="13"/>
  <c r="AB644" i="13"/>
  <c r="AB645" i="13"/>
  <c r="AB646" i="13"/>
  <c r="AB647" i="13"/>
  <c r="AB648" i="13"/>
  <c r="AB649" i="13"/>
  <c r="AB650" i="13"/>
  <c r="AB651" i="13"/>
  <c r="AB652" i="13"/>
  <c r="AB653" i="13"/>
  <c r="AB654" i="13"/>
  <c r="AB655" i="13"/>
  <c r="AB656" i="13"/>
  <c r="AB657" i="13"/>
  <c r="AB658" i="13"/>
  <c r="AB659" i="13"/>
  <c r="AB660" i="13"/>
  <c r="AB661" i="13"/>
  <c r="AB662" i="13"/>
  <c r="AB663" i="13"/>
  <c r="AB664" i="13"/>
  <c r="AB665" i="13"/>
  <c r="AB666" i="13"/>
  <c r="AB667" i="13"/>
  <c r="AB668" i="13"/>
  <c r="AB669" i="13"/>
  <c r="AB670" i="13"/>
  <c r="AB671" i="13"/>
  <c r="AB672" i="13"/>
  <c r="AB673" i="13"/>
  <c r="AB674" i="13"/>
  <c r="AB675" i="13"/>
  <c r="AB676" i="13"/>
  <c r="AB677" i="13"/>
  <c r="AB678" i="13"/>
  <c r="AB679" i="13"/>
  <c r="AB680" i="13"/>
  <c r="AB681" i="13"/>
  <c r="AB682" i="13"/>
  <c r="AB683" i="13"/>
  <c r="AB684" i="13"/>
  <c r="AB685" i="13"/>
  <c r="AB686" i="13"/>
  <c r="AB687" i="13"/>
  <c r="AB688" i="13"/>
  <c r="AB689" i="13"/>
  <c r="AB690" i="13"/>
  <c r="AB691" i="13"/>
  <c r="AB692" i="13"/>
  <c r="AB693" i="13"/>
  <c r="AB694" i="13"/>
  <c r="AB695" i="13"/>
  <c r="AB696" i="13"/>
  <c r="AB697" i="13"/>
  <c r="AB698" i="13"/>
  <c r="AB699" i="13"/>
  <c r="AB700" i="13"/>
  <c r="AB701" i="13"/>
  <c r="AB702" i="13"/>
  <c r="AB703" i="13"/>
  <c r="AB704" i="13"/>
  <c r="AB705" i="13"/>
  <c r="AB706" i="13"/>
  <c r="AB707" i="13"/>
  <c r="AB708" i="13"/>
  <c r="AB709" i="13"/>
  <c r="AB710" i="13"/>
  <c r="AB711" i="13"/>
  <c r="AB712" i="13"/>
  <c r="AB713" i="13"/>
  <c r="AB714" i="13"/>
  <c r="AB715" i="13"/>
  <c r="AB716" i="13"/>
  <c r="AB717" i="13"/>
  <c r="AB718" i="13"/>
  <c r="AB719" i="13"/>
  <c r="AB720" i="13"/>
  <c r="AB721" i="13"/>
  <c r="AB722" i="13"/>
  <c r="AB723" i="13"/>
  <c r="AB724" i="13"/>
  <c r="AB725" i="13"/>
  <c r="AB726" i="13"/>
  <c r="AB727" i="13"/>
  <c r="AB728" i="13"/>
  <c r="AB729" i="13"/>
  <c r="AB730" i="13"/>
  <c r="AB731" i="13"/>
  <c r="AB732" i="13"/>
  <c r="AB733" i="13"/>
  <c r="AB734" i="13"/>
  <c r="AB735" i="13"/>
  <c r="AB736" i="13"/>
  <c r="AB737" i="13"/>
  <c r="AB738" i="13"/>
  <c r="AB739" i="13"/>
  <c r="AB740" i="13"/>
  <c r="AB741" i="13"/>
  <c r="AB742" i="13"/>
  <c r="AB743" i="13"/>
  <c r="AB744" i="13"/>
  <c r="AB745" i="13"/>
  <c r="AB746" i="13"/>
  <c r="AB747" i="13"/>
  <c r="AB748" i="13"/>
  <c r="AB749" i="13"/>
  <c r="AB750" i="13"/>
  <c r="AB751" i="13"/>
  <c r="AB752" i="13"/>
  <c r="AB753" i="13"/>
  <c r="AB754" i="13"/>
  <c r="AB755" i="13"/>
  <c r="AB756" i="13"/>
  <c r="AB757" i="13"/>
  <c r="AB758" i="13"/>
  <c r="AB759" i="13"/>
  <c r="AB760" i="13"/>
  <c r="AB761" i="13"/>
  <c r="AB762" i="13"/>
  <c r="AB763" i="13"/>
  <c r="AB764" i="13"/>
  <c r="AB765" i="13"/>
  <c r="AB766" i="13"/>
  <c r="AB767" i="13"/>
  <c r="AB768" i="13"/>
  <c r="AB769" i="13"/>
  <c r="AB770" i="13"/>
  <c r="AB771" i="13"/>
  <c r="AB772" i="13"/>
  <c r="AB773" i="13"/>
  <c r="AB774" i="13"/>
  <c r="AB775" i="13"/>
  <c r="AB776" i="13"/>
  <c r="AB777" i="13"/>
  <c r="AB778" i="13"/>
  <c r="AB779" i="13"/>
  <c r="AB780" i="13"/>
  <c r="AB781" i="13"/>
  <c r="AB782" i="13"/>
  <c r="AB783" i="13"/>
  <c r="AB784" i="13"/>
  <c r="AB785" i="13"/>
  <c r="AB786" i="13"/>
  <c r="AB787" i="13"/>
  <c r="AB788" i="13"/>
  <c r="AB789" i="13"/>
  <c r="AB790" i="13"/>
  <c r="AB791" i="13"/>
  <c r="AB792" i="13"/>
  <c r="AB793" i="13"/>
  <c r="AB794" i="13"/>
  <c r="AB795" i="13"/>
  <c r="AB796" i="13"/>
  <c r="AB797" i="13"/>
  <c r="AB798" i="13"/>
  <c r="AB799" i="13"/>
  <c r="AB800" i="13"/>
  <c r="AB801" i="13"/>
  <c r="AB802" i="13"/>
  <c r="AB803" i="13"/>
  <c r="AB804" i="13"/>
  <c r="AB805" i="13"/>
  <c r="AB806" i="13"/>
  <c r="AB807" i="13"/>
  <c r="AB808" i="13"/>
  <c r="AB809" i="13"/>
  <c r="AB810" i="13"/>
  <c r="AB811" i="13"/>
  <c r="AB812" i="13"/>
  <c r="AB813" i="13"/>
  <c r="AB814" i="13"/>
  <c r="AB815" i="13"/>
  <c r="AB816" i="13"/>
  <c r="AB817" i="13"/>
  <c r="AB818" i="13"/>
  <c r="AB819" i="13"/>
  <c r="AB820" i="13"/>
  <c r="AB821" i="13"/>
  <c r="AB822" i="13"/>
  <c r="AB823" i="13"/>
  <c r="AB824" i="13"/>
  <c r="AB825" i="13"/>
  <c r="AB826" i="13"/>
  <c r="AB827" i="13"/>
  <c r="AB828" i="13"/>
  <c r="AB829" i="13"/>
  <c r="AB830" i="13"/>
  <c r="AB831" i="13"/>
  <c r="AB832" i="13"/>
  <c r="AB833" i="13"/>
  <c r="AB834" i="13"/>
  <c r="AB835" i="13"/>
  <c r="AB836" i="13"/>
  <c r="AB837" i="13"/>
  <c r="AB838" i="13"/>
  <c r="AB839" i="13"/>
  <c r="AB840" i="13"/>
  <c r="AB841" i="13"/>
  <c r="AB842" i="13"/>
  <c r="AB843" i="13"/>
  <c r="AB844" i="13"/>
  <c r="AB845" i="13"/>
  <c r="AB846" i="13"/>
  <c r="AB847" i="13"/>
  <c r="AB848" i="13"/>
  <c r="AB849" i="13"/>
  <c r="AB850" i="13"/>
  <c r="AB851" i="13"/>
  <c r="AB852" i="13"/>
  <c r="AB853" i="13"/>
  <c r="AB854" i="13"/>
  <c r="AB855" i="13"/>
  <c r="AB856" i="13"/>
  <c r="AB857" i="13"/>
  <c r="AB858" i="13"/>
  <c r="AB859" i="13"/>
  <c r="AB860" i="13"/>
  <c r="AB861" i="13"/>
  <c r="AB862" i="13"/>
  <c r="AB863" i="13"/>
  <c r="AB864" i="13"/>
  <c r="AB865" i="13"/>
  <c r="AB866" i="13"/>
  <c r="AB867" i="13"/>
  <c r="AB868" i="13"/>
  <c r="AB869" i="13"/>
  <c r="AB870" i="13"/>
  <c r="AB871" i="13"/>
  <c r="AB872" i="13"/>
  <c r="AB873" i="13"/>
  <c r="AB874" i="13"/>
  <c r="AB875" i="13"/>
  <c r="AB876" i="13"/>
  <c r="AB877" i="13"/>
  <c r="AB878" i="13"/>
  <c r="AB879" i="13"/>
  <c r="AU101" i="13"/>
  <c r="AQ101" i="13"/>
  <c r="AB101" i="13" s="1"/>
  <c r="AJ101" i="13"/>
  <c r="AA101" i="13"/>
  <c r="Z101" i="13"/>
  <c r="K101" i="13"/>
  <c r="D101" i="13"/>
  <c r="S101" i="13" s="1"/>
  <c r="AU100" i="13"/>
  <c r="AQ100" i="13"/>
  <c r="AB100" i="13" s="1"/>
  <c r="AJ100" i="13"/>
  <c r="AA100" i="13"/>
  <c r="Z100" i="13"/>
  <c r="K100" i="13"/>
  <c r="D100" i="13"/>
  <c r="S100" i="13" s="1"/>
  <c r="AU99" i="13"/>
  <c r="AQ99" i="13"/>
  <c r="AB99" i="13" s="1"/>
  <c r="AJ99" i="13"/>
  <c r="AA99" i="13"/>
  <c r="Z99" i="13"/>
  <c r="K99" i="13"/>
  <c r="D99" i="13"/>
  <c r="S99" i="13" s="1"/>
  <c r="W99" i="13" s="1"/>
  <c r="AU98" i="13"/>
  <c r="AQ98" i="13"/>
  <c r="AB98" i="13" s="1"/>
  <c r="AJ98" i="13"/>
  <c r="AA98" i="13"/>
  <c r="Z98" i="13"/>
  <c r="K98" i="13"/>
  <c r="D98" i="13"/>
  <c r="AU97" i="13"/>
  <c r="AQ97" i="13"/>
  <c r="AB97" i="13" s="1"/>
  <c r="AJ97" i="13"/>
  <c r="AA97" i="13"/>
  <c r="Z97" i="13"/>
  <c r="K97" i="13"/>
  <c r="D97" i="13"/>
  <c r="S97" i="13" s="1"/>
  <c r="W97" i="13" s="1"/>
  <c r="AU96" i="13"/>
  <c r="AQ96" i="13"/>
  <c r="AB96" i="13" s="1"/>
  <c r="AJ96" i="13"/>
  <c r="AA96" i="13"/>
  <c r="Z96" i="13"/>
  <c r="K96" i="13"/>
  <c r="D96" i="13"/>
  <c r="AU95" i="13"/>
  <c r="AQ95" i="13"/>
  <c r="AB95" i="13" s="1"/>
  <c r="AJ95" i="13"/>
  <c r="AA95" i="13"/>
  <c r="Z95" i="13"/>
  <c r="K95" i="13"/>
  <c r="D95" i="13"/>
  <c r="S95" i="13" s="1"/>
  <c r="W95" i="13" s="1"/>
  <c r="AU94" i="13"/>
  <c r="AQ94" i="13"/>
  <c r="AB94" i="13" s="1"/>
  <c r="AJ94" i="13"/>
  <c r="AA94" i="13"/>
  <c r="Z94" i="13"/>
  <c r="K94" i="13"/>
  <c r="D94" i="13"/>
  <c r="AU93" i="13"/>
  <c r="AQ93" i="13"/>
  <c r="AB93" i="13" s="1"/>
  <c r="AJ93" i="13"/>
  <c r="AA93" i="13"/>
  <c r="Z93" i="13"/>
  <c r="K93" i="13"/>
  <c r="D93" i="13"/>
  <c r="S93" i="13" s="1"/>
  <c r="W93" i="13" s="1"/>
  <c r="AU92" i="13"/>
  <c r="AQ92" i="13"/>
  <c r="AB92" i="13" s="1"/>
  <c r="AJ92" i="13"/>
  <c r="AA92" i="13"/>
  <c r="Z92" i="13"/>
  <c r="K92" i="13"/>
  <c r="D92" i="13"/>
  <c r="S92" i="13" s="1"/>
  <c r="AQ79" i="13"/>
  <c r="AB79" i="13" s="1"/>
  <c r="AQ78" i="13"/>
  <c r="AB78" i="13" s="1"/>
  <c r="AQ77" i="13"/>
  <c r="AB77" i="13" s="1"/>
  <c r="AU79" i="13"/>
  <c r="AJ79" i="13"/>
  <c r="AA79" i="13"/>
  <c r="AD79" i="13" s="1"/>
  <c r="Z79" i="13"/>
  <c r="K79" i="13"/>
  <c r="D79" i="13"/>
  <c r="R79" i="13" s="1"/>
  <c r="AU78" i="13"/>
  <c r="AZ78" i="13" s="1"/>
  <c r="AJ78" i="13"/>
  <c r="AA78" i="13"/>
  <c r="AD78" i="13" s="1"/>
  <c r="Z78" i="13"/>
  <c r="K78" i="13"/>
  <c r="D78" i="13"/>
  <c r="S78" i="13" s="1"/>
  <c r="AU77" i="13"/>
  <c r="AJ77" i="13"/>
  <c r="AA77" i="13"/>
  <c r="AD77" i="13" s="1"/>
  <c r="Z77" i="13"/>
  <c r="K77" i="13"/>
  <c r="D77" i="13"/>
  <c r="R77" i="13" s="1"/>
  <c r="AU76" i="13"/>
  <c r="AQ76" i="13"/>
  <c r="AB76" i="13" s="1"/>
  <c r="AJ76" i="13"/>
  <c r="AA76" i="13"/>
  <c r="AD76" i="13" s="1"/>
  <c r="Z76" i="13"/>
  <c r="K76" i="13"/>
  <c r="D76" i="13"/>
  <c r="S76" i="13" s="1"/>
  <c r="U34" i="13"/>
  <c r="AQ34" i="13"/>
  <c r="AB34" i="13" s="1"/>
  <c r="AU34" i="13"/>
  <c r="AJ34" i="13"/>
  <c r="AA34" i="13"/>
  <c r="AD34" i="13" s="1"/>
  <c r="Z34" i="13"/>
  <c r="K34" i="13"/>
  <c r="D34" i="13"/>
  <c r="AY109" i="13" l="1"/>
  <c r="BB109" i="13" s="1"/>
  <c r="AZ34" i="13"/>
  <c r="AO109" i="13"/>
  <c r="AK109" i="13"/>
  <c r="AM109" i="13" s="1"/>
  <c r="AL109" i="13"/>
  <c r="AE64" i="13"/>
  <c r="AL64" i="13" s="1"/>
  <c r="AE65" i="13"/>
  <c r="AK65" i="13" s="1"/>
  <c r="AM65" i="13" s="1"/>
  <c r="L65" i="13"/>
  <c r="M65" i="13" s="1"/>
  <c r="Q65" i="13" s="1"/>
  <c r="AT65" i="13" s="1"/>
  <c r="L64" i="13"/>
  <c r="M64" i="13" s="1"/>
  <c r="Q64" i="13" s="1"/>
  <c r="AT64" i="13" s="1"/>
  <c r="AC103" i="13"/>
  <c r="AE103" i="13" s="1"/>
  <c r="AL103" i="13" s="1"/>
  <c r="W65" i="13"/>
  <c r="AX65" i="13"/>
  <c r="AY65" i="13"/>
  <c r="BB65" i="13" s="1"/>
  <c r="AX64" i="13"/>
  <c r="AY64" i="13"/>
  <c r="BB64" i="13" s="1"/>
  <c r="W64" i="13"/>
  <c r="K114" i="13"/>
  <c r="M114" i="13" s="1"/>
  <c r="AB114" i="13"/>
  <c r="AC114" i="13" s="1"/>
  <c r="AE114" i="13" s="1"/>
  <c r="AK114" i="13" s="1"/>
  <c r="AM114" i="13" s="1"/>
  <c r="AV115" i="13"/>
  <c r="M115" i="13"/>
  <c r="AC115" i="13"/>
  <c r="AD115" i="13"/>
  <c r="BA115" i="13" s="1"/>
  <c r="R70" i="13"/>
  <c r="AE70" i="13"/>
  <c r="AL70" i="13" s="1"/>
  <c r="Q70" i="13"/>
  <c r="N70" i="13"/>
  <c r="AX70" i="13"/>
  <c r="AY70" i="13"/>
  <c r="BB70" i="13" s="1"/>
  <c r="BB59" i="13"/>
  <c r="AX59" i="13"/>
  <c r="M102" i="13"/>
  <c r="AX106" i="13"/>
  <c r="M106" i="13"/>
  <c r="AC106" i="13"/>
  <c r="AD106" i="13"/>
  <c r="BA106" i="13" s="1"/>
  <c r="BB106" i="13" s="1"/>
  <c r="AE104" i="13"/>
  <c r="AK104" i="13" s="1"/>
  <c r="AM104" i="13" s="1"/>
  <c r="AY102" i="13"/>
  <c r="AV107" i="13"/>
  <c r="M107" i="13"/>
  <c r="Q107" i="13" s="1"/>
  <c r="AD105" i="13"/>
  <c r="BA105" i="13" s="1"/>
  <c r="AC105" i="13"/>
  <c r="W103" i="13"/>
  <c r="AE108" i="13"/>
  <c r="M103" i="13"/>
  <c r="Q103" i="13" s="1"/>
  <c r="AV103" i="13"/>
  <c r="AV108" i="13"/>
  <c r="M108" i="13"/>
  <c r="Q108" i="13" s="1"/>
  <c r="W107" i="13"/>
  <c r="AL107" i="13"/>
  <c r="AO107" i="13"/>
  <c r="AK107" i="13"/>
  <c r="AM107" i="13" s="1"/>
  <c r="M104" i="13"/>
  <c r="Q104" i="13" s="1"/>
  <c r="AV104" i="13"/>
  <c r="AV105" i="13"/>
  <c r="M105" i="13"/>
  <c r="Q105" i="13" s="1"/>
  <c r="R34" i="13"/>
  <c r="AZ77" i="13"/>
  <c r="AZ79" i="13"/>
  <c r="AZ94" i="13"/>
  <c r="AZ98" i="13"/>
  <c r="L97" i="13"/>
  <c r="M97" i="13" s="1"/>
  <c r="Q97" i="13" s="1"/>
  <c r="L100" i="13"/>
  <c r="M100" i="13" s="1"/>
  <c r="L93" i="13"/>
  <c r="M93" i="13" s="1"/>
  <c r="Q93" i="13" s="1"/>
  <c r="L101" i="13"/>
  <c r="AN359" i="13"/>
  <c r="AO59" i="13"/>
  <c r="AK59" i="13"/>
  <c r="AM59" i="13" s="1"/>
  <c r="AL59" i="13"/>
  <c r="AL58" i="13"/>
  <c r="AO58" i="13"/>
  <c r="AK58" i="13"/>
  <c r="AM58" i="13" s="1"/>
  <c r="AZ97" i="13"/>
  <c r="K58" i="13"/>
  <c r="AA351" i="13"/>
  <c r="AD351" i="13" s="1"/>
  <c r="BA351" i="13" s="1"/>
  <c r="K351" i="13"/>
  <c r="AV351" i="13" s="1"/>
  <c r="S358" i="13"/>
  <c r="W358" i="13" s="1"/>
  <c r="BA350" i="13"/>
  <c r="AN352" i="13"/>
  <c r="AN356" i="13"/>
  <c r="AN354" i="13"/>
  <c r="S350" i="13"/>
  <c r="W350" i="13" s="1"/>
  <c r="S355" i="13"/>
  <c r="W355" i="13" s="1"/>
  <c r="AN357" i="13"/>
  <c r="AN351" i="13"/>
  <c r="AN353" i="13"/>
  <c r="AN360" i="13"/>
  <c r="AN355" i="13"/>
  <c r="S357" i="13"/>
  <c r="W357" i="13" s="1"/>
  <c r="AN358" i="13"/>
  <c r="R356" i="13"/>
  <c r="S361" i="13"/>
  <c r="W361" i="13" s="1"/>
  <c r="S360" i="13"/>
  <c r="W360" i="13" s="1"/>
  <c r="S359" i="13"/>
  <c r="W359" i="13" s="1"/>
  <c r="S354" i="13"/>
  <c r="W354" i="13" s="1"/>
  <c r="S353" i="13"/>
  <c r="W353" i="13" s="1"/>
  <c r="S352" i="13"/>
  <c r="W352" i="13" s="1"/>
  <c r="R349" i="13"/>
  <c r="AN349" i="13"/>
  <c r="S349" i="13"/>
  <c r="K350" i="13"/>
  <c r="AN350" i="13"/>
  <c r="K349" i="13"/>
  <c r="AD349" i="13"/>
  <c r="BA349" i="13" s="1"/>
  <c r="S351" i="13"/>
  <c r="K352" i="13"/>
  <c r="AA352" i="13"/>
  <c r="K354" i="13"/>
  <c r="AA354" i="13"/>
  <c r="K357" i="13"/>
  <c r="AA357" i="13"/>
  <c r="K359" i="13"/>
  <c r="AA359" i="13"/>
  <c r="K360" i="13"/>
  <c r="AA360" i="13"/>
  <c r="AA361" i="13"/>
  <c r="AN361" i="13"/>
  <c r="AB349" i="13"/>
  <c r="AC349" i="13" s="1"/>
  <c r="AB350" i="13"/>
  <c r="AC350" i="13" s="1"/>
  <c r="AE350" i="13" s="1"/>
  <c r="AB352" i="13"/>
  <c r="AB354" i="13"/>
  <c r="AB357" i="13"/>
  <c r="AB359" i="13"/>
  <c r="AB360" i="13"/>
  <c r="K353" i="13"/>
  <c r="AA353" i="13"/>
  <c r="K355" i="13"/>
  <c r="AA355" i="13"/>
  <c r="K356" i="13"/>
  <c r="AA356" i="13"/>
  <c r="K358" i="13"/>
  <c r="AA358" i="13"/>
  <c r="K361" i="13"/>
  <c r="AZ93" i="13"/>
  <c r="AZ101" i="13"/>
  <c r="AZ76" i="13"/>
  <c r="AZ92" i="13"/>
  <c r="AZ96" i="13"/>
  <c r="AZ100" i="13"/>
  <c r="AZ95" i="13"/>
  <c r="AZ99" i="13"/>
  <c r="BA76" i="13"/>
  <c r="AN76" i="13"/>
  <c r="AN99" i="13"/>
  <c r="AC98" i="13"/>
  <c r="AN96" i="13"/>
  <c r="AV99" i="13"/>
  <c r="AX99" i="13" s="1"/>
  <c r="AN95" i="13"/>
  <c r="AN93" i="13"/>
  <c r="AN94" i="13"/>
  <c r="AC94" i="13"/>
  <c r="AV96" i="13"/>
  <c r="L96" i="13"/>
  <c r="AN97" i="13"/>
  <c r="AN98" i="13"/>
  <c r="AV100" i="13"/>
  <c r="AX100" i="13" s="1"/>
  <c r="AN101" i="13"/>
  <c r="S96" i="13"/>
  <c r="W96" i="13" s="1"/>
  <c r="S94" i="13"/>
  <c r="L95" i="13"/>
  <c r="M95" i="13" s="1"/>
  <c r="Q95" i="13" s="1"/>
  <c r="AC97" i="13"/>
  <c r="AC100" i="13"/>
  <c r="S98" i="13"/>
  <c r="W100" i="13"/>
  <c r="AC93" i="13"/>
  <c r="AV95" i="13"/>
  <c r="AC96" i="13"/>
  <c r="L99" i="13"/>
  <c r="AN100" i="13"/>
  <c r="W101" i="13"/>
  <c r="AV94" i="13"/>
  <c r="AV93" i="13"/>
  <c r="L94" i="13"/>
  <c r="AV97" i="13"/>
  <c r="L98" i="13"/>
  <c r="M98" i="13" s="1"/>
  <c r="Q98" i="13" s="1"/>
  <c r="AC101" i="13"/>
  <c r="AV101" i="13"/>
  <c r="AV98" i="13"/>
  <c r="AC95" i="13"/>
  <c r="AC99" i="13"/>
  <c r="AV92" i="13"/>
  <c r="L92" i="13"/>
  <c r="M92" i="13" s="1"/>
  <c r="Q92" i="13" s="1"/>
  <c r="AV78" i="13"/>
  <c r="AX78" i="13" s="1"/>
  <c r="L79" i="13"/>
  <c r="AN77" i="13"/>
  <c r="L34" i="13"/>
  <c r="M34" i="13" s="1"/>
  <c r="AV76" i="13"/>
  <c r="AY76" i="13" s="1"/>
  <c r="AN92" i="13"/>
  <c r="W92" i="13"/>
  <c r="AC92" i="13"/>
  <c r="BA78" i="13"/>
  <c r="AN78" i="13"/>
  <c r="AN79" i="13"/>
  <c r="BA79" i="13"/>
  <c r="BA77" i="13"/>
  <c r="AC77" i="13"/>
  <c r="AE77" i="13" s="1"/>
  <c r="AL77" i="13" s="1"/>
  <c r="AV79" i="13"/>
  <c r="AX79" i="13" s="1"/>
  <c r="R78" i="13"/>
  <c r="S77" i="13"/>
  <c r="W77" i="13" s="1"/>
  <c r="S79" i="13"/>
  <c r="W79" i="13" s="1"/>
  <c r="L78" i="13"/>
  <c r="M78" i="13" s="1"/>
  <c r="L76" i="13"/>
  <c r="M76" i="13" s="1"/>
  <c r="AC76" i="13"/>
  <c r="AE76" i="13" s="1"/>
  <c r="AL76" i="13" s="1"/>
  <c r="W76" i="13"/>
  <c r="W78" i="13"/>
  <c r="AV77" i="13"/>
  <c r="L77" i="13"/>
  <c r="M77" i="13" s="1"/>
  <c r="AC78" i="13"/>
  <c r="AE78" i="13" s="1"/>
  <c r="AC79" i="13"/>
  <c r="AE79" i="13" s="1"/>
  <c r="R76" i="13"/>
  <c r="BA34" i="13"/>
  <c r="AN34" i="13"/>
  <c r="AV34" i="13"/>
  <c r="AC34" i="13"/>
  <c r="AE34" i="13" s="1"/>
  <c r="S34" i="13"/>
  <c r="Q106" i="13" l="1"/>
  <c r="AT106" i="13" s="1"/>
  <c r="Q102" i="13"/>
  <c r="AT102" i="13" s="1"/>
  <c r="AK64" i="13"/>
  <c r="AM64" i="13" s="1"/>
  <c r="AO64" i="13"/>
  <c r="AL65" i="13"/>
  <c r="AO65" i="13"/>
  <c r="AL114" i="13"/>
  <c r="AV114" i="13"/>
  <c r="AX114" i="13" s="1"/>
  <c r="AK103" i="13"/>
  <c r="AM103" i="13" s="1"/>
  <c r="AO103" i="13"/>
  <c r="AO114" i="13"/>
  <c r="AE115" i="13"/>
  <c r="AL115" i="13" s="1"/>
  <c r="N114" i="13"/>
  <c r="Q114" i="13" s="1"/>
  <c r="AT114" i="13" s="1"/>
  <c r="N115" i="13"/>
  <c r="AX115" i="13"/>
  <c r="AY115" i="13"/>
  <c r="BB115" i="13" s="1"/>
  <c r="AK70" i="13"/>
  <c r="AM70" i="13" s="1"/>
  <c r="AO70" i="13"/>
  <c r="AT70" i="13"/>
  <c r="AL104" i="13"/>
  <c r="AY100" i="13"/>
  <c r="AO104" i="13"/>
  <c r="AE106" i="13"/>
  <c r="AK106" i="13" s="1"/>
  <c r="AM106" i="13" s="1"/>
  <c r="AY103" i="13"/>
  <c r="BB103" i="13" s="1"/>
  <c r="AX103" i="13"/>
  <c r="AT104" i="13"/>
  <c r="AT103" i="13"/>
  <c r="AE105" i="13"/>
  <c r="AT107" i="13"/>
  <c r="AT108" i="13"/>
  <c r="AL108" i="13"/>
  <c r="AO108" i="13"/>
  <c r="AK108" i="13"/>
  <c r="AM108" i="13" s="1"/>
  <c r="AY107" i="13"/>
  <c r="BB107" i="13" s="1"/>
  <c r="AX107" i="13"/>
  <c r="AY104" i="13"/>
  <c r="BB104" i="13" s="1"/>
  <c r="AX104" i="13"/>
  <c r="AT105" i="13"/>
  <c r="AX105" i="13"/>
  <c r="AY105" i="13"/>
  <c r="BB105" i="13" s="1"/>
  <c r="AY108" i="13"/>
  <c r="BB108" i="13" s="1"/>
  <c r="AX108" i="13"/>
  <c r="L58" i="13"/>
  <c r="M58" i="13" s="1"/>
  <c r="O58" i="13" s="1"/>
  <c r="AV58" i="13"/>
  <c r="AT98" i="13"/>
  <c r="M94" i="13"/>
  <c r="AC351" i="13"/>
  <c r="AE351" i="13" s="1"/>
  <c r="N100" i="13"/>
  <c r="AT100" i="13" s="1"/>
  <c r="Q34" i="13"/>
  <c r="AT95" i="13"/>
  <c r="L351" i="13"/>
  <c r="M351" i="13" s="1"/>
  <c r="Q351" i="13" s="1"/>
  <c r="AT351" i="13" s="1"/>
  <c r="M96" i="13"/>
  <c r="M101" i="13"/>
  <c r="N101" i="13" s="1"/>
  <c r="M79" i="13"/>
  <c r="N79" i="13" s="1"/>
  <c r="M99" i="13"/>
  <c r="AT97" i="13"/>
  <c r="AE349" i="13"/>
  <c r="AL349" i="13" s="1"/>
  <c r="AO350" i="13"/>
  <c r="AK350" i="13"/>
  <c r="AM350" i="13" s="1"/>
  <c r="AL350" i="13"/>
  <c r="AV361" i="13"/>
  <c r="L361" i="13"/>
  <c r="M361" i="13" s="1"/>
  <c r="AV353" i="13"/>
  <c r="L353" i="13"/>
  <c r="M353" i="13" s="1"/>
  <c r="AC361" i="13"/>
  <c r="AD361" i="13"/>
  <c r="BA361" i="13" s="1"/>
  <c r="AV359" i="13"/>
  <c r="L359" i="13"/>
  <c r="M359" i="13" s="1"/>
  <c r="AV354" i="13"/>
  <c r="L354" i="13"/>
  <c r="M354" i="13" s="1"/>
  <c r="AX351" i="13"/>
  <c r="AY351" i="13"/>
  <c r="BB351" i="13" s="1"/>
  <c r="AV349" i="13"/>
  <c r="L349" i="13"/>
  <c r="M349" i="13" s="1"/>
  <c r="W349" i="13"/>
  <c r="AC355" i="13"/>
  <c r="AD355" i="13"/>
  <c r="BA355" i="13" s="1"/>
  <c r="AC360" i="13"/>
  <c r="AD360" i="13"/>
  <c r="BA360" i="13" s="1"/>
  <c r="AC357" i="13"/>
  <c r="AD357" i="13"/>
  <c r="BA357" i="13" s="1"/>
  <c r="AC352" i="13"/>
  <c r="AD352" i="13"/>
  <c r="BA352" i="13" s="1"/>
  <c r="AV358" i="13"/>
  <c r="L358" i="13"/>
  <c r="M358" i="13" s="1"/>
  <c r="AV355" i="13"/>
  <c r="L355" i="13"/>
  <c r="M355" i="13" s="1"/>
  <c r="AV360" i="13"/>
  <c r="L360" i="13"/>
  <c r="M360" i="13" s="1"/>
  <c r="AV357" i="13"/>
  <c r="L357" i="13"/>
  <c r="M357" i="13" s="1"/>
  <c r="AV352" i="13"/>
  <c r="L352" i="13"/>
  <c r="M352" i="13" s="1"/>
  <c r="W351" i="13"/>
  <c r="AV350" i="13"/>
  <c r="L350" i="13"/>
  <c r="M350" i="13" s="1"/>
  <c r="AV356" i="13"/>
  <c r="L356" i="13"/>
  <c r="M356" i="13" s="1"/>
  <c r="AC358" i="13"/>
  <c r="AD358" i="13"/>
  <c r="BA358" i="13" s="1"/>
  <c r="AC356" i="13"/>
  <c r="AD356" i="13"/>
  <c r="BA356" i="13" s="1"/>
  <c r="AC353" i="13"/>
  <c r="AD353" i="13"/>
  <c r="BA353" i="13" s="1"/>
  <c r="AC359" i="13"/>
  <c r="AD359" i="13"/>
  <c r="BA359" i="13" s="1"/>
  <c r="AC354" i="13"/>
  <c r="AD354" i="13"/>
  <c r="BA354" i="13" s="1"/>
  <c r="BB76" i="13"/>
  <c r="AY99" i="13"/>
  <c r="AX76" i="13"/>
  <c r="AT93" i="13"/>
  <c r="AY96" i="13"/>
  <c r="AX96" i="13"/>
  <c r="W94" i="13"/>
  <c r="AY98" i="13"/>
  <c r="AX98" i="13"/>
  <c r="AX93" i="13"/>
  <c r="AY93" i="13"/>
  <c r="AX97" i="13"/>
  <c r="AY97" i="13"/>
  <c r="AX101" i="13"/>
  <c r="AY101" i="13"/>
  <c r="W98" i="13"/>
  <c r="AY94" i="13"/>
  <c r="AX94" i="13"/>
  <c r="AY95" i="13"/>
  <c r="AX95" i="13"/>
  <c r="AT92" i="13"/>
  <c r="AY78" i="13"/>
  <c r="BB78" i="13" s="1"/>
  <c r="N76" i="13"/>
  <c r="AK76" i="13"/>
  <c r="AM76" i="13" s="1"/>
  <c r="AX92" i="13"/>
  <c r="AY92" i="13"/>
  <c r="N78" i="13"/>
  <c r="AY79" i="13"/>
  <c r="BB79" i="13" s="1"/>
  <c r="AK77" i="13"/>
  <c r="AM77" i="13" s="1"/>
  <c r="AO77" i="13"/>
  <c r="AO76" i="13"/>
  <c r="N77" i="13"/>
  <c r="AY77" i="13"/>
  <c r="BB77" i="13" s="1"/>
  <c r="AX77" i="13"/>
  <c r="AL79" i="13"/>
  <c r="AO79" i="13"/>
  <c r="AK79" i="13"/>
  <c r="AM79" i="13" s="1"/>
  <c r="AO78" i="13"/>
  <c r="AK78" i="13"/>
  <c r="AM78" i="13" s="1"/>
  <c r="AL78" i="13"/>
  <c r="AL34" i="13"/>
  <c r="AO34" i="13"/>
  <c r="AK34" i="13"/>
  <c r="AM34" i="13" s="1"/>
  <c r="W34" i="13"/>
  <c r="AX34" i="13"/>
  <c r="AY34" i="13"/>
  <c r="BB34" i="13" s="1"/>
  <c r="Q96" i="13" l="1"/>
  <c r="AT96" i="13" s="1"/>
  <c r="Q99" i="13"/>
  <c r="AT99" i="13" s="1"/>
  <c r="Q94" i="13"/>
  <c r="AT94" i="13" s="1"/>
  <c r="AY114" i="13"/>
  <c r="BB114" i="13" s="1"/>
  <c r="AO115" i="13"/>
  <c r="AK115" i="13"/>
  <c r="AM115" i="13" s="1"/>
  <c r="Q115" i="13"/>
  <c r="AT115" i="13" s="1"/>
  <c r="AL106" i="13"/>
  <c r="AO106" i="13"/>
  <c r="AK105" i="13"/>
  <c r="AM105" i="13" s="1"/>
  <c r="AL105" i="13"/>
  <c r="AO105" i="13"/>
  <c r="AT101" i="13"/>
  <c r="AX58" i="13"/>
  <c r="AY58" i="13"/>
  <c r="BB58" i="13" s="1"/>
  <c r="AE358" i="13"/>
  <c r="AO358" i="13" s="1"/>
  <c r="AE353" i="13"/>
  <c r="AK353" i="13" s="1"/>
  <c r="AM353" i="13" s="1"/>
  <c r="AE361" i="13"/>
  <c r="AL361" i="13" s="1"/>
  <c r="AO349" i="13"/>
  <c r="AK349" i="13"/>
  <c r="AM349" i="13" s="1"/>
  <c r="AE357" i="13"/>
  <c r="AO357" i="13" s="1"/>
  <c r="AE355" i="13"/>
  <c r="AK355" i="13" s="1"/>
  <c r="AM355" i="13" s="1"/>
  <c r="AE354" i="13"/>
  <c r="AO354" i="13" s="1"/>
  <c r="Q350" i="13"/>
  <c r="AT350" i="13" s="1"/>
  <c r="Q353" i="13"/>
  <c r="AT353" i="13" s="1"/>
  <c r="Q352" i="13"/>
  <c r="AT352" i="13" s="1"/>
  <c r="Q357" i="13"/>
  <c r="AT357" i="13" s="1"/>
  <c r="Q358" i="13"/>
  <c r="AT358" i="13" s="1"/>
  <c r="Q349" i="13"/>
  <c r="AT349" i="13" s="1"/>
  <c r="Q354" i="13"/>
  <c r="AT354" i="13" s="1"/>
  <c r="Q356" i="13"/>
  <c r="AT356" i="13" s="1"/>
  <c r="Q361" i="13"/>
  <c r="AT361" i="13" s="1"/>
  <c r="AE352" i="13"/>
  <c r="AE360" i="13"/>
  <c r="AX349" i="13"/>
  <c r="AY349" i="13"/>
  <c r="BB349" i="13" s="1"/>
  <c r="AX359" i="13"/>
  <c r="AY359" i="13"/>
  <c r="BB359" i="13" s="1"/>
  <c r="AX361" i="13"/>
  <c r="AY361" i="13"/>
  <c r="BB361" i="13" s="1"/>
  <c r="AE359" i="13"/>
  <c r="AE356" i="13"/>
  <c r="AX350" i="13"/>
  <c r="AY350" i="13"/>
  <c r="BB350" i="13" s="1"/>
  <c r="AX357" i="13"/>
  <c r="AY357" i="13"/>
  <c r="BB357" i="13" s="1"/>
  <c r="AO351" i="13"/>
  <c r="AK351" i="13"/>
  <c r="AM351" i="13" s="1"/>
  <c r="AL351" i="13"/>
  <c r="AX354" i="13"/>
  <c r="AY354" i="13"/>
  <c r="BB354" i="13" s="1"/>
  <c r="AX353" i="13"/>
  <c r="AY353" i="13"/>
  <c r="BB353" i="13" s="1"/>
  <c r="Q360" i="13"/>
  <c r="AT360" i="13" s="1"/>
  <c r="AX355" i="13"/>
  <c r="AY355" i="13"/>
  <c r="BB355" i="13" s="1"/>
  <c r="Q359" i="13"/>
  <c r="AT359" i="13" s="1"/>
  <c r="AX360" i="13"/>
  <c r="AY360" i="13"/>
  <c r="BB360" i="13" s="1"/>
  <c r="AX356" i="13"/>
  <c r="AY356" i="13"/>
  <c r="BB356" i="13" s="1"/>
  <c r="AX352" i="13"/>
  <c r="AY352" i="13"/>
  <c r="BB352" i="13" s="1"/>
  <c r="Q355" i="13"/>
  <c r="AT355" i="13" s="1"/>
  <c r="AX358" i="13"/>
  <c r="AY358" i="13"/>
  <c r="BB358" i="13" s="1"/>
  <c r="AT34" i="13"/>
  <c r="AO361" i="13" l="1"/>
  <c r="AK361" i="13"/>
  <c r="AM361" i="13" s="1"/>
  <c r="AL358" i="13"/>
  <c r="AK358" i="13"/>
  <c r="AM358" i="13" s="1"/>
  <c r="AL354" i="13"/>
  <c r="AO353" i="13"/>
  <c r="AL357" i="13"/>
  <c r="AK354" i="13"/>
  <c r="AM354" i="13" s="1"/>
  <c r="AL353" i="13"/>
  <c r="AO355" i="13"/>
  <c r="AK357" i="13"/>
  <c r="AM357" i="13" s="1"/>
  <c r="AL355" i="13"/>
  <c r="AO360" i="13"/>
  <c r="AK360" i="13"/>
  <c r="AM360" i="13" s="1"/>
  <c r="AL360" i="13"/>
  <c r="AO359" i="13"/>
  <c r="AK359" i="13"/>
  <c r="AM359" i="13" s="1"/>
  <c r="AL359" i="13"/>
  <c r="AO352" i="13"/>
  <c r="AK352" i="13"/>
  <c r="AM352" i="13" s="1"/>
  <c r="AL352" i="13"/>
  <c r="AO356" i="13"/>
  <c r="AK356" i="13"/>
  <c r="AM356" i="13" s="1"/>
  <c r="AL356" i="13"/>
  <c r="D135" i="3"/>
  <c r="D137" i="3" s="1"/>
  <c r="C23" i="3"/>
  <c r="U252" i="13" l="1"/>
  <c r="U348" i="13"/>
  <c r="U347" i="13"/>
  <c r="U346" i="13"/>
  <c r="U251" i="13"/>
  <c r="U250" i="13"/>
  <c r="U249" i="13"/>
  <c r="U248" i="13"/>
  <c r="U247" i="13"/>
  <c r="U246" i="13"/>
  <c r="U245" i="13"/>
  <c r="U244" i="13"/>
  <c r="U243" i="13"/>
  <c r="U242" i="13"/>
  <c r="U241" i="13"/>
  <c r="U240" i="13"/>
  <c r="U239" i="13"/>
  <c r="U238" i="13"/>
  <c r="U237" i="13"/>
  <c r="U236" i="13"/>
  <c r="U235" i="13"/>
  <c r="U234" i="13"/>
  <c r="U233" i="13"/>
  <c r="U232" i="13"/>
  <c r="U231" i="13"/>
  <c r="U230" i="13"/>
  <c r="U229" i="13"/>
  <c r="U228" i="13"/>
  <c r="U227" i="13"/>
  <c r="U226" i="13"/>
  <c r="U225" i="13"/>
  <c r="U224" i="13"/>
  <c r="U85" i="13"/>
  <c r="U84" i="13"/>
  <c r="U83" i="13"/>
  <c r="U82" i="13"/>
  <c r="U81" i="13"/>
  <c r="U80" i="13"/>
  <c r="J81" i="13"/>
  <c r="AB81" i="13" s="1"/>
  <c r="J82" i="13"/>
  <c r="AB82" i="13" s="1"/>
  <c r="J83" i="13"/>
  <c r="AB83" i="13" s="1"/>
  <c r="J84" i="13"/>
  <c r="AB84" i="13" s="1"/>
  <c r="J85" i="13"/>
  <c r="AB85" i="13" s="1"/>
  <c r="J224" i="13"/>
  <c r="AB224" i="13" s="1"/>
  <c r="J225" i="13"/>
  <c r="AB225" i="13" s="1"/>
  <c r="J226" i="13"/>
  <c r="AB226" i="13" s="1"/>
  <c r="J227" i="13"/>
  <c r="AB227" i="13" s="1"/>
  <c r="J228" i="13"/>
  <c r="AB228" i="13" s="1"/>
  <c r="J229" i="13"/>
  <c r="AB229" i="13" s="1"/>
  <c r="J230" i="13"/>
  <c r="AB230" i="13" s="1"/>
  <c r="J231" i="13"/>
  <c r="AB231" i="13" s="1"/>
  <c r="J232" i="13"/>
  <c r="AB232" i="13" s="1"/>
  <c r="J233" i="13"/>
  <c r="AB233" i="13" s="1"/>
  <c r="J234" i="13"/>
  <c r="AB234" i="13" s="1"/>
  <c r="J235" i="13"/>
  <c r="AB235" i="13" s="1"/>
  <c r="J236" i="13"/>
  <c r="AB236" i="13" s="1"/>
  <c r="J237" i="13"/>
  <c r="AB237" i="13" s="1"/>
  <c r="J238" i="13"/>
  <c r="AB238" i="13" s="1"/>
  <c r="J239" i="13"/>
  <c r="AB239" i="13" s="1"/>
  <c r="J240" i="13"/>
  <c r="AB240" i="13" s="1"/>
  <c r="J241" i="13"/>
  <c r="AB241" i="13" s="1"/>
  <c r="J242" i="13"/>
  <c r="AB242" i="13" s="1"/>
  <c r="J243" i="13"/>
  <c r="AB243" i="13" s="1"/>
  <c r="J244" i="13"/>
  <c r="AB244" i="13" s="1"/>
  <c r="J245" i="13"/>
  <c r="AB245" i="13" s="1"/>
  <c r="J246" i="13"/>
  <c r="AB246" i="13" s="1"/>
  <c r="J247" i="13"/>
  <c r="AB247" i="13" s="1"/>
  <c r="J248" i="13"/>
  <c r="AB248" i="13" s="1"/>
  <c r="J249" i="13"/>
  <c r="AB249" i="13" s="1"/>
  <c r="J250" i="13"/>
  <c r="AB250" i="13" s="1"/>
  <c r="J251" i="13"/>
  <c r="AB251" i="13" s="1"/>
  <c r="J252" i="13"/>
  <c r="AB252" i="13" s="1"/>
  <c r="J346" i="13"/>
  <c r="AB346" i="13" s="1"/>
  <c r="J347" i="13"/>
  <c r="AB347" i="13" s="1"/>
  <c r="J348" i="13"/>
  <c r="AB348" i="13" s="1"/>
  <c r="AB80" i="13"/>
  <c r="AQ57" i="13"/>
  <c r="AB57" i="13" s="1"/>
  <c r="U52" i="13"/>
  <c r="U51" i="13"/>
  <c r="U50" i="13"/>
  <c r="U49" i="13"/>
  <c r="U48" i="13"/>
  <c r="U345" i="13"/>
  <c r="U344" i="13"/>
  <c r="U343" i="13"/>
  <c r="U342" i="13"/>
  <c r="U341" i="13"/>
  <c r="U218" i="13"/>
  <c r="U217" i="13"/>
  <c r="U216" i="13"/>
  <c r="U215" i="13"/>
  <c r="U214" i="13"/>
  <c r="U213" i="13"/>
  <c r="U212" i="13"/>
  <c r="U211" i="13"/>
  <c r="U90" i="13"/>
  <c r="U63" i="13"/>
  <c r="U62" i="13"/>
  <c r="U61" i="13"/>
  <c r="U60" i="13"/>
  <c r="U340" i="13" l="1"/>
  <c r="U339" i="13"/>
  <c r="U338" i="13"/>
  <c r="U337" i="13"/>
  <c r="U336" i="13"/>
  <c r="U335" i="13"/>
  <c r="U334" i="13"/>
  <c r="U333" i="13"/>
  <c r="U332" i="13"/>
  <c r="U331" i="13"/>
  <c r="U210" i="13"/>
  <c r="U209" i="13"/>
  <c r="U208" i="13"/>
  <c r="U207" i="13"/>
  <c r="U206" i="13"/>
  <c r="U205" i="13"/>
  <c r="U204" i="13"/>
  <c r="U203" i="13"/>
  <c r="U47" i="13"/>
  <c r="U46" i="13"/>
  <c r="U45" i="13"/>
  <c r="AJ45" i="13" l="1"/>
  <c r="AJ62" i="13"/>
  <c r="AJ60" i="13" l="1"/>
  <c r="J345" i="13"/>
  <c r="AB345" i="13" s="1"/>
  <c r="J344" i="13"/>
  <c r="AB344" i="13" s="1"/>
  <c r="J343" i="13"/>
  <c r="AB343" i="13" s="1"/>
  <c r="J342" i="13"/>
  <c r="AB342" i="13" s="1"/>
  <c r="J341" i="13"/>
  <c r="AB341" i="13" s="1"/>
  <c r="J340" i="13"/>
  <c r="AB340" i="13" s="1"/>
  <c r="J339" i="13"/>
  <c r="AB339" i="13" s="1"/>
  <c r="J338" i="13"/>
  <c r="AB338" i="13" s="1"/>
  <c r="J337" i="13"/>
  <c r="AB337" i="13" s="1"/>
  <c r="J336" i="13"/>
  <c r="AB336" i="13" s="1"/>
  <c r="J335" i="13"/>
  <c r="AB335" i="13" s="1"/>
  <c r="J334" i="13"/>
  <c r="AB334" i="13" s="1"/>
  <c r="J333" i="13"/>
  <c r="AB333" i="13" s="1"/>
  <c r="J332" i="13"/>
  <c r="AB332" i="13" s="1"/>
  <c r="J331" i="13"/>
  <c r="AB331" i="13" s="1"/>
  <c r="J210" i="13"/>
  <c r="AB210" i="13" s="1"/>
  <c r="J209" i="13"/>
  <c r="AB209" i="13" s="1"/>
  <c r="J208" i="13"/>
  <c r="AB208" i="13" s="1"/>
  <c r="J207" i="13"/>
  <c r="AB207" i="13" s="1"/>
  <c r="J206" i="13"/>
  <c r="AB206" i="13" s="1"/>
  <c r="J205" i="13"/>
  <c r="AB205" i="13" s="1"/>
  <c r="J204" i="13"/>
  <c r="AB204" i="13" s="1"/>
  <c r="J203" i="13"/>
  <c r="AB203" i="13" s="1"/>
  <c r="J47" i="13"/>
  <c r="AB47" i="13" s="1"/>
  <c r="J46" i="13"/>
  <c r="AB46" i="13" s="1"/>
  <c r="J45" i="13"/>
  <c r="AB45" i="13" s="1"/>
  <c r="AQ89" i="13"/>
  <c r="AB89" i="13" s="1"/>
  <c r="AQ75" i="13"/>
  <c r="AB75" i="13" s="1"/>
  <c r="AQ74" i="13"/>
  <c r="AB74" i="13" s="1"/>
  <c r="AQ73" i="13"/>
  <c r="AB73" i="13" s="1"/>
  <c r="AQ72" i="13"/>
  <c r="AB72" i="13" s="1"/>
  <c r="AQ71" i="13"/>
  <c r="AB71" i="13" s="1"/>
  <c r="AQ69" i="13"/>
  <c r="AB69" i="13" s="1"/>
  <c r="AQ68" i="13"/>
  <c r="AB68" i="13" s="1"/>
  <c r="AQ67" i="13"/>
  <c r="AB67" i="13" s="1"/>
  <c r="AQ66" i="13"/>
  <c r="AB66" i="13" s="1"/>
  <c r="AQ265" i="13"/>
  <c r="AB265" i="13" s="1"/>
  <c r="AJ80" i="13"/>
  <c r="AJ81" i="13"/>
  <c r="AJ82" i="13"/>
  <c r="AJ83" i="13"/>
  <c r="AJ84" i="13"/>
  <c r="AJ85" i="13"/>
  <c r="AJ90" i="13"/>
  <c r="AJ203" i="13"/>
  <c r="AJ204" i="13"/>
  <c r="AJ205" i="13"/>
  <c r="AJ206" i="13"/>
  <c r="AJ207" i="13"/>
  <c r="AJ208" i="13"/>
  <c r="AJ209" i="13"/>
  <c r="AJ210" i="13"/>
  <c r="AJ211" i="13"/>
  <c r="AJ212" i="13"/>
  <c r="AJ213" i="13"/>
  <c r="AJ214" i="13"/>
  <c r="AJ215" i="13"/>
  <c r="AJ216" i="13"/>
  <c r="AJ217" i="13"/>
  <c r="AJ218" i="13"/>
  <c r="AJ224" i="13"/>
  <c r="AJ225" i="13"/>
  <c r="AJ226" i="13"/>
  <c r="AJ227" i="13"/>
  <c r="AJ228" i="13"/>
  <c r="AJ229" i="13"/>
  <c r="AJ230" i="13"/>
  <c r="AJ231" i="13"/>
  <c r="AJ232" i="13"/>
  <c r="AJ233" i="13"/>
  <c r="AJ234" i="13"/>
  <c r="AJ235" i="13"/>
  <c r="AJ236" i="13"/>
  <c r="AJ237" i="13"/>
  <c r="AJ238" i="13"/>
  <c r="AJ239" i="13"/>
  <c r="AJ240" i="13"/>
  <c r="AJ241" i="13"/>
  <c r="AJ242" i="13"/>
  <c r="AJ243" i="13"/>
  <c r="AJ244" i="13"/>
  <c r="AJ245" i="13"/>
  <c r="AJ246" i="13"/>
  <c r="AJ247" i="13"/>
  <c r="AJ248" i="13"/>
  <c r="AJ249" i="13"/>
  <c r="AJ250" i="13"/>
  <c r="AJ251" i="13"/>
  <c r="AJ252" i="13"/>
  <c r="AJ265" i="13"/>
  <c r="J60" i="13"/>
  <c r="AB60" i="13" s="1"/>
  <c r="AJ57" i="13"/>
  <c r="AQ56" i="13"/>
  <c r="AB56" i="13" s="1"/>
  <c r="AQ55" i="13"/>
  <c r="AB55" i="13" s="1"/>
  <c r="AQ54" i="13"/>
  <c r="AB54" i="13" s="1"/>
  <c r="AQ53" i="13"/>
  <c r="AB53" i="13" s="1"/>
  <c r="J52" i="13" l="1"/>
  <c r="AB52" i="13" s="1"/>
  <c r="J51" i="13"/>
  <c r="AB51" i="13" s="1"/>
  <c r="J50" i="13"/>
  <c r="AB50" i="13" s="1"/>
  <c r="J49" i="13"/>
  <c r="AB49" i="13" s="1"/>
  <c r="J48" i="13"/>
  <c r="AB48" i="13" s="1"/>
  <c r="J63" i="13"/>
  <c r="AB63" i="13" s="1"/>
  <c r="J62" i="13"/>
  <c r="AB62" i="13" s="1"/>
  <c r="J61" i="13"/>
  <c r="AB61" i="13" s="1"/>
  <c r="J218" i="13"/>
  <c r="AB218" i="13" s="1"/>
  <c r="J217" i="13"/>
  <c r="AB217" i="13" s="1"/>
  <c r="J216" i="13"/>
  <c r="AB216" i="13" s="1"/>
  <c r="J215" i="13"/>
  <c r="AB215" i="13" s="1"/>
  <c r="J214" i="13"/>
  <c r="AB214" i="13" s="1"/>
  <c r="J213" i="13"/>
  <c r="AB213" i="13" s="1"/>
  <c r="J212" i="13"/>
  <c r="AB212" i="13" s="1"/>
  <c r="J211" i="13"/>
  <c r="AB211" i="13" s="1"/>
  <c r="J90" i="13"/>
  <c r="AB90" i="13" s="1"/>
  <c r="I345" i="13"/>
  <c r="I344" i="13"/>
  <c r="I343" i="13"/>
  <c r="I342" i="13"/>
  <c r="I341" i="13"/>
  <c r="AU44" i="13"/>
  <c r="AQ44" i="13"/>
  <c r="AB44" i="13" s="1"/>
  <c r="AJ44" i="13"/>
  <c r="AA44" i="13"/>
  <c r="AD44" i="13" s="1"/>
  <c r="Z44" i="13"/>
  <c r="K44" i="13"/>
  <c r="AU43" i="13"/>
  <c r="AQ43" i="13"/>
  <c r="AB43" i="13" s="1"/>
  <c r="AJ43" i="13"/>
  <c r="AA43" i="13"/>
  <c r="AD43" i="13" s="1"/>
  <c r="Z43" i="13"/>
  <c r="K43" i="13"/>
  <c r="AA42" i="13"/>
  <c r="AQ42" i="13"/>
  <c r="AB42" i="13" s="1"/>
  <c r="AQ41" i="13"/>
  <c r="AB41" i="13" s="1"/>
  <c r="AQ40" i="13"/>
  <c r="AB40" i="13" s="1"/>
  <c r="AQ39" i="13"/>
  <c r="AB39" i="13" s="1"/>
  <c r="AQ38" i="13"/>
  <c r="AB38" i="13" s="1"/>
  <c r="AQ36" i="13"/>
  <c r="AB36" i="13" s="1"/>
  <c r="AU41" i="13"/>
  <c r="AJ41" i="13"/>
  <c r="AA41" i="13"/>
  <c r="AD41" i="13" s="1"/>
  <c r="Z41" i="13"/>
  <c r="K41" i="13"/>
  <c r="AU40" i="13"/>
  <c r="AZ40" i="13" s="1"/>
  <c r="AJ40" i="13"/>
  <c r="AA40" i="13"/>
  <c r="Z40" i="13"/>
  <c r="K40" i="13"/>
  <c r="AZ44" i="13" l="1"/>
  <c r="AZ43" i="13"/>
  <c r="AZ41" i="13"/>
  <c r="L40" i="13"/>
  <c r="M40" i="13" s="1"/>
  <c r="O40" i="13" s="1"/>
  <c r="L41" i="13"/>
  <c r="BA43" i="13"/>
  <c r="AN40" i="13"/>
  <c r="BA44" i="13"/>
  <c r="AC40" i="13"/>
  <c r="AN41" i="13"/>
  <c r="AV44" i="13"/>
  <c r="AY44" i="13" s="1"/>
  <c r="AN44" i="13"/>
  <c r="AV41" i="13"/>
  <c r="AX41" i="13" s="1"/>
  <c r="AN43" i="13"/>
  <c r="AC43" i="13"/>
  <c r="AE43" i="13" s="1"/>
  <c r="AV40" i="13"/>
  <c r="AY40" i="13" s="1"/>
  <c r="AD40" i="13"/>
  <c r="BA40" i="13" s="1"/>
  <c r="L44" i="13"/>
  <c r="M44" i="13" s="1"/>
  <c r="AV43" i="13"/>
  <c r="L43" i="13"/>
  <c r="M43" i="13" s="1"/>
  <c r="AC44" i="13"/>
  <c r="AE44" i="13" s="1"/>
  <c r="AC41" i="13"/>
  <c r="AE41" i="13" s="1"/>
  <c r="AO41" i="13" s="1"/>
  <c r="BA41" i="13"/>
  <c r="M41" i="13" l="1"/>
  <c r="N41" i="13" s="1"/>
  <c r="N44" i="13"/>
  <c r="AX44" i="13"/>
  <c r="AL41" i="13"/>
  <c r="AK41" i="13"/>
  <c r="AM41" i="13" s="1"/>
  <c r="AY41" i="13"/>
  <c r="BB41" i="13" s="1"/>
  <c r="AX40" i="13"/>
  <c r="AK43" i="13"/>
  <c r="AM43" i="13" s="1"/>
  <c r="AL43" i="13"/>
  <c r="AO43" i="13"/>
  <c r="BB44" i="13"/>
  <c r="AE40" i="13"/>
  <c r="BB40" i="13"/>
  <c r="N43" i="13"/>
  <c r="AL44" i="13"/>
  <c r="AO44" i="13"/>
  <c r="AK44" i="13"/>
  <c r="AM44" i="13" s="1"/>
  <c r="AY43" i="13"/>
  <c r="BB43" i="13" s="1"/>
  <c r="AX43" i="13"/>
  <c r="AL40" i="13" l="1"/>
  <c r="AO40" i="13"/>
  <c r="AK40" i="13"/>
  <c r="AM40" i="13" s="1"/>
  <c r="AU330" i="13" l="1"/>
  <c r="AJ330" i="13"/>
  <c r="U330" i="13"/>
  <c r="AU329" i="13"/>
  <c r="AJ329" i="13"/>
  <c r="U329" i="13"/>
  <c r="AU328" i="13"/>
  <c r="AJ328" i="13"/>
  <c r="U328" i="13"/>
  <c r="AU327" i="13"/>
  <c r="AJ327" i="13"/>
  <c r="U327" i="13"/>
  <c r="AU326" i="13"/>
  <c r="AJ326" i="13"/>
  <c r="U326" i="13"/>
  <c r="AU325" i="13"/>
  <c r="AJ325" i="13"/>
  <c r="U325" i="13"/>
  <c r="AU324" i="13"/>
  <c r="AJ324" i="13"/>
  <c r="U324" i="13"/>
  <c r="AU323" i="13"/>
  <c r="AJ323" i="13"/>
  <c r="U323" i="13"/>
  <c r="AU322" i="13"/>
  <c r="AJ322" i="13"/>
  <c r="U322" i="13"/>
  <c r="AU321" i="13"/>
  <c r="AJ321" i="13"/>
  <c r="U321" i="13"/>
  <c r="AU320" i="13"/>
  <c r="AJ320" i="13"/>
  <c r="U320" i="13"/>
  <c r="AU319" i="13"/>
  <c r="AJ319" i="13"/>
  <c r="U319" i="13"/>
  <c r="AU318" i="13"/>
  <c r="AJ318" i="13"/>
  <c r="U318" i="13"/>
  <c r="AU317" i="13"/>
  <c r="AJ317" i="13"/>
  <c r="U317" i="13"/>
  <c r="AU316" i="13"/>
  <c r="AJ316" i="13"/>
  <c r="U316" i="13"/>
  <c r="AU315" i="13"/>
  <c r="AJ315" i="13"/>
  <c r="U315" i="13"/>
  <c r="AU314" i="13"/>
  <c r="AJ314" i="13"/>
  <c r="U314" i="13"/>
  <c r="AU313" i="13"/>
  <c r="AJ313" i="13"/>
  <c r="U313" i="13"/>
  <c r="AU312" i="13"/>
  <c r="AJ312" i="13"/>
  <c r="U312" i="13"/>
  <c r="AU311" i="13"/>
  <c r="AJ311" i="13"/>
  <c r="U311" i="13"/>
  <c r="AU310" i="13"/>
  <c r="AJ310" i="13"/>
  <c r="U310" i="13"/>
  <c r="AU309" i="13"/>
  <c r="AJ309" i="13"/>
  <c r="U309" i="13"/>
  <c r="AU308" i="13"/>
  <c r="AJ308" i="13"/>
  <c r="U308" i="13"/>
  <c r="AU307" i="13"/>
  <c r="AJ307" i="13"/>
  <c r="U307" i="13"/>
  <c r="AU306" i="13"/>
  <c r="AJ306" i="13"/>
  <c r="U306" i="13"/>
  <c r="AU305" i="13"/>
  <c r="AJ305" i="13"/>
  <c r="U305" i="13"/>
  <c r="AU304" i="13"/>
  <c r="AJ304" i="13"/>
  <c r="U304" i="13"/>
  <c r="AU303" i="13"/>
  <c r="AJ303" i="13"/>
  <c r="U303" i="13"/>
  <c r="AU302" i="13"/>
  <c r="AJ302" i="13"/>
  <c r="U302" i="13"/>
  <c r="AU301" i="13"/>
  <c r="AJ301" i="13"/>
  <c r="U301" i="13"/>
  <c r="AU300" i="13"/>
  <c r="AJ300" i="13"/>
  <c r="U300" i="13"/>
  <c r="AU299" i="13"/>
  <c r="AJ299" i="13"/>
  <c r="U299" i="13"/>
  <c r="AU298" i="13"/>
  <c r="AJ298" i="13"/>
  <c r="U298" i="13"/>
  <c r="AU297" i="13"/>
  <c r="AJ297" i="13"/>
  <c r="U297" i="13"/>
  <c r="AU296" i="13"/>
  <c r="AJ296" i="13"/>
  <c r="U296" i="13"/>
  <c r="AU295" i="13"/>
  <c r="AJ295" i="13"/>
  <c r="U295" i="13"/>
  <c r="AU294" i="13"/>
  <c r="AJ294" i="13"/>
  <c r="U294" i="13"/>
  <c r="AU293" i="13"/>
  <c r="AJ293" i="13"/>
  <c r="U293" i="13"/>
  <c r="AU292" i="13"/>
  <c r="AJ292" i="13"/>
  <c r="U292" i="13"/>
  <c r="AU291" i="13"/>
  <c r="AJ291" i="13"/>
  <c r="U291" i="13"/>
  <c r="AU290" i="13"/>
  <c r="AJ290" i="13"/>
  <c r="U290" i="13"/>
  <c r="AU289" i="13"/>
  <c r="AJ289" i="13"/>
  <c r="U289" i="13"/>
  <c r="AU288" i="13"/>
  <c r="AJ288" i="13"/>
  <c r="U288" i="13"/>
  <c r="AU287" i="13"/>
  <c r="AJ287" i="13"/>
  <c r="U287" i="13"/>
  <c r="AU286" i="13"/>
  <c r="AJ286" i="13"/>
  <c r="U286" i="13"/>
  <c r="AU285" i="13"/>
  <c r="AJ285" i="13"/>
  <c r="U285" i="13"/>
  <c r="AU284" i="13"/>
  <c r="AJ284" i="13"/>
  <c r="U284" i="13"/>
  <c r="AU283" i="13"/>
  <c r="AJ283" i="13"/>
  <c r="U283" i="13"/>
  <c r="AU282" i="13"/>
  <c r="AJ282" i="13"/>
  <c r="U282" i="13"/>
  <c r="AU281" i="13"/>
  <c r="AJ281" i="13"/>
  <c r="U281" i="13"/>
  <c r="AU280" i="13"/>
  <c r="AJ280" i="13"/>
  <c r="U280" i="13"/>
  <c r="AU279" i="13"/>
  <c r="AJ279" i="13"/>
  <c r="U279" i="13"/>
  <c r="AU278" i="13"/>
  <c r="AJ278" i="13"/>
  <c r="U278" i="13"/>
  <c r="AU277" i="13"/>
  <c r="AJ277" i="13"/>
  <c r="U277" i="13"/>
  <c r="AU276" i="13"/>
  <c r="AJ276" i="13"/>
  <c r="U276" i="13"/>
  <c r="AU275" i="13"/>
  <c r="AJ275" i="13"/>
  <c r="U275" i="13"/>
  <c r="AU274" i="13"/>
  <c r="AJ274" i="13"/>
  <c r="U274" i="13"/>
  <c r="AU273" i="13"/>
  <c r="AJ273" i="13"/>
  <c r="U273" i="13"/>
  <c r="AU272" i="13"/>
  <c r="AJ272" i="13"/>
  <c r="U272" i="13"/>
  <c r="AU271" i="13"/>
  <c r="AJ271" i="13"/>
  <c r="U271" i="13"/>
  <c r="AU270" i="13"/>
  <c r="AJ270" i="13"/>
  <c r="U270" i="13"/>
  <c r="AU269" i="13"/>
  <c r="AJ269" i="13"/>
  <c r="U269" i="13"/>
  <c r="AU268" i="13"/>
  <c r="AJ268" i="13"/>
  <c r="U268" i="13"/>
  <c r="AU267" i="13"/>
  <c r="AJ267" i="13"/>
  <c r="U267" i="13"/>
  <c r="AU266" i="13"/>
  <c r="AJ266" i="13"/>
  <c r="U266" i="13"/>
  <c r="AU202" i="13"/>
  <c r="AJ202" i="13"/>
  <c r="U202" i="13"/>
  <c r="AU201" i="13"/>
  <c r="AJ201" i="13"/>
  <c r="U201" i="13"/>
  <c r="AU200" i="13"/>
  <c r="AJ200" i="13"/>
  <c r="U200" i="13"/>
  <c r="AU199" i="13"/>
  <c r="AJ199" i="13"/>
  <c r="U199" i="13"/>
  <c r="AU198" i="13"/>
  <c r="AJ198" i="13"/>
  <c r="U198" i="13"/>
  <c r="AU197" i="13"/>
  <c r="AJ197" i="13"/>
  <c r="U197" i="13"/>
  <c r="AU196" i="13"/>
  <c r="AJ196" i="13"/>
  <c r="U196" i="13"/>
  <c r="AU195" i="13"/>
  <c r="AJ195" i="13"/>
  <c r="U195" i="13"/>
  <c r="AU194" i="13"/>
  <c r="AJ194" i="13"/>
  <c r="U194" i="13"/>
  <c r="AU193" i="13"/>
  <c r="AJ193" i="13"/>
  <c r="U193" i="13"/>
  <c r="AU192" i="13"/>
  <c r="AJ192" i="13"/>
  <c r="U192" i="13"/>
  <c r="AU191" i="13"/>
  <c r="AJ191" i="13"/>
  <c r="U191" i="13"/>
  <c r="AU190" i="13"/>
  <c r="AJ190" i="13"/>
  <c r="U190" i="13"/>
  <c r="AU189" i="13"/>
  <c r="AJ189" i="13"/>
  <c r="U189" i="13"/>
  <c r="AU188" i="13"/>
  <c r="AJ188" i="13"/>
  <c r="U188" i="13"/>
  <c r="AU187" i="13"/>
  <c r="AJ187" i="13"/>
  <c r="U187" i="13"/>
  <c r="AU186" i="13"/>
  <c r="AJ186" i="13"/>
  <c r="U186" i="13"/>
  <c r="AU185" i="13"/>
  <c r="AJ185" i="13"/>
  <c r="U185" i="13"/>
  <c r="AU184" i="13"/>
  <c r="AJ184" i="13"/>
  <c r="U184" i="13"/>
  <c r="AU183" i="13"/>
  <c r="AJ183" i="13"/>
  <c r="U183" i="13"/>
  <c r="AU182" i="13"/>
  <c r="AJ182" i="13"/>
  <c r="U182" i="13"/>
  <c r="AU181" i="13"/>
  <c r="AJ181" i="13"/>
  <c r="U181" i="13"/>
  <c r="AU180" i="13"/>
  <c r="AJ180" i="13"/>
  <c r="U180" i="13"/>
  <c r="AU179" i="13"/>
  <c r="AJ179" i="13"/>
  <c r="U179" i="13"/>
  <c r="AU178" i="13"/>
  <c r="AJ178" i="13"/>
  <c r="U178" i="13"/>
  <c r="AU177" i="13"/>
  <c r="AJ177" i="13"/>
  <c r="U177" i="13"/>
  <c r="AU176" i="13"/>
  <c r="AJ176" i="13"/>
  <c r="U176" i="13"/>
  <c r="AU175" i="13"/>
  <c r="AJ175" i="13"/>
  <c r="U175" i="13"/>
  <c r="AU174" i="13"/>
  <c r="AJ174" i="13"/>
  <c r="U174" i="13"/>
  <c r="AU173" i="13"/>
  <c r="AJ173" i="13"/>
  <c r="U173" i="13"/>
  <c r="AU172" i="13"/>
  <c r="AJ172" i="13"/>
  <c r="U172" i="13"/>
  <c r="AU171" i="13"/>
  <c r="AJ171" i="13"/>
  <c r="U171" i="13"/>
  <c r="AU170" i="13"/>
  <c r="AJ170" i="13"/>
  <c r="U170" i="13"/>
  <c r="AU169" i="13"/>
  <c r="AJ169" i="13"/>
  <c r="U169" i="13"/>
  <c r="AU168" i="13"/>
  <c r="AJ168" i="13"/>
  <c r="U168" i="13"/>
  <c r="AU167" i="13"/>
  <c r="AJ167" i="13"/>
  <c r="U167" i="13"/>
  <c r="AU166" i="13"/>
  <c r="AJ166" i="13"/>
  <c r="U166" i="13"/>
  <c r="AU165" i="13"/>
  <c r="AJ165" i="13"/>
  <c r="U165" i="13"/>
  <c r="AU164" i="13"/>
  <c r="AJ164" i="13"/>
  <c r="U164" i="13"/>
  <c r="AU163" i="13"/>
  <c r="AJ163" i="13"/>
  <c r="U163" i="13"/>
  <c r="AU162" i="13"/>
  <c r="AJ162" i="13"/>
  <c r="U162" i="13"/>
  <c r="AU161" i="13"/>
  <c r="AJ161" i="13"/>
  <c r="U161" i="13"/>
  <c r="AU160" i="13"/>
  <c r="AJ160" i="13"/>
  <c r="U160" i="13"/>
  <c r="AU159" i="13"/>
  <c r="AJ159" i="13"/>
  <c r="U159" i="13"/>
  <c r="AU158" i="13"/>
  <c r="AJ158" i="13"/>
  <c r="U158" i="13"/>
  <c r="AU157" i="13"/>
  <c r="AJ157" i="13"/>
  <c r="U157" i="13"/>
  <c r="AU156" i="13"/>
  <c r="AJ156" i="13"/>
  <c r="U156" i="13"/>
  <c r="AU155" i="13"/>
  <c r="AJ155" i="13"/>
  <c r="U155" i="13"/>
  <c r="AU154" i="13"/>
  <c r="AJ154" i="13"/>
  <c r="U154" i="13"/>
  <c r="AU153" i="13"/>
  <c r="AJ153" i="13"/>
  <c r="U153" i="13"/>
  <c r="AU152" i="13"/>
  <c r="AJ152" i="13"/>
  <c r="U152" i="13"/>
  <c r="AU151" i="13"/>
  <c r="AJ151" i="13"/>
  <c r="U151" i="13"/>
  <c r="AU150" i="13"/>
  <c r="AJ150" i="13"/>
  <c r="U150" i="13"/>
  <c r="AU149" i="13"/>
  <c r="AJ149" i="13"/>
  <c r="U149" i="13"/>
  <c r="AU148" i="13"/>
  <c r="AJ148" i="13"/>
  <c r="U148" i="13"/>
  <c r="AU147" i="13"/>
  <c r="AJ147" i="13"/>
  <c r="U147" i="13"/>
  <c r="AU146" i="13"/>
  <c r="AJ146" i="13"/>
  <c r="U146" i="13"/>
  <c r="AU145" i="13"/>
  <c r="AJ145" i="13"/>
  <c r="U145" i="13"/>
  <c r="AU144" i="13"/>
  <c r="AJ144" i="13"/>
  <c r="U144" i="13"/>
  <c r="AU143" i="13"/>
  <c r="AJ143" i="13"/>
  <c r="U143" i="13"/>
  <c r="AU142" i="13"/>
  <c r="AJ142" i="13"/>
  <c r="U142" i="13"/>
  <c r="AU141" i="13"/>
  <c r="AJ141" i="13"/>
  <c r="U141" i="13"/>
  <c r="AU140" i="13"/>
  <c r="AJ140" i="13"/>
  <c r="U140" i="13"/>
  <c r="AU139" i="13"/>
  <c r="AJ139" i="13"/>
  <c r="U139" i="13"/>
  <c r="AU138" i="13"/>
  <c r="AJ138" i="13"/>
  <c r="U138" i="13"/>
  <c r="AU137" i="13"/>
  <c r="AJ137" i="13"/>
  <c r="U137" i="13"/>
  <c r="AU136" i="13"/>
  <c r="AJ136" i="13"/>
  <c r="U136" i="13"/>
  <c r="AU135" i="13"/>
  <c r="AJ135" i="13"/>
  <c r="U135" i="13"/>
  <c r="AU134" i="13"/>
  <c r="AJ134" i="13"/>
  <c r="U134" i="13"/>
  <c r="AU133" i="13"/>
  <c r="AJ133" i="13"/>
  <c r="U133" i="13"/>
  <c r="AU132" i="13"/>
  <c r="AJ132" i="13"/>
  <c r="U132" i="13"/>
  <c r="AU131" i="13"/>
  <c r="AJ131" i="13"/>
  <c r="U131" i="13"/>
  <c r="AU130" i="13"/>
  <c r="AJ130" i="13"/>
  <c r="U130" i="13"/>
  <c r="AU129" i="13"/>
  <c r="AJ129" i="13"/>
  <c r="U129" i="13"/>
  <c r="AU128" i="13"/>
  <c r="AJ128" i="13"/>
  <c r="U128" i="13"/>
  <c r="AU127" i="13"/>
  <c r="AJ127" i="13"/>
  <c r="U127" i="13"/>
  <c r="AU126" i="13"/>
  <c r="AJ126" i="13"/>
  <c r="U126" i="13"/>
  <c r="AU125" i="13"/>
  <c r="AJ125" i="13"/>
  <c r="U125" i="13"/>
  <c r="AU124" i="13"/>
  <c r="AJ124" i="13"/>
  <c r="U124" i="13"/>
  <c r="AU123" i="13"/>
  <c r="AJ123" i="13"/>
  <c r="U123" i="13"/>
  <c r="AU122" i="13"/>
  <c r="AJ122" i="13"/>
  <c r="U122" i="13"/>
  <c r="AU121" i="13"/>
  <c r="AJ121" i="13"/>
  <c r="U121" i="13"/>
  <c r="AU120" i="13"/>
  <c r="AJ120" i="13"/>
  <c r="U120" i="13"/>
  <c r="AU119" i="13"/>
  <c r="AJ119" i="13"/>
  <c r="U119" i="13"/>
  <c r="AU118" i="13"/>
  <c r="AJ118" i="13"/>
  <c r="U118" i="13"/>
  <c r="U5" i="13"/>
  <c r="U6" i="13"/>
  <c r="U7" i="13"/>
  <c r="U8" i="13"/>
  <c r="U9" i="13"/>
  <c r="U10" i="13"/>
  <c r="U11" i="13"/>
  <c r="U12" i="13"/>
  <c r="U13" i="13"/>
  <c r="U14" i="13"/>
  <c r="U15" i="13"/>
  <c r="U16" i="13"/>
  <c r="U17" i="13"/>
  <c r="U18" i="13"/>
  <c r="U19" i="13"/>
  <c r="U20" i="13"/>
  <c r="U21" i="13"/>
  <c r="U22" i="13"/>
  <c r="U23" i="13"/>
  <c r="U24" i="13"/>
  <c r="U25" i="13"/>
  <c r="U4" i="13"/>
  <c r="J279" i="13" l="1"/>
  <c r="AB279" i="13" s="1"/>
  <c r="J283" i="13"/>
  <c r="AB283" i="13" s="1"/>
  <c r="J287" i="13"/>
  <c r="AB287" i="13" s="1"/>
  <c r="J291" i="13"/>
  <c r="AB291" i="13" s="1"/>
  <c r="J137" i="13"/>
  <c r="AB137" i="13" s="1"/>
  <c r="J185" i="13"/>
  <c r="AB185" i="13" s="1"/>
  <c r="J280" i="13"/>
  <c r="AB280" i="13" s="1"/>
  <c r="J271" i="13"/>
  <c r="AB271" i="13" s="1"/>
  <c r="J123" i="13"/>
  <c r="AB123" i="13" s="1"/>
  <c r="J127" i="13"/>
  <c r="AB127" i="13" s="1"/>
  <c r="J131" i="13"/>
  <c r="AB131" i="13" s="1"/>
  <c r="J135" i="13"/>
  <c r="AB135" i="13" s="1"/>
  <c r="J139" i="13"/>
  <c r="AB139" i="13" s="1"/>
  <c r="J143" i="13"/>
  <c r="AB143" i="13" s="1"/>
  <c r="J147" i="13"/>
  <c r="AB147" i="13" s="1"/>
  <c r="J163" i="13"/>
  <c r="AB163" i="13" s="1"/>
  <c r="J171" i="13"/>
  <c r="AB171" i="13" s="1"/>
  <c r="J175" i="13"/>
  <c r="AB175" i="13" s="1"/>
  <c r="J179" i="13"/>
  <c r="AB179" i="13" s="1"/>
  <c r="J187" i="13"/>
  <c r="AB187" i="13" s="1"/>
  <c r="J274" i="13"/>
  <c r="AB274" i="13" s="1"/>
  <c r="J298" i="13"/>
  <c r="AB298" i="13" s="1"/>
  <c r="J302" i="13"/>
  <c r="AB302" i="13" s="1"/>
  <c r="J125" i="13"/>
  <c r="AB125" i="13" s="1"/>
  <c r="J129" i="13"/>
  <c r="AB129" i="13" s="1"/>
  <c r="J133" i="13"/>
  <c r="AB133" i="13" s="1"/>
  <c r="J141" i="13"/>
  <c r="AB141" i="13" s="1"/>
  <c r="J145" i="13"/>
  <c r="AB145" i="13" s="1"/>
  <c r="J169" i="13"/>
  <c r="AB169" i="13" s="1"/>
  <c r="J181" i="13"/>
  <c r="AB181" i="13" s="1"/>
  <c r="J189" i="13"/>
  <c r="AB189" i="13" s="1"/>
  <c r="J268" i="13"/>
  <c r="AB268" i="13" s="1"/>
  <c r="J308" i="13"/>
  <c r="AB308" i="13" s="1"/>
  <c r="J200" i="13"/>
  <c r="AB200" i="13" s="1"/>
  <c r="J275" i="13"/>
  <c r="AB275" i="13" s="1"/>
  <c r="J150" i="13"/>
  <c r="AB150" i="13" s="1"/>
  <c r="J269" i="13"/>
  <c r="AB269" i="13" s="1"/>
  <c r="J273" i="13"/>
  <c r="AB273" i="13" s="1"/>
  <c r="J281" i="13"/>
  <c r="AB281" i="13" s="1"/>
  <c r="J289" i="13"/>
  <c r="AB289" i="13" s="1"/>
  <c r="J130" i="13"/>
  <c r="AB130" i="13" s="1"/>
  <c r="J174" i="13"/>
  <c r="AB174" i="13" s="1"/>
  <c r="J140" i="13"/>
  <c r="AB140" i="13" s="1"/>
  <c r="J290" i="13"/>
  <c r="AB290" i="13" s="1"/>
  <c r="J307" i="13"/>
  <c r="AB307" i="13" s="1"/>
  <c r="J312" i="13"/>
  <c r="AB312" i="13" s="1"/>
  <c r="J188" i="13"/>
  <c r="AB188" i="13" s="1"/>
  <c r="J329" i="13"/>
  <c r="AB329" i="13" s="1"/>
  <c r="J199" i="13"/>
  <c r="AB199" i="13" s="1"/>
  <c r="J292" i="13"/>
  <c r="AB292" i="13" s="1"/>
  <c r="J305" i="13"/>
  <c r="AB305" i="13" s="1"/>
  <c r="J184" i="13"/>
  <c r="AB184" i="13" s="1"/>
  <c r="J161" i="13"/>
  <c r="AB161" i="13" s="1"/>
  <c r="J138" i="13"/>
  <c r="AB138" i="13" s="1"/>
  <c r="J159" i="13"/>
  <c r="AB159" i="13" s="1"/>
  <c r="J170" i="13"/>
  <c r="AB170" i="13" s="1"/>
  <c r="J196" i="13"/>
  <c r="AB196" i="13" s="1"/>
  <c r="J309" i="13"/>
  <c r="AB309" i="13" s="1"/>
  <c r="J310" i="13"/>
  <c r="AB310" i="13" s="1"/>
  <c r="J148" i="13"/>
  <c r="AB148" i="13" s="1"/>
  <c r="J157" i="13"/>
  <c r="AB157" i="13" s="1"/>
  <c r="J168" i="13"/>
  <c r="AB168" i="13" s="1"/>
  <c r="J180" i="13"/>
  <c r="AB180" i="13" s="1"/>
  <c r="J142" i="13"/>
  <c r="AB142" i="13" s="1"/>
  <c r="J176" i="13"/>
  <c r="AB176" i="13" s="1"/>
  <c r="J301" i="13"/>
  <c r="AB301" i="13" s="1"/>
  <c r="J195" i="13"/>
  <c r="AB195" i="13" s="1"/>
  <c r="J153" i="13"/>
  <c r="AB153" i="13" s="1"/>
  <c r="J284" i="13"/>
  <c r="AB284" i="13" s="1"/>
  <c r="J311" i="13"/>
  <c r="AB311" i="13" s="1"/>
  <c r="J122" i="13"/>
  <c r="AB122" i="13" s="1"/>
  <c r="J149" i="13"/>
  <c r="AB149" i="13" s="1"/>
  <c r="J303" i="13"/>
  <c r="AB303" i="13" s="1"/>
  <c r="J193" i="13"/>
  <c r="AB193" i="13" s="1"/>
  <c r="J197" i="13"/>
  <c r="AB197" i="13" s="1"/>
  <c r="J330" i="13"/>
  <c r="AB330" i="13" s="1"/>
  <c r="J166" i="13"/>
  <c r="AB166" i="13" s="1"/>
  <c r="J276" i="13"/>
  <c r="AB276" i="13" s="1"/>
  <c r="J295" i="13"/>
  <c r="AB295" i="13" s="1"/>
  <c r="J155" i="13"/>
  <c r="AB155" i="13" s="1"/>
  <c r="J165" i="13"/>
  <c r="AB165" i="13" s="1"/>
  <c r="J172" i="13"/>
  <c r="AB172" i="13" s="1"/>
  <c r="J288" i="13"/>
  <c r="AB288" i="13" s="1"/>
  <c r="J146" i="13"/>
  <c r="AB146" i="13" s="1"/>
  <c r="J178" i="13"/>
  <c r="AB178" i="13" s="1"/>
  <c r="J186" i="13"/>
  <c r="AB186" i="13" s="1"/>
  <c r="J293" i="13"/>
  <c r="AB293" i="13" s="1"/>
  <c r="J297" i="13"/>
  <c r="AB297" i="13" s="1"/>
  <c r="J299" i="13"/>
  <c r="AB299" i="13" s="1"/>
  <c r="J118" i="13"/>
  <c r="AB118" i="13" s="1"/>
  <c r="J126" i="13"/>
  <c r="AB126" i="13" s="1"/>
  <c r="J134" i="13"/>
  <c r="AB134" i="13" s="1"/>
  <c r="J144" i="13"/>
  <c r="AB144" i="13" s="1"/>
  <c r="J164" i="13"/>
  <c r="AB164" i="13" s="1"/>
  <c r="J267" i="13"/>
  <c r="AB267" i="13" s="1"/>
  <c r="J318" i="13"/>
  <c r="AB318" i="13" s="1"/>
  <c r="J173" i="13"/>
  <c r="AB173" i="13" s="1"/>
  <c r="J183" i="13"/>
  <c r="AB183" i="13" s="1"/>
  <c r="J201" i="13"/>
  <c r="AB201" i="13" s="1"/>
  <c r="J272" i="13"/>
  <c r="AB272" i="13" s="1"/>
  <c r="J282" i="13"/>
  <c r="AB282" i="13" s="1"/>
  <c r="J326" i="13"/>
  <c r="AB326" i="13" s="1"/>
  <c r="J124" i="13"/>
  <c r="AB124" i="13" s="1"/>
  <c r="J132" i="13"/>
  <c r="AB132" i="13" s="1"/>
  <c r="J120" i="13"/>
  <c r="AB120" i="13" s="1"/>
  <c r="J128" i="13"/>
  <c r="AB128" i="13" s="1"/>
  <c r="J136" i="13"/>
  <c r="AB136" i="13" s="1"/>
  <c r="J151" i="13"/>
  <c r="AB151" i="13" s="1"/>
  <c r="J167" i="13"/>
  <c r="AB167" i="13" s="1"/>
  <c r="J177" i="13"/>
  <c r="AB177" i="13" s="1"/>
  <c r="J182" i="13"/>
  <c r="AB182" i="13" s="1"/>
  <c r="J190" i="13"/>
  <c r="AB190" i="13" s="1"/>
  <c r="J320" i="13"/>
  <c r="AB320" i="13" s="1"/>
  <c r="J194" i="13"/>
  <c r="AB194" i="13" s="1"/>
  <c r="J270" i="13"/>
  <c r="AB270" i="13" s="1"/>
  <c r="J314" i="13"/>
  <c r="AB314" i="13" s="1"/>
  <c r="J322" i="13"/>
  <c r="AB322" i="13" s="1"/>
  <c r="J191" i="13"/>
  <c r="AB191" i="13" s="1"/>
  <c r="J192" i="13"/>
  <c r="AB192" i="13" s="1"/>
  <c r="J294" i="13"/>
  <c r="AB294" i="13" s="1"/>
  <c r="J304" i="13"/>
  <c r="AB304" i="13" s="1"/>
  <c r="J324" i="13"/>
  <c r="AB324" i="13" s="1"/>
  <c r="J319" i="13"/>
  <c r="AB319" i="13" s="1"/>
  <c r="J321" i="13"/>
  <c r="AB321" i="13" s="1"/>
  <c r="J323" i="13"/>
  <c r="AB323" i="13" s="1"/>
  <c r="J325" i="13"/>
  <c r="AB325" i="13" s="1"/>
  <c r="J327" i="13"/>
  <c r="AB327" i="13" s="1"/>
  <c r="J316" i="13"/>
  <c r="AB316" i="13" s="1"/>
  <c r="J328" i="13"/>
  <c r="AB328" i="13" s="1"/>
  <c r="J285" i="13"/>
  <c r="AB285" i="13" s="1"/>
  <c r="J278" i="13"/>
  <c r="AB278" i="13" s="1"/>
  <c r="J277" i="13"/>
  <c r="AB277" i="13" s="1"/>
  <c r="J266" i="13"/>
  <c r="AB266" i="13" s="1"/>
  <c r="J286" i="13"/>
  <c r="AB286" i="13" s="1"/>
  <c r="J315" i="13"/>
  <c r="AB315" i="13" s="1"/>
  <c r="J306" i="13"/>
  <c r="AB306" i="13" s="1"/>
  <c r="J296" i="13"/>
  <c r="AB296" i="13" s="1"/>
  <c r="J300" i="13"/>
  <c r="AB300" i="13" s="1"/>
  <c r="J317" i="13"/>
  <c r="AB317" i="13" s="1"/>
  <c r="J313" i="13"/>
  <c r="AB313" i="13" s="1"/>
  <c r="J119" i="13"/>
  <c r="AB119" i="13" s="1"/>
  <c r="J121" i="13"/>
  <c r="AB121" i="13" s="1"/>
  <c r="J156" i="13"/>
  <c r="AB156" i="13" s="1"/>
  <c r="J160" i="13"/>
  <c r="AB160" i="13" s="1"/>
  <c r="J154" i="13"/>
  <c r="AB154" i="13" s="1"/>
  <c r="J158" i="13"/>
  <c r="AB158" i="13" s="1"/>
  <c r="J162" i="13"/>
  <c r="AB162" i="13" s="1"/>
  <c r="J152" i="13"/>
  <c r="AB152" i="13" s="1"/>
  <c r="J198" i="13"/>
  <c r="AB198" i="13" s="1"/>
  <c r="J202" i="13"/>
  <c r="AB202" i="13" s="1"/>
  <c r="AA137" i="13" l="1"/>
  <c r="AA123" i="13"/>
  <c r="AA279" i="13"/>
  <c r="AC279" i="13" s="1"/>
  <c r="AA139" i="13"/>
  <c r="AC139" i="13" s="1"/>
  <c r="AA269" i="13"/>
  <c r="AC269" i="13" s="1"/>
  <c r="AA129" i="13"/>
  <c r="AD129" i="13" s="1"/>
  <c r="BA129" i="13" s="1"/>
  <c r="AA130" i="13"/>
  <c r="AC130" i="13" s="1"/>
  <c r="AA193" i="13"/>
  <c r="AD193" i="13" s="1"/>
  <c r="BA193" i="13" s="1"/>
  <c r="AA143" i="13"/>
  <c r="AD143" i="13" s="1"/>
  <c r="BA143" i="13" s="1"/>
  <c r="AA274" i="13"/>
  <c r="AD274" i="13" s="1"/>
  <c r="BA274" i="13" s="1"/>
  <c r="AA133" i="13"/>
  <c r="AD133" i="13" s="1"/>
  <c r="BA133" i="13" s="1"/>
  <c r="AA283" i="13"/>
  <c r="AD283" i="13" s="1"/>
  <c r="BA283" i="13" s="1"/>
  <c r="AA185" i="13"/>
  <c r="AD185" i="13" s="1"/>
  <c r="BA185" i="13" s="1"/>
  <c r="AA298" i="13"/>
  <c r="AC298" i="13" s="1"/>
  <c r="AA127" i="13"/>
  <c r="AC127" i="13" s="1"/>
  <c r="AA189" i="13"/>
  <c r="AD189" i="13" s="1"/>
  <c r="BA189" i="13" s="1"/>
  <c r="AA141" i="13"/>
  <c r="AD141" i="13" s="1"/>
  <c r="BA141" i="13" s="1"/>
  <c r="AA280" i="13"/>
  <c r="AC280" i="13" s="1"/>
  <c r="AA310" i="13"/>
  <c r="AD310" i="13" s="1"/>
  <c r="BA310" i="13" s="1"/>
  <c r="AA327" i="13"/>
  <c r="AD327" i="13" s="1"/>
  <c r="BA327" i="13" s="1"/>
  <c r="AA124" i="13"/>
  <c r="AC124" i="13" s="1"/>
  <c r="AA273" i="13"/>
  <c r="AC273" i="13" s="1"/>
  <c r="AA294" i="13"/>
  <c r="AD294" i="13" s="1"/>
  <c r="BA294" i="13" s="1"/>
  <c r="AA184" i="13"/>
  <c r="AD184" i="13" s="1"/>
  <c r="BA184" i="13" s="1"/>
  <c r="AA173" i="13"/>
  <c r="AD173" i="13" s="1"/>
  <c r="BA173" i="13" s="1"/>
  <c r="AA144" i="13"/>
  <c r="AC144" i="13" s="1"/>
  <c r="AA165" i="13"/>
  <c r="AD165" i="13" s="1"/>
  <c r="BA165" i="13" s="1"/>
  <c r="AA166" i="13"/>
  <c r="AD166" i="13" s="1"/>
  <c r="BA166" i="13" s="1"/>
  <c r="AA301" i="13"/>
  <c r="AD301" i="13" s="1"/>
  <c r="BA301" i="13" s="1"/>
  <c r="AA168" i="13"/>
  <c r="AD168" i="13" s="1"/>
  <c r="BA168" i="13" s="1"/>
  <c r="AA268" i="13"/>
  <c r="AD268" i="13" s="1"/>
  <c r="BA268" i="13" s="1"/>
  <c r="AA125" i="13"/>
  <c r="AD125" i="13" s="1"/>
  <c r="BA125" i="13" s="1"/>
  <c r="AA163" i="13"/>
  <c r="AD163" i="13" s="1"/>
  <c r="BA163" i="13" s="1"/>
  <c r="AA319" i="13"/>
  <c r="AC319" i="13" s="1"/>
  <c r="AA270" i="13"/>
  <c r="AD270" i="13" s="1"/>
  <c r="BA270" i="13" s="1"/>
  <c r="AA136" i="13"/>
  <c r="AC136" i="13" s="1"/>
  <c r="AA134" i="13"/>
  <c r="AC134" i="13" s="1"/>
  <c r="AA297" i="13"/>
  <c r="AD297" i="13" s="1"/>
  <c r="BA297" i="13" s="1"/>
  <c r="AA146" i="13"/>
  <c r="AC146" i="13" s="1"/>
  <c r="AA155" i="13"/>
  <c r="AD155" i="13" s="1"/>
  <c r="BA155" i="13" s="1"/>
  <c r="AA176" i="13"/>
  <c r="AD176" i="13" s="1"/>
  <c r="BA176" i="13" s="1"/>
  <c r="AA157" i="13"/>
  <c r="AD157" i="13" s="1"/>
  <c r="BA157" i="13" s="1"/>
  <c r="AA161" i="13"/>
  <c r="AD161" i="13" s="1"/>
  <c r="BA161" i="13" s="1"/>
  <c r="AA199" i="13"/>
  <c r="AD199" i="13" s="1"/>
  <c r="BA199" i="13" s="1"/>
  <c r="AA179" i="13"/>
  <c r="AA191" i="13"/>
  <c r="AD191" i="13" s="1"/>
  <c r="BA191" i="13" s="1"/>
  <c r="AA126" i="13"/>
  <c r="AC126" i="13" s="1"/>
  <c r="AA293" i="13"/>
  <c r="AD293" i="13" s="1"/>
  <c r="BA293" i="13" s="1"/>
  <c r="AA288" i="13"/>
  <c r="AD288" i="13" s="1"/>
  <c r="BA288" i="13" s="1"/>
  <c r="AA153" i="13"/>
  <c r="AD153" i="13" s="1"/>
  <c r="BA153" i="13" s="1"/>
  <c r="AA142" i="13"/>
  <c r="AC142" i="13" s="1"/>
  <c r="AA170" i="13"/>
  <c r="AD170" i="13" s="1"/>
  <c r="BA170" i="13" s="1"/>
  <c r="AA329" i="13"/>
  <c r="AD329" i="13" s="1"/>
  <c r="BA329" i="13" s="1"/>
  <c r="AA312" i="13"/>
  <c r="AC312" i="13" s="1"/>
  <c r="AA174" i="13"/>
  <c r="AA200" i="13"/>
  <c r="AA181" i="13"/>
  <c r="AA175" i="13"/>
  <c r="AA128" i="13"/>
  <c r="AD128" i="13" s="1"/>
  <c r="BA128" i="13" s="1"/>
  <c r="AA320" i="13"/>
  <c r="AC320" i="13" s="1"/>
  <c r="AA167" i="13"/>
  <c r="AD167" i="13" s="1"/>
  <c r="BA167" i="13" s="1"/>
  <c r="AA120" i="13"/>
  <c r="AC120" i="13" s="1"/>
  <c r="AA118" i="13"/>
  <c r="AC118" i="13" s="1"/>
  <c r="AA172" i="13"/>
  <c r="AD172" i="13" s="1"/>
  <c r="BA172" i="13" s="1"/>
  <c r="AA197" i="13"/>
  <c r="AD197" i="13" s="1"/>
  <c r="BA197" i="13" s="1"/>
  <c r="AA195" i="13"/>
  <c r="AD195" i="13" s="1"/>
  <c r="BA195" i="13" s="1"/>
  <c r="AA180" i="13"/>
  <c r="AD180" i="13" s="1"/>
  <c r="BA180" i="13" s="1"/>
  <c r="AA159" i="13"/>
  <c r="AD159" i="13" s="1"/>
  <c r="BA159" i="13" s="1"/>
  <c r="AA188" i="13"/>
  <c r="AD188" i="13" s="1"/>
  <c r="BA188" i="13" s="1"/>
  <c r="AA308" i="13"/>
  <c r="AA169" i="13"/>
  <c r="AA171" i="13"/>
  <c r="AA131" i="13"/>
  <c r="AD131" i="13" s="1"/>
  <c r="BA131" i="13" s="1"/>
  <c r="AA302" i="13"/>
  <c r="AD302" i="13" s="1"/>
  <c r="BA302" i="13" s="1"/>
  <c r="AA275" i="13"/>
  <c r="AD275" i="13" s="1"/>
  <c r="BA275" i="13" s="1"/>
  <c r="AA147" i="13"/>
  <c r="AC147" i="13" s="1"/>
  <c r="AA150" i="13"/>
  <c r="AD150" i="13" s="1"/>
  <c r="BA150" i="13" s="1"/>
  <c r="AA187" i="13"/>
  <c r="AD187" i="13" s="1"/>
  <c r="BA187" i="13" s="1"/>
  <c r="AA289" i="13"/>
  <c r="AC289" i="13" s="1"/>
  <c r="AC125" i="13"/>
  <c r="AA135" i="13"/>
  <c r="AD135" i="13" s="1"/>
  <c r="BA135" i="13" s="1"/>
  <c r="AA287" i="13"/>
  <c r="AD287" i="13" s="1"/>
  <c r="BA287" i="13" s="1"/>
  <c r="AA271" i="13"/>
  <c r="AC271" i="13" s="1"/>
  <c r="AA291" i="13"/>
  <c r="AC291" i="13" s="1"/>
  <c r="AA145" i="13"/>
  <c r="AC145" i="13" s="1"/>
  <c r="AA281" i="13"/>
  <c r="AC281" i="13" s="1"/>
  <c r="AA140" i="13"/>
  <c r="AD140" i="13" s="1"/>
  <c r="BA140" i="13" s="1"/>
  <c r="AA307" i="13"/>
  <c r="AC307" i="13" s="1"/>
  <c r="AA148" i="13"/>
  <c r="AD148" i="13" s="1"/>
  <c r="BA148" i="13" s="1"/>
  <c r="AA138" i="13"/>
  <c r="AD138" i="13" s="1"/>
  <c r="BA138" i="13" s="1"/>
  <c r="AA284" i="13"/>
  <c r="AD284" i="13" s="1"/>
  <c r="BA284" i="13" s="1"/>
  <c r="AA290" i="13"/>
  <c r="AD290" i="13" s="1"/>
  <c r="BA290" i="13" s="1"/>
  <c r="AA196" i="13"/>
  <c r="AC196" i="13" s="1"/>
  <c r="AA309" i="13"/>
  <c r="AC309" i="13" s="1"/>
  <c r="AA292" i="13"/>
  <c r="AC292" i="13" s="1"/>
  <c r="AA201" i="13"/>
  <c r="AD201" i="13" s="1"/>
  <c r="BA201" i="13" s="1"/>
  <c r="AA149" i="13"/>
  <c r="AD149" i="13" s="1"/>
  <c r="BA149" i="13" s="1"/>
  <c r="AA122" i="13"/>
  <c r="AC122" i="13" s="1"/>
  <c r="AA305" i="13"/>
  <c r="AC305" i="13" s="1"/>
  <c r="AA276" i="13"/>
  <c r="AD276" i="13" s="1"/>
  <c r="BA276" i="13" s="1"/>
  <c r="AA303" i="13"/>
  <c r="AD303" i="13" s="1"/>
  <c r="BA303" i="13" s="1"/>
  <c r="AA311" i="13"/>
  <c r="AC311" i="13" s="1"/>
  <c r="AA330" i="13"/>
  <c r="AD330" i="13" s="1"/>
  <c r="BA330" i="13" s="1"/>
  <c r="AA190" i="13"/>
  <c r="AD190" i="13" s="1"/>
  <c r="BA190" i="13" s="1"/>
  <c r="AA328" i="13"/>
  <c r="AD328" i="13" s="1"/>
  <c r="BA328" i="13" s="1"/>
  <c r="AA323" i="13"/>
  <c r="AC323" i="13" s="1"/>
  <c r="AA295" i="13"/>
  <c r="AA299" i="13"/>
  <c r="AA186" i="13"/>
  <c r="AD186" i="13" s="1"/>
  <c r="BA186" i="13" s="1"/>
  <c r="AA282" i="13"/>
  <c r="AD282" i="13" s="1"/>
  <c r="BA282" i="13" s="1"/>
  <c r="AA178" i="13"/>
  <c r="AD178" i="13" s="1"/>
  <c r="BA178" i="13" s="1"/>
  <c r="AA316" i="13"/>
  <c r="AD316" i="13" s="1"/>
  <c r="BA316" i="13" s="1"/>
  <c r="AA177" i="13"/>
  <c r="AD177" i="13" s="1"/>
  <c r="BA177" i="13" s="1"/>
  <c r="AA272" i="13"/>
  <c r="AD272" i="13" s="1"/>
  <c r="BA272" i="13" s="1"/>
  <c r="AA324" i="13"/>
  <c r="AA132" i="13"/>
  <c r="AD132" i="13" s="1"/>
  <c r="BA132" i="13" s="1"/>
  <c r="AA314" i="13"/>
  <c r="AD314" i="13" s="1"/>
  <c r="BA314" i="13" s="1"/>
  <c r="AA151" i="13"/>
  <c r="AD151" i="13" s="1"/>
  <c r="BA151" i="13" s="1"/>
  <c r="AA183" i="13"/>
  <c r="AA318" i="13"/>
  <c r="AD318" i="13" s="1"/>
  <c r="BA318" i="13" s="1"/>
  <c r="AA304" i="13"/>
  <c r="AD304" i="13" s="1"/>
  <c r="BA304" i="13" s="1"/>
  <c r="AA194" i="13"/>
  <c r="AD194" i="13" s="1"/>
  <c r="BA194" i="13" s="1"/>
  <c r="AA182" i="13"/>
  <c r="AD182" i="13" s="1"/>
  <c r="BA182" i="13" s="1"/>
  <c r="AA192" i="13"/>
  <c r="AD192" i="13" s="1"/>
  <c r="BA192" i="13" s="1"/>
  <c r="AA325" i="13"/>
  <c r="AC325" i="13" s="1"/>
  <c r="AA321" i="13"/>
  <c r="AC321" i="13" s="1"/>
  <c r="AA326" i="13"/>
  <c r="AD326" i="13" s="1"/>
  <c r="BA326" i="13" s="1"/>
  <c r="AA322" i="13"/>
  <c r="AC322" i="13" s="1"/>
  <c r="AA267" i="13"/>
  <c r="AD267" i="13" s="1"/>
  <c r="BA267" i="13" s="1"/>
  <c r="AA164" i="13"/>
  <c r="AD164" i="13" s="1"/>
  <c r="BA164" i="13" s="1"/>
  <c r="AA278" i="13"/>
  <c r="AA317" i="13"/>
  <c r="AA300" i="13"/>
  <c r="AA296" i="13"/>
  <c r="AA306" i="13"/>
  <c r="AA315" i="13"/>
  <c r="AA313" i="13"/>
  <c r="AA286" i="13"/>
  <c r="AA266" i="13"/>
  <c r="AA277" i="13"/>
  <c r="AA285" i="13"/>
  <c r="AA152" i="13"/>
  <c r="AA160" i="13"/>
  <c r="AD123" i="13"/>
  <c r="BA123" i="13" s="1"/>
  <c r="AC123" i="13"/>
  <c r="AA202" i="13"/>
  <c r="AA156" i="13"/>
  <c r="AD137" i="13"/>
  <c r="BA137" i="13" s="1"/>
  <c r="AC137" i="13"/>
  <c r="AA119" i="13"/>
  <c r="AA198" i="13"/>
  <c r="AA162" i="13"/>
  <c r="AA158" i="13"/>
  <c r="AA154" i="13"/>
  <c r="AA121" i="13"/>
  <c r="AD139" i="13"/>
  <c r="BA139" i="13" s="1"/>
  <c r="AC195" i="13" l="1"/>
  <c r="AE195" i="13" s="1"/>
  <c r="AK195" i="13" s="1"/>
  <c r="AC155" i="13"/>
  <c r="AE155" i="13" s="1"/>
  <c r="AL155" i="13" s="1"/>
  <c r="AC163" i="13"/>
  <c r="AE163" i="13" s="1"/>
  <c r="AL163" i="13" s="1"/>
  <c r="AD279" i="13"/>
  <c r="BA279" i="13" s="1"/>
  <c r="AC166" i="13"/>
  <c r="AE166" i="13" s="1"/>
  <c r="AL166" i="13" s="1"/>
  <c r="AC143" i="13"/>
  <c r="AE143" i="13" s="1"/>
  <c r="AK143" i="13" s="1"/>
  <c r="AD269" i="13"/>
  <c r="BA269" i="13" s="1"/>
  <c r="AC129" i="13"/>
  <c r="AE129" i="13" s="1"/>
  <c r="AD130" i="13"/>
  <c r="BA130" i="13" s="1"/>
  <c r="AC193" i="13"/>
  <c r="AE193" i="13" s="1"/>
  <c r="AC274" i="13"/>
  <c r="AE274" i="13" s="1"/>
  <c r="AC133" i="13"/>
  <c r="AE133" i="13" s="1"/>
  <c r="AL133" i="13" s="1"/>
  <c r="AD127" i="13"/>
  <c r="BA127" i="13" s="1"/>
  <c r="AC283" i="13"/>
  <c r="AE283" i="13" s="1"/>
  <c r="AL283" i="13" s="1"/>
  <c r="AC165" i="13"/>
  <c r="AE165" i="13" s="1"/>
  <c r="AL165" i="13" s="1"/>
  <c r="AC176" i="13"/>
  <c r="AE176" i="13" s="1"/>
  <c r="AL176" i="13" s="1"/>
  <c r="AD124" i="13"/>
  <c r="BA124" i="13" s="1"/>
  <c r="AD298" i="13"/>
  <c r="BA298" i="13" s="1"/>
  <c r="AD320" i="13"/>
  <c r="BA320" i="13" s="1"/>
  <c r="AC189" i="13"/>
  <c r="AE189" i="13" s="1"/>
  <c r="AK189" i="13" s="1"/>
  <c r="AD136" i="13"/>
  <c r="BA136" i="13" s="1"/>
  <c r="AC141" i="13"/>
  <c r="AE141" i="13" s="1"/>
  <c r="AL141" i="13" s="1"/>
  <c r="AC185" i="13"/>
  <c r="AE185" i="13" s="1"/>
  <c r="AD134" i="13"/>
  <c r="BA134" i="13" s="1"/>
  <c r="AD280" i="13"/>
  <c r="BA280" i="13" s="1"/>
  <c r="AD147" i="13"/>
  <c r="BA147" i="13" s="1"/>
  <c r="AC140" i="13"/>
  <c r="AE140" i="13" s="1"/>
  <c r="AD144" i="13"/>
  <c r="BA144" i="13" s="1"/>
  <c r="AD271" i="13"/>
  <c r="BA271" i="13" s="1"/>
  <c r="AC131" i="13"/>
  <c r="AE131" i="13" s="1"/>
  <c r="AL131" i="13" s="1"/>
  <c r="AC167" i="13"/>
  <c r="AE167" i="13" s="1"/>
  <c r="AK167" i="13" s="1"/>
  <c r="AC329" i="13"/>
  <c r="AE329" i="13" s="1"/>
  <c r="AK329" i="13" s="1"/>
  <c r="AC197" i="13"/>
  <c r="AE197" i="13" s="1"/>
  <c r="AC288" i="13"/>
  <c r="AE288" i="13" s="1"/>
  <c r="AK288" i="13" s="1"/>
  <c r="AC159" i="13"/>
  <c r="AE159" i="13" s="1"/>
  <c r="AL159" i="13" s="1"/>
  <c r="AC327" i="13"/>
  <c r="AE327" i="13" s="1"/>
  <c r="AL327" i="13" s="1"/>
  <c r="AC199" i="13"/>
  <c r="AE199" i="13" s="1"/>
  <c r="AL199" i="13" s="1"/>
  <c r="AC184" i="13"/>
  <c r="AE184" i="13" s="1"/>
  <c r="AK184" i="13" s="1"/>
  <c r="AC293" i="13"/>
  <c r="AE293" i="13" s="1"/>
  <c r="AL293" i="13" s="1"/>
  <c r="AC270" i="13"/>
  <c r="AE270" i="13" s="1"/>
  <c r="AL270" i="13" s="1"/>
  <c r="AC170" i="13"/>
  <c r="AE170" i="13" s="1"/>
  <c r="AL170" i="13" s="1"/>
  <c r="AC310" i="13"/>
  <c r="AE310" i="13" s="1"/>
  <c r="AL310" i="13" s="1"/>
  <c r="AD273" i="13"/>
  <c r="BA273" i="13" s="1"/>
  <c r="AC191" i="13"/>
  <c r="AE191" i="13" s="1"/>
  <c r="AK191" i="13" s="1"/>
  <c r="AC157" i="13"/>
  <c r="AE157" i="13" s="1"/>
  <c r="AL157" i="13" s="1"/>
  <c r="AD319" i="13"/>
  <c r="BA319" i="13" s="1"/>
  <c r="AD120" i="13"/>
  <c r="BA120" i="13" s="1"/>
  <c r="AD312" i="13"/>
  <c r="BA312" i="13" s="1"/>
  <c r="AC297" i="13"/>
  <c r="AE297" i="13" s="1"/>
  <c r="AL297" i="13" s="1"/>
  <c r="AC153" i="13"/>
  <c r="AE153" i="13" s="1"/>
  <c r="AC173" i="13"/>
  <c r="AE173" i="13" s="1"/>
  <c r="AL173" i="13" s="1"/>
  <c r="AC302" i="13"/>
  <c r="AE302" i="13" s="1"/>
  <c r="AL302" i="13" s="1"/>
  <c r="AC168" i="13"/>
  <c r="AE168" i="13" s="1"/>
  <c r="AL168" i="13" s="1"/>
  <c r="AC301" i="13"/>
  <c r="AE301" i="13" s="1"/>
  <c r="AL301" i="13" s="1"/>
  <c r="AD142" i="13"/>
  <c r="BA142" i="13" s="1"/>
  <c r="AD289" i="13"/>
  <c r="BA289" i="13" s="1"/>
  <c r="AC128" i="13"/>
  <c r="AE128" i="13" s="1"/>
  <c r="AC148" i="13"/>
  <c r="AE148" i="13" s="1"/>
  <c r="AL148" i="13" s="1"/>
  <c r="AD118" i="13"/>
  <c r="BA118" i="13" s="1"/>
  <c r="AC187" i="13"/>
  <c r="AE187" i="13" s="1"/>
  <c r="AC287" i="13"/>
  <c r="AE287" i="13" s="1"/>
  <c r="AC161" i="13"/>
  <c r="AE161" i="13" s="1"/>
  <c r="AK161" i="13" s="1"/>
  <c r="AD146" i="13"/>
  <c r="BA146" i="13" s="1"/>
  <c r="AD126" i="13"/>
  <c r="BA126" i="13" s="1"/>
  <c r="AC294" i="13"/>
  <c r="AE294" i="13" s="1"/>
  <c r="AK294" i="13" s="1"/>
  <c r="AC268" i="13"/>
  <c r="AE268" i="13" s="1"/>
  <c r="AK268" i="13" s="1"/>
  <c r="AD281" i="13"/>
  <c r="BA281" i="13" s="1"/>
  <c r="AC188" i="13"/>
  <c r="AE188" i="13" s="1"/>
  <c r="AK188" i="13" s="1"/>
  <c r="AD171" i="13"/>
  <c r="BA171" i="13" s="1"/>
  <c r="AC171" i="13"/>
  <c r="AC308" i="13"/>
  <c r="AD308" i="13"/>
  <c r="BA308" i="13" s="1"/>
  <c r="AD175" i="13"/>
  <c r="BA175" i="13" s="1"/>
  <c r="AC175" i="13"/>
  <c r="AD200" i="13"/>
  <c r="BA200" i="13" s="1"/>
  <c r="AC200" i="13"/>
  <c r="AC172" i="13"/>
  <c r="AE172" i="13" s="1"/>
  <c r="AL172" i="13" s="1"/>
  <c r="AC275" i="13"/>
  <c r="AE275" i="13" s="1"/>
  <c r="AL275" i="13" s="1"/>
  <c r="AC180" i="13"/>
  <c r="AE180" i="13" s="1"/>
  <c r="AL180" i="13" s="1"/>
  <c r="AD169" i="13"/>
  <c r="BA169" i="13" s="1"/>
  <c r="AC169" i="13"/>
  <c r="AD181" i="13"/>
  <c r="BA181" i="13" s="1"/>
  <c r="AC181" i="13"/>
  <c r="AC174" i="13"/>
  <c r="AD174" i="13"/>
  <c r="BA174" i="13" s="1"/>
  <c r="AC179" i="13"/>
  <c r="AD179" i="13"/>
  <c r="BA179" i="13" s="1"/>
  <c r="AD145" i="13"/>
  <c r="BA145" i="13" s="1"/>
  <c r="AC135" i="13"/>
  <c r="AE135" i="13" s="1"/>
  <c r="AC150" i="13"/>
  <c r="AE150" i="13" s="1"/>
  <c r="AK150" i="13" s="1"/>
  <c r="AD291" i="13"/>
  <c r="BA291" i="13" s="1"/>
  <c r="AD307" i="13"/>
  <c r="BA307" i="13" s="1"/>
  <c r="AD309" i="13"/>
  <c r="BA309" i="13" s="1"/>
  <c r="AD196" i="13"/>
  <c r="BA196" i="13" s="1"/>
  <c r="AC284" i="13"/>
  <c r="AE284" i="13" s="1"/>
  <c r="AD311" i="13"/>
  <c r="BA311" i="13" s="1"/>
  <c r="AC138" i="13"/>
  <c r="AE138" i="13" s="1"/>
  <c r="AK138" i="13" s="1"/>
  <c r="AC149" i="13"/>
  <c r="AE149" i="13" s="1"/>
  <c r="AC290" i="13"/>
  <c r="AE290" i="13" s="1"/>
  <c r="AD325" i="13"/>
  <c r="BA325" i="13" s="1"/>
  <c r="AC192" i="13"/>
  <c r="AE192" i="13" s="1"/>
  <c r="AK192" i="13" s="1"/>
  <c r="AD122" i="13"/>
  <c r="BA122" i="13" s="1"/>
  <c r="AD292" i="13"/>
  <c r="BA292" i="13" s="1"/>
  <c r="AC201" i="13"/>
  <c r="AE201" i="13" s="1"/>
  <c r="AD305" i="13"/>
  <c r="BA305" i="13" s="1"/>
  <c r="AC276" i="13"/>
  <c r="AE276" i="13" s="1"/>
  <c r="AL276" i="13" s="1"/>
  <c r="AD321" i="13"/>
  <c r="BA321" i="13" s="1"/>
  <c r="AC303" i="13"/>
  <c r="AE303" i="13" s="1"/>
  <c r="AC330" i="13"/>
  <c r="AE330" i="13" s="1"/>
  <c r="AC328" i="13"/>
  <c r="AE328" i="13" s="1"/>
  <c r="AL195" i="13"/>
  <c r="AE137" i="13"/>
  <c r="AK137" i="13" s="1"/>
  <c r="AC272" i="13"/>
  <c r="AE272" i="13" s="1"/>
  <c r="AC190" i="13"/>
  <c r="AE190" i="13" s="1"/>
  <c r="AC177" i="13"/>
  <c r="AE177" i="13" s="1"/>
  <c r="AK177" i="13" s="1"/>
  <c r="AD323" i="13"/>
  <c r="BA323" i="13" s="1"/>
  <c r="AC326" i="13"/>
  <c r="AE326" i="13" s="1"/>
  <c r="AC164" i="13"/>
  <c r="AE164" i="13" s="1"/>
  <c r="AL164" i="13" s="1"/>
  <c r="AC132" i="13"/>
  <c r="AE132" i="13" s="1"/>
  <c r="AD322" i="13"/>
  <c r="BA322" i="13" s="1"/>
  <c r="AC316" i="13"/>
  <c r="AE316" i="13" s="1"/>
  <c r="AL316" i="13" s="1"/>
  <c r="AC178" i="13"/>
  <c r="AE178" i="13" s="1"/>
  <c r="AL178" i="13" s="1"/>
  <c r="AC151" i="13"/>
  <c r="AE151" i="13" s="1"/>
  <c r="AC282" i="13"/>
  <c r="AE282" i="13" s="1"/>
  <c r="AD299" i="13"/>
  <c r="BA299" i="13" s="1"/>
  <c r="AC299" i="13"/>
  <c r="AC186" i="13"/>
  <c r="AE186" i="13" s="1"/>
  <c r="AC318" i="13"/>
  <c r="AE318" i="13" s="1"/>
  <c r="AC314" i="13"/>
  <c r="AE314" i="13" s="1"/>
  <c r="AC324" i="13"/>
  <c r="AD295" i="13"/>
  <c r="BA295" i="13" s="1"/>
  <c r="AC295" i="13"/>
  <c r="AC182" i="13"/>
  <c r="AE182" i="13" s="1"/>
  <c r="AD324" i="13"/>
  <c r="BA324" i="13" s="1"/>
  <c r="AC267" i="13"/>
  <c r="AE267" i="13" s="1"/>
  <c r="AD183" i="13"/>
  <c r="BA183" i="13" s="1"/>
  <c r="AC183" i="13"/>
  <c r="AC304" i="13"/>
  <c r="AE304" i="13" s="1"/>
  <c r="AC194" i="13"/>
  <c r="AE194" i="13" s="1"/>
  <c r="AD286" i="13"/>
  <c r="BA286" i="13" s="1"/>
  <c r="AC286" i="13"/>
  <c r="AC317" i="13"/>
  <c r="AD317" i="13"/>
  <c r="BA317" i="13" s="1"/>
  <c r="AD266" i="13"/>
  <c r="BA266" i="13" s="1"/>
  <c r="AC266" i="13"/>
  <c r="AC285" i="13"/>
  <c r="AD285" i="13"/>
  <c r="BA285" i="13" s="1"/>
  <c r="AC277" i="13"/>
  <c r="AD277" i="13"/>
  <c r="BA277" i="13" s="1"/>
  <c r="AC313" i="13"/>
  <c r="AD313" i="13"/>
  <c r="BA313" i="13" s="1"/>
  <c r="AC315" i="13"/>
  <c r="AD315" i="13"/>
  <c r="BA315" i="13" s="1"/>
  <c r="AD306" i="13"/>
  <c r="BA306" i="13" s="1"/>
  <c r="AC306" i="13"/>
  <c r="AC300" i="13"/>
  <c r="AD300" i="13"/>
  <c r="BA300" i="13" s="1"/>
  <c r="AC296" i="13"/>
  <c r="AD296" i="13"/>
  <c r="BA296" i="13" s="1"/>
  <c r="AD278" i="13"/>
  <c r="BA278" i="13" s="1"/>
  <c r="AC278" i="13"/>
  <c r="AC156" i="13"/>
  <c r="AD156" i="13"/>
  <c r="BA156" i="13" s="1"/>
  <c r="AC198" i="13"/>
  <c r="AD198" i="13"/>
  <c r="BA198" i="13" s="1"/>
  <c r="AC202" i="13"/>
  <c r="AD202" i="13"/>
  <c r="BA202" i="13" s="1"/>
  <c r="AC160" i="13"/>
  <c r="AD160" i="13"/>
  <c r="BA160" i="13" s="1"/>
  <c r="AC162" i="13"/>
  <c r="AD162" i="13"/>
  <c r="BA162" i="13" s="1"/>
  <c r="AE139" i="13"/>
  <c r="AC158" i="13"/>
  <c r="AD158" i="13"/>
  <c r="BA158" i="13" s="1"/>
  <c r="AE125" i="13"/>
  <c r="AC152" i="13"/>
  <c r="AD152" i="13"/>
  <c r="BA152" i="13" s="1"/>
  <c r="AD121" i="13"/>
  <c r="BA121" i="13" s="1"/>
  <c r="AC121" i="13"/>
  <c r="AC154" i="13"/>
  <c r="AD154" i="13"/>
  <c r="BA154" i="13" s="1"/>
  <c r="AD119" i="13"/>
  <c r="BA119" i="13" s="1"/>
  <c r="AC119" i="13"/>
  <c r="AE123" i="13"/>
  <c r="AK163" i="13" l="1"/>
  <c r="AK166" i="13"/>
  <c r="AE279" i="13"/>
  <c r="AK279" i="13" s="1"/>
  <c r="AL191" i="13"/>
  <c r="AE269" i="13"/>
  <c r="AL269" i="13" s="1"/>
  <c r="AK155" i="13"/>
  <c r="AE130" i="13"/>
  <c r="AK130" i="13" s="1"/>
  <c r="AE127" i="13"/>
  <c r="AK127" i="13" s="1"/>
  <c r="AK283" i="13"/>
  <c r="AK176" i="13"/>
  <c r="AE298" i="13"/>
  <c r="AK298" i="13" s="1"/>
  <c r="AE320" i="13"/>
  <c r="AK320" i="13" s="1"/>
  <c r="AE147" i="13"/>
  <c r="AL147" i="13" s="1"/>
  <c r="AE124" i="13"/>
  <c r="AL124" i="13" s="1"/>
  <c r="AE144" i="13"/>
  <c r="AK144" i="13" s="1"/>
  <c r="AE142" i="13"/>
  <c r="AL142" i="13" s="1"/>
  <c r="AE273" i="13"/>
  <c r="AL273" i="13" s="1"/>
  <c r="AE118" i="13"/>
  <c r="AK118" i="13" s="1"/>
  <c r="AE280" i="13"/>
  <c r="AK280" i="13" s="1"/>
  <c r="AE134" i="13"/>
  <c r="AK134" i="13" s="1"/>
  <c r="AE136" i="13"/>
  <c r="AL136" i="13" s="1"/>
  <c r="AK301" i="13"/>
  <c r="AK293" i="13"/>
  <c r="AK173" i="13"/>
  <c r="AL167" i="13"/>
  <c r="AE281" i="13"/>
  <c r="AL281" i="13" s="1"/>
  <c r="AE146" i="13"/>
  <c r="AK146" i="13" s="1"/>
  <c r="AK159" i="13"/>
  <c r="AK157" i="13"/>
  <c r="AE120" i="13"/>
  <c r="AK120" i="13" s="1"/>
  <c r="AK199" i="13"/>
  <c r="AE271" i="13"/>
  <c r="AK271" i="13" s="1"/>
  <c r="AL288" i="13"/>
  <c r="AE289" i="13"/>
  <c r="AK289" i="13" s="1"/>
  <c r="AE307" i="13"/>
  <c r="AL307" i="13" s="1"/>
  <c r="AK270" i="13"/>
  <c r="AE169" i="13"/>
  <c r="AK169" i="13" s="1"/>
  <c r="AK168" i="13"/>
  <c r="AL184" i="13"/>
  <c r="AK170" i="13"/>
  <c r="AK310" i="13"/>
  <c r="AE319" i="13"/>
  <c r="AK319" i="13" s="1"/>
  <c r="AE312" i="13"/>
  <c r="AK312" i="13" s="1"/>
  <c r="AK297" i="13"/>
  <c r="AK172" i="13"/>
  <c r="AL188" i="13"/>
  <c r="AE126" i="13"/>
  <c r="AK126" i="13" s="1"/>
  <c r="AE145" i="13"/>
  <c r="AK145" i="13" s="1"/>
  <c r="AK302" i="13"/>
  <c r="AE175" i="13"/>
  <c r="AK175" i="13" s="1"/>
  <c r="AE171" i="13"/>
  <c r="AK171" i="13" s="1"/>
  <c r="AL268" i="13"/>
  <c r="AL150" i="13"/>
  <c r="AL161" i="13"/>
  <c r="AE181" i="13"/>
  <c r="AK181" i="13" s="1"/>
  <c r="AE308" i="13"/>
  <c r="AL308" i="13" s="1"/>
  <c r="AK180" i="13"/>
  <c r="AE179" i="13"/>
  <c r="AK275" i="13"/>
  <c r="AE174" i="13"/>
  <c r="AE200" i="13"/>
  <c r="AE309" i="13"/>
  <c r="AK309" i="13" s="1"/>
  <c r="AE291" i="13"/>
  <c r="AL291" i="13" s="1"/>
  <c r="AE196" i="13"/>
  <c r="AL196" i="13" s="1"/>
  <c r="AE321" i="13"/>
  <c r="AK321" i="13" s="1"/>
  <c r="AE311" i="13"/>
  <c r="AL311" i="13" s="1"/>
  <c r="AL192" i="13"/>
  <c r="AL137" i="13"/>
  <c r="AE322" i="13"/>
  <c r="AL322" i="13" s="1"/>
  <c r="AL201" i="13"/>
  <c r="AK201" i="13"/>
  <c r="AE122" i="13"/>
  <c r="AK122" i="13" s="1"/>
  <c r="AL149" i="13"/>
  <c r="AK149" i="13"/>
  <c r="AE325" i="13"/>
  <c r="AL325" i="13" s="1"/>
  <c r="AK327" i="13"/>
  <c r="AL138" i="13"/>
  <c r="AK141" i="13"/>
  <c r="AK164" i="13"/>
  <c r="AE305" i="13"/>
  <c r="AL305" i="13" s="1"/>
  <c r="AL177" i="13"/>
  <c r="AE292" i="13"/>
  <c r="AK316" i="13"/>
  <c r="AK131" i="13"/>
  <c r="AL189" i="13"/>
  <c r="AK148" i="13"/>
  <c r="AE183" i="13"/>
  <c r="AK183" i="13" s="1"/>
  <c r="AL274" i="13"/>
  <c r="AL328" i="13"/>
  <c r="AK328" i="13"/>
  <c r="AE295" i="13"/>
  <c r="AK295" i="13" s="1"/>
  <c r="AK272" i="13"/>
  <c r="AL272" i="13"/>
  <c r="AL329" i="13"/>
  <c r="AK133" i="13"/>
  <c r="AE119" i="13"/>
  <c r="AL119" i="13" s="1"/>
  <c r="AK274" i="13"/>
  <c r="AE323" i="13"/>
  <c r="AK323" i="13" s="1"/>
  <c r="AL129" i="13"/>
  <c r="AL143" i="13"/>
  <c r="AL135" i="13"/>
  <c r="AK165" i="13"/>
  <c r="AL132" i="13"/>
  <c r="AE286" i="13"/>
  <c r="AL286" i="13" s="1"/>
  <c r="AE324" i="13"/>
  <c r="AK324" i="13" s="1"/>
  <c r="AK178" i="13"/>
  <c r="AK129" i="13"/>
  <c r="AK132" i="13"/>
  <c r="AK135" i="13"/>
  <c r="AL294" i="13"/>
  <c r="AE300" i="13"/>
  <c r="AK300" i="13" s="1"/>
  <c r="AE313" i="13"/>
  <c r="AK313" i="13" s="1"/>
  <c r="AK276" i="13"/>
  <c r="AK314" i="13"/>
  <c r="AL314" i="13"/>
  <c r="AL186" i="13"/>
  <c r="AK186" i="13"/>
  <c r="AK318" i="13"/>
  <c r="AL318" i="13"/>
  <c r="AE299" i="13"/>
  <c r="AL194" i="13"/>
  <c r="AK194" i="13"/>
  <c r="AK182" i="13"/>
  <c r="AL182" i="13"/>
  <c r="AE121" i="13"/>
  <c r="AL121" i="13" s="1"/>
  <c r="AL304" i="13"/>
  <c r="AK304" i="13"/>
  <c r="AL267" i="13"/>
  <c r="AK267" i="13"/>
  <c r="AL284" i="13"/>
  <c r="AK284" i="13"/>
  <c r="AL282" i="13"/>
  <c r="AK282" i="13"/>
  <c r="AL290" i="13"/>
  <c r="AK290" i="13"/>
  <c r="AE285" i="13"/>
  <c r="AL303" i="13"/>
  <c r="AK303" i="13"/>
  <c r="AL287" i="13"/>
  <c r="AK287" i="13"/>
  <c r="AE296" i="13"/>
  <c r="AE315" i="13"/>
  <c r="AL279" i="13"/>
  <c r="AK326" i="13"/>
  <c r="AL326" i="13"/>
  <c r="AE278" i="13"/>
  <c r="AK330" i="13"/>
  <c r="AL330" i="13"/>
  <c r="AE306" i="13"/>
  <c r="AE277" i="13"/>
  <c r="AE266" i="13"/>
  <c r="AE317" i="13"/>
  <c r="AL123" i="13"/>
  <c r="AK123" i="13"/>
  <c r="AL187" i="13"/>
  <c r="AK187" i="13"/>
  <c r="AE160" i="13"/>
  <c r="AE202" i="13"/>
  <c r="AE198" i="13"/>
  <c r="AE156" i="13"/>
  <c r="AL139" i="13"/>
  <c r="AK139" i="13"/>
  <c r="AE154" i="13"/>
  <c r="AL190" i="13"/>
  <c r="AK190" i="13"/>
  <c r="AL197" i="13"/>
  <c r="AK197" i="13"/>
  <c r="AL151" i="13"/>
  <c r="AK151" i="13"/>
  <c r="AL185" i="13"/>
  <c r="AK185" i="13"/>
  <c r="AE162" i="13"/>
  <c r="AL193" i="13"/>
  <c r="AK193" i="13"/>
  <c r="AK128" i="13"/>
  <c r="AL128" i="13"/>
  <c r="AL153" i="13"/>
  <c r="AK153" i="13"/>
  <c r="AK140" i="13"/>
  <c r="AL140" i="13"/>
  <c r="AE152" i="13"/>
  <c r="AL125" i="13"/>
  <c r="AK125" i="13"/>
  <c r="AE158" i="13"/>
  <c r="AL130" i="13" l="1"/>
  <c r="AL320" i="13"/>
  <c r="AK147" i="13"/>
  <c r="AK269" i="13"/>
  <c r="AL127" i="13"/>
  <c r="AL146" i="13"/>
  <c r="AL298" i="13"/>
  <c r="AL144" i="13"/>
  <c r="AL280" i="13"/>
  <c r="AK124" i="13"/>
  <c r="AK142" i="13"/>
  <c r="AK273" i="13"/>
  <c r="AL118" i="13"/>
  <c r="AL134" i="13"/>
  <c r="AK136" i="13"/>
  <c r="AL271" i="13"/>
  <c r="AL145" i="13"/>
  <c r="AK281" i="13"/>
  <c r="AL120" i="13"/>
  <c r="AK196" i="13"/>
  <c r="AL289" i="13"/>
  <c r="AL319" i="13"/>
  <c r="AK307" i="13"/>
  <c r="AL312" i="13"/>
  <c r="AL169" i="13"/>
  <c r="AL126" i="13"/>
  <c r="AL171" i="13"/>
  <c r="AK308" i="13"/>
  <c r="AL175" i="13"/>
  <c r="AL181" i="13"/>
  <c r="AK291" i="13"/>
  <c r="AL174" i="13"/>
  <c r="AK174" i="13"/>
  <c r="AK179" i="13"/>
  <c r="AL179" i="13"/>
  <c r="AL309" i="13"/>
  <c r="AL200" i="13"/>
  <c r="AK200" i="13"/>
  <c r="AL321" i="13"/>
  <c r="AK322" i="13"/>
  <c r="AL122" i="13"/>
  <c r="AK311" i="13"/>
  <c r="AK121" i="13"/>
  <c r="AK325" i="13"/>
  <c r="AK305" i="13"/>
  <c r="AL295" i="13"/>
  <c r="AK292" i="13"/>
  <c r="AL292" i="13"/>
  <c r="AL313" i="13"/>
  <c r="AL183" i="13"/>
  <c r="AK119" i="13"/>
  <c r="AK286" i="13"/>
  <c r="AL323" i="13"/>
  <c r="AL300" i="13"/>
  <c r="AL324" i="13"/>
  <c r="AL299" i="13"/>
  <c r="AK299" i="13"/>
  <c r="AK285" i="13"/>
  <c r="AL285" i="13"/>
  <c r="AK317" i="13"/>
  <c r="AL317" i="13"/>
  <c r="AK277" i="13"/>
  <c r="AL277" i="13"/>
  <c r="AK315" i="13"/>
  <c r="AL315" i="13"/>
  <c r="AL266" i="13"/>
  <c r="AK266" i="13"/>
  <c r="AL306" i="13"/>
  <c r="AK306" i="13"/>
  <c r="AL278" i="13"/>
  <c r="AK278" i="13"/>
  <c r="AK296" i="13"/>
  <c r="AL296" i="13"/>
  <c r="AK156" i="13"/>
  <c r="AL156" i="13"/>
  <c r="AK160" i="13"/>
  <c r="AL160" i="13"/>
  <c r="AK158" i="13"/>
  <c r="AL158" i="13"/>
  <c r="AK154" i="13"/>
  <c r="AL154" i="13"/>
  <c r="AK198" i="13"/>
  <c r="AL198" i="13"/>
  <c r="AK152" i="13"/>
  <c r="AL152" i="13"/>
  <c r="AK162" i="13"/>
  <c r="AL162" i="13"/>
  <c r="AK202" i="13"/>
  <c r="AL202" i="13"/>
  <c r="I348" i="13" l="1"/>
  <c r="I347" i="13"/>
  <c r="I346" i="13"/>
  <c r="I252" i="13"/>
  <c r="I251" i="13"/>
  <c r="I250" i="13"/>
  <c r="I249" i="13"/>
  <c r="I248" i="13"/>
  <c r="I247" i="13"/>
  <c r="I246" i="13"/>
  <c r="I245" i="13"/>
  <c r="I244" i="13"/>
  <c r="I243" i="13"/>
  <c r="I242" i="13"/>
  <c r="I241" i="13"/>
  <c r="I240" i="13"/>
  <c r="I239" i="13"/>
  <c r="I238" i="13"/>
  <c r="I237" i="13"/>
  <c r="I236" i="13"/>
  <c r="I235" i="13"/>
  <c r="I234" i="13"/>
  <c r="I233" i="13"/>
  <c r="I232" i="13"/>
  <c r="I231" i="13"/>
  <c r="I230" i="13"/>
  <c r="I229" i="13"/>
  <c r="I228" i="13"/>
  <c r="I227" i="13"/>
  <c r="I226" i="13"/>
  <c r="I225" i="13"/>
  <c r="I224" i="13"/>
  <c r="I85" i="13"/>
  <c r="I84" i="13"/>
  <c r="I83" i="13"/>
  <c r="I82" i="13"/>
  <c r="I81" i="13"/>
  <c r="I80" i="13"/>
  <c r="I218" i="13"/>
  <c r="I217" i="13"/>
  <c r="I216" i="13"/>
  <c r="I215" i="13"/>
  <c r="I214" i="13"/>
  <c r="I213" i="13"/>
  <c r="I212" i="13"/>
  <c r="I211" i="13"/>
  <c r="I52" i="13"/>
  <c r="I51" i="13"/>
  <c r="I50" i="13"/>
  <c r="I49" i="13"/>
  <c r="I48" i="13"/>
  <c r="I340" i="13"/>
  <c r="AU47" i="13"/>
  <c r="AZ47" i="13" s="1"/>
  <c r="AJ47" i="13"/>
  <c r="AA47" i="13"/>
  <c r="AD47" i="13" s="1"/>
  <c r="I47" i="13"/>
  <c r="Z47" i="13" s="1"/>
  <c r="D47" i="13"/>
  <c r="S47" i="13" s="1"/>
  <c r="I46" i="13"/>
  <c r="I45" i="13"/>
  <c r="I339" i="13"/>
  <c r="I338" i="13"/>
  <c r="I337" i="13"/>
  <c r="I336" i="13"/>
  <c r="I335" i="13"/>
  <c r="I334" i="13"/>
  <c r="I333" i="13"/>
  <c r="I332" i="13"/>
  <c r="I331" i="13"/>
  <c r="I204" i="13"/>
  <c r="I205" i="13"/>
  <c r="I206" i="13"/>
  <c r="I207" i="13"/>
  <c r="I208" i="13"/>
  <c r="I209" i="13"/>
  <c r="I210" i="13"/>
  <c r="I203" i="13"/>
  <c r="I326" i="13"/>
  <c r="I325" i="13"/>
  <c r="I324" i="13"/>
  <c r="I323" i="13"/>
  <c r="I322" i="13"/>
  <c r="I321" i="13"/>
  <c r="I320" i="13"/>
  <c r="I319" i="13"/>
  <c r="I318" i="13"/>
  <c r="I317" i="13"/>
  <c r="I316" i="13"/>
  <c r="I315" i="13"/>
  <c r="I314" i="13"/>
  <c r="I313" i="13"/>
  <c r="I312" i="13"/>
  <c r="I311" i="13"/>
  <c r="I310" i="13"/>
  <c r="I309" i="13"/>
  <c r="I308" i="13"/>
  <c r="I307" i="13"/>
  <c r="I306" i="13"/>
  <c r="I305" i="13"/>
  <c r="I304" i="13"/>
  <c r="I303" i="13"/>
  <c r="I302" i="13"/>
  <c r="I301" i="13"/>
  <c r="I300" i="13"/>
  <c r="I299" i="13"/>
  <c r="I298" i="13"/>
  <c r="I297" i="13"/>
  <c r="I296" i="13"/>
  <c r="I295" i="13"/>
  <c r="I294" i="13"/>
  <c r="I293" i="13"/>
  <c r="I292" i="13"/>
  <c r="I291" i="13"/>
  <c r="I290" i="13"/>
  <c r="I289" i="13"/>
  <c r="I288" i="13"/>
  <c r="I287" i="13"/>
  <c r="I286" i="13"/>
  <c r="I285" i="13"/>
  <c r="I284" i="13"/>
  <c r="I283" i="13"/>
  <c r="I282" i="13"/>
  <c r="I281" i="13"/>
  <c r="I280" i="13"/>
  <c r="I279" i="13"/>
  <c r="I278" i="13"/>
  <c r="I277" i="13"/>
  <c r="I276" i="13"/>
  <c r="I275" i="13"/>
  <c r="I274" i="13"/>
  <c r="I273" i="13"/>
  <c r="I272" i="13"/>
  <c r="I271" i="13"/>
  <c r="I270" i="13"/>
  <c r="I269" i="13"/>
  <c r="I268" i="13"/>
  <c r="I267" i="13"/>
  <c r="I266" i="13"/>
  <c r="I202" i="13"/>
  <c r="I201" i="13"/>
  <c r="I200" i="13"/>
  <c r="I199" i="13"/>
  <c r="I198" i="13"/>
  <c r="I197" i="13"/>
  <c r="I196" i="13"/>
  <c r="I195" i="13"/>
  <c r="I194" i="13"/>
  <c r="I193" i="13"/>
  <c r="I192" i="13"/>
  <c r="I191" i="13"/>
  <c r="I190" i="13"/>
  <c r="I189" i="13"/>
  <c r="I188" i="13"/>
  <c r="I187" i="13"/>
  <c r="I186" i="13"/>
  <c r="I185" i="13"/>
  <c r="I184" i="13"/>
  <c r="I183" i="13"/>
  <c r="I182" i="13"/>
  <c r="I181" i="13"/>
  <c r="I180" i="13"/>
  <c r="I179" i="13"/>
  <c r="I178" i="13"/>
  <c r="I177" i="13"/>
  <c r="I176" i="13"/>
  <c r="I175" i="13"/>
  <c r="I174" i="13"/>
  <c r="I173" i="13"/>
  <c r="I172" i="13"/>
  <c r="I171" i="13"/>
  <c r="I170" i="13"/>
  <c r="I169" i="13"/>
  <c r="I168" i="13"/>
  <c r="I167" i="13"/>
  <c r="I166" i="13"/>
  <c r="I165" i="13"/>
  <c r="I164" i="13"/>
  <c r="I163" i="13"/>
  <c r="I162" i="13"/>
  <c r="I161" i="13"/>
  <c r="I160" i="13"/>
  <c r="I159" i="13"/>
  <c r="I158" i="13"/>
  <c r="I157" i="13"/>
  <c r="I156" i="13"/>
  <c r="I155" i="13"/>
  <c r="I154" i="13"/>
  <c r="I153" i="13"/>
  <c r="I152" i="13"/>
  <c r="I151" i="13"/>
  <c r="I150" i="13"/>
  <c r="I149" i="13"/>
  <c r="I148" i="13"/>
  <c r="I147" i="13"/>
  <c r="I146" i="13"/>
  <c r="I145" i="13"/>
  <c r="I144" i="13"/>
  <c r="I143" i="13"/>
  <c r="I142" i="13"/>
  <c r="I141" i="13"/>
  <c r="I140" i="13"/>
  <c r="I139" i="13"/>
  <c r="I138" i="13"/>
  <c r="I137" i="13"/>
  <c r="I136" i="13"/>
  <c r="I135" i="13"/>
  <c r="I134" i="13"/>
  <c r="I133" i="13"/>
  <c r="I132" i="13"/>
  <c r="I131" i="13"/>
  <c r="I130" i="13"/>
  <c r="I129" i="13"/>
  <c r="I128" i="13"/>
  <c r="I127" i="13"/>
  <c r="I126" i="13"/>
  <c r="I125" i="13"/>
  <c r="I124" i="13"/>
  <c r="I123" i="13"/>
  <c r="I122" i="13"/>
  <c r="I121" i="13"/>
  <c r="I120" i="13"/>
  <c r="I119" i="13"/>
  <c r="I118" i="13"/>
  <c r="I25" i="13"/>
  <c r="I24" i="13"/>
  <c r="I23" i="13"/>
  <c r="I22" i="13"/>
  <c r="I21" i="13"/>
  <c r="I20" i="13"/>
  <c r="Z127" i="13" l="1"/>
  <c r="K127" i="13"/>
  <c r="Z135" i="13"/>
  <c r="K135" i="13"/>
  <c r="Z139" i="13"/>
  <c r="K139" i="13"/>
  <c r="Z143" i="13"/>
  <c r="K143" i="13"/>
  <c r="Z147" i="13"/>
  <c r="K147" i="13"/>
  <c r="Z151" i="13"/>
  <c r="K151" i="13"/>
  <c r="Z155" i="13"/>
  <c r="K155" i="13"/>
  <c r="Z159" i="13"/>
  <c r="K159" i="13"/>
  <c r="Z163" i="13"/>
  <c r="K163" i="13"/>
  <c r="Z167" i="13"/>
  <c r="K167" i="13"/>
  <c r="Z171" i="13"/>
  <c r="K171" i="13"/>
  <c r="Z175" i="13"/>
  <c r="K175" i="13"/>
  <c r="Z179" i="13"/>
  <c r="K179" i="13"/>
  <c r="Z183" i="13"/>
  <c r="K183" i="13"/>
  <c r="Z187" i="13"/>
  <c r="K187" i="13"/>
  <c r="Z191" i="13"/>
  <c r="K191" i="13"/>
  <c r="Z195" i="13"/>
  <c r="K195" i="13"/>
  <c r="Z199" i="13"/>
  <c r="K199" i="13"/>
  <c r="Z266" i="13"/>
  <c r="K266" i="13"/>
  <c r="Z270" i="13"/>
  <c r="K270" i="13"/>
  <c r="Z274" i="13"/>
  <c r="K274" i="13"/>
  <c r="Z278" i="13"/>
  <c r="K278" i="13"/>
  <c r="Z282" i="13"/>
  <c r="K282" i="13"/>
  <c r="Z286" i="13"/>
  <c r="K286" i="13"/>
  <c r="Z290" i="13"/>
  <c r="K290" i="13"/>
  <c r="Z294" i="13"/>
  <c r="K294" i="13"/>
  <c r="Z298" i="13"/>
  <c r="K298" i="13"/>
  <c r="Z302" i="13"/>
  <c r="K302" i="13"/>
  <c r="Z306" i="13"/>
  <c r="K306" i="13"/>
  <c r="Z310" i="13"/>
  <c r="K310" i="13"/>
  <c r="Z314" i="13"/>
  <c r="K314" i="13"/>
  <c r="Z318" i="13"/>
  <c r="K318" i="13"/>
  <c r="Z322" i="13"/>
  <c r="K322" i="13"/>
  <c r="Z326" i="13"/>
  <c r="K326" i="13"/>
  <c r="Z327" i="13"/>
  <c r="K327" i="13"/>
  <c r="Z124" i="13"/>
  <c r="K124" i="13"/>
  <c r="Z156" i="13"/>
  <c r="K156" i="13"/>
  <c r="Z172" i="13"/>
  <c r="K172" i="13"/>
  <c r="Z184" i="13"/>
  <c r="K184" i="13"/>
  <c r="Z188" i="13"/>
  <c r="K188" i="13"/>
  <c r="Z192" i="13"/>
  <c r="K192" i="13"/>
  <c r="Z196" i="13"/>
  <c r="K196" i="13"/>
  <c r="Z200" i="13"/>
  <c r="K200" i="13"/>
  <c r="Z267" i="13"/>
  <c r="K267" i="13"/>
  <c r="Z271" i="13"/>
  <c r="K271" i="13"/>
  <c r="Z275" i="13"/>
  <c r="K275" i="13"/>
  <c r="Z279" i="13"/>
  <c r="K279" i="13"/>
  <c r="Z283" i="13"/>
  <c r="K283" i="13"/>
  <c r="Z287" i="13"/>
  <c r="K287" i="13"/>
  <c r="Z291" i="13"/>
  <c r="K291" i="13"/>
  <c r="Z295" i="13"/>
  <c r="K295" i="13"/>
  <c r="Z299" i="13"/>
  <c r="K299" i="13"/>
  <c r="Z303" i="13"/>
  <c r="K303" i="13"/>
  <c r="Z307" i="13"/>
  <c r="K307" i="13"/>
  <c r="Z311" i="13"/>
  <c r="K311" i="13"/>
  <c r="Z315" i="13"/>
  <c r="K315" i="13"/>
  <c r="Z319" i="13"/>
  <c r="K319" i="13"/>
  <c r="Z323" i="13"/>
  <c r="K323" i="13"/>
  <c r="Z330" i="13"/>
  <c r="K330" i="13"/>
  <c r="Z119" i="13"/>
  <c r="K119" i="13"/>
  <c r="Z131" i="13"/>
  <c r="K131" i="13"/>
  <c r="Z128" i="13"/>
  <c r="K128" i="13"/>
  <c r="Z136" i="13"/>
  <c r="K136" i="13"/>
  <c r="Z144" i="13"/>
  <c r="K144" i="13"/>
  <c r="Z152" i="13"/>
  <c r="K152" i="13"/>
  <c r="Z164" i="13"/>
  <c r="K164" i="13"/>
  <c r="Z180" i="13"/>
  <c r="K180" i="13"/>
  <c r="Z121" i="13"/>
  <c r="K121" i="13"/>
  <c r="Z125" i="13"/>
  <c r="K125" i="13"/>
  <c r="Z129" i="13"/>
  <c r="K129" i="13"/>
  <c r="Z133" i="13"/>
  <c r="K133" i="13"/>
  <c r="Z137" i="13"/>
  <c r="K137" i="13"/>
  <c r="Z141" i="13"/>
  <c r="K141" i="13"/>
  <c r="Z145" i="13"/>
  <c r="K145" i="13"/>
  <c r="Z149" i="13"/>
  <c r="K149" i="13"/>
  <c r="Z153" i="13"/>
  <c r="K153" i="13"/>
  <c r="Z157" i="13"/>
  <c r="K157" i="13"/>
  <c r="Z161" i="13"/>
  <c r="K161" i="13"/>
  <c r="Z165" i="13"/>
  <c r="K165" i="13"/>
  <c r="Z169" i="13"/>
  <c r="K169" i="13"/>
  <c r="Z173" i="13"/>
  <c r="K173" i="13"/>
  <c r="Z177" i="13"/>
  <c r="K177" i="13"/>
  <c r="Z181" i="13"/>
  <c r="K181" i="13"/>
  <c r="Z185" i="13"/>
  <c r="K185" i="13"/>
  <c r="Z189" i="13"/>
  <c r="K189" i="13"/>
  <c r="Z193" i="13"/>
  <c r="K193" i="13"/>
  <c r="Z197" i="13"/>
  <c r="K197" i="13"/>
  <c r="Z201" i="13"/>
  <c r="K201" i="13"/>
  <c r="Z268" i="13"/>
  <c r="K268" i="13"/>
  <c r="Z272" i="13"/>
  <c r="K272" i="13"/>
  <c r="Z276" i="13"/>
  <c r="K276" i="13"/>
  <c r="Z280" i="13"/>
  <c r="K280" i="13"/>
  <c r="Z284" i="13"/>
  <c r="K284" i="13"/>
  <c r="Z288" i="13"/>
  <c r="K288" i="13"/>
  <c r="Z292" i="13"/>
  <c r="K292" i="13"/>
  <c r="Z296" i="13"/>
  <c r="K296" i="13"/>
  <c r="Z300" i="13"/>
  <c r="K300" i="13"/>
  <c r="Z304" i="13"/>
  <c r="K304" i="13"/>
  <c r="Z308" i="13"/>
  <c r="K308" i="13"/>
  <c r="Z312" i="13"/>
  <c r="K312" i="13"/>
  <c r="Z316" i="13"/>
  <c r="K316" i="13"/>
  <c r="Z320" i="13"/>
  <c r="K320" i="13"/>
  <c r="Z324" i="13"/>
  <c r="K324" i="13"/>
  <c r="Z329" i="13"/>
  <c r="K329" i="13"/>
  <c r="Z123" i="13"/>
  <c r="K123" i="13"/>
  <c r="Z120" i="13"/>
  <c r="K120" i="13"/>
  <c r="Z132" i="13"/>
  <c r="K132" i="13"/>
  <c r="Z140" i="13"/>
  <c r="K140" i="13"/>
  <c r="Z148" i="13"/>
  <c r="K148" i="13"/>
  <c r="Z160" i="13"/>
  <c r="K160" i="13"/>
  <c r="Z168" i="13"/>
  <c r="K168" i="13"/>
  <c r="Z176" i="13"/>
  <c r="K176" i="13"/>
  <c r="Z118" i="13"/>
  <c r="K118" i="13"/>
  <c r="Z122" i="13"/>
  <c r="K122" i="13"/>
  <c r="Z126" i="13"/>
  <c r="K126" i="13"/>
  <c r="Z130" i="13"/>
  <c r="K130" i="13"/>
  <c r="Z134" i="13"/>
  <c r="K134" i="13"/>
  <c r="Z138" i="13"/>
  <c r="K138" i="13"/>
  <c r="Z142" i="13"/>
  <c r="K142" i="13"/>
  <c r="Z146" i="13"/>
  <c r="K146" i="13"/>
  <c r="Z150" i="13"/>
  <c r="K150" i="13"/>
  <c r="Z154" i="13"/>
  <c r="K154" i="13"/>
  <c r="Z158" i="13"/>
  <c r="K158" i="13"/>
  <c r="Z162" i="13"/>
  <c r="K162" i="13"/>
  <c r="Z166" i="13"/>
  <c r="K166" i="13"/>
  <c r="Z170" i="13"/>
  <c r="K170" i="13"/>
  <c r="Z174" i="13"/>
  <c r="K174" i="13"/>
  <c r="Z178" i="13"/>
  <c r="K178" i="13"/>
  <c r="Z182" i="13"/>
  <c r="K182" i="13"/>
  <c r="Z186" i="13"/>
  <c r="K186" i="13"/>
  <c r="Z190" i="13"/>
  <c r="K190" i="13"/>
  <c r="Z194" i="13"/>
  <c r="K194" i="13"/>
  <c r="Z198" i="13"/>
  <c r="K198" i="13"/>
  <c r="Z202" i="13"/>
  <c r="K202" i="13"/>
  <c r="K269" i="13"/>
  <c r="Z269" i="13"/>
  <c r="Z273" i="13"/>
  <c r="K273" i="13"/>
  <c r="Z277" i="13"/>
  <c r="K277" i="13"/>
  <c r="Z281" i="13"/>
  <c r="K281" i="13"/>
  <c r="Z285" i="13"/>
  <c r="K285" i="13"/>
  <c r="Z289" i="13"/>
  <c r="K289" i="13"/>
  <c r="Z293" i="13"/>
  <c r="K293" i="13"/>
  <c r="Z297" i="13"/>
  <c r="K297" i="13"/>
  <c r="Z301" i="13"/>
  <c r="K301" i="13"/>
  <c r="Z305" i="13"/>
  <c r="K305" i="13"/>
  <c r="Z309" i="13"/>
  <c r="K309" i="13"/>
  <c r="Z313" i="13"/>
  <c r="K313" i="13"/>
  <c r="Z317" i="13"/>
  <c r="K317" i="13"/>
  <c r="Z321" i="13"/>
  <c r="K321" i="13"/>
  <c r="Z325" i="13"/>
  <c r="K325" i="13"/>
  <c r="Z328" i="13"/>
  <c r="K328" i="13"/>
  <c r="AC47" i="13"/>
  <c r="AE47" i="13" s="1"/>
  <c r="AK47" i="13" s="1"/>
  <c r="AM47" i="13" s="1"/>
  <c r="BA47" i="13"/>
  <c r="W47" i="13"/>
  <c r="AN47" i="13"/>
  <c r="K47" i="13"/>
  <c r="I90" i="13"/>
  <c r="L47" i="13" l="1"/>
  <c r="M47" i="13" s="1"/>
  <c r="AN328" i="13"/>
  <c r="AO328" i="13"/>
  <c r="AM328" i="13"/>
  <c r="AN313" i="13"/>
  <c r="AO313" i="13"/>
  <c r="AM313" i="13"/>
  <c r="AN297" i="13"/>
  <c r="AO297" i="13"/>
  <c r="AM297" i="13"/>
  <c r="AN273" i="13"/>
  <c r="AO273" i="13"/>
  <c r="AM273" i="13"/>
  <c r="AN194" i="13"/>
  <c r="AO194" i="13"/>
  <c r="AM194" i="13"/>
  <c r="AN178" i="13"/>
  <c r="AO178" i="13"/>
  <c r="AM178" i="13"/>
  <c r="AN162" i="13"/>
  <c r="AO162" i="13"/>
  <c r="AM162" i="13"/>
  <c r="AN138" i="13"/>
  <c r="AO138" i="13"/>
  <c r="AM138" i="13"/>
  <c r="AN122" i="13"/>
  <c r="AO122" i="13"/>
  <c r="AM122" i="13"/>
  <c r="AN140" i="13"/>
  <c r="AO140" i="13"/>
  <c r="AM140" i="13"/>
  <c r="AN329" i="13"/>
  <c r="AO329" i="13"/>
  <c r="AM329" i="13"/>
  <c r="AN312" i="13"/>
  <c r="AM312" i="13"/>
  <c r="AO312" i="13"/>
  <c r="AN296" i="13"/>
  <c r="AO296" i="13"/>
  <c r="AM296" i="13"/>
  <c r="AN288" i="13"/>
  <c r="AO288" i="13"/>
  <c r="AM288" i="13"/>
  <c r="AN201" i="13"/>
  <c r="AM201" i="13"/>
  <c r="AO201" i="13"/>
  <c r="AN193" i="13"/>
  <c r="AO193" i="13"/>
  <c r="AM193" i="13"/>
  <c r="AN177" i="13"/>
  <c r="AO177" i="13"/>
  <c r="AM177" i="13"/>
  <c r="AN161" i="13"/>
  <c r="AO161" i="13"/>
  <c r="AM161" i="13"/>
  <c r="AN145" i="13"/>
  <c r="AO145" i="13"/>
  <c r="AM145" i="13"/>
  <c r="AN121" i="13"/>
  <c r="AO121" i="13"/>
  <c r="AM121" i="13"/>
  <c r="AN164" i="13"/>
  <c r="AO164" i="13"/>
  <c r="AM164" i="13"/>
  <c r="AN119" i="13"/>
  <c r="AO119" i="13"/>
  <c r="AM119" i="13"/>
  <c r="AN315" i="13"/>
  <c r="AO315" i="13"/>
  <c r="AM315" i="13"/>
  <c r="AN299" i="13"/>
  <c r="AO299" i="13"/>
  <c r="AM299" i="13"/>
  <c r="AN283" i="13"/>
  <c r="AO283" i="13"/>
  <c r="AM283" i="13"/>
  <c r="AN124" i="13"/>
  <c r="AO124" i="13"/>
  <c r="AM124" i="13"/>
  <c r="AN325" i="13"/>
  <c r="AO325" i="13"/>
  <c r="AM325" i="13"/>
  <c r="AN317" i="13"/>
  <c r="AO317" i="13"/>
  <c r="AM317" i="13"/>
  <c r="AN309" i="13"/>
  <c r="AM309" i="13"/>
  <c r="AO309" i="13"/>
  <c r="AN301" i="13"/>
  <c r="AO301" i="13"/>
  <c r="AM301" i="13"/>
  <c r="AN293" i="13"/>
  <c r="AO293" i="13"/>
  <c r="AM293" i="13"/>
  <c r="AN285" i="13"/>
  <c r="AO285" i="13"/>
  <c r="AM285" i="13"/>
  <c r="AN277" i="13"/>
  <c r="AO277" i="13"/>
  <c r="AM277" i="13"/>
  <c r="AV269" i="13"/>
  <c r="L269" i="13"/>
  <c r="M269" i="13" s="1"/>
  <c r="AN198" i="13"/>
  <c r="AO198" i="13"/>
  <c r="AM198" i="13"/>
  <c r="AN190" i="13"/>
  <c r="AO190" i="13"/>
  <c r="AM190" i="13"/>
  <c r="AN182" i="13"/>
  <c r="AO182" i="13"/>
  <c r="AM182" i="13"/>
  <c r="AN174" i="13"/>
  <c r="AO174" i="13"/>
  <c r="AM174" i="13"/>
  <c r="AN166" i="13"/>
  <c r="AO166" i="13"/>
  <c r="AM166" i="13"/>
  <c r="AN158" i="13"/>
  <c r="AO158" i="13"/>
  <c r="AM158" i="13"/>
  <c r="AN150" i="13"/>
  <c r="AM150" i="13"/>
  <c r="AO150" i="13"/>
  <c r="AN142" i="13"/>
  <c r="AO142" i="13"/>
  <c r="AM142" i="13"/>
  <c r="AN134" i="13"/>
  <c r="AO134" i="13"/>
  <c r="AM134" i="13"/>
  <c r="AN126" i="13"/>
  <c r="AO126" i="13"/>
  <c r="AM126" i="13"/>
  <c r="AN118" i="13"/>
  <c r="AO118" i="13"/>
  <c r="AM118" i="13"/>
  <c r="AN168" i="13"/>
  <c r="AO168" i="13"/>
  <c r="AM168" i="13"/>
  <c r="AN148" i="13"/>
  <c r="AO148" i="13"/>
  <c r="AM148" i="13"/>
  <c r="AN132" i="13"/>
  <c r="AO132" i="13"/>
  <c r="AM132" i="13"/>
  <c r="AN123" i="13"/>
  <c r="AO123" i="13"/>
  <c r="AM123" i="13"/>
  <c r="AN324" i="13"/>
  <c r="AM324" i="13"/>
  <c r="AO324" i="13"/>
  <c r="AN316" i="13"/>
  <c r="AO316" i="13"/>
  <c r="AM316" i="13"/>
  <c r="AN308" i="13"/>
  <c r="AM308" i="13"/>
  <c r="AO308" i="13"/>
  <c r="AN300" i="13"/>
  <c r="AO300" i="13"/>
  <c r="AM300" i="13"/>
  <c r="AN292" i="13"/>
  <c r="AO292" i="13"/>
  <c r="AM292" i="13"/>
  <c r="AN284" i="13"/>
  <c r="AO284" i="13"/>
  <c r="AM284" i="13"/>
  <c r="AN276" i="13"/>
  <c r="AO276" i="13"/>
  <c r="AM276" i="13"/>
  <c r="AN268" i="13"/>
  <c r="AO268" i="13"/>
  <c r="AM268" i="13"/>
  <c r="AN197" i="13"/>
  <c r="AO197" i="13"/>
  <c r="AM197" i="13"/>
  <c r="AN189" i="13"/>
  <c r="AO189" i="13"/>
  <c r="AM189" i="13"/>
  <c r="AN181" i="13"/>
  <c r="AM181" i="13"/>
  <c r="AO181" i="13"/>
  <c r="AN173" i="13"/>
  <c r="AO173" i="13"/>
  <c r="AM173" i="13"/>
  <c r="AN165" i="13"/>
  <c r="AO165" i="13"/>
  <c r="AM165" i="13"/>
  <c r="AN157" i="13"/>
  <c r="AO157" i="13"/>
  <c r="AM157" i="13"/>
  <c r="AN149" i="13"/>
  <c r="AO149" i="13"/>
  <c r="AM149" i="13"/>
  <c r="AN141" i="13"/>
  <c r="AO141" i="13"/>
  <c r="AM141" i="13"/>
  <c r="AN133" i="13"/>
  <c r="AO133" i="13"/>
  <c r="AM133" i="13"/>
  <c r="AN125" i="13"/>
  <c r="AO125" i="13"/>
  <c r="AM125" i="13"/>
  <c r="AN180" i="13"/>
  <c r="AO180" i="13"/>
  <c r="AM180" i="13"/>
  <c r="AN152" i="13"/>
  <c r="AO152" i="13"/>
  <c r="AM152" i="13"/>
  <c r="AN136" i="13"/>
  <c r="AO136" i="13"/>
  <c r="AM136" i="13"/>
  <c r="AN131" i="13"/>
  <c r="AO131" i="13"/>
  <c r="AM131" i="13"/>
  <c r="AN330" i="13"/>
  <c r="AO330" i="13"/>
  <c r="AM330" i="13"/>
  <c r="AN319" i="13"/>
  <c r="AO319" i="13"/>
  <c r="AM319" i="13"/>
  <c r="AN311" i="13"/>
  <c r="AO311" i="13"/>
  <c r="AM311" i="13"/>
  <c r="AN303" i="13"/>
  <c r="AO303" i="13"/>
  <c r="AM303" i="13"/>
  <c r="AN295" i="13"/>
  <c r="AO295" i="13"/>
  <c r="AM295" i="13"/>
  <c r="AN287" i="13"/>
  <c r="AO287" i="13"/>
  <c r="AM287" i="13"/>
  <c r="AN279" i="13"/>
  <c r="AO279" i="13"/>
  <c r="AM279" i="13"/>
  <c r="AN271" i="13"/>
  <c r="AM271" i="13"/>
  <c r="AO271" i="13"/>
  <c r="AN200" i="13"/>
  <c r="AO200" i="13"/>
  <c r="AM200" i="13"/>
  <c r="AN192" i="13"/>
  <c r="AO192" i="13"/>
  <c r="AM192" i="13"/>
  <c r="AN184" i="13"/>
  <c r="AM184" i="13"/>
  <c r="AO184" i="13"/>
  <c r="AN156" i="13"/>
  <c r="AO156" i="13"/>
  <c r="AM156" i="13"/>
  <c r="AN327" i="13"/>
  <c r="AO327" i="13"/>
  <c r="AM327" i="13"/>
  <c r="AN322" i="13"/>
  <c r="AO322" i="13"/>
  <c r="AM322" i="13"/>
  <c r="AN314" i="13"/>
  <c r="AO314" i="13"/>
  <c r="AM314" i="13"/>
  <c r="AN306" i="13"/>
  <c r="AO306" i="13"/>
  <c r="AM306" i="13"/>
  <c r="AN298" i="13"/>
  <c r="AO298" i="13"/>
  <c r="AM298" i="13"/>
  <c r="AN290" i="13"/>
  <c r="AO290" i="13"/>
  <c r="AM290" i="13"/>
  <c r="AN282" i="13"/>
  <c r="AO282" i="13"/>
  <c r="AM282" i="13"/>
  <c r="AN274" i="13"/>
  <c r="AO274" i="13"/>
  <c r="AM274" i="13"/>
  <c r="AN266" i="13"/>
  <c r="AO266" i="13"/>
  <c r="AM266" i="13"/>
  <c r="AN195" i="13"/>
  <c r="AM195" i="13"/>
  <c r="AO195" i="13"/>
  <c r="AN187" i="13"/>
  <c r="AO187" i="13"/>
  <c r="AM187" i="13"/>
  <c r="AN179" i="13"/>
  <c r="AO179" i="13"/>
  <c r="AM179" i="13"/>
  <c r="AN171" i="13"/>
  <c r="AO171" i="13"/>
  <c r="AM171" i="13"/>
  <c r="AN163" i="13"/>
  <c r="AO163" i="13"/>
  <c r="AM163" i="13"/>
  <c r="AN155" i="13"/>
  <c r="AO155" i="13"/>
  <c r="AM155" i="13"/>
  <c r="AN147" i="13"/>
  <c r="AO147" i="13"/>
  <c r="AM147" i="13"/>
  <c r="AN139" i="13"/>
  <c r="AO139" i="13"/>
  <c r="AM139" i="13"/>
  <c r="AN127" i="13"/>
  <c r="AO127" i="13"/>
  <c r="AM127" i="13"/>
  <c r="L328" i="13"/>
  <c r="M328" i="13" s="1"/>
  <c r="AV328" i="13"/>
  <c r="AV321" i="13"/>
  <c r="L321" i="13"/>
  <c r="M321" i="13" s="1"/>
  <c r="L313" i="13"/>
  <c r="M313" i="13" s="1"/>
  <c r="AV313" i="13"/>
  <c r="L305" i="13"/>
  <c r="M305" i="13" s="1"/>
  <c r="AV305" i="13"/>
  <c r="L297" i="13"/>
  <c r="M297" i="13" s="1"/>
  <c r="AV297" i="13"/>
  <c r="L289" i="13"/>
  <c r="M289" i="13" s="1"/>
  <c r="AV289" i="13"/>
  <c r="AV281" i="13"/>
  <c r="L281" i="13"/>
  <c r="M281" i="13" s="1"/>
  <c r="AV273" i="13"/>
  <c r="L273" i="13"/>
  <c r="M273" i="13" s="1"/>
  <c r="AV202" i="13"/>
  <c r="L202" i="13"/>
  <c r="M202" i="13" s="1"/>
  <c r="L194" i="13"/>
  <c r="M194" i="13" s="1"/>
  <c r="AV194" i="13"/>
  <c r="L186" i="13"/>
  <c r="M186" i="13" s="1"/>
  <c r="AV186" i="13"/>
  <c r="AV178" i="13"/>
  <c r="L178" i="13"/>
  <c r="M178" i="13" s="1"/>
  <c r="L170" i="13"/>
  <c r="M170" i="13" s="1"/>
  <c r="AV170" i="13"/>
  <c r="AV162" i="13"/>
  <c r="L162" i="13"/>
  <c r="M162" i="13" s="1"/>
  <c r="AV154" i="13"/>
  <c r="L154" i="13"/>
  <c r="M154" i="13" s="1"/>
  <c r="L146" i="13"/>
  <c r="M146" i="13" s="1"/>
  <c r="AV146" i="13"/>
  <c r="L138" i="13"/>
  <c r="M138" i="13" s="1"/>
  <c r="AV138" i="13"/>
  <c r="L130" i="13"/>
  <c r="M130" i="13" s="1"/>
  <c r="AV130" i="13"/>
  <c r="L122" i="13"/>
  <c r="M122" i="13" s="1"/>
  <c r="AV122" i="13"/>
  <c r="AV176" i="13"/>
  <c r="L176" i="13"/>
  <c r="M176" i="13" s="1"/>
  <c r="AV160" i="13"/>
  <c r="L160" i="13"/>
  <c r="M160" i="13" s="1"/>
  <c r="L140" i="13"/>
  <c r="M140" i="13" s="1"/>
  <c r="AV140" i="13"/>
  <c r="AV120" i="13"/>
  <c r="L120" i="13"/>
  <c r="M120" i="13" s="1"/>
  <c r="L329" i="13"/>
  <c r="M329" i="13" s="1"/>
  <c r="AV329" i="13"/>
  <c r="L320" i="13"/>
  <c r="M320" i="13" s="1"/>
  <c r="AV320" i="13"/>
  <c r="AV312" i="13"/>
  <c r="L312" i="13"/>
  <c r="M312" i="13" s="1"/>
  <c r="L304" i="13"/>
  <c r="M304" i="13" s="1"/>
  <c r="AV304" i="13"/>
  <c r="AV296" i="13"/>
  <c r="L296" i="13"/>
  <c r="M296" i="13" s="1"/>
  <c r="L288" i="13"/>
  <c r="M288" i="13" s="1"/>
  <c r="AV288" i="13"/>
  <c r="AV280" i="13"/>
  <c r="L280" i="13"/>
  <c r="M280" i="13" s="1"/>
  <c r="L272" i="13"/>
  <c r="M272" i="13" s="1"/>
  <c r="AV272" i="13"/>
  <c r="AV201" i="13"/>
  <c r="L201" i="13"/>
  <c r="M201" i="13" s="1"/>
  <c r="AV193" i="13"/>
  <c r="L193" i="13"/>
  <c r="M193" i="13" s="1"/>
  <c r="AV185" i="13"/>
  <c r="L185" i="13"/>
  <c r="M185" i="13" s="1"/>
  <c r="L177" i="13"/>
  <c r="M177" i="13" s="1"/>
  <c r="AV177" i="13"/>
  <c r="AV169" i="13"/>
  <c r="L169" i="13"/>
  <c r="M169" i="13" s="1"/>
  <c r="AV161" i="13"/>
  <c r="L161" i="13"/>
  <c r="M161" i="13" s="1"/>
  <c r="L153" i="13"/>
  <c r="M153" i="13" s="1"/>
  <c r="AV153" i="13"/>
  <c r="L145" i="13"/>
  <c r="M145" i="13" s="1"/>
  <c r="AV145" i="13"/>
  <c r="L137" i="13"/>
  <c r="M137" i="13" s="1"/>
  <c r="AV137" i="13"/>
  <c r="L129" i="13"/>
  <c r="M129" i="13" s="1"/>
  <c r="AV129" i="13"/>
  <c r="L121" i="13"/>
  <c r="M121" i="13" s="1"/>
  <c r="AV121" i="13"/>
  <c r="AV164" i="13"/>
  <c r="L164" i="13"/>
  <c r="M164" i="13" s="1"/>
  <c r="L144" i="13"/>
  <c r="M144" i="13" s="1"/>
  <c r="AV144" i="13"/>
  <c r="AV128" i="13"/>
  <c r="L128" i="13"/>
  <c r="M128" i="13" s="1"/>
  <c r="L119" i="13"/>
  <c r="M119" i="13" s="1"/>
  <c r="AV119" i="13"/>
  <c r="AV323" i="13"/>
  <c r="L323" i="13"/>
  <c r="M323" i="13" s="1"/>
  <c r="AV315" i="13"/>
  <c r="L315" i="13"/>
  <c r="M315" i="13" s="1"/>
  <c r="L307" i="13"/>
  <c r="M307" i="13" s="1"/>
  <c r="AV307" i="13"/>
  <c r="L299" i="13"/>
  <c r="M299" i="13" s="1"/>
  <c r="AV299" i="13"/>
  <c r="AV291" i="13"/>
  <c r="L291" i="13"/>
  <c r="M291" i="13" s="1"/>
  <c r="AV283" i="13"/>
  <c r="L283" i="13"/>
  <c r="M283" i="13" s="1"/>
  <c r="AV275" i="13"/>
  <c r="L275" i="13"/>
  <c r="M275" i="13" s="1"/>
  <c r="AV267" i="13"/>
  <c r="L267" i="13"/>
  <c r="M267" i="13" s="1"/>
  <c r="L196" i="13"/>
  <c r="M196" i="13" s="1"/>
  <c r="AV196" i="13"/>
  <c r="L188" i="13"/>
  <c r="M188" i="13" s="1"/>
  <c r="AV188" i="13"/>
  <c r="AV172" i="13"/>
  <c r="L172" i="13"/>
  <c r="M172" i="13" s="1"/>
  <c r="AV124" i="13"/>
  <c r="L124" i="13"/>
  <c r="M124" i="13" s="1"/>
  <c r="L326" i="13"/>
  <c r="M326" i="13" s="1"/>
  <c r="AV326" i="13"/>
  <c r="AV318" i="13"/>
  <c r="L318" i="13"/>
  <c r="M318" i="13" s="1"/>
  <c r="L310" i="13"/>
  <c r="M310" i="13" s="1"/>
  <c r="AV310" i="13"/>
  <c r="L302" i="13"/>
  <c r="M302" i="13" s="1"/>
  <c r="AV302" i="13"/>
  <c r="AV294" i="13"/>
  <c r="L294" i="13"/>
  <c r="M294" i="13" s="1"/>
  <c r="L286" i="13"/>
  <c r="M286" i="13" s="1"/>
  <c r="AV286" i="13"/>
  <c r="L278" i="13"/>
  <c r="M278" i="13" s="1"/>
  <c r="AV278" i="13"/>
  <c r="L270" i="13"/>
  <c r="M270" i="13" s="1"/>
  <c r="AV270" i="13"/>
  <c r="AV199" i="13"/>
  <c r="L199" i="13"/>
  <c r="M199" i="13" s="1"/>
  <c r="AV191" i="13"/>
  <c r="L191" i="13"/>
  <c r="M191" i="13" s="1"/>
  <c r="AV183" i="13"/>
  <c r="L183" i="13"/>
  <c r="M183" i="13" s="1"/>
  <c r="AV175" i="13"/>
  <c r="L175" i="13"/>
  <c r="M175" i="13" s="1"/>
  <c r="AV167" i="13"/>
  <c r="L167" i="13"/>
  <c r="M167" i="13" s="1"/>
  <c r="AV159" i="13"/>
  <c r="L159" i="13"/>
  <c r="M159" i="13" s="1"/>
  <c r="L151" i="13"/>
  <c r="M151" i="13" s="1"/>
  <c r="AV151" i="13"/>
  <c r="L143" i="13"/>
  <c r="M143" i="13" s="1"/>
  <c r="AV143" i="13"/>
  <c r="L135" i="13"/>
  <c r="M135" i="13" s="1"/>
  <c r="AV135" i="13"/>
  <c r="AN154" i="13"/>
  <c r="AO154" i="13"/>
  <c r="AM154" i="13"/>
  <c r="AN196" i="13"/>
  <c r="AO196" i="13"/>
  <c r="AM196" i="13"/>
  <c r="AN321" i="13"/>
  <c r="AO321" i="13"/>
  <c r="AM321" i="13"/>
  <c r="AN305" i="13"/>
  <c r="AO305" i="13"/>
  <c r="AM305" i="13"/>
  <c r="AN289" i="13"/>
  <c r="AO289" i="13"/>
  <c r="AM289" i="13"/>
  <c r="AN281" i="13"/>
  <c r="AO281" i="13"/>
  <c r="AM281" i="13"/>
  <c r="AN202" i="13"/>
  <c r="AO202" i="13"/>
  <c r="AM202" i="13"/>
  <c r="AN186" i="13"/>
  <c r="AO186" i="13"/>
  <c r="AM186" i="13"/>
  <c r="AN170" i="13"/>
  <c r="AO170" i="13"/>
  <c r="AM170" i="13"/>
  <c r="AN146" i="13"/>
  <c r="AO146" i="13"/>
  <c r="AM146" i="13"/>
  <c r="AN130" i="13"/>
  <c r="AO130" i="13"/>
  <c r="AM130" i="13"/>
  <c r="AN176" i="13"/>
  <c r="AO176" i="13"/>
  <c r="AM176" i="13"/>
  <c r="AN160" i="13"/>
  <c r="AO160" i="13"/>
  <c r="AM160" i="13"/>
  <c r="AN120" i="13"/>
  <c r="AM120" i="13"/>
  <c r="AO120" i="13"/>
  <c r="AN320" i="13"/>
  <c r="AO320" i="13"/>
  <c r="AM320" i="13"/>
  <c r="AN304" i="13"/>
  <c r="AO304" i="13"/>
  <c r="AM304" i="13"/>
  <c r="AN280" i="13"/>
  <c r="AO280" i="13"/>
  <c r="AM280" i="13"/>
  <c r="AN272" i="13"/>
  <c r="AO272" i="13"/>
  <c r="AM272" i="13"/>
  <c r="AN185" i="13"/>
  <c r="AO185" i="13"/>
  <c r="AM185" i="13"/>
  <c r="AN169" i="13"/>
  <c r="AO169" i="13"/>
  <c r="AM169" i="13"/>
  <c r="AN153" i="13"/>
  <c r="AO153" i="13"/>
  <c r="AM153" i="13"/>
  <c r="AN137" i="13"/>
  <c r="AO137" i="13"/>
  <c r="AM137" i="13"/>
  <c r="AN129" i="13"/>
  <c r="AO129" i="13"/>
  <c r="AM129" i="13"/>
  <c r="AN144" i="13"/>
  <c r="AO144" i="13"/>
  <c r="AM144" i="13"/>
  <c r="AN128" i="13"/>
  <c r="AO128" i="13"/>
  <c r="AM128" i="13"/>
  <c r="AN323" i="13"/>
  <c r="AO323" i="13"/>
  <c r="AM323" i="13"/>
  <c r="AN307" i="13"/>
  <c r="AO307" i="13"/>
  <c r="AM307" i="13"/>
  <c r="AN291" i="13"/>
  <c r="AO291" i="13"/>
  <c r="AM291" i="13"/>
  <c r="AN275" i="13"/>
  <c r="AO275" i="13"/>
  <c r="AM275" i="13"/>
  <c r="AN267" i="13"/>
  <c r="AO267" i="13"/>
  <c r="AM267" i="13"/>
  <c r="AN188" i="13"/>
  <c r="AO188" i="13"/>
  <c r="AM188" i="13"/>
  <c r="AN172" i="13"/>
  <c r="AO172" i="13"/>
  <c r="AM172" i="13"/>
  <c r="AN326" i="13"/>
  <c r="AO326" i="13"/>
  <c r="AM326" i="13"/>
  <c r="AN318" i="13"/>
  <c r="AO318" i="13"/>
  <c r="AM318" i="13"/>
  <c r="AN310" i="13"/>
  <c r="AO310" i="13"/>
  <c r="AM310" i="13"/>
  <c r="AN302" i="13"/>
  <c r="AO302" i="13"/>
  <c r="AM302" i="13"/>
  <c r="AN294" i="13"/>
  <c r="AM294" i="13"/>
  <c r="AO294" i="13"/>
  <c r="AN286" i="13"/>
  <c r="AM286" i="13"/>
  <c r="AO286" i="13"/>
  <c r="AN278" i="13"/>
  <c r="AO278" i="13"/>
  <c r="AM278" i="13"/>
  <c r="AN270" i="13"/>
  <c r="AO270" i="13"/>
  <c r="AM270" i="13"/>
  <c r="AN199" i="13"/>
  <c r="AO199" i="13"/>
  <c r="AM199" i="13"/>
  <c r="AN191" i="13"/>
  <c r="AO191" i="13"/>
  <c r="AM191" i="13"/>
  <c r="AN183" i="13"/>
  <c r="AO183" i="13"/>
  <c r="AM183" i="13"/>
  <c r="AN175" i="13"/>
  <c r="AO175" i="13"/>
  <c r="AM175" i="13"/>
  <c r="AN167" i="13"/>
  <c r="AO167" i="13"/>
  <c r="AM167" i="13"/>
  <c r="AN159" i="13"/>
  <c r="AO159" i="13"/>
  <c r="AM159" i="13"/>
  <c r="AN151" i="13"/>
  <c r="AO151" i="13"/>
  <c r="AM151" i="13"/>
  <c r="AN143" i="13"/>
  <c r="AO143" i="13"/>
  <c r="AM143" i="13"/>
  <c r="AN135" i="13"/>
  <c r="AO135" i="13"/>
  <c r="AM135" i="13"/>
  <c r="AV325" i="13"/>
  <c r="L325" i="13"/>
  <c r="M325" i="13" s="1"/>
  <c r="L317" i="13"/>
  <c r="M317" i="13" s="1"/>
  <c r="AV317" i="13"/>
  <c r="AV309" i="13"/>
  <c r="L309" i="13"/>
  <c r="M309" i="13" s="1"/>
  <c r="AV301" i="13"/>
  <c r="L301" i="13"/>
  <c r="M301" i="13" s="1"/>
  <c r="L293" i="13"/>
  <c r="M293" i="13" s="1"/>
  <c r="AV293" i="13"/>
  <c r="L285" i="13"/>
  <c r="M285" i="13" s="1"/>
  <c r="AV285" i="13"/>
  <c r="AV277" i="13"/>
  <c r="L277" i="13"/>
  <c r="M277" i="13" s="1"/>
  <c r="AN269" i="13"/>
  <c r="AO269" i="13"/>
  <c r="AM269" i="13"/>
  <c r="AV198" i="13"/>
  <c r="L198" i="13"/>
  <c r="M198" i="13" s="1"/>
  <c r="L190" i="13"/>
  <c r="M190" i="13" s="1"/>
  <c r="AV190" i="13"/>
  <c r="AV182" i="13"/>
  <c r="L182" i="13"/>
  <c r="M182" i="13" s="1"/>
  <c r="AV174" i="13"/>
  <c r="L174" i="13"/>
  <c r="M174" i="13" s="1"/>
  <c r="AV166" i="13"/>
  <c r="L166" i="13"/>
  <c r="M166" i="13" s="1"/>
  <c r="AV158" i="13"/>
  <c r="L158" i="13"/>
  <c r="M158" i="13" s="1"/>
  <c r="L150" i="13"/>
  <c r="M150" i="13" s="1"/>
  <c r="AV150" i="13"/>
  <c r="L142" i="13"/>
  <c r="M142" i="13" s="1"/>
  <c r="AV142" i="13"/>
  <c r="L134" i="13"/>
  <c r="M134" i="13" s="1"/>
  <c r="AV134" i="13"/>
  <c r="L126" i="13"/>
  <c r="M126" i="13" s="1"/>
  <c r="AV126" i="13"/>
  <c r="L118" i="13"/>
  <c r="M118" i="13" s="1"/>
  <c r="AV118" i="13"/>
  <c r="AV168" i="13"/>
  <c r="L168" i="13"/>
  <c r="M168" i="13" s="1"/>
  <c r="L148" i="13"/>
  <c r="M148" i="13" s="1"/>
  <c r="AV148" i="13"/>
  <c r="AV132" i="13"/>
  <c r="L132" i="13"/>
  <c r="M132" i="13" s="1"/>
  <c r="AV123" i="13"/>
  <c r="L123" i="13"/>
  <c r="M123" i="13" s="1"/>
  <c r="L324" i="13"/>
  <c r="M324" i="13" s="1"/>
  <c r="AV324" i="13"/>
  <c r="L316" i="13"/>
  <c r="M316" i="13" s="1"/>
  <c r="AV316" i="13"/>
  <c r="L308" i="13"/>
  <c r="M308" i="13" s="1"/>
  <c r="AV308" i="13"/>
  <c r="AV300" i="13"/>
  <c r="L300" i="13"/>
  <c r="M300" i="13" s="1"/>
  <c r="L292" i="13"/>
  <c r="M292" i="13" s="1"/>
  <c r="AV292" i="13"/>
  <c r="L284" i="13"/>
  <c r="M284" i="13" s="1"/>
  <c r="AV284" i="13"/>
  <c r="L276" i="13"/>
  <c r="M276" i="13" s="1"/>
  <c r="AV276" i="13"/>
  <c r="L268" i="13"/>
  <c r="M268" i="13" s="1"/>
  <c r="AV268" i="13"/>
  <c r="AV197" i="13"/>
  <c r="L197" i="13"/>
  <c r="M197" i="13" s="1"/>
  <c r="L189" i="13"/>
  <c r="M189" i="13" s="1"/>
  <c r="AV189" i="13"/>
  <c r="L181" i="13"/>
  <c r="M181" i="13" s="1"/>
  <c r="AV181" i="13"/>
  <c r="AV173" i="13"/>
  <c r="L173" i="13"/>
  <c r="M173" i="13" s="1"/>
  <c r="AV165" i="13"/>
  <c r="L165" i="13"/>
  <c r="M165" i="13" s="1"/>
  <c r="L157" i="13"/>
  <c r="M157" i="13" s="1"/>
  <c r="AV157" i="13"/>
  <c r="AV149" i="13"/>
  <c r="L149" i="13"/>
  <c r="M149" i="13" s="1"/>
  <c r="AV141" i="13"/>
  <c r="L141" i="13"/>
  <c r="M141" i="13" s="1"/>
  <c r="L133" i="13"/>
  <c r="M133" i="13" s="1"/>
  <c r="AV133" i="13"/>
  <c r="AV125" i="13"/>
  <c r="L125" i="13"/>
  <c r="M125" i="13" s="1"/>
  <c r="AV180" i="13"/>
  <c r="L180" i="13"/>
  <c r="M180" i="13" s="1"/>
  <c r="AV152" i="13"/>
  <c r="L152" i="13"/>
  <c r="M152" i="13" s="1"/>
  <c r="L136" i="13"/>
  <c r="M136" i="13" s="1"/>
  <c r="AV136" i="13"/>
  <c r="L131" i="13"/>
  <c r="M131" i="13" s="1"/>
  <c r="AV131" i="13"/>
  <c r="L330" i="13"/>
  <c r="M330" i="13" s="1"/>
  <c r="AV330" i="13"/>
  <c r="L319" i="13"/>
  <c r="M319" i="13" s="1"/>
  <c r="AV319" i="13"/>
  <c r="AV311" i="13"/>
  <c r="L311" i="13"/>
  <c r="M311" i="13" s="1"/>
  <c r="AV303" i="13"/>
  <c r="L303" i="13"/>
  <c r="M303" i="13" s="1"/>
  <c r="AV295" i="13"/>
  <c r="L295" i="13"/>
  <c r="M295" i="13" s="1"/>
  <c r="AV287" i="13"/>
  <c r="L287" i="13"/>
  <c r="M287" i="13" s="1"/>
  <c r="AV279" i="13"/>
  <c r="L279" i="13"/>
  <c r="M279" i="13" s="1"/>
  <c r="L271" i="13"/>
  <c r="M271" i="13" s="1"/>
  <c r="AV271" i="13"/>
  <c r="L200" i="13"/>
  <c r="M200" i="13" s="1"/>
  <c r="AV200" i="13"/>
  <c r="AV192" i="13"/>
  <c r="L192" i="13"/>
  <c r="M192" i="13" s="1"/>
  <c r="AV184" i="13"/>
  <c r="L184" i="13"/>
  <c r="M184" i="13" s="1"/>
  <c r="AV156" i="13"/>
  <c r="L156" i="13"/>
  <c r="M156" i="13" s="1"/>
  <c r="L327" i="13"/>
  <c r="M327" i="13" s="1"/>
  <c r="AV327" i="13"/>
  <c r="AV322" i="13"/>
  <c r="L322" i="13"/>
  <c r="M322" i="13" s="1"/>
  <c r="AV314" i="13"/>
  <c r="L314" i="13"/>
  <c r="M314" i="13" s="1"/>
  <c r="AV306" i="13"/>
  <c r="L306" i="13"/>
  <c r="M306" i="13" s="1"/>
  <c r="AV298" i="13"/>
  <c r="L298" i="13"/>
  <c r="M298" i="13" s="1"/>
  <c r="L290" i="13"/>
  <c r="M290" i="13" s="1"/>
  <c r="AV290" i="13"/>
  <c r="L282" i="13"/>
  <c r="M282" i="13" s="1"/>
  <c r="AV282" i="13"/>
  <c r="L274" i="13"/>
  <c r="M274" i="13" s="1"/>
  <c r="AV274" i="13"/>
  <c r="AV266" i="13"/>
  <c r="L266" i="13"/>
  <c r="M266" i="13" s="1"/>
  <c r="L195" i="13"/>
  <c r="M195" i="13" s="1"/>
  <c r="AV195" i="13"/>
  <c r="L187" i="13"/>
  <c r="M187" i="13" s="1"/>
  <c r="AV187" i="13"/>
  <c r="AV179" i="13"/>
  <c r="L179" i="13"/>
  <c r="M179" i="13" s="1"/>
  <c r="L171" i="13"/>
  <c r="M171" i="13" s="1"/>
  <c r="AV171" i="13"/>
  <c r="AV163" i="13"/>
  <c r="L163" i="13"/>
  <c r="M163" i="13" s="1"/>
  <c r="AV155" i="13"/>
  <c r="L155" i="13"/>
  <c r="M155" i="13" s="1"/>
  <c r="L147" i="13"/>
  <c r="M147" i="13" s="1"/>
  <c r="AV147" i="13"/>
  <c r="L139" i="13"/>
  <c r="M139" i="13" s="1"/>
  <c r="AV139" i="13"/>
  <c r="AV127" i="13"/>
  <c r="L127" i="13"/>
  <c r="M127" i="13" s="1"/>
  <c r="AO47" i="13"/>
  <c r="AL47" i="13"/>
  <c r="AV47" i="13"/>
  <c r="Q127" i="13" l="1"/>
  <c r="AT127" i="13" s="1"/>
  <c r="Q163" i="13"/>
  <c r="AT163" i="13" s="1"/>
  <c r="Q179" i="13"/>
  <c r="AT179" i="13" s="1"/>
  <c r="Q306" i="13"/>
  <c r="AT306" i="13" s="1"/>
  <c r="Q322" i="13"/>
  <c r="AT322" i="13" s="1"/>
  <c r="Q128" i="13"/>
  <c r="AT128" i="13" s="1"/>
  <c r="Q161" i="13"/>
  <c r="AT161" i="13" s="1"/>
  <c r="Q193" i="13"/>
  <c r="AT193" i="13" s="1"/>
  <c r="Q160" i="13"/>
  <c r="AT160" i="13" s="1"/>
  <c r="Q202" i="13"/>
  <c r="AT202" i="13" s="1"/>
  <c r="Q155" i="13"/>
  <c r="AT155" i="13" s="1"/>
  <c r="Q314" i="13"/>
  <c r="AT314" i="13" s="1"/>
  <c r="Q184" i="13"/>
  <c r="AT184" i="13" s="1"/>
  <c r="Q279" i="13"/>
  <c r="AT279" i="13" s="1"/>
  <c r="Q311" i="13"/>
  <c r="AT311" i="13" s="1"/>
  <c r="Q165" i="13"/>
  <c r="AT165" i="13" s="1"/>
  <c r="Q197" i="13"/>
  <c r="AT197" i="13" s="1"/>
  <c r="Q168" i="13"/>
  <c r="AT168" i="13" s="1"/>
  <c r="Q174" i="13"/>
  <c r="AT174" i="13" s="1"/>
  <c r="Q309" i="13"/>
  <c r="AT309" i="13" s="1"/>
  <c r="Q286" i="13"/>
  <c r="AT286" i="13" s="1"/>
  <c r="Q187" i="13"/>
  <c r="AT187" i="13" s="1"/>
  <c r="Q282" i="13"/>
  <c r="AT282" i="13" s="1"/>
  <c r="Q136" i="13"/>
  <c r="AT136" i="13" s="1"/>
  <c r="Q133" i="13"/>
  <c r="AT133" i="13" s="1"/>
  <c r="Q292" i="13"/>
  <c r="AT292" i="13" s="1"/>
  <c r="Q324" i="13"/>
  <c r="AT324" i="13" s="1"/>
  <c r="Q142" i="13"/>
  <c r="AT142" i="13" s="1"/>
  <c r="Q320" i="13"/>
  <c r="AT320" i="13" s="1"/>
  <c r="Q138" i="13"/>
  <c r="AT138" i="13" s="1"/>
  <c r="Q297" i="13"/>
  <c r="AT297" i="13" s="1"/>
  <c r="Q328" i="13"/>
  <c r="AT328" i="13" s="1"/>
  <c r="Q195" i="13"/>
  <c r="AT195" i="13" s="1"/>
  <c r="Q287" i="13"/>
  <c r="AT287" i="13" s="1"/>
  <c r="Q319" i="13"/>
  <c r="AT319" i="13" s="1"/>
  <c r="Q152" i="13"/>
  <c r="AT152" i="13" s="1"/>
  <c r="Q141" i="13"/>
  <c r="AT141" i="13" s="1"/>
  <c r="Q300" i="13"/>
  <c r="AT300" i="13" s="1"/>
  <c r="Q150" i="13"/>
  <c r="AT150" i="13" s="1"/>
  <c r="Q182" i="13"/>
  <c r="AT182" i="13" s="1"/>
  <c r="Q135" i="13"/>
  <c r="AT135" i="13" s="1"/>
  <c r="Q167" i="13"/>
  <c r="AT167" i="13" s="1"/>
  <c r="Q199" i="13"/>
  <c r="AT199" i="13" s="1"/>
  <c r="Q294" i="13"/>
  <c r="AT294" i="13" s="1"/>
  <c r="Q326" i="13"/>
  <c r="AT326" i="13" s="1"/>
  <c r="Q323" i="13"/>
  <c r="AT323" i="13" s="1"/>
  <c r="Q164" i="13"/>
  <c r="AT164" i="13" s="1"/>
  <c r="Q145" i="13"/>
  <c r="AT145" i="13" s="1"/>
  <c r="Q177" i="13"/>
  <c r="AT177" i="13" s="1"/>
  <c r="Q272" i="13"/>
  <c r="AT272" i="13" s="1"/>
  <c r="Q304" i="13"/>
  <c r="AT304" i="13" s="1"/>
  <c r="Q120" i="13"/>
  <c r="AT120" i="13" s="1"/>
  <c r="Q122" i="13"/>
  <c r="AT122" i="13" s="1"/>
  <c r="Q154" i="13"/>
  <c r="AT154" i="13" s="1"/>
  <c r="Q186" i="13"/>
  <c r="AT186" i="13" s="1"/>
  <c r="Q281" i="13"/>
  <c r="AT281" i="13" s="1"/>
  <c r="Q313" i="13"/>
  <c r="AT313" i="13" s="1"/>
  <c r="Q123" i="13"/>
  <c r="AT123" i="13" s="1"/>
  <c r="Q285" i="13"/>
  <c r="AT285" i="13" s="1"/>
  <c r="Q159" i="13"/>
  <c r="AT159" i="13" s="1"/>
  <c r="Q191" i="13"/>
  <c r="AT191" i="13" s="1"/>
  <c r="Q318" i="13"/>
  <c r="AT318" i="13" s="1"/>
  <c r="Q283" i="13"/>
  <c r="AT283" i="13" s="1"/>
  <c r="Q315" i="13"/>
  <c r="AT315" i="13" s="1"/>
  <c r="Q169" i="13"/>
  <c r="AT169" i="13" s="1"/>
  <c r="Q201" i="13"/>
  <c r="AT201" i="13" s="1"/>
  <c r="Q296" i="13"/>
  <c r="AT296" i="13" s="1"/>
  <c r="Q176" i="13"/>
  <c r="AT176" i="13" s="1"/>
  <c r="Q178" i="13"/>
  <c r="AT178" i="13" s="1"/>
  <c r="Q273" i="13"/>
  <c r="AT273" i="13" s="1"/>
  <c r="Q139" i="13"/>
  <c r="AT139" i="13" s="1"/>
  <c r="Q171" i="13"/>
  <c r="AT171" i="13" s="1"/>
  <c r="Q266" i="13"/>
  <c r="AT266" i="13" s="1"/>
  <c r="Q298" i="13"/>
  <c r="AT298" i="13" s="1"/>
  <c r="Q327" i="13"/>
  <c r="AT327" i="13" s="1"/>
  <c r="Q200" i="13"/>
  <c r="AT200" i="13" s="1"/>
  <c r="Q295" i="13"/>
  <c r="AT295" i="13" s="1"/>
  <c r="Q330" i="13"/>
  <c r="AT330" i="13" s="1"/>
  <c r="Q180" i="13"/>
  <c r="AT180" i="13" s="1"/>
  <c r="Q149" i="13"/>
  <c r="AT149" i="13" s="1"/>
  <c r="Q181" i="13"/>
  <c r="AT181" i="13" s="1"/>
  <c r="Q276" i="13"/>
  <c r="AT276" i="13" s="1"/>
  <c r="Q308" i="13"/>
  <c r="AT308" i="13" s="1"/>
  <c r="Q132" i="13"/>
  <c r="AT132" i="13" s="1"/>
  <c r="Q126" i="13"/>
  <c r="AT126" i="13" s="1"/>
  <c r="Q190" i="13"/>
  <c r="AT190" i="13" s="1"/>
  <c r="Q293" i="13"/>
  <c r="AT293" i="13" s="1"/>
  <c r="Q325" i="13"/>
  <c r="AT325" i="13" s="1"/>
  <c r="Q143" i="13"/>
  <c r="AT143" i="13" s="1"/>
  <c r="Q175" i="13"/>
  <c r="AT175" i="13" s="1"/>
  <c r="Q302" i="13"/>
  <c r="AT302" i="13" s="1"/>
  <c r="Q124" i="13"/>
  <c r="AT124" i="13" s="1"/>
  <c r="Q267" i="13"/>
  <c r="AT267" i="13" s="1"/>
  <c r="Q185" i="13"/>
  <c r="AT185" i="13" s="1"/>
  <c r="Q280" i="13"/>
  <c r="AT280" i="13" s="1"/>
  <c r="Q312" i="13"/>
  <c r="AT312" i="13" s="1"/>
  <c r="Q162" i="13"/>
  <c r="AT162" i="13" s="1"/>
  <c r="Q321" i="13"/>
  <c r="AT321" i="13" s="1"/>
  <c r="Q192" i="13"/>
  <c r="AT192" i="13" s="1"/>
  <c r="Q173" i="13"/>
  <c r="AT173" i="13" s="1"/>
  <c r="Q317" i="13"/>
  <c r="AT317" i="13" s="1"/>
  <c r="Q290" i="13"/>
  <c r="AT290" i="13" s="1"/>
  <c r="Q268" i="13"/>
  <c r="AT268" i="13" s="1"/>
  <c r="Q118" i="13"/>
  <c r="AT118" i="13" s="1"/>
  <c r="Q277" i="13"/>
  <c r="AT277" i="13" s="1"/>
  <c r="Q270" i="13"/>
  <c r="AT270" i="13" s="1"/>
  <c r="Q188" i="13"/>
  <c r="AT188" i="13" s="1"/>
  <c r="Q299" i="13"/>
  <c r="AT299" i="13" s="1"/>
  <c r="Q119" i="13"/>
  <c r="AT119" i="13" s="1"/>
  <c r="Q144" i="13"/>
  <c r="AT144" i="13" s="1"/>
  <c r="Q121" i="13"/>
  <c r="AT121" i="13" s="1"/>
  <c r="Q137" i="13"/>
  <c r="AT137" i="13" s="1"/>
  <c r="Q153" i="13"/>
  <c r="AT153" i="13" s="1"/>
  <c r="Q329" i="13"/>
  <c r="AT329" i="13" s="1"/>
  <c r="Q140" i="13"/>
  <c r="AT140" i="13" s="1"/>
  <c r="Q130" i="13"/>
  <c r="AT130" i="13" s="1"/>
  <c r="Q146" i="13"/>
  <c r="AT146" i="13" s="1"/>
  <c r="Q194" i="13"/>
  <c r="AT194" i="13" s="1"/>
  <c r="Q289" i="13"/>
  <c r="AT289" i="13" s="1"/>
  <c r="Q305" i="13"/>
  <c r="AT305" i="13" s="1"/>
  <c r="Q269" i="13"/>
  <c r="AT269" i="13" s="1"/>
  <c r="Q147" i="13"/>
  <c r="AT147" i="13" s="1"/>
  <c r="Q274" i="13"/>
  <c r="AT274" i="13" s="1"/>
  <c r="Q156" i="13"/>
  <c r="AT156" i="13" s="1"/>
  <c r="Q271" i="13"/>
  <c r="AT271" i="13" s="1"/>
  <c r="Q303" i="13"/>
  <c r="AT303" i="13" s="1"/>
  <c r="Q131" i="13"/>
  <c r="AT131" i="13" s="1"/>
  <c r="Q125" i="13"/>
  <c r="AT125" i="13" s="1"/>
  <c r="Q157" i="13"/>
  <c r="AT157" i="13" s="1"/>
  <c r="Q189" i="13"/>
  <c r="AT189" i="13" s="1"/>
  <c r="Q284" i="13"/>
  <c r="AT284" i="13" s="1"/>
  <c r="Q316" i="13"/>
  <c r="AT316" i="13" s="1"/>
  <c r="Q148" i="13"/>
  <c r="AT148" i="13" s="1"/>
  <c r="Q134" i="13"/>
  <c r="AT134" i="13" s="1"/>
  <c r="Q166" i="13"/>
  <c r="AT166" i="13" s="1"/>
  <c r="Q198" i="13"/>
  <c r="AT198" i="13" s="1"/>
  <c r="Q301" i="13"/>
  <c r="AT301" i="13" s="1"/>
  <c r="Q151" i="13"/>
  <c r="AT151" i="13" s="1"/>
  <c r="Q183" i="13"/>
  <c r="AT183" i="13" s="1"/>
  <c r="Q278" i="13"/>
  <c r="AT278" i="13" s="1"/>
  <c r="Q310" i="13"/>
  <c r="AT310" i="13" s="1"/>
  <c r="Q172" i="13"/>
  <c r="AT172" i="13" s="1"/>
  <c r="Q275" i="13"/>
  <c r="AT275" i="13" s="1"/>
  <c r="Q129" i="13"/>
  <c r="AT129" i="13" s="1"/>
  <c r="Q288" i="13"/>
  <c r="AT288" i="13" s="1"/>
  <c r="AY197" i="13"/>
  <c r="BB197" i="13" s="1"/>
  <c r="AX197" i="13"/>
  <c r="AX132" i="13"/>
  <c r="AY132" i="13"/>
  <c r="BB132" i="13" s="1"/>
  <c r="AY270" i="13"/>
  <c r="BB270" i="13" s="1"/>
  <c r="AX270" i="13"/>
  <c r="AY286" i="13"/>
  <c r="BB286" i="13" s="1"/>
  <c r="AX286" i="13"/>
  <c r="AY302" i="13"/>
  <c r="BB302" i="13" s="1"/>
  <c r="AX302" i="13"/>
  <c r="AX172" i="13"/>
  <c r="AY172" i="13"/>
  <c r="BB172" i="13" s="1"/>
  <c r="Q196" i="13"/>
  <c r="AT196" i="13" s="1"/>
  <c r="AX275" i="13"/>
  <c r="AY275" i="13"/>
  <c r="BB275" i="13" s="1"/>
  <c r="AX291" i="13"/>
  <c r="AY291" i="13"/>
  <c r="BB291" i="13" s="1"/>
  <c r="Q307" i="13"/>
  <c r="AT307" i="13" s="1"/>
  <c r="AX323" i="13"/>
  <c r="AY323" i="13"/>
  <c r="BB323" i="13" s="1"/>
  <c r="AX128" i="13"/>
  <c r="AY128" i="13"/>
  <c r="BB128" i="13" s="1"/>
  <c r="AX164" i="13"/>
  <c r="AY164" i="13"/>
  <c r="BB164" i="13" s="1"/>
  <c r="AX161" i="13"/>
  <c r="AY161" i="13"/>
  <c r="BB161" i="13" s="1"/>
  <c r="AY193" i="13"/>
  <c r="BB193" i="13" s="1"/>
  <c r="AX193" i="13"/>
  <c r="AY120" i="13"/>
  <c r="BB120" i="13" s="1"/>
  <c r="AX120" i="13"/>
  <c r="AX154" i="13"/>
  <c r="AY154" i="13"/>
  <c r="BB154" i="13" s="1"/>
  <c r="Q170" i="13"/>
  <c r="AT170" i="13" s="1"/>
  <c r="AY202" i="13"/>
  <c r="BB202" i="13" s="1"/>
  <c r="AX202" i="13"/>
  <c r="AX281" i="13"/>
  <c r="AY281" i="13"/>
  <c r="BB281" i="13" s="1"/>
  <c r="AY269" i="13"/>
  <c r="BB269" i="13" s="1"/>
  <c r="AX269" i="13"/>
  <c r="AY163" i="13"/>
  <c r="BB163" i="13" s="1"/>
  <c r="AX163" i="13"/>
  <c r="AX179" i="13"/>
  <c r="AY179" i="13"/>
  <c r="BB179" i="13" s="1"/>
  <c r="AX322" i="13"/>
  <c r="AY322" i="13"/>
  <c r="BB322" i="13" s="1"/>
  <c r="AX156" i="13"/>
  <c r="AY156" i="13"/>
  <c r="BB156" i="13" s="1"/>
  <c r="AY192" i="13"/>
  <c r="BB192" i="13" s="1"/>
  <c r="AX192" i="13"/>
  <c r="AY157" i="13"/>
  <c r="BB157" i="13" s="1"/>
  <c r="AX157" i="13"/>
  <c r="AX139" i="13"/>
  <c r="AY139" i="13"/>
  <c r="BB139" i="13" s="1"/>
  <c r="AY282" i="13"/>
  <c r="BB282" i="13" s="1"/>
  <c r="AX282" i="13"/>
  <c r="AY327" i="13"/>
  <c r="BB327" i="13" s="1"/>
  <c r="AX327" i="13"/>
  <c r="AX330" i="13"/>
  <c r="AY330" i="13"/>
  <c r="BB330" i="13" s="1"/>
  <c r="AX152" i="13"/>
  <c r="AY152" i="13"/>
  <c r="BB152" i="13" s="1"/>
  <c r="AY316" i="13"/>
  <c r="BB316" i="13" s="1"/>
  <c r="AX316" i="13"/>
  <c r="AY142" i="13"/>
  <c r="BB142" i="13" s="1"/>
  <c r="AX142" i="13"/>
  <c r="AX175" i="13"/>
  <c r="AY175" i="13"/>
  <c r="BB175" i="13" s="1"/>
  <c r="AY191" i="13"/>
  <c r="BB191" i="13" s="1"/>
  <c r="AX191" i="13"/>
  <c r="AX144" i="13"/>
  <c r="AY144" i="13"/>
  <c r="BB144" i="13" s="1"/>
  <c r="AY137" i="13"/>
  <c r="BB137" i="13" s="1"/>
  <c r="AX137" i="13"/>
  <c r="AX153" i="13"/>
  <c r="AY153" i="13"/>
  <c r="BB153" i="13" s="1"/>
  <c r="AY140" i="13"/>
  <c r="BB140" i="13" s="1"/>
  <c r="AX140" i="13"/>
  <c r="AY146" i="13"/>
  <c r="BB146" i="13" s="1"/>
  <c r="AX146" i="13"/>
  <c r="AX194" i="13"/>
  <c r="AY194" i="13"/>
  <c r="BB194" i="13" s="1"/>
  <c r="AX155" i="13"/>
  <c r="AY155" i="13"/>
  <c r="BB155" i="13" s="1"/>
  <c r="AY266" i="13"/>
  <c r="BB266" i="13" s="1"/>
  <c r="AX266" i="13"/>
  <c r="AX298" i="13"/>
  <c r="AY298" i="13"/>
  <c r="BB298" i="13" s="1"/>
  <c r="AX314" i="13"/>
  <c r="AY314" i="13"/>
  <c r="BB314" i="13" s="1"/>
  <c r="AX184" i="13"/>
  <c r="AY184" i="13"/>
  <c r="BB184" i="13" s="1"/>
  <c r="AX279" i="13"/>
  <c r="AY279" i="13"/>
  <c r="BB279" i="13" s="1"/>
  <c r="AX295" i="13"/>
  <c r="AY295" i="13"/>
  <c r="BB295" i="13" s="1"/>
  <c r="AX311" i="13"/>
  <c r="AY311" i="13"/>
  <c r="BB311" i="13" s="1"/>
  <c r="AY136" i="13"/>
  <c r="BB136" i="13" s="1"/>
  <c r="AX136" i="13"/>
  <c r="AY133" i="13"/>
  <c r="BB133" i="13" s="1"/>
  <c r="AX133" i="13"/>
  <c r="AX173" i="13"/>
  <c r="AY173" i="13"/>
  <c r="BB173" i="13" s="1"/>
  <c r="AX300" i="13"/>
  <c r="AY300" i="13"/>
  <c r="BB300" i="13" s="1"/>
  <c r="AY123" i="13"/>
  <c r="BB123" i="13" s="1"/>
  <c r="AX123" i="13"/>
  <c r="AY118" i="13"/>
  <c r="BB118" i="13" s="1"/>
  <c r="AX118" i="13"/>
  <c r="AX134" i="13"/>
  <c r="AY134" i="13"/>
  <c r="BB134" i="13" s="1"/>
  <c r="Q158" i="13"/>
  <c r="AT158" i="13" s="1"/>
  <c r="AY190" i="13"/>
  <c r="BB190" i="13" s="1"/>
  <c r="AX190" i="13"/>
  <c r="AX277" i="13"/>
  <c r="AY277" i="13"/>
  <c r="BB277" i="13" s="1"/>
  <c r="AX309" i="13"/>
  <c r="AY309" i="13"/>
  <c r="BB309" i="13" s="1"/>
  <c r="AY325" i="13"/>
  <c r="BB325" i="13" s="1"/>
  <c r="AX325" i="13"/>
  <c r="AX135" i="13"/>
  <c r="AY135" i="13"/>
  <c r="BB135" i="13" s="1"/>
  <c r="AX151" i="13"/>
  <c r="AY151" i="13"/>
  <c r="BB151" i="13" s="1"/>
  <c r="AX278" i="13"/>
  <c r="AY278" i="13"/>
  <c r="BB278" i="13" s="1"/>
  <c r="AX310" i="13"/>
  <c r="AY310" i="13"/>
  <c r="BB310" i="13" s="1"/>
  <c r="AX318" i="13"/>
  <c r="AY318" i="13"/>
  <c r="BB318" i="13" s="1"/>
  <c r="AY124" i="13"/>
  <c r="BB124" i="13" s="1"/>
  <c r="AX124" i="13"/>
  <c r="AY267" i="13"/>
  <c r="BB267" i="13" s="1"/>
  <c r="AX267" i="13"/>
  <c r="AX283" i="13"/>
  <c r="AY283" i="13"/>
  <c r="BB283" i="13" s="1"/>
  <c r="AY315" i="13"/>
  <c r="BB315" i="13" s="1"/>
  <c r="AX315" i="13"/>
  <c r="AX169" i="13"/>
  <c r="AY169" i="13"/>
  <c r="BB169" i="13" s="1"/>
  <c r="AY185" i="13"/>
  <c r="BB185" i="13" s="1"/>
  <c r="AX185" i="13"/>
  <c r="AY201" i="13"/>
  <c r="BB201" i="13" s="1"/>
  <c r="AX201" i="13"/>
  <c r="AY280" i="13"/>
  <c r="BB280" i="13" s="1"/>
  <c r="AX280" i="13"/>
  <c r="AX296" i="13"/>
  <c r="AY296" i="13"/>
  <c r="BB296" i="13" s="1"/>
  <c r="AY312" i="13"/>
  <c r="BB312" i="13" s="1"/>
  <c r="AX312" i="13"/>
  <c r="AX162" i="13"/>
  <c r="AY162" i="13"/>
  <c r="BB162" i="13" s="1"/>
  <c r="AY178" i="13"/>
  <c r="BB178" i="13" s="1"/>
  <c r="AX178" i="13"/>
  <c r="AX273" i="13"/>
  <c r="AY273" i="13"/>
  <c r="BB273" i="13" s="1"/>
  <c r="AY321" i="13"/>
  <c r="BB321" i="13" s="1"/>
  <c r="AX321" i="13"/>
  <c r="AY127" i="13"/>
  <c r="BB127" i="13" s="1"/>
  <c r="AX127" i="13"/>
  <c r="AY306" i="13"/>
  <c r="BB306" i="13" s="1"/>
  <c r="AX306" i="13"/>
  <c r="AX287" i="13"/>
  <c r="AY287" i="13"/>
  <c r="BB287" i="13" s="1"/>
  <c r="AY303" i="13"/>
  <c r="BB303" i="13" s="1"/>
  <c r="AX303" i="13"/>
  <c r="AY131" i="13"/>
  <c r="BB131" i="13" s="1"/>
  <c r="AX131" i="13"/>
  <c r="AX165" i="13"/>
  <c r="AY165" i="13"/>
  <c r="BB165" i="13" s="1"/>
  <c r="AY126" i="13"/>
  <c r="BB126" i="13" s="1"/>
  <c r="AX126" i="13"/>
  <c r="AY150" i="13"/>
  <c r="BB150" i="13" s="1"/>
  <c r="AX150" i="13"/>
  <c r="AY301" i="13"/>
  <c r="BB301" i="13" s="1"/>
  <c r="AX301" i="13"/>
  <c r="AY143" i="13"/>
  <c r="BB143" i="13" s="1"/>
  <c r="AX143" i="13"/>
  <c r="AY171" i="13"/>
  <c r="BB171" i="13" s="1"/>
  <c r="AX171" i="13"/>
  <c r="AY187" i="13"/>
  <c r="BB187" i="13" s="1"/>
  <c r="AX187" i="13"/>
  <c r="AX200" i="13"/>
  <c r="AY200" i="13"/>
  <c r="BB200" i="13" s="1"/>
  <c r="AY125" i="13"/>
  <c r="BB125" i="13" s="1"/>
  <c r="AX125" i="13"/>
  <c r="AY141" i="13"/>
  <c r="BB141" i="13" s="1"/>
  <c r="AX141" i="13"/>
  <c r="AY189" i="13"/>
  <c r="BB189" i="13" s="1"/>
  <c r="AX189" i="13"/>
  <c r="AY268" i="13"/>
  <c r="BB268" i="13" s="1"/>
  <c r="AX268" i="13"/>
  <c r="AX284" i="13"/>
  <c r="AY284" i="13"/>
  <c r="BB284" i="13" s="1"/>
  <c r="AY148" i="13"/>
  <c r="BB148" i="13" s="1"/>
  <c r="AX148" i="13"/>
  <c r="AY168" i="13"/>
  <c r="BB168" i="13" s="1"/>
  <c r="AX168" i="13"/>
  <c r="AX166" i="13"/>
  <c r="AY166" i="13"/>
  <c r="BB166" i="13" s="1"/>
  <c r="AX182" i="13"/>
  <c r="AY182" i="13"/>
  <c r="BB182" i="13" s="1"/>
  <c r="AX198" i="13"/>
  <c r="AY198" i="13"/>
  <c r="BB198" i="13" s="1"/>
  <c r="AY293" i="13"/>
  <c r="BB293" i="13" s="1"/>
  <c r="AX293" i="13"/>
  <c r="AX159" i="13"/>
  <c r="AY159" i="13"/>
  <c r="BB159" i="13" s="1"/>
  <c r="AY188" i="13"/>
  <c r="BB188" i="13" s="1"/>
  <c r="AX188" i="13"/>
  <c r="AX299" i="13"/>
  <c r="AY299" i="13"/>
  <c r="BB299" i="13" s="1"/>
  <c r="AX119" i="13"/>
  <c r="AY119" i="13"/>
  <c r="BB119" i="13" s="1"/>
  <c r="AY121" i="13"/>
  <c r="BB121" i="13" s="1"/>
  <c r="AX121" i="13"/>
  <c r="AX329" i="13"/>
  <c r="AY329" i="13"/>
  <c r="BB329" i="13" s="1"/>
  <c r="AY160" i="13"/>
  <c r="BB160" i="13" s="1"/>
  <c r="AX160" i="13"/>
  <c r="AY122" i="13"/>
  <c r="BB122" i="13" s="1"/>
  <c r="AX122" i="13"/>
  <c r="AY289" i="13"/>
  <c r="BB289" i="13" s="1"/>
  <c r="AX289" i="13"/>
  <c r="AX305" i="13"/>
  <c r="AY305" i="13"/>
  <c r="BB305" i="13" s="1"/>
  <c r="AY147" i="13"/>
  <c r="BB147" i="13" s="1"/>
  <c r="AX147" i="13"/>
  <c r="AX195" i="13"/>
  <c r="AY195" i="13"/>
  <c r="BB195" i="13" s="1"/>
  <c r="AX274" i="13"/>
  <c r="AY274" i="13"/>
  <c r="BB274" i="13" s="1"/>
  <c r="AX290" i="13"/>
  <c r="AY290" i="13"/>
  <c r="BB290" i="13" s="1"/>
  <c r="AX271" i="13"/>
  <c r="AY271" i="13"/>
  <c r="BB271" i="13" s="1"/>
  <c r="AY319" i="13"/>
  <c r="BB319" i="13" s="1"/>
  <c r="AX319" i="13"/>
  <c r="AY180" i="13"/>
  <c r="BB180" i="13" s="1"/>
  <c r="AX180" i="13"/>
  <c r="AY149" i="13"/>
  <c r="BB149" i="13" s="1"/>
  <c r="AX149" i="13"/>
  <c r="AX181" i="13"/>
  <c r="AY181" i="13"/>
  <c r="BB181" i="13" s="1"/>
  <c r="AY276" i="13"/>
  <c r="BB276" i="13" s="1"/>
  <c r="AX276" i="13"/>
  <c r="AY292" i="13"/>
  <c r="BB292" i="13" s="1"/>
  <c r="AX292" i="13"/>
  <c r="AX308" i="13"/>
  <c r="AY308" i="13"/>
  <c r="BB308" i="13" s="1"/>
  <c r="AY324" i="13"/>
  <c r="BB324" i="13" s="1"/>
  <c r="AX324" i="13"/>
  <c r="AX158" i="13"/>
  <c r="AY158" i="13"/>
  <c r="BB158" i="13" s="1"/>
  <c r="AX174" i="13"/>
  <c r="AY174" i="13"/>
  <c r="BB174" i="13" s="1"/>
  <c r="AX285" i="13"/>
  <c r="AY285" i="13"/>
  <c r="BB285" i="13" s="1"/>
  <c r="AX317" i="13"/>
  <c r="AY317" i="13"/>
  <c r="BB317" i="13" s="1"/>
  <c r="AX167" i="13"/>
  <c r="AY167" i="13"/>
  <c r="BB167" i="13" s="1"/>
  <c r="AY183" i="13"/>
  <c r="BB183" i="13" s="1"/>
  <c r="AX183" i="13"/>
  <c r="AY199" i="13"/>
  <c r="BB199" i="13" s="1"/>
  <c r="AX199" i="13"/>
  <c r="AX294" i="13"/>
  <c r="AY294" i="13"/>
  <c r="BB294" i="13" s="1"/>
  <c r="AY326" i="13"/>
  <c r="BB326" i="13" s="1"/>
  <c r="AX326" i="13"/>
  <c r="AY196" i="13"/>
  <c r="BB196" i="13" s="1"/>
  <c r="AX196" i="13"/>
  <c r="Q291" i="13"/>
  <c r="AT291" i="13" s="1"/>
  <c r="AX307" i="13"/>
  <c r="AY307" i="13"/>
  <c r="BB307" i="13" s="1"/>
  <c r="AY129" i="13"/>
  <c r="BB129" i="13" s="1"/>
  <c r="AX129" i="13"/>
  <c r="AY145" i="13"/>
  <c r="BB145" i="13" s="1"/>
  <c r="AX145" i="13"/>
  <c r="AY177" i="13"/>
  <c r="BB177" i="13" s="1"/>
  <c r="AX177" i="13"/>
  <c r="AX272" i="13"/>
  <c r="AY272" i="13"/>
  <c r="BB272" i="13" s="1"/>
  <c r="AX288" i="13"/>
  <c r="AY288" i="13"/>
  <c r="BB288" i="13" s="1"/>
  <c r="AY304" i="13"/>
  <c r="BB304" i="13" s="1"/>
  <c r="AX304" i="13"/>
  <c r="AX320" i="13"/>
  <c r="AY320" i="13"/>
  <c r="BB320" i="13" s="1"/>
  <c r="AY176" i="13"/>
  <c r="BB176" i="13" s="1"/>
  <c r="AX176" i="13"/>
  <c r="AY130" i="13"/>
  <c r="BB130" i="13" s="1"/>
  <c r="AX130" i="13"/>
  <c r="AX138" i="13"/>
  <c r="AY138" i="13"/>
  <c r="BB138" i="13" s="1"/>
  <c r="AY170" i="13"/>
  <c r="BB170" i="13" s="1"/>
  <c r="AX170" i="13"/>
  <c r="AY186" i="13"/>
  <c r="BB186" i="13" s="1"/>
  <c r="AX186" i="13"/>
  <c r="AY297" i="13"/>
  <c r="BB297" i="13" s="1"/>
  <c r="AX297" i="13"/>
  <c r="AX313" i="13"/>
  <c r="AY313" i="13"/>
  <c r="BB313" i="13" s="1"/>
  <c r="AY328" i="13"/>
  <c r="BB328" i="13" s="1"/>
  <c r="AX328" i="13"/>
  <c r="AY47" i="13"/>
  <c r="BB47" i="13" s="1"/>
  <c r="AX47" i="13"/>
  <c r="Q47" i="13"/>
  <c r="D57" i="2"/>
  <c r="E57" i="2"/>
  <c r="F57" i="2"/>
  <c r="G57" i="2"/>
  <c r="H57" i="2"/>
  <c r="I57" i="2"/>
  <c r="J57" i="2"/>
  <c r="K57" i="2"/>
  <c r="L57" i="2"/>
  <c r="M57" i="2"/>
  <c r="N57" i="2"/>
  <c r="C57" i="2"/>
  <c r="AU348" i="13"/>
  <c r="AZ348" i="13" s="1"/>
  <c r="AJ348" i="13"/>
  <c r="AA348" i="13"/>
  <c r="AD348" i="13" s="1"/>
  <c r="Z348" i="13"/>
  <c r="D348" i="13"/>
  <c r="S348" i="13" s="1"/>
  <c r="AU347" i="13"/>
  <c r="AZ347" i="13" s="1"/>
  <c r="AJ347" i="13"/>
  <c r="AA347" i="13"/>
  <c r="AD347" i="13" s="1"/>
  <c r="Z347" i="13"/>
  <c r="D347" i="13"/>
  <c r="S347" i="13" s="1"/>
  <c r="W347" i="13" s="1"/>
  <c r="AU346" i="13"/>
  <c r="AZ346" i="13" s="1"/>
  <c r="AJ346" i="13"/>
  <c r="AA346" i="13"/>
  <c r="AD346" i="13" s="1"/>
  <c r="Z346" i="13"/>
  <c r="D346" i="13"/>
  <c r="S346" i="13" s="1"/>
  <c r="AU345" i="13"/>
  <c r="AZ345" i="13" s="1"/>
  <c r="AJ345" i="13"/>
  <c r="AA345" i="13"/>
  <c r="AD345" i="13" s="1"/>
  <c r="Z345" i="13"/>
  <c r="D345" i="13"/>
  <c r="S345" i="13" s="1"/>
  <c r="W345" i="13" s="1"/>
  <c r="AU344" i="13"/>
  <c r="AZ344" i="13" s="1"/>
  <c r="AJ344" i="13"/>
  <c r="AA344" i="13"/>
  <c r="AD344" i="13" s="1"/>
  <c r="Z344" i="13"/>
  <c r="D344" i="13"/>
  <c r="S344" i="13" s="1"/>
  <c r="AU343" i="13"/>
  <c r="AZ343" i="13" s="1"/>
  <c r="AJ343" i="13"/>
  <c r="AA343" i="13"/>
  <c r="AD343" i="13" s="1"/>
  <c r="Z343" i="13"/>
  <c r="D343" i="13"/>
  <c r="S343" i="13" s="1"/>
  <c r="W343" i="13" s="1"/>
  <c r="AU342" i="13"/>
  <c r="AZ342" i="13" s="1"/>
  <c r="AJ342" i="13"/>
  <c r="AA342" i="13"/>
  <c r="AD342" i="13" s="1"/>
  <c r="Z342" i="13"/>
  <c r="D342" i="13"/>
  <c r="S342" i="13" s="1"/>
  <c r="AU341" i="13"/>
  <c r="AZ341" i="13" s="1"/>
  <c r="AJ341" i="13"/>
  <c r="AA341" i="13"/>
  <c r="AD341" i="13" s="1"/>
  <c r="Z341" i="13"/>
  <c r="D341" i="13"/>
  <c r="S341" i="13" s="1"/>
  <c r="W341" i="13" s="1"/>
  <c r="AU340" i="13"/>
  <c r="AZ340" i="13" s="1"/>
  <c r="AJ340" i="13"/>
  <c r="AA340" i="13"/>
  <c r="AD340" i="13" s="1"/>
  <c r="Z340" i="13"/>
  <c r="D340" i="13"/>
  <c r="S340" i="13" s="1"/>
  <c r="AU339" i="13"/>
  <c r="AZ339" i="13" s="1"/>
  <c r="AJ339" i="13"/>
  <c r="AA339" i="13"/>
  <c r="AD339" i="13" s="1"/>
  <c r="Z339" i="13"/>
  <c r="D339" i="13"/>
  <c r="S339" i="13" s="1"/>
  <c r="W339" i="13" s="1"/>
  <c r="AU231" i="13"/>
  <c r="AZ231" i="13" s="1"/>
  <c r="AA231" i="13"/>
  <c r="AD231" i="13" s="1"/>
  <c r="Z231" i="13"/>
  <c r="D231" i="13"/>
  <c r="S231" i="13" s="1"/>
  <c r="AU230" i="13"/>
  <c r="AZ230" i="13" s="1"/>
  <c r="AA230" i="13"/>
  <c r="AD230" i="13" s="1"/>
  <c r="Z230" i="13"/>
  <c r="D230" i="13"/>
  <c r="S230" i="13" s="1"/>
  <c r="AU229" i="13"/>
  <c r="AZ229" i="13" s="1"/>
  <c r="AA229" i="13"/>
  <c r="AD229" i="13" s="1"/>
  <c r="Z229" i="13"/>
  <c r="D229" i="13"/>
  <c r="S229" i="13" s="1"/>
  <c r="AU228" i="13"/>
  <c r="AZ228" i="13" s="1"/>
  <c r="AA228" i="13"/>
  <c r="AD228" i="13" s="1"/>
  <c r="Z228" i="13"/>
  <c r="D228" i="13"/>
  <c r="S228" i="13" s="1"/>
  <c r="AU227" i="13"/>
  <c r="AZ227" i="13" s="1"/>
  <c r="AA227" i="13"/>
  <c r="AD227" i="13" s="1"/>
  <c r="Z227" i="13"/>
  <c r="D227" i="13"/>
  <c r="S227" i="13" s="1"/>
  <c r="AU226" i="13"/>
  <c r="AZ226" i="13" s="1"/>
  <c r="AA226" i="13"/>
  <c r="AD226" i="13" s="1"/>
  <c r="Z226" i="13"/>
  <c r="D226" i="13"/>
  <c r="S226" i="13" s="1"/>
  <c r="AU225" i="13"/>
  <c r="AZ225" i="13" s="1"/>
  <c r="AA225" i="13"/>
  <c r="AD225" i="13" s="1"/>
  <c r="Z225" i="13"/>
  <c r="D225" i="13"/>
  <c r="S225" i="13" s="1"/>
  <c r="AU224" i="13"/>
  <c r="AZ224" i="13" s="1"/>
  <c r="AA224" i="13"/>
  <c r="AD224" i="13" s="1"/>
  <c r="Z224" i="13"/>
  <c r="D224" i="13"/>
  <c r="S224" i="13" s="1"/>
  <c r="AU223" i="13"/>
  <c r="AJ223" i="13"/>
  <c r="Z223" i="13"/>
  <c r="L223" i="13"/>
  <c r="D223" i="13"/>
  <c r="S223" i="13" s="1"/>
  <c r="AU222" i="13"/>
  <c r="AJ222" i="13"/>
  <c r="Z222" i="13"/>
  <c r="L222" i="13"/>
  <c r="D222" i="13"/>
  <c r="S222" i="13" s="1"/>
  <c r="AU221" i="13"/>
  <c r="AJ221" i="13"/>
  <c r="Z221" i="13"/>
  <c r="L221" i="13"/>
  <c r="D221" i="13"/>
  <c r="S221" i="13" s="1"/>
  <c r="AU220" i="13"/>
  <c r="AJ220" i="13"/>
  <c r="Z220" i="13"/>
  <c r="L220" i="13"/>
  <c r="D220" i="13"/>
  <c r="S220" i="13" s="1"/>
  <c r="AU219" i="13"/>
  <c r="AJ219" i="13"/>
  <c r="Z219" i="13"/>
  <c r="L219" i="13"/>
  <c r="D219" i="13"/>
  <c r="S219" i="13" s="1"/>
  <c r="AU218" i="13"/>
  <c r="AZ218" i="13" s="1"/>
  <c r="AA218" i="13"/>
  <c r="AD218" i="13" s="1"/>
  <c r="Z218" i="13"/>
  <c r="D218" i="13"/>
  <c r="AU217" i="13"/>
  <c r="AZ217" i="13" s="1"/>
  <c r="AA217" i="13"/>
  <c r="AD217" i="13" s="1"/>
  <c r="Z217" i="13"/>
  <c r="D217" i="13"/>
  <c r="R217" i="13" s="1"/>
  <c r="AU216" i="13"/>
  <c r="AZ216" i="13" s="1"/>
  <c r="AA216" i="13"/>
  <c r="AD216" i="13" s="1"/>
  <c r="Z216" i="13"/>
  <c r="D216" i="13"/>
  <c r="AU215" i="13"/>
  <c r="AZ215" i="13" s="1"/>
  <c r="AA215" i="13"/>
  <c r="AD215" i="13" s="1"/>
  <c r="Z215" i="13"/>
  <c r="D215" i="13"/>
  <c r="S215" i="13" s="1"/>
  <c r="AU214" i="13"/>
  <c r="AZ214" i="13" s="1"/>
  <c r="AA214" i="13"/>
  <c r="AD214" i="13" s="1"/>
  <c r="Z214" i="13"/>
  <c r="D214" i="13"/>
  <c r="R214" i="13" s="1"/>
  <c r="AU213" i="13"/>
  <c r="AZ213" i="13" s="1"/>
  <c r="AA213" i="13"/>
  <c r="AD213" i="13" s="1"/>
  <c r="Z213" i="13"/>
  <c r="D213" i="13"/>
  <c r="R213" i="13" s="1"/>
  <c r="AU212" i="13"/>
  <c r="AZ212" i="13" s="1"/>
  <c r="AA212" i="13"/>
  <c r="Z212" i="13"/>
  <c r="D212" i="13"/>
  <c r="AU211" i="13"/>
  <c r="AZ211" i="13" s="1"/>
  <c r="AA211" i="13"/>
  <c r="AD211" i="13" s="1"/>
  <c r="Z211" i="13"/>
  <c r="D211" i="13"/>
  <c r="R211" i="13" s="1"/>
  <c r="AU210" i="13"/>
  <c r="AZ210" i="13" s="1"/>
  <c r="AA210" i="13"/>
  <c r="AD210" i="13" s="1"/>
  <c r="Z210" i="13"/>
  <c r="D210" i="13"/>
  <c r="AU209" i="13"/>
  <c r="AZ209" i="13" s="1"/>
  <c r="AA209" i="13"/>
  <c r="AD209" i="13" s="1"/>
  <c r="Z209" i="13"/>
  <c r="D209" i="13"/>
  <c r="S209" i="13" s="1"/>
  <c r="W209" i="13" s="1"/>
  <c r="AU208" i="13"/>
  <c r="AZ208" i="13" s="1"/>
  <c r="AA208" i="13"/>
  <c r="AD208" i="13" s="1"/>
  <c r="Z208" i="13"/>
  <c r="D208" i="13"/>
  <c r="AU207" i="13"/>
  <c r="AZ207" i="13" s="1"/>
  <c r="AA207" i="13"/>
  <c r="AD207" i="13" s="1"/>
  <c r="Z207" i="13"/>
  <c r="D207" i="13"/>
  <c r="AU206" i="13"/>
  <c r="AZ206" i="13" s="1"/>
  <c r="AA206" i="13"/>
  <c r="AD206" i="13" s="1"/>
  <c r="Z206" i="13"/>
  <c r="D206" i="13"/>
  <c r="AU205" i="13"/>
  <c r="AZ205" i="13" s="1"/>
  <c r="AA205" i="13"/>
  <c r="AD205" i="13" s="1"/>
  <c r="Z205" i="13"/>
  <c r="D205" i="13"/>
  <c r="S205" i="13" s="1"/>
  <c r="W205" i="13" s="1"/>
  <c r="AU204" i="13"/>
  <c r="AZ204" i="13" s="1"/>
  <c r="AA204" i="13"/>
  <c r="AD204" i="13" s="1"/>
  <c r="Z204" i="13"/>
  <c r="D204" i="13"/>
  <c r="AU203" i="13"/>
  <c r="AZ203" i="13" s="1"/>
  <c r="AA203" i="13"/>
  <c r="AD203" i="13" s="1"/>
  <c r="Z203" i="13"/>
  <c r="D203" i="13"/>
  <c r="AU241" i="13"/>
  <c r="AZ241" i="13" s="1"/>
  <c r="AA241" i="13"/>
  <c r="Z241" i="13"/>
  <c r="D241" i="13"/>
  <c r="R241" i="13" s="1"/>
  <c r="AU240" i="13"/>
  <c r="AZ240" i="13" s="1"/>
  <c r="AA240" i="13"/>
  <c r="AD240" i="13" s="1"/>
  <c r="Z240" i="13"/>
  <c r="D240" i="13"/>
  <c r="AU239" i="13"/>
  <c r="AZ239" i="13" s="1"/>
  <c r="AA239" i="13"/>
  <c r="AD239" i="13" s="1"/>
  <c r="Z239" i="13"/>
  <c r="D239" i="13"/>
  <c r="R239" i="13" s="1"/>
  <c r="AU238" i="13"/>
  <c r="AZ238" i="13" s="1"/>
  <c r="AA238" i="13"/>
  <c r="AD238" i="13" s="1"/>
  <c r="Z238" i="13"/>
  <c r="D238" i="13"/>
  <c r="AU237" i="13"/>
  <c r="AZ237" i="13" s="1"/>
  <c r="AA237" i="13"/>
  <c r="Z237" i="13"/>
  <c r="D237" i="13"/>
  <c r="S237" i="13" s="1"/>
  <c r="AU236" i="13"/>
  <c r="AZ236" i="13" s="1"/>
  <c r="AA236" i="13"/>
  <c r="AD236" i="13" s="1"/>
  <c r="Z236" i="13"/>
  <c r="K236" i="13"/>
  <c r="D236" i="13"/>
  <c r="AU235" i="13"/>
  <c r="AZ235" i="13" s="1"/>
  <c r="AA235" i="13"/>
  <c r="AD235" i="13" s="1"/>
  <c r="Z235" i="13"/>
  <c r="D235" i="13"/>
  <c r="AU234" i="13"/>
  <c r="AZ234" i="13" s="1"/>
  <c r="AA234" i="13"/>
  <c r="AD234" i="13" s="1"/>
  <c r="Z234" i="13"/>
  <c r="D234" i="13"/>
  <c r="AU233" i="13"/>
  <c r="AZ233" i="13" s="1"/>
  <c r="AA233" i="13"/>
  <c r="Z233" i="13"/>
  <c r="D233" i="13"/>
  <c r="R233" i="13" s="1"/>
  <c r="AU232" i="13"/>
  <c r="AZ232" i="13" s="1"/>
  <c r="AA232" i="13"/>
  <c r="AD232" i="13" s="1"/>
  <c r="Z232" i="13"/>
  <c r="D232" i="13"/>
  <c r="D202" i="13"/>
  <c r="D201" i="13"/>
  <c r="D200" i="13"/>
  <c r="D199" i="13"/>
  <c r="D198" i="13"/>
  <c r="D197" i="13"/>
  <c r="D196" i="13"/>
  <c r="D195" i="13"/>
  <c r="D194" i="13"/>
  <c r="D193" i="13"/>
  <c r="D192" i="13"/>
  <c r="D191" i="13"/>
  <c r="D190" i="13"/>
  <c r="D189" i="13"/>
  <c r="D188" i="13"/>
  <c r="D187" i="13"/>
  <c r="D186" i="13"/>
  <c r="D185" i="13"/>
  <c r="D184" i="13"/>
  <c r="D183" i="13"/>
  <c r="D182" i="13"/>
  <c r="D181" i="13"/>
  <c r="D180" i="13"/>
  <c r="D179" i="13"/>
  <c r="D178" i="13"/>
  <c r="D177" i="13"/>
  <c r="D176" i="13"/>
  <c r="D175" i="13"/>
  <c r="D174" i="13"/>
  <c r="D173" i="13"/>
  <c r="D172" i="13"/>
  <c r="D171" i="13"/>
  <c r="D170" i="13"/>
  <c r="D169" i="13"/>
  <c r="D168" i="13"/>
  <c r="D167" i="13"/>
  <c r="D166" i="13"/>
  <c r="D165" i="13"/>
  <c r="D164" i="13"/>
  <c r="D163" i="13"/>
  <c r="D162" i="13"/>
  <c r="D161" i="13"/>
  <c r="D160" i="13"/>
  <c r="D159" i="13"/>
  <c r="D158" i="13"/>
  <c r="D157" i="13"/>
  <c r="D156" i="13"/>
  <c r="D155" i="13"/>
  <c r="D154" i="13"/>
  <c r="D153" i="13"/>
  <c r="D152" i="13"/>
  <c r="D151" i="13"/>
  <c r="D150" i="13"/>
  <c r="D149" i="13"/>
  <c r="D148" i="13"/>
  <c r="D147" i="13"/>
  <c r="D146" i="13"/>
  <c r="D145" i="13"/>
  <c r="D144" i="13"/>
  <c r="D143" i="13"/>
  <c r="D142" i="13"/>
  <c r="D141" i="13"/>
  <c r="D140" i="13"/>
  <c r="D139" i="13"/>
  <c r="D138" i="13"/>
  <c r="D137" i="13"/>
  <c r="D136" i="13"/>
  <c r="D135" i="13"/>
  <c r="D134" i="13"/>
  <c r="D133" i="13"/>
  <c r="D132" i="13"/>
  <c r="D131" i="13"/>
  <c r="D130" i="13"/>
  <c r="D129" i="13"/>
  <c r="D128" i="13"/>
  <c r="D127" i="13"/>
  <c r="D126" i="13"/>
  <c r="D125" i="13"/>
  <c r="D124" i="13"/>
  <c r="D123" i="13"/>
  <c r="D122" i="13"/>
  <c r="D121" i="13"/>
  <c r="D120" i="13"/>
  <c r="D119" i="13"/>
  <c r="J222" i="13" l="1"/>
  <c r="AB222" i="13" s="1"/>
  <c r="AZ222" i="13"/>
  <c r="J223" i="13"/>
  <c r="AB223" i="13" s="1"/>
  <c r="AZ223" i="13"/>
  <c r="J219" i="13"/>
  <c r="AB219" i="13" s="1"/>
  <c r="AZ219" i="13"/>
  <c r="J220" i="13"/>
  <c r="AB220" i="13" s="1"/>
  <c r="AZ220" i="13"/>
  <c r="J221" i="13"/>
  <c r="AB221" i="13" s="1"/>
  <c r="AZ221" i="13"/>
  <c r="L236" i="13"/>
  <c r="M236" i="13" s="1"/>
  <c r="S121" i="13"/>
  <c r="W121" i="13" s="1"/>
  <c r="R121" i="13"/>
  <c r="S125" i="13"/>
  <c r="W125" i="13" s="1"/>
  <c r="R125" i="13"/>
  <c r="S129" i="13"/>
  <c r="W129" i="13" s="1"/>
  <c r="R129" i="13"/>
  <c r="S133" i="13"/>
  <c r="W133" i="13" s="1"/>
  <c r="R133" i="13"/>
  <c r="S137" i="13"/>
  <c r="W137" i="13" s="1"/>
  <c r="R137" i="13"/>
  <c r="S141" i="13"/>
  <c r="W141" i="13" s="1"/>
  <c r="R141" i="13"/>
  <c r="S145" i="13"/>
  <c r="W145" i="13" s="1"/>
  <c r="R145" i="13"/>
  <c r="R149" i="13"/>
  <c r="S149" i="13"/>
  <c r="W149" i="13" s="1"/>
  <c r="S153" i="13"/>
  <c r="W153" i="13" s="1"/>
  <c r="R153" i="13"/>
  <c r="S157" i="13"/>
  <c r="W157" i="13" s="1"/>
  <c r="R157" i="13"/>
  <c r="S161" i="13"/>
  <c r="W161" i="13" s="1"/>
  <c r="R161" i="13"/>
  <c r="S165" i="13"/>
  <c r="W165" i="13" s="1"/>
  <c r="R165" i="13"/>
  <c r="S169" i="13"/>
  <c r="W169" i="13" s="1"/>
  <c r="R169" i="13"/>
  <c r="S173" i="13"/>
  <c r="W173" i="13" s="1"/>
  <c r="R173" i="13"/>
  <c r="R177" i="13"/>
  <c r="S177" i="13"/>
  <c r="W177" i="13" s="1"/>
  <c r="R181" i="13"/>
  <c r="S181" i="13"/>
  <c r="W181" i="13" s="1"/>
  <c r="R185" i="13"/>
  <c r="S185" i="13"/>
  <c r="W185" i="13" s="1"/>
  <c r="S189" i="13"/>
  <c r="W189" i="13" s="1"/>
  <c r="R189" i="13"/>
  <c r="S193" i="13"/>
  <c r="W193" i="13" s="1"/>
  <c r="R193" i="13"/>
  <c r="S197" i="13"/>
  <c r="W197" i="13" s="1"/>
  <c r="R197" i="13"/>
  <c r="S201" i="13"/>
  <c r="W201" i="13" s="1"/>
  <c r="R201" i="13"/>
  <c r="S122" i="13"/>
  <c r="W122" i="13" s="1"/>
  <c r="R122" i="13"/>
  <c r="S126" i="13"/>
  <c r="W126" i="13" s="1"/>
  <c r="R126" i="13"/>
  <c r="S130" i="13"/>
  <c r="W130" i="13" s="1"/>
  <c r="R130" i="13"/>
  <c r="S134" i="13"/>
  <c r="W134" i="13" s="1"/>
  <c r="R134" i="13"/>
  <c r="S138" i="13"/>
  <c r="W138" i="13" s="1"/>
  <c r="R138" i="13"/>
  <c r="R142" i="13"/>
  <c r="S142" i="13"/>
  <c r="W142" i="13" s="1"/>
  <c r="S146" i="13"/>
  <c r="W146" i="13" s="1"/>
  <c r="R146" i="13"/>
  <c r="S150" i="13"/>
  <c r="W150" i="13" s="1"/>
  <c r="R150" i="13"/>
  <c r="R154" i="13"/>
  <c r="S154" i="13"/>
  <c r="W154" i="13" s="1"/>
  <c r="R158" i="13"/>
  <c r="S158" i="13"/>
  <c r="W158" i="13" s="1"/>
  <c r="R162" i="13"/>
  <c r="S162" i="13"/>
  <c r="W162" i="13" s="1"/>
  <c r="R166" i="13"/>
  <c r="S166" i="13"/>
  <c r="W166" i="13" s="1"/>
  <c r="R170" i="13"/>
  <c r="S170" i="13"/>
  <c r="W170" i="13" s="1"/>
  <c r="S174" i="13"/>
  <c r="W174" i="13" s="1"/>
  <c r="R174" i="13"/>
  <c r="S178" i="13"/>
  <c r="W178" i="13" s="1"/>
  <c r="R178" i="13"/>
  <c r="S182" i="13"/>
  <c r="W182" i="13" s="1"/>
  <c r="R182" i="13"/>
  <c r="S186" i="13"/>
  <c r="W186" i="13" s="1"/>
  <c r="R186" i="13"/>
  <c r="S190" i="13"/>
  <c r="W190" i="13" s="1"/>
  <c r="R190" i="13"/>
  <c r="S194" i="13"/>
  <c r="W194" i="13" s="1"/>
  <c r="R194" i="13"/>
  <c r="S198" i="13"/>
  <c r="W198" i="13" s="1"/>
  <c r="R198" i="13"/>
  <c r="S202" i="13"/>
  <c r="W202" i="13" s="1"/>
  <c r="R202" i="13"/>
  <c r="S119" i="13"/>
  <c r="W119" i="13" s="1"/>
  <c r="R119" i="13"/>
  <c r="S123" i="13"/>
  <c r="W123" i="13" s="1"/>
  <c r="R123" i="13"/>
  <c r="S127" i="13"/>
  <c r="W127" i="13" s="1"/>
  <c r="R127" i="13"/>
  <c r="S131" i="13"/>
  <c r="W131" i="13" s="1"/>
  <c r="R131" i="13"/>
  <c r="S135" i="13"/>
  <c r="W135" i="13" s="1"/>
  <c r="R135" i="13"/>
  <c r="S139" i="13"/>
  <c r="W139" i="13" s="1"/>
  <c r="R139" i="13"/>
  <c r="S143" i="13"/>
  <c r="W143" i="13" s="1"/>
  <c r="R143" i="13"/>
  <c r="S147" i="13"/>
  <c r="W147" i="13" s="1"/>
  <c r="R147" i="13"/>
  <c r="S151" i="13"/>
  <c r="W151" i="13" s="1"/>
  <c r="R151" i="13"/>
  <c r="S155" i="13"/>
  <c r="W155" i="13" s="1"/>
  <c r="R155" i="13"/>
  <c r="S159" i="13"/>
  <c r="W159" i="13" s="1"/>
  <c r="R159" i="13"/>
  <c r="S163" i="13"/>
  <c r="W163" i="13" s="1"/>
  <c r="R163" i="13"/>
  <c r="R167" i="13"/>
  <c r="S167" i="13"/>
  <c r="W167" i="13" s="1"/>
  <c r="R171" i="13"/>
  <c r="S171" i="13"/>
  <c r="W171" i="13" s="1"/>
  <c r="S175" i="13"/>
  <c r="W175" i="13" s="1"/>
  <c r="R175" i="13"/>
  <c r="S179" i="13"/>
  <c r="W179" i="13" s="1"/>
  <c r="R179" i="13"/>
  <c r="S183" i="13"/>
  <c r="W183" i="13" s="1"/>
  <c r="R183" i="13"/>
  <c r="R187" i="13"/>
  <c r="S187" i="13"/>
  <c r="W187" i="13" s="1"/>
  <c r="S191" i="13"/>
  <c r="W191" i="13" s="1"/>
  <c r="R191" i="13"/>
  <c r="S195" i="13"/>
  <c r="W195" i="13" s="1"/>
  <c r="R195" i="13"/>
  <c r="R199" i="13"/>
  <c r="S199" i="13"/>
  <c r="W199" i="13" s="1"/>
  <c r="R120" i="13"/>
  <c r="S120" i="13"/>
  <c r="W120" i="13" s="1"/>
  <c r="R124" i="13"/>
  <c r="S124" i="13"/>
  <c r="W124" i="13" s="1"/>
  <c r="R128" i="13"/>
  <c r="S128" i="13"/>
  <c r="W128" i="13" s="1"/>
  <c r="R132" i="13"/>
  <c r="S132" i="13"/>
  <c r="W132" i="13" s="1"/>
  <c r="R136" i="13"/>
  <c r="S136" i="13"/>
  <c r="W136" i="13" s="1"/>
  <c r="S140" i="13"/>
  <c r="W140" i="13" s="1"/>
  <c r="R140" i="13"/>
  <c r="R144" i="13"/>
  <c r="S144" i="13"/>
  <c r="W144" i="13" s="1"/>
  <c r="S148" i="13"/>
  <c r="W148" i="13" s="1"/>
  <c r="R148" i="13"/>
  <c r="S152" i="13"/>
  <c r="W152" i="13" s="1"/>
  <c r="R152" i="13"/>
  <c r="S156" i="13"/>
  <c r="W156" i="13" s="1"/>
  <c r="R156" i="13"/>
  <c r="S160" i="13"/>
  <c r="W160" i="13" s="1"/>
  <c r="R160" i="13"/>
  <c r="S164" i="13"/>
  <c r="W164" i="13" s="1"/>
  <c r="R164" i="13"/>
  <c r="S168" i="13"/>
  <c r="W168" i="13" s="1"/>
  <c r="R168" i="13"/>
  <c r="S172" i="13"/>
  <c r="W172" i="13" s="1"/>
  <c r="R172" i="13"/>
  <c r="R176" i="13"/>
  <c r="S176" i="13"/>
  <c r="W176" i="13" s="1"/>
  <c r="R180" i="13"/>
  <c r="S180" i="13"/>
  <c r="W180" i="13" s="1"/>
  <c r="S184" i="13"/>
  <c r="W184" i="13" s="1"/>
  <c r="R184" i="13"/>
  <c r="S188" i="13"/>
  <c r="W188" i="13" s="1"/>
  <c r="R188" i="13"/>
  <c r="S192" i="13"/>
  <c r="W192" i="13" s="1"/>
  <c r="R192" i="13"/>
  <c r="S196" i="13"/>
  <c r="W196" i="13" s="1"/>
  <c r="R196" i="13"/>
  <c r="S200" i="13"/>
  <c r="W200" i="13" s="1"/>
  <c r="R200" i="13"/>
  <c r="AT47" i="13"/>
  <c r="BA341" i="13"/>
  <c r="S204" i="13"/>
  <c r="W204" i="13" s="1"/>
  <c r="AN204" i="13"/>
  <c r="BA343" i="13"/>
  <c r="BA210" i="13"/>
  <c r="BA213" i="13"/>
  <c r="R341" i="13"/>
  <c r="BA238" i="13"/>
  <c r="BA240" i="13"/>
  <c r="BA225" i="13"/>
  <c r="BA231" i="13"/>
  <c r="BA345" i="13"/>
  <c r="BA347" i="13"/>
  <c r="BA234" i="13"/>
  <c r="BA239" i="13"/>
  <c r="BA218" i="13"/>
  <c r="BA227" i="13"/>
  <c r="BA229" i="13"/>
  <c r="BA339" i="13"/>
  <c r="AN233" i="13"/>
  <c r="AN234" i="13"/>
  <c r="R215" i="13"/>
  <c r="AN215" i="13"/>
  <c r="AN219" i="13"/>
  <c r="AN221" i="13"/>
  <c r="AN227" i="13"/>
  <c r="AN229" i="13"/>
  <c r="BA342" i="13"/>
  <c r="R343" i="13"/>
  <c r="BA340" i="13"/>
  <c r="S213" i="13"/>
  <c r="W213" i="13" s="1"/>
  <c r="AN213" i="13"/>
  <c r="BA216" i="13"/>
  <c r="BA217" i="13"/>
  <c r="AN223" i="13"/>
  <c r="AN225" i="13"/>
  <c r="AN231" i="13"/>
  <c r="BA346" i="13"/>
  <c r="R347" i="13"/>
  <c r="BA348" i="13"/>
  <c r="S241" i="13"/>
  <c r="W241" i="13" s="1"/>
  <c r="AN203" i="13"/>
  <c r="BA344" i="13"/>
  <c r="R345" i="13"/>
  <c r="BA208" i="13"/>
  <c r="BA214" i="13"/>
  <c r="AN238" i="13"/>
  <c r="BA203" i="13"/>
  <c r="AN206" i="13"/>
  <c r="S217" i="13"/>
  <c r="W217" i="13" s="1"/>
  <c r="AN217" i="13"/>
  <c r="BA226" i="13"/>
  <c r="AN339" i="13"/>
  <c r="AN340" i="13"/>
  <c r="AN341" i="13"/>
  <c r="AN342" i="13"/>
  <c r="AN343" i="13"/>
  <c r="AN344" i="13"/>
  <c r="AN345" i="13"/>
  <c r="AN346" i="13"/>
  <c r="AN347" i="13"/>
  <c r="AN348" i="13"/>
  <c r="AC236" i="13"/>
  <c r="AE236" i="13" s="1"/>
  <c r="AO236" i="13" s="1"/>
  <c r="S207" i="13"/>
  <c r="W207" i="13" s="1"/>
  <c r="AN207" i="13"/>
  <c r="AN208" i="13"/>
  <c r="S214" i="13"/>
  <c r="W214" i="13" s="1"/>
  <c r="W340" i="13"/>
  <c r="W342" i="13"/>
  <c r="W344" i="13"/>
  <c r="W346" i="13"/>
  <c r="W348" i="13"/>
  <c r="R342" i="13"/>
  <c r="R344" i="13"/>
  <c r="R346" i="13"/>
  <c r="R348" i="13"/>
  <c r="BA204" i="13"/>
  <c r="AN212" i="13"/>
  <c r="R216" i="13"/>
  <c r="S216" i="13"/>
  <c r="W216" i="13" s="1"/>
  <c r="BA228" i="13"/>
  <c r="S235" i="13"/>
  <c r="W235" i="13" s="1"/>
  <c r="R235" i="13"/>
  <c r="BA235" i="13"/>
  <c r="S203" i="13"/>
  <c r="W203" i="13" s="1"/>
  <c r="BA205" i="13"/>
  <c r="S206" i="13"/>
  <c r="W206" i="13" s="1"/>
  <c r="S211" i="13"/>
  <c r="W211" i="13" s="1"/>
  <c r="BA207" i="13"/>
  <c r="S208" i="13"/>
  <c r="W208" i="13" s="1"/>
  <c r="R212" i="13"/>
  <c r="S212" i="13"/>
  <c r="W212" i="13" s="1"/>
  <c r="AD212" i="13"/>
  <c r="BA212" i="13" s="1"/>
  <c r="AN218" i="13"/>
  <c r="BA230" i="13"/>
  <c r="AN205" i="13"/>
  <c r="BA206" i="13"/>
  <c r="BA209" i="13"/>
  <c r="BA211" i="13"/>
  <c r="AN211" i="13"/>
  <c r="S218" i="13"/>
  <c r="W218" i="13" s="1"/>
  <c r="R218" i="13"/>
  <c r="BA224" i="13"/>
  <c r="AN214" i="13"/>
  <c r="AN210" i="13"/>
  <c r="BA215" i="13"/>
  <c r="AN216" i="13"/>
  <c r="R219" i="13"/>
  <c r="R221" i="13"/>
  <c r="R223" i="13"/>
  <c r="R225" i="13"/>
  <c r="R227" i="13"/>
  <c r="R229" i="13"/>
  <c r="R231" i="13"/>
  <c r="AN220" i="13"/>
  <c r="AN222" i="13"/>
  <c r="AN224" i="13"/>
  <c r="AN226" i="13"/>
  <c r="AN228" i="13"/>
  <c r="AN230" i="13"/>
  <c r="W220" i="13"/>
  <c r="W224" i="13"/>
  <c r="W228" i="13"/>
  <c r="AN209" i="13"/>
  <c r="S210" i="13"/>
  <c r="W215" i="13"/>
  <c r="W221" i="13"/>
  <c r="R222" i="13"/>
  <c r="W225" i="13"/>
  <c r="R226" i="13"/>
  <c r="W229" i="13"/>
  <c r="R230" i="13"/>
  <c r="W222" i="13"/>
  <c r="W226" i="13"/>
  <c r="W230" i="13"/>
  <c r="W219" i="13"/>
  <c r="R220" i="13"/>
  <c r="W223" i="13"/>
  <c r="R224" i="13"/>
  <c r="W227" i="13"/>
  <c r="R228" i="13"/>
  <c r="W231" i="13"/>
  <c r="AN236" i="13"/>
  <c r="S239" i="13"/>
  <c r="W239" i="13" s="1"/>
  <c r="AN240" i="13"/>
  <c r="S233" i="13"/>
  <c r="W233" i="13" s="1"/>
  <c r="BA232" i="13"/>
  <c r="BA236" i="13"/>
  <c r="R237" i="13"/>
  <c r="AN239" i="13"/>
  <c r="AN232" i="13"/>
  <c r="AN235" i="13"/>
  <c r="AN241" i="13"/>
  <c r="AD237" i="13"/>
  <c r="BA237" i="13" s="1"/>
  <c r="AD241" i="13"/>
  <c r="BA241" i="13" s="1"/>
  <c r="S238" i="13"/>
  <c r="R238" i="13"/>
  <c r="S234" i="13"/>
  <c r="R234" i="13"/>
  <c r="AD233" i="13"/>
  <c r="BA233" i="13" s="1"/>
  <c r="AN237" i="13"/>
  <c r="S232" i="13"/>
  <c r="R232" i="13"/>
  <c r="S236" i="13"/>
  <c r="R236" i="13"/>
  <c r="AV236" i="13"/>
  <c r="S240" i="13"/>
  <c r="R240" i="13"/>
  <c r="W237" i="13"/>
  <c r="A945" i="60"/>
  <c r="A946" i="60" s="1"/>
  <c r="A947" i="60" s="1"/>
  <c r="A948" i="60" s="1"/>
  <c r="A949" i="60" s="1"/>
  <c r="A950" i="60" s="1"/>
  <c r="A951" i="60" s="1"/>
  <c r="A952" i="60" s="1"/>
  <c r="A953" i="60" s="1"/>
  <c r="A954" i="60" s="1"/>
  <c r="A955" i="60" s="1"/>
  <c r="A956" i="60" s="1"/>
  <c r="A957" i="60" s="1"/>
  <c r="A958" i="60" s="1"/>
  <c r="A959" i="60" s="1"/>
  <c r="A960" i="60" s="1"/>
  <c r="A961" i="60" s="1"/>
  <c r="A962" i="60" s="1"/>
  <c r="A963" i="60" s="1"/>
  <c r="A964" i="60" s="1"/>
  <c r="A965" i="60" s="1"/>
  <c r="A966" i="60" s="1"/>
  <c r="A967" i="60" s="1"/>
  <c r="A968" i="60" s="1"/>
  <c r="A969" i="60" s="1"/>
  <c r="A970" i="60" s="1"/>
  <c r="A971" i="60" s="1"/>
  <c r="A972" i="60" s="1"/>
  <c r="A973" i="60" s="1"/>
  <c r="A974" i="60" s="1"/>
  <c r="A975" i="60" s="1"/>
  <c r="A976" i="60" s="1"/>
  <c r="A977" i="60" s="1"/>
  <c r="A978" i="60" s="1"/>
  <c r="A979" i="60" s="1"/>
  <c r="A980" i="60" s="1"/>
  <c r="A981" i="60" s="1"/>
  <c r="A982" i="60" s="1"/>
  <c r="A983" i="60" s="1"/>
  <c r="A984" i="60" s="1"/>
  <c r="A985" i="60" s="1"/>
  <c r="A986" i="60" s="1"/>
  <c r="A987" i="60" s="1"/>
  <c r="A988" i="60" s="1"/>
  <c r="A989" i="60" s="1"/>
  <c r="A990" i="60" s="1"/>
  <c r="A991" i="60" s="1"/>
  <c r="A992" i="60" s="1"/>
  <c r="A993" i="60" s="1"/>
  <c r="A994" i="60" s="1"/>
  <c r="A995" i="60" s="1"/>
  <c r="A996" i="60" s="1"/>
  <c r="A997" i="60" s="1"/>
  <c r="A998" i="60" s="1"/>
  <c r="A999" i="60" s="1"/>
  <c r="A1000" i="60" s="1"/>
  <c r="A1001" i="60" s="1"/>
  <c r="A1002" i="60" s="1"/>
  <c r="A1003" i="60" s="1"/>
  <c r="A1004" i="60" s="1"/>
  <c r="A1005" i="60" s="1"/>
  <c r="A1006" i="60" s="1"/>
  <c r="A1007" i="60" s="1"/>
  <c r="A1008" i="60" s="1"/>
  <c r="A1009" i="60" s="1"/>
  <c r="A1010" i="60" s="1"/>
  <c r="A1011" i="60" s="1"/>
  <c r="A1012" i="60" s="1"/>
  <c r="A1013" i="60" s="1"/>
  <c r="A1014" i="60" s="1"/>
  <c r="A1015" i="60" s="1"/>
  <c r="A1016" i="60" s="1"/>
  <c r="A1017" i="60" s="1"/>
  <c r="A1018" i="60" s="1"/>
  <c r="A1019" i="60" s="1"/>
  <c r="A1020" i="60" s="1"/>
  <c r="A1021" i="60" s="1"/>
  <c r="A1022" i="60" s="1"/>
  <c r="A1023" i="60" s="1"/>
  <c r="A1024" i="60" s="1"/>
  <c r="A1025" i="60" s="1"/>
  <c r="A1026" i="60" s="1"/>
  <c r="A1027" i="60" s="1"/>
  <c r="A1028" i="60" s="1"/>
  <c r="A1029" i="60" s="1"/>
  <c r="A1030" i="60" s="1"/>
  <c r="A1031" i="60" s="1"/>
  <c r="A1032" i="60" s="1"/>
  <c r="A1033" i="60" s="1"/>
  <c r="A1034" i="60" s="1"/>
  <c r="A1035" i="60" s="1"/>
  <c r="A1036" i="60" s="1"/>
  <c r="A1037" i="60" s="1"/>
  <c r="A1038" i="60" s="1"/>
  <c r="A1039" i="60" s="1"/>
  <c r="A1040" i="60" s="1"/>
  <c r="A1041" i="60" s="1"/>
  <c r="A1042" i="60" s="1"/>
  <c r="A1043" i="60" s="1"/>
  <c r="A1044" i="60" s="1"/>
  <c r="A1045" i="60" s="1"/>
  <c r="A1046" i="60" s="1"/>
  <c r="A1047" i="60" s="1"/>
  <c r="A1048" i="60" s="1"/>
  <c r="A1049" i="60" s="1"/>
  <c r="A1050" i="60" s="1"/>
  <c r="A1051" i="60" s="1"/>
  <c r="A1052" i="60" s="1"/>
  <c r="A1053" i="60" s="1"/>
  <c r="A1054" i="60" s="1"/>
  <c r="A1055" i="60" s="1"/>
  <c r="A1056" i="60" s="1"/>
  <c r="A1057" i="60" s="1"/>
  <c r="A1058" i="60" s="1"/>
  <c r="A1059" i="60" s="1"/>
  <c r="A1060" i="60" s="1"/>
  <c r="A1061" i="60" s="1"/>
  <c r="A1062" i="60" s="1"/>
  <c r="A1063" i="60" s="1"/>
  <c r="A1064" i="60" s="1"/>
  <c r="A1065" i="60" s="1"/>
  <c r="A1066" i="60" s="1"/>
  <c r="A1067" i="60" s="1"/>
  <c r="A1068" i="60" s="1"/>
  <c r="A1069" i="60" s="1"/>
  <c r="A1070" i="60" s="1"/>
  <c r="A1071" i="60" s="1"/>
  <c r="A1072" i="60" s="1"/>
  <c r="A1073" i="60" s="1"/>
  <c r="A1074" i="60" s="1"/>
  <c r="A1075" i="60" s="1"/>
  <c r="A1076" i="60" s="1"/>
  <c r="A1077" i="60" s="1"/>
  <c r="A1078" i="60" s="1"/>
  <c r="A1079" i="60" s="1"/>
  <c r="A1080" i="60" s="1"/>
  <c r="A1081" i="60" s="1"/>
  <c r="A1082" i="60" s="1"/>
  <c r="A1083" i="60" s="1"/>
  <c r="A1084" i="60" s="1"/>
  <c r="A1085" i="60" s="1"/>
  <c r="A1086" i="60" s="1"/>
  <c r="A1087" i="60" s="1"/>
  <c r="A1088" i="60" s="1"/>
  <c r="A1089" i="60" s="1"/>
  <c r="A1090" i="60" s="1"/>
  <c r="A1091" i="60" s="1"/>
  <c r="A1092" i="60" s="1"/>
  <c r="A1093" i="60" s="1"/>
  <c r="A1094" i="60" s="1"/>
  <c r="A1095" i="60" s="1"/>
  <c r="A1096" i="60" s="1"/>
  <c r="A1097" i="60" s="1"/>
  <c r="A1098" i="60" s="1"/>
  <c r="A1099" i="60" s="1"/>
  <c r="A1100" i="60" s="1"/>
  <c r="A1101" i="60" s="1"/>
  <c r="A1102" i="60" s="1"/>
  <c r="A1103" i="60" s="1"/>
  <c r="A1104" i="60" s="1"/>
  <c r="A1105" i="60" s="1"/>
  <c r="A1106" i="60" s="1"/>
  <c r="A1107" i="60" s="1"/>
  <c r="A1108" i="60" s="1"/>
  <c r="A1109" i="60" s="1"/>
  <c r="A1110" i="60" s="1"/>
  <c r="A1111" i="60" s="1"/>
  <c r="A1112" i="60" s="1"/>
  <c r="A1113" i="60" s="1"/>
  <c r="A1114" i="60" s="1"/>
  <c r="A1115" i="60" s="1"/>
  <c r="A1116" i="60" s="1"/>
  <c r="A1117" i="60" s="1"/>
  <c r="A1118" i="60" s="1"/>
  <c r="A1119" i="60" s="1"/>
  <c r="A1120" i="60" s="1"/>
  <c r="A1121" i="60" s="1"/>
  <c r="A1122" i="60" s="1"/>
  <c r="A1123" i="60" s="1"/>
  <c r="A1124" i="60" s="1"/>
  <c r="A1125" i="60" s="1"/>
  <c r="A1126" i="60" s="1"/>
  <c r="A1127" i="60" s="1"/>
  <c r="A1128" i="60" s="1"/>
  <c r="A1129" i="60" s="1"/>
  <c r="A1130" i="60" s="1"/>
  <c r="A1131" i="60" s="1"/>
  <c r="A1132" i="60" s="1"/>
  <c r="A1133" i="60" s="1"/>
  <c r="A1134" i="60" s="1"/>
  <c r="A1135" i="60" s="1"/>
  <c r="A1136" i="60" s="1"/>
  <c r="A1137" i="60" s="1"/>
  <c r="A1138" i="60" s="1"/>
  <c r="A1139" i="60" s="1"/>
  <c r="A1140" i="60" s="1"/>
  <c r="A1141" i="60" s="1"/>
  <c r="A1142" i="60" s="1"/>
  <c r="A1143" i="60" s="1"/>
  <c r="A1144" i="60" s="1"/>
  <c r="A1145" i="60" s="1"/>
  <c r="A1146" i="60" s="1"/>
  <c r="A1147" i="60" s="1"/>
  <c r="A1148" i="60" s="1"/>
  <c r="A1149" i="60" s="1"/>
  <c r="A1150" i="60" s="1"/>
  <c r="A1151" i="60" s="1"/>
  <c r="A1152" i="60" s="1"/>
  <c r="A1153" i="60" s="1"/>
  <c r="A1154" i="60" s="1"/>
  <c r="A1155" i="60" s="1"/>
  <c r="A1156" i="60" s="1"/>
  <c r="A1157" i="60" s="1"/>
  <c r="A1158" i="60" s="1"/>
  <c r="A1159" i="60" s="1"/>
  <c r="A1160" i="60" s="1"/>
  <c r="A1161" i="60" s="1"/>
  <c r="A1162" i="60" s="1"/>
  <c r="A1163" i="60" s="1"/>
  <c r="A1164" i="60" s="1"/>
  <c r="A1165" i="60" s="1"/>
  <c r="A1166" i="60" s="1"/>
  <c r="A1167" i="60" s="1"/>
  <c r="A1168" i="60" s="1"/>
  <c r="A1169" i="60" s="1"/>
  <c r="A1170" i="60" s="1"/>
  <c r="A1171" i="60" s="1"/>
  <c r="A1172" i="60" s="1"/>
  <c r="A1173" i="60" s="1"/>
  <c r="A1174" i="60" s="1"/>
  <c r="A1175" i="60" s="1"/>
  <c r="A1176" i="60" s="1"/>
  <c r="A1177" i="60" s="1"/>
  <c r="A1178" i="60" s="1"/>
  <c r="A1179" i="60" s="1"/>
  <c r="A1180" i="60" s="1"/>
  <c r="A1181" i="60" s="1"/>
  <c r="A1182" i="60" s="1"/>
  <c r="A1183" i="60" s="1"/>
  <c r="A1184" i="60" s="1"/>
  <c r="A1185" i="60" s="1"/>
  <c r="A1186" i="60" s="1"/>
  <c r="A1187" i="60" s="1"/>
  <c r="A1188" i="60" s="1"/>
  <c r="A1189" i="60" s="1"/>
  <c r="A1190" i="60" s="1"/>
  <c r="A1191" i="60" s="1"/>
  <c r="A1192" i="60" s="1"/>
  <c r="A1193" i="60" s="1"/>
  <c r="A1194" i="60" s="1"/>
  <c r="A1195" i="60" s="1"/>
  <c r="A1196" i="60" s="1"/>
  <c r="A1197" i="60" s="1"/>
  <c r="A1198" i="60" s="1"/>
  <c r="A1199" i="60" s="1"/>
  <c r="A1200" i="60" s="1"/>
  <c r="A1201" i="60" s="1"/>
  <c r="A1202" i="60" s="1"/>
  <c r="A1203" i="60" s="1"/>
  <c r="A1204" i="60" s="1"/>
  <c r="A1205" i="60" s="1"/>
  <c r="A1206" i="60" s="1"/>
  <c r="A1207" i="60" s="1"/>
  <c r="A1208" i="60" s="1"/>
  <c r="A1209" i="60" s="1"/>
  <c r="A1210" i="60" s="1"/>
  <c r="A1211" i="60" s="1"/>
  <c r="A1212" i="60" s="1"/>
  <c r="A1213" i="60" s="1"/>
  <c r="A1214" i="60" s="1"/>
  <c r="A1215" i="60" s="1"/>
  <c r="A1216" i="60" s="1"/>
  <c r="A1217" i="60" s="1"/>
  <c r="A1218" i="60" s="1"/>
  <c r="A1219" i="60" s="1"/>
  <c r="A1220" i="60" s="1"/>
  <c r="A1221" i="60" s="1"/>
  <c r="A1222" i="60" s="1"/>
  <c r="A1223" i="60" s="1"/>
  <c r="A1224" i="60" s="1"/>
  <c r="A1225" i="60" s="1"/>
  <c r="A1226" i="60" s="1"/>
  <c r="A1227" i="60" s="1"/>
  <c r="A1228" i="60" s="1"/>
  <c r="A1229" i="60" s="1"/>
  <c r="A1230" i="60" s="1"/>
  <c r="A1231" i="60" s="1"/>
  <c r="A1232" i="60" s="1"/>
  <c r="A1233" i="60" s="1"/>
  <c r="A1234" i="60" s="1"/>
  <c r="A1235" i="60" s="1"/>
  <c r="A1236" i="60" s="1"/>
  <c r="A1237" i="60" s="1"/>
  <c r="A1238" i="60" s="1"/>
  <c r="A1239" i="60" s="1"/>
  <c r="A1240" i="60" s="1"/>
  <c r="A1241" i="60" s="1"/>
  <c r="A1242" i="60" s="1"/>
  <c r="A1243" i="60" s="1"/>
  <c r="A1244" i="60" s="1"/>
  <c r="A1245" i="60" s="1"/>
  <c r="A1246" i="60" s="1"/>
  <c r="A1247" i="60" s="1"/>
  <c r="A1248" i="60" s="1"/>
  <c r="A1249" i="60" s="1"/>
  <c r="A1250" i="60" s="1"/>
  <c r="A1251" i="60" s="1"/>
  <c r="A1252" i="60" s="1"/>
  <c r="A1253" i="60" s="1"/>
  <c r="A1254" i="60" s="1"/>
  <c r="A1255" i="60" s="1"/>
  <c r="A1256" i="60" s="1"/>
  <c r="A1257" i="60" s="1"/>
  <c r="A1258" i="60" s="1"/>
  <c r="A1259" i="60" s="1"/>
  <c r="A1260" i="60" s="1"/>
  <c r="A1261" i="60" s="1"/>
  <c r="A1262" i="60" s="1"/>
  <c r="A1263" i="60" s="1"/>
  <c r="A1264" i="60" s="1"/>
  <c r="A1265" i="60" s="1"/>
  <c r="A1266" i="60" s="1"/>
  <c r="A1267" i="60" s="1"/>
  <c r="A1268" i="60" s="1"/>
  <c r="A1269" i="60" s="1"/>
  <c r="A1270" i="60" s="1"/>
  <c r="A1271" i="60" s="1"/>
  <c r="A1272" i="60" s="1"/>
  <c r="A1273" i="60" s="1"/>
  <c r="A1274" i="60" s="1"/>
  <c r="A1275" i="60" s="1"/>
  <c r="A1276" i="60" s="1"/>
  <c r="A1277" i="60" s="1"/>
  <c r="A1278" i="60" s="1"/>
  <c r="A1279" i="60" s="1"/>
  <c r="A1280" i="60" s="1"/>
  <c r="A1281" i="60" s="1"/>
  <c r="A1282" i="60" s="1"/>
  <c r="A1283" i="60" s="1"/>
  <c r="A1284" i="60" s="1"/>
  <c r="A1285" i="60" s="1"/>
  <c r="A1286" i="60" s="1"/>
  <c r="A1287" i="60" s="1"/>
  <c r="A1288" i="60" s="1"/>
  <c r="A1289" i="60" s="1"/>
  <c r="A1290" i="60" s="1"/>
  <c r="A1291" i="60" s="1"/>
  <c r="A1292" i="60" s="1"/>
  <c r="A1293" i="60" s="1"/>
  <c r="A1294" i="60" s="1"/>
  <c r="A1295" i="60" s="1"/>
  <c r="A1296" i="60" s="1"/>
  <c r="A1297" i="60" s="1"/>
  <c r="A1298" i="60" s="1"/>
  <c r="A1299" i="60" s="1"/>
  <c r="A1300" i="60" s="1"/>
  <c r="A1301" i="60" s="1"/>
  <c r="A1302" i="60" s="1"/>
  <c r="A1303" i="60" s="1"/>
  <c r="A1304" i="60" s="1"/>
  <c r="A1305" i="60" s="1"/>
  <c r="A1306" i="60" s="1"/>
  <c r="A1307" i="60" s="1"/>
  <c r="A1308" i="60" s="1"/>
  <c r="A1309" i="60" s="1"/>
  <c r="A1310" i="60" s="1"/>
  <c r="A1311" i="60" s="1"/>
  <c r="A1312" i="60" s="1"/>
  <c r="A1313" i="60" s="1"/>
  <c r="A1314" i="60" s="1"/>
  <c r="A1315" i="60" s="1"/>
  <c r="A1316" i="60" s="1"/>
  <c r="A1317" i="60" s="1"/>
  <c r="A1318" i="60" s="1"/>
  <c r="A1319" i="60" s="1"/>
  <c r="A1320" i="60" s="1"/>
  <c r="A1321" i="60" s="1"/>
  <c r="A1322" i="60" s="1"/>
  <c r="A1323" i="60" s="1"/>
  <c r="A1324" i="60" s="1"/>
  <c r="A1325" i="60" s="1"/>
  <c r="A1326" i="60" s="1"/>
  <c r="A1327" i="60" s="1"/>
  <c r="A1328" i="60" s="1"/>
  <c r="A1329" i="60" s="1"/>
  <c r="A1330" i="60" s="1"/>
  <c r="A1331" i="60" s="1"/>
  <c r="A1332" i="60" s="1"/>
  <c r="A1333" i="60" s="1"/>
  <c r="A1334" i="60" s="1"/>
  <c r="A1335" i="60" s="1"/>
  <c r="A1336" i="60" s="1"/>
  <c r="A1337" i="60" s="1"/>
  <c r="A1338" i="60" s="1"/>
  <c r="A1339" i="60" s="1"/>
  <c r="A1340" i="60" s="1"/>
  <c r="A1341" i="60" s="1"/>
  <c r="A1342" i="60" s="1"/>
  <c r="A1343" i="60" s="1"/>
  <c r="A1344" i="60" s="1"/>
  <c r="A1345" i="60" s="1"/>
  <c r="A1346" i="60" s="1"/>
  <c r="A1347" i="60" s="1"/>
  <c r="A1348" i="60" s="1"/>
  <c r="A1349" i="60" s="1"/>
  <c r="A1350" i="60" s="1"/>
  <c r="A1351" i="60" s="1"/>
  <c r="A1352" i="60" s="1"/>
  <c r="A1353" i="60" s="1"/>
  <c r="A1354" i="60" s="1"/>
  <c r="A1355" i="60" s="1"/>
  <c r="A1356" i="60" s="1"/>
  <c r="A1357" i="60" s="1"/>
  <c r="A1358" i="60" s="1"/>
  <c r="A1359" i="60" s="1"/>
  <c r="A1360" i="60" s="1"/>
  <c r="A1361" i="60" s="1"/>
  <c r="A1362" i="60" s="1"/>
  <c r="A1363" i="60" s="1"/>
  <c r="A1364" i="60" s="1"/>
  <c r="A1365" i="60" s="1"/>
  <c r="A1366" i="60" s="1"/>
  <c r="A1367" i="60" s="1"/>
  <c r="A1368" i="60" s="1"/>
  <c r="A1369" i="60" s="1"/>
  <c r="A1370" i="60" s="1"/>
  <c r="A1371" i="60" s="1"/>
  <c r="A1372" i="60" s="1"/>
  <c r="A1373" i="60" s="1"/>
  <c r="A1374" i="60" s="1"/>
  <c r="A1375" i="60" s="1"/>
  <c r="A1376" i="60" s="1"/>
  <c r="A1377" i="60" s="1"/>
  <c r="A1378" i="60" s="1"/>
  <c r="A1379" i="60" s="1"/>
  <c r="A1380" i="60" s="1"/>
  <c r="A1381" i="60" s="1"/>
  <c r="A1382" i="60" s="1"/>
  <c r="A1383" i="60" s="1"/>
  <c r="A1384" i="60" s="1"/>
  <c r="A1385" i="60" s="1"/>
  <c r="A1386" i="60" s="1"/>
  <c r="A1387" i="60" s="1"/>
  <c r="A1388" i="60" s="1"/>
  <c r="A1389" i="60" s="1"/>
  <c r="A1390" i="60" s="1"/>
  <c r="A1391" i="60" s="1"/>
  <c r="A1392" i="60" s="1"/>
  <c r="A1393" i="60" s="1"/>
  <c r="A1394" i="60" s="1"/>
  <c r="A1395" i="60" s="1"/>
  <c r="A1396" i="60" s="1"/>
  <c r="A1397" i="60" s="1"/>
  <c r="A1398" i="60" s="1"/>
  <c r="A1399" i="60" s="1"/>
  <c r="A1400" i="60" s="1"/>
  <c r="A1401" i="60" s="1"/>
  <c r="A1402" i="60" s="1"/>
  <c r="A1403" i="60" s="1"/>
  <c r="A1404" i="60" s="1"/>
  <c r="A1405" i="60" s="1"/>
  <c r="A1406" i="60" s="1"/>
  <c r="A1407" i="60" s="1"/>
  <c r="A1408" i="60" s="1"/>
  <c r="A1409" i="60" s="1"/>
  <c r="A1410" i="60" s="1"/>
  <c r="A1411" i="60" s="1"/>
  <c r="A1412" i="60" s="1"/>
  <c r="A1413" i="60" s="1"/>
  <c r="A1414" i="60" s="1"/>
  <c r="A1415" i="60" s="1"/>
  <c r="A1416" i="60" s="1"/>
  <c r="A1417" i="60" s="1"/>
  <c r="A1418" i="60" s="1"/>
  <c r="A1419" i="60" s="1"/>
  <c r="A1420" i="60" s="1"/>
  <c r="A1421" i="60" s="1"/>
  <c r="A1422" i="60" s="1"/>
  <c r="A1423" i="60" s="1"/>
  <c r="A1424" i="60" s="1"/>
  <c r="A1425" i="60" s="1"/>
  <c r="A1426" i="60" s="1"/>
  <c r="A1427" i="60" s="1"/>
  <c r="A1428" i="60" s="1"/>
  <c r="A1429" i="60" s="1"/>
  <c r="A1430" i="60" s="1"/>
  <c r="A1431" i="60" s="1"/>
  <c r="A1432" i="60" s="1"/>
  <c r="A1433" i="60" s="1"/>
  <c r="A1434" i="60" s="1"/>
  <c r="A1435" i="60" s="1"/>
  <c r="A1436" i="60" s="1"/>
  <c r="A1437" i="60" s="1"/>
  <c r="A1438" i="60" s="1"/>
  <c r="A1439" i="60" s="1"/>
  <c r="A1440" i="60" s="1"/>
  <c r="A1441" i="60" s="1"/>
  <c r="A1442" i="60" s="1"/>
  <c r="A1443" i="60" s="1"/>
  <c r="A1444" i="60" s="1"/>
  <c r="A1445" i="60" s="1"/>
  <c r="A1446" i="60" s="1"/>
  <c r="A1447" i="60" s="1"/>
  <c r="A1448" i="60" s="1"/>
  <c r="A1449" i="60" s="1"/>
  <c r="A1450" i="60" s="1"/>
  <c r="A1451" i="60" s="1"/>
  <c r="A1452" i="60" s="1"/>
  <c r="A1453" i="60" s="1"/>
  <c r="A1454" i="60" s="1"/>
  <c r="A1455" i="60" s="1"/>
  <c r="A1456" i="60" s="1"/>
  <c r="A1457" i="60" s="1"/>
  <c r="A1458" i="60" s="1"/>
  <c r="A1459" i="60" s="1"/>
  <c r="A1460" i="60" s="1"/>
  <c r="A1461" i="60" s="1"/>
  <c r="A1462" i="60" s="1"/>
  <c r="A1463" i="60" s="1"/>
  <c r="A1464" i="60" s="1"/>
  <c r="A1465" i="60" s="1"/>
  <c r="A1466" i="60" s="1"/>
  <c r="A1467" i="60" s="1"/>
  <c r="A1468" i="60" s="1"/>
  <c r="A1469" i="60" s="1"/>
  <c r="A1470" i="60" s="1"/>
  <c r="A1471" i="60" s="1"/>
  <c r="A1472" i="60" s="1"/>
  <c r="A1473" i="60" s="1"/>
  <c r="A1474" i="60" s="1"/>
  <c r="A1475" i="60" s="1"/>
  <c r="A1476" i="60" s="1"/>
  <c r="A1477" i="60" s="1"/>
  <c r="A1478" i="60" s="1"/>
  <c r="A1479" i="60" s="1"/>
  <c r="A1480" i="60" s="1"/>
  <c r="A1481" i="60" s="1"/>
  <c r="A1482" i="60" s="1"/>
  <c r="A1483" i="60" s="1"/>
  <c r="A1484" i="60" s="1"/>
  <c r="A1485" i="60" s="1"/>
  <c r="A1486" i="60" s="1"/>
  <c r="A1487" i="60" s="1"/>
  <c r="A1488" i="60" s="1"/>
  <c r="A1489" i="60" s="1"/>
  <c r="A1490" i="60" s="1"/>
  <c r="A1491" i="60" s="1"/>
  <c r="A1492" i="60" s="1"/>
  <c r="A1493" i="60" s="1"/>
  <c r="A1494" i="60" s="1"/>
  <c r="A1495" i="60" s="1"/>
  <c r="A1496" i="60" s="1"/>
  <c r="A1497" i="60" s="1"/>
  <c r="A1498" i="60" s="1"/>
  <c r="A1499" i="60" s="1"/>
  <c r="A1500" i="60" s="1"/>
  <c r="A1501" i="60" s="1"/>
  <c r="A1502" i="60" s="1"/>
  <c r="A1503" i="60" s="1"/>
  <c r="A1504" i="60" s="1"/>
  <c r="A1505" i="60" s="1"/>
  <c r="A1506" i="60" s="1"/>
  <c r="A1507" i="60" s="1"/>
  <c r="A1508" i="60" s="1"/>
  <c r="A1509" i="60" s="1"/>
  <c r="A1510" i="60" s="1"/>
  <c r="A1511" i="60" s="1"/>
  <c r="A1512" i="60" s="1"/>
  <c r="A1513" i="60" s="1"/>
  <c r="A1514" i="60" s="1"/>
  <c r="A1515" i="60" s="1"/>
  <c r="A1516" i="60" s="1"/>
  <c r="A1517" i="60" s="1"/>
  <c r="A1518" i="60" s="1"/>
  <c r="A1519" i="60" s="1"/>
  <c r="A1520" i="60" s="1"/>
  <c r="A1521" i="60" s="1"/>
  <c r="A1522" i="60" s="1"/>
  <c r="A1523" i="60" s="1"/>
  <c r="A1524" i="60" s="1"/>
  <c r="A1525" i="60" s="1"/>
  <c r="A1526" i="60" s="1"/>
  <c r="A1527" i="60" s="1"/>
  <c r="A1528" i="60" s="1"/>
  <c r="A1529" i="60" s="1"/>
  <c r="A1530" i="60" s="1"/>
  <c r="A1531" i="60" s="1"/>
  <c r="A1532" i="60" s="1"/>
  <c r="A1533" i="60" s="1"/>
  <c r="A1534" i="60" s="1"/>
  <c r="A1535" i="60" s="1"/>
  <c r="A1536" i="60" s="1"/>
  <c r="A1537" i="60" s="1"/>
  <c r="A1538" i="60" s="1"/>
  <c r="A1539" i="60" s="1"/>
  <c r="A1540" i="60" s="1"/>
  <c r="A1541" i="60" s="1"/>
  <c r="A1542" i="60" s="1"/>
  <c r="A1543" i="60" s="1"/>
  <c r="A1544" i="60" s="1"/>
  <c r="A1545" i="60" s="1"/>
  <c r="A1546" i="60" s="1"/>
  <c r="A1547" i="60" s="1"/>
  <c r="A1548" i="60" s="1"/>
  <c r="A1549" i="60" s="1"/>
  <c r="A1550" i="60" s="1"/>
  <c r="A1551" i="60" s="1"/>
  <c r="A1552" i="60" s="1"/>
  <c r="A1553" i="60" s="1"/>
  <c r="A1554" i="60" s="1"/>
  <c r="A1555" i="60" s="1"/>
  <c r="A1556" i="60" s="1"/>
  <c r="A1557" i="60" s="1"/>
  <c r="A1558" i="60" s="1"/>
  <c r="A1559" i="60" s="1"/>
  <c r="A1560" i="60" s="1"/>
  <c r="A1561" i="60" s="1"/>
  <c r="A1562" i="60" s="1"/>
  <c r="A1563" i="60" s="1"/>
  <c r="A1564" i="60" s="1"/>
  <c r="A1565" i="60" s="1"/>
  <c r="A1566" i="60" s="1"/>
  <c r="A1567" i="60" s="1"/>
  <c r="A1568" i="60" s="1"/>
  <c r="A1569" i="60" s="1"/>
  <c r="A1570" i="60" s="1"/>
  <c r="A1571" i="60" s="1"/>
  <c r="A1572" i="60" s="1"/>
  <c r="A1573" i="60" s="1"/>
  <c r="A1574" i="60" s="1"/>
  <c r="A1575" i="60" s="1"/>
  <c r="A1576" i="60" s="1"/>
  <c r="A1577" i="60" s="1"/>
  <c r="A1578" i="60" s="1"/>
  <c r="A1579" i="60" s="1"/>
  <c r="A1580" i="60" s="1"/>
  <c r="A1581" i="60" s="1"/>
  <c r="A1582" i="60" s="1"/>
  <c r="A1583" i="60" s="1"/>
  <c r="A1584" i="60" s="1"/>
  <c r="A1585" i="60" s="1"/>
  <c r="A1586" i="60" s="1"/>
  <c r="A1587" i="60" s="1"/>
  <c r="A1588" i="60" s="1"/>
  <c r="A1589" i="60" s="1"/>
  <c r="A1590" i="60" s="1"/>
  <c r="A1591" i="60" s="1"/>
  <c r="A1592" i="60" s="1"/>
  <c r="A1593" i="60" s="1"/>
  <c r="A1594" i="60" s="1"/>
  <c r="A1595" i="60" s="1"/>
  <c r="A1596" i="60" s="1"/>
  <c r="A1597" i="60" s="1"/>
  <c r="A1598" i="60" s="1"/>
  <c r="A1599" i="60" s="1"/>
  <c r="A1600" i="60" s="1"/>
  <c r="A1601" i="60" s="1"/>
  <c r="A1602" i="60" s="1"/>
  <c r="A1603" i="60" s="1"/>
  <c r="A1604" i="60" s="1"/>
  <c r="A1605" i="60" s="1"/>
  <c r="A1606" i="60" s="1"/>
  <c r="A1607" i="60" s="1"/>
  <c r="A1608" i="60" s="1"/>
  <c r="A1609" i="60" s="1"/>
  <c r="A1610" i="60" s="1"/>
  <c r="A1611" i="60" s="1"/>
  <c r="A1612" i="60" s="1"/>
  <c r="A1613" i="60" s="1"/>
  <c r="A1614" i="60" s="1"/>
  <c r="A1615" i="60" s="1"/>
  <c r="A1616" i="60" s="1"/>
  <c r="A1617" i="60" s="1"/>
  <c r="A1618" i="60" s="1"/>
  <c r="A1619" i="60" s="1"/>
  <c r="A1620" i="60" s="1"/>
  <c r="A1621" i="60" s="1"/>
  <c r="A1622" i="60" s="1"/>
  <c r="A1623" i="60" s="1"/>
  <c r="A1624" i="60" s="1"/>
  <c r="A1625" i="60" s="1"/>
  <c r="A1626" i="60" s="1"/>
  <c r="A1627" i="60" s="1"/>
  <c r="A1628" i="60" s="1"/>
  <c r="A1629" i="60" s="1"/>
  <c r="A1630" i="60" s="1"/>
  <c r="A1631" i="60" s="1"/>
  <c r="A1632" i="60" s="1"/>
  <c r="A1633" i="60" s="1"/>
  <c r="A1634" i="60" s="1"/>
  <c r="A1635" i="60" s="1"/>
  <c r="A1636" i="60" s="1"/>
  <c r="A1637" i="60" s="1"/>
  <c r="A1638" i="60" s="1"/>
  <c r="A1639" i="60" s="1"/>
  <c r="A1640" i="60" s="1"/>
  <c r="A1641" i="60" s="1"/>
  <c r="A1642" i="60" s="1"/>
  <c r="A1643" i="60" s="1"/>
  <c r="A1644" i="60" s="1"/>
  <c r="A1645" i="60" s="1"/>
  <c r="A1646" i="60" s="1"/>
  <c r="A1647" i="60" s="1"/>
  <c r="A1648" i="60" s="1"/>
  <c r="A1649" i="60" s="1"/>
  <c r="A1650" i="60" s="1"/>
  <c r="A1651" i="60" s="1"/>
  <c r="A1652" i="60" s="1"/>
  <c r="A1653" i="60" s="1"/>
  <c r="A1654" i="60" s="1"/>
  <c r="A1655" i="60" s="1"/>
  <c r="A1656" i="60" s="1"/>
  <c r="A1657" i="60" s="1"/>
  <c r="A1658" i="60" s="1"/>
  <c r="A1659" i="60" s="1"/>
  <c r="A1660" i="60" s="1"/>
  <c r="A1661" i="60" s="1"/>
  <c r="A1662" i="60" s="1"/>
  <c r="A1663" i="60" s="1"/>
  <c r="A1664" i="60" s="1"/>
  <c r="A1665" i="60" s="1"/>
  <c r="A1666" i="60" s="1"/>
  <c r="A1667" i="60" s="1"/>
  <c r="A1668" i="60" s="1"/>
  <c r="A1669" i="60" s="1"/>
  <c r="A1670" i="60" s="1"/>
  <c r="A1671" i="60" s="1"/>
  <c r="A1672" i="60" s="1"/>
  <c r="A1673" i="60" s="1"/>
  <c r="A1674" i="60" s="1"/>
  <c r="A1675" i="60" s="1"/>
  <c r="A1676" i="60" s="1"/>
  <c r="A1677" i="60" s="1"/>
  <c r="A1678" i="60" s="1"/>
  <c r="A1679" i="60" s="1"/>
  <c r="A1680" i="60" s="1"/>
  <c r="A1681" i="60" s="1"/>
  <c r="A1682" i="60" s="1"/>
  <c r="A1683" i="60" s="1"/>
  <c r="A1684" i="60" s="1"/>
  <c r="A1685" i="60" s="1"/>
  <c r="A1686" i="60" s="1"/>
  <c r="A1687" i="60" s="1"/>
  <c r="A1688" i="60" s="1"/>
  <c r="A1689" i="60" s="1"/>
  <c r="A1690" i="60" s="1"/>
  <c r="A1691" i="60" s="1"/>
  <c r="A1692" i="60" s="1"/>
  <c r="A1693" i="60" s="1"/>
  <c r="A1694" i="60" s="1"/>
  <c r="A1695" i="60" s="1"/>
  <c r="A1696" i="60" s="1"/>
  <c r="A1697" i="60" s="1"/>
  <c r="A1698" i="60" s="1"/>
  <c r="A1699" i="60" s="1"/>
  <c r="A1700" i="60" s="1"/>
  <c r="A1701" i="60" s="1"/>
  <c r="A1702" i="60" s="1"/>
  <c r="A1703" i="60" s="1"/>
  <c r="A1704" i="60" s="1"/>
  <c r="A1705" i="60" s="1"/>
  <c r="A1706" i="60" s="1"/>
  <c r="A1707" i="60" s="1"/>
  <c r="A1708" i="60" s="1"/>
  <c r="A1709" i="60" s="1"/>
  <c r="A1710" i="60" s="1"/>
  <c r="A1711" i="60" s="1"/>
  <c r="A1712" i="60" s="1"/>
  <c r="A1713" i="60" s="1"/>
  <c r="A1714" i="60" s="1"/>
  <c r="A1715" i="60" s="1"/>
  <c r="A1716" i="60" s="1"/>
  <c r="A1717" i="60" s="1"/>
  <c r="A1718" i="60" s="1"/>
  <c r="A1719" i="60" s="1"/>
  <c r="A1720" i="60" s="1"/>
  <c r="A1721" i="60" s="1"/>
  <c r="A1722" i="60" s="1"/>
  <c r="A1723" i="60" s="1"/>
  <c r="A1724" i="60" s="1"/>
  <c r="A1725" i="60" s="1"/>
  <c r="A1726" i="60" s="1"/>
  <c r="A1727" i="60" s="1"/>
  <c r="A1728" i="60" s="1"/>
  <c r="A1729" i="60" s="1"/>
  <c r="A1730" i="60" s="1"/>
  <c r="A1731" i="60" s="1"/>
  <c r="A1732" i="60" s="1"/>
  <c r="A1733" i="60" s="1"/>
  <c r="A1734" i="60" s="1"/>
  <c r="A1735" i="60" s="1"/>
  <c r="A1736" i="60" s="1"/>
  <c r="A1737" i="60" s="1"/>
  <c r="A1738" i="60" s="1"/>
  <c r="A1739" i="60" s="1"/>
  <c r="A1740" i="60" s="1"/>
  <c r="A1741" i="60" s="1"/>
  <c r="A1742" i="60" s="1"/>
  <c r="A1743" i="60" s="1"/>
  <c r="A1744" i="60" s="1"/>
  <c r="A1745" i="60" s="1"/>
  <c r="A1746" i="60" s="1"/>
  <c r="A1747" i="60" s="1"/>
  <c r="A1748" i="60" s="1"/>
  <c r="A1749" i="60" s="1"/>
  <c r="A1750" i="60" s="1"/>
  <c r="A1751" i="60" s="1"/>
  <c r="A1752" i="60" s="1"/>
  <c r="A1753" i="60" s="1"/>
  <c r="A1754" i="60" s="1"/>
  <c r="A1755" i="60" s="1"/>
  <c r="A1756" i="60" s="1"/>
  <c r="A1757" i="60" s="1"/>
  <c r="A1758" i="60" s="1"/>
  <c r="A1759" i="60" s="1"/>
  <c r="A1760" i="60" s="1"/>
  <c r="A1761" i="60" s="1"/>
  <c r="A1762" i="60" s="1"/>
  <c r="A1763" i="60" s="1"/>
  <c r="A1764" i="60" s="1"/>
  <c r="A1765" i="60" s="1"/>
  <c r="A1766" i="60" s="1"/>
  <c r="A1767" i="60" s="1"/>
  <c r="A1768" i="60" s="1"/>
  <c r="A1769" i="60" s="1"/>
  <c r="A1770" i="60" s="1"/>
  <c r="A1771" i="60" s="1"/>
  <c r="A1772" i="60" s="1"/>
  <c r="A1773" i="60" s="1"/>
  <c r="A1774" i="60" s="1"/>
  <c r="A1775" i="60" s="1"/>
  <c r="A1776" i="60" s="1"/>
  <c r="A1777" i="60" s="1"/>
  <c r="A1778" i="60" s="1"/>
  <c r="A1779" i="60" s="1"/>
  <c r="A1780" i="60" s="1"/>
  <c r="A1781" i="60" s="1"/>
  <c r="A1782" i="60" s="1"/>
  <c r="A1783" i="60" s="1"/>
  <c r="A1784" i="60" s="1"/>
  <c r="A1785" i="60" s="1"/>
  <c r="A1786" i="60" s="1"/>
  <c r="A1787" i="60" s="1"/>
  <c r="A1788" i="60" s="1"/>
  <c r="A1789" i="60" s="1"/>
  <c r="A1790" i="60" s="1"/>
  <c r="A1791" i="60" s="1"/>
  <c r="A1792" i="60" s="1"/>
  <c r="A1793" i="60" s="1"/>
  <c r="A1794" i="60" s="1"/>
  <c r="A1795" i="60" s="1"/>
  <c r="A1796" i="60" s="1"/>
  <c r="A1797" i="60" s="1"/>
  <c r="A1798" i="60" s="1"/>
  <c r="A1799" i="60" s="1"/>
  <c r="A1800" i="60" s="1"/>
  <c r="A1801" i="60" s="1"/>
  <c r="A1802" i="60" s="1"/>
  <c r="A1803" i="60" s="1"/>
  <c r="A1804" i="60" s="1"/>
  <c r="A1805" i="60" s="1"/>
  <c r="A1806" i="60" s="1"/>
  <c r="A1807" i="60" s="1"/>
  <c r="A1808" i="60" s="1"/>
  <c r="A1809" i="60" s="1"/>
  <c r="A1810" i="60" s="1"/>
  <c r="A1811" i="60" s="1"/>
  <c r="A1812" i="60" s="1"/>
  <c r="A1813" i="60" s="1"/>
  <c r="A1814" i="60" s="1"/>
  <c r="A1815" i="60" s="1"/>
  <c r="A1816" i="60" s="1"/>
  <c r="A1817" i="60" s="1"/>
  <c r="A1818" i="60" s="1"/>
  <c r="A1819" i="60" s="1"/>
  <c r="A1820" i="60" s="1"/>
  <c r="A1821" i="60" s="1"/>
  <c r="A1822" i="60" s="1"/>
  <c r="A1823" i="60" s="1"/>
  <c r="A1824" i="60" s="1"/>
  <c r="A1825" i="60" s="1"/>
  <c r="A1826" i="60" s="1"/>
  <c r="A1827" i="60" s="1"/>
  <c r="A1828" i="60" s="1"/>
  <c r="A1829" i="60" s="1"/>
  <c r="A1830" i="60" s="1"/>
  <c r="A1831" i="60" s="1"/>
  <c r="A1832" i="60" s="1"/>
  <c r="A1833" i="60" s="1"/>
  <c r="A1834" i="60" s="1"/>
  <c r="A1835" i="60" s="1"/>
  <c r="A1836" i="60" s="1"/>
  <c r="A1837" i="60" s="1"/>
  <c r="A1838" i="60" s="1"/>
  <c r="A1839" i="60" s="1"/>
  <c r="A1840" i="60" s="1"/>
  <c r="A1841" i="60" s="1"/>
  <c r="A1842" i="60" s="1"/>
  <c r="A1843" i="60" s="1"/>
  <c r="A1844" i="60" s="1"/>
  <c r="A1845" i="60" s="1"/>
  <c r="A1846" i="60" s="1"/>
  <c r="A1847" i="60" s="1"/>
  <c r="A1848" i="60" s="1"/>
  <c r="A1849" i="60" s="1"/>
  <c r="A1850" i="60" s="1"/>
  <c r="A1851" i="60" s="1"/>
  <c r="A1852" i="60" s="1"/>
  <c r="A1853" i="60" s="1"/>
  <c r="A1854" i="60" s="1"/>
  <c r="A1855" i="60" s="1"/>
  <c r="A1856" i="60" s="1"/>
  <c r="A1857" i="60" s="1"/>
  <c r="A1858" i="60" s="1"/>
  <c r="A1859" i="60" s="1"/>
  <c r="A1860" i="60" s="1"/>
  <c r="A1861" i="60" s="1"/>
  <c r="A1862" i="60" s="1"/>
  <c r="A1863" i="60" s="1"/>
  <c r="A1864" i="60" s="1"/>
  <c r="A1865" i="60" s="1"/>
  <c r="A1866" i="60" s="1"/>
  <c r="A1867" i="60" s="1"/>
  <c r="A1868" i="60" s="1"/>
  <c r="A1869" i="60" s="1"/>
  <c r="A1870" i="60" s="1"/>
  <c r="A1871" i="60" s="1"/>
  <c r="A1872" i="60" s="1"/>
  <c r="A1873" i="60" s="1"/>
  <c r="A1874" i="60" s="1"/>
  <c r="A1875" i="60" s="1"/>
  <c r="A1876" i="60" s="1"/>
  <c r="A1877" i="60" s="1"/>
  <c r="A1878" i="60" s="1"/>
  <c r="A1879" i="60" s="1"/>
  <c r="A1880" i="60" s="1"/>
  <c r="A1881" i="60" s="1"/>
  <c r="A1882" i="60" s="1"/>
  <c r="A1883" i="60" s="1"/>
  <c r="A1884" i="60" s="1"/>
  <c r="A1885" i="60" s="1"/>
  <c r="A1886" i="60" s="1"/>
  <c r="A1887" i="60" s="1"/>
  <c r="A1888" i="60" s="1"/>
  <c r="A1889" i="60" s="1"/>
  <c r="A1890" i="60" s="1"/>
  <c r="A1891" i="60" s="1"/>
  <c r="A1892" i="60" s="1"/>
  <c r="A1893" i="60" s="1"/>
  <c r="A1894" i="60" s="1"/>
  <c r="A1895" i="60" s="1"/>
  <c r="A1896" i="60" s="1"/>
  <c r="A1897" i="60" s="1"/>
  <c r="A1898" i="60" s="1"/>
  <c r="A1899" i="60" s="1"/>
  <c r="A1900" i="60" s="1"/>
  <c r="A1901" i="60" s="1"/>
  <c r="A1902" i="60" s="1"/>
  <c r="A1903" i="60" s="1"/>
  <c r="A1904" i="60" s="1"/>
  <c r="A1905" i="60" s="1"/>
  <c r="A1906" i="60" s="1"/>
  <c r="A1907" i="60" s="1"/>
  <c r="A1908" i="60" s="1"/>
  <c r="A1909" i="60" s="1"/>
  <c r="A1910" i="60" s="1"/>
  <c r="A1911" i="60" s="1"/>
  <c r="A1912" i="60" s="1"/>
  <c r="A1913" i="60" s="1"/>
  <c r="A1914" i="60" s="1"/>
  <c r="A1915" i="60" s="1"/>
  <c r="A1916" i="60" s="1"/>
  <c r="A1917" i="60" s="1"/>
  <c r="A1918" i="60" s="1"/>
  <c r="A1919" i="60" s="1"/>
  <c r="A1920" i="60" s="1"/>
  <c r="A1921" i="60" s="1"/>
  <c r="A1922" i="60" s="1"/>
  <c r="A1923" i="60" s="1"/>
  <c r="A1924" i="60" s="1"/>
  <c r="A1925" i="60" s="1"/>
  <c r="A1926" i="60" s="1"/>
  <c r="A1927" i="60" s="1"/>
  <c r="A1928" i="60" s="1"/>
  <c r="A1929" i="60" s="1"/>
  <c r="A1930" i="60" s="1"/>
  <c r="A1931" i="60" s="1"/>
  <c r="A1932" i="60" s="1"/>
  <c r="A1933" i="60" s="1"/>
  <c r="A1934" i="60" s="1"/>
  <c r="A1935" i="60" s="1"/>
  <c r="A1936" i="60" s="1"/>
  <c r="A1937" i="60" s="1"/>
  <c r="A1938" i="60" s="1"/>
  <c r="A1939" i="60" s="1"/>
  <c r="A1940" i="60" s="1"/>
  <c r="A1941" i="60" s="1"/>
  <c r="A1942" i="60" s="1"/>
  <c r="A1943" i="60" s="1"/>
  <c r="A1944" i="60" s="1"/>
  <c r="A1945" i="60" s="1"/>
  <c r="A1946" i="60" s="1"/>
  <c r="A1947" i="60" s="1"/>
  <c r="A1948" i="60" s="1"/>
  <c r="A1949" i="60" s="1"/>
  <c r="A1950" i="60" s="1"/>
  <c r="A1951" i="60" s="1"/>
  <c r="A1952" i="60" s="1"/>
  <c r="A1953" i="60" s="1"/>
  <c r="A1954" i="60" s="1"/>
  <c r="A1955" i="60" s="1"/>
  <c r="A1956" i="60" s="1"/>
  <c r="A1957" i="60" s="1"/>
  <c r="A1958" i="60" s="1"/>
  <c r="A1959" i="60" s="1"/>
  <c r="A1960" i="60" s="1"/>
  <c r="A1961" i="60" s="1"/>
  <c r="A1962" i="60" s="1"/>
  <c r="A1963" i="60" s="1"/>
  <c r="A1964" i="60" s="1"/>
  <c r="A943" i="60"/>
  <c r="A944" i="60" s="1"/>
  <c r="B33" i="6"/>
  <c r="B34" i="6"/>
  <c r="B35" i="6"/>
  <c r="B36" i="6"/>
  <c r="B37" i="6"/>
  <c r="B38" i="6"/>
  <c r="B39" i="6"/>
  <c r="B40" i="6"/>
  <c r="B41" i="6"/>
  <c r="B42" i="6"/>
  <c r="B43" i="6"/>
  <c r="B32" i="6"/>
  <c r="D31" i="6"/>
  <c r="E31" i="6"/>
  <c r="F31" i="6"/>
  <c r="G31" i="6"/>
  <c r="H31" i="6"/>
  <c r="I31" i="6"/>
  <c r="J31" i="6"/>
  <c r="K31" i="6"/>
  <c r="L31" i="6"/>
  <c r="M31" i="6"/>
  <c r="N31" i="6"/>
  <c r="C31" i="6"/>
  <c r="N9" i="6"/>
  <c r="M9" i="6"/>
  <c r="L9" i="6"/>
  <c r="K9" i="6"/>
  <c r="J9" i="6"/>
  <c r="I9" i="6"/>
  <c r="G9" i="6"/>
  <c r="H9" i="6"/>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K976" i="11"/>
  <c r="K977" i="11"/>
  <c r="K978" i="11"/>
  <c r="K979" i="11"/>
  <c r="K980" i="11"/>
  <c r="K981" i="11"/>
  <c r="K982" i="11"/>
  <c r="K983" i="11"/>
  <c r="K984" i="11"/>
  <c r="K985" i="11"/>
  <c r="K986" i="11"/>
  <c r="K987" i="11"/>
  <c r="K988" i="11"/>
  <c r="K989" i="11"/>
  <c r="K990" i="11"/>
  <c r="K991" i="11"/>
  <c r="K992" i="11"/>
  <c r="K993" i="11"/>
  <c r="K994" i="11"/>
  <c r="K995" i="11"/>
  <c r="K996" i="11"/>
  <c r="K997" i="11"/>
  <c r="K998" i="11"/>
  <c r="K999" i="11"/>
  <c r="K1000" i="11"/>
  <c r="K1001" i="11"/>
  <c r="K1002" i="11"/>
  <c r="K1003" i="11"/>
  <c r="K1004" i="11"/>
  <c r="K1005" i="11"/>
  <c r="K1006" i="11"/>
  <c r="K1007" i="11"/>
  <c r="K1008" i="11"/>
  <c r="K1009" i="11"/>
  <c r="K1010" i="11"/>
  <c r="K1011" i="11"/>
  <c r="K1012" i="11"/>
  <c r="K1013" i="11"/>
  <c r="K1014" i="11"/>
  <c r="K1015" i="11"/>
  <c r="K1016" i="11"/>
  <c r="K1017" i="11"/>
  <c r="K1018" i="11"/>
  <c r="K1019" i="11"/>
  <c r="K1020" i="11"/>
  <c r="K1021" i="11"/>
  <c r="K1022" i="11"/>
  <c r="K1023" i="11"/>
  <c r="K1024" i="11"/>
  <c r="K1025" i="11"/>
  <c r="K1026" i="11"/>
  <c r="K1027" i="11"/>
  <c r="K1028" i="11"/>
  <c r="K1029" i="11"/>
  <c r="K1030" i="11"/>
  <c r="K1031" i="11"/>
  <c r="K1032" i="11"/>
  <c r="K1033" i="11"/>
  <c r="K1034" i="11"/>
  <c r="K1035" i="11"/>
  <c r="K1036" i="11"/>
  <c r="K1037" i="11"/>
  <c r="K1038" i="11"/>
  <c r="K1039" i="11"/>
  <c r="K1040" i="11"/>
  <c r="K1041" i="11"/>
  <c r="K1042" i="11"/>
  <c r="K1043" i="11"/>
  <c r="K1044" i="11"/>
  <c r="K1045" i="11"/>
  <c r="K1046" i="11"/>
  <c r="K1047" i="11"/>
  <c r="K1048" i="11"/>
  <c r="K1049" i="11"/>
  <c r="K1050" i="11"/>
  <c r="K1051" i="11"/>
  <c r="K1052" i="11"/>
  <c r="K1053" i="11"/>
  <c r="K1054" i="11"/>
  <c r="K1055" i="11"/>
  <c r="K1056" i="11"/>
  <c r="K1057" i="11"/>
  <c r="K1058" i="11"/>
  <c r="K1059" i="11"/>
  <c r="K1060" i="11"/>
  <c r="K1061" i="11"/>
  <c r="K1062" i="11"/>
  <c r="K1063" i="11"/>
  <c r="K1064" i="11"/>
  <c r="K1065" i="11"/>
  <c r="K1066" i="11"/>
  <c r="K1067" i="11"/>
  <c r="K1068" i="11"/>
  <c r="K1069" i="11"/>
  <c r="K1070" i="11"/>
  <c r="K1071" i="11"/>
  <c r="K1072" i="11"/>
  <c r="K1073" i="11"/>
  <c r="K1074" i="11"/>
  <c r="K1075" i="11"/>
  <c r="K1076" i="11"/>
  <c r="K1077" i="11"/>
  <c r="K1078" i="11"/>
  <c r="K1079" i="11"/>
  <c r="K1080" i="11"/>
  <c r="K1081" i="11"/>
  <c r="K1082" i="11"/>
  <c r="K1083" i="11"/>
  <c r="K1084" i="11"/>
  <c r="K1085" i="11"/>
  <c r="K1086" i="11"/>
  <c r="K1087" i="11"/>
  <c r="K1088" i="11"/>
  <c r="K1089" i="11"/>
  <c r="K1090" i="11"/>
  <c r="K1091" i="11"/>
  <c r="K1092" i="11"/>
  <c r="K1093" i="11"/>
  <c r="K1094" i="11"/>
  <c r="K1095" i="11"/>
  <c r="K1096" i="11"/>
  <c r="K1097" i="11"/>
  <c r="K1098" i="11"/>
  <c r="K1099" i="11"/>
  <c r="K1100" i="11"/>
  <c r="K1101" i="11"/>
  <c r="K1102" i="11"/>
  <c r="K1103" i="11"/>
  <c r="K1104" i="11"/>
  <c r="K1105" i="11"/>
  <c r="K1106" i="11"/>
  <c r="K1107" i="11"/>
  <c r="K1108" i="11"/>
  <c r="K1109" i="11"/>
  <c r="K1110" i="11"/>
  <c r="K1111" i="11"/>
  <c r="K1112" i="11"/>
  <c r="K1113" i="11"/>
  <c r="K1114" i="11"/>
  <c r="K1115" i="11"/>
  <c r="K1116" i="11"/>
  <c r="K1117" i="11"/>
  <c r="K1118" i="11"/>
  <c r="K1119" i="11"/>
  <c r="K1120" i="11"/>
  <c r="K1121" i="11"/>
  <c r="K1122" i="11"/>
  <c r="K1123" i="11"/>
  <c r="K1124" i="11"/>
  <c r="K1125" i="11"/>
  <c r="K1126" i="11"/>
  <c r="K1127" i="11"/>
  <c r="K1128" i="11"/>
  <c r="K1129" i="11"/>
  <c r="K1130" i="11"/>
  <c r="K1131" i="11"/>
  <c r="K1132" i="11"/>
  <c r="K1133" i="11"/>
  <c r="K1134" i="11"/>
  <c r="K1135" i="11"/>
  <c r="K1136" i="11"/>
  <c r="K1137" i="11"/>
  <c r="K1138" i="11"/>
  <c r="K1139" i="11"/>
  <c r="K1140" i="11"/>
  <c r="K1141" i="11"/>
  <c r="K1142" i="11"/>
  <c r="K1143" i="11"/>
  <c r="K1144" i="11"/>
  <c r="K1145" i="11"/>
  <c r="K1146" i="11"/>
  <c r="K1147" i="11"/>
  <c r="K1148" i="11"/>
  <c r="K1149" i="11"/>
  <c r="K1150" i="11"/>
  <c r="K1151" i="11"/>
  <c r="K1152" i="11"/>
  <c r="K1153" i="11"/>
  <c r="K1154" i="11"/>
  <c r="K1155" i="11"/>
  <c r="K1156" i="11"/>
  <c r="K1157" i="11"/>
  <c r="K1158" i="11"/>
  <c r="K1159" i="11"/>
  <c r="K1160" i="11"/>
  <c r="K1161" i="11"/>
  <c r="K1162" i="11"/>
  <c r="K1163" i="11"/>
  <c r="K1164" i="11"/>
  <c r="K1165" i="11"/>
  <c r="K1166" i="11"/>
  <c r="K1167" i="11"/>
  <c r="K1168" i="11"/>
  <c r="K1169" i="11"/>
  <c r="K1170" i="11"/>
  <c r="K1171" i="11"/>
  <c r="K1172" i="11"/>
  <c r="K1173" i="11"/>
  <c r="K1174" i="11"/>
  <c r="K1175" i="11"/>
  <c r="K1176" i="11"/>
  <c r="K1177" i="11"/>
  <c r="K1178" i="11"/>
  <c r="K1179" i="11"/>
  <c r="K1180" i="11"/>
  <c r="K1181" i="11"/>
  <c r="K1182" i="11"/>
  <c r="K1183" i="11"/>
  <c r="K1184" i="11"/>
  <c r="K1185" i="11"/>
  <c r="K1186" i="11"/>
  <c r="K1187" i="11"/>
  <c r="K1188" i="11"/>
  <c r="K1189" i="11"/>
  <c r="K1190" i="11"/>
  <c r="K1191" i="11"/>
  <c r="K1192" i="11"/>
  <c r="K1193" i="11"/>
  <c r="K1194" i="11"/>
  <c r="K1195" i="11"/>
  <c r="K1196" i="11"/>
  <c r="K1197" i="11"/>
  <c r="K1198" i="11"/>
  <c r="K1199" i="11"/>
  <c r="K1200" i="11"/>
  <c r="K1201" i="11"/>
  <c r="K1202" i="11"/>
  <c r="K1203" i="11"/>
  <c r="K1204" i="11"/>
  <c r="K1205" i="11"/>
  <c r="K1206" i="11"/>
  <c r="K1207" i="11"/>
  <c r="K1208" i="11"/>
  <c r="K1209" i="11"/>
  <c r="K1210" i="11"/>
  <c r="K1211" i="11"/>
  <c r="K1212" i="11"/>
  <c r="K1213" i="11"/>
  <c r="K1214" i="11"/>
  <c r="K1215" i="11"/>
  <c r="K1216" i="11"/>
  <c r="K1217" i="11"/>
  <c r="K1218" i="11"/>
  <c r="K1219" i="11"/>
  <c r="K1220" i="11"/>
  <c r="K1221" i="11"/>
  <c r="K1222" i="11"/>
  <c r="K1223" i="11"/>
  <c r="K1224" i="11"/>
  <c r="K1225" i="11"/>
  <c r="K1226" i="11"/>
  <c r="K1227" i="11"/>
  <c r="K1228" i="11"/>
  <c r="K1229" i="11"/>
  <c r="K1230" i="11"/>
  <c r="K1231" i="11"/>
  <c r="K1232" i="11"/>
  <c r="K1233" i="11"/>
  <c r="K1234" i="11"/>
  <c r="K1235" i="11"/>
  <c r="K1236" i="11"/>
  <c r="K1237" i="11"/>
  <c r="K1238" i="11"/>
  <c r="K1239" i="11"/>
  <c r="K1240" i="11"/>
  <c r="K1241" i="11"/>
  <c r="K1242" i="11"/>
  <c r="K1243" i="11"/>
  <c r="K1244" i="11"/>
  <c r="K1245" i="11"/>
  <c r="K1246" i="11"/>
  <c r="K1247" i="11"/>
  <c r="K1248" i="11"/>
  <c r="K1249" i="11"/>
  <c r="K1250" i="11"/>
  <c r="K1251" i="11"/>
  <c r="K1252" i="11"/>
  <c r="K1253" i="11"/>
  <c r="K1254" i="11"/>
  <c r="K1255" i="11"/>
  <c r="K1256" i="11"/>
  <c r="K1257" i="11"/>
  <c r="K1258" i="11"/>
  <c r="K1259" i="11"/>
  <c r="K1260" i="11"/>
  <c r="K1261" i="11"/>
  <c r="K1262" i="11"/>
  <c r="K1263" i="11"/>
  <c r="K1264" i="11"/>
  <c r="K1265" i="11"/>
  <c r="K1266" i="11"/>
  <c r="K1267" i="11"/>
  <c r="K1268" i="11"/>
  <c r="K1269" i="11"/>
  <c r="K1270" i="11"/>
  <c r="K1271" i="11"/>
  <c r="K1272" i="11"/>
  <c r="K1273" i="11"/>
  <c r="K1274" i="11"/>
  <c r="K1275" i="11"/>
  <c r="K1276" i="11"/>
  <c r="K1277" i="11"/>
  <c r="K1278" i="11"/>
  <c r="K1279" i="11"/>
  <c r="K1280" i="11"/>
  <c r="K1281" i="11"/>
  <c r="K1282" i="11"/>
  <c r="K1283" i="11"/>
  <c r="K1284" i="11"/>
  <c r="K1285" i="11"/>
  <c r="K1286" i="11"/>
  <c r="K1287" i="11"/>
  <c r="K1288" i="11"/>
  <c r="K1289" i="11"/>
  <c r="K1290" i="11"/>
  <c r="K1291" i="11"/>
  <c r="K1292" i="11"/>
  <c r="K1293" i="11"/>
  <c r="K1294" i="11"/>
  <c r="K1295" i="11"/>
  <c r="K1296" i="11"/>
  <c r="K1297" i="11"/>
  <c r="K1298" i="11"/>
  <c r="K1299" i="11"/>
  <c r="K1300" i="11"/>
  <c r="K1301" i="11"/>
  <c r="K1302" i="11"/>
  <c r="K1303" i="11"/>
  <c r="K1304" i="11"/>
  <c r="K1305" i="11"/>
  <c r="K1306" i="11"/>
  <c r="K1307" i="11"/>
  <c r="K1308" i="11"/>
  <c r="K1309" i="11"/>
  <c r="K1310" i="11"/>
  <c r="K1311" i="11"/>
  <c r="K1312" i="11"/>
  <c r="K1313" i="11"/>
  <c r="K1314" i="11"/>
  <c r="K1315" i="11"/>
  <c r="K1316" i="11"/>
  <c r="K1317" i="11"/>
  <c r="K1318" i="11"/>
  <c r="K1319" i="11"/>
  <c r="K1320" i="11"/>
  <c r="K1321" i="11"/>
  <c r="K1322" i="11"/>
  <c r="K1323" i="11"/>
  <c r="K1324" i="11"/>
  <c r="K1325" i="11"/>
  <c r="K1326" i="11"/>
  <c r="K1327" i="11"/>
  <c r="K1328" i="11"/>
  <c r="K1329" i="11"/>
  <c r="K1330" i="11"/>
  <c r="K1331" i="11"/>
  <c r="K1332" i="11"/>
  <c r="K1333" i="11"/>
  <c r="K1334" i="11"/>
  <c r="K1335" i="11"/>
  <c r="K1336" i="11"/>
  <c r="K1337" i="11"/>
  <c r="K1338" i="11"/>
  <c r="K1339" i="11"/>
  <c r="K1340" i="11"/>
  <c r="K1341" i="11"/>
  <c r="K1342" i="11"/>
  <c r="K1343" i="11"/>
  <c r="K1344" i="11"/>
  <c r="K1345" i="11"/>
  <c r="K1346" i="11"/>
  <c r="K1347" i="11"/>
  <c r="K1348" i="11"/>
  <c r="K1349" i="11"/>
  <c r="K1350" i="11"/>
  <c r="K1351" i="11"/>
  <c r="K1352" i="11"/>
  <c r="K1353" i="11"/>
  <c r="K1354" i="11"/>
  <c r="K1355" i="11"/>
  <c r="K1356" i="11"/>
  <c r="K1357" i="11"/>
  <c r="K1358" i="11"/>
  <c r="K1359" i="11"/>
  <c r="K1360" i="11"/>
  <c r="K1361" i="11"/>
  <c r="K1362" i="11"/>
  <c r="K1363" i="11"/>
  <c r="K1364" i="11"/>
  <c r="K1365" i="11"/>
  <c r="K1366" i="11"/>
  <c r="K1367" i="11"/>
  <c r="K1368" i="11"/>
  <c r="K1369" i="11"/>
  <c r="K1370" i="11"/>
  <c r="K1371" i="11"/>
  <c r="K1372" i="11"/>
  <c r="K1373" i="11"/>
  <c r="K1374" i="11"/>
  <c r="K1375" i="11"/>
  <c r="K1376" i="11"/>
  <c r="K1377" i="11"/>
  <c r="K1378" i="11"/>
  <c r="K1379" i="11"/>
  <c r="K1380" i="11"/>
  <c r="K1381" i="11"/>
  <c r="K1382" i="11"/>
  <c r="K1383" i="11"/>
  <c r="K1384" i="11"/>
  <c r="K1385" i="11"/>
  <c r="K1386" i="11"/>
  <c r="K1387" i="11"/>
  <c r="K1388" i="11"/>
  <c r="K1389" i="11"/>
  <c r="K1390" i="11"/>
  <c r="K1391" i="11"/>
  <c r="K1392" i="11"/>
  <c r="K1393" i="11"/>
  <c r="K1394" i="11"/>
  <c r="K1395" i="11"/>
  <c r="K1396" i="11"/>
  <c r="K1397" i="11"/>
  <c r="K1398" i="11"/>
  <c r="K1399" i="11"/>
  <c r="K1400" i="11"/>
  <c r="K1401" i="11"/>
  <c r="K1402" i="11"/>
  <c r="K1403" i="11"/>
  <c r="K1404" i="11"/>
  <c r="K1405" i="11"/>
  <c r="K1406" i="11"/>
  <c r="K1407" i="11"/>
  <c r="K1408" i="11"/>
  <c r="K1409" i="11"/>
  <c r="K1410" i="11"/>
  <c r="K1411" i="11"/>
  <c r="K1412" i="11"/>
  <c r="K1413" i="11"/>
  <c r="K1414" i="11"/>
  <c r="K1415" i="11"/>
  <c r="K1416" i="11"/>
  <c r="K1417" i="11"/>
  <c r="K1418" i="11"/>
  <c r="K1419" i="11"/>
  <c r="K1420" i="11"/>
  <c r="K1421" i="11"/>
  <c r="K1422" i="11"/>
  <c r="K1423" i="11"/>
  <c r="K1424" i="11"/>
  <c r="K1425" i="11"/>
  <c r="K1426" i="11"/>
  <c r="K1427" i="11"/>
  <c r="K1428" i="11"/>
  <c r="K1429" i="11"/>
  <c r="K1430" i="11"/>
  <c r="K1431" i="11"/>
  <c r="K1432" i="11"/>
  <c r="K1433" i="11"/>
  <c r="K1434" i="11"/>
  <c r="K1435" i="11"/>
  <c r="K1436" i="11"/>
  <c r="K1437" i="11"/>
  <c r="K1438" i="11"/>
  <c r="K1439" i="11"/>
  <c r="K1440" i="11"/>
  <c r="K1441" i="11"/>
  <c r="K1442" i="11"/>
  <c r="K1443" i="11"/>
  <c r="K1444" i="11"/>
  <c r="K1445" i="11"/>
  <c r="K1446" i="11"/>
  <c r="K1447" i="11"/>
  <c r="K1448" i="11"/>
  <c r="K1449" i="11"/>
  <c r="K1450" i="11"/>
  <c r="K1451" i="11"/>
  <c r="K1452" i="11"/>
  <c r="K1453" i="11"/>
  <c r="K1454" i="11"/>
  <c r="K1455" i="11"/>
  <c r="K1456" i="11"/>
  <c r="K1457" i="11"/>
  <c r="K1458" i="11"/>
  <c r="K1459" i="11"/>
  <c r="K1460" i="11"/>
  <c r="K1461" i="11"/>
  <c r="K1462" i="11"/>
  <c r="K1463" i="11"/>
  <c r="K1464" i="11"/>
  <c r="K1465" i="11"/>
  <c r="K1466" i="11"/>
  <c r="K1467" i="11"/>
  <c r="K1468" i="11"/>
  <c r="K1469" i="11"/>
  <c r="K1470" i="11"/>
  <c r="K1471" i="11"/>
  <c r="K1472" i="11"/>
  <c r="K1473" i="11"/>
  <c r="K1474" i="11"/>
  <c r="K1475" i="11"/>
  <c r="K1476" i="11"/>
  <c r="K1477" i="11"/>
  <c r="K1478" i="11"/>
  <c r="K1479" i="11"/>
  <c r="K1480" i="11"/>
  <c r="K1481" i="11"/>
  <c r="K1482" i="11"/>
  <c r="K1483" i="11"/>
  <c r="K1484" i="11"/>
  <c r="K1485" i="11"/>
  <c r="K1486" i="11"/>
  <c r="K1487" i="11"/>
  <c r="K1488" i="11"/>
  <c r="K1489" i="11"/>
  <c r="K1490" i="11"/>
  <c r="K1491" i="11"/>
  <c r="K1492" i="11"/>
  <c r="K1493" i="11"/>
  <c r="K1494" i="11"/>
  <c r="K1495" i="11"/>
  <c r="K1496" i="11"/>
  <c r="K1497" i="11"/>
  <c r="K1498" i="11"/>
  <c r="K1499" i="11"/>
  <c r="K1500" i="11"/>
  <c r="K1501" i="11"/>
  <c r="K1502" i="11"/>
  <c r="K1503" i="11"/>
  <c r="K1504" i="11"/>
  <c r="K1505" i="11"/>
  <c r="K1506" i="11"/>
  <c r="K1507" i="11"/>
  <c r="K1508" i="11"/>
  <c r="K1509" i="11"/>
  <c r="K1510" i="11"/>
  <c r="K1511" i="11"/>
  <c r="K1512" i="11"/>
  <c r="K1513" i="11"/>
  <c r="K1514" i="11"/>
  <c r="K1515" i="11"/>
  <c r="K1516" i="11"/>
  <c r="K1517" i="11"/>
  <c r="K1518" i="11"/>
  <c r="K1519" i="11"/>
  <c r="K1520" i="11"/>
  <c r="K1521" i="11"/>
  <c r="K1522" i="11"/>
  <c r="K1523" i="11"/>
  <c r="K1524" i="11"/>
  <c r="K1525" i="11"/>
  <c r="K1526" i="11"/>
  <c r="K1527" i="11"/>
  <c r="K1528" i="11"/>
  <c r="K1529" i="11"/>
  <c r="K1530" i="11"/>
  <c r="K1531" i="11"/>
  <c r="K1532" i="11"/>
  <c r="K1533" i="11"/>
  <c r="K1534" i="11"/>
  <c r="K1535" i="11"/>
  <c r="K1536" i="11"/>
  <c r="K1537" i="11"/>
  <c r="K1538" i="11"/>
  <c r="K1539" i="11"/>
  <c r="K1540" i="11"/>
  <c r="K1541" i="11"/>
  <c r="K1542" i="11"/>
  <c r="K1543" i="11"/>
  <c r="K1544" i="11"/>
  <c r="K1545" i="11"/>
  <c r="K1546" i="11"/>
  <c r="K1547" i="11"/>
  <c r="K1548" i="11"/>
  <c r="K1549" i="11"/>
  <c r="K1550" i="11"/>
  <c r="K1551" i="11"/>
  <c r="K1552" i="11"/>
  <c r="K1553" i="11"/>
  <c r="K1554" i="11"/>
  <c r="K1555" i="11"/>
  <c r="K1556" i="11"/>
  <c r="K1557" i="11"/>
  <c r="K1558" i="11"/>
  <c r="K1559" i="11"/>
  <c r="K1560" i="11"/>
  <c r="K1561" i="11"/>
  <c r="K1562" i="11"/>
  <c r="K1563" i="11"/>
  <c r="K1564" i="11"/>
  <c r="K1565" i="11"/>
  <c r="K1566" i="11"/>
  <c r="K1567" i="11"/>
  <c r="K1568" i="11"/>
  <c r="K1569" i="11"/>
  <c r="K1570" i="11"/>
  <c r="K1571" i="11"/>
  <c r="K1572" i="11"/>
  <c r="K1573" i="11"/>
  <c r="K1574" i="11"/>
  <c r="K1575" i="11"/>
  <c r="K1576" i="11"/>
  <c r="K1577" i="11"/>
  <c r="K1578" i="11"/>
  <c r="K1579" i="11"/>
  <c r="K1580" i="11"/>
  <c r="K1581" i="11"/>
  <c r="K1582" i="11"/>
  <c r="K1583" i="11"/>
  <c r="K1584" i="11"/>
  <c r="K1585" i="11"/>
  <c r="K1586" i="11"/>
  <c r="K1587" i="11"/>
  <c r="K1588" i="11"/>
  <c r="K1589" i="11"/>
  <c r="K1590" i="11"/>
  <c r="K1591" i="11"/>
  <c r="K1592" i="11"/>
  <c r="K1593" i="11"/>
  <c r="K1594" i="11"/>
  <c r="K1595" i="11"/>
  <c r="K1596" i="11"/>
  <c r="K1597" i="11"/>
  <c r="K1598" i="11"/>
  <c r="K1599" i="11"/>
  <c r="K1600" i="11"/>
  <c r="K1601" i="11"/>
  <c r="K1602" i="11"/>
  <c r="K1603" i="11"/>
  <c r="K1604" i="11"/>
  <c r="K1605" i="11"/>
  <c r="K1606" i="11"/>
  <c r="K1607" i="11"/>
  <c r="K1608" i="11"/>
  <c r="K1609" i="11"/>
  <c r="K1610" i="11"/>
  <c r="K1611" i="11"/>
  <c r="K1612" i="11"/>
  <c r="K1613" i="11"/>
  <c r="K1614" i="11"/>
  <c r="K1615" i="11"/>
  <c r="K1616" i="11"/>
  <c r="K1617" i="11"/>
  <c r="K1618" i="11"/>
  <c r="K1619" i="11"/>
  <c r="K1620" i="11"/>
  <c r="K1621" i="11"/>
  <c r="K1622" i="11"/>
  <c r="K1623" i="11"/>
  <c r="K1624" i="11"/>
  <c r="K1625" i="11"/>
  <c r="K1626" i="11"/>
  <c r="K1627" i="11"/>
  <c r="K1628" i="11"/>
  <c r="K1629" i="11"/>
  <c r="K1630" i="11"/>
  <c r="K1631" i="11"/>
  <c r="K1632" i="11"/>
  <c r="K1633" i="11"/>
  <c r="K1634" i="11"/>
  <c r="K1635" i="11"/>
  <c r="K1636" i="11"/>
  <c r="K1637" i="11"/>
  <c r="K1638" i="11"/>
  <c r="K1639" i="11"/>
  <c r="K1640" i="11"/>
  <c r="K1641" i="11"/>
  <c r="K1642" i="11"/>
  <c r="K1643" i="11"/>
  <c r="K1644" i="11"/>
  <c r="K1645" i="11"/>
  <c r="K1646" i="11"/>
  <c r="K1647" i="11"/>
  <c r="K1648" i="11"/>
  <c r="K1649" i="11"/>
  <c r="K1650" i="11"/>
  <c r="K1651" i="11"/>
  <c r="K1652" i="11"/>
  <c r="K1653" i="11"/>
  <c r="K1654" i="11"/>
  <c r="K1655" i="11"/>
  <c r="K1656" i="11"/>
  <c r="K1657" i="11"/>
  <c r="K1658" i="11"/>
  <c r="K1659" i="11"/>
  <c r="K1660" i="11"/>
  <c r="K1661" i="11"/>
  <c r="K1662" i="11"/>
  <c r="K1663" i="11"/>
  <c r="K1664" i="11"/>
  <c r="K1665" i="11"/>
  <c r="K1666" i="11"/>
  <c r="K1667" i="11"/>
  <c r="K1668" i="11"/>
  <c r="K1669" i="11"/>
  <c r="K1670" i="11"/>
  <c r="K1671" i="11"/>
  <c r="K1672" i="11"/>
  <c r="K1673" i="11"/>
  <c r="K1674" i="11"/>
  <c r="K1675" i="11"/>
  <c r="K1676" i="11"/>
  <c r="K1677" i="11"/>
  <c r="K1678" i="11"/>
  <c r="K1679" i="11"/>
  <c r="K1680" i="11"/>
  <c r="K1681" i="11"/>
  <c r="K1682" i="11"/>
  <c r="K1683" i="11"/>
  <c r="K1684" i="11"/>
  <c r="K1685" i="11"/>
  <c r="K1686" i="11"/>
  <c r="K1687" i="11"/>
  <c r="K1688" i="11"/>
  <c r="K1689" i="11"/>
  <c r="K1690" i="11"/>
  <c r="K1691" i="11"/>
  <c r="K1692" i="11"/>
  <c r="K1693" i="11"/>
  <c r="K1694" i="11"/>
  <c r="K1695" i="11"/>
  <c r="K1696" i="11"/>
  <c r="K1697" i="11"/>
  <c r="K1698" i="11"/>
  <c r="K1699" i="11"/>
  <c r="K1700" i="11"/>
  <c r="K1701" i="11"/>
  <c r="K1702" i="11"/>
  <c r="K1703" i="11"/>
  <c r="K1704" i="11"/>
  <c r="K1705" i="11"/>
  <c r="K1706" i="11"/>
  <c r="K1707" i="11"/>
  <c r="K1708" i="11"/>
  <c r="K1709" i="11"/>
  <c r="K1710" i="11"/>
  <c r="K1711" i="11"/>
  <c r="K1712" i="11"/>
  <c r="L6" i="11"/>
  <c r="N1712" i="11"/>
  <c r="N1711" i="11"/>
  <c r="N1710" i="11"/>
  <c r="N1709" i="11"/>
  <c r="N1708" i="11"/>
  <c r="N1707" i="11"/>
  <c r="N1706" i="11"/>
  <c r="N1705" i="11"/>
  <c r="N1704" i="11"/>
  <c r="N1703" i="11"/>
  <c r="N1702" i="11"/>
  <c r="N1701" i="11"/>
  <c r="N1700" i="11"/>
  <c r="N1699" i="11"/>
  <c r="N1698" i="11"/>
  <c r="N1697" i="11"/>
  <c r="N1696" i="11"/>
  <c r="N1695" i="11"/>
  <c r="N1694" i="11"/>
  <c r="N1693" i="11"/>
  <c r="N1692" i="11"/>
  <c r="N1691" i="11"/>
  <c r="N1690" i="11"/>
  <c r="N1689" i="11"/>
  <c r="N1688" i="11"/>
  <c r="N1687" i="11"/>
  <c r="N1686" i="11"/>
  <c r="N1685" i="11"/>
  <c r="N1684" i="11"/>
  <c r="N1683" i="11"/>
  <c r="N1682" i="11"/>
  <c r="N1681" i="11"/>
  <c r="N1680" i="11"/>
  <c r="N1679" i="11"/>
  <c r="N1678" i="11"/>
  <c r="N1677" i="11"/>
  <c r="N1676" i="11"/>
  <c r="N1675" i="11"/>
  <c r="N1674" i="11"/>
  <c r="N1673" i="11"/>
  <c r="N1672" i="11"/>
  <c r="N1671" i="11"/>
  <c r="N1670" i="11"/>
  <c r="N1669" i="11"/>
  <c r="N1668" i="11"/>
  <c r="N1667" i="11"/>
  <c r="N1666" i="11"/>
  <c r="N1665" i="11"/>
  <c r="N1664" i="11"/>
  <c r="N1663" i="11"/>
  <c r="N1662" i="11"/>
  <c r="N1661" i="11"/>
  <c r="N1660" i="11"/>
  <c r="N1659" i="11"/>
  <c r="N1658" i="11"/>
  <c r="N1657" i="11"/>
  <c r="N1656" i="11"/>
  <c r="N1655" i="11"/>
  <c r="N1654" i="11"/>
  <c r="N1653" i="11"/>
  <c r="N1652" i="11"/>
  <c r="N1651" i="11"/>
  <c r="N1650" i="11"/>
  <c r="N1649" i="11"/>
  <c r="N1648" i="11"/>
  <c r="N1647" i="11"/>
  <c r="N1646" i="11"/>
  <c r="N1645" i="11"/>
  <c r="N1644" i="11"/>
  <c r="N1643" i="11"/>
  <c r="N1642" i="11"/>
  <c r="N1641" i="11"/>
  <c r="N1640" i="11"/>
  <c r="N1639" i="11"/>
  <c r="N1638" i="11"/>
  <c r="N1637" i="11"/>
  <c r="N1636" i="11"/>
  <c r="N1635" i="11"/>
  <c r="N1634" i="11"/>
  <c r="N1633" i="11"/>
  <c r="N1632" i="11"/>
  <c r="N1631" i="11"/>
  <c r="N1630" i="11"/>
  <c r="N1629" i="11"/>
  <c r="N1628" i="11"/>
  <c r="N1627" i="11"/>
  <c r="N1626" i="11"/>
  <c r="N1625" i="11"/>
  <c r="N1624" i="11"/>
  <c r="N1623" i="11"/>
  <c r="N1622" i="11"/>
  <c r="N1621" i="11"/>
  <c r="N1620" i="11"/>
  <c r="N1619" i="11"/>
  <c r="N1618" i="11"/>
  <c r="N1617" i="11"/>
  <c r="N1616" i="11"/>
  <c r="N1615" i="11"/>
  <c r="N1614" i="11"/>
  <c r="N1613" i="11"/>
  <c r="N1612" i="11"/>
  <c r="N1611" i="11"/>
  <c r="N1610" i="11"/>
  <c r="N1609" i="11"/>
  <c r="N1608" i="11"/>
  <c r="N1607" i="11"/>
  <c r="N1606" i="11"/>
  <c r="N1605" i="11"/>
  <c r="N1604" i="11"/>
  <c r="N1603" i="11"/>
  <c r="N1602" i="11"/>
  <c r="N1601" i="11"/>
  <c r="N1600" i="11"/>
  <c r="N1599" i="11"/>
  <c r="N1598" i="11"/>
  <c r="N1597" i="11"/>
  <c r="N1596" i="11"/>
  <c r="N1595" i="11"/>
  <c r="N1594" i="11"/>
  <c r="N1593" i="11"/>
  <c r="N1592" i="11"/>
  <c r="N1591" i="11"/>
  <c r="N1590" i="11"/>
  <c r="N1589" i="11"/>
  <c r="N1588" i="11"/>
  <c r="N1587" i="11"/>
  <c r="N1586" i="11"/>
  <c r="N1585" i="11"/>
  <c r="N1584" i="11"/>
  <c r="N1583" i="11"/>
  <c r="N1582" i="11"/>
  <c r="N1581" i="11"/>
  <c r="N1580" i="11"/>
  <c r="N1579" i="11"/>
  <c r="N1578" i="11"/>
  <c r="N1577" i="11"/>
  <c r="N1576" i="11"/>
  <c r="N1575" i="11"/>
  <c r="N1574" i="11"/>
  <c r="N1573" i="11"/>
  <c r="N1572" i="11"/>
  <c r="N1571" i="11"/>
  <c r="N1570" i="11"/>
  <c r="N1569" i="11"/>
  <c r="N1568" i="11"/>
  <c r="N1567" i="11"/>
  <c r="N1566" i="11"/>
  <c r="N1565" i="11"/>
  <c r="N1564" i="11"/>
  <c r="N1563" i="11"/>
  <c r="N1562" i="11"/>
  <c r="N1561" i="11"/>
  <c r="N1560" i="11"/>
  <c r="N1559" i="11"/>
  <c r="N1558" i="11"/>
  <c r="N1557" i="11"/>
  <c r="N1556" i="11"/>
  <c r="N1555" i="11"/>
  <c r="N1554" i="11"/>
  <c r="N1553" i="11"/>
  <c r="N1552" i="11"/>
  <c r="N1551" i="11"/>
  <c r="N1550" i="11"/>
  <c r="N1549" i="11"/>
  <c r="N1548" i="11"/>
  <c r="N1547" i="11"/>
  <c r="N1546" i="11"/>
  <c r="N1545" i="11"/>
  <c r="N1544" i="11"/>
  <c r="N1543" i="11"/>
  <c r="N1542" i="11"/>
  <c r="N1541" i="11"/>
  <c r="N1540" i="11"/>
  <c r="N1539" i="11"/>
  <c r="N1538" i="11"/>
  <c r="N1537" i="11"/>
  <c r="N1536" i="11"/>
  <c r="N1535" i="11"/>
  <c r="N1534" i="11"/>
  <c r="N1533" i="11"/>
  <c r="N1532" i="11"/>
  <c r="N1531" i="11"/>
  <c r="N1530" i="11"/>
  <c r="N1529" i="11"/>
  <c r="N1528" i="11"/>
  <c r="N1527" i="11"/>
  <c r="N1526" i="11"/>
  <c r="N1525" i="11"/>
  <c r="N1524" i="11"/>
  <c r="N1523" i="11"/>
  <c r="N1522" i="11"/>
  <c r="N1521" i="11"/>
  <c r="N1520" i="11"/>
  <c r="N1519" i="11"/>
  <c r="N1518" i="11"/>
  <c r="N1517" i="11"/>
  <c r="N1516" i="11"/>
  <c r="N1515" i="11"/>
  <c r="N1514" i="11"/>
  <c r="N1513" i="11"/>
  <c r="N1512" i="11"/>
  <c r="N1511" i="11"/>
  <c r="N1510" i="11"/>
  <c r="N1509" i="11"/>
  <c r="N1508" i="11"/>
  <c r="N1507" i="11"/>
  <c r="N1506" i="11"/>
  <c r="N1505" i="11"/>
  <c r="N1504" i="11"/>
  <c r="N1503" i="11"/>
  <c r="N1502" i="11"/>
  <c r="N1501" i="11"/>
  <c r="N1500" i="11"/>
  <c r="N1499" i="11"/>
  <c r="N1498" i="11"/>
  <c r="N1497" i="11"/>
  <c r="N1496" i="11"/>
  <c r="N1495" i="11"/>
  <c r="N1494" i="11"/>
  <c r="N1493" i="11"/>
  <c r="N1492" i="11"/>
  <c r="N1491" i="11"/>
  <c r="N1490" i="11"/>
  <c r="N1489" i="11"/>
  <c r="N1488" i="11"/>
  <c r="N1487" i="11"/>
  <c r="N1486" i="11"/>
  <c r="N1485" i="11"/>
  <c r="N1484" i="11"/>
  <c r="N1483" i="11"/>
  <c r="N1482" i="11"/>
  <c r="N1481" i="11"/>
  <c r="N1480" i="11"/>
  <c r="N1479" i="11"/>
  <c r="N1478" i="11"/>
  <c r="N1477" i="11"/>
  <c r="N1476" i="11"/>
  <c r="N1475" i="11"/>
  <c r="N1474" i="11"/>
  <c r="N1473" i="11"/>
  <c r="N1472" i="11"/>
  <c r="N1471" i="11"/>
  <c r="N1470" i="11"/>
  <c r="N1469" i="11"/>
  <c r="N1468" i="11"/>
  <c r="N1467" i="11"/>
  <c r="N1466" i="11"/>
  <c r="N1465" i="11"/>
  <c r="N1464" i="11"/>
  <c r="N1463" i="11"/>
  <c r="N1462" i="11"/>
  <c r="N1461" i="11"/>
  <c r="N1460" i="11"/>
  <c r="N1459" i="11"/>
  <c r="N1458" i="11"/>
  <c r="N1457" i="11"/>
  <c r="N1456" i="11"/>
  <c r="N1455" i="11"/>
  <c r="N1454" i="11"/>
  <c r="N1453" i="11"/>
  <c r="N1452" i="11"/>
  <c r="N1451" i="11"/>
  <c r="N1450" i="11"/>
  <c r="N1449" i="11"/>
  <c r="N1448" i="11"/>
  <c r="N1447" i="11"/>
  <c r="N1446" i="11"/>
  <c r="N1445" i="11"/>
  <c r="N1444" i="11"/>
  <c r="N1443" i="11"/>
  <c r="N1442" i="11"/>
  <c r="N1441" i="11"/>
  <c r="N1440" i="11"/>
  <c r="N1439" i="11"/>
  <c r="N1438" i="11"/>
  <c r="N1437" i="11"/>
  <c r="N1436" i="11"/>
  <c r="N1435" i="11"/>
  <c r="N1434" i="11"/>
  <c r="N1433" i="11"/>
  <c r="N1432" i="11"/>
  <c r="N1431" i="11"/>
  <c r="N1430" i="11"/>
  <c r="N1429" i="11"/>
  <c r="N1428" i="11"/>
  <c r="N1427" i="11"/>
  <c r="N1426" i="11"/>
  <c r="N1425" i="11"/>
  <c r="N1424" i="11"/>
  <c r="N1423" i="11"/>
  <c r="N1422" i="11"/>
  <c r="N1421" i="11"/>
  <c r="N1420" i="11"/>
  <c r="N1419" i="11"/>
  <c r="N1418" i="11"/>
  <c r="N1417" i="11"/>
  <c r="N1416" i="11"/>
  <c r="N1415" i="11"/>
  <c r="N1414" i="11"/>
  <c r="N1413" i="11"/>
  <c r="N1412" i="11"/>
  <c r="N1411" i="11"/>
  <c r="N1410" i="11"/>
  <c r="N1409" i="11"/>
  <c r="N1408" i="11"/>
  <c r="N1407" i="11"/>
  <c r="N1406" i="11"/>
  <c r="N1405" i="11"/>
  <c r="N1404" i="11"/>
  <c r="N1403" i="11"/>
  <c r="N1402" i="11"/>
  <c r="N1401" i="11"/>
  <c r="N1400" i="11"/>
  <c r="N1399" i="11"/>
  <c r="N1398" i="11"/>
  <c r="N1397" i="11"/>
  <c r="N1396" i="11"/>
  <c r="N1395" i="11"/>
  <c r="N1394" i="11"/>
  <c r="N1393" i="11"/>
  <c r="N1392" i="11"/>
  <c r="N1391" i="11"/>
  <c r="N1390" i="11"/>
  <c r="N1389" i="11"/>
  <c r="N1388" i="11"/>
  <c r="N1387" i="11"/>
  <c r="N1386" i="11"/>
  <c r="N1385" i="11"/>
  <c r="N1384" i="11"/>
  <c r="N1383" i="11"/>
  <c r="N1382" i="11"/>
  <c r="N1381" i="11"/>
  <c r="N1380" i="11"/>
  <c r="N1379" i="11"/>
  <c r="N1378" i="11"/>
  <c r="N1377" i="11"/>
  <c r="N1376" i="11"/>
  <c r="N1375" i="11"/>
  <c r="N1374" i="11"/>
  <c r="N1373" i="11"/>
  <c r="N1372" i="11"/>
  <c r="N1371" i="11"/>
  <c r="N1370" i="11"/>
  <c r="N1369" i="11"/>
  <c r="N1368" i="11"/>
  <c r="N1367" i="11"/>
  <c r="N1366" i="11"/>
  <c r="N1365" i="11"/>
  <c r="N1364" i="11"/>
  <c r="N1363" i="11"/>
  <c r="N1362" i="11"/>
  <c r="N1361" i="11"/>
  <c r="N1360" i="11"/>
  <c r="N1359" i="11"/>
  <c r="N1358" i="11"/>
  <c r="N1357" i="11"/>
  <c r="N1356" i="11"/>
  <c r="N1355" i="11"/>
  <c r="N1354" i="11"/>
  <c r="N1353" i="11"/>
  <c r="N1352" i="11"/>
  <c r="N1351" i="11"/>
  <c r="N1350" i="11"/>
  <c r="N1349" i="11"/>
  <c r="N1348" i="11"/>
  <c r="N1347" i="11"/>
  <c r="N1346" i="11"/>
  <c r="N1345" i="11"/>
  <c r="N1344" i="11"/>
  <c r="N1343" i="11"/>
  <c r="N1342" i="11"/>
  <c r="N1341" i="11"/>
  <c r="N1340" i="11"/>
  <c r="N1339" i="11"/>
  <c r="N1338" i="11"/>
  <c r="N1337" i="11"/>
  <c r="N1336" i="11"/>
  <c r="N1335" i="11"/>
  <c r="N1334" i="11"/>
  <c r="N1333" i="11"/>
  <c r="N1332" i="11"/>
  <c r="N1331" i="11"/>
  <c r="N1330" i="11"/>
  <c r="N1329" i="11"/>
  <c r="N1328" i="11"/>
  <c r="N1327" i="11"/>
  <c r="N1326" i="11"/>
  <c r="N1325" i="11"/>
  <c r="N1324" i="11"/>
  <c r="N1323" i="11"/>
  <c r="N1322" i="11"/>
  <c r="N1321" i="11"/>
  <c r="N1320" i="11"/>
  <c r="N1319" i="11"/>
  <c r="N1318" i="11"/>
  <c r="N1317" i="11"/>
  <c r="N1316" i="11"/>
  <c r="N1315" i="11"/>
  <c r="N1314" i="11"/>
  <c r="N1313" i="11"/>
  <c r="N1312" i="11"/>
  <c r="N1311" i="11"/>
  <c r="N1310" i="11"/>
  <c r="N1309" i="11"/>
  <c r="N1308" i="11"/>
  <c r="N1307" i="11"/>
  <c r="N1306" i="11"/>
  <c r="N1305" i="11"/>
  <c r="N1304" i="11"/>
  <c r="N1303" i="11"/>
  <c r="N1302" i="11"/>
  <c r="N1301" i="11"/>
  <c r="N1300" i="11"/>
  <c r="N1299" i="11"/>
  <c r="N1298" i="11"/>
  <c r="N1297" i="11"/>
  <c r="N1296" i="11"/>
  <c r="N1295" i="11"/>
  <c r="N1294" i="11"/>
  <c r="N1293" i="11"/>
  <c r="N1292" i="11"/>
  <c r="N1291" i="11"/>
  <c r="N1290" i="11"/>
  <c r="N1289" i="11"/>
  <c r="N1288" i="11"/>
  <c r="N1287" i="11"/>
  <c r="N1286" i="11"/>
  <c r="N1285" i="11"/>
  <c r="N1284" i="11"/>
  <c r="N1283" i="11"/>
  <c r="N1282" i="11"/>
  <c r="N1281" i="11"/>
  <c r="N1280" i="11"/>
  <c r="N1279" i="11"/>
  <c r="N1278" i="11"/>
  <c r="N1277" i="11"/>
  <c r="N1276" i="11"/>
  <c r="N1275" i="11"/>
  <c r="N1274" i="11"/>
  <c r="N1273" i="11"/>
  <c r="N1272" i="11"/>
  <c r="N1271" i="11"/>
  <c r="N1270" i="11"/>
  <c r="N1269" i="11"/>
  <c r="N1268" i="11"/>
  <c r="N1267" i="11"/>
  <c r="N1266" i="11"/>
  <c r="N1265" i="11"/>
  <c r="N1264" i="11"/>
  <c r="N1263" i="11"/>
  <c r="N1262" i="11"/>
  <c r="N1261" i="11"/>
  <c r="N1260" i="11"/>
  <c r="N1259" i="11"/>
  <c r="N1258" i="11"/>
  <c r="N1257" i="11"/>
  <c r="N1256" i="11"/>
  <c r="N1255" i="11"/>
  <c r="N1254" i="11"/>
  <c r="N1253" i="11"/>
  <c r="N1252" i="11"/>
  <c r="N1251" i="11"/>
  <c r="N1250" i="11"/>
  <c r="N1249" i="11"/>
  <c r="N1248" i="11"/>
  <c r="N1247" i="11"/>
  <c r="N1246" i="11"/>
  <c r="N1245" i="11"/>
  <c r="N1244" i="11"/>
  <c r="N1243" i="11"/>
  <c r="N1242" i="11"/>
  <c r="N1241" i="11"/>
  <c r="N1240" i="11"/>
  <c r="N1239" i="11"/>
  <c r="N1238" i="11"/>
  <c r="N1237" i="11"/>
  <c r="N1236" i="11"/>
  <c r="N1235" i="11"/>
  <c r="N1234" i="11"/>
  <c r="N1233" i="11"/>
  <c r="N1232" i="11"/>
  <c r="N1231" i="11"/>
  <c r="N1230" i="11"/>
  <c r="N1229" i="11"/>
  <c r="N1228" i="11"/>
  <c r="N1227" i="11"/>
  <c r="N1226" i="11"/>
  <c r="N1225" i="11"/>
  <c r="N1224" i="11"/>
  <c r="N1223" i="11"/>
  <c r="N1222" i="11"/>
  <c r="N1221" i="11"/>
  <c r="N1220" i="11"/>
  <c r="N1219" i="11"/>
  <c r="N1218" i="11"/>
  <c r="N1217" i="11"/>
  <c r="N1216" i="11"/>
  <c r="N1215" i="11"/>
  <c r="N1214" i="11"/>
  <c r="N1213" i="11"/>
  <c r="N1212" i="11"/>
  <c r="N1211" i="11"/>
  <c r="N1210" i="11"/>
  <c r="N1209" i="11"/>
  <c r="N1208" i="11"/>
  <c r="N1207" i="11"/>
  <c r="N1206" i="11"/>
  <c r="N1205" i="11"/>
  <c r="N1204" i="11"/>
  <c r="N1203" i="11"/>
  <c r="N1202" i="11"/>
  <c r="N1201" i="11"/>
  <c r="N1200" i="11"/>
  <c r="N1199" i="11"/>
  <c r="N1198" i="11"/>
  <c r="N1197" i="11"/>
  <c r="N1196" i="11"/>
  <c r="N1195" i="11"/>
  <c r="N1194" i="11"/>
  <c r="N1193" i="11"/>
  <c r="N1192" i="11"/>
  <c r="N1191" i="11"/>
  <c r="N1190" i="11"/>
  <c r="N1189" i="11"/>
  <c r="N1188" i="11"/>
  <c r="N1187" i="11"/>
  <c r="N1186" i="11"/>
  <c r="N1185" i="11"/>
  <c r="N1184" i="11"/>
  <c r="N1183" i="11"/>
  <c r="N1182" i="11"/>
  <c r="N1181" i="11"/>
  <c r="N1180" i="11"/>
  <c r="N1179" i="11"/>
  <c r="N1178" i="11"/>
  <c r="N1177" i="11"/>
  <c r="N1176" i="11"/>
  <c r="N1175" i="11"/>
  <c r="N1174" i="11"/>
  <c r="N1173" i="11"/>
  <c r="N1172" i="11"/>
  <c r="N1171" i="11"/>
  <c r="N1170" i="11"/>
  <c r="N1169" i="11"/>
  <c r="N1168" i="11"/>
  <c r="N1167" i="11"/>
  <c r="N1166" i="11"/>
  <c r="N1165" i="11"/>
  <c r="N1164" i="11"/>
  <c r="N1163" i="11"/>
  <c r="N1162" i="11"/>
  <c r="N1161" i="11"/>
  <c r="N1160" i="11"/>
  <c r="N1159" i="11"/>
  <c r="N1158" i="11"/>
  <c r="N1157" i="11"/>
  <c r="N1156" i="11"/>
  <c r="N1155" i="11"/>
  <c r="N1154" i="11"/>
  <c r="N1153" i="11"/>
  <c r="N1152" i="11"/>
  <c r="N1151" i="11"/>
  <c r="N1150" i="11"/>
  <c r="N1149" i="11"/>
  <c r="N1148" i="11"/>
  <c r="N1147" i="11"/>
  <c r="N1146" i="11"/>
  <c r="N1145" i="11"/>
  <c r="N1144" i="11"/>
  <c r="N1143" i="11"/>
  <c r="N1142" i="11"/>
  <c r="N1141" i="11"/>
  <c r="N1140" i="11"/>
  <c r="N1139" i="11"/>
  <c r="N1138" i="11"/>
  <c r="N1137" i="11"/>
  <c r="N1136" i="11"/>
  <c r="N1135" i="11"/>
  <c r="N1134" i="11"/>
  <c r="N1133" i="11"/>
  <c r="N1132" i="11"/>
  <c r="N1131" i="11"/>
  <c r="N1130" i="11"/>
  <c r="N1129" i="11"/>
  <c r="N1128" i="11"/>
  <c r="N1127" i="11"/>
  <c r="N1126" i="11"/>
  <c r="N1125" i="11"/>
  <c r="N1124" i="11"/>
  <c r="N1123" i="11"/>
  <c r="N1122" i="11"/>
  <c r="N1121" i="11"/>
  <c r="N1120" i="11"/>
  <c r="N1119" i="11"/>
  <c r="N1118" i="11"/>
  <c r="N1117" i="11"/>
  <c r="N1116" i="11"/>
  <c r="N1115" i="11"/>
  <c r="N1114" i="11"/>
  <c r="N1113" i="11"/>
  <c r="N1112" i="11"/>
  <c r="N1111" i="11"/>
  <c r="N1110" i="11"/>
  <c r="N1109" i="11"/>
  <c r="N1108" i="11"/>
  <c r="N1107" i="11"/>
  <c r="N1106" i="11"/>
  <c r="N1105" i="11"/>
  <c r="N1104" i="11"/>
  <c r="N1103" i="11"/>
  <c r="N1102" i="11"/>
  <c r="N1101" i="11"/>
  <c r="N1100" i="11"/>
  <c r="N1099" i="11"/>
  <c r="N1098" i="11"/>
  <c r="N1097" i="11"/>
  <c r="N1096" i="11"/>
  <c r="N1095" i="11"/>
  <c r="N1094" i="11"/>
  <c r="N1093" i="11"/>
  <c r="N1092" i="11"/>
  <c r="N1091" i="11"/>
  <c r="N1090" i="11"/>
  <c r="N1089" i="11"/>
  <c r="N1088" i="11"/>
  <c r="N1087" i="11"/>
  <c r="N1086" i="11"/>
  <c r="N1085" i="11"/>
  <c r="N1084" i="11"/>
  <c r="N1083" i="11"/>
  <c r="N1082" i="11"/>
  <c r="N1081" i="11"/>
  <c r="N1080" i="11"/>
  <c r="N1079" i="11"/>
  <c r="N1078" i="11"/>
  <c r="N1077" i="11"/>
  <c r="N1076" i="11"/>
  <c r="N1075" i="11"/>
  <c r="N1074" i="11"/>
  <c r="N1073" i="11"/>
  <c r="N1072" i="11"/>
  <c r="N1071" i="11"/>
  <c r="N1070" i="11"/>
  <c r="N1069" i="11"/>
  <c r="N1068" i="11"/>
  <c r="N1067" i="11"/>
  <c r="N1066" i="11"/>
  <c r="N1065" i="11"/>
  <c r="N1064" i="11"/>
  <c r="N1063" i="11"/>
  <c r="N1062" i="11"/>
  <c r="N1061" i="11"/>
  <c r="N1060" i="11"/>
  <c r="N1059" i="11"/>
  <c r="N1058" i="11"/>
  <c r="N1057" i="11"/>
  <c r="N1056" i="11"/>
  <c r="N1055" i="11"/>
  <c r="N1054" i="11"/>
  <c r="N1053" i="11"/>
  <c r="N1052" i="11"/>
  <c r="N1051" i="11"/>
  <c r="N1050" i="11"/>
  <c r="N1049" i="11"/>
  <c r="N1048" i="11"/>
  <c r="N1047" i="11"/>
  <c r="N1046" i="11"/>
  <c r="N1045" i="11"/>
  <c r="N1044" i="11"/>
  <c r="N1043" i="11"/>
  <c r="N1042" i="11"/>
  <c r="N1041" i="11"/>
  <c r="N1040" i="11"/>
  <c r="N1039" i="11"/>
  <c r="N1038" i="11"/>
  <c r="N1037" i="11"/>
  <c r="N1036" i="11"/>
  <c r="N1035" i="11"/>
  <c r="N1034" i="11"/>
  <c r="N1033" i="11"/>
  <c r="N1032" i="11"/>
  <c r="N1031" i="11"/>
  <c r="N1030" i="11"/>
  <c r="N1029" i="11"/>
  <c r="N1028" i="11"/>
  <c r="N1027" i="11"/>
  <c r="N1026" i="11"/>
  <c r="N1025" i="11"/>
  <c r="N1024" i="11"/>
  <c r="N1023" i="11"/>
  <c r="N1022" i="11"/>
  <c r="N1021" i="11"/>
  <c r="N1020" i="11"/>
  <c r="N1019" i="11"/>
  <c r="N1018" i="11"/>
  <c r="N1017" i="11"/>
  <c r="N1016" i="11"/>
  <c r="N1015" i="11"/>
  <c r="N1014" i="11"/>
  <c r="N1013" i="11"/>
  <c r="N1012" i="11"/>
  <c r="N1011" i="11"/>
  <c r="N1010" i="11"/>
  <c r="N1009" i="11"/>
  <c r="N1008" i="11"/>
  <c r="N1007" i="11"/>
  <c r="N1006" i="11"/>
  <c r="N1005" i="11"/>
  <c r="N1004" i="11"/>
  <c r="N1003" i="11"/>
  <c r="N1002" i="11"/>
  <c r="N1001" i="11"/>
  <c r="N1000" i="11"/>
  <c r="N999" i="11"/>
  <c r="N998" i="11"/>
  <c r="N997" i="11"/>
  <c r="N996" i="11"/>
  <c r="N995" i="11"/>
  <c r="N994" i="11"/>
  <c r="N993" i="11"/>
  <c r="N992" i="11"/>
  <c r="N991" i="11"/>
  <c r="N990" i="11"/>
  <c r="N989" i="11"/>
  <c r="N988" i="11"/>
  <c r="N987" i="11"/>
  <c r="N986" i="11"/>
  <c r="N985" i="11"/>
  <c r="N984" i="11"/>
  <c r="N983" i="11"/>
  <c r="N982" i="11"/>
  <c r="N981" i="11"/>
  <c r="N980" i="11"/>
  <c r="N979" i="11"/>
  <c r="N978" i="11"/>
  <c r="N977" i="11"/>
  <c r="N976" i="11"/>
  <c r="N975" i="11"/>
  <c r="N974" i="11"/>
  <c r="N973" i="11"/>
  <c r="N972" i="11"/>
  <c r="N971" i="11"/>
  <c r="N970" i="11"/>
  <c r="N969" i="11"/>
  <c r="N968" i="11"/>
  <c r="N967" i="11"/>
  <c r="N966" i="11"/>
  <c r="N965" i="11"/>
  <c r="N964" i="11"/>
  <c r="N963" i="11"/>
  <c r="N962" i="11"/>
  <c r="N961" i="11"/>
  <c r="N960" i="11"/>
  <c r="N959" i="11"/>
  <c r="N958" i="11"/>
  <c r="N957" i="11"/>
  <c r="N956" i="11"/>
  <c r="N955" i="11"/>
  <c r="N954" i="11"/>
  <c r="N953" i="11"/>
  <c r="N952" i="11"/>
  <c r="N951" i="11"/>
  <c r="N950" i="11"/>
  <c r="N949" i="11"/>
  <c r="N948" i="11"/>
  <c r="N947" i="11"/>
  <c r="N946" i="11"/>
  <c r="N945" i="11"/>
  <c r="N944" i="11"/>
  <c r="N943" i="11"/>
  <c r="N942" i="11"/>
  <c r="N941" i="11"/>
  <c r="N940" i="11"/>
  <c r="N939" i="11"/>
  <c r="N938" i="11"/>
  <c r="N937" i="11"/>
  <c r="N936" i="11"/>
  <c r="N935" i="11"/>
  <c r="N934" i="11"/>
  <c r="N933" i="11"/>
  <c r="N932" i="11"/>
  <c r="N931" i="11"/>
  <c r="N930" i="11"/>
  <c r="N929" i="11"/>
  <c r="N928" i="11"/>
  <c r="N927" i="11"/>
  <c r="N926" i="11"/>
  <c r="N925" i="11"/>
  <c r="N924" i="11"/>
  <c r="N923" i="11"/>
  <c r="N922" i="11"/>
  <c r="N921" i="11"/>
  <c r="N920" i="11"/>
  <c r="N919" i="11"/>
  <c r="N918" i="11"/>
  <c r="N917" i="11"/>
  <c r="N916" i="11"/>
  <c r="N915" i="11"/>
  <c r="N914" i="11"/>
  <c r="N913" i="11"/>
  <c r="N912" i="11"/>
  <c r="N911" i="11"/>
  <c r="N910" i="11"/>
  <c r="N909" i="11"/>
  <c r="N908" i="11"/>
  <c r="N907" i="11"/>
  <c r="N906" i="11"/>
  <c r="N905" i="11"/>
  <c r="N904" i="11"/>
  <c r="N903" i="11"/>
  <c r="N902" i="11"/>
  <c r="N901" i="11"/>
  <c r="N900" i="11"/>
  <c r="N899" i="11"/>
  <c r="N898" i="11"/>
  <c r="N897" i="11"/>
  <c r="N896" i="11"/>
  <c r="N895" i="11"/>
  <c r="N894" i="11"/>
  <c r="N893" i="11"/>
  <c r="N892" i="11"/>
  <c r="N891" i="11"/>
  <c r="N890" i="11"/>
  <c r="N889" i="11"/>
  <c r="N888" i="11"/>
  <c r="N887" i="11"/>
  <c r="N886" i="11"/>
  <c r="N885" i="11"/>
  <c r="N884" i="11"/>
  <c r="N883" i="11"/>
  <c r="N882" i="11"/>
  <c r="N881" i="11"/>
  <c r="N880" i="11"/>
  <c r="N879" i="11"/>
  <c r="N878" i="11"/>
  <c r="N877" i="11"/>
  <c r="N876" i="11"/>
  <c r="N875" i="11"/>
  <c r="N874" i="11"/>
  <c r="N873" i="11"/>
  <c r="N872" i="11"/>
  <c r="N871" i="11"/>
  <c r="N870" i="11"/>
  <c r="N869" i="11"/>
  <c r="N868" i="11"/>
  <c r="N867" i="11"/>
  <c r="N866" i="11"/>
  <c r="N865" i="11"/>
  <c r="N864" i="11"/>
  <c r="N863" i="11"/>
  <c r="N862" i="11"/>
  <c r="N861" i="11"/>
  <c r="N860" i="11"/>
  <c r="N859" i="11"/>
  <c r="N858" i="11"/>
  <c r="N857" i="11"/>
  <c r="N856" i="11"/>
  <c r="N855" i="11"/>
  <c r="N854" i="11"/>
  <c r="N853" i="11"/>
  <c r="N852" i="11"/>
  <c r="N851" i="11"/>
  <c r="N850" i="11"/>
  <c r="N849" i="11"/>
  <c r="N848" i="11"/>
  <c r="N847" i="11"/>
  <c r="N846" i="11"/>
  <c r="N845" i="11"/>
  <c r="N844" i="11"/>
  <c r="N843" i="11"/>
  <c r="N842" i="11"/>
  <c r="N841" i="11"/>
  <c r="N840" i="11"/>
  <c r="N839" i="11"/>
  <c r="N838" i="11"/>
  <c r="N837" i="11"/>
  <c r="N836" i="11"/>
  <c r="N835" i="11"/>
  <c r="N834" i="11"/>
  <c r="N833" i="11"/>
  <c r="N832" i="11"/>
  <c r="N831" i="11"/>
  <c r="N830" i="11"/>
  <c r="N829" i="11"/>
  <c r="N828" i="11"/>
  <c r="N827" i="11"/>
  <c r="N826" i="11"/>
  <c r="N825" i="11"/>
  <c r="N824" i="11"/>
  <c r="N823" i="11"/>
  <c r="N822" i="11"/>
  <c r="N821" i="11"/>
  <c r="N820" i="11"/>
  <c r="N819" i="11"/>
  <c r="N818" i="11"/>
  <c r="N817" i="11"/>
  <c r="N816" i="11"/>
  <c r="N815" i="11"/>
  <c r="N814" i="11"/>
  <c r="N813" i="11"/>
  <c r="N812" i="11"/>
  <c r="N811" i="11"/>
  <c r="N810" i="11"/>
  <c r="N809" i="11"/>
  <c r="N808" i="11"/>
  <c r="N807" i="11"/>
  <c r="N806" i="11"/>
  <c r="N805" i="11"/>
  <c r="N804" i="11"/>
  <c r="N803" i="11"/>
  <c r="N802" i="11"/>
  <c r="N801" i="11"/>
  <c r="N800" i="11"/>
  <c r="N799" i="11"/>
  <c r="N798" i="11"/>
  <c r="N797" i="11"/>
  <c r="N796" i="11"/>
  <c r="N795" i="11"/>
  <c r="N794" i="11"/>
  <c r="N793" i="11"/>
  <c r="N792" i="11"/>
  <c r="N791" i="11"/>
  <c r="N790" i="11"/>
  <c r="N789" i="11"/>
  <c r="N788" i="11"/>
  <c r="N787" i="11"/>
  <c r="N786" i="11"/>
  <c r="N785" i="11"/>
  <c r="N784" i="11"/>
  <c r="N783" i="11"/>
  <c r="N782" i="11"/>
  <c r="N781" i="11"/>
  <c r="N780" i="11"/>
  <c r="N779" i="11"/>
  <c r="N778" i="11"/>
  <c r="N777" i="11"/>
  <c r="N776" i="11"/>
  <c r="N775" i="11"/>
  <c r="N774" i="11"/>
  <c r="N773" i="11"/>
  <c r="N772" i="11"/>
  <c r="N771" i="11"/>
  <c r="N770" i="11"/>
  <c r="N769" i="11"/>
  <c r="N768" i="11"/>
  <c r="N767" i="11"/>
  <c r="N766" i="11"/>
  <c r="N765" i="11"/>
  <c r="N764" i="11"/>
  <c r="N763" i="11"/>
  <c r="N762" i="11"/>
  <c r="N761" i="11"/>
  <c r="N760" i="11"/>
  <c r="N759" i="11"/>
  <c r="N758" i="11"/>
  <c r="N757" i="11"/>
  <c r="N756" i="11"/>
  <c r="N755" i="11"/>
  <c r="N754" i="11"/>
  <c r="N753" i="11"/>
  <c r="N752" i="11"/>
  <c r="N751" i="11"/>
  <c r="N750" i="11"/>
  <c r="N749" i="11"/>
  <c r="N748" i="11"/>
  <c r="N747" i="11"/>
  <c r="N746" i="11"/>
  <c r="N745" i="11"/>
  <c r="N744" i="11"/>
  <c r="N743" i="11"/>
  <c r="N742" i="11"/>
  <c r="N741" i="11"/>
  <c r="N740" i="11"/>
  <c r="N739" i="11"/>
  <c r="N738" i="11"/>
  <c r="N737" i="11"/>
  <c r="N736" i="11"/>
  <c r="N735" i="11"/>
  <c r="N734" i="11"/>
  <c r="N733" i="11"/>
  <c r="N732" i="11"/>
  <c r="N731" i="11"/>
  <c r="N730" i="11"/>
  <c r="N729" i="11"/>
  <c r="N728" i="11"/>
  <c r="N727" i="11"/>
  <c r="N726" i="11"/>
  <c r="N725" i="11"/>
  <c r="N724" i="11"/>
  <c r="N723" i="11"/>
  <c r="N722" i="11"/>
  <c r="N721" i="11"/>
  <c r="N720" i="11"/>
  <c r="N719" i="11"/>
  <c r="N718" i="11"/>
  <c r="N717" i="11"/>
  <c r="N716" i="11"/>
  <c r="N715" i="11"/>
  <c r="N714" i="11"/>
  <c r="N713" i="11"/>
  <c r="N712" i="11"/>
  <c r="N711" i="11"/>
  <c r="N710" i="11"/>
  <c r="N709" i="11"/>
  <c r="N708" i="11"/>
  <c r="N707" i="11"/>
  <c r="N706" i="11"/>
  <c r="N705" i="11"/>
  <c r="N704" i="11"/>
  <c r="N703" i="11"/>
  <c r="N702" i="11"/>
  <c r="N701" i="11"/>
  <c r="N700" i="11"/>
  <c r="N699" i="11"/>
  <c r="N698" i="11"/>
  <c r="N697" i="11"/>
  <c r="N696" i="11"/>
  <c r="N695" i="11"/>
  <c r="N694" i="11"/>
  <c r="N693" i="11"/>
  <c r="N692" i="11"/>
  <c r="N691" i="11"/>
  <c r="N690" i="11"/>
  <c r="N689" i="11"/>
  <c r="N688" i="11"/>
  <c r="N687" i="11"/>
  <c r="N686" i="11"/>
  <c r="N685" i="11"/>
  <c r="N684" i="11"/>
  <c r="N683" i="11"/>
  <c r="N682" i="11"/>
  <c r="N681" i="11"/>
  <c r="N680" i="11"/>
  <c r="N679" i="11"/>
  <c r="N678" i="11"/>
  <c r="N677" i="11"/>
  <c r="N676" i="11"/>
  <c r="N675" i="11"/>
  <c r="N674" i="11"/>
  <c r="N673" i="11"/>
  <c r="N672" i="11"/>
  <c r="N671" i="11"/>
  <c r="N670" i="11"/>
  <c r="N669" i="11"/>
  <c r="N668" i="11"/>
  <c r="N667" i="11"/>
  <c r="N666" i="11"/>
  <c r="N665" i="11"/>
  <c r="N664" i="11"/>
  <c r="N663" i="11"/>
  <c r="N662" i="11"/>
  <c r="N661" i="11"/>
  <c r="N660" i="11"/>
  <c r="N659" i="11"/>
  <c r="N658" i="11"/>
  <c r="N657" i="11"/>
  <c r="N656" i="11"/>
  <c r="N655" i="11"/>
  <c r="N654" i="11"/>
  <c r="N653" i="11"/>
  <c r="N652" i="11"/>
  <c r="N651" i="11"/>
  <c r="N650" i="11"/>
  <c r="N649" i="11"/>
  <c r="N648" i="11"/>
  <c r="N647" i="11"/>
  <c r="N646" i="11"/>
  <c r="N645" i="11"/>
  <c r="N644" i="11"/>
  <c r="N643" i="11"/>
  <c r="N642" i="11"/>
  <c r="N641" i="11"/>
  <c r="N640" i="11"/>
  <c r="N639" i="11"/>
  <c r="N638" i="11"/>
  <c r="N637" i="11"/>
  <c r="N636" i="11"/>
  <c r="N635" i="11"/>
  <c r="N634" i="11"/>
  <c r="N633" i="11"/>
  <c r="N632" i="11"/>
  <c r="N631" i="11"/>
  <c r="N630" i="11"/>
  <c r="N629" i="11"/>
  <c r="N628" i="11"/>
  <c r="N627" i="11"/>
  <c r="N626" i="11"/>
  <c r="N625" i="11"/>
  <c r="N624" i="11"/>
  <c r="N623" i="11"/>
  <c r="N622" i="11"/>
  <c r="N621" i="11"/>
  <c r="N620" i="11"/>
  <c r="N619" i="11"/>
  <c r="N618" i="11"/>
  <c r="N617" i="11"/>
  <c r="N616" i="11"/>
  <c r="N615" i="11"/>
  <c r="N614" i="11"/>
  <c r="N613" i="11"/>
  <c r="N612" i="11"/>
  <c r="N611" i="11"/>
  <c r="N610" i="11"/>
  <c r="N609" i="11"/>
  <c r="N608" i="11"/>
  <c r="N607" i="11"/>
  <c r="N606" i="11"/>
  <c r="N605" i="11"/>
  <c r="N604" i="11"/>
  <c r="N603" i="11"/>
  <c r="N602" i="11"/>
  <c r="N601" i="11"/>
  <c r="N600" i="11"/>
  <c r="N599" i="11"/>
  <c r="N598" i="11"/>
  <c r="N597" i="11"/>
  <c r="N596" i="11"/>
  <c r="N595" i="11"/>
  <c r="N594" i="11"/>
  <c r="N593" i="11"/>
  <c r="N592" i="11"/>
  <c r="N591" i="11"/>
  <c r="N590" i="11"/>
  <c r="N589" i="11"/>
  <c r="N588" i="11"/>
  <c r="N587" i="11"/>
  <c r="N586" i="11"/>
  <c r="N585" i="11"/>
  <c r="N584" i="11"/>
  <c r="N583" i="11"/>
  <c r="N582" i="11"/>
  <c r="N581" i="11"/>
  <c r="N580" i="11"/>
  <c r="N579" i="11"/>
  <c r="N578" i="11"/>
  <c r="N577" i="11"/>
  <c r="N576" i="11"/>
  <c r="N575" i="11"/>
  <c r="N574" i="11"/>
  <c r="N573" i="11"/>
  <c r="N572" i="11"/>
  <c r="N571" i="11"/>
  <c r="N570" i="11"/>
  <c r="N569" i="11"/>
  <c r="N568" i="11"/>
  <c r="N567" i="11"/>
  <c r="N566" i="11"/>
  <c r="N565" i="11"/>
  <c r="N564" i="11"/>
  <c r="N563" i="11"/>
  <c r="N562" i="11"/>
  <c r="N561" i="11"/>
  <c r="N560" i="11"/>
  <c r="N559" i="11"/>
  <c r="N558" i="11"/>
  <c r="N557" i="11"/>
  <c r="N556" i="11"/>
  <c r="N555" i="11"/>
  <c r="N554" i="11"/>
  <c r="N553" i="11"/>
  <c r="N552" i="11"/>
  <c r="N551" i="11"/>
  <c r="N550" i="11"/>
  <c r="N549" i="11"/>
  <c r="N548" i="11"/>
  <c r="N547" i="11"/>
  <c r="N546" i="11"/>
  <c r="N545" i="11"/>
  <c r="N544" i="11"/>
  <c r="N543" i="11"/>
  <c r="N542" i="11"/>
  <c r="N541" i="11"/>
  <c r="N540" i="11"/>
  <c r="N539" i="11"/>
  <c r="N538" i="11"/>
  <c r="N537" i="11"/>
  <c r="N536" i="11"/>
  <c r="N535" i="11"/>
  <c r="N534" i="11"/>
  <c r="N533" i="11"/>
  <c r="N532" i="11"/>
  <c r="N531" i="11"/>
  <c r="N530" i="11"/>
  <c r="N529" i="11"/>
  <c r="N528" i="11"/>
  <c r="N527" i="11"/>
  <c r="N526" i="11"/>
  <c r="N525" i="11"/>
  <c r="N524" i="11"/>
  <c r="N523" i="11"/>
  <c r="N522" i="11"/>
  <c r="N521" i="11"/>
  <c r="N520" i="11"/>
  <c r="N519" i="11"/>
  <c r="N518" i="11"/>
  <c r="N517" i="11"/>
  <c r="N516" i="11"/>
  <c r="N515" i="11"/>
  <c r="N514" i="11"/>
  <c r="N513" i="11"/>
  <c r="N512" i="11"/>
  <c r="N511" i="11"/>
  <c r="N510" i="11"/>
  <c r="N509" i="11"/>
  <c r="N508" i="11"/>
  <c r="N507" i="11"/>
  <c r="N506" i="11"/>
  <c r="N505" i="11"/>
  <c r="N504" i="11"/>
  <c r="N503" i="11"/>
  <c r="N502" i="11"/>
  <c r="N501" i="11"/>
  <c r="N500" i="11"/>
  <c r="N499" i="11"/>
  <c r="N498" i="11"/>
  <c r="N497" i="11"/>
  <c r="N496" i="11"/>
  <c r="N495" i="11"/>
  <c r="N494" i="11"/>
  <c r="N493" i="11"/>
  <c r="N492" i="11"/>
  <c r="N491" i="11"/>
  <c r="N490" i="11"/>
  <c r="N489" i="11"/>
  <c r="N488" i="11"/>
  <c r="N487" i="11"/>
  <c r="N486" i="11"/>
  <c r="N485" i="11"/>
  <c r="N484" i="11"/>
  <c r="N483" i="11"/>
  <c r="N482" i="11"/>
  <c r="N481" i="11"/>
  <c r="N480" i="11"/>
  <c r="N479" i="11"/>
  <c r="N478" i="11"/>
  <c r="N477" i="11"/>
  <c r="N476" i="11"/>
  <c r="N475" i="11"/>
  <c r="N474" i="11"/>
  <c r="N473" i="11"/>
  <c r="N472" i="11"/>
  <c r="N471" i="11"/>
  <c r="N470" i="11"/>
  <c r="N469" i="11"/>
  <c r="N468" i="11"/>
  <c r="N467" i="11"/>
  <c r="N466" i="11"/>
  <c r="N465" i="11"/>
  <c r="N464" i="11"/>
  <c r="N463" i="11"/>
  <c r="N462" i="11"/>
  <c r="N461" i="11"/>
  <c r="N460" i="11"/>
  <c r="N459" i="11"/>
  <c r="N458" i="11"/>
  <c r="N457" i="11"/>
  <c r="N456" i="11"/>
  <c r="N455" i="11"/>
  <c r="N454" i="11"/>
  <c r="N453" i="11"/>
  <c r="N452" i="11"/>
  <c r="N451" i="11"/>
  <c r="N450" i="11"/>
  <c r="N449" i="11"/>
  <c r="N448" i="11"/>
  <c r="N447" i="11"/>
  <c r="N446" i="11"/>
  <c r="N445" i="11"/>
  <c r="N444" i="11"/>
  <c r="N443" i="11"/>
  <c r="N442" i="11"/>
  <c r="N441" i="11"/>
  <c r="N440" i="11"/>
  <c r="N439" i="11"/>
  <c r="N438" i="11"/>
  <c r="N437" i="11"/>
  <c r="N436" i="11"/>
  <c r="N435" i="11"/>
  <c r="N434" i="11"/>
  <c r="N433" i="11"/>
  <c r="N432" i="11"/>
  <c r="N431" i="11"/>
  <c r="N430" i="11"/>
  <c r="N429" i="11"/>
  <c r="N428" i="11"/>
  <c r="N427" i="11"/>
  <c r="N426" i="11"/>
  <c r="N425" i="11"/>
  <c r="N424" i="11"/>
  <c r="N423" i="11"/>
  <c r="N422" i="11"/>
  <c r="N421" i="11"/>
  <c r="N420" i="11"/>
  <c r="N419" i="11"/>
  <c r="N418" i="11"/>
  <c r="N417" i="11"/>
  <c r="N416" i="11"/>
  <c r="N415" i="11"/>
  <c r="N414" i="11"/>
  <c r="N413" i="11"/>
  <c r="N412" i="11"/>
  <c r="N411" i="11"/>
  <c r="N410" i="11"/>
  <c r="N409" i="11"/>
  <c r="N408" i="11"/>
  <c r="N407" i="11"/>
  <c r="N406" i="11"/>
  <c r="N405" i="11"/>
  <c r="N404" i="11"/>
  <c r="N403" i="11"/>
  <c r="N402" i="11"/>
  <c r="N401" i="11"/>
  <c r="N400" i="11"/>
  <c r="N399" i="11"/>
  <c r="N398" i="11"/>
  <c r="N397" i="11"/>
  <c r="N396" i="11"/>
  <c r="N395" i="11"/>
  <c r="N394" i="11"/>
  <c r="N393" i="11"/>
  <c r="N392" i="11"/>
  <c r="N391" i="11"/>
  <c r="N390" i="11"/>
  <c r="N389" i="11"/>
  <c r="N388" i="11"/>
  <c r="N387" i="11"/>
  <c r="N386" i="11"/>
  <c r="N385" i="11"/>
  <c r="N384" i="11"/>
  <c r="N383" i="11"/>
  <c r="N382" i="11"/>
  <c r="N381" i="11"/>
  <c r="N380" i="11"/>
  <c r="N379" i="11"/>
  <c r="N378" i="11"/>
  <c r="N377" i="11"/>
  <c r="N376" i="11"/>
  <c r="N375" i="11"/>
  <c r="N374" i="11"/>
  <c r="N373" i="11"/>
  <c r="N372" i="11"/>
  <c r="N371" i="11"/>
  <c r="N370" i="11"/>
  <c r="N369" i="11"/>
  <c r="N368" i="11"/>
  <c r="N367" i="11"/>
  <c r="N366" i="11"/>
  <c r="N365" i="11"/>
  <c r="N364" i="11"/>
  <c r="N363" i="11"/>
  <c r="N362" i="11"/>
  <c r="N361" i="11"/>
  <c r="N360" i="11"/>
  <c r="N359" i="11"/>
  <c r="N358" i="11"/>
  <c r="N357" i="11"/>
  <c r="N356" i="11"/>
  <c r="N355" i="11"/>
  <c r="N354" i="11"/>
  <c r="N353" i="11"/>
  <c r="N352" i="11"/>
  <c r="N351" i="11"/>
  <c r="N350" i="11"/>
  <c r="N349" i="11"/>
  <c r="N348" i="11"/>
  <c r="N347" i="11"/>
  <c r="N346" i="11"/>
  <c r="N345" i="11"/>
  <c r="N344" i="11"/>
  <c r="N343" i="11"/>
  <c r="N342" i="11"/>
  <c r="N341" i="11"/>
  <c r="N340" i="11"/>
  <c r="N339" i="11"/>
  <c r="N338" i="11"/>
  <c r="N337" i="11"/>
  <c r="N336" i="11"/>
  <c r="N335" i="11"/>
  <c r="N334" i="11"/>
  <c r="N333" i="11"/>
  <c r="N332" i="11"/>
  <c r="N331" i="11"/>
  <c r="N330" i="11"/>
  <c r="N329" i="11"/>
  <c r="N328" i="11"/>
  <c r="N327" i="11"/>
  <c r="N326" i="11"/>
  <c r="N325" i="11"/>
  <c r="N324" i="11"/>
  <c r="N323" i="11"/>
  <c r="N322" i="11"/>
  <c r="N321" i="11"/>
  <c r="N320" i="11"/>
  <c r="N319" i="11"/>
  <c r="N318" i="11"/>
  <c r="N317" i="11"/>
  <c r="N316" i="11"/>
  <c r="N315" i="11"/>
  <c r="N314" i="11"/>
  <c r="N313" i="11"/>
  <c r="N312" i="11"/>
  <c r="N311" i="11"/>
  <c r="N310" i="11"/>
  <c r="N309" i="11"/>
  <c r="N308" i="11"/>
  <c r="N307" i="11"/>
  <c r="N306" i="11"/>
  <c r="N305" i="11"/>
  <c r="N304" i="11"/>
  <c r="N303" i="11"/>
  <c r="N302" i="11"/>
  <c r="N301" i="11"/>
  <c r="N300" i="11"/>
  <c r="N299" i="11"/>
  <c r="N298" i="11"/>
  <c r="N297" i="11"/>
  <c r="N296" i="11"/>
  <c r="N295" i="11"/>
  <c r="N294" i="11"/>
  <c r="N293" i="11"/>
  <c r="N292" i="11"/>
  <c r="N291" i="11"/>
  <c r="N290" i="11"/>
  <c r="N289" i="11"/>
  <c r="N288" i="11"/>
  <c r="N287" i="11"/>
  <c r="N286" i="11"/>
  <c r="N285" i="11"/>
  <c r="N284" i="11"/>
  <c r="N283" i="11"/>
  <c r="N282" i="11"/>
  <c r="N281" i="11"/>
  <c r="N280" i="11"/>
  <c r="N279" i="11"/>
  <c r="N278" i="11"/>
  <c r="N277" i="11"/>
  <c r="N276" i="11"/>
  <c r="N275" i="11"/>
  <c r="N274" i="11"/>
  <c r="N273" i="11"/>
  <c r="N272" i="11"/>
  <c r="N271" i="11"/>
  <c r="N270" i="11"/>
  <c r="N269" i="11"/>
  <c r="N268" i="11"/>
  <c r="N267" i="11"/>
  <c r="N266" i="11"/>
  <c r="N265" i="11"/>
  <c r="N264" i="11"/>
  <c r="N263" i="11"/>
  <c r="N262" i="11"/>
  <c r="N261" i="11"/>
  <c r="N260" i="11"/>
  <c r="N259" i="11"/>
  <c r="N258" i="11"/>
  <c r="N257" i="11"/>
  <c r="N256" i="11"/>
  <c r="N255" i="11"/>
  <c r="N254" i="11"/>
  <c r="N253" i="11"/>
  <c r="N252" i="11"/>
  <c r="N251" i="11"/>
  <c r="N250" i="11"/>
  <c r="N249" i="11"/>
  <c r="N248" i="11"/>
  <c r="N247" i="11"/>
  <c r="N246" i="11"/>
  <c r="N245" i="11"/>
  <c r="N244" i="11"/>
  <c r="N243" i="11"/>
  <c r="N242" i="11"/>
  <c r="N241" i="11"/>
  <c r="N240" i="11"/>
  <c r="N239" i="11"/>
  <c r="N238" i="11"/>
  <c r="N237" i="11"/>
  <c r="N236" i="11"/>
  <c r="N235" i="11"/>
  <c r="N234" i="11"/>
  <c r="N233" i="11"/>
  <c r="N232" i="11"/>
  <c r="N231" i="11"/>
  <c r="N230" i="11"/>
  <c r="N229" i="11"/>
  <c r="N228" i="11"/>
  <c r="N227" i="11"/>
  <c r="N226" i="11"/>
  <c r="N225" i="11"/>
  <c r="N224" i="11"/>
  <c r="N223" i="11"/>
  <c r="N222" i="11"/>
  <c r="N221" i="11"/>
  <c r="N220" i="11"/>
  <c r="N219" i="11"/>
  <c r="N218" i="11"/>
  <c r="N217" i="11"/>
  <c r="N216" i="11"/>
  <c r="N215" i="11"/>
  <c r="N214" i="11"/>
  <c r="N213" i="11"/>
  <c r="N212" i="11"/>
  <c r="N211" i="11"/>
  <c r="N210" i="11"/>
  <c r="N209" i="11"/>
  <c r="N208" i="11"/>
  <c r="N207" i="11"/>
  <c r="N206" i="11"/>
  <c r="N205" i="11"/>
  <c r="N204" i="11"/>
  <c r="N203" i="11"/>
  <c r="N202" i="11"/>
  <c r="N201" i="11"/>
  <c r="N200" i="11"/>
  <c r="N199" i="11"/>
  <c r="N198" i="11"/>
  <c r="N197" i="11"/>
  <c r="N196" i="11"/>
  <c r="N195" i="11"/>
  <c r="N194" i="11"/>
  <c r="N193" i="11"/>
  <c r="N192" i="11"/>
  <c r="N191" i="11"/>
  <c r="N190" i="11"/>
  <c r="N189" i="11"/>
  <c r="N188" i="11"/>
  <c r="N187" i="11"/>
  <c r="N186" i="11"/>
  <c r="N185" i="11"/>
  <c r="N184" i="11"/>
  <c r="N183" i="11"/>
  <c r="N182" i="11"/>
  <c r="N181" i="11"/>
  <c r="N180" i="11"/>
  <c r="N179" i="11"/>
  <c r="N178" i="11"/>
  <c r="N177" i="11"/>
  <c r="N176" i="11"/>
  <c r="N175" i="11"/>
  <c r="N174" i="11"/>
  <c r="N173" i="11"/>
  <c r="N172" i="11"/>
  <c r="N171" i="11"/>
  <c r="N170" i="11"/>
  <c r="N169" i="11"/>
  <c r="N168" i="11"/>
  <c r="N167" i="11"/>
  <c r="N166" i="11"/>
  <c r="N165" i="11"/>
  <c r="N164" i="11"/>
  <c r="N163" i="11"/>
  <c r="N162" i="11"/>
  <c r="N161" i="11"/>
  <c r="N160" i="11"/>
  <c r="N159" i="11"/>
  <c r="N158" i="11"/>
  <c r="N157" i="11"/>
  <c r="N156" i="11"/>
  <c r="N155" i="11"/>
  <c r="N154" i="11"/>
  <c r="N153" i="11"/>
  <c r="N152" i="11"/>
  <c r="N151" i="11"/>
  <c r="N150" i="11"/>
  <c r="N149" i="11"/>
  <c r="N148" i="11"/>
  <c r="N147" i="11"/>
  <c r="N146" i="11"/>
  <c r="N145" i="11"/>
  <c r="N144" i="11"/>
  <c r="N143" i="11"/>
  <c r="N142" i="11"/>
  <c r="N141" i="11"/>
  <c r="N140" i="11"/>
  <c r="N139" i="11"/>
  <c r="N138" i="11"/>
  <c r="N137" i="11"/>
  <c r="N136" i="11"/>
  <c r="N135" i="11"/>
  <c r="N134" i="11"/>
  <c r="N133" i="11"/>
  <c r="N132" i="11"/>
  <c r="N131" i="11"/>
  <c r="N130" i="11"/>
  <c r="N129" i="11"/>
  <c r="N128" i="11"/>
  <c r="N127" i="11"/>
  <c r="N126" i="11"/>
  <c r="N125" i="11"/>
  <c r="N124" i="11"/>
  <c r="N123" i="11"/>
  <c r="N122" i="11"/>
  <c r="N121" i="11"/>
  <c r="N120" i="11"/>
  <c r="N119" i="11"/>
  <c r="N118" i="11"/>
  <c r="N117" i="11"/>
  <c r="N116" i="11"/>
  <c r="N115" i="11"/>
  <c r="N114" i="11"/>
  <c r="N113" i="11"/>
  <c r="N112" i="11"/>
  <c r="N111" i="11"/>
  <c r="N110" i="11"/>
  <c r="N109" i="11"/>
  <c r="N108" i="11"/>
  <c r="N107" i="11"/>
  <c r="N106" i="11"/>
  <c r="N105" i="11"/>
  <c r="N104" i="11"/>
  <c r="N103" i="11"/>
  <c r="N102" i="11"/>
  <c r="N101" i="11"/>
  <c r="N100" i="11"/>
  <c r="N99" i="11"/>
  <c r="N98" i="11"/>
  <c r="N97" i="11"/>
  <c r="N96" i="11"/>
  <c r="N95" i="11"/>
  <c r="N94" i="11"/>
  <c r="N93" i="11"/>
  <c r="N92" i="11"/>
  <c r="N91" i="11"/>
  <c r="N90" i="11"/>
  <c r="N89" i="11"/>
  <c r="N88" i="11"/>
  <c r="N87" i="11"/>
  <c r="N86" i="11"/>
  <c r="N85" i="11"/>
  <c r="N84" i="11"/>
  <c r="N83" i="11"/>
  <c r="N82" i="11"/>
  <c r="N81" i="11"/>
  <c r="N80" i="11"/>
  <c r="N79" i="11"/>
  <c r="N78" i="11"/>
  <c r="N77" i="11"/>
  <c r="N76" i="11"/>
  <c r="N75" i="11"/>
  <c r="N74" i="11"/>
  <c r="N73" i="11"/>
  <c r="N72" i="11"/>
  <c r="N71" i="11"/>
  <c r="N70" i="11"/>
  <c r="N69" i="11"/>
  <c r="N68" i="11"/>
  <c r="N67" i="11"/>
  <c r="N66" i="11"/>
  <c r="N65" i="11"/>
  <c r="N64" i="11"/>
  <c r="N63" i="11"/>
  <c r="N62" i="11"/>
  <c r="N61" i="11"/>
  <c r="N60" i="11"/>
  <c r="N59" i="11"/>
  <c r="N58" i="11"/>
  <c r="N57" i="11"/>
  <c r="N56" i="11"/>
  <c r="N55" i="11"/>
  <c r="N54" i="11"/>
  <c r="N53" i="11"/>
  <c r="N52" i="11"/>
  <c r="N51" i="11"/>
  <c r="N50" i="11"/>
  <c r="N49" i="11"/>
  <c r="N48" i="11"/>
  <c r="N47" i="11"/>
  <c r="N46" i="11"/>
  <c r="N45" i="11"/>
  <c r="N44" i="11"/>
  <c r="N43" i="11"/>
  <c r="N42" i="11"/>
  <c r="N41" i="11"/>
  <c r="N40" i="11"/>
  <c r="N39" i="11"/>
  <c r="N38" i="11"/>
  <c r="N37" i="11"/>
  <c r="N36" i="11"/>
  <c r="N35" i="11"/>
  <c r="N34" i="11"/>
  <c r="N33" i="11"/>
  <c r="N32" i="11"/>
  <c r="N31" i="11"/>
  <c r="N30" i="11"/>
  <c r="N29" i="11"/>
  <c r="N28" i="11"/>
  <c r="N27" i="11"/>
  <c r="N26" i="11"/>
  <c r="N25" i="11"/>
  <c r="N24" i="11"/>
  <c r="N23" i="11"/>
  <c r="N22" i="11"/>
  <c r="N21" i="11"/>
  <c r="N20" i="11"/>
  <c r="N19" i="11"/>
  <c r="N18" i="11"/>
  <c r="N17" i="11"/>
  <c r="N16" i="11"/>
  <c r="N15" i="11"/>
  <c r="N14" i="11"/>
  <c r="N13" i="11"/>
  <c r="N12" i="11"/>
  <c r="N11" i="11"/>
  <c r="N10"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 r="M502" i="11"/>
  <c r="M503" i="11"/>
  <c r="M504" i="11"/>
  <c r="M505"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M634" i="11"/>
  <c r="M635" i="11"/>
  <c r="M636" i="11"/>
  <c r="M637" i="11"/>
  <c r="M638" i="11"/>
  <c r="M639" i="11"/>
  <c r="M640" i="11"/>
  <c r="M641" i="11"/>
  <c r="M642" i="11"/>
  <c r="M643" i="11"/>
  <c r="M644" i="11"/>
  <c r="M645" i="11"/>
  <c r="M646" i="11"/>
  <c r="M647" i="11"/>
  <c r="M648" i="11"/>
  <c r="M649" i="11"/>
  <c r="M650" i="11"/>
  <c r="M651" i="11"/>
  <c r="M652" i="11"/>
  <c r="M653" i="11"/>
  <c r="M654" i="11"/>
  <c r="M655" i="11"/>
  <c r="M656" i="11"/>
  <c r="M657" i="11"/>
  <c r="M658" i="11"/>
  <c r="M659" i="11"/>
  <c r="M660" i="11"/>
  <c r="M661" i="11"/>
  <c r="M662" i="11"/>
  <c r="M663" i="11"/>
  <c r="M664" i="11"/>
  <c r="M665" i="11"/>
  <c r="M666" i="11"/>
  <c r="M667" i="11"/>
  <c r="M668" i="11"/>
  <c r="M669" i="11"/>
  <c r="M670" i="11"/>
  <c r="M671" i="11"/>
  <c r="M672" i="11"/>
  <c r="M673" i="11"/>
  <c r="M674" i="11"/>
  <c r="M675" i="11"/>
  <c r="M676" i="11"/>
  <c r="M677" i="11"/>
  <c r="M678" i="11"/>
  <c r="M679" i="11"/>
  <c r="M680" i="11"/>
  <c r="M681" i="11"/>
  <c r="M682" i="11"/>
  <c r="M683" i="11"/>
  <c r="M684" i="11"/>
  <c r="M685" i="11"/>
  <c r="M686" i="11"/>
  <c r="M687" i="11"/>
  <c r="M688" i="11"/>
  <c r="M689" i="11"/>
  <c r="M690" i="11"/>
  <c r="M691" i="11"/>
  <c r="M692" i="11"/>
  <c r="M693" i="11"/>
  <c r="M694" i="11"/>
  <c r="M695" i="11"/>
  <c r="M696" i="11"/>
  <c r="M697" i="11"/>
  <c r="M698" i="11"/>
  <c r="M699" i="11"/>
  <c r="M700" i="11"/>
  <c r="M701" i="11"/>
  <c r="M702" i="11"/>
  <c r="M703" i="11"/>
  <c r="M704" i="11"/>
  <c r="M705" i="11"/>
  <c r="M706" i="11"/>
  <c r="M707" i="11"/>
  <c r="M708" i="11"/>
  <c r="M709" i="11"/>
  <c r="M710" i="11"/>
  <c r="M711" i="11"/>
  <c r="M712" i="11"/>
  <c r="M713" i="11"/>
  <c r="M714" i="11"/>
  <c r="M715" i="11"/>
  <c r="M716" i="11"/>
  <c r="M717" i="11"/>
  <c r="M718" i="11"/>
  <c r="M719" i="11"/>
  <c r="M720" i="11"/>
  <c r="M721" i="11"/>
  <c r="M722" i="11"/>
  <c r="M723" i="11"/>
  <c r="M724" i="11"/>
  <c r="M725" i="11"/>
  <c r="M726" i="11"/>
  <c r="M727" i="11"/>
  <c r="M728" i="11"/>
  <c r="M729" i="11"/>
  <c r="M730" i="11"/>
  <c r="M731" i="11"/>
  <c r="M732" i="11"/>
  <c r="M733" i="11"/>
  <c r="M734" i="11"/>
  <c r="M735" i="11"/>
  <c r="M736" i="11"/>
  <c r="M737" i="11"/>
  <c r="M738" i="11"/>
  <c r="M739" i="11"/>
  <c r="M740" i="11"/>
  <c r="M741" i="11"/>
  <c r="M742" i="11"/>
  <c r="M743" i="11"/>
  <c r="M744" i="11"/>
  <c r="M745" i="11"/>
  <c r="M746" i="11"/>
  <c r="M747" i="11"/>
  <c r="M748" i="11"/>
  <c r="M749" i="11"/>
  <c r="M750" i="11"/>
  <c r="M751" i="11"/>
  <c r="M752" i="11"/>
  <c r="M753" i="11"/>
  <c r="M754" i="11"/>
  <c r="M755" i="11"/>
  <c r="M756" i="11"/>
  <c r="M757" i="11"/>
  <c r="M758" i="11"/>
  <c r="M759" i="11"/>
  <c r="M760" i="11"/>
  <c r="M761" i="11"/>
  <c r="M762" i="11"/>
  <c r="M763" i="11"/>
  <c r="M764" i="11"/>
  <c r="M765" i="11"/>
  <c r="M766" i="11"/>
  <c r="M767" i="11"/>
  <c r="M768" i="11"/>
  <c r="M769" i="11"/>
  <c r="M770" i="11"/>
  <c r="M771" i="11"/>
  <c r="M772" i="11"/>
  <c r="M773" i="11"/>
  <c r="M774" i="11"/>
  <c r="M775" i="11"/>
  <c r="M776" i="11"/>
  <c r="M777" i="11"/>
  <c r="M778" i="11"/>
  <c r="M779" i="11"/>
  <c r="M780" i="11"/>
  <c r="M781" i="11"/>
  <c r="M782" i="11"/>
  <c r="M783" i="11"/>
  <c r="M784" i="11"/>
  <c r="M785" i="11"/>
  <c r="M786" i="11"/>
  <c r="M787" i="11"/>
  <c r="M788" i="11"/>
  <c r="M789" i="11"/>
  <c r="M790" i="11"/>
  <c r="M791" i="11"/>
  <c r="M792" i="11"/>
  <c r="M793" i="11"/>
  <c r="M794" i="11"/>
  <c r="M795" i="11"/>
  <c r="M796" i="11"/>
  <c r="M797" i="11"/>
  <c r="M798" i="11"/>
  <c r="M799" i="11"/>
  <c r="M800" i="11"/>
  <c r="M801" i="11"/>
  <c r="M802" i="11"/>
  <c r="M803" i="11"/>
  <c r="M804" i="11"/>
  <c r="M805" i="11"/>
  <c r="M806" i="11"/>
  <c r="M807" i="11"/>
  <c r="M808" i="11"/>
  <c r="M809" i="11"/>
  <c r="M810" i="11"/>
  <c r="M811" i="11"/>
  <c r="M812" i="11"/>
  <c r="M813" i="11"/>
  <c r="M814" i="11"/>
  <c r="M815" i="11"/>
  <c r="M816" i="11"/>
  <c r="M817" i="11"/>
  <c r="M818" i="11"/>
  <c r="M819" i="11"/>
  <c r="M820" i="11"/>
  <c r="M821" i="11"/>
  <c r="M822" i="11"/>
  <c r="M823" i="11"/>
  <c r="M824" i="11"/>
  <c r="M825" i="11"/>
  <c r="M826" i="11"/>
  <c r="M827" i="11"/>
  <c r="M828" i="11"/>
  <c r="M829" i="11"/>
  <c r="M830" i="11"/>
  <c r="M831" i="11"/>
  <c r="M832" i="11"/>
  <c r="M833" i="11"/>
  <c r="M834" i="11"/>
  <c r="M835" i="11"/>
  <c r="M836" i="11"/>
  <c r="M837" i="11"/>
  <c r="M838" i="11"/>
  <c r="M839" i="11"/>
  <c r="M840" i="11"/>
  <c r="M841" i="11"/>
  <c r="M842" i="11"/>
  <c r="M843" i="11"/>
  <c r="M844" i="11"/>
  <c r="M845" i="11"/>
  <c r="M846" i="11"/>
  <c r="M847" i="11"/>
  <c r="M848" i="11"/>
  <c r="M849" i="11"/>
  <c r="M850" i="11"/>
  <c r="M851" i="11"/>
  <c r="M852" i="11"/>
  <c r="M853" i="11"/>
  <c r="M854" i="11"/>
  <c r="M855" i="11"/>
  <c r="M856" i="11"/>
  <c r="M857" i="11"/>
  <c r="M858" i="11"/>
  <c r="M859" i="11"/>
  <c r="M860" i="11"/>
  <c r="M861" i="11"/>
  <c r="M862" i="11"/>
  <c r="M863" i="11"/>
  <c r="M864" i="11"/>
  <c r="M865" i="11"/>
  <c r="M866" i="11"/>
  <c r="M867" i="11"/>
  <c r="M868" i="11"/>
  <c r="M869" i="11"/>
  <c r="M870" i="11"/>
  <c r="M871" i="11"/>
  <c r="M872" i="11"/>
  <c r="M873" i="11"/>
  <c r="M874" i="11"/>
  <c r="M875" i="11"/>
  <c r="M876" i="11"/>
  <c r="M877" i="11"/>
  <c r="M878" i="11"/>
  <c r="M879" i="11"/>
  <c r="M880" i="11"/>
  <c r="M881" i="11"/>
  <c r="M882" i="11"/>
  <c r="M883" i="11"/>
  <c r="M884" i="11"/>
  <c r="M885" i="11"/>
  <c r="M886" i="11"/>
  <c r="M887" i="11"/>
  <c r="M888" i="11"/>
  <c r="M889" i="11"/>
  <c r="M890" i="11"/>
  <c r="M891" i="11"/>
  <c r="M892" i="11"/>
  <c r="M893" i="11"/>
  <c r="M894" i="11"/>
  <c r="M895" i="11"/>
  <c r="M896" i="11"/>
  <c r="M897" i="11"/>
  <c r="M898" i="11"/>
  <c r="M899" i="11"/>
  <c r="M900" i="11"/>
  <c r="M901" i="11"/>
  <c r="M902" i="11"/>
  <c r="M903" i="11"/>
  <c r="M904" i="11"/>
  <c r="M905" i="11"/>
  <c r="M906" i="11"/>
  <c r="M907" i="11"/>
  <c r="M908" i="11"/>
  <c r="M909" i="11"/>
  <c r="M910" i="11"/>
  <c r="M911" i="11"/>
  <c r="M912" i="11"/>
  <c r="M913" i="11"/>
  <c r="M914" i="11"/>
  <c r="M915" i="11"/>
  <c r="M916" i="11"/>
  <c r="M917" i="11"/>
  <c r="M918" i="11"/>
  <c r="M919" i="11"/>
  <c r="M920" i="11"/>
  <c r="M921" i="11"/>
  <c r="M922" i="11"/>
  <c r="M923" i="11"/>
  <c r="M924" i="11"/>
  <c r="M925" i="11"/>
  <c r="M926" i="11"/>
  <c r="M927" i="11"/>
  <c r="M928" i="11"/>
  <c r="M929" i="11"/>
  <c r="M930" i="11"/>
  <c r="M931" i="11"/>
  <c r="M932" i="11"/>
  <c r="M933" i="11"/>
  <c r="M934" i="11"/>
  <c r="M935" i="11"/>
  <c r="M936" i="11"/>
  <c r="M937" i="11"/>
  <c r="M938" i="11"/>
  <c r="M939" i="11"/>
  <c r="M940" i="11"/>
  <c r="M941" i="11"/>
  <c r="M942" i="11"/>
  <c r="M943" i="11"/>
  <c r="M944" i="11"/>
  <c r="M945" i="11"/>
  <c r="M946" i="11"/>
  <c r="M947" i="11"/>
  <c r="M948" i="11"/>
  <c r="M949" i="11"/>
  <c r="M950" i="11"/>
  <c r="M951" i="11"/>
  <c r="M952" i="11"/>
  <c r="M953" i="11"/>
  <c r="M954" i="11"/>
  <c r="M955" i="11"/>
  <c r="M956" i="11"/>
  <c r="M957" i="11"/>
  <c r="M958" i="11"/>
  <c r="M959" i="11"/>
  <c r="M960" i="11"/>
  <c r="M961" i="11"/>
  <c r="M962" i="11"/>
  <c r="M963" i="11"/>
  <c r="M964" i="11"/>
  <c r="M965" i="11"/>
  <c r="M966" i="11"/>
  <c r="M967" i="11"/>
  <c r="M968" i="11"/>
  <c r="M969" i="11"/>
  <c r="M970" i="11"/>
  <c r="M971" i="11"/>
  <c r="M972" i="11"/>
  <c r="M973" i="11"/>
  <c r="M974" i="11"/>
  <c r="M975" i="11"/>
  <c r="M976" i="11"/>
  <c r="M977" i="11"/>
  <c r="M978" i="11"/>
  <c r="M979" i="11"/>
  <c r="M980" i="11"/>
  <c r="M981" i="11"/>
  <c r="M982" i="11"/>
  <c r="M983" i="11"/>
  <c r="M984" i="11"/>
  <c r="M985" i="11"/>
  <c r="M986" i="11"/>
  <c r="M987" i="11"/>
  <c r="M988" i="11"/>
  <c r="M989" i="11"/>
  <c r="M990" i="11"/>
  <c r="M991" i="11"/>
  <c r="M992" i="11"/>
  <c r="M993" i="11"/>
  <c r="M994" i="11"/>
  <c r="M995" i="11"/>
  <c r="M996" i="11"/>
  <c r="M997" i="11"/>
  <c r="M998" i="11"/>
  <c r="M999" i="11"/>
  <c r="M1000" i="11"/>
  <c r="M1001" i="11"/>
  <c r="M1002" i="11"/>
  <c r="M1003" i="11"/>
  <c r="M1004" i="11"/>
  <c r="M1005" i="11"/>
  <c r="M1006" i="11"/>
  <c r="M1007" i="11"/>
  <c r="M1008" i="11"/>
  <c r="M1009" i="11"/>
  <c r="M1010" i="11"/>
  <c r="M1011" i="11"/>
  <c r="M1012" i="11"/>
  <c r="M1013" i="11"/>
  <c r="M1014" i="11"/>
  <c r="M1015" i="11"/>
  <c r="M1016" i="11"/>
  <c r="M1017" i="11"/>
  <c r="M1018" i="11"/>
  <c r="M1019" i="11"/>
  <c r="M1020" i="11"/>
  <c r="M1021" i="11"/>
  <c r="M1022" i="11"/>
  <c r="M1023" i="11"/>
  <c r="M1024" i="11"/>
  <c r="M1025" i="11"/>
  <c r="M1026" i="11"/>
  <c r="M1027" i="11"/>
  <c r="M1028" i="11"/>
  <c r="M1029" i="11"/>
  <c r="M1030" i="11"/>
  <c r="M1031" i="11"/>
  <c r="M1032" i="11"/>
  <c r="M1033" i="11"/>
  <c r="M1034" i="11"/>
  <c r="M1035" i="11"/>
  <c r="M1036" i="11"/>
  <c r="M1037" i="11"/>
  <c r="M1038" i="11"/>
  <c r="M1039" i="11"/>
  <c r="M1040" i="11"/>
  <c r="M1041" i="11"/>
  <c r="M1042" i="11"/>
  <c r="M1043" i="11"/>
  <c r="M1044" i="11"/>
  <c r="M1045" i="11"/>
  <c r="M1046" i="11"/>
  <c r="M1047" i="11"/>
  <c r="M1048" i="11"/>
  <c r="M1049" i="11"/>
  <c r="M1050" i="11"/>
  <c r="M1051" i="11"/>
  <c r="M1052" i="11"/>
  <c r="M1053" i="11"/>
  <c r="M1054" i="11"/>
  <c r="M1055" i="11"/>
  <c r="M1056" i="11"/>
  <c r="M1057" i="11"/>
  <c r="M1058" i="11"/>
  <c r="M1059" i="11"/>
  <c r="M1060" i="11"/>
  <c r="M1061" i="11"/>
  <c r="M1062" i="11"/>
  <c r="M1063" i="11"/>
  <c r="M1064" i="11"/>
  <c r="M1065" i="11"/>
  <c r="M1066" i="11"/>
  <c r="M1067" i="11"/>
  <c r="M1068" i="11"/>
  <c r="M1069" i="11"/>
  <c r="M1070" i="11"/>
  <c r="M1071" i="11"/>
  <c r="M1072" i="11"/>
  <c r="M1073" i="11"/>
  <c r="M1074" i="11"/>
  <c r="M1075" i="11"/>
  <c r="M1076" i="11"/>
  <c r="M1077" i="11"/>
  <c r="M1078" i="11"/>
  <c r="M1079" i="11"/>
  <c r="M1080" i="11"/>
  <c r="M1081" i="11"/>
  <c r="M1082" i="11"/>
  <c r="M1083" i="11"/>
  <c r="M1084" i="11"/>
  <c r="M1085" i="11"/>
  <c r="M1086" i="11"/>
  <c r="M1087" i="11"/>
  <c r="M1088" i="11"/>
  <c r="M1089" i="11"/>
  <c r="M1090" i="11"/>
  <c r="M1091" i="11"/>
  <c r="M1092" i="11"/>
  <c r="M1093" i="11"/>
  <c r="M1094" i="11"/>
  <c r="M1095" i="11"/>
  <c r="M1096" i="11"/>
  <c r="M1097" i="11"/>
  <c r="M1098" i="11"/>
  <c r="M1099" i="11"/>
  <c r="M1100" i="11"/>
  <c r="M1101" i="11"/>
  <c r="M1102" i="11"/>
  <c r="M1103" i="11"/>
  <c r="M1104" i="11"/>
  <c r="M1105" i="11"/>
  <c r="M1106" i="11"/>
  <c r="M1107" i="11"/>
  <c r="M1108" i="11"/>
  <c r="M1109" i="11"/>
  <c r="M1110" i="11"/>
  <c r="M1111" i="11"/>
  <c r="M1112" i="11"/>
  <c r="M1113" i="11"/>
  <c r="M1114" i="11"/>
  <c r="M1115" i="11"/>
  <c r="M1116" i="11"/>
  <c r="M1117" i="11"/>
  <c r="M1118" i="11"/>
  <c r="M1119" i="11"/>
  <c r="M1120" i="11"/>
  <c r="M1121" i="11"/>
  <c r="M1122" i="11"/>
  <c r="M1123" i="11"/>
  <c r="M1124" i="11"/>
  <c r="M1125" i="11"/>
  <c r="M1126" i="11"/>
  <c r="M1127" i="11"/>
  <c r="M1128" i="11"/>
  <c r="M1129" i="11"/>
  <c r="M1130" i="11"/>
  <c r="M1131" i="11"/>
  <c r="M1132" i="11"/>
  <c r="M1133" i="11"/>
  <c r="M1134" i="11"/>
  <c r="M1135" i="11"/>
  <c r="M1136" i="11"/>
  <c r="M1137" i="11"/>
  <c r="M1138" i="11"/>
  <c r="M1139" i="11"/>
  <c r="M1140" i="11"/>
  <c r="M1141" i="11"/>
  <c r="M1142" i="11"/>
  <c r="M1143" i="11"/>
  <c r="M1144" i="11"/>
  <c r="M1145" i="11"/>
  <c r="M1146" i="11"/>
  <c r="M1147" i="11"/>
  <c r="M1148" i="11"/>
  <c r="M1149" i="11"/>
  <c r="M1150" i="11"/>
  <c r="M1151" i="11"/>
  <c r="M1152" i="11"/>
  <c r="M1153" i="11"/>
  <c r="M1154" i="11"/>
  <c r="M1155" i="11"/>
  <c r="M1156" i="11"/>
  <c r="M1157" i="11"/>
  <c r="M1158" i="11"/>
  <c r="M1159" i="11"/>
  <c r="M1160" i="11"/>
  <c r="M1161" i="11"/>
  <c r="M1162" i="11"/>
  <c r="M1163" i="11"/>
  <c r="M1164" i="11"/>
  <c r="M1165" i="11"/>
  <c r="M1166" i="11"/>
  <c r="M1167" i="11"/>
  <c r="M1168" i="11"/>
  <c r="M1169" i="11"/>
  <c r="M1170" i="11"/>
  <c r="M1171" i="11"/>
  <c r="M1172" i="11"/>
  <c r="M1173" i="11"/>
  <c r="M1174" i="11"/>
  <c r="M1175" i="11"/>
  <c r="M1176" i="11"/>
  <c r="M1177" i="11"/>
  <c r="M1178" i="11"/>
  <c r="M1179" i="11"/>
  <c r="M1180" i="11"/>
  <c r="M1181" i="11"/>
  <c r="M1182" i="11"/>
  <c r="M1183" i="11"/>
  <c r="M1184" i="11"/>
  <c r="M1185" i="11"/>
  <c r="M1186" i="11"/>
  <c r="M1187" i="11"/>
  <c r="M1188" i="11"/>
  <c r="M1189" i="11"/>
  <c r="M1190" i="11"/>
  <c r="M1191" i="11"/>
  <c r="M1192" i="11"/>
  <c r="M1193" i="11"/>
  <c r="M1194" i="11"/>
  <c r="M1195" i="11"/>
  <c r="M1196" i="11"/>
  <c r="M1197" i="11"/>
  <c r="M1198" i="11"/>
  <c r="M1199" i="11"/>
  <c r="M1200" i="11"/>
  <c r="M1201" i="11"/>
  <c r="M1202" i="11"/>
  <c r="M1203" i="11"/>
  <c r="M1204" i="11"/>
  <c r="M1205" i="11"/>
  <c r="M1206" i="11"/>
  <c r="M1207" i="11"/>
  <c r="M1208" i="11"/>
  <c r="M1209" i="11"/>
  <c r="M1210" i="11"/>
  <c r="M1211" i="11"/>
  <c r="M1212" i="11"/>
  <c r="M1213" i="11"/>
  <c r="M1214" i="11"/>
  <c r="M1215" i="11"/>
  <c r="M1216" i="11"/>
  <c r="M1217" i="11"/>
  <c r="M1218" i="11"/>
  <c r="M1219" i="11"/>
  <c r="M1220" i="11"/>
  <c r="M1221" i="11"/>
  <c r="M1222" i="11"/>
  <c r="M1223" i="11"/>
  <c r="M1224" i="11"/>
  <c r="M1225" i="11"/>
  <c r="M1226" i="11"/>
  <c r="M1227" i="11"/>
  <c r="M1228" i="11"/>
  <c r="M1229" i="11"/>
  <c r="M1230" i="11"/>
  <c r="M1231" i="11"/>
  <c r="M1232" i="11"/>
  <c r="M1233" i="11"/>
  <c r="M1234" i="11"/>
  <c r="M1235" i="11"/>
  <c r="M1236" i="11"/>
  <c r="M1237" i="11"/>
  <c r="M1238" i="11"/>
  <c r="M1239" i="11"/>
  <c r="M1240" i="11"/>
  <c r="M1241" i="11"/>
  <c r="M1242" i="11"/>
  <c r="M1243" i="11"/>
  <c r="M1244" i="11"/>
  <c r="M1245" i="11"/>
  <c r="M1246" i="11"/>
  <c r="M1247" i="11"/>
  <c r="M1248" i="11"/>
  <c r="M1249" i="11"/>
  <c r="M1250" i="11"/>
  <c r="M1251" i="11"/>
  <c r="M1252" i="11"/>
  <c r="M1253" i="11"/>
  <c r="M1254" i="11"/>
  <c r="M1255" i="11"/>
  <c r="M1256" i="11"/>
  <c r="M1257" i="11"/>
  <c r="M1258" i="11"/>
  <c r="M1259" i="11"/>
  <c r="M1260" i="11"/>
  <c r="M1261" i="11"/>
  <c r="M1262" i="11"/>
  <c r="M1263" i="11"/>
  <c r="M1264" i="11"/>
  <c r="M1265" i="11"/>
  <c r="M1266" i="11"/>
  <c r="M1267" i="11"/>
  <c r="M1268" i="11"/>
  <c r="M1269" i="11"/>
  <c r="M1270" i="11"/>
  <c r="M1271" i="11"/>
  <c r="M1272" i="11"/>
  <c r="M1273" i="11"/>
  <c r="M1274" i="11"/>
  <c r="M1275" i="11"/>
  <c r="M1276" i="11"/>
  <c r="M1277" i="11"/>
  <c r="M1278" i="11"/>
  <c r="M1279" i="11"/>
  <c r="M1280" i="11"/>
  <c r="M1281" i="11"/>
  <c r="M1282" i="11"/>
  <c r="M1283" i="11"/>
  <c r="M1284" i="11"/>
  <c r="M1285" i="11"/>
  <c r="M1286" i="11"/>
  <c r="M1287" i="11"/>
  <c r="M1288" i="11"/>
  <c r="M1289" i="11"/>
  <c r="M1290" i="11"/>
  <c r="M1291" i="11"/>
  <c r="M1292" i="11"/>
  <c r="M1293" i="11"/>
  <c r="M1294" i="11"/>
  <c r="M1295" i="11"/>
  <c r="M1296" i="11"/>
  <c r="M1297" i="11"/>
  <c r="M1298" i="11"/>
  <c r="M1299" i="11"/>
  <c r="M1300" i="11"/>
  <c r="M1301" i="11"/>
  <c r="M1302" i="11"/>
  <c r="M1303" i="11"/>
  <c r="M1304" i="11"/>
  <c r="M1305" i="11"/>
  <c r="M1306" i="11"/>
  <c r="M1307" i="11"/>
  <c r="M1308" i="11"/>
  <c r="M1309" i="11"/>
  <c r="M1310" i="11"/>
  <c r="M1311" i="11"/>
  <c r="M1312" i="11"/>
  <c r="M1313" i="11"/>
  <c r="M1314" i="11"/>
  <c r="M1315" i="11"/>
  <c r="M1316" i="11"/>
  <c r="M1317" i="11"/>
  <c r="M1318" i="11"/>
  <c r="M1319" i="11"/>
  <c r="M1320" i="11"/>
  <c r="M1321" i="11"/>
  <c r="M1322" i="11"/>
  <c r="M1323" i="11"/>
  <c r="M1324" i="11"/>
  <c r="M1325" i="11"/>
  <c r="M1326" i="11"/>
  <c r="M1327" i="11"/>
  <c r="M1328" i="11"/>
  <c r="M1329" i="11"/>
  <c r="M1330" i="11"/>
  <c r="M1331" i="11"/>
  <c r="M1332" i="11"/>
  <c r="M1333" i="11"/>
  <c r="M1334" i="11"/>
  <c r="M1335" i="11"/>
  <c r="M1336" i="11"/>
  <c r="M1337" i="11"/>
  <c r="M1338" i="11"/>
  <c r="M1339" i="11"/>
  <c r="M1340" i="11"/>
  <c r="M1341" i="11"/>
  <c r="M1342" i="11"/>
  <c r="M1343" i="11"/>
  <c r="M1344" i="11"/>
  <c r="M1345" i="11"/>
  <c r="M1346" i="11"/>
  <c r="M1347" i="11"/>
  <c r="M1348" i="11"/>
  <c r="M1349" i="11"/>
  <c r="M1350" i="11"/>
  <c r="M1351" i="11"/>
  <c r="M1352" i="11"/>
  <c r="M1353" i="11"/>
  <c r="M1354" i="11"/>
  <c r="M1355" i="11"/>
  <c r="M1356" i="11"/>
  <c r="M1357" i="11"/>
  <c r="M1358" i="11"/>
  <c r="M1359" i="11"/>
  <c r="M1360" i="11"/>
  <c r="M1361" i="11"/>
  <c r="M1362" i="11"/>
  <c r="M1363" i="11"/>
  <c r="M1364" i="11"/>
  <c r="M1365" i="11"/>
  <c r="M1366" i="11"/>
  <c r="M1367" i="11"/>
  <c r="M1368" i="11"/>
  <c r="M1369" i="11"/>
  <c r="M1370" i="11"/>
  <c r="M1371" i="11"/>
  <c r="M1372" i="11"/>
  <c r="M1373" i="11"/>
  <c r="M1374" i="11"/>
  <c r="M1375" i="11"/>
  <c r="M1376" i="11"/>
  <c r="M1377" i="11"/>
  <c r="M1378" i="11"/>
  <c r="M1379" i="11"/>
  <c r="M1380" i="11"/>
  <c r="M1381" i="11"/>
  <c r="M1382" i="11"/>
  <c r="M1383" i="11"/>
  <c r="M1384" i="11"/>
  <c r="M1385" i="11"/>
  <c r="M1386" i="11"/>
  <c r="M1387" i="11"/>
  <c r="M1388" i="11"/>
  <c r="M1389" i="11"/>
  <c r="M1390" i="11"/>
  <c r="M1391" i="11"/>
  <c r="M1392" i="11"/>
  <c r="M1393" i="11"/>
  <c r="M1394" i="11"/>
  <c r="M1395" i="11"/>
  <c r="M1396" i="11"/>
  <c r="M1397" i="11"/>
  <c r="M1398" i="11"/>
  <c r="M1399" i="11"/>
  <c r="M1400" i="11"/>
  <c r="M1401" i="11"/>
  <c r="M1402" i="11"/>
  <c r="M1403" i="11"/>
  <c r="M1404" i="11"/>
  <c r="M1405" i="11"/>
  <c r="M1406" i="11"/>
  <c r="M1407" i="11"/>
  <c r="M1408" i="11"/>
  <c r="M1409" i="11"/>
  <c r="M1410" i="11"/>
  <c r="M1411" i="11"/>
  <c r="M1412" i="11"/>
  <c r="M1413" i="11"/>
  <c r="M1414" i="11"/>
  <c r="M1415" i="11"/>
  <c r="M1416" i="11"/>
  <c r="M1417" i="11"/>
  <c r="M1418" i="11"/>
  <c r="M1419" i="11"/>
  <c r="M1420" i="11"/>
  <c r="M1421" i="11"/>
  <c r="M1422" i="11"/>
  <c r="M1423" i="11"/>
  <c r="M1424" i="11"/>
  <c r="M1425" i="11"/>
  <c r="M1426" i="11"/>
  <c r="M1427" i="11"/>
  <c r="M1428" i="11"/>
  <c r="M1429" i="11"/>
  <c r="M1430" i="11"/>
  <c r="M1431" i="11"/>
  <c r="M1432" i="11"/>
  <c r="M1433" i="11"/>
  <c r="M1434" i="11"/>
  <c r="M1435" i="11"/>
  <c r="M1436" i="11"/>
  <c r="M1437" i="11"/>
  <c r="M1438" i="11"/>
  <c r="M1439" i="11"/>
  <c r="M1440" i="11"/>
  <c r="M1441" i="11"/>
  <c r="M1442" i="11"/>
  <c r="M1443" i="11"/>
  <c r="M1444" i="11"/>
  <c r="M1445" i="11"/>
  <c r="M1446" i="11"/>
  <c r="M1447" i="11"/>
  <c r="M1448" i="11"/>
  <c r="M1449" i="11"/>
  <c r="M1450" i="11"/>
  <c r="M1451" i="11"/>
  <c r="M1452" i="11"/>
  <c r="M1453" i="11"/>
  <c r="M1454" i="11"/>
  <c r="M1455" i="11"/>
  <c r="M1456" i="11"/>
  <c r="M1457" i="11"/>
  <c r="M1458" i="11"/>
  <c r="M1459" i="11"/>
  <c r="M1460" i="11"/>
  <c r="M1461" i="11"/>
  <c r="M1462" i="11"/>
  <c r="M1463" i="11"/>
  <c r="M1464" i="11"/>
  <c r="M1465" i="11"/>
  <c r="M1466" i="11"/>
  <c r="M1467" i="11"/>
  <c r="M1468" i="11"/>
  <c r="M1469" i="11"/>
  <c r="M1470" i="11"/>
  <c r="M1471" i="11"/>
  <c r="M1472" i="11"/>
  <c r="M1473" i="11"/>
  <c r="M1474" i="11"/>
  <c r="M1475" i="11"/>
  <c r="M1476" i="11"/>
  <c r="M1477" i="11"/>
  <c r="M1478" i="11"/>
  <c r="M1479" i="11"/>
  <c r="M1480" i="11"/>
  <c r="M1481" i="11"/>
  <c r="M1482" i="11"/>
  <c r="M1483" i="11"/>
  <c r="M1484" i="11"/>
  <c r="M1485" i="11"/>
  <c r="M1486" i="11"/>
  <c r="M1487" i="11"/>
  <c r="M1488" i="11"/>
  <c r="M1489" i="11"/>
  <c r="M1490" i="11"/>
  <c r="M1491" i="11"/>
  <c r="M1492" i="11"/>
  <c r="M1493" i="11"/>
  <c r="M1494" i="11"/>
  <c r="M1495" i="11"/>
  <c r="M1496" i="11"/>
  <c r="M1497" i="11"/>
  <c r="M1498" i="11"/>
  <c r="M1499" i="11"/>
  <c r="M1500" i="11"/>
  <c r="M1501" i="11"/>
  <c r="M1502" i="11"/>
  <c r="M1503" i="11"/>
  <c r="M1504" i="11"/>
  <c r="M1505" i="11"/>
  <c r="M1506" i="11"/>
  <c r="M1507" i="11"/>
  <c r="M1508" i="11"/>
  <c r="M1509" i="11"/>
  <c r="M1510" i="11"/>
  <c r="M1511" i="11"/>
  <c r="M1512" i="11"/>
  <c r="M1513" i="11"/>
  <c r="M1514" i="11"/>
  <c r="M1515" i="11"/>
  <c r="M1516" i="11"/>
  <c r="M1517" i="11"/>
  <c r="M1518" i="11"/>
  <c r="M1519" i="11"/>
  <c r="M1520" i="11"/>
  <c r="M1521" i="11"/>
  <c r="M1522" i="11"/>
  <c r="M1523" i="11"/>
  <c r="M1524" i="11"/>
  <c r="M1525" i="11"/>
  <c r="M1526" i="11"/>
  <c r="M1527" i="11"/>
  <c r="M1528" i="11"/>
  <c r="M1529" i="11"/>
  <c r="M1530" i="11"/>
  <c r="M1531" i="11"/>
  <c r="M1532" i="11"/>
  <c r="M1533" i="11"/>
  <c r="M1534" i="11"/>
  <c r="M1535" i="11"/>
  <c r="M1536" i="11"/>
  <c r="M1537" i="11"/>
  <c r="M1538" i="11"/>
  <c r="M1539" i="11"/>
  <c r="M1540" i="11"/>
  <c r="M1541" i="11"/>
  <c r="M1542" i="11"/>
  <c r="M1543" i="11"/>
  <c r="M1544" i="11"/>
  <c r="M1545" i="11"/>
  <c r="M1546" i="11"/>
  <c r="M1547" i="11"/>
  <c r="M1548" i="11"/>
  <c r="M1549" i="11"/>
  <c r="M1550" i="11"/>
  <c r="M1551" i="11"/>
  <c r="M1552" i="11"/>
  <c r="M1553" i="11"/>
  <c r="M1554" i="11"/>
  <c r="M1555" i="11"/>
  <c r="M1556" i="11"/>
  <c r="M1557" i="11"/>
  <c r="M1558" i="11"/>
  <c r="M1559" i="11"/>
  <c r="M1560" i="11"/>
  <c r="M1561" i="11"/>
  <c r="M1562" i="11"/>
  <c r="M1563" i="11"/>
  <c r="M1564" i="11"/>
  <c r="M1565" i="11"/>
  <c r="M1566" i="11"/>
  <c r="M1567" i="11"/>
  <c r="M1568" i="11"/>
  <c r="M1569" i="11"/>
  <c r="M1570" i="11"/>
  <c r="M1571" i="11"/>
  <c r="M1572" i="11"/>
  <c r="M1573" i="11"/>
  <c r="M1574" i="11"/>
  <c r="M1575" i="11"/>
  <c r="M1576" i="11"/>
  <c r="M1577" i="11"/>
  <c r="M1578" i="11"/>
  <c r="M1579" i="11"/>
  <c r="M1580" i="11"/>
  <c r="M1581" i="11"/>
  <c r="M1582" i="11"/>
  <c r="M1583" i="11"/>
  <c r="M1584" i="11"/>
  <c r="M1585" i="11"/>
  <c r="M1586" i="11"/>
  <c r="M1587" i="11"/>
  <c r="M1588" i="11"/>
  <c r="M1589" i="11"/>
  <c r="M1590" i="11"/>
  <c r="M1591" i="11"/>
  <c r="M1592" i="11"/>
  <c r="M1593" i="11"/>
  <c r="M1594" i="11"/>
  <c r="M1595" i="11"/>
  <c r="M1596" i="11"/>
  <c r="M1597" i="11"/>
  <c r="M1598" i="11"/>
  <c r="M1599" i="11"/>
  <c r="M1600" i="11"/>
  <c r="M1601" i="11"/>
  <c r="M1602" i="11"/>
  <c r="M1603" i="11"/>
  <c r="M1604" i="11"/>
  <c r="M1605" i="11"/>
  <c r="M1606" i="11"/>
  <c r="M1607" i="11"/>
  <c r="M1608" i="11"/>
  <c r="M1609" i="11"/>
  <c r="M1610" i="11"/>
  <c r="M1611" i="11"/>
  <c r="M1612" i="11"/>
  <c r="M1613" i="11"/>
  <c r="M1614" i="11"/>
  <c r="M1615" i="11"/>
  <c r="M1616" i="11"/>
  <c r="M1617" i="11"/>
  <c r="M1618" i="11"/>
  <c r="M1619" i="11"/>
  <c r="M1620" i="11"/>
  <c r="M1621" i="11"/>
  <c r="M1622" i="11"/>
  <c r="M1623" i="11"/>
  <c r="M1624" i="11"/>
  <c r="M1625" i="11"/>
  <c r="M1626" i="11"/>
  <c r="M1627" i="11"/>
  <c r="M1628" i="11"/>
  <c r="M1629" i="11"/>
  <c r="M1630" i="11"/>
  <c r="M1631" i="11"/>
  <c r="M1632" i="11"/>
  <c r="M1633" i="11"/>
  <c r="M1634" i="11"/>
  <c r="M1635" i="11"/>
  <c r="M1636" i="11"/>
  <c r="M1637" i="11"/>
  <c r="M1638" i="11"/>
  <c r="M1639" i="11"/>
  <c r="M1640" i="11"/>
  <c r="M1641" i="11"/>
  <c r="M1642" i="11"/>
  <c r="M1643" i="11"/>
  <c r="M1644" i="11"/>
  <c r="M1645" i="11"/>
  <c r="M1646" i="11"/>
  <c r="M1647" i="11"/>
  <c r="M1648" i="11"/>
  <c r="M1649" i="11"/>
  <c r="M1650" i="11"/>
  <c r="M1651" i="11"/>
  <c r="M1652" i="11"/>
  <c r="M1653" i="11"/>
  <c r="M1654" i="11"/>
  <c r="M1655" i="11"/>
  <c r="M1656" i="11"/>
  <c r="M1657" i="11"/>
  <c r="M1658" i="11"/>
  <c r="M1659" i="11"/>
  <c r="M1660" i="11"/>
  <c r="M1661" i="11"/>
  <c r="M1662" i="11"/>
  <c r="M1663" i="11"/>
  <c r="M1664" i="11"/>
  <c r="M1665" i="11"/>
  <c r="M1666" i="11"/>
  <c r="M1667" i="11"/>
  <c r="M1668" i="11"/>
  <c r="M1669" i="11"/>
  <c r="M1670" i="11"/>
  <c r="M1671" i="11"/>
  <c r="M1672" i="11"/>
  <c r="M1673" i="11"/>
  <c r="M1674" i="11"/>
  <c r="M1675" i="11"/>
  <c r="M1676" i="11"/>
  <c r="M1677" i="11"/>
  <c r="M1678" i="11"/>
  <c r="M1679" i="11"/>
  <c r="M1680" i="11"/>
  <c r="M1681" i="11"/>
  <c r="M1682" i="11"/>
  <c r="M1683" i="11"/>
  <c r="M1684" i="11"/>
  <c r="M1685" i="11"/>
  <c r="M1686" i="11"/>
  <c r="M1687" i="11"/>
  <c r="M1688" i="11"/>
  <c r="M1689" i="11"/>
  <c r="M1690" i="11"/>
  <c r="M1691" i="11"/>
  <c r="M1692" i="11"/>
  <c r="M1693" i="11"/>
  <c r="M1694" i="11"/>
  <c r="M1695" i="11"/>
  <c r="M1696" i="11"/>
  <c r="M1697" i="11"/>
  <c r="M1698" i="11"/>
  <c r="M1699" i="11"/>
  <c r="M1700" i="11"/>
  <c r="M1701" i="11"/>
  <c r="M1702" i="11"/>
  <c r="M1703" i="11"/>
  <c r="M1704" i="11"/>
  <c r="M1705" i="11"/>
  <c r="M1706" i="11"/>
  <c r="M1707" i="11"/>
  <c r="M1708" i="11"/>
  <c r="M1709" i="11"/>
  <c r="M1710" i="11"/>
  <c r="M1711" i="11"/>
  <c r="M1712" i="11"/>
  <c r="AU334" i="13"/>
  <c r="AZ334" i="13" s="1"/>
  <c r="AJ334" i="13"/>
  <c r="AA334" i="13"/>
  <c r="Z334" i="13"/>
  <c r="D334" i="13"/>
  <c r="S334" i="13" s="1"/>
  <c r="AU333" i="13"/>
  <c r="AZ333" i="13" s="1"/>
  <c r="AJ333" i="13"/>
  <c r="AA333" i="13"/>
  <c r="AD333" i="13" s="1"/>
  <c r="Z333" i="13"/>
  <c r="D333" i="13"/>
  <c r="AU332" i="13"/>
  <c r="AZ332" i="13" s="1"/>
  <c r="AJ332" i="13"/>
  <c r="AA332" i="13"/>
  <c r="AD332" i="13" s="1"/>
  <c r="Z332" i="13"/>
  <c r="D332" i="13"/>
  <c r="AU331" i="13"/>
  <c r="AZ331" i="13" s="1"/>
  <c r="AJ331" i="13"/>
  <c r="AA331" i="13"/>
  <c r="AD331" i="13" s="1"/>
  <c r="Z331" i="13"/>
  <c r="D331" i="13"/>
  <c r="D330" i="13"/>
  <c r="D329" i="13"/>
  <c r="D328" i="13"/>
  <c r="D327" i="13"/>
  <c r="D326" i="13"/>
  <c r="D325" i="13"/>
  <c r="D324" i="13"/>
  <c r="D323" i="13"/>
  <c r="D322" i="13"/>
  <c r="D321" i="13"/>
  <c r="D320" i="13"/>
  <c r="D319" i="13"/>
  <c r="D318" i="13"/>
  <c r="AU265" i="13"/>
  <c r="AZ265" i="13" s="1"/>
  <c r="AA265" i="13"/>
  <c r="AD265" i="13" s="1"/>
  <c r="Z265" i="13"/>
  <c r="D265" i="13"/>
  <c r="S265" i="13" s="1"/>
  <c r="W265" i="13" s="1"/>
  <c r="AU252" i="13"/>
  <c r="AZ252" i="13" s="1"/>
  <c r="AA252" i="13"/>
  <c r="AD252" i="13" s="1"/>
  <c r="Z252" i="13"/>
  <c r="D252" i="13"/>
  <c r="AU251" i="13"/>
  <c r="AZ251" i="13" s="1"/>
  <c r="AA251" i="13"/>
  <c r="Z251" i="13"/>
  <c r="D251" i="13"/>
  <c r="R251" i="13" s="1"/>
  <c r="AU250" i="13"/>
  <c r="AZ250" i="13" s="1"/>
  <c r="AA250" i="13"/>
  <c r="Z250" i="13"/>
  <c r="D250" i="13"/>
  <c r="AU249" i="13"/>
  <c r="AZ249" i="13" s="1"/>
  <c r="AA249" i="13"/>
  <c r="Z249" i="13"/>
  <c r="D249" i="13"/>
  <c r="S249" i="13" s="1"/>
  <c r="AU248" i="13"/>
  <c r="AZ248" i="13" s="1"/>
  <c r="AA248" i="13"/>
  <c r="AD248" i="13" s="1"/>
  <c r="Z248" i="13"/>
  <c r="D248" i="13"/>
  <c r="AU247" i="13"/>
  <c r="AZ247" i="13" s="1"/>
  <c r="AA247" i="13"/>
  <c r="Z247" i="13"/>
  <c r="D247" i="13"/>
  <c r="R247" i="13" s="1"/>
  <c r="AU246" i="13"/>
  <c r="AZ246" i="13" s="1"/>
  <c r="AA246" i="13"/>
  <c r="AD246" i="13" s="1"/>
  <c r="Z246" i="13"/>
  <c r="D246" i="13"/>
  <c r="AU245" i="13"/>
  <c r="AZ245" i="13" s="1"/>
  <c r="AA245" i="13"/>
  <c r="Z245" i="13"/>
  <c r="D245" i="13"/>
  <c r="S245" i="13" s="1"/>
  <c r="AU244" i="13"/>
  <c r="AZ244" i="13" s="1"/>
  <c r="AA244" i="13"/>
  <c r="AD244" i="13" s="1"/>
  <c r="Z244" i="13"/>
  <c r="D244" i="13"/>
  <c r="AU243" i="13"/>
  <c r="AZ243" i="13" s="1"/>
  <c r="AA243" i="13"/>
  <c r="AD243" i="13" s="1"/>
  <c r="Z243" i="13"/>
  <c r="D243" i="13"/>
  <c r="R243" i="13" s="1"/>
  <c r="AU242" i="13"/>
  <c r="AZ242" i="13" s="1"/>
  <c r="AA242" i="13"/>
  <c r="AD242" i="13" s="1"/>
  <c r="Z242" i="13"/>
  <c r="D242" i="13"/>
  <c r="S242" i="13" s="1"/>
  <c r="AU20" i="13"/>
  <c r="J20" i="13" s="1"/>
  <c r="AB20" i="13" s="1"/>
  <c r="AJ20" i="13"/>
  <c r="Z20" i="13"/>
  <c r="D20" i="13"/>
  <c r="S20" i="13" s="1"/>
  <c r="W20" i="13" s="1"/>
  <c r="AU19" i="13"/>
  <c r="J19" i="13" s="1"/>
  <c r="AB19" i="13" s="1"/>
  <c r="AJ19" i="13"/>
  <c r="Z19" i="13"/>
  <c r="D19" i="13"/>
  <c r="S19" i="13" s="1"/>
  <c r="AU18" i="13"/>
  <c r="J18" i="13" s="1"/>
  <c r="AB18" i="13" s="1"/>
  <c r="AJ18" i="13"/>
  <c r="Z18" i="13"/>
  <c r="D18" i="13"/>
  <c r="S18" i="13" s="1"/>
  <c r="W18" i="13" s="1"/>
  <c r="AU17" i="13"/>
  <c r="J17" i="13" s="1"/>
  <c r="AB17" i="13" s="1"/>
  <c r="AJ17" i="13"/>
  <c r="Z17" i="13"/>
  <c r="D17" i="13"/>
  <c r="AU16" i="13"/>
  <c r="J16" i="13" s="1"/>
  <c r="AB16" i="13" s="1"/>
  <c r="AJ16" i="13"/>
  <c r="Z16" i="13"/>
  <c r="D16" i="13"/>
  <c r="S16" i="13" s="1"/>
  <c r="W16" i="13" s="1"/>
  <c r="AU15" i="13"/>
  <c r="J15" i="13" s="1"/>
  <c r="AB15" i="13" s="1"/>
  <c r="AJ15" i="13"/>
  <c r="Z15" i="13"/>
  <c r="D15" i="13"/>
  <c r="AU14" i="13"/>
  <c r="J14" i="13" s="1"/>
  <c r="AB14" i="13" s="1"/>
  <c r="AJ14" i="13"/>
  <c r="Z14" i="13"/>
  <c r="D14" i="13"/>
  <c r="S14" i="13" s="1"/>
  <c r="W14" i="13" s="1"/>
  <c r="AU13" i="13"/>
  <c r="J13" i="13" s="1"/>
  <c r="AB13" i="13" s="1"/>
  <c r="AJ13" i="13"/>
  <c r="Z13" i="13"/>
  <c r="D13" i="13"/>
  <c r="AU12" i="13"/>
  <c r="J12" i="13" s="1"/>
  <c r="AB12" i="13" s="1"/>
  <c r="AJ12" i="13"/>
  <c r="Z12" i="13"/>
  <c r="D12" i="13"/>
  <c r="R12" i="13" s="1"/>
  <c r="AU11" i="13"/>
  <c r="J11" i="13" s="1"/>
  <c r="AB11" i="13" s="1"/>
  <c r="AJ11" i="13"/>
  <c r="Z11" i="13"/>
  <c r="D11" i="13"/>
  <c r="AU10" i="13"/>
  <c r="J10" i="13" s="1"/>
  <c r="AB10" i="13" s="1"/>
  <c r="AJ10" i="13"/>
  <c r="Z10" i="13"/>
  <c r="D10" i="13"/>
  <c r="S10" i="13" s="1"/>
  <c r="W10" i="13" s="1"/>
  <c r="AU9" i="13"/>
  <c r="J9" i="13" s="1"/>
  <c r="AB9" i="13" s="1"/>
  <c r="AJ9" i="13"/>
  <c r="Z9" i="13"/>
  <c r="D9" i="13"/>
  <c r="AU8" i="13"/>
  <c r="J8" i="13" s="1"/>
  <c r="AB8" i="13" s="1"/>
  <c r="AJ8" i="13"/>
  <c r="Z8" i="13"/>
  <c r="D8" i="13"/>
  <c r="S8" i="13" s="1"/>
  <c r="W8" i="13" s="1"/>
  <c r="AU871" i="13"/>
  <c r="AZ871" i="13" s="1"/>
  <c r="AJ871" i="13"/>
  <c r="AA871" i="13"/>
  <c r="Z871" i="13"/>
  <c r="L871" i="13"/>
  <c r="D871" i="13"/>
  <c r="S871" i="13" s="1"/>
  <c r="W871" i="13" s="1"/>
  <c r="AU870" i="13"/>
  <c r="AZ870" i="13" s="1"/>
  <c r="AJ870" i="13"/>
  <c r="AA870" i="13"/>
  <c r="AD870" i="13" s="1"/>
  <c r="Z870" i="13"/>
  <c r="L870" i="13"/>
  <c r="D870" i="13"/>
  <c r="R870" i="13" s="1"/>
  <c r="AU869" i="13"/>
  <c r="AZ869" i="13" s="1"/>
  <c r="AJ869" i="13"/>
  <c r="AA869" i="13"/>
  <c r="AD869" i="13" s="1"/>
  <c r="Z869" i="13"/>
  <c r="L869" i="13"/>
  <c r="D869" i="13"/>
  <c r="S869" i="13" s="1"/>
  <c r="AU868" i="13"/>
  <c r="AZ868" i="13" s="1"/>
  <c r="AJ868" i="13"/>
  <c r="AA868" i="13"/>
  <c r="AD868" i="13" s="1"/>
  <c r="Z868" i="13"/>
  <c r="L868" i="13"/>
  <c r="D868" i="13"/>
  <c r="S868" i="13" s="1"/>
  <c r="AU867" i="13"/>
  <c r="AZ867" i="13" s="1"/>
  <c r="AJ867" i="13"/>
  <c r="AA867" i="13"/>
  <c r="Z867" i="13"/>
  <c r="L867" i="13"/>
  <c r="D867" i="13"/>
  <c r="R867" i="13" s="1"/>
  <c r="AU866" i="13"/>
  <c r="AZ866" i="13" s="1"/>
  <c r="AJ866" i="13"/>
  <c r="AA866" i="13"/>
  <c r="AD866" i="13" s="1"/>
  <c r="Z866" i="13"/>
  <c r="L866" i="13"/>
  <c r="D866" i="13"/>
  <c r="R866" i="13" s="1"/>
  <c r="D879" i="13"/>
  <c r="D878" i="13"/>
  <c r="S878" i="13" s="1"/>
  <c r="D877" i="13"/>
  <c r="S877" i="13" s="1"/>
  <c r="D876" i="13"/>
  <c r="S876" i="13" s="1"/>
  <c r="D875" i="13"/>
  <c r="S875" i="13" s="1"/>
  <c r="D874" i="13"/>
  <c r="S874" i="13" s="1"/>
  <c r="D873" i="13"/>
  <c r="S873" i="13" s="1"/>
  <c r="D872" i="13"/>
  <c r="S872" i="13" s="1"/>
  <c r="D865" i="13"/>
  <c r="S865" i="13" s="1"/>
  <c r="D864" i="13"/>
  <c r="S864" i="13" s="1"/>
  <c r="D863" i="13"/>
  <c r="S863" i="13" s="1"/>
  <c r="D862" i="13"/>
  <c r="D861" i="13"/>
  <c r="D860" i="13"/>
  <c r="D859" i="13"/>
  <c r="D858" i="13"/>
  <c r="D857" i="13"/>
  <c r="D856" i="13"/>
  <c r="D855" i="13"/>
  <c r="D854" i="13"/>
  <c r="D853" i="13"/>
  <c r="D852" i="13"/>
  <c r="D851" i="13"/>
  <c r="D850" i="13"/>
  <c r="D849" i="13"/>
  <c r="D848" i="13"/>
  <c r="D847" i="13"/>
  <c r="D846" i="13"/>
  <c r="D845" i="13"/>
  <c r="D844" i="13"/>
  <c r="D843" i="13"/>
  <c r="D842" i="13"/>
  <c r="D841" i="13"/>
  <c r="D840" i="13"/>
  <c r="D839" i="13"/>
  <c r="D838" i="13"/>
  <c r="D837" i="13"/>
  <c r="D836" i="13"/>
  <c r="D835" i="13"/>
  <c r="D834" i="13"/>
  <c r="D833" i="13"/>
  <c r="D832" i="13"/>
  <c r="D831" i="13"/>
  <c r="D830" i="13"/>
  <c r="D829" i="13"/>
  <c r="D828" i="13"/>
  <c r="D827" i="13"/>
  <c r="D826" i="13"/>
  <c r="D825" i="13"/>
  <c r="D824" i="13"/>
  <c r="D823" i="13"/>
  <c r="D822" i="13"/>
  <c r="D821" i="13"/>
  <c r="D820" i="13"/>
  <c r="D819" i="13"/>
  <c r="D818" i="13"/>
  <c r="D817" i="13"/>
  <c r="D816" i="13"/>
  <c r="D815" i="13"/>
  <c r="D814" i="13"/>
  <c r="D813" i="13"/>
  <c r="D812" i="13"/>
  <c r="D811" i="13"/>
  <c r="D810" i="13"/>
  <c r="D809" i="13"/>
  <c r="D808" i="13"/>
  <c r="D807" i="13"/>
  <c r="D806" i="13"/>
  <c r="D805" i="13"/>
  <c r="D804" i="13"/>
  <c r="D803" i="13"/>
  <c r="D802" i="13"/>
  <c r="D801" i="13"/>
  <c r="D800" i="13"/>
  <c r="D799" i="13"/>
  <c r="D798" i="13"/>
  <c r="D797" i="13"/>
  <c r="D796" i="13"/>
  <c r="D795" i="13"/>
  <c r="D794" i="13"/>
  <c r="D793" i="13"/>
  <c r="D792" i="13"/>
  <c r="D791" i="13"/>
  <c r="D790" i="13"/>
  <c r="D789" i="13"/>
  <c r="D788" i="13"/>
  <c r="D787" i="13"/>
  <c r="D786" i="13"/>
  <c r="D785" i="13"/>
  <c r="D784" i="13"/>
  <c r="D783" i="13"/>
  <c r="D782" i="13"/>
  <c r="D781" i="13"/>
  <c r="D780" i="13"/>
  <c r="D779" i="13"/>
  <c r="D778" i="13"/>
  <c r="D777" i="13"/>
  <c r="D776" i="13"/>
  <c r="D775" i="13"/>
  <c r="D774" i="13"/>
  <c r="D773" i="13"/>
  <c r="D772" i="13"/>
  <c r="D771" i="13"/>
  <c r="D770" i="13"/>
  <c r="D769" i="13"/>
  <c r="D768" i="13"/>
  <c r="D767" i="13"/>
  <c r="D766" i="13"/>
  <c r="D765" i="13"/>
  <c r="D764" i="13"/>
  <c r="D763" i="13"/>
  <c r="D762" i="13"/>
  <c r="D761" i="13"/>
  <c r="D760" i="13"/>
  <c r="D759" i="13"/>
  <c r="D758" i="13"/>
  <c r="D757" i="13"/>
  <c r="D756" i="13"/>
  <c r="D755" i="13"/>
  <c r="D754" i="13"/>
  <c r="D753" i="13"/>
  <c r="D752" i="13"/>
  <c r="D751" i="13"/>
  <c r="D750" i="13"/>
  <c r="D749" i="13"/>
  <c r="D748" i="13"/>
  <c r="D747" i="13"/>
  <c r="D746" i="13"/>
  <c r="D745" i="13"/>
  <c r="D744" i="13"/>
  <c r="D743" i="13"/>
  <c r="D742" i="13"/>
  <c r="D741" i="13"/>
  <c r="D740" i="13"/>
  <c r="D739" i="13"/>
  <c r="D738" i="13"/>
  <c r="D737" i="13"/>
  <c r="D736" i="13"/>
  <c r="D735" i="13"/>
  <c r="D734" i="13"/>
  <c r="D733" i="13"/>
  <c r="D732" i="13"/>
  <c r="D731" i="13"/>
  <c r="D730" i="13"/>
  <c r="D729" i="13"/>
  <c r="D728" i="13"/>
  <c r="D727" i="13"/>
  <c r="D726" i="13"/>
  <c r="D725" i="13"/>
  <c r="D724" i="13"/>
  <c r="D723" i="13"/>
  <c r="D722" i="13"/>
  <c r="D721" i="13"/>
  <c r="D720" i="13"/>
  <c r="D719" i="13"/>
  <c r="D718" i="13"/>
  <c r="D717" i="13"/>
  <c r="D716" i="13"/>
  <c r="D715" i="13"/>
  <c r="D714" i="13"/>
  <c r="D713" i="13"/>
  <c r="D712" i="13"/>
  <c r="D711" i="13"/>
  <c r="D710" i="13"/>
  <c r="D709" i="13"/>
  <c r="D708" i="13"/>
  <c r="D707" i="13"/>
  <c r="D706" i="13"/>
  <c r="D705" i="13"/>
  <c r="D704" i="13"/>
  <c r="D703" i="13"/>
  <c r="D702" i="13"/>
  <c r="D701" i="13"/>
  <c r="D700" i="13"/>
  <c r="D699" i="13"/>
  <c r="D698" i="13"/>
  <c r="D697" i="13"/>
  <c r="D696" i="13"/>
  <c r="D695" i="13"/>
  <c r="D694" i="13"/>
  <c r="D693" i="13"/>
  <c r="D692" i="13"/>
  <c r="D691" i="13"/>
  <c r="D690" i="13"/>
  <c r="D689" i="13"/>
  <c r="D688" i="13"/>
  <c r="D687" i="13"/>
  <c r="D686" i="13"/>
  <c r="D685" i="13"/>
  <c r="D684" i="13"/>
  <c r="D683" i="13"/>
  <c r="D682" i="13"/>
  <c r="D681" i="13"/>
  <c r="D680" i="13"/>
  <c r="D679" i="13"/>
  <c r="D678" i="13"/>
  <c r="D677" i="13"/>
  <c r="D676" i="13"/>
  <c r="D675" i="13"/>
  <c r="D674" i="13"/>
  <c r="D673" i="13"/>
  <c r="D672" i="13"/>
  <c r="D671" i="13"/>
  <c r="D670" i="13"/>
  <c r="D669" i="13"/>
  <c r="D668" i="13"/>
  <c r="D667" i="13"/>
  <c r="D666" i="13"/>
  <c r="D665" i="13"/>
  <c r="D664" i="13"/>
  <c r="D663" i="13"/>
  <c r="D662" i="13"/>
  <c r="D661" i="13"/>
  <c r="D660" i="13"/>
  <c r="D659" i="13"/>
  <c r="D658" i="13"/>
  <c r="D657" i="13"/>
  <c r="D656" i="13"/>
  <c r="D655" i="13"/>
  <c r="D654" i="13"/>
  <c r="D653" i="13"/>
  <c r="D652" i="13"/>
  <c r="D651" i="13"/>
  <c r="D650" i="13"/>
  <c r="D649" i="13"/>
  <c r="D648" i="13"/>
  <c r="D647" i="13"/>
  <c r="D646" i="13"/>
  <c r="D645" i="13"/>
  <c r="D644" i="13"/>
  <c r="D643" i="13"/>
  <c r="D642" i="13"/>
  <c r="D641" i="13"/>
  <c r="D640" i="13"/>
  <c r="D639" i="13"/>
  <c r="D638" i="13"/>
  <c r="D637" i="13"/>
  <c r="D636" i="13"/>
  <c r="D635" i="13"/>
  <c r="D634" i="13"/>
  <c r="D633" i="13"/>
  <c r="D632" i="13"/>
  <c r="D631" i="13"/>
  <c r="D630" i="13"/>
  <c r="D629" i="13"/>
  <c r="D628" i="13"/>
  <c r="D627" i="13"/>
  <c r="D626" i="13"/>
  <c r="D625" i="13"/>
  <c r="D624" i="13"/>
  <c r="D623" i="13"/>
  <c r="D622" i="13"/>
  <c r="D621" i="13"/>
  <c r="D620" i="13"/>
  <c r="D619" i="13"/>
  <c r="D618" i="13"/>
  <c r="D617" i="13"/>
  <c r="D616" i="13"/>
  <c r="D615" i="13"/>
  <c r="D614" i="13"/>
  <c r="D613" i="13"/>
  <c r="D612" i="13"/>
  <c r="D611" i="13"/>
  <c r="D610" i="13"/>
  <c r="D609" i="13"/>
  <c r="D608" i="13"/>
  <c r="D607" i="13"/>
  <c r="D606" i="13"/>
  <c r="D605" i="13"/>
  <c r="D604" i="13"/>
  <c r="D603" i="13"/>
  <c r="D602" i="13"/>
  <c r="D601" i="13"/>
  <c r="D600" i="13"/>
  <c r="D599" i="13"/>
  <c r="D598" i="13"/>
  <c r="D597" i="13"/>
  <c r="D596" i="13"/>
  <c r="D595" i="13"/>
  <c r="D594" i="13"/>
  <c r="D593" i="13"/>
  <c r="D592" i="13"/>
  <c r="D591" i="13"/>
  <c r="D590" i="13"/>
  <c r="D589" i="13"/>
  <c r="D588" i="13"/>
  <c r="D587" i="13"/>
  <c r="D586" i="13"/>
  <c r="D585" i="13"/>
  <c r="D584" i="13"/>
  <c r="D583" i="13"/>
  <c r="D582" i="13"/>
  <c r="D581" i="13"/>
  <c r="D580" i="13"/>
  <c r="D579" i="13"/>
  <c r="D578" i="13"/>
  <c r="D577" i="13"/>
  <c r="D576" i="13"/>
  <c r="D575" i="13"/>
  <c r="D574" i="13"/>
  <c r="D573" i="13"/>
  <c r="D572" i="13"/>
  <c r="D571" i="13"/>
  <c r="D570" i="13"/>
  <c r="D569" i="13"/>
  <c r="D568" i="13"/>
  <c r="D567" i="13"/>
  <c r="D566" i="13"/>
  <c r="D565" i="13"/>
  <c r="D564" i="13"/>
  <c r="D563" i="13"/>
  <c r="D562" i="13"/>
  <c r="D561" i="13"/>
  <c r="D560" i="13"/>
  <c r="D559" i="13"/>
  <c r="D558" i="13"/>
  <c r="D557" i="13"/>
  <c r="D556" i="13"/>
  <c r="D555" i="13"/>
  <c r="D554" i="13"/>
  <c r="D553" i="13"/>
  <c r="D552" i="13"/>
  <c r="D551" i="13"/>
  <c r="D550" i="13"/>
  <c r="D549" i="13"/>
  <c r="D548" i="13"/>
  <c r="D547" i="13"/>
  <c r="D546" i="13"/>
  <c r="D545" i="13"/>
  <c r="D544" i="13"/>
  <c r="D543" i="13"/>
  <c r="D542" i="13"/>
  <c r="D541" i="13"/>
  <c r="D540" i="13"/>
  <c r="D539" i="13"/>
  <c r="D538" i="13"/>
  <c r="D537" i="13"/>
  <c r="D536" i="13"/>
  <c r="D535" i="13"/>
  <c r="D534" i="13"/>
  <c r="D533" i="13"/>
  <c r="D532" i="13"/>
  <c r="D531" i="13"/>
  <c r="D530" i="13"/>
  <c r="D529" i="13"/>
  <c r="D528" i="13"/>
  <c r="D527" i="13"/>
  <c r="D526" i="13"/>
  <c r="D525" i="13"/>
  <c r="D524" i="13"/>
  <c r="D523" i="13"/>
  <c r="D522" i="13"/>
  <c r="D521" i="13"/>
  <c r="D520" i="13"/>
  <c r="D519" i="13"/>
  <c r="D518" i="13"/>
  <c r="D517" i="13"/>
  <c r="D516" i="13"/>
  <c r="D515" i="13"/>
  <c r="D514" i="13"/>
  <c r="D513" i="13"/>
  <c r="D512" i="13"/>
  <c r="D511" i="13"/>
  <c r="D510" i="13"/>
  <c r="D509" i="13"/>
  <c r="D508" i="13"/>
  <c r="D507" i="13"/>
  <c r="D506" i="13"/>
  <c r="D505" i="13"/>
  <c r="D504" i="13"/>
  <c r="D503" i="13"/>
  <c r="D502" i="13"/>
  <c r="D501" i="13"/>
  <c r="D500" i="13"/>
  <c r="D499" i="13"/>
  <c r="D498" i="13"/>
  <c r="D497" i="13"/>
  <c r="D496" i="13"/>
  <c r="D495" i="13"/>
  <c r="D494" i="13"/>
  <c r="D493" i="13"/>
  <c r="D492" i="13"/>
  <c r="D491" i="13"/>
  <c r="D490" i="13"/>
  <c r="D489" i="13"/>
  <c r="D488" i="13"/>
  <c r="D487" i="13"/>
  <c r="D486" i="13"/>
  <c r="D485" i="13"/>
  <c r="D484" i="13"/>
  <c r="D483" i="13"/>
  <c r="D482" i="13"/>
  <c r="D481" i="13"/>
  <c r="D480" i="13"/>
  <c r="D479" i="13"/>
  <c r="D478" i="13"/>
  <c r="D477" i="13"/>
  <c r="D476" i="13"/>
  <c r="D475" i="13"/>
  <c r="D474" i="13"/>
  <c r="D473" i="13"/>
  <c r="D472" i="13"/>
  <c r="D471" i="13"/>
  <c r="D470" i="13"/>
  <c r="D469" i="13"/>
  <c r="D468" i="13"/>
  <c r="D467" i="13"/>
  <c r="D466" i="13"/>
  <c r="D465" i="13"/>
  <c r="D464" i="13"/>
  <c r="D463" i="13"/>
  <c r="D462" i="13"/>
  <c r="D461" i="13"/>
  <c r="D460" i="13"/>
  <c r="D459" i="13"/>
  <c r="D458" i="13"/>
  <c r="D457" i="13"/>
  <c r="D456" i="13"/>
  <c r="D455" i="13"/>
  <c r="D454" i="13"/>
  <c r="D453" i="13"/>
  <c r="D452" i="13"/>
  <c r="D451" i="13"/>
  <c r="D450" i="13"/>
  <c r="D449" i="13"/>
  <c r="D448" i="13"/>
  <c r="D447" i="13"/>
  <c r="D446" i="13"/>
  <c r="D445" i="13"/>
  <c r="D444" i="13"/>
  <c r="D443" i="13"/>
  <c r="D442" i="13"/>
  <c r="D441" i="13"/>
  <c r="D440" i="13"/>
  <c r="D439" i="13"/>
  <c r="D438" i="13"/>
  <c r="D437" i="13"/>
  <c r="D436" i="13"/>
  <c r="D435" i="13"/>
  <c r="D434" i="13"/>
  <c r="D433" i="13"/>
  <c r="D432" i="13"/>
  <c r="D431" i="13"/>
  <c r="D430" i="13"/>
  <c r="D429" i="13"/>
  <c r="D428" i="13"/>
  <c r="D427" i="13"/>
  <c r="D426" i="13"/>
  <c r="D425" i="13"/>
  <c r="D424" i="13"/>
  <c r="D423" i="13"/>
  <c r="D422" i="13"/>
  <c r="D421" i="13"/>
  <c r="D420" i="13"/>
  <c r="D419" i="13"/>
  <c r="D418" i="13"/>
  <c r="D417" i="13"/>
  <c r="D416" i="13"/>
  <c r="D415" i="13"/>
  <c r="D414" i="13"/>
  <c r="D413" i="13"/>
  <c r="D412" i="13"/>
  <c r="D411" i="13"/>
  <c r="D410" i="13"/>
  <c r="D409" i="13"/>
  <c r="D408" i="13"/>
  <c r="D407" i="13"/>
  <c r="D406" i="13"/>
  <c r="D405" i="13"/>
  <c r="D404" i="13"/>
  <c r="D403" i="13"/>
  <c r="D402" i="13"/>
  <c r="D401" i="13"/>
  <c r="D400" i="13"/>
  <c r="D399" i="13"/>
  <c r="D398" i="13"/>
  <c r="D397" i="13"/>
  <c r="D396" i="13"/>
  <c r="D395" i="13"/>
  <c r="D394" i="13"/>
  <c r="D393" i="13"/>
  <c r="D392" i="13"/>
  <c r="D391" i="13"/>
  <c r="D390" i="13"/>
  <c r="D389" i="13"/>
  <c r="D388" i="13"/>
  <c r="D387" i="13"/>
  <c r="D386" i="13"/>
  <c r="D385" i="13"/>
  <c r="D384" i="13"/>
  <c r="D383" i="13"/>
  <c r="D382" i="13"/>
  <c r="D381" i="13"/>
  <c r="D380" i="13"/>
  <c r="D379" i="13"/>
  <c r="D378" i="13"/>
  <c r="D377" i="13"/>
  <c r="D376" i="13"/>
  <c r="D375" i="13"/>
  <c r="D374" i="13"/>
  <c r="D373" i="13"/>
  <c r="D372" i="13"/>
  <c r="D371" i="13"/>
  <c r="D370" i="13"/>
  <c r="D369" i="13"/>
  <c r="D368" i="13"/>
  <c r="D367" i="13"/>
  <c r="D366" i="13"/>
  <c r="D365" i="13"/>
  <c r="D364" i="13"/>
  <c r="D363" i="13"/>
  <c r="D362" i="13"/>
  <c r="D338" i="13"/>
  <c r="D337" i="13"/>
  <c r="D336" i="13"/>
  <c r="D335" i="13"/>
  <c r="D317" i="13"/>
  <c r="D316" i="13"/>
  <c r="D315" i="13"/>
  <c r="D314" i="13"/>
  <c r="D313" i="13"/>
  <c r="D312" i="13"/>
  <c r="D311" i="13"/>
  <c r="D310" i="13"/>
  <c r="D309" i="13"/>
  <c r="D308" i="13"/>
  <c r="D307" i="13"/>
  <c r="D306" i="13"/>
  <c r="D305" i="13"/>
  <c r="D304" i="13"/>
  <c r="D303" i="13"/>
  <c r="D302" i="13"/>
  <c r="D301" i="13"/>
  <c r="D300" i="13"/>
  <c r="D299" i="13"/>
  <c r="D298" i="13"/>
  <c r="D297" i="13"/>
  <c r="D296" i="13"/>
  <c r="D295" i="13"/>
  <c r="D294" i="13"/>
  <c r="D293" i="13"/>
  <c r="D292" i="13"/>
  <c r="D291" i="13"/>
  <c r="D290" i="13"/>
  <c r="D289" i="13"/>
  <c r="D288" i="13"/>
  <c r="D287" i="13"/>
  <c r="D286" i="13"/>
  <c r="D285" i="13"/>
  <c r="D284" i="13"/>
  <c r="D283" i="13"/>
  <c r="D282" i="13"/>
  <c r="D281" i="13"/>
  <c r="D280" i="13"/>
  <c r="D279" i="13"/>
  <c r="D278" i="13"/>
  <c r="D277" i="13"/>
  <c r="D276" i="13"/>
  <c r="D275" i="13"/>
  <c r="D274" i="13"/>
  <c r="D273" i="13"/>
  <c r="D272" i="13"/>
  <c r="D271" i="13"/>
  <c r="D270" i="13"/>
  <c r="D269" i="13"/>
  <c r="D268" i="13"/>
  <c r="D267" i="13"/>
  <c r="D266" i="13"/>
  <c r="D118" i="13"/>
  <c r="D110" i="13"/>
  <c r="D91" i="13"/>
  <c r="D90" i="13"/>
  <c r="D89" i="13"/>
  <c r="D85" i="13"/>
  <c r="D84" i="13"/>
  <c r="D83" i="13"/>
  <c r="D82" i="13"/>
  <c r="D81" i="13"/>
  <c r="D80" i="13"/>
  <c r="D75" i="13"/>
  <c r="D74" i="13"/>
  <c r="D73" i="13"/>
  <c r="D72" i="13"/>
  <c r="D71" i="13"/>
  <c r="D69" i="13"/>
  <c r="D68" i="13"/>
  <c r="D67" i="13"/>
  <c r="D66" i="13"/>
  <c r="D63" i="13"/>
  <c r="D62" i="13"/>
  <c r="D61" i="13"/>
  <c r="D60" i="13"/>
  <c r="D57" i="13"/>
  <c r="D56" i="13"/>
  <c r="D55" i="13"/>
  <c r="D54" i="13"/>
  <c r="D53" i="13"/>
  <c r="D52" i="13"/>
  <c r="D51" i="13"/>
  <c r="D50" i="13"/>
  <c r="D49" i="13"/>
  <c r="D48" i="13"/>
  <c r="D46" i="13"/>
  <c r="D45" i="13"/>
  <c r="D44" i="13"/>
  <c r="D43" i="13"/>
  <c r="D42" i="13"/>
  <c r="D41" i="13"/>
  <c r="D40" i="13"/>
  <c r="D39" i="13"/>
  <c r="D38" i="13"/>
  <c r="D36" i="13"/>
  <c r="D33" i="13"/>
  <c r="D32" i="13"/>
  <c r="D31" i="13"/>
  <c r="D30" i="13"/>
  <c r="D29" i="13"/>
  <c r="D28" i="13"/>
  <c r="D27" i="13"/>
  <c r="D26" i="13"/>
  <c r="D25" i="13"/>
  <c r="D24" i="13"/>
  <c r="D23" i="13"/>
  <c r="D22" i="13"/>
  <c r="D21" i="13"/>
  <c r="D7" i="13"/>
  <c r="D6" i="13"/>
  <c r="D5" i="13"/>
  <c r="L26" i="13"/>
  <c r="L27" i="13"/>
  <c r="L28" i="13"/>
  <c r="L29" i="13"/>
  <c r="L30" i="13"/>
  <c r="L31" i="13"/>
  <c r="L32" i="13"/>
  <c r="L33" i="13"/>
  <c r="L110" i="13"/>
  <c r="L111" i="13"/>
  <c r="L112" i="13"/>
  <c r="L113" i="13"/>
  <c r="L116" i="13"/>
  <c r="L117" i="13"/>
  <c r="L362" i="13"/>
  <c r="L363" i="13"/>
  <c r="L364" i="13"/>
  <c r="L365" i="13"/>
  <c r="L366" i="13"/>
  <c r="L367" i="13"/>
  <c r="L368" i="13"/>
  <c r="L369" i="13"/>
  <c r="L370" i="13"/>
  <c r="L371" i="13"/>
  <c r="L372" i="13"/>
  <c r="L373" i="13"/>
  <c r="L374" i="13"/>
  <c r="L375" i="13"/>
  <c r="L376" i="13"/>
  <c r="L377" i="13"/>
  <c r="L378" i="13"/>
  <c r="L379" i="13"/>
  <c r="L380" i="13"/>
  <c r="L381" i="13"/>
  <c r="L382" i="13"/>
  <c r="L383" i="13"/>
  <c r="L384" i="13"/>
  <c r="L385" i="13"/>
  <c r="L386" i="13"/>
  <c r="L387" i="13"/>
  <c r="L388" i="13"/>
  <c r="L389" i="13"/>
  <c r="L390" i="13"/>
  <c r="L391" i="13"/>
  <c r="L392" i="13"/>
  <c r="L393" i="13"/>
  <c r="L394" i="13"/>
  <c r="L395" i="13"/>
  <c r="L396" i="13"/>
  <c r="L397" i="13"/>
  <c r="L398" i="13"/>
  <c r="L399" i="13"/>
  <c r="L400" i="13"/>
  <c r="L401" i="13"/>
  <c r="L402" i="13"/>
  <c r="L403" i="13"/>
  <c r="L404" i="13"/>
  <c r="L405" i="13"/>
  <c r="L406" i="13"/>
  <c r="L407" i="13"/>
  <c r="L408" i="13"/>
  <c r="L409" i="13"/>
  <c r="L410" i="13"/>
  <c r="L411" i="13"/>
  <c r="L412" i="13"/>
  <c r="L413" i="13"/>
  <c r="L414" i="13"/>
  <c r="L415" i="13"/>
  <c r="L416" i="13"/>
  <c r="L417" i="13"/>
  <c r="L418" i="13"/>
  <c r="L419" i="13"/>
  <c r="L420" i="13"/>
  <c r="L421" i="13"/>
  <c r="L422" i="13"/>
  <c r="L423" i="13"/>
  <c r="L424" i="13"/>
  <c r="L425" i="13"/>
  <c r="L426" i="13"/>
  <c r="L427" i="13"/>
  <c r="L428" i="13"/>
  <c r="L429" i="13"/>
  <c r="L430" i="13"/>
  <c r="L431" i="13"/>
  <c r="L432" i="13"/>
  <c r="L433" i="13"/>
  <c r="L434" i="13"/>
  <c r="L435" i="13"/>
  <c r="L436" i="13"/>
  <c r="L437" i="13"/>
  <c r="L438" i="13"/>
  <c r="L439" i="13"/>
  <c r="L440" i="13"/>
  <c r="L441" i="13"/>
  <c r="L442" i="13"/>
  <c r="L443" i="13"/>
  <c r="L444" i="13"/>
  <c r="L445" i="13"/>
  <c r="L446" i="13"/>
  <c r="L447" i="13"/>
  <c r="L448" i="13"/>
  <c r="L449" i="13"/>
  <c r="L450" i="13"/>
  <c r="L451" i="13"/>
  <c r="L452" i="13"/>
  <c r="L453" i="13"/>
  <c r="L454" i="13"/>
  <c r="L455" i="13"/>
  <c r="L456" i="13"/>
  <c r="L457" i="13"/>
  <c r="L458" i="13"/>
  <c r="L459" i="13"/>
  <c r="L460" i="13"/>
  <c r="L461" i="13"/>
  <c r="L462" i="13"/>
  <c r="L463" i="13"/>
  <c r="L464" i="13"/>
  <c r="L465" i="13"/>
  <c r="L466" i="13"/>
  <c r="L467" i="13"/>
  <c r="L468" i="13"/>
  <c r="L469" i="13"/>
  <c r="L470" i="13"/>
  <c r="L471" i="13"/>
  <c r="L472" i="13"/>
  <c r="L473" i="13"/>
  <c r="L474" i="13"/>
  <c r="L475" i="13"/>
  <c r="L476" i="13"/>
  <c r="L477" i="13"/>
  <c r="L478" i="13"/>
  <c r="L479" i="13"/>
  <c r="L480" i="13"/>
  <c r="L481" i="13"/>
  <c r="L482" i="13"/>
  <c r="L483" i="13"/>
  <c r="L484" i="13"/>
  <c r="L485" i="13"/>
  <c r="L486" i="13"/>
  <c r="L487" i="13"/>
  <c r="L488" i="13"/>
  <c r="L489" i="13"/>
  <c r="L490" i="13"/>
  <c r="L491" i="13"/>
  <c r="L492" i="13"/>
  <c r="L493" i="13"/>
  <c r="L494" i="13"/>
  <c r="L495" i="13"/>
  <c r="L496" i="13"/>
  <c r="L497" i="13"/>
  <c r="L498" i="13"/>
  <c r="L499" i="13"/>
  <c r="L500" i="13"/>
  <c r="L501" i="13"/>
  <c r="L502" i="13"/>
  <c r="L503" i="13"/>
  <c r="L504" i="13"/>
  <c r="L505" i="13"/>
  <c r="L506" i="13"/>
  <c r="L507" i="13"/>
  <c r="L508" i="13"/>
  <c r="L509" i="13"/>
  <c r="L510" i="13"/>
  <c r="L511" i="13"/>
  <c r="L512" i="13"/>
  <c r="L513" i="13"/>
  <c r="L514" i="13"/>
  <c r="L515" i="13"/>
  <c r="L516" i="13"/>
  <c r="L517" i="13"/>
  <c r="L518" i="13"/>
  <c r="L519" i="13"/>
  <c r="L520" i="13"/>
  <c r="L521" i="13"/>
  <c r="L522" i="13"/>
  <c r="L523" i="13"/>
  <c r="L524" i="13"/>
  <c r="L525" i="13"/>
  <c r="L526" i="13"/>
  <c r="L527" i="13"/>
  <c r="L528" i="13"/>
  <c r="L529" i="13"/>
  <c r="L530" i="13"/>
  <c r="L531" i="13"/>
  <c r="L532" i="13"/>
  <c r="L533" i="13"/>
  <c r="L534" i="13"/>
  <c r="L535" i="13"/>
  <c r="L536" i="13"/>
  <c r="L537" i="13"/>
  <c r="L538" i="13"/>
  <c r="L539" i="13"/>
  <c r="L540" i="13"/>
  <c r="L541" i="13"/>
  <c r="L542" i="13"/>
  <c r="L543" i="13"/>
  <c r="L544" i="13"/>
  <c r="L545" i="13"/>
  <c r="L546" i="13"/>
  <c r="L547" i="13"/>
  <c r="L548" i="13"/>
  <c r="L549" i="13"/>
  <c r="L550" i="13"/>
  <c r="L551" i="13"/>
  <c r="L552" i="13"/>
  <c r="L553" i="13"/>
  <c r="L554" i="13"/>
  <c r="L555" i="13"/>
  <c r="L556" i="13"/>
  <c r="L557" i="13"/>
  <c r="L558" i="13"/>
  <c r="L559" i="13"/>
  <c r="L560" i="13"/>
  <c r="L561" i="13"/>
  <c r="L562" i="13"/>
  <c r="L563" i="13"/>
  <c r="L564" i="13"/>
  <c r="L565" i="13"/>
  <c r="L566" i="13"/>
  <c r="L567" i="13"/>
  <c r="L568" i="13"/>
  <c r="L569" i="13"/>
  <c r="L570" i="13"/>
  <c r="L571" i="13"/>
  <c r="L572" i="13"/>
  <c r="L573" i="13"/>
  <c r="L574" i="13"/>
  <c r="L575" i="13"/>
  <c r="L576" i="13"/>
  <c r="L577" i="13"/>
  <c r="L578" i="13"/>
  <c r="L579" i="13"/>
  <c r="L580" i="13"/>
  <c r="L581" i="13"/>
  <c r="L582" i="13"/>
  <c r="L583" i="13"/>
  <c r="L584" i="13"/>
  <c r="L585" i="13"/>
  <c r="L586" i="13"/>
  <c r="L587" i="13"/>
  <c r="L588" i="13"/>
  <c r="L589" i="13"/>
  <c r="L590" i="13"/>
  <c r="L591" i="13"/>
  <c r="L592" i="13"/>
  <c r="L593" i="13"/>
  <c r="L594" i="13"/>
  <c r="L595" i="13"/>
  <c r="L596" i="13"/>
  <c r="L597" i="13"/>
  <c r="L598" i="13"/>
  <c r="L599" i="13"/>
  <c r="L600" i="13"/>
  <c r="L601" i="13"/>
  <c r="L602" i="13"/>
  <c r="L603" i="13"/>
  <c r="L604" i="13"/>
  <c r="L605" i="13"/>
  <c r="L606" i="13"/>
  <c r="L607" i="13"/>
  <c r="L608" i="13"/>
  <c r="L609" i="13"/>
  <c r="L610" i="13"/>
  <c r="L611" i="13"/>
  <c r="L612" i="13"/>
  <c r="L613" i="13"/>
  <c r="L614" i="13"/>
  <c r="L615" i="13"/>
  <c r="L616" i="13"/>
  <c r="L617" i="13"/>
  <c r="L618" i="13"/>
  <c r="L619" i="13"/>
  <c r="L620" i="13"/>
  <c r="L621" i="13"/>
  <c r="L622" i="13"/>
  <c r="L623" i="13"/>
  <c r="L624" i="13"/>
  <c r="L625" i="13"/>
  <c r="L626" i="13"/>
  <c r="L627" i="13"/>
  <c r="L628" i="13"/>
  <c r="L629" i="13"/>
  <c r="L630" i="13"/>
  <c r="L631" i="13"/>
  <c r="L632" i="13"/>
  <c r="L633" i="13"/>
  <c r="L634" i="13"/>
  <c r="L635" i="13"/>
  <c r="L636" i="13"/>
  <c r="L637" i="13"/>
  <c r="L638" i="13"/>
  <c r="L639" i="13"/>
  <c r="L640" i="13"/>
  <c r="L641" i="13"/>
  <c r="L642" i="13"/>
  <c r="L643" i="13"/>
  <c r="L644" i="13"/>
  <c r="L645" i="13"/>
  <c r="L646" i="13"/>
  <c r="L647" i="13"/>
  <c r="L648" i="13"/>
  <c r="L649" i="13"/>
  <c r="L650" i="13"/>
  <c r="L651" i="13"/>
  <c r="L652" i="13"/>
  <c r="L653" i="13"/>
  <c r="L654" i="13"/>
  <c r="L655" i="13"/>
  <c r="L656" i="13"/>
  <c r="L657" i="13"/>
  <c r="L658" i="13"/>
  <c r="L659" i="13"/>
  <c r="L660" i="13"/>
  <c r="L661" i="13"/>
  <c r="L662" i="13"/>
  <c r="L663" i="13"/>
  <c r="L664" i="13"/>
  <c r="L665" i="13"/>
  <c r="L666" i="13"/>
  <c r="L667" i="13"/>
  <c r="L668" i="13"/>
  <c r="L669" i="13"/>
  <c r="L670" i="13"/>
  <c r="L671" i="13"/>
  <c r="L672" i="13"/>
  <c r="L673" i="13"/>
  <c r="L674" i="13"/>
  <c r="L675" i="13"/>
  <c r="L676" i="13"/>
  <c r="L677" i="13"/>
  <c r="L678" i="13"/>
  <c r="L679" i="13"/>
  <c r="L680" i="13"/>
  <c r="L681" i="13"/>
  <c r="L682" i="13"/>
  <c r="L683" i="13"/>
  <c r="L684" i="13"/>
  <c r="L685" i="13"/>
  <c r="L686" i="13"/>
  <c r="L687" i="13"/>
  <c r="L688" i="13"/>
  <c r="L689" i="13"/>
  <c r="L690" i="13"/>
  <c r="L691" i="13"/>
  <c r="L692" i="13"/>
  <c r="L693" i="13"/>
  <c r="L694" i="13"/>
  <c r="L695" i="13"/>
  <c r="L696" i="13"/>
  <c r="L697" i="13"/>
  <c r="L698" i="13"/>
  <c r="L699" i="13"/>
  <c r="L700" i="13"/>
  <c r="L701" i="13"/>
  <c r="L702" i="13"/>
  <c r="L703" i="13"/>
  <c r="L704" i="13"/>
  <c r="L705" i="13"/>
  <c r="L706" i="13"/>
  <c r="L707" i="13"/>
  <c r="L708" i="13"/>
  <c r="L709" i="13"/>
  <c r="L710" i="13"/>
  <c r="L711" i="13"/>
  <c r="L712" i="13"/>
  <c r="L713" i="13"/>
  <c r="L714" i="13"/>
  <c r="L715" i="13"/>
  <c r="L716" i="13"/>
  <c r="L717" i="13"/>
  <c r="L718" i="13"/>
  <c r="L719" i="13"/>
  <c r="L720" i="13"/>
  <c r="L721" i="13"/>
  <c r="L722" i="13"/>
  <c r="L723" i="13"/>
  <c r="L724" i="13"/>
  <c r="L725" i="13"/>
  <c r="L726" i="13"/>
  <c r="L727" i="13"/>
  <c r="L728" i="13"/>
  <c r="L729" i="13"/>
  <c r="L730" i="13"/>
  <c r="L731" i="13"/>
  <c r="L732" i="13"/>
  <c r="L733" i="13"/>
  <c r="L734" i="13"/>
  <c r="L735" i="13"/>
  <c r="L736" i="13"/>
  <c r="L737" i="13"/>
  <c r="L738" i="13"/>
  <c r="L739" i="13"/>
  <c r="L740" i="13"/>
  <c r="L741" i="13"/>
  <c r="L742" i="13"/>
  <c r="L743" i="13"/>
  <c r="L744" i="13"/>
  <c r="L745" i="13"/>
  <c r="L746" i="13"/>
  <c r="L747" i="13"/>
  <c r="L748" i="13"/>
  <c r="L749" i="13"/>
  <c r="L750" i="13"/>
  <c r="L751" i="13"/>
  <c r="L752" i="13"/>
  <c r="L753" i="13"/>
  <c r="L754" i="13"/>
  <c r="L755" i="13"/>
  <c r="L756" i="13"/>
  <c r="L757" i="13"/>
  <c r="L758" i="13"/>
  <c r="L759" i="13"/>
  <c r="L760" i="13"/>
  <c r="L761" i="13"/>
  <c r="L762" i="13"/>
  <c r="L763" i="13"/>
  <c r="L764" i="13"/>
  <c r="L765" i="13"/>
  <c r="L766" i="13"/>
  <c r="L767" i="13"/>
  <c r="L768" i="13"/>
  <c r="L769" i="13"/>
  <c r="L770" i="13"/>
  <c r="L771" i="13"/>
  <c r="L772" i="13"/>
  <c r="L773" i="13"/>
  <c r="L774" i="13"/>
  <c r="L775" i="13"/>
  <c r="L776" i="13"/>
  <c r="L777" i="13"/>
  <c r="L778" i="13"/>
  <c r="L779" i="13"/>
  <c r="L780" i="13"/>
  <c r="L781" i="13"/>
  <c r="L782" i="13"/>
  <c r="L783" i="13"/>
  <c r="L784" i="13"/>
  <c r="L785" i="13"/>
  <c r="L786" i="13"/>
  <c r="L787" i="13"/>
  <c r="L788" i="13"/>
  <c r="L789" i="13"/>
  <c r="L790" i="13"/>
  <c r="L791" i="13"/>
  <c r="L792" i="13"/>
  <c r="L793" i="13"/>
  <c r="L794" i="13"/>
  <c r="L795" i="13"/>
  <c r="L796" i="13"/>
  <c r="L797" i="13"/>
  <c r="L798" i="13"/>
  <c r="L799" i="13"/>
  <c r="L800" i="13"/>
  <c r="L801" i="13"/>
  <c r="L802" i="13"/>
  <c r="L803" i="13"/>
  <c r="L804" i="13"/>
  <c r="L805" i="13"/>
  <c r="L806" i="13"/>
  <c r="L807" i="13"/>
  <c r="L808" i="13"/>
  <c r="L809" i="13"/>
  <c r="L810" i="13"/>
  <c r="L811" i="13"/>
  <c r="L812" i="13"/>
  <c r="L813" i="13"/>
  <c r="L814" i="13"/>
  <c r="L815" i="13"/>
  <c r="L816" i="13"/>
  <c r="L817" i="13"/>
  <c r="L818" i="13"/>
  <c r="L819" i="13"/>
  <c r="L820" i="13"/>
  <c r="L821" i="13"/>
  <c r="L822" i="13"/>
  <c r="L823" i="13"/>
  <c r="L824" i="13"/>
  <c r="L825" i="13"/>
  <c r="L826" i="13"/>
  <c r="L827" i="13"/>
  <c r="L828" i="13"/>
  <c r="L829" i="13"/>
  <c r="L830" i="13"/>
  <c r="L831" i="13"/>
  <c r="L832" i="13"/>
  <c r="L833" i="13"/>
  <c r="L834" i="13"/>
  <c r="L835" i="13"/>
  <c r="L836" i="13"/>
  <c r="L837" i="13"/>
  <c r="L838" i="13"/>
  <c r="L839" i="13"/>
  <c r="L840" i="13"/>
  <c r="L841" i="13"/>
  <c r="L842" i="13"/>
  <c r="L843" i="13"/>
  <c r="L844" i="13"/>
  <c r="L845" i="13"/>
  <c r="L846" i="13"/>
  <c r="L847" i="13"/>
  <c r="L848" i="13"/>
  <c r="L849" i="13"/>
  <c r="L850" i="13"/>
  <c r="L851" i="13"/>
  <c r="L852" i="13"/>
  <c r="L853" i="13"/>
  <c r="L854" i="13"/>
  <c r="L855" i="13"/>
  <c r="L856" i="13"/>
  <c r="L857" i="13"/>
  <c r="L858" i="13"/>
  <c r="L859" i="13"/>
  <c r="L860" i="13"/>
  <c r="L861" i="13"/>
  <c r="L862" i="13"/>
  <c r="L863" i="13"/>
  <c r="L864" i="13"/>
  <c r="L865" i="13"/>
  <c r="L872" i="13"/>
  <c r="L873" i="13"/>
  <c r="L874" i="13"/>
  <c r="L875" i="13"/>
  <c r="L876" i="13"/>
  <c r="L877" i="13"/>
  <c r="L878" i="13"/>
  <c r="L879" i="13"/>
  <c r="AA8" i="13" l="1"/>
  <c r="AD8" i="13" s="1"/>
  <c r="BA8" i="13" s="1"/>
  <c r="AA9" i="13"/>
  <c r="AD9" i="13" s="1"/>
  <c r="BA9" i="13" s="1"/>
  <c r="AA10" i="13"/>
  <c r="AD10" i="13" s="1"/>
  <c r="BA10" i="13" s="1"/>
  <c r="AA11" i="13"/>
  <c r="AD11" i="13" s="1"/>
  <c r="BA11" i="13" s="1"/>
  <c r="AA12" i="13"/>
  <c r="AD12" i="13" s="1"/>
  <c r="BA12" i="13" s="1"/>
  <c r="AA13" i="13"/>
  <c r="AD13" i="13" s="1"/>
  <c r="BA13" i="13" s="1"/>
  <c r="AA14" i="13"/>
  <c r="AA15" i="13"/>
  <c r="AD15" i="13" s="1"/>
  <c r="BA15" i="13" s="1"/>
  <c r="AA16" i="13"/>
  <c r="AD16" i="13" s="1"/>
  <c r="BA16" i="13" s="1"/>
  <c r="AA17" i="13"/>
  <c r="AD17" i="13" s="1"/>
  <c r="BA17" i="13" s="1"/>
  <c r="AA18" i="13"/>
  <c r="AD18" i="13" s="1"/>
  <c r="BA18" i="13" s="1"/>
  <c r="AA19" i="13"/>
  <c r="AD19" i="13" s="1"/>
  <c r="BA19" i="13" s="1"/>
  <c r="AA20" i="13"/>
  <c r="AD20" i="13" s="1"/>
  <c r="BA20" i="13" s="1"/>
  <c r="S43" i="13"/>
  <c r="W43" i="13" s="1"/>
  <c r="R43" i="13"/>
  <c r="R44" i="13"/>
  <c r="S44" i="13"/>
  <c r="W44" i="13" s="1"/>
  <c r="R41" i="13"/>
  <c r="S41" i="13"/>
  <c r="W41" i="13" s="1"/>
  <c r="R40" i="13"/>
  <c r="S40" i="13"/>
  <c r="W40" i="13" s="1"/>
  <c r="S118" i="13"/>
  <c r="W118" i="13" s="1"/>
  <c r="R118" i="13"/>
  <c r="S278" i="13"/>
  <c r="W278" i="13" s="1"/>
  <c r="R278" i="13"/>
  <c r="S286" i="13"/>
  <c r="W286" i="13" s="1"/>
  <c r="R286" i="13"/>
  <c r="S294" i="13"/>
  <c r="W294" i="13" s="1"/>
  <c r="R294" i="13"/>
  <c r="S306" i="13"/>
  <c r="W306" i="13" s="1"/>
  <c r="R306" i="13"/>
  <c r="R269" i="13"/>
  <c r="S269" i="13"/>
  <c r="W269" i="13" s="1"/>
  <c r="S273" i="13"/>
  <c r="W273" i="13" s="1"/>
  <c r="R273" i="13"/>
  <c r="R277" i="13"/>
  <c r="S277" i="13"/>
  <c r="W277" i="13" s="1"/>
  <c r="S281" i="13"/>
  <c r="W281" i="13" s="1"/>
  <c r="R281" i="13"/>
  <c r="S285" i="13"/>
  <c r="W285" i="13" s="1"/>
  <c r="R285" i="13"/>
  <c r="S289" i="13"/>
  <c r="W289" i="13" s="1"/>
  <c r="R289" i="13"/>
  <c r="S293" i="13"/>
  <c r="W293" i="13" s="1"/>
  <c r="R293" i="13"/>
  <c r="S297" i="13"/>
  <c r="W297" i="13" s="1"/>
  <c r="R297" i="13"/>
  <c r="S301" i="13"/>
  <c r="W301" i="13" s="1"/>
  <c r="R301" i="13"/>
  <c r="S305" i="13"/>
  <c r="W305" i="13" s="1"/>
  <c r="R305" i="13"/>
  <c r="S309" i="13"/>
  <c r="W309" i="13" s="1"/>
  <c r="R309" i="13"/>
  <c r="S313" i="13"/>
  <c r="W313" i="13" s="1"/>
  <c r="R313" i="13"/>
  <c r="R317" i="13"/>
  <c r="S317" i="13"/>
  <c r="W317" i="13" s="1"/>
  <c r="S319" i="13"/>
  <c r="W319" i="13" s="1"/>
  <c r="R319" i="13"/>
  <c r="S323" i="13"/>
  <c r="W323" i="13" s="1"/>
  <c r="R323" i="13"/>
  <c r="S327" i="13"/>
  <c r="W327" i="13" s="1"/>
  <c r="R327" i="13"/>
  <c r="S270" i="13"/>
  <c r="W270" i="13" s="1"/>
  <c r="R270" i="13"/>
  <c r="S274" i="13"/>
  <c r="W274" i="13" s="1"/>
  <c r="R274" i="13"/>
  <c r="S290" i="13"/>
  <c r="W290" i="13" s="1"/>
  <c r="R290" i="13"/>
  <c r="S298" i="13"/>
  <c r="W298" i="13" s="1"/>
  <c r="R298" i="13"/>
  <c r="S310" i="13"/>
  <c r="W310" i="13" s="1"/>
  <c r="R310" i="13"/>
  <c r="S320" i="13"/>
  <c r="W320" i="13" s="1"/>
  <c r="R320" i="13"/>
  <c r="S324" i="13"/>
  <c r="W324" i="13" s="1"/>
  <c r="R324" i="13"/>
  <c r="S267" i="13"/>
  <c r="W267" i="13" s="1"/>
  <c r="R267" i="13"/>
  <c r="R271" i="13"/>
  <c r="S271" i="13"/>
  <c r="W271" i="13" s="1"/>
  <c r="S275" i="13"/>
  <c r="W275" i="13" s="1"/>
  <c r="R275" i="13"/>
  <c r="S279" i="13"/>
  <c r="W279" i="13" s="1"/>
  <c r="R279" i="13"/>
  <c r="R283" i="13"/>
  <c r="S283" i="13"/>
  <c r="W283" i="13" s="1"/>
  <c r="R287" i="13"/>
  <c r="S287" i="13"/>
  <c r="W287" i="13" s="1"/>
  <c r="S291" i="13"/>
  <c r="W291" i="13" s="1"/>
  <c r="R291" i="13"/>
  <c r="S295" i="13"/>
  <c r="W295" i="13" s="1"/>
  <c r="R295" i="13"/>
  <c r="R299" i="13"/>
  <c r="S299" i="13"/>
  <c r="W299" i="13" s="1"/>
  <c r="R303" i="13"/>
  <c r="S303" i="13"/>
  <c r="W303" i="13" s="1"/>
  <c r="R307" i="13"/>
  <c r="S307" i="13"/>
  <c r="W307" i="13" s="1"/>
  <c r="S311" i="13"/>
  <c r="W311" i="13" s="1"/>
  <c r="R311" i="13"/>
  <c r="S315" i="13"/>
  <c r="W315" i="13" s="1"/>
  <c r="R315" i="13"/>
  <c r="S321" i="13"/>
  <c r="W321" i="13" s="1"/>
  <c r="R321" i="13"/>
  <c r="S325" i="13"/>
  <c r="W325" i="13" s="1"/>
  <c r="R325" i="13"/>
  <c r="S329" i="13"/>
  <c r="W329" i="13" s="1"/>
  <c r="R329" i="13"/>
  <c r="S266" i="13"/>
  <c r="W266" i="13" s="1"/>
  <c r="R266" i="13"/>
  <c r="S282" i="13"/>
  <c r="W282" i="13" s="1"/>
  <c r="R282" i="13"/>
  <c r="S302" i="13"/>
  <c r="W302" i="13" s="1"/>
  <c r="R302" i="13"/>
  <c r="S314" i="13"/>
  <c r="W314" i="13" s="1"/>
  <c r="R314" i="13"/>
  <c r="S328" i="13"/>
  <c r="W328" i="13" s="1"/>
  <c r="R328" i="13"/>
  <c r="S268" i="13"/>
  <c r="W268" i="13" s="1"/>
  <c r="R268" i="13"/>
  <c r="S272" i="13"/>
  <c r="W272" i="13" s="1"/>
  <c r="R272" i="13"/>
  <c r="S276" i="13"/>
  <c r="W276" i="13" s="1"/>
  <c r="R276" i="13"/>
  <c r="S280" i="13"/>
  <c r="W280" i="13" s="1"/>
  <c r="R280" i="13"/>
  <c r="S284" i="13"/>
  <c r="W284" i="13" s="1"/>
  <c r="R284" i="13"/>
  <c r="S288" i="13"/>
  <c r="W288" i="13" s="1"/>
  <c r="R288" i="13"/>
  <c r="S292" i="13"/>
  <c r="W292" i="13" s="1"/>
  <c r="R292" i="13"/>
  <c r="S296" i="13"/>
  <c r="W296" i="13" s="1"/>
  <c r="R296" i="13"/>
  <c r="S300" i="13"/>
  <c r="W300" i="13" s="1"/>
  <c r="R300" i="13"/>
  <c r="S304" i="13"/>
  <c r="W304" i="13" s="1"/>
  <c r="R304" i="13"/>
  <c r="S308" i="13"/>
  <c r="W308" i="13" s="1"/>
  <c r="R308" i="13"/>
  <c r="S312" i="13"/>
  <c r="W312" i="13" s="1"/>
  <c r="R312" i="13"/>
  <c r="S316" i="13"/>
  <c r="W316" i="13" s="1"/>
  <c r="R316" i="13"/>
  <c r="S318" i="13"/>
  <c r="W318" i="13" s="1"/>
  <c r="R318" i="13"/>
  <c r="S322" i="13"/>
  <c r="W322" i="13" s="1"/>
  <c r="R322" i="13"/>
  <c r="S326" i="13"/>
  <c r="W326" i="13" s="1"/>
  <c r="R326" i="13"/>
  <c r="S330" i="13"/>
  <c r="W330" i="13" s="1"/>
  <c r="R330" i="13"/>
  <c r="AC348" i="13"/>
  <c r="AE348" i="13" s="1"/>
  <c r="AO348" i="13" s="1"/>
  <c r="K348" i="13"/>
  <c r="AC346" i="13"/>
  <c r="AE346" i="13" s="1"/>
  <c r="AL346" i="13" s="1"/>
  <c r="K346" i="13"/>
  <c r="AC344" i="13"/>
  <c r="AE344" i="13" s="1"/>
  <c r="AL344" i="13" s="1"/>
  <c r="K344" i="13"/>
  <c r="AC342" i="13"/>
  <c r="AE342" i="13" s="1"/>
  <c r="AL342" i="13" s="1"/>
  <c r="K342" i="13"/>
  <c r="AC340" i="13"/>
  <c r="AE340" i="13" s="1"/>
  <c r="AO340" i="13" s="1"/>
  <c r="K340" i="13"/>
  <c r="AC231" i="13"/>
  <c r="AE231" i="13" s="1"/>
  <c r="AK231" i="13" s="1"/>
  <c r="AM231" i="13" s="1"/>
  <c r="K231" i="13"/>
  <c r="K229" i="13"/>
  <c r="AC229" i="13"/>
  <c r="AE229" i="13" s="1"/>
  <c r="AL229" i="13" s="1"/>
  <c r="AC227" i="13"/>
  <c r="AE227" i="13" s="1"/>
  <c r="AO227" i="13" s="1"/>
  <c r="K227" i="13"/>
  <c r="AC225" i="13"/>
  <c r="AE225" i="13" s="1"/>
  <c r="AL225" i="13" s="1"/>
  <c r="K225" i="13"/>
  <c r="K223" i="13"/>
  <c r="M223" i="13" s="1"/>
  <c r="AA223" i="13"/>
  <c r="K221" i="13"/>
  <c r="M221" i="13" s="1"/>
  <c r="AA221" i="13"/>
  <c r="K219" i="13"/>
  <c r="M219" i="13" s="1"/>
  <c r="AA219" i="13"/>
  <c r="AC217" i="13"/>
  <c r="AE217" i="13" s="1"/>
  <c r="AO217" i="13" s="1"/>
  <c r="K217" i="13"/>
  <c r="AC215" i="13"/>
  <c r="AE215" i="13" s="1"/>
  <c r="AL215" i="13" s="1"/>
  <c r="K215" i="13"/>
  <c r="K213" i="13"/>
  <c r="AC213" i="13"/>
  <c r="AE213" i="13" s="1"/>
  <c r="AK213" i="13" s="1"/>
  <c r="AM213" i="13" s="1"/>
  <c r="AC211" i="13"/>
  <c r="AE211" i="13" s="1"/>
  <c r="AL211" i="13" s="1"/>
  <c r="K211" i="13"/>
  <c r="AC209" i="13"/>
  <c r="AE209" i="13" s="1"/>
  <c r="AL209" i="13" s="1"/>
  <c r="K209" i="13"/>
  <c r="AC207" i="13"/>
  <c r="AE207" i="13" s="1"/>
  <c r="AL207" i="13" s="1"/>
  <c r="K207" i="13"/>
  <c r="K205" i="13"/>
  <c r="AC205" i="13"/>
  <c r="AE205" i="13" s="1"/>
  <c r="AL205" i="13" s="1"/>
  <c r="AC203" i="13"/>
  <c r="AE203" i="13" s="1"/>
  <c r="AL203" i="13" s="1"/>
  <c r="K203" i="13"/>
  <c r="AC240" i="13"/>
  <c r="AE240" i="13" s="1"/>
  <c r="AK240" i="13" s="1"/>
  <c r="AM240" i="13" s="1"/>
  <c r="K240" i="13"/>
  <c r="AC238" i="13"/>
  <c r="AE238" i="13" s="1"/>
  <c r="AO238" i="13" s="1"/>
  <c r="K238" i="13"/>
  <c r="AC235" i="13"/>
  <c r="AE235" i="13" s="1"/>
  <c r="AL235" i="13" s="1"/>
  <c r="K235" i="13"/>
  <c r="K233" i="13"/>
  <c r="AC233" i="13"/>
  <c r="AE233" i="13" s="1"/>
  <c r="AC347" i="13"/>
  <c r="AE347" i="13" s="1"/>
  <c r="AL347" i="13" s="1"/>
  <c r="K347" i="13"/>
  <c r="K345" i="13"/>
  <c r="AC345" i="13"/>
  <c r="AE345" i="13" s="1"/>
  <c r="AL345" i="13" s="1"/>
  <c r="K343" i="13"/>
  <c r="AC343" i="13"/>
  <c r="AE343" i="13" s="1"/>
  <c r="AK343" i="13" s="1"/>
  <c r="AM343" i="13" s="1"/>
  <c r="K341" i="13"/>
  <c r="AC341" i="13"/>
  <c r="AE341" i="13" s="1"/>
  <c r="AK341" i="13" s="1"/>
  <c r="AM341" i="13" s="1"/>
  <c r="K339" i="13"/>
  <c r="AC339" i="13"/>
  <c r="AE339" i="13" s="1"/>
  <c r="AO339" i="13" s="1"/>
  <c r="AC230" i="13"/>
  <c r="AE230" i="13" s="1"/>
  <c r="AO230" i="13" s="1"/>
  <c r="K230" i="13"/>
  <c r="AC228" i="13"/>
  <c r="AE228" i="13" s="1"/>
  <c r="AO228" i="13" s="1"/>
  <c r="K228" i="13"/>
  <c r="K226" i="13"/>
  <c r="AC226" i="13"/>
  <c r="AE226" i="13" s="1"/>
  <c r="AO226" i="13" s="1"/>
  <c r="K224" i="13"/>
  <c r="AC224" i="13"/>
  <c r="AE224" i="13" s="1"/>
  <c r="AO224" i="13" s="1"/>
  <c r="K222" i="13"/>
  <c r="M222" i="13" s="1"/>
  <c r="AA222" i="13"/>
  <c r="K220" i="13"/>
  <c r="M220" i="13" s="1"/>
  <c r="AA220" i="13"/>
  <c r="K218" i="13"/>
  <c r="AC218" i="13"/>
  <c r="AE218" i="13" s="1"/>
  <c r="AK218" i="13" s="1"/>
  <c r="AM218" i="13" s="1"/>
  <c r="K216" i="13"/>
  <c r="AC216" i="13"/>
  <c r="AE216" i="13" s="1"/>
  <c r="AK216" i="13" s="1"/>
  <c r="AM216" i="13" s="1"/>
  <c r="AC214" i="13"/>
  <c r="AE214" i="13" s="1"/>
  <c r="AK214" i="13" s="1"/>
  <c r="AM214" i="13" s="1"/>
  <c r="K214" i="13"/>
  <c r="AC212" i="13"/>
  <c r="AE212" i="13" s="1"/>
  <c r="AO212" i="13" s="1"/>
  <c r="K212" i="13"/>
  <c r="K210" i="13"/>
  <c r="AC210" i="13"/>
  <c r="AE210" i="13" s="1"/>
  <c r="AK210" i="13" s="1"/>
  <c r="AM210" i="13" s="1"/>
  <c r="K208" i="13"/>
  <c r="AC208" i="13"/>
  <c r="AE208" i="13" s="1"/>
  <c r="AK208" i="13" s="1"/>
  <c r="AM208" i="13" s="1"/>
  <c r="K206" i="13"/>
  <c r="AC206" i="13"/>
  <c r="AE206" i="13" s="1"/>
  <c r="AK206" i="13" s="1"/>
  <c r="AM206" i="13" s="1"/>
  <c r="AC204" i="13"/>
  <c r="AE204" i="13" s="1"/>
  <c r="AL204" i="13" s="1"/>
  <c r="K204" i="13"/>
  <c r="K241" i="13"/>
  <c r="AC241" i="13"/>
  <c r="AE241" i="13" s="1"/>
  <c r="K239" i="13"/>
  <c r="AC239" i="13"/>
  <c r="AE239" i="13" s="1"/>
  <c r="AK239" i="13" s="1"/>
  <c r="AM239" i="13" s="1"/>
  <c r="K237" i="13"/>
  <c r="AC237" i="13"/>
  <c r="AE237" i="13" s="1"/>
  <c r="AO237" i="13" s="1"/>
  <c r="AC234" i="13"/>
  <c r="AE234" i="13" s="1"/>
  <c r="AL234" i="13" s="1"/>
  <c r="K234" i="13"/>
  <c r="AC232" i="13"/>
  <c r="AE232" i="13" s="1"/>
  <c r="AO232" i="13" s="1"/>
  <c r="K232" i="13"/>
  <c r="AL236" i="13"/>
  <c r="AK236" i="13"/>
  <c r="AM236" i="13" s="1"/>
  <c r="AO346" i="13"/>
  <c r="W210" i="13"/>
  <c r="BA244" i="13"/>
  <c r="BA332" i="13"/>
  <c r="BA333" i="13"/>
  <c r="Q236" i="13"/>
  <c r="W236" i="13"/>
  <c r="W238" i="13"/>
  <c r="W234" i="13"/>
  <c r="AY236" i="13"/>
  <c r="BB236" i="13" s="1"/>
  <c r="AX236" i="13"/>
  <c r="W240" i="13"/>
  <c r="W232" i="13"/>
  <c r="BA265" i="13"/>
  <c r="BA870" i="13"/>
  <c r="BA331" i="13"/>
  <c r="BA246" i="13"/>
  <c r="BA248" i="13"/>
  <c r="AN867" i="13"/>
  <c r="AN868" i="13"/>
  <c r="BA252" i="13"/>
  <c r="R10" i="13"/>
  <c r="AN11" i="13"/>
  <c r="AN331" i="13"/>
  <c r="R242" i="13"/>
  <c r="R249" i="13"/>
  <c r="AN250" i="13"/>
  <c r="S332" i="13"/>
  <c r="W332" i="13" s="1"/>
  <c r="R14" i="13"/>
  <c r="AN15" i="13"/>
  <c r="AN248" i="13"/>
  <c r="R871" i="13"/>
  <c r="AN871" i="13"/>
  <c r="R16" i="13"/>
  <c r="AN17" i="13"/>
  <c r="AN243" i="13"/>
  <c r="AN244" i="13"/>
  <c r="S251" i="13"/>
  <c r="W251" i="13" s="1"/>
  <c r="AN252" i="13"/>
  <c r="AN333" i="13"/>
  <c r="R8" i="13"/>
  <c r="R20" i="13"/>
  <c r="AN20" i="13"/>
  <c r="S331" i="13"/>
  <c r="S333" i="13"/>
  <c r="AN334" i="13"/>
  <c r="AN332" i="13"/>
  <c r="W334" i="13"/>
  <c r="AD334" i="13"/>
  <c r="S243" i="13"/>
  <c r="W243" i="13" s="1"/>
  <c r="AN246" i="13"/>
  <c r="AD249" i="13"/>
  <c r="BA249" i="13" s="1"/>
  <c r="BA242" i="13"/>
  <c r="R245" i="13"/>
  <c r="AN245" i="13"/>
  <c r="S247" i="13"/>
  <c r="W247" i="13" s="1"/>
  <c r="R265" i="13"/>
  <c r="AN13" i="13"/>
  <c r="R18" i="13"/>
  <c r="AN18" i="13"/>
  <c r="AN19" i="13"/>
  <c r="AN242" i="13"/>
  <c r="BA243" i="13"/>
  <c r="AD245" i="13"/>
  <c r="BA245" i="13" s="1"/>
  <c r="AD250" i="13"/>
  <c r="BA250" i="13" s="1"/>
  <c r="AN265" i="13"/>
  <c r="W242" i="13"/>
  <c r="S244" i="13"/>
  <c r="R244" i="13"/>
  <c r="W245" i="13"/>
  <c r="W249" i="13"/>
  <c r="AN251" i="13"/>
  <c r="S246" i="13"/>
  <c r="R246" i="13"/>
  <c r="S250" i="13"/>
  <c r="R250" i="13"/>
  <c r="S248" i="13"/>
  <c r="R248" i="13"/>
  <c r="S252" i="13"/>
  <c r="R252" i="13"/>
  <c r="AN247" i="13"/>
  <c r="AD247" i="13"/>
  <c r="AN249" i="13"/>
  <c r="AD251" i="13"/>
  <c r="S12" i="13"/>
  <c r="W12" i="13" s="1"/>
  <c r="BA866" i="13"/>
  <c r="BA868" i="13"/>
  <c r="AD14" i="13"/>
  <c r="BA14" i="13" s="1"/>
  <c r="BA869" i="13"/>
  <c r="AN9" i="13"/>
  <c r="AN12" i="13"/>
  <c r="S15" i="13"/>
  <c r="R15" i="13"/>
  <c r="S9" i="13"/>
  <c r="R9" i="13"/>
  <c r="S17" i="13"/>
  <c r="R17" i="13"/>
  <c r="W19" i="13"/>
  <c r="AN10" i="13"/>
  <c r="S13" i="13"/>
  <c r="R13" i="13"/>
  <c r="AN14" i="13"/>
  <c r="AN8" i="13"/>
  <c r="S11" i="13"/>
  <c r="R11" i="13"/>
  <c r="AN16" i="13"/>
  <c r="R19" i="13"/>
  <c r="S866" i="13"/>
  <c r="W866" i="13" s="1"/>
  <c r="AN866" i="13"/>
  <c r="R868" i="13"/>
  <c r="S867" i="13"/>
  <c r="W867" i="13" s="1"/>
  <c r="AN869" i="13"/>
  <c r="S870" i="13"/>
  <c r="W870" i="13" s="1"/>
  <c r="AN870" i="13"/>
  <c r="W868" i="13"/>
  <c r="W869" i="13"/>
  <c r="AD867" i="13"/>
  <c r="BA867" i="13" s="1"/>
  <c r="AD871" i="13"/>
  <c r="BA871" i="13" s="1"/>
  <c r="R869" i="13"/>
  <c r="AK227" i="13" l="1"/>
  <c r="AM227" i="13" s="1"/>
  <c r="AK228" i="13"/>
  <c r="AM228" i="13" s="1"/>
  <c r="L234" i="13"/>
  <c r="M234" i="13" s="1"/>
  <c r="L204" i="13"/>
  <c r="M204" i="13" s="1"/>
  <c r="L212" i="13"/>
  <c r="M212" i="13" s="1"/>
  <c r="L230" i="13"/>
  <c r="M230" i="13" s="1"/>
  <c r="L205" i="13"/>
  <c r="M205" i="13" s="1"/>
  <c r="L213" i="13"/>
  <c r="M213" i="13" s="1"/>
  <c r="L227" i="13"/>
  <c r="M227" i="13" s="1"/>
  <c r="L231" i="13"/>
  <c r="M231" i="13" s="1"/>
  <c r="L342" i="13"/>
  <c r="M342" i="13" s="1"/>
  <c r="L346" i="13"/>
  <c r="M346" i="13" s="1"/>
  <c r="L239" i="13"/>
  <c r="M239" i="13" s="1"/>
  <c r="L208" i="13"/>
  <c r="M208" i="13" s="1"/>
  <c r="L216" i="13"/>
  <c r="M216" i="13" s="1"/>
  <c r="L226" i="13"/>
  <c r="M226" i="13" s="1"/>
  <c r="L341" i="13"/>
  <c r="M341" i="13" s="1"/>
  <c r="L345" i="13"/>
  <c r="M345" i="13" s="1"/>
  <c r="L238" i="13"/>
  <c r="M238" i="13" s="1"/>
  <c r="L203" i="13"/>
  <c r="M203" i="13" s="1"/>
  <c r="L207" i="13"/>
  <c r="M207" i="13" s="1"/>
  <c r="L211" i="13"/>
  <c r="M211" i="13" s="1"/>
  <c r="L215" i="13"/>
  <c r="M215" i="13" s="1"/>
  <c r="L232" i="13"/>
  <c r="M232" i="13" s="1"/>
  <c r="L214" i="13"/>
  <c r="M214" i="13" s="1"/>
  <c r="L228" i="13"/>
  <c r="M228" i="13" s="1"/>
  <c r="L347" i="13"/>
  <c r="M347" i="13" s="1"/>
  <c r="L233" i="13"/>
  <c r="M233" i="13" s="1"/>
  <c r="L225" i="13"/>
  <c r="M225" i="13" s="1"/>
  <c r="L340" i="13"/>
  <c r="M340" i="13" s="1"/>
  <c r="Q340" i="13" s="1"/>
  <c r="L344" i="13"/>
  <c r="M344" i="13" s="1"/>
  <c r="L348" i="13"/>
  <c r="M348" i="13" s="1"/>
  <c r="L237" i="13"/>
  <c r="M237" i="13" s="1"/>
  <c r="L241" i="13"/>
  <c r="M241" i="13" s="1"/>
  <c r="L206" i="13"/>
  <c r="M206" i="13" s="1"/>
  <c r="L210" i="13"/>
  <c r="M210" i="13" s="1"/>
  <c r="L218" i="13"/>
  <c r="M218" i="13" s="1"/>
  <c r="L224" i="13"/>
  <c r="M224" i="13" s="1"/>
  <c r="L339" i="13"/>
  <c r="M339" i="13" s="1"/>
  <c r="Q339" i="13" s="1"/>
  <c r="L343" i="13"/>
  <c r="M343" i="13" s="1"/>
  <c r="L235" i="13"/>
  <c r="M235" i="13" s="1"/>
  <c r="L240" i="13"/>
  <c r="M240" i="13" s="1"/>
  <c r="L209" i="13"/>
  <c r="M209" i="13" s="1"/>
  <c r="L217" i="13"/>
  <c r="M217" i="13" s="1"/>
  <c r="L229" i="13"/>
  <c r="M229" i="13" s="1"/>
  <c r="AL231" i="13"/>
  <c r="AO231" i="13"/>
  <c r="AO239" i="13"/>
  <c r="AO214" i="13"/>
  <c r="AL227" i="13"/>
  <c r="AK342" i="13"/>
  <c r="AM342" i="13" s="1"/>
  <c r="AO347" i="13"/>
  <c r="AK347" i="13"/>
  <c r="AM347" i="13" s="1"/>
  <c r="AL217" i="13"/>
  <c r="AO240" i="13"/>
  <c r="AK235" i="13"/>
  <c r="AM235" i="13" s="1"/>
  <c r="AK226" i="13"/>
  <c r="AM226" i="13" s="1"/>
  <c r="AO208" i="13"/>
  <c r="AL239" i="13"/>
  <c r="AO216" i="13"/>
  <c r="AO341" i="13"/>
  <c r="AO342" i="13"/>
  <c r="AK345" i="13"/>
  <c r="AM345" i="13" s="1"/>
  <c r="AK217" i="13"/>
  <c r="AM217" i="13" s="1"/>
  <c r="AL240" i="13"/>
  <c r="AK209" i="13"/>
  <c r="AM209" i="13" s="1"/>
  <c r="AO345" i="13"/>
  <c r="AK346" i="13"/>
  <c r="AM346" i="13" s="1"/>
  <c r="AL341" i="13"/>
  <c r="AL226" i="13"/>
  <c r="AL208" i="13"/>
  <c r="AO209" i="13"/>
  <c r="AL210" i="13"/>
  <c r="AO235" i="13"/>
  <c r="AL216" i="13"/>
  <c r="AK204" i="13"/>
  <c r="AM204" i="13" s="1"/>
  <c r="AK225" i="13"/>
  <c r="AM225" i="13" s="1"/>
  <c r="AL213" i="13"/>
  <c r="AL340" i="13"/>
  <c r="AK344" i="13"/>
  <c r="AM344" i="13" s="1"/>
  <c r="AL348" i="13"/>
  <c r="AO204" i="13"/>
  <c r="AO225" i="13"/>
  <c r="AK205" i="13"/>
  <c r="AM205" i="13" s="1"/>
  <c r="AO344" i="13"/>
  <c r="AK230" i="13"/>
  <c r="AM230" i="13" s="1"/>
  <c r="AL230" i="13"/>
  <c r="AO213" i="13"/>
  <c r="AO205" i="13"/>
  <c r="AK340" i="13"/>
  <c r="AM340" i="13" s="1"/>
  <c r="AK348" i="13"/>
  <c r="AM348" i="13" s="1"/>
  <c r="AO234" i="13"/>
  <c r="AK234" i="13"/>
  <c r="AM234" i="13" s="1"/>
  <c r="AL238" i="13"/>
  <c r="AK207" i="13"/>
  <c r="AM207" i="13" s="1"/>
  <c r="AK215" i="13"/>
  <c r="AM215" i="13" s="1"/>
  <c r="AL218" i="13"/>
  <c r="AL343" i="13"/>
  <c r="AL214" i="13"/>
  <c r="AK232" i="13"/>
  <c r="AM232" i="13" s="1"/>
  <c r="AO206" i="13"/>
  <c r="AK229" i="13"/>
  <c r="AM229" i="13" s="1"/>
  <c r="AL228" i="13"/>
  <c r="AL339" i="13"/>
  <c r="AK203" i="13"/>
  <c r="AM203" i="13" s="1"/>
  <c r="AO207" i="13"/>
  <c r="AL206" i="13"/>
  <c r="AO215" i="13"/>
  <c r="AO229" i="13"/>
  <c r="AK224" i="13"/>
  <c r="AM224" i="13" s="1"/>
  <c r="AO211" i="13"/>
  <c r="AL224" i="13"/>
  <c r="AO210" i="13"/>
  <c r="AK238" i="13"/>
  <c r="AM238" i="13" s="1"/>
  <c r="AO203" i="13"/>
  <c r="AK339" i="13"/>
  <c r="AM339" i="13" s="1"/>
  <c r="AK211" i="13"/>
  <c r="AM211" i="13" s="1"/>
  <c r="AO218" i="13"/>
  <c r="AO343" i="13"/>
  <c r="AL232" i="13"/>
  <c r="AV239" i="13"/>
  <c r="AV208" i="13"/>
  <c r="AV216" i="13"/>
  <c r="AV220" i="13"/>
  <c r="AV222" i="13"/>
  <c r="AV226" i="13"/>
  <c r="AV341" i="13"/>
  <c r="AV345" i="13"/>
  <c r="AV205" i="13"/>
  <c r="AV213" i="13"/>
  <c r="AD221" i="13"/>
  <c r="BA221" i="13" s="1"/>
  <c r="AC221" i="13"/>
  <c r="AV223" i="13"/>
  <c r="AV227" i="13"/>
  <c r="AV231" i="13"/>
  <c r="AV342" i="13"/>
  <c r="AV346" i="13"/>
  <c r="AC333" i="13"/>
  <c r="AE333" i="13" s="1"/>
  <c r="AL333" i="13" s="1"/>
  <c r="K333" i="13"/>
  <c r="AC331" i="13"/>
  <c r="AE331" i="13" s="1"/>
  <c r="AL331" i="13" s="1"/>
  <c r="K331" i="13"/>
  <c r="AC265" i="13"/>
  <c r="AE265" i="13" s="1"/>
  <c r="AK265" i="13" s="1"/>
  <c r="AM265" i="13" s="1"/>
  <c r="K265" i="13"/>
  <c r="AC251" i="13"/>
  <c r="AE251" i="13" s="1"/>
  <c r="K251" i="13"/>
  <c r="AC249" i="13"/>
  <c r="AE249" i="13" s="1"/>
  <c r="AL249" i="13" s="1"/>
  <c r="K249" i="13"/>
  <c r="K247" i="13"/>
  <c r="AC247" i="13"/>
  <c r="AE247" i="13" s="1"/>
  <c r="K245" i="13"/>
  <c r="AC245" i="13"/>
  <c r="AE245" i="13" s="1"/>
  <c r="AC243" i="13"/>
  <c r="AE243" i="13" s="1"/>
  <c r="AL243" i="13" s="1"/>
  <c r="K243" i="13"/>
  <c r="AC20" i="13"/>
  <c r="AE20" i="13" s="1"/>
  <c r="K20" i="13"/>
  <c r="K18" i="13"/>
  <c r="AC18" i="13"/>
  <c r="AE18" i="13" s="1"/>
  <c r="AC16" i="13"/>
  <c r="AE16" i="13" s="1"/>
  <c r="K16" i="13"/>
  <c r="K14" i="13"/>
  <c r="AC14" i="13"/>
  <c r="AE14" i="13" s="1"/>
  <c r="K12" i="13"/>
  <c r="AC12" i="13"/>
  <c r="AE12" i="13" s="1"/>
  <c r="AO12" i="13" s="1"/>
  <c r="AC10" i="13"/>
  <c r="AE10" i="13" s="1"/>
  <c r="AK10" i="13" s="1"/>
  <c r="AM10" i="13" s="1"/>
  <c r="K10" i="13"/>
  <c r="K8" i="13"/>
  <c r="AC8" i="13"/>
  <c r="AE8" i="13" s="1"/>
  <c r="AO8" i="13" s="1"/>
  <c r="AC870" i="13"/>
  <c r="AE870" i="13" s="1"/>
  <c r="AK870" i="13" s="1"/>
  <c r="AM870" i="13" s="1"/>
  <c r="K870" i="13"/>
  <c r="M870" i="13" s="1"/>
  <c r="AC868" i="13"/>
  <c r="AE868" i="13" s="1"/>
  <c r="AL868" i="13" s="1"/>
  <c r="K868" i="13"/>
  <c r="M868" i="13" s="1"/>
  <c r="AV232" i="13"/>
  <c r="AV214" i="13"/>
  <c r="AV228" i="13"/>
  <c r="AV347" i="13"/>
  <c r="K866" i="13"/>
  <c r="M866" i="13" s="1"/>
  <c r="AC866" i="13"/>
  <c r="AE866" i="13" s="1"/>
  <c r="AK866" i="13" s="1"/>
  <c r="AM866" i="13" s="1"/>
  <c r="AV238" i="13"/>
  <c r="AV203" i="13"/>
  <c r="AV207" i="13"/>
  <c r="AV211" i="13"/>
  <c r="AV215" i="13"/>
  <c r="AD219" i="13"/>
  <c r="BA219" i="13" s="1"/>
  <c r="AC219" i="13"/>
  <c r="AV237" i="13"/>
  <c r="AV241" i="13"/>
  <c r="AV206" i="13"/>
  <c r="AV210" i="13"/>
  <c r="AV218" i="13"/>
  <c r="AD222" i="13"/>
  <c r="BA222" i="13" s="1"/>
  <c r="AC222" i="13"/>
  <c r="AV224" i="13"/>
  <c r="AV339" i="13"/>
  <c r="AV343" i="13"/>
  <c r="AV233" i="13"/>
  <c r="AV219" i="13"/>
  <c r="AV221" i="13"/>
  <c r="AV225" i="13"/>
  <c r="AV340" i="13"/>
  <c r="AV344" i="13"/>
  <c r="AV348" i="13"/>
  <c r="AC334" i="13"/>
  <c r="AE334" i="13" s="1"/>
  <c r="K334" i="13"/>
  <c r="AC332" i="13"/>
  <c r="AE332" i="13" s="1"/>
  <c r="AK332" i="13" s="1"/>
  <c r="AM332" i="13" s="1"/>
  <c r="K332" i="13"/>
  <c r="K252" i="13"/>
  <c r="AC252" i="13"/>
  <c r="AE252" i="13" s="1"/>
  <c r="AL252" i="13" s="1"/>
  <c r="K250" i="13"/>
  <c r="AC250" i="13"/>
  <c r="AE250" i="13" s="1"/>
  <c r="AC248" i="13"/>
  <c r="AE248" i="13" s="1"/>
  <c r="AO248" i="13" s="1"/>
  <c r="K248" i="13"/>
  <c r="AC246" i="13"/>
  <c r="AE246" i="13" s="1"/>
  <c r="AK246" i="13" s="1"/>
  <c r="AM246" i="13" s="1"/>
  <c r="K246" i="13"/>
  <c r="AC244" i="13"/>
  <c r="AE244" i="13" s="1"/>
  <c r="AO244" i="13" s="1"/>
  <c r="K244" i="13"/>
  <c r="K242" i="13"/>
  <c r="AC242" i="13"/>
  <c r="AE242" i="13" s="1"/>
  <c r="AO242" i="13" s="1"/>
  <c r="AC19" i="13"/>
  <c r="AE19" i="13" s="1"/>
  <c r="AK19" i="13" s="1"/>
  <c r="AM19" i="13" s="1"/>
  <c r="K19" i="13"/>
  <c r="K17" i="13"/>
  <c r="AC17" i="13"/>
  <c r="AE17" i="13" s="1"/>
  <c r="AK17" i="13" s="1"/>
  <c r="AM17" i="13" s="1"/>
  <c r="AC15" i="13"/>
  <c r="AE15" i="13" s="1"/>
  <c r="AK15" i="13" s="1"/>
  <c r="AM15" i="13" s="1"/>
  <c r="K15" i="13"/>
  <c r="AC13" i="13"/>
  <c r="AE13" i="13" s="1"/>
  <c r="AL13" i="13" s="1"/>
  <c r="K13" i="13"/>
  <c r="AC11" i="13"/>
  <c r="AE11" i="13" s="1"/>
  <c r="AL11" i="13" s="1"/>
  <c r="K11" i="13"/>
  <c r="K9" i="13"/>
  <c r="AC9" i="13"/>
  <c r="AE9" i="13" s="1"/>
  <c r="AK9" i="13" s="1"/>
  <c r="AM9" i="13" s="1"/>
  <c r="AC871" i="13"/>
  <c r="AE871" i="13" s="1"/>
  <c r="K871" i="13"/>
  <c r="M871" i="13" s="1"/>
  <c r="K869" i="13"/>
  <c r="M869" i="13" s="1"/>
  <c r="AC869" i="13"/>
  <c r="AE869" i="13" s="1"/>
  <c r="AO869" i="13" s="1"/>
  <c r="AC867" i="13"/>
  <c r="AE867" i="13" s="1"/>
  <c r="K867" i="13"/>
  <c r="M867" i="13" s="1"/>
  <c r="AV234" i="13"/>
  <c r="AV204" i="13"/>
  <c r="AV212" i="13"/>
  <c r="AD220" i="13"/>
  <c r="BA220" i="13" s="1"/>
  <c r="AC220" i="13"/>
  <c r="AV230" i="13"/>
  <c r="AV235" i="13"/>
  <c r="AV240" i="13"/>
  <c r="AV209" i="13"/>
  <c r="AV217" i="13"/>
  <c r="AD223" i="13"/>
  <c r="BA223" i="13" s="1"/>
  <c r="AC223" i="13"/>
  <c r="AV229" i="13"/>
  <c r="AL212" i="13"/>
  <c r="AK212" i="13"/>
  <c r="AM212" i="13" s="1"/>
  <c r="AL237" i="13"/>
  <c r="AK237" i="13"/>
  <c r="AM237" i="13" s="1"/>
  <c r="AT236" i="13"/>
  <c r="AO233" i="13"/>
  <c r="AK233" i="13"/>
  <c r="AM233" i="13" s="1"/>
  <c r="AL233" i="13"/>
  <c r="AO241" i="13"/>
  <c r="AK241" i="13"/>
  <c r="AM241" i="13" s="1"/>
  <c r="AL241" i="13"/>
  <c r="W331" i="13"/>
  <c r="BA334" i="13"/>
  <c r="W333" i="13"/>
  <c r="W248" i="13"/>
  <c r="BA251" i="13"/>
  <c r="BA247" i="13"/>
  <c r="W252" i="13"/>
  <c r="W246" i="13"/>
  <c r="W250" i="13"/>
  <c r="W244" i="13"/>
  <c r="W17" i="13"/>
  <c r="W9" i="13"/>
  <c r="W11" i="13"/>
  <c r="W13" i="13"/>
  <c r="W15" i="13"/>
  <c r="L252" i="13" l="1"/>
  <c r="M252" i="13" s="1"/>
  <c r="L9" i="13"/>
  <c r="M9" i="13" s="1"/>
  <c r="L250" i="13"/>
  <c r="M250" i="13" s="1"/>
  <c r="L11" i="13"/>
  <c r="M11" i="13" s="1"/>
  <c r="L15" i="13"/>
  <c r="M15" i="13" s="1"/>
  <c r="L19" i="13"/>
  <c r="M19" i="13" s="1"/>
  <c r="L244" i="13"/>
  <c r="M244" i="13" s="1"/>
  <c r="L248" i="13"/>
  <c r="M248" i="13" s="1"/>
  <c r="L334" i="13"/>
  <c r="M334" i="13" s="1"/>
  <c r="Q334" i="13" s="1"/>
  <c r="L16" i="13"/>
  <c r="M16" i="13" s="1"/>
  <c r="L20" i="13"/>
  <c r="M20" i="13" s="1"/>
  <c r="L249" i="13"/>
  <c r="M249" i="13" s="1"/>
  <c r="L265" i="13"/>
  <c r="M265" i="13" s="1"/>
  <c r="L333" i="13"/>
  <c r="M333" i="13" s="1"/>
  <c r="Q333" i="13" s="1"/>
  <c r="L8" i="13"/>
  <c r="M8" i="13" s="1"/>
  <c r="L12" i="13"/>
  <c r="M12" i="13" s="1"/>
  <c r="L245" i="13"/>
  <c r="M245" i="13" s="1"/>
  <c r="L13" i="13"/>
  <c r="M13" i="13" s="1"/>
  <c r="L246" i="13"/>
  <c r="M246" i="13" s="1"/>
  <c r="L332" i="13"/>
  <c r="M332" i="13" s="1"/>
  <c r="L10" i="13"/>
  <c r="M10" i="13" s="1"/>
  <c r="L243" i="13"/>
  <c r="M243" i="13" s="1"/>
  <c r="L251" i="13"/>
  <c r="M251" i="13" s="1"/>
  <c r="L331" i="13"/>
  <c r="M331" i="13" s="1"/>
  <c r="L17" i="13"/>
  <c r="M17" i="13" s="1"/>
  <c r="L242" i="13"/>
  <c r="M242" i="13" s="1"/>
  <c r="L14" i="13"/>
  <c r="M14" i="13" s="1"/>
  <c r="L18" i="13"/>
  <c r="M18" i="13" s="1"/>
  <c r="L247" i="13"/>
  <c r="M247" i="13" s="1"/>
  <c r="AK331" i="13"/>
  <c r="AM331" i="13" s="1"/>
  <c r="AO17" i="13"/>
  <c r="AO9" i="13"/>
  <c r="AL869" i="13"/>
  <c r="AK242" i="13"/>
  <c r="AM242" i="13" s="1"/>
  <c r="AL265" i="13"/>
  <c r="AO870" i="13"/>
  <c r="AO265" i="13"/>
  <c r="AO246" i="13"/>
  <c r="AK333" i="13"/>
  <c r="AM333" i="13" s="1"/>
  <c r="AO866" i="13"/>
  <c r="AO333" i="13"/>
  <c r="AK869" i="13"/>
  <c r="AM869" i="13" s="1"/>
  <c r="AK868" i="13"/>
  <c r="AM868" i="13" s="1"/>
  <c r="AL246" i="13"/>
  <c r="AL242" i="13"/>
  <c r="AL17" i="13"/>
  <c r="AO868" i="13"/>
  <c r="AO19" i="13"/>
  <c r="AL9" i="13"/>
  <c r="AO15" i="13"/>
  <c r="AK243" i="13"/>
  <c r="AM243" i="13" s="1"/>
  <c r="AO243" i="13"/>
  <c r="AK244" i="13"/>
  <c r="AM244" i="13" s="1"/>
  <c r="AL870" i="13"/>
  <c r="AL19" i="13"/>
  <c r="AL15" i="13"/>
  <c r="AO11" i="13"/>
  <c r="AL332" i="13"/>
  <c r="AO331" i="13"/>
  <c r="AK252" i="13"/>
  <c r="AM252" i="13" s="1"/>
  <c r="AO332" i="13"/>
  <c r="AL244" i="13"/>
  <c r="AK248" i="13"/>
  <c r="AM248" i="13" s="1"/>
  <c r="AL866" i="13"/>
  <c r="AO252" i="13"/>
  <c r="AK13" i="13"/>
  <c r="AM13" i="13" s="1"/>
  <c r="AK11" i="13"/>
  <c r="AM11" i="13" s="1"/>
  <c r="AO13" i="13"/>
  <c r="AL248" i="13"/>
  <c r="Q229" i="13"/>
  <c r="AY217" i="13"/>
  <c r="BB217" i="13" s="1"/>
  <c r="AX217" i="13"/>
  <c r="Q240" i="13"/>
  <c r="Q230" i="13"/>
  <c r="AY212" i="13"/>
  <c r="BB212" i="13" s="1"/>
  <c r="AX212" i="13"/>
  <c r="AY234" i="13"/>
  <c r="BB234" i="13" s="1"/>
  <c r="AX234" i="13"/>
  <c r="AV13" i="13"/>
  <c r="AV246" i="13"/>
  <c r="AV334" i="13"/>
  <c r="AY344" i="13"/>
  <c r="BB344" i="13" s="1"/>
  <c r="AX344" i="13"/>
  <c r="AY225" i="13"/>
  <c r="BB225" i="13" s="1"/>
  <c r="AX225" i="13"/>
  <c r="N219" i="13"/>
  <c r="Q219" i="13" s="1"/>
  <c r="AX343" i="13"/>
  <c r="AY343" i="13"/>
  <c r="BB343" i="13" s="1"/>
  <c r="Q224" i="13"/>
  <c r="AY218" i="13"/>
  <c r="BB218" i="13" s="1"/>
  <c r="AX218" i="13"/>
  <c r="Q206" i="13"/>
  <c r="AX237" i="13"/>
  <c r="AY237" i="13"/>
  <c r="BB237" i="13" s="1"/>
  <c r="AY215" i="13"/>
  <c r="BB215" i="13" s="1"/>
  <c r="AX215" i="13"/>
  <c r="Q207" i="13"/>
  <c r="AY238" i="13"/>
  <c r="BB238" i="13" s="1"/>
  <c r="AX238" i="13"/>
  <c r="AY347" i="13"/>
  <c r="BB347" i="13" s="1"/>
  <c r="AX347" i="13"/>
  <c r="AY214" i="13"/>
  <c r="BB214" i="13" s="1"/>
  <c r="AX214" i="13"/>
  <c r="AV868" i="13"/>
  <c r="N868" i="13"/>
  <c r="AT868" i="13" s="1"/>
  <c r="AV16" i="13"/>
  <c r="AV20" i="13"/>
  <c r="AV249" i="13"/>
  <c r="AV265" i="13"/>
  <c r="AV333" i="13"/>
  <c r="AY342" i="13"/>
  <c r="BB342" i="13" s="1"/>
  <c r="AX342" i="13"/>
  <c r="AY227" i="13"/>
  <c r="BB227" i="13" s="1"/>
  <c r="AX227" i="13"/>
  <c r="AE221" i="13"/>
  <c r="Q205" i="13"/>
  <c r="AX345" i="13"/>
  <c r="AY345" i="13"/>
  <c r="BB345" i="13" s="1"/>
  <c r="Q226" i="13"/>
  <c r="N220" i="13"/>
  <c r="Q220" i="13" s="1"/>
  <c r="AX208" i="13"/>
  <c r="AY208" i="13"/>
  <c r="BB208" i="13" s="1"/>
  <c r="AY229" i="13"/>
  <c r="BB229" i="13" s="1"/>
  <c r="AX229" i="13"/>
  <c r="Q217" i="13"/>
  <c r="AY240" i="13"/>
  <c r="BB240" i="13" s="1"/>
  <c r="AX240" i="13"/>
  <c r="AX230" i="13"/>
  <c r="AY230" i="13"/>
  <c r="BB230" i="13" s="1"/>
  <c r="Q212" i="13"/>
  <c r="Q234" i="13"/>
  <c r="AV869" i="13"/>
  <c r="AV9" i="13"/>
  <c r="AV17" i="13"/>
  <c r="AV242" i="13"/>
  <c r="AV250" i="13"/>
  <c r="Q344" i="13"/>
  <c r="Q225" i="13"/>
  <c r="AY219" i="13"/>
  <c r="BB219" i="13" s="1"/>
  <c r="AX219" i="13"/>
  <c r="Q343" i="13"/>
  <c r="AX224" i="13"/>
  <c r="AY224" i="13"/>
  <c r="BB224" i="13" s="1"/>
  <c r="Q218" i="13"/>
  <c r="AY206" i="13"/>
  <c r="BB206" i="13" s="1"/>
  <c r="AX206" i="13"/>
  <c r="Q237" i="13"/>
  <c r="Q215" i="13"/>
  <c r="AY207" i="13"/>
  <c r="BB207" i="13" s="1"/>
  <c r="AX207" i="13"/>
  <c r="Q238" i="13"/>
  <c r="Q347" i="13"/>
  <c r="Q214" i="13"/>
  <c r="AV8" i="13"/>
  <c r="AV12" i="13"/>
  <c r="AV245" i="13"/>
  <c r="Q342" i="13"/>
  <c r="Q227" i="13"/>
  <c r="AY205" i="13"/>
  <c r="BB205" i="13" s="1"/>
  <c r="AX205" i="13"/>
  <c r="Q345" i="13"/>
  <c r="AY226" i="13"/>
  <c r="BB226" i="13" s="1"/>
  <c r="AX226" i="13"/>
  <c r="AY220" i="13"/>
  <c r="BB220" i="13" s="1"/>
  <c r="AX220" i="13"/>
  <c r="Q208" i="13"/>
  <c r="AE223" i="13"/>
  <c r="AY209" i="13"/>
  <c r="BB209" i="13" s="1"/>
  <c r="AX209" i="13"/>
  <c r="AX235" i="13"/>
  <c r="AY235" i="13"/>
  <c r="BB235" i="13" s="1"/>
  <c r="AE220" i="13"/>
  <c r="AY204" i="13"/>
  <c r="BB204" i="13" s="1"/>
  <c r="AX204" i="13"/>
  <c r="N867" i="13"/>
  <c r="AT867" i="13" s="1"/>
  <c r="AV867" i="13"/>
  <c r="AV871" i="13"/>
  <c r="N871" i="13"/>
  <c r="AT871" i="13" s="1"/>
  <c r="AV11" i="13"/>
  <c r="AV15" i="13"/>
  <c r="AV19" i="13"/>
  <c r="AV244" i="13"/>
  <c r="AV248" i="13"/>
  <c r="AV332" i="13"/>
  <c r="AY348" i="13"/>
  <c r="BB348" i="13" s="1"/>
  <c r="AX348" i="13"/>
  <c r="AY221" i="13"/>
  <c r="BB221" i="13" s="1"/>
  <c r="AX221" i="13"/>
  <c r="Q233" i="13"/>
  <c r="AE222" i="13"/>
  <c r="AX210" i="13"/>
  <c r="AY210" i="13"/>
  <c r="BB210" i="13" s="1"/>
  <c r="AX241" i="13"/>
  <c r="AY241" i="13"/>
  <c r="BB241" i="13" s="1"/>
  <c r="AE219" i="13"/>
  <c r="AX211" i="13"/>
  <c r="AY211" i="13"/>
  <c r="BB211" i="13" s="1"/>
  <c r="AY203" i="13"/>
  <c r="BB203" i="13" s="1"/>
  <c r="AX203" i="13"/>
  <c r="AX228" i="13"/>
  <c r="AY228" i="13"/>
  <c r="BB228" i="13" s="1"/>
  <c r="Q232" i="13"/>
  <c r="N870" i="13"/>
  <c r="AT870" i="13" s="1"/>
  <c r="AV870" i="13"/>
  <c r="AV10" i="13"/>
  <c r="AV243" i="13"/>
  <c r="AV251" i="13"/>
  <c r="AV331" i="13"/>
  <c r="Q346" i="13"/>
  <c r="Q231" i="13"/>
  <c r="N223" i="13"/>
  <c r="Q223" i="13" s="1"/>
  <c r="AY213" i="13"/>
  <c r="BB213" i="13" s="1"/>
  <c r="AX213" i="13"/>
  <c r="AY341" i="13"/>
  <c r="BB341" i="13" s="1"/>
  <c r="AX341" i="13"/>
  <c r="AY222" i="13"/>
  <c r="BB222" i="13" s="1"/>
  <c r="AX222" i="13"/>
  <c r="Q216" i="13"/>
  <c r="Q239" i="13"/>
  <c r="Q209" i="13"/>
  <c r="Q235" i="13"/>
  <c r="Q204" i="13"/>
  <c r="AV252" i="13"/>
  <c r="Q348" i="13"/>
  <c r="AY340" i="13"/>
  <c r="BB340" i="13" s="1"/>
  <c r="AX340" i="13"/>
  <c r="N221" i="13"/>
  <c r="Q221" i="13" s="1"/>
  <c r="AX233" i="13"/>
  <c r="AY233" i="13"/>
  <c r="BB233" i="13" s="1"/>
  <c r="AY339" i="13"/>
  <c r="BB339" i="13" s="1"/>
  <c r="AX339" i="13"/>
  <c r="Q210" i="13"/>
  <c r="Q241" i="13"/>
  <c r="Q211" i="13"/>
  <c r="Q203" i="13"/>
  <c r="N866" i="13"/>
  <c r="AT866" i="13" s="1"/>
  <c r="AV866" i="13"/>
  <c r="Q228" i="13"/>
  <c r="AY232" i="13"/>
  <c r="BB232" i="13" s="1"/>
  <c r="AX232" i="13"/>
  <c r="AV14" i="13"/>
  <c r="AV18" i="13"/>
  <c r="AV247" i="13"/>
  <c r="AY346" i="13"/>
  <c r="BB346" i="13" s="1"/>
  <c r="AX346" i="13"/>
  <c r="AY231" i="13"/>
  <c r="BB231" i="13" s="1"/>
  <c r="AX231" i="13"/>
  <c r="AY223" i="13"/>
  <c r="BB223" i="13" s="1"/>
  <c r="AX223" i="13"/>
  <c r="Q213" i="13"/>
  <c r="Q341" i="13"/>
  <c r="N222" i="13"/>
  <c r="Q222" i="13" s="1"/>
  <c r="AY216" i="13"/>
  <c r="BB216" i="13" s="1"/>
  <c r="AX216" i="13"/>
  <c r="AX239" i="13"/>
  <c r="AY239" i="13"/>
  <c r="BB239" i="13" s="1"/>
  <c r="AO249" i="13"/>
  <c r="AK12" i="13"/>
  <c r="AM12" i="13" s="1"/>
  <c r="AL8" i="13"/>
  <c r="AK249" i="13"/>
  <c r="AM249" i="13" s="1"/>
  <c r="AL12" i="13"/>
  <c r="AK8" i="13"/>
  <c r="AM8" i="13" s="1"/>
  <c r="AO10" i="13"/>
  <c r="AL250" i="13"/>
  <c r="AO250" i="13"/>
  <c r="AK250" i="13"/>
  <c r="AM250" i="13" s="1"/>
  <c r="AO334" i="13"/>
  <c r="AK334" i="13"/>
  <c r="AM334" i="13" s="1"/>
  <c r="AL334" i="13"/>
  <c r="AL10" i="13"/>
  <c r="AO14" i="13"/>
  <c r="AK14" i="13"/>
  <c r="AM14" i="13" s="1"/>
  <c r="AL14" i="13"/>
  <c r="AL245" i="13"/>
  <c r="AO245" i="13"/>
  <c r="AK245" i="13"/>
  <c r="AM245" i="13" s="1"/>
  <c r="AO251" i="13"/>
  <c r="AK251" i="13"/>
  <c r="AM251" i="13" s="1"/>
  <c r="AL251" i="13"/>
  <c r="AO247" i="13"/>
  <c r="AK247" i="13"/>
  <c r="AM247" i="13" s="1"/>
  <c r="AL247" i="13"/>
  <c r="AL18" i="13"/>
  <c r="AK18" i="13"/>
  <c r="AM18" i="13" s="1"/>
  <c r="AO18" i="13"/>
  <c r="AO16" i="13"/>
  <c r="AK16" i="13"/>
  <c r="AM16" i="13" s="1"/>
  <c r="AL16" i="13"/>
  <c r="AK20" i="13"/>
  <c r="AM20" i="13" s="1"/>
  <c r="AL20" i="13"/>
  <c r="AO20" i="13"/>
  <c r="AO867" i="13"/>
  <c r="AK867" i="13"/>
  <c r="AM867" i="13" s="1"/>
  <c r="AL867" i="13"/>
  <c r="AO871" i="13"/>
  <c r="AK871" i="13"/>
  <c r="AM871" i="13" s="1"/>
  <c r="AL871" i="13"/>
  <c r="AT217" i="13" l="1"/>
  <c r="AT228" i="13"/>
  <c r="AT203" i="13"/>
  <c r="AT241" i="13"/>
  <c r="AT221" i="13"/>
  <c r="AT239" i="13"/>
  <c r="AT232" i="13"/>
  <c r="AT222" i="13"/>
  <c r="AT213" i="13"/>
  <c r="AT211" i="13"/>
  <c r="AT210" i="13"/>
  <c r="AT209" i="13"/>
  <c r="AT216" i="13"/>
  <c r="AT223" i="13"/>
  <c r="AT346" i="13"/>
  <c r="AT339" i="13"/>
  <c r="AT230" i="13"/>
  <c r="AT233" i="13"/>
  <c r="AT215" i="13"/>
  <c r="AT344" i="13"/>
  <c r="AT206" i="13"/>
  <c r="AT219" i="13"/>
  <c r="AT229" i="13"/>
  <c r="AT231" i="13"/>
  <c r="AT208" i="13"/>
  <c r="AT342" i="13"/>
  <c r="AT347" i="13"/>
  <c r="AT238" i="13"/>
  <c r="AT234" i="13"/>
  <c r="AT226" i="13"/>
  <c r="AT205" i="13"/>
  <c r="AT224" i="13"/>
  <c r="AT240" i="13"/>
  <c r="AT237" i="13"/>
  <c r="AT218" i="13"/>
  <c r="AT343" i="13"/>
  <c r="AT225" i="13"/>
  <c r="AT212" i="13"/>
  <c r="AT220" i="13"/>
  <c r="AT340" i="13"/>
  <c r="AT348" i="13"/>
  <c r="AT341" i="13"/>
  <c r="Q18" i="13"/>
  <c r="Q252" i="13"/>
  <c r="Q331" i="13"/>
  <c r="Q251" i="13"/>
  <c r="Q10" i="13"/>
  <c r="AO222" i="13"/>
  <c r="AK222" i="13"/>
  <c r="AM222" i="13" s="1"/>
  <c r="AL222" i="13"/>
  <c r="Q332" i="13"/>
  <c r="AY244" i="13"/>
  <c r="BB244" i="13" s="1"/>
  <c r="AX244" i="13"/>
  <c r="Q15" i="13"/>
  <c r="AY871" i="13"/>
  <c r="BB871" i="13" s="1"/>
  <c r="AX871" i="13"/>
  <c r="Q245" i="13"/>
  <c r="AX8" i="13"/>
  <c r="AY8" i="13"/>
  <c r="BB8" i="13" s="1"/>
  <c r="Q250" i="13"/>
  <c r="Q17" i="13"/>
  <c r="AY869" i="13"/>
  <c r="BB869" i="13" s="1"/>
  <c r="AX869" i="13"/>
  <c r="AO221" i="13"/>
  <c r="AK221" i="13"/>
  <c r="AM221" i="13" s="1"/>
  <c r="AL221" i="13"/>
  <c r="N265" i="13"/>
  <c r="AX20" i="13"/>
  <c r="AY20" i="13"/>
  <c r="BB20" i="13" s="1"/>
  <c r="AY868" i="13"/>
  <c r="BB868" i="13" s="1"/>
  <c r="AX868" i="13"/>
  <c r="AX334" i="13"/>
  <c r="AY334" i="13"/>
  <c r="BB334" i="13" s="1"/>
  <c r="Q13" i="13"/>
  <c r="AY18" i="13"/>
  <c r="BB18" i="13" s="1"/>
  <c r="AX18" i="13"/>
  <c r="AY252" i="13"/>
  <c r="BB252" i="13" s="1"/>
  <c r="AX252" i="13"/>
  <c r="Q243" i="13"/>
  <c r="AY870" i="13"/>
  <c r="BB870" i="13" s="1"/>
  <c r="AX870" i="13"/>
  <c r="Q248" i="13"/>
  <c r="Q19" i="13"/>
  <c r="AX11" i="13"/>
  <c r="AY11" i="13"/>
  <c r="BB11" i="13" s="1"/>
  <c r="AY867" i="13"/>
  <c r="BB867" i="13" s="1"/>
  <c r="AX867" i="13"/>
  <c r="AO220" i="13"/>
  <c r="AK220" i="13"/>
  <c r="AM220" i="13" s="1"/>
  <c r="AL220" i="13"/>
  <c r="AO223" i="13"/>
  <c r="AK223" i="13"/>
  <c r="AM223" i="13" s="1"/>
  <c r="AL223" i="13"/>
  <c r="Q12" i="13"/>
  <c r="Q242" i="13"/>
  <c r="Q9" i="13"/>
  <c r="AY249" i="13"/>
  <c r="BB249" i="13" s="1"/>
  <c r="AX249" i="13"/>
  <c r="Q16" i="13"/>
  <c r="Q246" i="13"/>
  <c r="AX247" i="13"/>
  <c r="AY247" i="13"/>
  <c r="BB247" i="13" s="1"/>
  <c r="AX14" i="13"/>
  <c r="AY14" i="13"/>
  <c r="BB14" i="13" s="1"/>
  <c r="AY866" i="13"/>
  <c r="BB866" i="13" s="1"/>
  <c r="AX866" i="13"/>
  <c r="AT204" i="13"/>
  <c r="AT235" i="13"/>
  <c r="AX243" i="13"/>
  <c r="AY243" i="13"/>
  <c r="BB243" i="13" s="1"/>
  <c r="AY248" i="13"/>
  <c r="BB248" i="13" s="1"/>
  <c r="AX248" i="13"/>
  <c r="AY19" i="13"/>
  <c r="BB19" i="13" s="1"/>
  <c r="AX19" i="13"/>
  <c r="Q11" i="13"/>
  <c r="AX12" i="13"/>
  <c r="AY12" i="13"/>
  <c r="BB12" i="13" s="1"/>
  <c r="AX242" i="13"/>
  <c r="AY242" i="13"/>
  <c r="BB242" i="13" s="1"/>
  <c r="AY9" i="13"/>
  <c r="BB9" i="13" s="1"/>
  <c r="AX9" i="13"/>
  <c r="AY333" i="13"/>
  <c r="BB333" i="13" s="1"/>
  <c r="AX333" i="13"/>
  <c r="Q249" i="13"/>
  <c r="AX16" i="13"/>
  <c r="AY16" i="13"/>
  <c r="BB16" i="13" s="1"/>
  <c r="AY246" i="13"/>
  <c r="BB246" i="13" s="1"/>
  <c r="AX246" i="13"/>
  <c r="Q247" i="13"/>
  <c r="Q14" i="13"/>
  <c r="AY331" i="13"/>
  <c r="BB331" i="13" s="1"/>
  <c r="AX331" i="13"/>
  <c r="AY251" i="13"/>
  <c r="BB251" i="13" s="1"/>
  <c r="AX251" i="13"/>
  <c r="AX10" i="13"/>
  <c r="AY10" i="13"/>
  <c r="BB10" i="13" s="1"/>
  <c r="AK219" i="13"/>
  <c r="AM219" i="13" s="1"/>
  <c r="AL219" i="13"/>
  <c r="AO219" i="13"/>
  <c r="AY332" i="13"/>
  <c r="BB332" i="13" s="1"/>
  <c r="AX332" i="13"/>
  <c r="Q244" i="13"/>
  <c r="AY15" i="13"/>
  <c r="BB15" i="13" s="1"/>
  <c r="AX15" i="13"/>
  <c r="AT345" i="13"/>
  <c r="AT227" i="13"/>
  <c r="AX245" i="13"/>
  <c r="AY245" i="13"/>
  <c r="BB245" i="13" s="1"/>
  <c r="Q8" i="13"/>
  <c r="AT214" i="13"/>
  <c r="AY250" i="13"/>
  <c r="BB250" i="13" s="1"/>
  <c r="AX250" i="13"/>
  <c r="AY17" i="13"/>
  <c r="BB17" i="13" s="1"/>
  <c r="AX17" i="13"/>
  <c r="N869" i="13"/>
  <c r="AT869" i="13" s="1"/>
  <c r="AX265" i="13"/>
  <c r="AY265" i="13"/>
  <c r="BB265" i="13" s="1"/>
  <c r="Q20" i="13"/>
  <c r="AT207" i="13"/>
  <c r="AX13" i="13"/>
  <c r="AY13" i="13"/>
  <c r="BB13" i="13" s="1"/>
  <c r="F20" i="7"/>
  <c r="D130" i="3"/>
  <c r="D119" i="3"/>
  <c r="D108" i="3"/>
  <c r="D97" i="3"/>
  <c r="D86" i="3"/>
  <c r="D75" i="3"/>
  <c r="D64" i="3"/>
  <c r="D53" i="3"/>
  <c r="D42" i="3"/>
  <c r="D20" i="3"/>
  <c r="AU864" i="13"/>
  <c r="AZ864" i="13" s="1"/>
  <c r="AJ864" i="13"/>
  <c r="Z864" i="13"/>
  <c r="R864" i="13"/>
  <c r="AT249" i="13" l="1"/>
  <c r="AT333" i="13"/>
  <c r="AT245" i="13"/>
  <c r="AT10" i="13"/>
  <c r="AT252" i="13"/>
  <c r="AT9" i="13"/>
  <c r="AT244" i="13"/>
  <c r="AT12" i="13"/>
  <c r="AT248" i="13"/>
  <c r="AT246" i="13"/>
  <c r="AT243" i="13"/>
  <c r="AT250" i="13"/>
  <c r="AT247" i="13"/>
  <c r="AT242" i="13"/>
  <c r="AT251" i="13"/>
  <c r="AT331" i="13"/>
  <c r="AT11" i="13"/>
  <c r="AT20" i="13"/>
  <c r="AT16" i="13"/>
  <c r="AT17" i="13"/>
  <c r="AT8" i="13"/>
  <c r="AT334" i="13"/>
  <c r="AT13" i="13"/>
  <c r="K864" i="13"/>
  <c r="M864" i="13" s="1"/>
  <c r="AT14" i="13"/>
  <c r="AT19" i="13"/>
  <c r="AT15" i="13"/>
  <c r="AT332" i="13"/>
  <c r="AT18" i="13"/>
  <c r="AN864" i="13"/>
  <c r="W864" i="13"/>
  <c r="AA864" i="13" l="1"/>
  <c r="AD864" i="13" l="1"/>
  <c r="BA864" i="13" s="1"/>
  <c r="AC864" i="13"/>
  <c r="AV864" i="13"/>
  <c r="AX864" i="13" s="1"/>
  <c r="N864" i="13"/>
  <c r="AE864" i="13" l="1"/>
  <c r="AK864" i="13" s="1"/>
  <c r="AM864" i="13" s="1"/>
  <c r="AY864" i="13"/>
  <c r="BB864" i="13" s="1"/>
  <c r="Q864" i="13"/>
  <c r="AT864" i="13" s="1"/>
  <c r="AO864" i="13" l="1"/>
  <c r="AL864" i="13"/>
  <c r="Z879" i="13"/>
  <c r="AU879" i="13"/>
  <c r="AZ879" i="13" s="1"/>
  <c r="AJ879" i="13"/>
  <c r="S879" i="13"/>
  <c r="AA878" i="13"/>
  <c r="AD878" i="13" s="1"/>
  <c r="Z878" i="13"/>
  <c r="AU878" i="13"/>
  <c r="AZ878" i="13" s="1"/>
  <c r="AJ878" i="13"/>
  <c r="AU875" i="13"/>
  <c r="AZ875" i="13" s="1"/>
  <c r="AJ875" i="13"/>
  <c r="AA875" i="13"/>
  <c r="AD875" i="13" s="1"/>
  <c r="Z875" i="13"/>
  <c r="AU874" i="13"/>
  <c r="AZ874" i="13" s="1"/>
  <c r="AJ874" i="13"/>
  <c r="Z874" i="13"/>
  <c r="W874" i="13"/>
  <c r="R874" i="13"/>
  <c r="AU873" i="13"/>
  <c r="AZ873" i="13" s="1"/>
  <c r="AJ873" i="13"/>
  <c r="Z873" i="13"/>
  <c r="W873" i="13"/>
  <c r="R873" i="13"/>
  <c r="AU877" i="13"/>
  <c r="AZ877" i="13" s="1"/>
  <c r="AJ877" i="13"/>
  <c r="AA877" i="13"/>
  <c r="AD877" i="13" s="1"/>
  <c r="Z877" i="13"/>
  <c r="R877" i="13"/>
  <c r="AU876" i="13"/>
  <c r="AZ876" i="13" s="1"/>
  <c r="AJ876" i="13"/>
  <c r="AA876" i="13"/>
  <c r="Z876" i="13"/>
  <c r="W876" i="13"/>
  <c r="K874" i="13" l="1"/>
  <c r="M874" i="13" s="1"/>
  <c r="K875" i="13"/>
  <c r="M875" i="13" s="1"/>
  <c r="AN877" i="13"/>
  <c r="R875" i="13"/>
  <c r="BA875" i="13"/>
  <c r="AA874" i="13"/>
  <c r="BA877" i="13"/>
  <c r="AN873" i="13"/>
  <c r="AN875" i="13"/>
  <c r="AN879" i="13"/>
  <c r="W879" i="13"/>
  <c r="R879" i="13"/>
  <c r="AA879" i="13"/>
  <c r="BA878" i="13"/>
  <c r="AN878" i="13"/>
  <c r="R878" i="13"/>
  <c r="W878" i="13"/>
  <c r="AN874" i="13"/>
  <c r="W875" i="13"/>
  <c r="R876" i="13"/>
  <c r="AN876" i="13"/>
  <c r="W877" i="13"/>
  <c r="AD876" i="13"/>
  <c r="BA876" i="13" s="1"/>
  <c r="N875" i="13" l="1"/>
  <c r="AT875" i="13" s="1"/>
  <c r="AV875" i="13"/>
  <c r="AX875" i="13" s="1"/>
  <c r="K873" i="13"/>
  <c r="M873" i="13" s="1"/>
  <c r="AC879" i="13"/>
  <c r="K879" i="13"/>
  <c r="M879" i="13" s="1"/>
  <c r="AC878" i="13"/>
  <c r="AE878" i="13" s="1"/>
  <c r="AL878" i="13" s="1"/>
  <c r="K878" i="13"/>
  <c r="M878" i="13" s="1"/>
  <c r="AC877" i="13"/>
  <c r="AE877" i="13" s="1"/>
  <c r="AK877" i="13" s="1"/>
  <c r="AM877" i="13" s="1"/>
  <c r="K877" i="13"/>
  <c r="M877" i="13" s="1"/>
  <c r="AC876" i="13"/>
  <c r="AE876" i="13" s="1"/>
  <c r="K876" i="13"/>
  <c r="M876" i="13" s="1"/>
  <c r="AC875" i="13"/>
  <c r="AE875" i="13" s="1"/>
  <c r="AO875" i="13" s="1"/>
  <c r="AC874" i="13"/>
  <c r="AV874" i="13"/>
  <c r="AX874" i="13" s="1"/>
  <c r="AD879" i="13"/>
  <c r="BA879" i="13" s="1"/>
  <c r="AA873" i="13"/>
  <c r="AD874" i="13"/>
  <c r="BA874" i="13" s="1"/>
  <c r="AV879" i="13" l="1"/>
  <c r="AX879" i="13" s="1"/>
  <c r="N879" i="13"/>
  <c r="AY875" i="13"/>
  <c r="AO877" i="13"/>
  <c r="AL877" i="13"/>
  <c r="AO878" i="13"/>
  <c r="AK878" i="13"/>
  <c r="AM878" i="13" s="1"/>
  <c r="AV877" i="13"/>
  <c r="AV876" i="13"/>
  <c r="AV878" i="13"/>
  <c r="AL875" i="13"/>
  <c r="AK875" i="13"/>
  <c r="AM875" i="13" s="1"/>
  <c r="AE879" i="13"/>
  <c r="AE874" i="13"/>
  <c r="AO874" i="13" s="1"/>
  <c r="AY874" i="13"/>
  <c r="AD873" i="13"/>
  <c r="BA873" i="13" s="1"/>
  <c r="AC873" i="13"/>
  <c r="AV873" i="13"/>
  <c r="AX873" i="13" s="1"/>
  <c r="N873" i="13"/>
  <c r="AL876" i="13"/>
  <c r="AO876" i="13"/>
  <c r="AK876" i="13"/>
  <c r="AM876" i="13" s="1"/>
  <c r="AY879" i="13" l="1"/>
  <c r="BB879" i="13" s="1"/>
  <c r="Q879" i="13"/>
  <c r="AT879" i="13" s="1"/>
  <c r="N876" i="13"/>
  <c r="Q876" i="13"/>
  <c r="N878" i="13"/>
  <c r="Q878" i="13"/>
  <c r="AX877" i="13"/>
  <c r="AY877" i="13"/>
  <c r="AX876" i="13"/>
  <c r="AY876" i="13"/>
  <c r="AX878" i="13"/>
  <c r="AY878" i="13"/>
  <c r="BB878" i="13" s="1"/>
  <c r="N877" i="13"/>
  <c r="Q877" i="13"/>
  <c r="Q874" i="13"/>
  <c r="N874" i="13"/>
  <c r="AL874" i="13"/>
  <c r="AK879" i="13"/>
  <c r="AM879" i="13" s="1"/>
  <c r="AL879" i="13"/>
  <c r="AO879" i="13"/>
  <c r="AK874" i="13"/>
  <c r="AM874" i="13" s="1"/>
  <c r="AE873" i="13"/>
  <c r="AK873" i="13" s="1"/>
  <c r="AM873" i="13" s="1"/>
  <c r="AY873" i="13"/>
  <c r="Q873" i="13"/>
  <c r="AT873" i="13" s="1"/>
  <c r="AT876" i="13" l="1"/>
  <c r="AT877" i="13"/>
  <c r="AT878" i="13"/>
  <c r="AT874" i="13"/>
  <c r="AO873" i="13"/>
  <c r="AL873" i="13"/>
  <c r="AU872" i="13" l="1"/>
  <c r="AZ872" i="13" s="1"/>
  <c r="AJ872" i="13"/>
  <c r="Z872" i="13"/>
  <c r="R872" i="13"/>
  <c r="AU865" i="13"/>
  <c r="AZ865" i="13" s="1"/>
  <c r="AJ865" i="13"/>
  <c r="Z865" i="13"/>
  <c r="R865" i="13"/>
  <c r="K865" i="13" l="1"/>
  <c r="M865" i="13" s="1"/>
  <c r="K872" i="13"/>
  <c r="M872" i="13" s="1"/>
  <c r="AA872" i="13"/>
  <c r="AD872" i="13" s="1"/>
  <c r="BA872" i="13" s="1"/>
  <c r="AN865" i="13"/>
  <c r="AN872" i="13"/>
  <c r="W872" i="13"/>
  <c r="W865" i="13"/>
  <c r="AA865" i="13"/>
  <c r="AV872" i="13" l="1"/>
  <c r="AX872" i="13" s="1"/>
  <c r="AC872" i="13"/>
  <c r="AE872" i="13" s="1"/>
  <c r="AK872" i="13" s="1"/>
  <c r="AM872" i="13" s="1"/>
  <c r="AD865" i="13"/>
  <c r="BA865" i="13" s="1"/>
  <c r="AC865" i="13"/>
  <c r="N865" i="13"/>
  <c r="AV865" i="13"/>
  <c r="AX865" i="13" s="1"/>
  <c r="AO872" i="13" l="1"/>
  <c r="AL872" i="13"/>
  <c r="AY872" i="13"/>
  <c r="AE865" i="13"/>
  <c r="AL865" i="13" s="1"/>
  <c r="AY865" i="13"/>
  <c r="AT865" i="13"/>
  <c r="M32" i="2"/>
  <c r="L32" i="2"/>
  <c r="K32" i="2"/>
  <c r="J32" i="2"/>
  <c r="I32" i="2"/>
  <c r="H32" i="2"/>
  <c r="G32" i="2"/>
  <c r="F32" i="2"/>
  <c r="D32" i="2"/>
  <c r="Q872" i="13" l="1"/>
  <c r="N872" i="13"/>
  <c r="AO865" i="13"/>
  <c r="AK865" i="13"/>
  <c r="AM865" i="13" s="1"/>
  <c r="U32" i="61"/>
  <c r="AT872" i="13" l="1"/>
  <c r="AU856" i="13"/>
  <c r="AZ856" i="13" s="1"/>
  <c r="AA856" i="13"/>
  <c r="Z856" i="13"/>
  <c r="S856" i="13"/>
  <c r="W856" i="13" s="1"/>
  <c r="AU855" i="13"/>
  <c r="AZ855" i="13" s="1"/>
  <c r="AA855" i="13"/>
  <c r="Z855" i="13"/>
  <c r="S855" i="13"/>
  <c r="W855" i="13" s="1"/>
  <c r="AC856" i="13" l="1"/>
  <c r="K856" i="13"/>
  <c r="M856" i="13" s="1"/>
  <c r="AC855" i="13"/>
  <c r="K855" i="13"/>
  <c r="M855" i="13" s="1"/>
  <c r="R855" i="13"/>
  <c r="R856" i="13"/>
  <c r="AD856" i="13"/>
  <c r="BA856" i="13" s="1"/>
  <c r="AD855" i="13"/>
  <c r="BA855" i="13" s="1"/>
  <c r="AV855" i="13" l="1"/>
  <c r="AX855" i="13" s="1"/>
  <c r="N855" i="13"/>
  <c r="AV856" i="13"/>
  <c r="AX856" i="13" s="1"/>
  <c r="Q856" i="13"/>
  <c r="AE856" i="13"/>
  <c r="AE855" i="13"/>
  <c r="AY855" i="13" l="1"/>
  <c r="AY856" i="13"/>
  <c r="N856" i="13"/>
  <c r="AT856" i="13" s="1"/>
  <c r="Q855" i="13"/>
  <c r="AT855" i="13" s="1"/>
  <c r="AO856" i="13"/>
  <c r="AO855" i="13"/>
  <c r="M9" i="11" l="1"/>
  <c r="Q16" i="11"/>
  <c r="AU5" i="13" l="1"/>
  <c r="J5" i="13" s="1"/>
  <c r="AB5" i="13" s="1"/>
  <c r="AJ5" i="13"/>
  <c r="Z5" i="13"/>
  <c r="S5" i="13"/>
  <c r="AA5" i="13" l="1"/>
  <c r="AD5" i="13" s="1"/>
  <c r="BA5" i="13" s="1"/>
  <c r="AN5" i="13"/>
  <c r="W5" i="13"/>
  <c r="R5" i="13"/>
  <c r="AC5" i="13" l="1"/>
  <c r="AE5" i="13" s="1"/>
  <c r="AK5" i="13" s="1"/>
  <c r="AM5" i="13" s="1"/>
  <c r="K5" i="13"/>
  <c r="L5" i="13" l="1"/>
  <c r="M5" i="13" s="1"/>
  <c r="AL5" i="13"/>
  <c r="AO5" i="13"/>
  <c r="AV5" i="13"/>
  <c r="R799" i="13"/>
  <c r="AU799" i="13"/>
  <c r="AZ799" i="13" s="1"/>
  <c r="AJ799" i="13"/>
  <c r="AA799" i="13"/>
  <c r="AD799" i="13" s="1"/>
  <c r="Z799" i="13"/>
  <c r="AX5" i="13" l="1"/>
  <c r="AY5" i="13"/>
  <c r="Q5" i="13"/>
  <c r="AT5" i="13" s="1"/>
  <c r="AN799" i="13"/>
  <c r="BA799" i="13"/>
  <c r="S799" i="13"/>
  <c r="W799" i="13" s="1"/>
  <c r="AC799" i="13" l="1"/>
  <c r="AE799" i="13" s="1"/>
  <c r="AK799" i="13" s="1"/>
  <c r="AM799" i="13" s="1"/>
  <c r="K799" i="13"/>
  <c r="M799" i="13" s="1"/>
  <c r="AO799" i="13" l="1"/>
  <c r="AL799" i="13"/>
  <c r="AV799" i="13"/>
  <c r="C111" i="3"/>
  <c r="AX799" i="13" l="1"/>
  <c r="AY799" i="13"/>
  <c r="N799" i="13"/>
  <c r="Q799" i="13"/>
  <c r="C100" i="3"/>
  <c r="AT799" i="13" l="1"/>
  <c r="AU800" i="13"/>
  <c r="AZ800" i="13" s="1"/>
  <c r="AJ800" i="13"/>
  <c r="AA800" i="13"/>
  <c r="AD800" i="13" s="1"/>
  <c r="Z800" i="13"/>
  <c r="R800" i="13"/>
  <c r="BA800" i="13" l="1"/>
  <c r="AN800" i="13"/>
  <c r="S800" i="13"/>
  <c r="W800" i="13" s="1"/>
  <c r="AC800" i="13" l="1"/>
  <c r="AE800" i="13" s="1"/>
  <c r="AL800" i="13" s="1"/>
  <c r="K800" i="13"/>
  <c r="M800" i="13" s="1"/>
  <c r="AK800" i="13" l="1"/>
  <c r="AM800" i="13" s="1"/>
  <c r="AO800" i="13"/>
  <c r="AV800" i="13"/>
  <c r="AU852" i="13"/>
  <c r="AZ852" i="13" s="1"/>
  <c r="AJ852" i="13"/>
  <c r="AA852" i="13"/>
  <c r="AD852" i="13" s="1"/>
  <c r="Z852" i="13"/>
  <c r="R852" i="13"/>
  <c r="Q800" i="13" l="1"/>
  <c r="N800" i="13"/>
  <c r="AX800" i="13"/>
  <c r="AY800" i="13"/>
  <c r="BA852" i="13"/>
  <c r="AN852" i="13"/>
  <c r="S852" i="13"/>
  <c r="W852" i="13" s="1"/>
  <c r="AT800" i="13" l="1"/>
  <c r="AC852" i="13"/>
  <c r="AE852" i="13" s="1"/>
  <c r="AK852" i="13" s="1"/>
  <c r="AM852" i="13" s="1"/>
  <c r="K852" i="13"/>
  <c r="M852" i="13" s="1"/>
  <c r="AO852" i="13" l="1"/>
  <c r="AV852" i="13"/>
  <c r="AL852" i="13"/>
  <c r="Z851" i="13"/>
  <c r="AU851" i="13"/>
  <c r="AZ851" i="13" s="1"/>
  <c r="AJ851" i="13"/>
  <c r="AA851" i="13"/>
  <c r="AD851" i="13" s="1"/>
  <c r="S851" i="13"/>
  <c r="P28" i="61"/>
  <c r="P31" i="61"/>
  <c r="I32" i="61"/>
  <c r="I31" i="61"/>
  <c r="R857" i="13"/>
  <c r="Z857" i="13"/>
  <c r="AU857" i="13"/>
  <c r="AZ857" i="13" s="1"/>
  <c r="R858" i="13"/>
  <c r="Z858" i="13"/>
  <c r="AU858" i="13"/>
  <c r="AZ858" i="13" s="1"/>
  <c r="R859" i="13"/>
  <c r="Z859" i="13"/>
  <c r="AU859" i="13"/>
  <c r="AZ859" i="13" s="1"/>
  <c r="S860" i="13"/>
  <c r="Z860" i="13"/>
  <c r="AU860" i="13"/>
  <c r="AZ860" i="13" s="1"/>
  <c r="R861" i="13"/>
  <c r="Z861" i="13"/>
  <c r="AU861" i="13"/>
  <c r="AZ861" i="13" s="1"/>
  <c r="S862" i="13"/>
  <c r="Z862" i="13"/>
  <c r="AU862" i="13"/>
  <c r="AZ862" i="13" s="1"/>
  <c r="R863" i="13"/>
  <c r="Z863" i="13"/>
  <c r="AU863" i="13"/>
  <c r="AZ863" i="13" s="1"/>
  <c r="AX852" i="13" l="1"/>
  <c r="AY852" i="13"/>
  <c r="Q852" i="13"/>
  <c r="N852" i="13"/>
  <c r="BA851" i="13"/>
  <c r="S859" i="13"/>
  <c r="W859" i="13" s="1"/>
  <c r="W863" i="13"/>
  <c r="AN851" i="13"/>
  <c r="W851" i="13"/>
  <c r="R851" i="13"/>
  <c r="S861" i="13"/>
  <c r="W861" i="13" s="1"/>
  <c r="S858" i="13"/>
  <c r="W858" i="13" s="1"/>
  <c r="R862" i="13"/>
  <c r="S857" i="13"/>
  <c r="W857" i="13" s="1"/>
  <c r="R860" i="13"/>
  <c r="W860" i="13"/>
  <c r="W862" i="13"/>
  <c r="AT852" i="13" l="1"/>
  <c r="AC851" i="13"/>
  <c r="AE851" i="13" s="1"/>
  <c r="AO851" i="13" s="1"/>
  <c r="K851" i="13"/>
  <c r="M851" i="13" s="1"/>
  <c r="K863" i="13"/>
  <c r="M863" i="13" s="1"/>
  <c r="K862" i="13"/>
  <c r="M862" i="13" s="1"/>
  <c r="K859" i="13"/>
  <c r="M859" i="13" s="1"/>
  <c r="K861" i="13"/>
  <c r="M861" i="13" s="1"/>
  <c r="K858" i="13"/>
  <c r="M858" i="13" s="1"/>
  <c r="K857" i="13"/>
  <c r="M857" i="13" s="1"/>
  <c r="K860" i="13"/>
  <c r="M860" i="13" s="1"/>
  <c r="AA861" i="13"/>
  <c r="AD861" i="13" s="1"/>
  <c r="BA861" i="13" s="1"/>
  <c r="AA860" i="13"/>
  <c r="AD860" i="13" s="1"/>
  <c r="BA860" i="13" s="1"/>
  <c r="AA857" i="13"/>
  <c r="AD857" i="13" s="1"/>
  <c r="BA857" i="13" s="1"/>
  <c r="AA862" i="13"/>
  <c r="AD862" i="13" s="1"/>
  <c r="BA862" i="13" s="1"/>
  <c r="AA863" i="13"/>
  <c r="AD863" i="13" s="1"/>
  <c r="BA863" i="13" s="1"/>
  <c r="AA859" i="13"/>
  <c r="AD859" i="13" s="1"/>
  <c r="BA859" i="13" s="1"/>
  <c r="AA858" i="13"/>
  <c r="AD858" i="13" s="1"/>
  <c r="BA858" i="13" s="1"/>
  <c r="N857" i="13" l="1"/>
  <c r="N861" i="13"/>
  <c r="AV851" i="13"/>
  <c r="AX851" i="13" s="1"/>
  <c r="N851" i="13"/>
  <c r="AV862" i="13"/>
  <c r="AX862" i="13" s="1"/>
  <c r="N862" i="13"/>
  <c r="Q860" i="13"/>
  <c r="AV859" i="13"/>
  <c r="AX859" i="13" s="1"/>
  <c r="N859" i="13"/>
  <c r="AV863" i="13"/>
  <c r="AX863" i="13" s="1"/>
  <c r="N863" i="13"/>
  <c r="AV857" i="13"/>
  <c r="AX857" i="13" s="1"/>
  <c r="AV860" i="13"/>
  <c r="AX860" i="13" s="1"/>
  <c r="AK851" i="13"/>
  <c r="AM851" i="13" s="1"/>
  <c r="AL851" i="13"/>
  <c r="Q857" i="13"/>
  <c r="AV858" i="13"/>
  <c r="AX858" i="13" s="1"/>
  <c r="AV861" i="13"/>
  <c r="AX861" i="13" s="1"/>
  <c r="Q858" i="13"/>
  <c r="N858" i="13"/>
  <c r="AY862" i="13"/>
  <c r="AC861" i="13"/>
  <c r="AE861" i="13" s="1"/>
  <c r="AO861" i="13" s="1"/>
  <c r="AC860" i="13"/>
  <c r="AE860" i="13" s="1"/>
  <c r="AC857" i="13"/>
  <c r="AE857" i="13" s="1"/>
  <c r="AC862" i="13"/>
  <c r="AE862" i="13" s="1"/>
  <c r="AC863" i="13"/>
  <c r="AE863" i="13" s="1"/>
  <c r="AO863" i="13" s="1"/>
  <c r="AC858" i="13"/>
  <c r="AE858" i="13" s="1"/>
  <c r="AC859" i="13"/>
  <c r="AE859" i="13" s="1"/>
  <c r="AY857" i="13" l="1"/>
  <c r="AY863" i="13"/>
  <c r="AY851" i="13"/>
  <c r="AY859" i="13"/>
  <c r="Q851" i="13"/>
  <c r="AT851" i="13" s="1"/>
  <c r="N860" i="13"/>
  <c r="AT860" i="13" s="1"/>
  <c r="Q861" i="13"/>
  <c r="AT861" i="13" s="1"/>
  <c r="AT857" i="13"/>
  <c r="Q862" i="13"/>
  <c r="AT862" i="13" s="1"/>
  <c r="AY860" i="13"/>
  <c r="Q859" i="13"/>
  <c r="AT859" i="13" s="1"/>
  <c r="Q863" i="13"/>
  <c r="AT863" i="13" s="1"/>
  <c r="AY861" i="13"/>
  <c r="AY858" i="13"/>
  <c r="AT858" i="13"/>
  <c r="AO859" i="13"/>
  <c r="AO857" i="13"/>
  <c r="AO862" i="13"/>
  <c r="AO860" i="13"/>
  <c r="AO858" i="13"/>
  <c r="Q1510" i="11" l="1"/>
  <c r="M37" i="2" l="1"/>
  <c r="N37" i="2"/>
  <c r="M42" i="2"/>
  <c r="M43" i="2" s="1"/>
  <c r="N42" i="2"/>
  <c r="N43" i="2" s="1"/>
  <c r="M47" i="2"/>
  <c r="N47" i="2"/>
  <c r="M56" i="2"/>
  <c r="N56" i="2"/>
  <c r="M62" i="2"/>
  <c r="N62" i="2"/>
  <c r="Z45" i="13" l="1"/>
  <c r="AA45" i="13"/>
  <c r="AD45" i="13" s="1"/>
  <c r="S45" i="13"/>
  <c r="W45" i="13" s="1"/>
  <c r="AU45" i="13"/>
  <c r="AZ45" i="13" s="1"/>
  <c r="BA45" i="13" l="1"/>
  <c r="AN45" i="13"/>
  <c r="AC45" i="13" l="1"/>
  <c r="AE45" i="13" s="1"/>
  <c r="AO45" i="13" s="1"/>
  <c r="K45" i="13"/>
  <c r="L45" i="13" l="1"/>
  <c r="M45" i="13" s="1"/>
  <c r="AK45" i="13"/>
  <c r="AM45" i="13" s="1"/>
  <c r="AL45" i="13"/>
  <c r="AV45" i="13"/>
  <c r="AX45" i="13" l="1"/>
  <c r="AY45" i="13"/>
  <c r="Q45" i="13"/>
  <c r="AT45" i="13" l="1"/>
  <c r="B880" i="13" l="1"/>
  <c r="AU837" i="13" l="1"/>
  <c r="AZ837" i="13" s="1"/>
  <c r="AJ837" i="13"/>
  <c r="AA837" i="13"/>
  <c r="Z837" i="13"/>
  <c r="S837" i="13"/>
  <c r="AU840" i="13"/>
  <c r="AZ840" i="13" s="1"/>
  <c r="AJ840" i="13"/>
  <c r="Z840" i="13"/>
  <c r="S840" i="13"/>
  <c r="AU839" i="13"/>
  <c r="AZ839" i="13" s="1"/>
  <c r="AJ839" i="13"/>
  <c r="Z839" i="13"/>
  <c r="S839" i="13"/>
  <c r="AU838" i="13"/>
  <c r="AZ838" i="13" s="1"/>
  <c r="AJ838" i="13"/>
  <c r="Z838" i="13"/>
  <c r="S838" i="13"/>
  <c r="W838" i="13" s="1"/>
  <c r="L47" i="2"/>
  <c r="K47" i="2"/>
  <c r="C37" i="2"/>
  <c r="D37" i="2"/>
  <c r="E37" i="2"/>
  <c r="F37" i="2"/>
  <c r="G37" i="2"/>
  <c r="H37" i="2"/>
  <c r="I37" i="2"/>
  <c r="J37" i="2"/>
  <c r="K37" i="2"/>
  <c r="L37" i="2"/>
  <c r="K839" i="13" l="1"/>
  <c r="M839" i="13" s="1"/>
  <c r="K838" i="13"/>
  <c r="M838" i="13" s="1"/>
  <c r="K840" i="13"/>
  <c r="M840" i="13" s="1"/>
  <c r="AA839" i="13"/>
  <c r="AD839" i="13" s="1"/>
  <c r="BA839" i="13" s="1"/>
  <c r="AA840" i="13"/>
  <c r="AD840" i="13" s="1"/>
  <c r="BA840" i="13" s="1"/>
  <c r="AA838" i="13"/>
  <c r="AD838" i="13" s="1"/>
  <c r="BA838" i="13" s="1"/>
  <c r="AN837" i="13"/>
  <c r="R837" i="13"/>
  <c r="AD837" i="13"/>
  <c r="BA837" i="13" s="1"/>
  <c r="W837" i="13"/>
  <c r="R838" i="13"/>
  <c r="AN839" i="13"/>
  <c r="AN838" i="13"/>
  <c r="W839" i="13"/>
  <c r="W840" i="13"/>
  <c r="R840" i="13"/>
  <c r="AN840" i="13"/>
  <c r="R839" i="13"/>
  <c r="Q1467" i="11"/>
  <c r="Q1466" i="11"/>
  <c r="Q1465" i="11"/>
  <c r="Q1464" i="11"/>
  <c r="Q1463" i="11"/>
  <c r="Q1462" i="11"/>
  <c r="Q1461" i="11"/>
  <c r="Q1460" i="11"/>
  <c r="Q1459" i="11"/>
  <c r="Q1458" i="11"/>
  <c r="Q1457" i="11"/>
  <c r="Q1456" i="11"/>
  <c r="Q1455" i="11"/>
  <c r="Q1454" i="11"/>
  <c r="Q1453" i="11"/>
  <c r="Q1452" i="11"/>
  <c r="Q1451" i="11"/>
  <c r="Q1450" i="11"/>
  <c r="Q1449" i="11"/>
  <c r="Q1448" i="11"/>
  <c r="Q1447" i="11"/>
  <c r="Q1446" i="11"/>
  <c r="Q1445" i="11"/>
  <c r="Q1444" i="11"/>
  <c r="Q1443" i="11"/>
  <c r="Q1442" i="11"/>
  <c r="Q1441" i="11"/>
  <c r="Q1440" i="11"/>
  <c r="Q1439" i="11"/>
  <c r="Q1438" i="11"/>
  <c r="Q1437" i="11"/>
  <c r="Q1436" i="11"/>
  <c r="Q1435" i="11"/>
  <c r="Q1434" i="11"/>
  <c r="Q1433" i="11"/>
  <c r="Q1432" i="11"/>
  <c r="Q1431" i="11"/>
  <c r="Q1430" i="11"/>
  <c r="Q1429" i="11"/>
  <c r="Q1428" i="11"/>
  <c r="Q1427" i="11"/>
  <c r="Q1426" i="11"/>
  <c r="Q1425" i="11"/>
  <c r="Q1424" i="11"/>
  <c r="Q1423" i="11"/>
  <c r="Q1422" i="11"/>
  <c r="Q1421" i="11"/>
  <c r="Q1420" i="11"/>
  <c r="Q1419" i="11"/>
  <c r="Q1418" i="11"/>
  <c r="Q1417" i="11"/>
  <c r="Q1416" i="11"/>
  <c r="Q1415" i="11"/>
  <c r="Q1414" i="11"/>
  <c r="Q1413" i="11"/>
  <c r="Q1412" i="11"/>
  <c r="Q1411" i="11"/>
  <c r="Q1410" i="11"/>
  <c r="Q1409" i="11"/>
  <c r="Q1408" i="11"/>
  <c r="Q1407" i="11"/>
  <c r="Q1406" i="11"/>
  <c r="Q1405" i="11"/>
  <c r="Q1404" i="11"/>
  <c r="Q1403" i="11"/>
  <c r="Q1402" i="11"/>
  <c r="Q1401" i="11"/>
  <c r="Q1400" i="11"/>
  <c r="Q1399" i="11"/>
  <c r="Q1398" i="11"/>
  <c r="Q1397" i="11"/>
  <c r="Q1396" i="11"/>
  <c r="AC837" i="13" l="1"/>
  <c r="AE837" i="13" s="1"/>
  <c r="AO837" i="13" s="1"/>
  <c r="K837" i="13"/>
  <c r="M837" i="13" s="1"/>
  <c r="AC840" i="13"/>
  <c r="AE840" i="13" s="1"/>
  <c r="AO840" i="13" s="1"/>
  <c r="AV840" i="13"/>
  <c r="AX840" i="13" s="1"/>
  <c r="AV838" i="13"/>
  <c r="AX838" i="13" s="1"/>
  <c r="AC838" i="13"/>
  <c r="AE838" i="13" s="1"/>
  <c r="AL838" i="13" s="1"/>
  <c r="AC839" i="13"/>
  <c r="AE839" i="13" s="1"/>
  <c r="AO839" i="13" s="1"/>
  <c r="AJ42" i="13"/>
  <c r="AD42" i="13"/>
  <c r="Z42" i="13"/>
  <c r="S42" i="13"/>
  <c r="W42" i="13" s="1"/>
  <c r="R42" i="13"/>
  <c r="AU42" i="13"/>
  <c r="AZ42" i="13" s="1"/>
  <c r="AV837" i="13" l="1"/>
  <c r="Q839" i="13"/>
  <c r="N839" i="13"/>
  <c r="AY840" i="13"/>
  <c r="BA42" i="13"/>
  <c r="AV839" i="13"/>
  <c r="AX839" i="13" s="1"/>
  <c r="AY838" i="13"/>
  <c r="AL839" i="13"/>
  <c r="AK839" i="13"/>
  <c r="AM839" i="13" s="1"/>
  <c r="I29" i="61"/>
  <c r="I28" i="61"/>
  <c r="AK837" i="13"/>
  <c r="AM837" i="13" s="1"/>
  <c r="AL837" i="13"/>
  <c r="AK838" i="13"/>
  <c r="AM838" i="13" s="1"/>
  <c r="AO838" i="13"/>
  <c r="AL840" i="13"/>
  <c r="AK840" i="13"/>
  <c r="AM840" i="13" s="1"/>
  <c r="AN42" i="13"/>
  <c r="Q837" i="13" l="1"/>
  <c r="N837" i="13"/>
  <c r="AX837" i="13"/>
  <c r="AY837" i="13"/>
  <c r="AC42" i="13"/>
  <c r="AE42" i="13" s="1"/>
  <c r="AL42" i="13" s="1"/>
  <c r="K42" i="13"/>
  <c r="AT839" i="13"/>
  <c r="Q840" i="13"/>
  <c r="N840" i="13"/>
  <c r="Q838" i="13"/>
  <c r="N838" i="13"/>
  <c r="AY839" i="13"/>
  <c r="L42" i="13" l="1"/>
  <c r="M42" i="13" s="1"/>
  <c r="AT837" i="13"/>
  <c r="AK42" i="13"/>
  <c r="AM42" i="13" s="1"/>
  <c r="AO42" i="13"/>
  <c r="AV42" i="13"/>
  <c r="AT840" i="13"/>
  <c r="AT838" i="13"/>
  <c r="AU636" i="13"/>
  <c r="AZ636" i="13" s="1"/>
  <c r="AJ636" i="13"/>
  <c r="AA636" i="13"/>
  <c r="AD636" i="13" s="1"/>
  <c r="Z636" i="13"/>
  <c r="S636" i="13"/>
  <c r="W636" i="13" s="1"/>
  <c r="R636" i="13"/>
  <c r="AX42" i="13" l="1"/>
  <c r="AY42" i="13"/>
  <c r="N42" i="13"/>
  <c r="BA636" i="13"/>
  <c r="AN636" i="13"/>
  <c r="AC636" i="13" l="1"/>
  <c r="AE636" i="13" s="1"/>
  <c r="AL636" i="13" s="1"/>
  <c r="K636" i="13"/>
  <c r="M636" i="13" s="1"/>
  <c r="AK636" i="13" l="1"/>
  <c r="AM636" i="13" s="1"/>
  <c r="AO636" i="13"/>
  <c r="AV636" i="13"/>
  <c r="N636" i="13" l="1"/>
  <c r="Q636" i="13"/>
  <c r="AX636" i="13"/>
  <c r="AY636" i="13"/>
  <c r="AT636" i="13" l="1"/>
  <c r="AU39" i="13" l="1"/>
  <c r="AZ39" i="13" s="1"/>
  <c r="AJ39" i="13"/>
  <c r="AA39" i="13"/>
  <c r="Z39" i="13"/>
  <c r="R39" i="13"/>
  <c r="AN39" i="13" l="1"/>
  <c r="S39" i="13"/>
  <c r="W39" i="13" s="1"/>
  <c r="AD39" i="13"/>
  <c r="BA39" i="13" s="1"/>
  <c r="K39" i="13" l="1"/>
  <c r="AC39" i="13"/>
  <c r="AE39" i="13" s="1"/>
  <c r="AL39" i="13" s="1"/>
  <c r="L39" i="13" l="1"/>
  <c r="M39" i="13" s="1"/>
  <c r="O39" i="13" s="1"/>
  <c r="AV39" i="13"/>
  <c r="AO39" i="13"/>
  <c r="AK39" i="13"/>
  <c r="AM39" i="13" s="1"/>
  <c r="AX39" i="13" l="1"/>
  <c r="AY39" i="13"/>
  <c r="Z757" i="13"/>
  <c r="AU635" i="13"/>
  <c r="AZ635" i="13" s="1"/>
  <c r="AJ635" i="13"/>
  <c r="AA635" i="13"/>
  <c r="Z635" i="13"/>
  <c r="S635" i="13"/>
  <c r="W635" i="13" s="1"/>
  <c r="AN635" i="13" l="1"/>
  <c r="AD635" i="13"/>
  <c r="BA635" i="13" s="1"/>
  <c r="R635" i="13"/>
  <c r="AC635" i="13" l="1"/>
  <c r="AE635" i="13" s="1"/>
  <c r="AK635" i="13" s="1"/>
  <c r="AM635" i="13" s="1"/>
  <c r="K635" i="13"/>
  <c r="M635" i="13" s="1"/>
  <c r="AV635" i="13" l="1"/>
  <c r="AO635" i="13"/>
  <c r="AL635" i="13"/>
  <c r="AX635" i="13" l="1"/>
  <c r="AY635" i="13"/>
  <c r="N635" i="13"/>
  <c r="Q635" i="13"/>
  <c r="S784" i="13"/>
  <c r="W784" i="13" s="1"/>
  <c r="R784" i="13"/>
  <c r="AA784" i="13"/>
  <c r="AD784" i="13" s="1"/>
  <c r="Z784" i="13"/>
  <c r="AU784" i="13"/>
  <c r="AZ784" i="13" s="1"/>
  <c r="AT635" i="13" l="1"/>
  <c r="BA784" i="13"/>
  <c r="AC784" i="13" l="1"/>
  <c r="AE784" i="13" s="1"/>
  <c r="AO784" i="13" s="1"/>
  <c r="K784" i="13"/>
  <c r="M784" i="13" s="1"/>
  <c r="AV784" i="13" l="1"/>
  <c r="S828" i="13"/>
  <c r="W828" i="13" s="1"/>
  <c r="Z828" i="13"/>
  <c r="AA828" i="13"/>
  <c r="AD828" i="13" s="1"/>
  <c r="AJ828" i="13"/>
  <c r="AU828" i="13"/>
  <c r="AZ828" i="13" s="1"/>
  <c r="S829" i="13"/>
  <c r="W829" i="13" s="1"/>
  <c r="Z829" i="13"/>
  <c r="AA829" i="13"/>
  <c r="AD829" i="13" s="1"/>
  <c r="AJ829" i="13"/>
  <c r="AU829" i="13"/>
  <c r="AZ829" i="13" s="1"/>
  <c r="AX784" i="13" l="1"/>
  <c r="AY784" i="13"/>
  <c r="N784" i="13"/>
  <c r="Q784" i="13"/>
  <c r="BA828" i="13"/>
  <c r="BA829" i="13"/>
  <c r="R828" i="13"/>
  <c r="AN828" i="13"/>
  <c r="AN829" i="13"/>
  <c r="R829" i="13"/>
  <c r="AT784" i="13" l="1"/>
  <c r="AC829" i="13"/>
  <c r="AE829" i="13" s="1"/>
  <c r="AK829" i="13" s="1"/>
  <c r="AM829" i="13" s="1"/>
  <c r="K829" i="13"/>
  <c r="M829" i="13" s="1"/>
  <c r="AC828" i="13"/>
  <c r="AE828" i="13" s="1"/>
  <c r="AK828" i="13" s="1"/>
  <c r="AM828" i="13" s="1"/>
  <c r="K828" i="13"/>
  <c r="M828" i="13" s="1"/>
  <c r="AO829" i="13" l="1"/>
  <c r="AO828" i="13"/>
  <c r="AL828" i="13"/>
  <c r="AV828" i="13"/>
  <c r="AL829" i="13"/>
  <c r="AV829" i="13"/>
  <c r="S830" i="13"/>
  <c r="W830" i="13" s="1"/>
  <c r="R831" i="13"/>
  <c r="R832" i="13"/>
  <c r="R833" i="13"/>
  <c r="R834" i="13"/>
  <c r="R835" i="13"/>
  <c r="R836" i="13"/>
  <c r="S841" i="13"/>
  <c r="W841" i="13" s="1"/>
  <c r="R842" i="13"/>
  <c r="S843" i="13"/>
  <c r="R844" i="13"/>
  <c r="R845" i="13"/>
  <c r="S846" i="13"/>
  <c r="R847" i="13"/>
  <c r="S848" i="13"/>
  <c r="W848" i="13" s="1"/>
  <c r="R849" i="13"/>
  <c r="R850" i="13"/>
  <c r="R853" i="13"/>
  <c r="S854" i="13"/>
  <c r="Z830" i="13"/>
  <c r="AA830" i="13"/>
  <c r="AJ830" i="13"/>
  <c r="AU830" i="13"/>
  <c r="AZ830" i="13" s="1"/>
  <c r="Z831" i="13"/>
  <c r="AA831" i="13"/>
  <c r="AD831" i="13" s="1"/>
  <c r="AJ831" i="13"/>
  <c r="AU831" i="13"/>
  <c r="AZ831" i="13" s="1"/>
  <c r="Z832" i="13"/>
  <c r="AA832" i="13"/>
  <c r="AD832" i="13" s="1"/>
  <c r="AJ832" i="13"/>
  <c r="AU832" i="13"/>
  <c r="AZ832" i="13" s="1"/>
  <c r="Z833" i="13"/>
  <c r="AA833" i="13"/>
  <c r="AJ833" i="13"/>
  <c r="AU833" i="13"/>
  <c r="AZ833" i="13" s="1"/>
  <c r="Z834" i="13"/>
  <c r="AA834" i="13"/>
  <c r="AJ834" i="13"/>
  <c r="AU834" i="13"/>
  <c r="AZ834" i="13" s="1"/>
  <c r="Z835" i="13"/>
  <c r="AA835" i="13"/>
  <c r="AJ835" i="13"/>
  <c r="AU835" i="13"/>
  <c r="AZ835" i="13" s="1"/>
  <c r="Z836" i="13"/>
  <c r="AA836" i="13"/>
  <c r="AD836" i="13" s="1"/>
  <c r="AJ836" i="13"/>
  <c r="AU836" i="13"/>
  <c r="AZ836" i="13" s="1"/>
  <c r="Z841" i="13"/>
  <c r="AA841" i="13"/>
  <c r="AJ841" i="13"/>
  <c r="AU841" i="13"/>
  <c r="AZ841" i="13" s="1"/>
  <c r="Z842" i="13"/>
  <c r="AA842" i="13"/>
  <c r="AJ842" i="13"/>
  <c r="AU842" i="13"/>
  <c r="AZ842" i="13" s="1"/>
  <c r="Z843" i="13"/>
  <c r="AA843" i="13"/>
  <c r="AJ843" i="13"/>
  <c r="AU843" i="13"/>
  <c r="AZ843" i="13" s="1"/>
  <c r="Z844" i="13"/>
  <c r="AA844" i="13"/>
  <c r="AD844" i="13" s="1"/>
  <c r="AJ844" i="13"/>
  <c r="AU844" i="13"/>
  <c r="AZ844" i="13" s="1"/>
  <c r="Z845" i="13"/>
  <c r="AA845" i="13"/>
  <c r="AJ845" i="13"/>
  <c r="AU845" i="13"/>
  <c r="AZ845" i="13" s="1"/>
  <c r="Z846" i="13"/>
  <c r="AA846" i="13"/>
  <c r="AJ846" i="13"/>
  <c r="AU846" i="13"/>
  <c r="AZ846" i="13" s="1"/>
  <c r="Z847" i="13"/>
  <c r="AA847" i="13"/>
  <c r="AJ847" i="13"/>
  <c r="AU847" i="13"/>
  <c r="AZ847" i="13" s="1"/>
  <c r="Z848" i="13"/>
  <c r="AA848" i="13"/>
  <c r="AJ848" i="13"/>
  <c r="AU848" i="13"/>
  <c r="AZ848" i="13" s="1"/>
  <c r="Z849" i="13"/>
  <c r="AA849" i="13"/>
  <c r="AJ849" i="13"/>
  <c r="AU849" i="13"/>
  <c r="AZ849" i="13" s="1"/>
  <c r="Z850" i="13"/>
  <c r="AA850" i="13"/>
  <c r="AD850" i="13" s="1"/>
  <c r="AJ850" i="13"/>
  <c r="AU850" i="13"/>
  <c r="AZ850" i="13" s="1"/>
  <c r="Z853" i="13"/>
  <c r="AA853" i="13"/>
  <c r="AJ853" i="13"/>
  <c r="AU853" i="13"/>
  <c r="AZ853" i="13" s="1"/>
  <c r="Z854" i="13"/>
  <c r="AA854" i="13"/>
  <c r="AJ854" i="13"/>
  <c r="AU854" i="13"/>
  <c r="AZ854" i="13" s="1"/>
  <c r="AX828" i="13" l="1"/>
  <c r="AY828" i="13"/>
  <c r="N829" i="13"/>
  <c r="Q829" i="13"/>
  <c r="Q828" i="13"/>
  <c r="N828" i="13"/>
  <c r="AX829" i="13"/>
  <c r="AY829" i="13"/>
  <c r="AA32" i="61"/>
  <c r="BA836" i="13"/>
  <c r="BA831" i="13"/>
  <c r="BA832" i="13"/>
  <c r="BA850" i="13"/>
  <c r="BA844" i="13"/>
  <c r="L31" i="61"/>
  <c r="AD830" i="13"/>
  <c r="BA830" i="13" s="1"/>
  <c r="Z31" i="61"/>
  <c r="AD841" i="13"/>
  <c r="BA841" i="13" s="1"/>
  <c r="R830" i="13"/>
  <c r="R841" i="13"/>
  <c r="R848" i="13"/>
  <c r="S842" i="13"/>
  <c r="W842" i="13" s="1"/>
  <c r="R843" i="13"/>
  <c r="S835" i="13"/>
  <c r="W835" i="13" s="1"/>
  <c r="S834" i="13"/>
  <c r="W834" i="13" s="1"/>
  <c r="S833" i="13"/>
  <c r="W833" i="13" s="1"/>
  <c r="S850" i="13"/>
  <c r="W850" i="13" s="1"/>
  <c r="R846" i="13"/>
  <c r="AN849" i="13"/>
  <c r="S832" i="13"/>
  <c r="W832" i="13" s="1"/>
  <c r="R854" i="13"/>
  <c r="AN846" i="13"/>
  <c r="S853" i="13"/>
  <c r="W853" i="13" s="1"/>
  <c r="S847" i="13"/>
  <c r="W847" i="13" s="1"/>
  <c r="S844" i="13"/>
  <c r="W844" i="13" s="1"/>
  <c r="S836" i="13"/>
  <c r="W836" i="13" s="1"/>
  <c r="S845" i="13"/>
  <c r="W845" i="13" s="1"/>
  <c r="S831" i="13"/>
  <c r="W831" i="13" s="1"/>
  <c r="S849" i="13"/>
  <c r="W849" i="13" s="1"/>
  <c r="AN850" i="13"/>
  <c r="AD848" i="13"/>
  <c r="BA848" i="13" s="1"/>
  <c r="AN854" i="13"/>
  <c r="AN847" i="13"/>
  <c r="AN853" i="13"/>
  <c r="AD847" i="13"/>
  <c r="BA847" i="13" s="1"/>
  <c r="AN848" i="13"/>
  <c r="AN842" i="13"/>
  <c r="AN833" i="13"/>
  <c r="AN843" i="13"/>
  <c r="AD845" i="13"/>
  <c r="BA845" i="13" s="1"/>
  <c r="AN845" i="13"/>
  <c r="AN841" i="13"/>
  <c r="AN844" i="13"/>
  <c r="AN832" i="13"/>
  <c r="AN830" i="13"/>
  <c r="AD833" i="13"/>
  <c r="BA833" i="13" s="1"/>
  <c r="AN834" i="13"/>
  <c r="AN836" i="13"/>
  <c r="AN831" i="13"/>
  <c r="W854" i="13"/>
  <c r="AD853" i="13"/>
  <c r="BA853" i="13" s="1"/>
  <c r="AD854" i="13"/>
  <c r="BA854" i="13" s="1"/>
  <c r="W843" i="13"/>
  <c r="AD849" i="13"/>
  <c r="BA849" i="13" s="1"/>
  <c r="AD846" i="13"/>
  <c r="BA846" i="13" s="1"/>
  <c r="AD843" i="13"/>
  <c r="BA843" i="13" s="1"/>
  <c r="AN835" i="13"/>
  <c r="W846" i="13"/>
  <c r="AD834" i="13"/>
  <c r="BA834" i="13" s="1"/>
  <c r="AD842" i="13"/>
  <c r="BA842" i="13" s="1"/>
  <c r="AD835" i="13"/>
  <c r="BA835" i="13" s="1"/>
  <c r="AT828" i="13" l="1"/>
  <c r="AT829" i="13"/>
  <c r="K830" i="13"/>
  <c r="M830" i="13" s="1"/>
  <c r="AC830" i="13"/>
  <c r="AE830" i="13" s="1"/>
  <c r="AL830" i="13" s="1"/>
  <c r="J29" i="61"/>
  <c r="AC832" i="13"/>
  <c r="AE832" i="13" s="1"/>
  <c r="AK832" i="13" s="1"/>
  <c r="AM832" i="13" s="1"/>
  <c r="K832" i="13"/>
  <c r="M832" i="13" s="1"/>
  <c r="K834" i="13"/>
  <c r="M834" i="13" s="1"/>
  <c r="AC834" i="13"/>
  <c r="AE834" i="13" s="1"/>
  <c r="AC836" i="13"/>
  <c r="AE836" i="13" s="1"/>
  <c r="AL836" i="13" s="1"/>
  <c r="K836" i="13"/>
  <c r="M836" i="13" s="1"/>
  <c r="K842" i="13"/>
  <c r="M842" i="13" s="1"/>
  <c r="AC842" i="13"/>
  <c r="AE842" i="13" s="1"/>
  <c r="AO842" i="13" s="1"/>
  <c r="AC844" i="13"/>
  <c r="AE844" i="13" s="1"/>
  <c r="AO844" i="13" s="1"/>
  <c r="K844" i="13"/>
  <c r="M844" i="13" s="1"/>
  <c r="K846" i="13"/>
  <c r="M846" i="13" s="1"/>
  <c r="AC846" i="13"/>
  <c r="AE846" i="13" s="1"/>
  <c r="AK846" i="13" s="1"/>
  <c r="AM846" i="13" s="1"/>
  <c r="AC848" i="13"/>
  <c r="AE848" i="13" s="1"/>
  <c r="AK848" i="13" s="1"/>
  <c r="AM848" i="13" s="1"/>
  <c r="K848" i="13"/>
  <c r="M848" i="13" s="1"/>
  <c r="K850" i="13"/>
  <c r="M850" i="13" s="1"/>
  <c r="AC850" i="13"/>
  <c r="AE850" i="13" s="1"/>
  <c r="AK850" i="13" s="1"/>
  <c r="AM850" i="13" s="1"/>
  <c r="K854" i="13"/>
  <c r="M854" i="13" s="1"/>
  <c r="J32" i="61"/>
  <c r="AC831" i="13"/>
  <c r="AE831" i="13" s="1"/>
  <c r="AK831" i="13" s="1"/>
  <c r="AM831" i="13" s="1"/>
  <c r="K831" i="13"/>
  <c r="M831" i="13" s="1"/>
  <c r="AC833" i="13"/>
  <c r="AE833" i="13" s="1"/>
  <c r="K833" i="13"/>
  <c r="M833" i="13" s="1"/>
  <c r="AC835" i="13"/>
  <c r="AE835" i="13" s="1"/>
  <c r="K835" i="13"/>
  <c r="M835" i="13" s="1"/>
  <c r="AC841" i="13"/>
  <c r="AE841" i="13" s="1"/>
  <c r="AO841" i="13" s="1"/>
  <c r="K841" i="13"/>
  <c r="M841" i="13" s="1"/>
  <c r="AC843" i="13"/>
  <c r="AE843" i="13" s="1"/>
  <c r="AK843" i="13" s="1"/>
  <c r="AM843" i="13" s="1"/>
  <c r="K843" i="13"/>
  <c r="M843" i="13" s="1"/>
  <c r="AC845" i="13"/>
  <c r="AE845" i="13" s="1"/>
  <c r="AK845" i="13" s="1"/>
  <c r="AM845" i="13" s="1"/>
  <c r="K845" i="13"/>
  <c r="M845" i="13" s="1"/>
  <c r="AC847" i="13"/>
  <c r="AE847" i="13" s="1"/>
  <c r="AL847" i="13" s="1"/>
  <c r="K847" i="13"/>
  <c r="M847" i="13" s="1"/>
  <c r="AC849" i="13"/>
  <c r="AE849" i="13" s="1"/>
  <c r="K849" i="13"/>
  <c r="M849" i="13" s="1"/>
  <c r="AC853" i="13"/>
  <c r="AE853" i="13" s="1"/>
  <c r="AK853" i="13" s="1"/>
  <c r="AM853" i="13" s="1"/>
  <c r="K853" i="13"/>
  <c r="M853" i="13" s="1"/>
  <c r="AD32" i="61"/>
  <c r="O31" i="61"/>
  <c r="AV830" i="13" l="1"/>
  <c r="N830" i="13"/>
  <c r="AL831" i="13"/>
  <c r="AO850" i="13"/>
  <c r="AK844" i="13"/>
  <c r="AM844" i="13" s="1"/>
  <c r="AL832" i="13"/>
  <c r="AL844" i="13"/>
  <c r="AO836" i="13"/>
  <c r="AO832" i="13"/>
  <c r="AL850" i="13"/>
  <c r="AK836" i="13"/>
  <c r="AM836" i="13" s="1"/>
  <c r="AV853" i="13"/>
  <c r="AV847" i="13"/>
  <c r="AV843" i="13"/>
  <c r="AV835" i="13"/>
  <c r="AV831" i="13"/>
  <c r="AC854" i="13"/>
  <c r="AB32" i="61"/>
  <c r="AO831" i="13"/>
  <c r="AV849" i="13"/>
  <c r="AV845" i="13"/>
  <c r="AV841" i="13"/>
  <c r="AV833" i="13"/>
  <c r="AV850" i="13"/>
  <c r="AV846" i="13"/>
  <c r="AV842" i="13"/>
  <c r="AV834" i="13"/>
  <c r="K31" i="61"/>
  <c r="AV854" i="13"/>
  <c r="AV848" i="13"/>
  <c r="AV844" i="13"/>
  <c r="AV836" i="13"/>
  <c r="AV832" i="13"/>
  <c r="Q830" i="13"/>
  <c r="AO830" i="13"/>
  <c r="O28" i="61"/>
  <c r="AK830" i="13"/>
  <c r="AO848" i="13"/>
  <c r="AL848" i="13"/>
  <c r="AK847" i="13"/>
  <c r="AM847" i="13" s="1"/>
  <c r="AL841" i="13"/>
  <c r="AK842" i="13"/>
  <c r="AM842" i="13" s="1"/>
  <c r="AL842" i="13"/>
  <c r="AO847" i="13"/>
  <c r="AK841" i="13"/>
  <c r="AM841" i="13" s="1"/>
  <c r="AO843" i="13"/>
  <c r="AL843" i="13"/>
  <c r="AO845" i="13"/>
  <c r="AL846" i="13"/>
  <c r="AL845" i="13"/>
  <c r="AO846" i="13"/>
  <c r="AO853" i="13"/>
  <c r="AL853" i="13"/>
  <c r="AK833" i="13"/>
  <c r="AM833" i="13" s="1"/>
  <c r="AO833" i="13"/>
  <c r="AL833" i="13"/>
  <c r="AL849" i="13"/>
  <c r="AO849" i="13"/>
  <c r="AK849" i="13"/>
  <c r="AM849" i="13" s="1"/>
  <c r="AK835" i="13"/>
  <c r="AM835" i="13" s="1"/>
  <c r="AO835" i="13"/>
  <c r="AL835" i="13"/>
  <c r="AO834" i="13"/>
  <c r="AK834" i="13"/>
  <c r="AM834" i="13" s="1"/>
  <c r="AL834" i="13"/>
  <c r="AT830" i="13" l="1"/>
  <c r="AX830" i="13"/>
  <c r="AY830" i="13"/>
  <c r="AX832" i="13"/>
  <c r="AY832" i="13"/>
  <c r="Q844" i="13"/>
  <c r="N844" i="13"/>
  <c r="Q854" i="13"/>
  <c r="Q31" i="61" s="1"/>
  <c r="M31" i="61"/>
  <c r="N854" i="13"/>
  <c r="Q834" i="13"/>
  <c r="N834" i="13"/>
  <c r="AX846" i="13"/>
  <c r="AY846" i="13"/>
  <c r="Q833" i="13"/>
  <c r="N833" i="13"/>
  <c r="Q845" i="13"/>
  <c r="N845" i="13"/>
  <c r="AX835" i="13"/>
  <c r="AY835" i="13"/>
  <c r="AX847" i="13"/>
  <c r="AY847" i="13"/>
  <c r="Q832" i="13"/>
  <c r="N832" i="13"/>
  <c r="AX844" i="13"/>
  <c r="AY844" i="13"/>
  <c r="AX854" i="13"/>
  <c r="AY854" i="13"/>
  <c r="Q842" i="13"/>
  <c r="N842" i="13"/>
  <c r="Q850" i="13"/>
  <c r="N850" i="13"/>
  <c r="AX841" i="13"/>
  <c r="AY841" i="13"/>
  <c r="AX849" i="13"/>
  <c r="AY849" i="13"/>
  <c r="AE854" i="13"/>
  <c r="AC32" i="61"/>
  <c r="Q835" i="13"/>
  <c r="N835" i="13"/>
  <c r="Q847" i="13"/>
  <c r="N847" i="13"/>
  <c r="Q836" i="13"/>
  <c r="N836" i="13"/>
  <c r="Q848" i="13"/>
  <c r="N848" i="13"/>
  <c r="AX842" i="13"/>
  <c r="AY842" i="13"/>
  <c r="AX850" i="13"/>
  <c r="AY850" i="13"/>
  <c r="Q841" i="13"/>
  <c r="N841" i="13"/>
  <c r="Q849" i="13"/>
  <c r="N849" i="13"/>
  <c r="Q831" i="13"/>
  <c r="N831" i="13"/>
  <c r="Q843" i="13"/>
  <c r="N843" i="13"/>
  <c r="Q853" i="13"/>
  <c r="N853" i="13"/>
  <c r="AX836" i="13"/>
  <c r="AY836" i="13"/>
  <c r="AX848" i="13"/>
  <c r="AY848" i="13"/>
  <c r="AX834" i="13"/>
  <c r="AY834" i="13"/>
  <c r="Q846" i="13"/>
  <c r="N846" i="13"/>
  <c r="AX833" i="13"/>
  <c r="AY833" i="13"/>
  <c r="AX845" i="13"/>
  <c r="AY845" i="13"/>
  <c r="AX831" i="13"/>
  <c r="AY831" i="13"/>
  <c r="AX843" i="13"/>
  <c r="AY843" i="13"/>
  <c r="AX853" i="13"/>
  <c r="AY853" i="13"/>
  <c r="AM830" i="13"/>
  <c r="AT843" i="13" l="1"/>
  <c r="AT849" i="13"/>
  <c r="AT848" i="13"/>
  <c r="AT847" i="13"/>
  <c r="AT842" i="13"/>
  <c r="AT845" i="13"/>
  <c r="AT846" i="13"/>
  <c r="AT853" i="13"/>
  <c r="AT841" i="13"/>
  <c r="AT836" i="13"/>
  <c r="AT835" i="13"/>
  <c r="AT850" i="13"/>
  <c r="AT832" i="13"/>
  <c r="AT833" i="13"/>
  <c r="AT834" i="13"/>
  <c r="AT831" i="13"/>
  <c r="N28" i="61"/>
  <c r="AT844" i="13"/>
  <c r="AO854" i="13"/>
  <c r="AO31" i="61" s="1"/>
  <c r="AL854" i="13"/>
  <c r="AE32" i="61"/>
  <c r="AK854" i="13"/>
  <c r="AM854" i="13" s="1"/>
  <c r="AT854" i="13"/>
  <c r="N31" i="61"/>
  <c r="Q755" i="11"/>
  <c r="Q781" i="11"/>
  <c r="AU782" i="13" l="1"/>
  <c r="AZ782" i="13" s="1"/>
  <c r="AJ782" i="13"/>
  <c r="AA782" i="13"/>
  <c r="Z782" i="13"/>
  <c r="S782" i="13"/>
  <c r="W782" i="13" s="1"/>
  <c r="R782" i="13"/>
  <c r="AD782" i="13" l="1"/>
  <c r="BA782" i="13" s="1"/>
  <c r="AN782" i="13"/>
  <c r="K782" i="13" l="1"/>
  <c r="M782" i="13" s="1"/>
  <c r="AC782" i="13"/>
  <c r="AE782" i="13" s="1"/>
  <c r="AL782" i="13" s="1"/>
  <c r="AV782" i="13" l="1"/>
  <c r="AO782" i="13"/>
  <c r="AK782" i="13"/>
  <c r="AM782" i="13" s="1"/>
  <c r="N782" i="13" l="1"/>
  <c r="Q782" i="13"/>
  <c r="AX782" i="13"/>
  <c r="AY782" i="13"/>
  <c r="C78" i="3"/>
  <c r="C67" i="3"/>
  <c r="C56" i="3"/>
  <c r="C45" i="3"/>
  <c r="C34" i="3"/>
  <c r="C12" i="3"/>
  <c r="S821" i="13"/>
  <c r="W821" i="13" s="1"/>
  <c r="AA821" i="13"/>
  <c r="AJ821" i="13"/>
  <c r="AU821" i="13"/>
  <c r="AZ821" i="13" s="1"/>
  <c r="S822" i="13"/>
  <c r="W822" i="13" s="1"/>
  <c r="AA822" i="13"/>
  <c r="AD822" i="13" s="1"/>
  <c r="AJ822" i="13"/>
  <c r="AU822" i="13"/>
  <c r="AZ822" i="13" s="1"/>
  <c r="S823" i="13"/>
  <c r="W823" i="13" s="1"/>
  <c r="Z823" i="13"/>
  <c r="AA823" i="13"/>
  <c r="AD823" i="13" s="1"/>
  <c r="AJ823" i="13"/>
  <c r="AU823" i="13"/>
  <c r="AZ823" i="13" s="1"/>
  <c r="S824" i="13"/>
  <c r="W824" i="13" s="1"/>
  <c r="Z824" i="13"/>
  <c r="AA824" i="13"/>
  <c r="AJ824" i="13"/>
  <c r="AU824" i="13"/>
  <c r="AZ824" i="13" s="1"/>
  <c r="S825" i="13"/>
  <c r="W825" i="13" s="1"/>
  <c r="Z825" i="13"/>
  <c r="AA825" i="13"/>
  <c r="AJ825" i="13"/>
  <c r="AU825" i="13"/>
  <c r="AZ825" i="13" s="1"/>
  <c r="S826" i="13"/>
  <c r="W826" i="13" s="1"/>
  <c r="Z826" i="13"/>
  <c r="AA826" i="13"/>
  <c r="AD826" i="13" s="1"/>
  <c r="AJ826" i="13"/>
  <c r="AU826" i="13"/>
  <c r="AZ826" i="13" s="1"/>
  <c r="S827" i="13"/>
  <c r="W827" i="13" s="1"/>
  <c r="Z827" i="13"/>
  <c r="AA827" i="13"/>
  <c r="AD827" i="13" s="1"/>
  <c r="AJ827" i="13"/>
  <c r="AU827" i="13"/>
  <c r="AZ827" i="13" s="1"/>
  <c r="AT782" i="13" l="1"/>
  <c r="BA822" i="13"/>
  <c r="BA826" i="13"/>
  <c r="BA827" i="13"/>
  <c r="BA823" i="13"/>
  <c r="Z821" i="13"/>
  <c r="AN821" i="13" s="1"/>
  <c r="Z822" i="13"/>
  <c r="AN822" i="13" s="1"/>
  <c r="R826" i="13"/>
  <c r="R825" i="13"/>
  <c r="R824" i="13"/>
  <c r="R823" i="13"/>
  <c r="AN823" i="13"/>
  <c r="R827" i="13"/>
  <c r="R821" i="13"/>
  <c r="AN827" i="13"/>
  <c r="AD825" i="13"/>
  <c r="BA825" i="13" s="1"/>
  <c r="AN824" i="13"/>
  <c r="R822" i="13"/>
  <c r="AD821" i="13"/>
  <c r="BA821" i="13" s="1"/>
  <c r="AD824" i="13"/>
  <c r="BA824" i="13" s="1"/>
  <c r="AN825" i="13"/>
  <c r="AN826" i="13"/>
  <c r="AC825" i="13" l="1"/>
  <c r="AE825" i="13" s="1"/>
  <c r="K825" i="13"/>
  <c r="M825" i="13" s="1"/>
  <c r="AC822" i="13"/>
  <c r="AE822" i="13" s="1"/>
  <c r="AK822" i="13" s="1"/>
  <c r="AM822" i="13" s="1"/>
  <c r="K822" i="13"/>
  <c r="M822" i="13" s="1"/>
  <c r="AC823" i="13"/>
  <c r="AE823" i="13" s="1"/>
  <c r="AL823" i="13" s="1"/>
  <c r="K823" i="13"/>
  <c r="M823" i="13" s="1"/>
  <c r="AC824" i="13"/>
  <c r="AE824" i="13" s="1"/>
  <c r="AK824" i="13" s="1"/>
  <c r="AM824" i="13" s="1"/>
  <c r="K824" i="13"/>
  <c r="M824" i="13" s="1"/>
  <c r="AC821" i="13"/>
  <c r="AE821" i="13" s="1"/>
  <c r="AO821" i="13" s="1"/>
  <c r="K821" i="13"/>
  <c r="M821" i="13" s="1"/>
  <c r="K826" i="13"/>
  <c r="M826" i="13" s="1"/>
  <c r="AC826" i="13"/>
  <c r="AE826" i="13" s="1"/>
  <c r="AL826" i="13" s="1"/>
  <c r="AC827" i="13"/>
  <c r="AE827" i="13" s="1"/>
  <c r="AK827" i="13" s="1"/>
  <c r="AM827" i="13" s="1"/>
  <c r="K827" i="13"/>
  <c r="M827" i="13" s="1"/>
  <c r="AK823" i="13" l="1"/>
  <c r="AM823" i="13" s="1"/>
  <c r="AL822" i="13"/>
  <c r="AO823" i="13"/>
  <c r="AO826" i="13"/>
  <c r="AV824" i="13"/>
  <c r="AV822" i="13"/>
  <c r="AO827" i="13"/>
  <c r="AV826" i="13"/>
  <c r="AL827" i="13"/>
  <c r="AO822" i="13"/>
  <c r="AK826" i="13"/>
  <c r="AM826" i="13" s="1"/>
  <c r="AV827" i="13"/>
  <c r="AV821" i="13"/>
  <c r="AV823" i="13"/>
  <c r="AV825" i="13"/>
  <c r="AO824" i="13"/>
  <c r="AL824" i="13"/>
  <c r="AL821" i="13"/>
  <c r="AK821" i="13"/>
  <c r="AM821" i="13" s="1"/>
  <c r="AL825" i="13"/>
  <c r="AO825" i="13"/>
  <c r="AK825" i="13"/>
  <c r="AM825" i="13" s="1"/>
  <c r="AX823" i="13" l="1"/>
  <c r="AY823" i="13"/>
  <c r="AX827" i="13"/>
  <c r="AY827" i="13"/>
  <c r="Q822" i="13"/>
  <c r="N822" i="13"/>
  <c r="Q827" i="13"/>
  <c r="N827" i="13"/>
  <c r="AX822" i="13"/>
  <c r="AY822" i="13"/>
  <c r="N823" i="13"/>
  <c r="Q823" i="13"/>
  <c r="Q826" i="13"/>
  <c r="N826" i="13"/>
  <c r="AX825" i="13"/>
  <c r="AY825" i="13"/>
  <c r="AX821" i="13"/>
  <c r="AY821" i="13"/>
  <c r="AX826" i="13"/>
  <c r="AY826" i="13"/>
  <c r="Q824" i="13"/>
  <c r="N824" i="13"/>
  <c r="N825" i="13"/>
  <c r="Q825" i="13"/>
  <c r="N821" i="13"/>
  <c r="Q821" i="13"/>
  <c r="AX824" i="13"/>
  <c r="AY824" i="13"/>
  <c r="AU819" i="13"/>
  <c r="AZ819" i="13" s="1"/>
  <c r="AU818" i="13"/>
  <c r="AZ818" i="13" s="1"/>
  <c r="AU817" i="13"/>
  <c r="AZ817" i="13" s="1"/>
  <c r="AU816" i="13"/>
  <c r="AZ816" i="13" s="1"/>
  <c r="AU815" i="13"/>
  <c r="AZ815" i="13" s="1"/>
  <c r="AU814" i="13"/>
  <c r="AZ814" i="13" s="1"/>
  <c r="AT824" i="13" l="1"/>
  <c r="AT826" i="13"/>
  <c r="AT822" i="13"/>
  <c r="AT823" i="13"/>
  <c r="AT821" i="13"/>
  <c r="AT827" i="13"/>
  <c r="AT825" i="13"/>
  <c r="AU783" i="13"/>
  <c r="AZ783" i="13" s="1"/>
  <c r="AJ783" i="13"/>
  <c r="AA783" i="13"/>
  <c r="Z783" i="13"/>
  <c r="R783" i="13"/>
  <c r="K817" i="13" l="1"/>
  <c r="M817" i="13" s="1"/>
  <c r="K816" i="13"/>
  <c r="M816" i="13" s="1"/>
  <c r="K814" i="13"/>
  <c r="M814" i="13" s="1"/>
  <c r="K819" i="13"/>
  <c r="M819" i="13" s="1"/>
  <c r="K818" i="13"/>
  <c r="M818" i="13" s="1"/>
  <c r="K815" i="13"/>
  <c r="M815" i="13" s="1"/>
  <c r="AN783" i="13"/>
  <c r="AD783" i="13"/>
  <c r="BA783" i="13" s="1"/>
  <c r="S783" i="13"/>
  <c r="W783" i="13" s="1"/>
  <c r="AU813" i="13"/>
  <c r="AZ813" i="13" s="1"/>
  <c r="AJ813" i="13"/>
  <c r="AA813" i="13"/>
  <c r="AD813" i="13" s="1"/>
  <c r="Z813" i="13"/>
  <c r="S813" i="13"/>
  <c r="W813" i="13" s="1"/>
  <c r="AU812" i="13"/>
  <c r="AZ812" i="13" s="1"/>
  <c r="AJ812" i="13"/>
  <c r="AA812" i="13"/>
  <c r="AD812" i="13" s="1"/>
  <c r="Z812" i="13"/>
  <c r="AU811" i="13"/>
  <c r="AZ811" i="13" s="1"/>
  <c r="AJ811" i="13"/>
  <c r="AA811" i="13"/>
  <c r="AD811" i="13" s="1"/>
  <c r="Z811" i="13"/>
  <c r="S811" i="13"/>
  <c r="AU810" i="13"/>
  <c r="AZ810" i="13" s="1"/>
  <c r="AJ810" i="13"/>
  <c r="AA810" i="13"/>
  <c r="Z810" i="13"/>
  <c r="R810" i="13"/>
  <c r="AU809" i="13"/>
  <c r="AZ809" i="13" s="1"/>
  <c r="AJ809" i="13"/>
  <c r="AA809" i="13"/>
  <c r="AD809" i="13" s="1"/>
  <c r="Z809" i="13"/>
  <c r="S809" i="13"/>
  <c r="W809" i="13" s="1"/>
  <c r="AU808" i="13"/>
  <c r="AZ808" i="13" s="1"/>
  <c r="AJ808" i="13"/>
  <c r="AA808" i="13"/>
  <c r="AD808" i="13" s="1"/>
  <c r="Z808" i="13"/>
  <c r="AU807" i="13"/>
  <c r="AZ807" i="13" s="1"/>
  <c r="AJ807" i="13"/>
  <c r="AA807" i="13"/>
  <c r="Z807" i="13"/>
  <c r="R807" i="13"/>
  <c r="AU806" i="13"/>
  <c r="AZ806" i="13" s="1"/>
  <c r="AJ806" i="13"/>
  <c r="AA806" i="13"/>
  <c r="AD806" i="13" s="1"/>
  <c r="Z806" i="13"/>
  <c r="R806" i="13"/>
  <c r="AU805" i="13"/>
  <c r="AZ805" i="13" s="1"/>
  <c r="AJ805" i="13"/>
  <c r="Z805" i="13"/>
  <c r="AA805" i="13"/>
  <c r="AD805" i="13" s="1"/>
  <c r="S805" i="13"/>
  <c r="AU804" i="13"/>
  <c r="AZ804" i="13" s="1"/>
  <c r="AJ804" i="13"/>
  <c r="Z804" i="13"/>
  <c r="S804" i="13"/>
  <c r="AU803" i="13"/>
  <c r="AZ803" i="13" s="1"/>
  <c r="AJ803" i="13"/>
  <c r="AA803" i="13"/>
  <c r="Z803" i="13"/>
  <c r="R803" i="13"/>
  <c r="AU802" i="13"/>
  <c r="AZ802" i="13" s="1"/>
  <c r="AJ802" i="13"/>
  <c r="AA802" i="13"/>
  <c r="AD802" i="13" s="1"/>
  <c r="Z802" i="13"/>
  <c r="R802" i="13"/>
  <c r="AU801" i="13"/>
  <c r="AZ801" i="13" s="1"/>
  <c r="AJ801" i="13"/>
  <c r="AA801" i="13"/>
  <c r="AD801" i="13" s="1"/>
  <c r="Z801" i="13"/>
  <c r="AU798" i="13"/>
  <c r="AZ798" i="13" s="1"/>
  <c r="AJ798" i="13"/>
  <c r="AA798" i="13"/>
  <c r="AD798" i="13" s="1"/>
  <c r="Z798" i="13"/>
  <c r="S798" i="13"/>
  <c r="W798" i="13" s="1"/>
  <c r="AU797" i="13"/>
  <c r="AZ797" i="13" s="1"/>
  <c r="AJ797" i="13"/>
  <c r="AA797" i="13"/>
  <c r="AD797" i="13" s="1"/>
  <c r="Z797" i="13"/>
  <c r="R797" i="13"/>
  <c r="AU796" i="13"/>
  <c r="AZ796" i="13" s="1"/>
  <c r="AJ796" i="13"/>
  <c r="AA796" i="13"/>
  <c r="AD796" i="13" s="1"/>
  <c r="Z796" i="13"/>
  <c r="S796" i="13"/>
  <c r="W796" i="13" s="1"/>
  <c r="AU795" i="13"/>
  <c r="AZ795" i="13" s="1"/>
  <c r="AJ795" i="13"/>
  <c r="AA795" i="13"/>
  <c r="AD795" i="13" s="1"/>
  <c r="Z795" i="13"/>
  <c r="R795" i="13"/>
  <c r="AU794" i="13"/>
  <c r="AZ794" i="13" s="1"/>
  <c r="AJ794" i="13"/>
  <c r="AA794" i="13"/>
  <c r="AD794" i="13" s="1"/>
  <c r="Z794" i="13"/>
  <c r="S794" i="13"/>
  <c r="W794" i="13" s="1"/>
  <c r="AU793" i="13"/>
  <c r="AZ793" i="13" s="1"/>
  <c r="AJ793" i="13"/>
  <c r="AA793" i="13"/>
  <c r="AD793" i="13" s="1"/>
  <c r="Z793" i="13"/>
  <c r="S793" i="13"/>
  <c r="AU792" i="13"/>
  <c r="AZ792" i="13" s="1"/>
  <c r="AJ792" i="13"/>
  <c r="AA792" i="13"/>
  <c r="AD792" i="13" s="1"/>
  <c r="Z792" i="13"/>
  <c r="S792" i="13"/>
  <c r="AU791" i="13"/>
  <c r="AZ791" i="13" s="1"/>
  <c r="AJ791" i="13"/>
  <c r="AA791" i="13"/>
  <c r="AD791" i="13" s="1"/>
  <c r="Z791" i="13"/>
  <c r="R791" i="13"/>
  <c r="AU735" i="13"/>
  <c r="AZ735" i="13" s="1"/>
  <c r="AJ735" i="13"/>
  <c r="AA735" i="13"/>
  <c r="AD735" i="13" s="1"/>
  <c r="Z735" i="13"/>
  <c r="S735" i="13"/>
  <c r="W735" i="13" s="1"/>
  <c r="AU658" i="13"/>
  <c r="AZ658" i="13" s="1"/>
  <c r="AJ658" i="13"/>
  <c r="AA658" i="13"/>
  <c r="AD658" i="13" s="1"/>
  <c r="Z658" i="13"/>
  <c r="S658" i="13"/>
  <c r="W658" i="13" s="1"/>
  <c r="AU657" i="13"/>
  <c r="AZ657" i="13" s="1"/>
  <c r="AJ657" i="13"/>
  <c r="AA657" i="13"/>
  <c r="AD657" i="13" s="1"/>
  <c r="Z657" i="13"/>
  <c r="R657" i="13"/>
  <c r="AU656" i="13"/>
  <c r="AZ656" i="13" s="1"/>
  <c r="AJ656" i="13"/>
  <c r="AA656" i="13"/>
  <c r="AD656" i="13" s="1"/>
  <c r="Z656" i="13"/>
  <c r="S656" i="13"/>
  <c r="S814" i="13"/>
  <c r="W814" i="13" s="1"/>
  <c r="Z814" i="13"/>
  <c r="AA814" i="13"/>
  <c r="AD814" i="13" s="1"/>
  <c r="BA814" i="13" s="1"/>
  <c r="AJ814" i="13"/>
  <c r="R815" i="13"/>
  <c r="Z815" i="13"/>
  <c r="AA815" i="13"/>
  <c r="AD815" i="13" s="1"/>
  <c r="BA815" i="13" s="1"/>
  <c r="AJ815" i="13"/>
  <c r="R816" i="13"/>
  <c r="AV816" i="13"/>
  <c r="AX816" i="13" s="1"/>
  <c r="Z816" i="13"/>
  <c r="AA816" i="13"/>
  <c r="AD816" i="13" s="1"/>
  <c r="BA816" i="13" s="1"/>
  <c r="AJ816" i="13"/>
  <c r="S817" i="13"/>
  <c r="W817" i="13" s="1"/>
  <c r="Z817" i="13"/>
  <c r="AA817" i="13"/>
  <c r="AJ817" i="13"/>
  <c r="S818" i="13"/>
  <c r="W818" i="13" s="1"/>
  <c r="AV818" i="13"/>
  <c r="AX818" i="13" s="1"/>
  <c r="Z818" i="13"/>
  <c r="AA818" i="13"/>
  <c r="AD818" i="13" s="1"/>
  <c r="BA818" i="13" s="1"/>
  <c r="AJ818" i="13"/>
  <c r="S819" i="13"/>
  <c r="W819" i="13" s="1"/>
  <c r="Z819" i="13"/>
  <c r="AA819" i="13"/>
  <c r="AD819" i="13" s="1"/>
  <c r="BA819" i="13" s="1"/>
  <c r="AJ819" i="13"/>
  <c r="R820" i="13"/>
  <c r="Z820" i="13"/>
  <c r="AA820" i="13"/>
  <c r="AD820" i="13" s="1"/>
  <c r="AJ820" i="13"/>
  <c r="AU820" i="13"/>
  <c r="AZ820" i="13" s="1"/>
  <c r="U2" i="13"/>
  <c r="S710" i="13"/>
  <c r="S709" i="13"/>
  <c r="S708" i="13"/>
  <c r="S707" i="13"/>
  <c r="S706" i="13"/>
  <c r="S705" i="13"/>
  <c r="S704" i="13"/>
  <c r="S703" i="13"/>
  <c r="S702" i="13"/>
  <c r="S701" i="13"/>
  <c r="S700" i="13"/>
  <c r="S699" i="13"/>
  <c r="S669" i="13"/>
  <c r="S666" i="13"/>
  <c r="S665" i="13"/>
  <c r="S664" i="13"/>
  <c r="S662" i="13"/>
  <c r="S82" i="13"/>
  <c r="S81" i="13"/>
  <c r="AU785" i="13"/>
  <c r="AZ785" i="13" s="1"/>
  <c r="AU786" i="13"/>
  <c r="AZ786" i="13" s="1"/>
  <c r="AU787" i="13"/>
  <c r="AZ787" i="13" s="1"/>
  <c r="AU788" i="13"/>
  <c r="AZ788" i="13" s="1"/>
  <c r="AU789" i="13"/>
  <c r="AZ789" i="13" s="1"/>
  <c r="AU790" i="13"/>
  <c r="AZ790" i="13" s="1"/>
  <c r="AJ790" i="13"/>
  <c r="AJ789" i="13"/>
  <c r="AJ788" i="13"/>
  <c r="AJ787" i="13"/>
  <c r="AJ786" i="13"/>
  <c r="AJ785" i="13"/>
  <c r="AA790" i="13"/>
  <c r="AA789" i="13"/>
  <c r="AA788" i="13"/>
  <c r="AA787" i="13"/>
  <c r="AA786" i="13"/>
  <c r="AA785" i="13"/>
  <c r="Z790" i="13"/>
  <c r="Z789" i="13"/>
  <c r="Z788" i="13"/>
  <c r="Z787" i="13"/>
  <c r="Z786" i="13"/>
  <c r="Z785" i="13"/>
  <c r="T259" i="13" l="1"/>
  <c r="T264" i="13"/>
  <c r="T37" i="13"/>
  <c r="T260" i="13"/>
  <c r="T261" i="13"/>
  <c r="T35" i="13"/>
  <c r="T257" i="13"/>
  <c r="T262" i="13"/>
  <c r="T263" i="13"/>
  <c r="T256" i="13"/>
  <c r="T255" i="13"/>
  <c r="T258" i="13"/>
  <c r="T254" i="13"/>
  <c r="T253" i="13"/>
  <c r="T88" i="13"/>
  <c r="T86" i="13"/>
  <c r="T87" i="13"/>
  <c r="AV814" i="13"/>
  <c r="AX814" i="13" s="1"/>
  <c r="T109" i="13"/>
  <c r="T65" i="13"/>
  <c r="T64" i="13"/>
  <c r="T115" i="13"/>
  <c r="T114" i="13"/>
  <c r="T70" i="13"/>
  <c r="T105" i="13"/>
  <c r="T104" i="13"/>
  <c r="T108" i="13"/>
  <c r="T106" i="13"/>
  <c r="T107" i="13"/>
  <c r="T103" i="13"/>
  <c r="T102" i="13"/>
  <c r="T59" i="13"/>
  <c r="T58" i="13"/>
  <c r="T355" i="13"/>
  <c r="T358" i="13"/>
  <c r="T352" i="13"/>
  <c r="T360" i="13"/>
  <c r="T353" i="13"/>
  <c r="T356" i="13"/>
  <c r="T359" i="13"/>
  <c r="T361" i="13"/>
  <c r="T350" i="13"/>
  <c r="T354" i="13"/>
  <c r="T357" i="13"/>
  <c r="T351" i="13"/>
  <c r="T349" i="13"/>
  <c r="AV815" i="13"/>
  <c r="AX815" i="13" s="1"/>
  <c r="AV819" i="13"/>
  <c r="AX819" i="13" s="1"/>
  <c r="U93" i="13"/>
  <c r="U97" i="13"/>
  <c r="U101" i="13"/>
  <c r="U94" i="13"/>
  <c r="U98" i="13"/>
  <c r="U95" i="13"/>
  <c r="U99" i="13"/>
  <c r="U96" i="13"/>
  <c r="U100" i="13"/>
  <c r="U92" i="13"/>
  <c r="R92" i="13" s="1"/>
  <c r="T92" i="13"/>
  <c r="T97" i="13"/>
  <c r="T93" i="13"/>
  <c r="T100" i="13"/>
  <c r="T99" i="13"/>
  <c r="T95" i="13"/>
  <c r="T101" i="13"/>
  <c r="T96" i="13"/>
  <c r="T94" i="13"/>
  <c r="T98" i="13"/>
  <c r="T77" i="13"/>
  <c r="T79" i="13"/>
  <c r="T76" i="13"/>
  <c r="T78" i="13"/>
  <c r="T34" i="13"/>
  <c r="T43" i="13"/>
  <c r="T44" i="13"/>
  <c r="T40" i="13"/>
  <c r="T41" i="13"/>
  <c r="T318" i="13"/>
  <c r="T316" i="13"/>
  <c r="T314" i="13"/>
  <c r="T292" i="13"/>
  <c r="T290" i="13"/>
  <c r="T288" i="13"/>
  <c r="T308" i="13"/>
  <c r="T304" i="13"/>
  <c r="T302" i="13"/>
  <c r="T306" i="13"/>
  <c r="T296" i="13"/>
  <c r="T286" i="13"/>
  <c r="T278" i="13"/>
  <c r="T300" i="13"/>
  <c r="T310" i="13"/>
  <c r="T284" i="13"/>
  <c r="T276" i="13"/>
  <c r="T282" i="13"/>
  <c r="T274" i="13"/>
  <c r="T273" i="13"/>
  <c r="T272" i="13"/>
  <c r="T270" i="13"/>
  <c r="T268" i="13"/>
  <c r="T266" i="13"/>
  <c r="T281" i="13"/>
  <c r="T280" i="13"/>
  <c r="T299" i="13"/>
  <c r="T293" i="13"/>
  <c r="T301" i="13"/>
  <c r="T305" i="13"/>
  <c r="T317" i="13"/>
  <c r="T320" i="13"/>
  <c r="T322" i="13"/>
  <c r="T324" i="13"/>
  <c r="T326" i="13"/>
  <c r="T297" i="13"/>
  <c r="T279" i="13"/>
  <c r="T285" i="13"/>
  <c r="T295" i="13"/>
  <c r="T275" i="13"/>
  <c r="T294" i="13"/>
  <c r="T311" i="13"/>
  <c r="T315" i="13"/>
  <c r="T329" i="13"/>
  <c r="T269" i="13"/>
  <c r="T267" i="13"/>
  <c r="T277" i="13"/>
  <c r="T287" i="13"/>
  <c r="T289" i="13"/>
  <c r="T312" i="13"/>
  <c r="T298" i="13"/>
  <c r="T309" i="13"/>
  <c r="T328" i="13"/>
  <c r="T319" i="13"/>
  <c r="T321" i="13"/>
  <c r="T323" i="13"/>
  <c r="T325" i="13"/>
  <c r="T327" i="13"/>
  <c r="T330" i="13"/>
  <c r="T303" i="13"/>
  <c r="T313" i="13"/>
  <c r="T283" i="13"/>
  <c r="T271" i="13"/>
  <c r="T291" i="13"/>
  <c r="T307" i="13"/>
  <c r="T47" i="13"/>
  <c r="T196" i="13"/>
  <c r="T200" i="13"/>
  <c r="T182" i="13"/>
  <c r="T180" i="13"/>
  <c r="T178" i="13"/>
  <c r="T176" i="13"/>
  <c r="T174" i="13"/>
  <c r="T172" i="13"/>
  <c r="T170" i="13"/>
  <c r="T168" i="13"/>
  <c r="T166" i="13"/>
  <c r="T184" i="13"/>
  <c r="T183" i="13"/>
  <c r="T163" i="13"/>
  <c r="T161" i="13"/>
  <c r="T159" i="13"/>
  <c r="T157" i="13"/>
  <c r="T155" i="13"/>
  <c r="T190" i="13"/>
  <c r="T173" i="13"/>
  <c r="T165" i="13"/>
  <c r="T153" i="13"/>
  <c r="T151" i="13"/>
  <c r="T188" i="13"/>
  <c r="T186" i="13"/>
  <c r="T171" i="13"/>
  <c r="T149" i="13"/>
  <c r="T147" i="13"/>
  <c r="T145" i="13"/>
  <c r="T143" i="13"/>
  <c r="T141" i="13"/>
  <c r="T139" i="13"/>
  <c r="T137" i="13"/>
  <c r="T135" i="13"/>
  <c r="T133" i="13"/>
  <c r="T131" i="13"/>
  <c r="T129" i="13"/>
  <c r="T127" i="13"/>
  <c r="T125" i="13"/>
  <c r="T123" i="13"/>
  <c r="T121" i="13"/>
  <c r="T119" i="13"/>
  <c r="T198" i="13"/>
  <c r="T179" i="13"/>
  <c r="T120" i="13"/>
  <c r="T158" i="13"/>
  <c r="T185" i="13"/>
  <c r="T126" i="13"/>
  <c r="T134" i="13"/>
  <c r="T142" i="13"/>
  <c r="T152" i="13"/>
  <c r="T194" i="13"/>
  <c r="T164" i="13"/>
  <c r="T202" i="13"/>
  <c r="T140" i="13"/>
  <c r="T156" i="13"/>
  <c r="T167" i="13"/>
  <c r="T192" i="13"/>
  <c r="T162" i="13"/>
  <c r="T169" i="13"/>
  <c r="T128" i="13"/>
  <c r="T136" i="13"/>
  <c r="T144" i="13"/>
  <c r="T177" i="13"/>
  <c r="T187" i="13"/>
  <c r="T181" i="13"/>
  <c r="T193" i="13"/>
  <c r="T191" i="13"/>
  <c r="T154" i="13"/>
  <c r="T124" i="13"/>
  <c r="T132" i="13"/>
  <c r="T148" i="13"/>
  <c r="T160" i="13"/>
  <c r="T199" i="13"/>
  <c r="T118" i="13"/>
  <c r="T122" i="13"/>
  <c r="T201" i="13"/>
  <c r="T130" i="13"/>
  <c r="T138" i="13"/>
  <c r="T146" i="13"/>
  <c r="T150" i="13"/>
  <c r="T175" i="13"/>
  <c r="T197" i="13"/>
  <c r="T195" i="13"/>
  <c r="T189" i="13"/>
  <c r="K787" i="13"/>
  <c r="M787" i="13" s="1"/>
  <c r="K790" i="13"/>
  <c r="M790" i="13" s="1"/>
  <c r="K786" i="13"/>
  <c r="M786" i="13" s="1"/>
  <c r="N786" i="13" s="1"/>
  <c r="K804" i="13"/>
  <c r="M804" i="13" s="1"/>
  <c r="K789" i="13"/>
  <c r="M789" i="13" s="1"/>
  <c r="K785" i="13"/>
  <c r="AV785" i="13" s="1"/>
  <c r="AX785" i="13" s="1"/>
  <c r="AC805" i="13"/>
  <c r="AE805" i="13" s="1"/>
  <c r="K805" i="13"/>
  <c r="M805" i="13" s="1"/>
  <c r="AC783" i="13"/>
  <c r="AE783" i="13" s="1"/>
  <c r="AO783" i="13" s="1"/>
  <c r="K783" i="13"/>
  <c r="M783" i="13" s="1"/>
  <c r="AC788" i="13"/>
  <c r="K788" i="13"/>
  <c r="M788" i="13" s="1"/>
  <c r="T340" i="13"/>
  <c r="T348" i="13"/>
  <c r="T339" i="13"/>
  <c r="T343" i="13"/>
  <c r="T347" i="13"/>
  <c r="T342" i="13"/>
  <c r="T346" i="13"/>
  <c r="T341" i="13"/>
  <c r="T345" i="13"/>
  <c r="T344" i="13"/>
  <c r="T208" i="13"/>
  <c r="T215" i="13"/>
  <c r="T220" i="13"/>
  <c r="T203" i="13"/>
  <c r="T212" i="13"/>
  <c r="T223" i="13"/>
  <c r="T204" i="13"/>
  <c r="T228" i="13"/>
  <c r="T205" i="13"/>
  <c r="T211" i="13"/>
  <c r="T230" i="13"/>
  <c r="T218" i="13"/>
  <c r="T227" i="13"/>
  <c r="T216" i="13"/>
  <c r="T209" i="13"/>
  <c r="T229" i="13"/>
  <c r="T222" i="13"/>
  <c r="T214" i="13"/>
  <c r="T219" i="13"/>
  <c r="T206" i="13"/>
  <c r="T221" i="13"/>
  <c r="T224" i="13"/>
  <c r="T207" i="13"/>
  <c r="T217" i="13"/>
  <c r="T225" i="13"/>
  <c r="T226" i="13"/>
  <c r="T213" i="13"/>
  <c r="T231" i="13"/>
  <c r="T210" i="13"/>
  <c r="T233" i="13"/>
  <c r="T241" i="13"/>
  <c r="T237" i="13"/>
  <c r="T235" i="13"/>
  <c r="T239" i="13"/>
  <c r="T236" i="13"/>
  <c r="T238" i="13"/>
  <c r="T240" i="13"/>
  <c r="T232" i="13"/>
  <c r="T234" i="13"/>
  <c r="T863" i="13"/>
  <c r="T334" i="13"/>
  <c r="T332" i="13"/>
  <c r="T333" i="13"/>
  <c r="T331" i="13"/>
  <c r="BA657" i="13"/>
  <c r="BA792" i="13"/>
  <c r="T265" i="13"/>
  <c r="T243" i="13"/>
  <c r="T245" i="13"/>
  <c r="T247" i="13"/>
  <c r="T251" i="13"/>
  <c r="T242" i="13"/>
  <c r="T249" i="13"/>
  <c r="T244" i="13"/>
  <c r="T248" i="13"/>
  <c r="T246" i="13"/>
  <c r="T252" i="13"/>
  <c r="T250" i="13"/>
  <c r="T10" i="13"/>
  <c r="T18" i="13"/>
  <c r="T20" i="13"/>
  <c r="T8" i="13"/>
  <c r="T16" i="13"/>
  <c r="T12" i="13"/>
  <c r="T14" i="13"/>
  <c r="T19" i="13"/>
  <c r="T17" i="13"/>
  <c r="T11" i="13"/>
  <c r="T13" i="13"/>
  <c r="T15" i="13"/>
  <c r="T9" i="13"/>
  <c r="T870" i="13"/>
  <c r="T866" i="13"/>
  <c r="T869" i="13"/>
  <c r="T871" i="13"/>
  <c r="T868" i="13"/>
  <c r="T867" i="13"/>
  <c r="T864" i="13"/>
  <c r="BA796" i="13"/>
  <c r="BA735" i="13"/>
  <c r="BA794" i="13"/>
  <c r="BA798" i="13"/>
  <c r="BA802" i="13"/>
  <c r="AB29" i="61"/>
  <c r="AD817" i="13"/>
  <c r="AA29" i="61"/>
  <c r="AJ29" i="61"/>
  <c r="AV817" i="13"/>
  <c r="AX817" i="13" s="1"/>
  <c r="K28" i="61"/>
  <c r="Z28" i="61"/>
  <c r="BA811" i="13"/>
  <c r="BA805" i="13"/>
  <c r="BA820" i="13"/>
  <c r="BA808" i="13"/>
  <c r="BA813" i="13"/>
  <c r="BA656" i="13"/>
  <c r="BA658" i="13"/>
  <c r="BA791" i="13"/>
  <c r="BA793" i="13"/>
  <c r="BA795" i="13"/>
  <c r="BA797" i="13"/>
  <c r="BA801" i="13"/>
  <c r="BA806" i="13"/>
  <c r="BA809" i="13"/>
  <c r="BA812" i="13"/>
  <c r="T878" i="13"/>
  <c r="T879" i="13"/>
  <c r="T875" i="13"/>
  <c r="T874" i="13"/>
  <c r="T873" i="13"/>
  <c r="T876" i="13"/>
  <c r="T877" i="13"/>
  <c r="T872" i="13"/>
  <c r="T865" i="13"/>
  <c r="AY818" i="13"/>
  <c r="AY816" i="13"/>
  <c r="T855" i="13"/>
  <c r="T856" i="13"/>
  <c r="T5" i="13"/>
  <c r="T799" i="13"/>
  <c r="T800" i="13"/>
  <c r="T852" i="13"/>
  <c r="T851" i="13"/>
  <c r="T859" i="13"/>
  <c r="T862" i="13"/>
  <c r="T858" i="13"/>
  <c r="T861" i="13"/>
  <c r="T860" i="13"/>
  <c r="T857" i="13"/>
  <c r="T45" i="13"/>
  <c r="AD785" i="13"/>
  <c r="BA785" i="13" s="1"/>
  <c r="AD789" i="13"/>
  <c r="BA789" i="13" s="1"/>
  <c r="AD787" i="13"/>
  <c r="BA787" i="13" s="1"/>
  <c r="AD786" i="13"/>
  <c r="BA786" i="13" s="1"/>
  <c r="AD790" i="13"/>
  <c r="BA790" i="13" s="1"/>
  <c r="T837" i="13"/>
  <c r="T839" i="13"/>
  <c r="T840" i="13"/>
  <c r="T838" i="13"/>
  <c r="T636" i="13"/>
  <c r="T42" i="13"/>
  <c r="T39" i="13"/>
  <c r="T635" i="13"/>
  <c r="T784" i="13"/>
  <c r="T829" i="13"/>
  <c r="T828" i="13"/>
  <c r="T782" i="13"/>
  <c r="T833" i="13"/>
  <c r="T830" i="13"/>
  <c r="T832" i="13"/>
  <c r="T836" i="13"/>
  <c r="T841" i="13"/>
  <c r="T847" i="13"/>
  <c r="T850" i="13"/>
  <c r="T846" i="13"/>
  <c r="T835" i="13"/>
  <c r="T831" i="13"/>
  <c r="T834" i="13"/>
  <c r="T842" i="13"/>
  <c r="T854" i="13"/>
  <c r="T845" i="13"/>
  <c r="T849" i="13"/>
  <c r="T843" i="13"/>
  <c r="T844" i="13"/>
  <c r="T848" i="13"/>
  <c r="T853" i="13"/>
  <c r="T826" i="13"/>
  <c r="T824" i="13"/>
  <c r="T822" i="13"/>
  <c r="T827" i="13"/>
  <c r="T825" i="13"/>
  <c r="T821" i="13"/>
  <c r="T823" i="13"/>
  <c r="T783" i="13"/>
  <c r="S785" i="13"/>
  <c r="W785" i="13" s="1"/>
  <c r="R785" i="13"/>
  <c r="S790" i="13"/>
  <c r="W790" i="13" s="1"/>
  <c r="R790" i="13"/>
  <c r="S789" i="13"/>
  <c r="W789" i="13" s="1"/>
  <c r="R789" i="13"/>
  <c r="S788" i="13"/>
  <c r="W788" i="13" s="1"/>
  <c r="R788" i="13"/>
  <c r="S787" i="13"/>
  <c r="W787" i="13" s="1"/>
  <c r="R787" i="13"/>
  <c r="S786" i="13"/>
  <c r="W786" i="13" s="1"/>
  <c r="R786" i="13"/>
  <c r="S791" i="13"/>
  <c r="W791" i="13" s="1"/>
  <c r="AN791" i="13"/>
  <c r="R792" i="13"/>
  <c r="AN794" i="13"/>
  <c r="S803" i="13"/>
  <c r="W803" i="13" s="1"/>
  <c r="AN803" i="13"/>
  <c r="AN808" i="13"/>
  <c r="AN795" i="13"/>
  <c r="AN796" i="13"/>
  <c r="AN804" i="13"/>
  <c r="AN812" i="13"/>
  <c r="S802" i="13"/>
  <c r="W802" i="13" s="1"/>
  <c r="AN792" i="13"/>
  <c r="S797" i="13"/>
  <c r="T797" i="13" s="1"/>
  <c r="AN798" i="13"/>
  <c r="AN805" i="13"/>
  <c r="S806" i="13"/>
  <c r="W806" i="13" s="1"/>
  <c r="AN806" i="13"/>
  <c r="R809" i="13"/>
  <c r="S810" i="13"/>
  <c r="W810" i="13" s="1"/>
  <c r="AN810" i="13"/>
  <c r="R811" i="13"/>
  <c r="R813" i="13"/>
  <c r="AN793" i="13"/>
  <c r="R794" i="13"/>
  <c r="S795" i="13"/>
  <c r="W795" i="13" s="1"/>
  <c r="R796" i="13"/>
  <c r="AN801" i="13"/>
  <c r="R805" i="13"/>
  <c r="AN807" i="13"/>
  <c r="T813" i="13"/>
  <c r="AN802" i="13"/>
  <c r="S807" i="13"/>
  <c r="W807" i="13" s="1"/>
  <c r="AN809" i="13"/>
  <c r="AN813" i="13"/>
  <c r="T798" i="13"/>
  <c r="T794" i="13"/>
  <c r="T796" i="13"/>
  <c r="T793" i="13"/>
  <c r="W793" i="13"/>
  <c r="W792" i="13"/>
  <c r="T792" i="13"/>
  <c r="AA804" i="13"/>
  <c r="W805" i="13"/>
  <c r="T805" i="13"/>
  <c r="AN811" i="13"/>
  <c r="S812" i="13"/>
  <c r="R812" i="13"/>
  <c r="R793" i="13"/>
  <c r="S801" i="13"/>
  <c r="R801" i="13"/>
  <c r="AD803" i="13"/>
  <c r="BA803" i="13" s="1"/>
  <c r="T809" i="13"/>
  <c r="W811" i="13"/>
  <c r="T811" i="13"/>
  <c r="AN797" i="13"/>
  <c r="R798" i="13"/>
  <c r="S808" i="13"/>
  <c r="R808" i="13"/>
  <c r="T804" i="13"/>
  <c r="W804" i="13"/>
  <c r="AD807" i="13"/>
  <c r="BA807" i="13" s="1"/>
  <c r="AD810" i="13"/>
  <c r="BA810" i="13" s="1"/>
  <c r="R804" i="13"/>
  <c r="R735" i="13"/>
  <c r="AN657" i="13"/>
  <c r="AN735" i="13"/>
  <c r="T735" i="13"/>
  <c r="AN819" i="13"/>
  <c r="AN815" i="13"/>
  <c r="S657" i="13"/>
  <c r="W657" i="13" s="1"/>
  <c r="R658" i="13"/>
  <c r="AN818" i="13"/>
  <c r="AN816" i="13"/>
  <c r="S820" i="13"/>
  <c r="W820" i="13" s="1"/>
  <c r="R819" i="13"/>
  <c r="R814" i="13"/>
  <c r="R817" i="13"/>
  <c r="S815" i="13"/>
  <c r="W815" i="13" s="1"/>
  <c r="S816" i="13"/>
  <c r="W816" i="13" s="1"/>
  <c r="AN814" i="13"/>
  <c r="AN656" i="13"/>
  <c r="AN658" i="13"/>
  <c r="AN820" i="13"/>
  <c r="AN817" i="13"/>
  <c r="W656" i="13"/>
  <c r="T656" i="13"/>
  <c r="R656" i="13"/>
  <c r="T658" i="13"/>
  <c r="AC819" i="13"/>
  <c r="AE819" i="13" s="1"/>
  <c r="AL819" i="13" s="1"/>
  <c r="R818" i="13"/>
  <c r="AC815" i="13"/>
  <c r="AE815" i="13" s="1"/>
  <c r="AL815" i="13" s="1"/>
  <c r="AC817" i="13"/>
  <c r="AC818" i="13"/>
  <c r="AE818" i="13" s="1"/>
  <c r="AK818" i="13" s="1"/>
  <c r="AM818" i="13" s="1"/>
  <c r="AC816" i="13"/>
  <c r="AE816" i="13" s="1"/>
  <c r="AK816" i="13" s="1"/>
  <c r="AM816" i="13" s="1"/>
  <c r="AC814" i="13"/>
  <c r="AE814" i="13" s="1"/>
  <c r="AL814" i="13" s="1"/>
  <c r="T819" i="13"/>
  <c r="T818" i="13"/>
  <c r="T814" i="13"/>
  <c r="T817" i="13"/>
  <c r="AN787" i="13"/>
  <c r="AN788" i="13"/>
  <c r="AN785" i="13"/>
  <c r="AN789" i="13"/>
  <c r="AN786" i="13"/>
  <c r="AN790" i="13"/>
  <c r="AD788" i="13"/>
  <c r="BA788" i="13" s="1"/>
  <c r="AY814" i="13" l="1"/>
  <c r="AY819" i="13"/>
  <c r="AV786" i="13"/>
  <c r="AX786" i="13" s="1"/>
  <c r="AY815" i="13"/>
  <c r="AD102" i="13"/>
  <c r="R102" i="13"/>
  <c r="M785" i="13"/>
  <c r="N785" i="13" s="1"/>
  <c r="AD92" i="13"/>
  <c r="BA92" i="13" s="1"/>
  <c r="BB92" i="13" s="1"/>
  <c r="AD96" i="13"/>
  <c r="R96" i="13"/>
  <c r="AD94" i="13"/>
  <c r="R94" i="13"/>
  <c r="AD99" i="13"/>
  <c r="R99" i="13"/>
  <c r="R101" i="13"/>
  <c r="AD101" i="13"/>
  <c r="AD95" i="13"/>
  <c r="R95" i="13"/>
  <c r="AD97" i="13"/>
  <c r="R97" i="13"/>
  <c r="AD100" i="13"/>
  <c r="R100" i="13"/>
  <c r="AD98" i="13"/>
  <c r="R98" i="13"/>
  <c r="R93" i="13"/>
  <c r="AD93" i="13"/>
  <c r="N788" i="13"/>
  <c r="N790" i="13"/>
  <c r="AV787" i="13"/>
  <c r="AX787" i="13" s="1"/>
  <c r="N787" i="13"/>
  <c r="N789" i="13"/>
  <c r="AV789" i="13"/>
  <c r="AX789" i="13" s="1"/>
  <c r="AV790" i="13"/>
  <c r="AX790" i="13" s="1"/>
  <c r="AV788" i="13"/>
  <c r="AX788" i="13" s="1"/>
  <c r="AC809" i="13"/>
  <c r="AE809" i="13" s="1"/>
  <c r="AO809" i="13" s="1"/>
  <c r="K809" i="13"/>
  <c r="M809" i="13" s="1"/>
  <c r="K798" i="13"/>
  <c r="M798" i="13" s="1"/>
  <c r="AC798" i="13"/>
  <c r="AE798" i="13" s="1"/>
  <c r="AO798" i="13" s="1"/>
  <c r="AC791" i="13"/>
  <c r="AE791" i="13" s="1"/>
  <c r="AO791" i="13" s="1"/>
  <c r="K791" i="13"/>
  <c r="M791" i="13" s="1"/>
  <c r="AC812" i="13"/>
  <c r="AE812" i="13" s="1"/>
  <c r="AO812" i="13" s="1"/>
  <c r="K812" i="13"/>
  <c r="M812" i="13" s="1"/>
  <c r="AC793" i="13"/>
  <c r="AE793" i="13" s="1"/>
  <c r="AO793" i="13" s="1"/>
  <c r="K793" i="13"/>
  <c r="M793" i="13" s="1"/>
  <c r="AC656" i="13"/>
  <c r="AE656" i="13" s="1"/>
  <c r="AO656" i="13" s="1"/>
  <c r="K656" i="13"/>
  <c r="M656" i="13" s="1"/>
  <c r="AC807" i="13"/>
  <c r="AE807" i="13" s="1"/>
  <c r="AK807" i="13" s="1"/>
  <c r="AM807" i="13" s="1"/>
  <c r="K807" i="13"/>
  <c r="M807" i="13" s="1"/>
  <c r="AC803" i="13"/>
  <c r="AE803" i="13" s="1"/>
  <c r="AO803" i="13" s="1"/>
  <c r="K803" i="13"/>
  <c r="M803" i="13" s="1"/>
  <c r="AC658" i="13"/>
  <c r="AE658" i="13" s="1"/>
  <c r="AO658" i="13" s="1"/>
  <c r="K658" i="13"/>
  <c r="M658" i="13" s="1"/>
  <c r="AC806" i="13"/>
  <c r="AE806" i="13" s="1"/>
  <c r="AK806" i="13" s="1"/>
  <c r="AM806" i="13" s="1"/>
  <c r="K806" i="13"/>
  <c r="M806" i="13" s="1"/>
  <c r="AC795" i="13"/>
  <c r="AE795" i="13" s="1"/>
  <c r="AL795" i="13" s="1"/>
  <c r="K795" i="13"/>
  <c r="M795" i="13" s="1"/>
  <c r="AC657" i="13"/>
  <c r="AE657" i="13" s="1"/>
  <c r="AL657" i="13" s="1"/>
  <c r="K657" i="13"/>
  <c r="M657" i="13" s="1"/>
  <c r="AC813" i="13"/>
  <c r="AE813" i="13" s="1"/>
  <c r="AO813" i="13" s="1"/>
  <c r="K813" i="13"/>
  <c r="M813" i="13" s="1"/>
  <c r="AC801" i="13"/>
  <c r="AE801" i="13" s="1"/>
  <c r="AL801" i="13" s="1"/>
  <c r="K801" i="13"/>
  <c r="M801" i="13" s="1"/>
  <c r="K794" i="13"/>
  <c r="M794" i="13" s="1"/>
  <c r="AC794" i="13"/>
  <c r="AE794" i="13" s="1"/>
  <c r="AO794" i="13" s="1"/>
  <c r="AC820" i="13"/>
  <c r="AE820" i="13" s="1"/>
  <c r="AO820" i="13" s="1"/>
  <c r="K820" i="13"/>
  <c r="M820" i="13" s="1"/>
  <c r="AV783" i="13"/>
  <c r="AC808" i="13"/>
  <c r="AE808" i="13" s="1"/>
  <c r="AL808" i="13" s="1"/>
  <c r="K808" i="13"/>
  <c r="M808" i="13" s="1"/>
  <c r="AC797" i="13"/>
  <c r="AE797" i="13" s="1"/>
  <c r="AO797" i="13" s="1"/>
  <c r="K797" i="13"/>
  <c r="M797" i="13" s="1"/>
  <c r="AC735" i="13"/>
  <c r="AE735" i="13" s="1"/>
  <c r="AK735" i="13" s="1"/>
  <c r="AM735" i="13" s="1"/>
  <c r="K735" i="13"/>
  <c r="M735" i="13" s="1"/>
  <c r="AC811" i="13"/>
  <c r="AE811" i="13" s="1"/>
  <c r="AO811" i="13" s="1"/>
  <c r="K811" i="13"/>
  <c r="M811" i="13" s="1"/>
  <c r="AC796" i="13"/>
  <c r="AE796" i="13" s="1"/>
  <c r="AL796" i="13" s="1"/>
  <c r="K796" i="13"/>
  <c r="M796" i="13" s="1"/>
  <c r="K810" i="13"/>
  <c r="M810" i="13" s="1"/>
  <c r="AC810" i="13"/>
  <c r="AE810" i="13" s="1"/>
  <c r="AO810" i="13" s="1"/>
  <c r="K802" i="13"/>
  <c r="M802" i="13" s="1"/>
  <c r="AC802" i="13"/>
  <c r="AE802" i="13" s="1"/>
  <c r="AK802" i="13" s="1"/>
  <c r="AM802" i="13" s="1"/>
  <c r="AC792" i="13"/>
  <c r="AE792" i="13" s="1"/>
  <c r="AK792" i="13" s="1"/>
  <c r="AM792" i="13" s="1"/>
  <c r="K792" i="13"/>
  <c r="M792" i="13" s="1"/>
  <c r="Q819" i="13"/>
  <c r="N819" i="13"/>
  <c r="Q814" i="13"/>
  <c r="N814" i="13"/>
  <c r="Q815" i="13"/>
  <c r="N815" i="13"/>
  <c r="Q816" i="13"/>
  <c r="N816" i="13"/>
  <c r="Q818" i="13"/>
  <c r="N818" i="13"/>
  <c r="Q805" i="13"/>
  <c r="N805" i="13"/>
  <c r="AY817" i="13"/>
  <c r="AN28" i="61"/>
  <c r="N817" i="13"/>
  <c r="L28" i="61"/>
  <c r="BA817" i="13"/>
  <c r="AD29" i="61"/>
  <c r="AE817" i="13"/>
  <c r="AE29" i="61" s="1"/>
  <c r="AC29" i="61"/>
  <c r="AC790" i="13"/>
  <c r="AE790" i="13" s="1"/>
  <c r="AK790" i="13" s="1"/>
  <c r="AM790" i="13" s="1"/>
  <c r="AC787" i="13"/>
  <c r="AE787" i="13" s="1"/>
  <c r="AK787" i="13" s="1"/>
  <c r="AM787" i="13" s="1"/>
  <c r="AC785" i="13"/>
  <c r="AE785" i="13" s="1"/>
  <c r="AL785" i="13" s="1"/>
  <c r="AC786" i="13"/>
  <c r="AE786" i="13" s="1"/>
  <c r="AO786" i="13" s="1"/>
  <c r="AC789" i="13"/>
  <c r="AE789" i="13" s="1"/>
  <c r="AL789" i="13" s="1"/>
  <c r="AY785" i="13"/>
  <c r="Q787" i="13"/>
  <c r="Q786" i="13"/>
  <c r="AT786" i="13" s="1"/>
  <c r="Q790" i="13"/>
  <c r="T788" i="13"/>
  <c r="T790" i="13"/>
  <c r="AV805" i="13"/>
  <c r="AX805" i="13" s="1"/>
  <c r="AL783" i="13"/>
  <c r="AK783" i="13"/>
  <c r="AM783" i="13" s="1"/>
  <c r="T785" i="13"/>
  <c r="T789" i="13"/>
  <c r="T787" i="13"/>
  <c r="T786" i="13"/>
  <c r="T795" i="13"/>
  <c r="T807" i="13"/>
  <c r="T803" i="13"/>
  <c r="T810" i="13"/>
  <c r="T791" i="13"/>
  <c r="T806" i="13"/>
  <c r="T802" i="13"/>
  <c r="W797" i="13"/>
  <c r="AD804" i="13"/>
  <c r="BA804" i="13" s="1"/>
  <c r="AC804" i="13"/>
  <c r="T808" i="13"/>
  <c r="W808" i="13"/>
  <c r="T812" i="13"/>
  <c r="W812" i="13"/>
  <c r="AO805" i="13"/>
  <c r="AK805" i="13"/>
  <c r="AM805" i="13" s="1"/>
  <c r="AL805" i="13"/>
  <c r="W801" i="13"/>
  <c r="T801" i="13"/>
  <c r="AV804" i="13"/>
  <c r="AX804" i="13" s="1"/>
  <c r="T657" i="13"/>
  <c r="T820" i="13"/>
  <c r="AO819" i="13"/>
  <c r="AK819" i="13"/>
  <c r="AM819" i="13" s="1"/>
  <c r="AO816" i="13"/>
  <c r="T815" i="13"/>
  <c r="T816" i="13"/>
  <c r="AO814" i="13"/>
  <c r="AL818" i="13"/>
  <c r="AL816" i="13"/>
  <c r="AK815" i="13"/>
  <c r="AM815" i="13" s="1"/>
  <c r="AO815" i="13"/>
  <c r="AO818" i="13"/>
  <c r="AK814" i="13"/>
  <c r="AM814" i="13" s="1"/>
  <c r="AE788" i="13"/>
  <c r="AL788" i="13" s="1"/>
  <c r="AY786" i="13" l="1"/>
  <c r="BA102" i="13"/>
  <c r="BB102" i="13" s="1"/>
  <c r="AE102" i="13"/>
  <c r="Q785" i="13"/>
  <c r="AT785" i="13" s="1"/>
  <c r="AY787" i="13"/>
  <c r="Q788" i="13"/>
  <c r="Q789" i="13"/>
  <c r="AT789" i="13" s="1"/>
  <c r="AY788" i="13"/>
  <c r="AT787" i="13"/>
  <c r="AE92" i="13"/>
  <c r="AO92" i="13" s="1"/>
  <c r="AT790" i="13"/>
  <c r="BA101" i="13"/>
  <c r="BB101" i="13" s="1"/>
  <c r="AE101" i="13"/>
  <c r="AE98" i="13"/>
  <c r="BA98" i="13"/>
  <c r="BB98" i="13" s="1"/>
  <c r="BA97" i="13"/>
  <c r="BB97" i="13" s="1"/>
  <c r="AE97" i="13"/>
  <c r="BA94" i="13"/>
  <c r="BB94" i="13" s="1"/>
  <c r="AE94" i="13"/>
  <c r="BA100" i="13"/>
  <c r="BB100" i="13" s="1"/>
  <c r="AE100" i="13"/>
  <c r="BA95" i="13"/>
  <c r="BB95" i="13" s="1"/>
  <c r="AE95" i="13"/>
  <c r="BA99" i="13"/>
  <c r="BB99" i="13" s="1"/>
  <c r="AE99" i="13"/>
  <c r="BA96" i="13"/>
  <c r="BB96" i="13" s="1"/>
  <c r="AE96" i="13"/>
  <c r="BA93" i="13"/>
  <c r="BB93" i="13" s="1"/>
  <c r="AE93" i="13"/>
  <c r="AT788" i="13"/>
  <c r="AL806" i="13"/>
  <c r="AO657" i="13"/>
  <c r="AL794" i="13"/>
  <c r="AY789" i="13"/>
  <c r="AK794" i="13"/>
  <c r="AM794" i="13" s="1"/>
  <c r="AL656" i="13"/>
  <c r="AK657" i="13"/>
  <c r="AM657" i="13" s="1"/>
  <c r="AO802" i="13"/>
  <c r="AL798" i="13"/>
  <c r="AK798" i="13"/>
  <c r="AM798" i="13" s="1"/>
  <c r="AL802" i="13"/>
  <c r="AK656" i="13"/>
  <c r="AM656" i="13" s="1"/>
  <c r="AO806" i="13"/>
  <c r="AK812" i="13"/>
  <c r="AM812" i="13" s="1"/>
  <c r="AY790" i="13"/>
  <c r="AK820" i="13"/>
  <c r="AM820" i="13" s="1"/>
  <c r="AK813" i="13"/>
  <c r="AM813" i="13" s="1"/>
  <c r="AO735" i="13"/>
  <c r="AK809" i="13"/>
  <c r="AM809" i="13" s="1"/>
  <c r="AL791" i="13"/>
  <c r="AO808" i="13"/>
  <c r="AL820" i="13"/>
  <c r="AL793" i="13"/>
  <c r="AO801" i="13"/>
  <c r="AK801" i="13"/>
  <c r="AM801" i="13" s="1"/>
  <c r="AL812" i="13"/>
  <c r="AL735" i="13"/>
  <c r="AL792" i="13"/>
  <c r="AK796" i="13"/>
  <c r="AM796" i="13" s="1"/>
  <c r="AK808" i="13"/>
  <c r="AM808" i="13" s="1"/>
  <c r="AO796" i="13"/>
  <c r="AL811" i="13"/>
  <c r="AK795" i="13"/>
  <c r="AM795" i="13" s="1"/>
  <c r="AL658" i="13"/>
  <c r="AL809" i="13"/>
  <c r="AL813" i="13"/>
  <c r="AK811" i="13"/>
  <c r="AM811" i="13" s="1"/>
  <c r="AK791" i="13"/>
  <c r="AM791" i="13" s="1"/>
  <c r="AL797" i="13"/>
  <c r="AK793" i="13"/>
  <c r="AM793" i="13" s="1"/>
  <c r="AK658" i="13"/>
  <c r="AM658" i="13" s="1"/>
  <c r="AO792" i="13"/>
  <c r="AK797" i="13"/>
  <c r="AM797" i="13" s="1"/>
  <c r="AO795" i="13"/>
  <c r="AV796" i="13"/>
  <c r="AV735" i="13"/>
  <c r="AV808" i="13"/>
  <c r="AV820" i="13"/>
  <c r="AV801" i="13"/>
  <c r="AV657" i="13"/>
  <c r="AV806" i="13"/>
  <c r="AV803" i="13"/>
  <c r="AV656" i="13"/>
  <c r="AV812" i="13"/>
  <c r="AV802" i="13"/>
  <c r="AV798" i="13"/>
  <c r="AV792" i="13"/>
  <c r="AV811" i="13"/>
  <c r="AV797" i="13"/>
  <c r="N783" i="13"/>
  <c r="Q783" i="13"/>
  <c r="AV813" i="13"/>
  <c r="AV795" i="13"/>
  <c r="AV658" i="13"/>
  <c r="AV807" i="13"/>
  <c r="AV793" i="13"/>
  <c r="AV791" i="13"/>
  <c r="AV809" i="13"/>
  <c r="AV810" i="13"/>
  <c r="AX783" i="13"/>
  <c r="AY783" i="13"/>
  <c r="AV794" i="13"/>
  <c r="AT816" i="13"/>
  <c r="AT814" i="13"/>
  <c r="AT818" i="13"/>
  <c r="AO817" i="13"/>
  <c r="AT805" i="13"/>
  <c r="Q804" i="13"/>
  <c r="N804" i="13"/>
  <c r="AK817" i="13"/>
  <c r="AM817" i="13" s="1"/>
  <c r="AL817" i="13"/>
  <c r="AL29" i="61" s="1"/>
  <c r="AO28" i="61"/>
  <c r="Q817" i="13"/>
  <c r="Q28" i="61" s="1"/>
  <c r="M28" i="61"/>
  <c r="AK29" i="61"/>
  <c r="AY805" i="13"/>
  <c r="AY804" i="13"/>
  <c r="AK785" i="13"/>
  <c r="AM785" i="13" s="1"/>
  <c r="AL790" i="13"/>
  <c r="AO790" i="13"/>
  <c r="AK789" i="13"/>
  <c r="AM789" i="13" s="1"/>
  <c r="AL787" i="13"/>
  <c r="AO789" i="13"/>
  <c r="AO787" i="13"/>
  <c r="AO785" i="13"/>
  <c r="AK786" i="13"/>
  <c r="AM786" i="13" s="1"/>
  <c r="AL786" i="13"/>
  <c r="AT815" i="13"/>
  <c r="AT819" i="13"/>
  <c r="AO807" i="13"/>
  <c r="AL810" i="13"/>
  <c r="AL807" i="13"/>
  <c r="AL803" i="13"/>
  <c r="AK810" i="13"/>
  <c r="AM810" i="13" s="1"/>
  <c r="AK803" i="13"/>
  <c r="AM803" i="13" s="1"/>
  <c r="AE804" i="13"/>
  <c r="AL804" i="13" s="1"/>
  <c r="AO788" i="13"/>
  <c r="AK788" i="13"/>
  <c r="AM788" i="13" s="1"/>
  <c r="AL102" i="13" l="1"/>
  <c r="AO102" i="13"/>
  <c r="AK102" i="13"/>
  <c r="AM102" i="13" s="1"/>
  <c r="AK92" i="13"/>
  <c r="AM92" i="13" s="1"/>
  <c r="AL92" i="13"/>
  <c r="AK96" i="13"/>
  <c r="AM96" i="13" s="1"/>
  <c r="AO96" i="13"/>
  <c r="AL96" i="13"/>
  <c r="AL95" i="13"/>
  <c r="AK95" i="13"/>
  <c r="AM95" i="13" s="1"/>
  <c r="AO95" i="13"/>
  <c r="AK94" i="13"/>
  <c r="AM94" i="13" s="1"/>
  <c r="AL94" i="13"/>
  <c r="AO94" i="13"/>
  <c r="AO98" i="13"/>
  <c r="AK98" i="13"/>
  <c r="AM98" i="13" s="1"/>
  <c r="AL98" i="13"/>
  <c r="AO99" i="13"/>
  <c r="AK99" i="13"/>
  <c r="AM99" i="13" s="1"/>
  <c r="AL99" i="13"/>
  <c r="AL100" i="13"/>
  <c r="AO100" i="13"/>
  <c r="AK100" i="13"/>
  <c r="AM100" i="13" s="1"/>
  <c r="AK97" i="13"/>
  <c r="AM97" i="13" s="1"/>
  <c r="AO97" i="13"/>
  <c r="AL97" i="13"/>
  <c r="AK101" i="13"/>
  <c r="AM101" i="13" s="1"/>
  <c r="AO101" i="13"/>
  <c r="AL101" i="13"/>
  <c r="AL93" i="13"/>
  <c r="AK93" i="13"/>
  <c r="AM93" i="13" s="1"/>
  <c r="AO93" i="13"/>
  <c r="AT783" i="13"/>
  <c r="AX794" i="13"/>
  <c r="AY794" i="13"/>
  <c r="AX810" i="13"/>
  <c r="AY810" i="13"/>
  <c r="AX791" i="13"/>
  <c r="AY791" i="13"/>
  <c r="AX807" i="13"/>
  <c r="AY807" i="13"/>
  <c r="AX795" i="13"/>
  <c r="AY795" i="13"/>
  <c r="AX811" i="13"/>
  <c r="AY811" i="13"/>
  <c r="AX798" i="13"/>
  <c r="AY798" i="13"/>
  <c r="N812" i="13"/>
  <c r="Q812" i="13"/>
  <c r="Q803" i="13"/>
  <c r="N803" i="13"/>
  <c r="N657" i="13"/>
  <c r="Q657" i="13"/>
  <c r="Q820" i="13"/>
  <c r="N820" i="13"/>
  <c r="Q735" i="13"/>
  <c r="N735" i="13"/>
  <c r="AX809" i="13"/>
  <c r="AY809" i="13"/>
  <c r="AX793" i="13"/>
  <c r="AY793" i="13"/>
  <c r="AX658" i="13"/>
  <c r="AY658" i="13"/>
  <c r="Q813" i="13"/>
  <c r="N813" i="13"/>
  <c r="AX797" i="13"/>
  <c r="AY797" i="13"/>
  <c r="Q792" i="13"/>
  <c r="N792" i="13"/>
  <c r="Q802" i="13"/>
  <c r="N802" i="13"/>
  <c r="AX656" i="13"/>
  <c r="AY656" i="13"/>
  <c r="AX806" i="13"/>
  <c r="AY806" i="13"/>
  <c r="Q801" i="13"/>
  <c r="N801" i="13"/>
  <c r="AX808" i="13"/>
  <c r="AY808" i="13"/>
  <c r="AX796" i="13"/>
  <c r="AY796" i="13"/>
  <c r="Q809" i="13"/>
  <c r="N809" i="13"/>
  <c r="N793" i="13"/>
  <c r="Q793" i="13"/>
  <c r="N658" i="13"/>
  <c r="Q658" i="13"/>
  <c r="AX813" i="13"/>
  <c r="AY813" i="13"/>
  <c r="Q797" i="13"/>
  <c r="N797" i="13"/>
  <c r="AX792" i="13"/>
  <c r="AY792" i="13"/>
  <c r="AX802" i="13"/>
  <c r="AY802" i="13"/>
  <c r="Q656" i="13"/>
  <c r="N656" i="13"/>
  <c r="Q806" i="13"/>
  <c r="N806" i="13"/>
  <c r="AX801" i="13"/>
  <c r="AY801" i="13"/>
  <c r="Q808" i="13"/>
  <c r="N808" i="13"/>
  <c r="N796" i="13"/>
  <c r="Q796" i="13"/>
  <c r="N794" i="13"/>
  <c r="Q794" i="13"/>
  <c r="Q810" i="13"/>
  <c r="N810" i="13"/>
  <c r="Q791" i="13"/>
  <c r="N791" i="13"/>
  <c r="Q807" i="13"/>
  <c r="N807" i="13"/>
  <c r="N795" i="13"/>
  <c r="Q795" i="13"/>
  <c r="Q811" i="13"/>
  <c r="N811" i="13"/>
  <c r="Q798" i="13"/>
  <c r="N798" i="13"/>
  <c r="AX812" i="13"/>
  <c r="AY812" i="13"/>
  <c r="AX803" i="13"/>
  <c r="AY803" i="13"/>
  <c r="AX657" i="13"/>
  <c r="AY657" i="13"/>
  <c r="AX820" i="13"/>
  <c r="AY820" i="13"/>
  <c r="AX735" i="13"/>
  <c r="AY735" i="13"/>
  <c r="AT804" i="13"/>
  <c r="AT817" i="13"/>
  <c r="AO804" i="13"/>
  <c r="AK804" i="13"/>
  <c r="AM804" i="13" s="1"/>
  <c r="AT796" i="13" l="1"/>
  <c r="AT812" i="13"/>
  <c r="AT811" i="13"/>
  <c r="AT656" i="13"/>
  <c r="AT795" i="13"/>
  <c r="AT794" i="13"/>
  <c r="AT797" i="13"/>
  <c r="AT809" i="13"/>
  <c r="AT802" i="13"/>
  <c r="AT820" i="13"/>
  <c r="AT803" i="13"/>
  <c r="AT807" i="13"/>
  <c r="AT810" i="13"/>
  <c r="AT801" i="13"/>
  <c r="AT792" i="13"/>
  <c r="AT813" i="13"/>
  <c r="AT735" i="13"/>
  <c r="AT657" i="13"/>
  <c r="AT798" i="13"/>
  <c r="AT791" i="13"/>
  <c r="AT808" i="13"/>
  <c r="AT806" i="13"/>
  <c r="AT793" i="13"/>
  <c r="AT658" i="13"/>
  <c r="AU780" i="13"/>
  <c r="AZ780" i="13" s="1"/>
  <c r="AJ780" i="13"/>
  <c r="AA780" i="13"/>
  <c r="Z780" i="13"/>
  <c r="S780" i="13" l="1"/>
  <c r="W780" i="13" s="1"/>
  <c r="AN780" i="13"/>
  <c r="R780" i="13"/>
  <c r="AD780" i="13"/>
  <c r="BA780" i="13" s="1"/>
  <c r="AC780" i="13" l="1"/>
  <c r="AE780" i="13" s="1"/>
  <c r="AK780" i="13" s="1"/>
  <c r="AM780" i="13" s="1"/>
  <c r="K780" i="13"/>
  <c r="M780" i="13" s="1"/>
  <c r="AV780" i="13" l="1"/>
  <c r="AX780" i="13" s="1"/>
  <c r="N780" i="13"/>
  <c r="AL780" i="13"/>
  <c r="AO780" i="13"/>
  <c r="AY780" i="13" l="1"/>
  <c r="Q780" i="13"/>
  <c r="AT780" i="13" s="1"/>
  <c r="AU779" i="13"/>
  <c r="AZ779" i="13" s="1"/>
  <c r="AA779" i="13"/>
  <c r="AU778" i="13"/>
  <c r="AZ778" i="13" s="1"/>
  <c r="AA778" i="13"/>
  <c r="AU777" i="13"/>
  <c r="AZ777" i="13" s="1"/>
  <c r="AA777" i="13"/>
  <c r="AD777" i="13" s="1"/>
  <c r="AU776" i="13"/>
  <c r="AZ776" i="13" s="1"/>
  <c r="AA776" i="13"/>
  <c r="Z776" i="13"/>
  <c r="AU775" i="13"/>
  <c r="AZ775" i="13" s="1"/>
  <c r="AA775" i="13"/>
  <c r="Z775" i="13"/>
  <c r="AU774" i="13"/>
  <c r="AZ774" i="13" s="1"/>
  <c r="AA774" i="13"/>
  <c r="Z774" i="13"/>
  <c r="AC779" i="13" l="1"/>
  <c r="K779" i="13"/>
  <c r="M779" i="13" s="1"/>
  <c r="K778" i="13"/>
  <c r="M778" i="13" s="1"/>
  <c r="AC778" i="13"/>
  <c r="BA777" i="13"/>
  <c r="R779" i="13"/>
  <c r="S779" i="13"/>
  <c r="W779" i="13" s="1"/>
  <c r="R777" i="13"/>
  <c r="S777" i="13"/>
  <c r="W777" i="13" s="1"/>
  <c r="R775" i="13"/>
  <c r="S775" i="13"/>
  <c r="W775" i="13" s="1"/>
  <c r="R778" i="13"/>
  <c r="S778" i="13"/>
  <c r="R774" i="13"/>
  <c r="S774" i="13"/>
  <c r="W774" i="13" s="1"/>
  <c r="S776" i="13"/>
  <c r="W776" i="13" s="1"/>
  <c r="Z778" i="13"/>
  <c r="Z779" i="13"/>
  <c r="R776" i="13"/>
  <c r="AD779" i="13"/>
  <c r="BA779" i="13" s="1"/>
  <c r="AD778" i="13"/>
  <c r="BA778" i="13" s="1"/>
  <c r="AD776" i="13"/>
  <c r="BA776" i="13" s="1"/>
  <c r="AD775" i="13"/>
  <c r="BA775" i="13" s="1"/>
  <c r="AD774" i="13"/>
  <c r="BA774" i="13" s="1"/>
  <c r="Z777" i="13"/>
  <c r="AA772" i="13"/>
  <c r="AU772" i="13"/>
  <c r="AZ772" i="13" s="1"/>
  <c r="AJ772" i="13"/>
  <c r="Z772" i="13"/>
  <c r="AU771" i="13"/>
  <c r="AZ771" i="13" s="1"/>
  <c r="AJ771" i="13"/>
  <c r="Z771" i="13"/>
  <c r="S771" i="13"/>
  <c r="AU770" i="13"/>
  <c r="AZ770" i="13" s="1"/>
  <c r="AJ770" i="13"/>
  <c r="AA770" i="13"/>
  <c r="Z770" i="13"/>
  <c r="N779" i="13" l="1"/>
  <c r="N778" i="13"/>
  <c r="AV778" i="13"/>
  <c r="AX778" i="13" s="1"/>
  <c r="AV779" i="13"/>
  <c r="AX779" i="13" s="1"/>
  <c r="K770" i="13"/>
  <c r="M770" i="13" s="1"/>
  <c r="AC770" i="13"/>
  <c r="AC772" i="13"/>
  <c r="K772" i="13"/>
  <c r="M772" i="13" s="1"/>
  <c r="AC775" i="13"/>
  <c r="AE775" i="13" s="1"/>
  <c r="AO775" i="13" s="1"/>
  <c r="K775" i="13"/>
  <c r="M775" i="13" s="1"/>
  <c r="AC776" i="13"/>
  <c r="AE776" i="13" s="1"/>
  <c r="AO776" i="13" s="1"/>
  <c r="K776" i="13"/>
  <c r="M776" i="13" s="1"/>
  <c r="K771" i="13"/>
  <c r="M771" i="13" s="1"/>
  <c r="AC777" i="13"/>
  <c r="AE777" i="13" s="1"/>
  <c r="AO777" i="13" s="1"/>
  <c r="K777" i="13"/>
  <c r="M777" i="13" s="1"/>
  <c r="AC774" i="13"/>
  <c r="AE774" i="13" s="1"/>
  <c r="AO774" i="13" s="1"/>
  <c r="K774" i="13"/>
  <c r="M774" i="13" s="1"/>
  <c r="R770" i="13"/>
  <c r="S770" i="13"/>
  <c r="W770" i="13" s="1"/>
  <c r="S772" i="13"/>
  <c r="W772" i="13" s="1"/>
  <c r="AE779" i="13"/>
  <c r="AO779" i="13" s="1"/>
  <c r="AE778" i="13"/>
  <c r="AO778" i="13" s="1"/>
  <c r="Q779" i="13"/>
  <c r="Q778" i="13"/>
  <c r="W778" i="13"/>
  <c r="R772" i="13"/>
  <c r="AA771" i="13"/>
  <c r="AD770" i="13"/>
  <c r="BA770" i="13" s="1"/>
  <c r="AD772" i="13"/>
  <c r="BA772" i="13" s="1"/>
  <c r="AN772" i="13"/>
  <c r="AN771" i="13"/>
  <c r="AN770" i="13"/>
  <c r="W771" i="13"/>
  <c r="R771" i="13"/>
  <c r="AT778" i="13" l="1"/>
  <c r="AT779" i="13"/>
  <c r="Q770" i="13"/>
  <c r="AV770" i="13"/>
  <c r="AX770" i="13" s="1"/>
  <c r="AY778" i="13"/>
  <c r="AY779" i="13"/>
  <c r="N776" i="13"/>
  <c r="AV776" i="13"/>
  <c r="AV774" i="13"/>
  <c r="AV775" i="13"/>
  <c r="Q771" i="13"/>
  <c r="N771" i="13"/>
  <c r="Q772" i="13"/>
  <c r="N772" i="13"/>
  <c r="AD771" i="13"/>
  <c r="BA771" i="13" s="1"/>
  <c r="Q776" i="13"/>
  <c r="N777" i="13"/>
  <c r="AV777" i="13"/>
  <c r="AX777" i="13" s="1"/>
  <c r="AE770" i="13"/>
  <c r="AL770" i="13" s="1"/>
  <c r="AV772" i="13"/>
  <c r="AX772" i="13" s="1"/>
  <c r="AE772" i="13"/>
  <c r="AO772" i="13" s="1"/>
  <c r="AV771" i="13"/>
  <c r="AX771" i="13" s="1"/>
  <c r="AU769" i="13"/>
  <c r="AZ769" i="13" s="1"/>
  <c r="AJ769" i="13"/>
  <c r="AA769" i="13"/>
  <c r="Z769" i="13"/>
  <c r="AY770" i="13" l="1"/>
  <c r="AT776" i="13"/>
  <c r="N770" i="13"/>
  <c r="AT770" i="13" s="1"/>
  <c r="AX774" i="13"/>
  <c r="AY774" i="13"/>
  <c r="Q774" i="13"/>
  <c r="N774" i="13"/>
  <c r="N775" i="13"/>
  <c r="Q775" i="13"/>
  <c r="AX776" i="13"/>
  <c r="AY776" i="13"/>
  <c r="AX775" i="13"/>
  <c r="AY775" i="13"/>
  <c r="AT772" i="13"/>
  <c r="Q777" i="13"/>
  <c r="AT777" i="13" s="1"/>
  <c r="AC771" i="13"/>
  <c r="AE771" i="13" s="1"/>
  <c r="AL771" i="13" s="1"/>
  <c r="R769" i="13"/>
  <c r="S769" i="13"/>
  <c r="W769" i="13" s="1"/>
  <c r="AY771" i="13"/>
  <c r="AY777" i="13"/>
  <c r="AY772" i="13"/>
  <c r="AK770" i="13"/>
  <c r="AM770" i="13" s="1"/>
  <c r="AO770" i="13"/>
  <c r="AK772" i="13"/>
  <c r="AM772" i="13" s="1"/>
  <c r="AL772" i="13"/>
  <c r="AT771" i="13"/>
  <c r="AN769" i="13"/>
  <c r="AD769" i="13"/>
  <c r="BA769" i="13" s="1"/>
  <c r="AT774" i="13" l="1"/>
  <c r="AT775" i="13"/>
  <c r="AC769" i="13"/>
  <c r="AE769" i="13" s="1"/>
  <c r="AL769" i="13" s="1"/>
  <c r="K769" i="13"/>
  <c r="M769" i="13" s="1"/>
  <c r="AK771" i="13"/>
  <c r="AM771" i="13" s="1"/>
  <c r="AO771" i="13"/>
  <c r="AV769" i="13" l="1"/>
  <c r="AK769" i="13"/>
  <c r="AM769" i="13" s="1"/>
  <c r="AO769" i="13"/>
  <c r="AX769" i="13" l="1"/>
  <c r="AY769" i="13"/>
  <c r="Q769" i="13"/>
  <c r="N769" i="13"/>
  <c r="AU767" i="13"/>
  <c r="AZ767" i="13" s="1"/>
  <c r="AJ767" i="13"/>
  <c r="AA767" i="13"/>
  <c r="Z767" i="13"/>
  <c r="S767" i="13"/>
  <c r="AU766" i="13"/>
  <c r="AZ766" i="13" s="1"/>
  <c r="AJ766" i="13"/>
  <c r="AA766" i="13"/>
  <c r="Z766" i="13"/>
  <c r="S766" i="13"/>
  <c r="AU765" i="13"/>
  <c r="AZ765" i="13" s="1"/>
  <c r="AJ765" i="13"/>
  <c r="AA765" i="13"/>
  <c r="AD765" i="13" s="1"/>
  <c r="Z765" i="13"/>
  <c r="AT769" i="13" l="1"/>
  <c r="BA765" i="13"/>
  <c r="R765" i="13"/>
  <c r="S765" i="13"/>
  <c r="W765" i="13" s="1"/>
  <c r="AN766" i="13"/>
  <c r="AN767" i="13"/>
  <c r="AN765" i="13"/>
  <c r="AD766" i="13"/>
  <c r="BA766" i="13" s="1"/>
  <c r="W766" i="13"/>
  <c r="R766" i="13"/>
  <c r="AD767" i="13"/>
  <c r="BA767" i="13" s="1"/>
  <c r="R767" i="13"/>
  <c r="W767" i="13"/>
  <c r="K766" i="13" l="1"/>
  <c r="M766" i="13" s="1"/>
  <c r="AC766" i="13"/>
  <c r="AE766" i="13" s="1"/>
  <c r="AC767" i="13"/>
  <c r="AE767" i="13" s="1"/>
  <c r="AO767" i="13" s="1"/>
  <c r="K767" i="13"/>
  <c r="M767" i="13" s="1"/>
  <c r="AC765" i="13"/>
  <c r="AE765" i="13" s="1"/>
  <c r="AL765" i="13" s="1"/>
  <c r="K765" i="13"/>
  <c r="M765" i="13" s="1"/>
  <c r="AV767" i="13" l="1"/>
  <c r="AX767" i="13" s="1"/>
  <c r="N767" i="13"/>
  <c r="AV766" i="13"/>
  <c r="AX766" i="13" s="1"/>
  <c r="N766" i="13"/>
  <c r="AK765" i="13"/>
  <c r="AM765" i="13" s="1"/>
  <c r="AO765" i="13"/>
  <c r="AV765" i="13"/>
  <c r="AX765" i="13" s="1"/>
  <c r="Q765" i="13"/>
  <c r="N765" i="13"/>
  <c r="AK767" i="13"/>
  <c r="AM767" i="13" s="1"/>
  <c r="AL767" i="13"/>
  <c r="AK766" i="13"/>
  <c r="AM766" i="13" s="1"/>
  <c r="AL766" i="13"/>
  <c r="AO766" i="13"/>
  <c r="AY767" i="13" l="1"/>
  <c r="AY766" i="13"/>
  <c r="AY765" i="13"/>
  <c r="AT765" i="13"/>
  <c r="Q767" i="13"/>
  <c r="AT767" i="13" s="1"/>
  <c r="Q766" i="13"/>
  <c r="AT766" i="13" s="1"/>
  <c r="AU768" i="13"/>
  <c r="AZ768" i="13" s="1"/>
  <c r="AJ768" i="13"/>
  <c r="AA768" i="13"/>
  <c r="Z768" i="13"/>
  <c r="AF215" i="62"/>
  <c r="AF213" i="62"/>
  <c r="AF212" i="62"/>
  <c r="AF214" i="62"/>
  <c r="S768" i="13" l="1"/>
  <c r="W768" i="13" s="1"/>
  <c r="AN768" i="13"/>
  <c r="AD768" i="13"/>
  <c r="BA768" i="13" s="1"/>
  <c r="R768" i="13"/>
  <c r="AF216" i="62"/>
  <c r="AG214" i="62" s="1"/>
  <c r="AH214" i="62"/>
  <c r="AC768" i="13" l="1"/>
  <c r="AE768" i="13" s="1"/>
  <c r="AO768" i="13" s="1"/>
  <c r="K768" i="13"/>
  <c r="M768" i="13" s="1"/>
  <c r="AG215" i="62"/>
  <c r="AG212" i="62"/>
  <c r="AG213" i="62"/>
  <c r="AG216" i="62"/>
  <c r="AH215" i="62"/>
  <c r="AH212" i="62"/>
  <c r="AH213" i="62"/>
  <c r="AV768" i="13" l="1"/>
  <c r="AK768" i="13"/>
  <c r="AM768" i="13" s="1"/>
  <c r="AL768" i="13"/>
  <c r="AH216" i="62"/>
  <c r="AX768" i="13" l="1"/>
  <c r="AY768" i="13"/>
  <c r="N768" i="13"/>
  <c r="Q768" i="13"/>
  <c r="AA759" i="13"/>
  <c r="AD759" i="13" s="1"/>
  <c r="AA760" i="13"/>
  <c r="AD760" i="13" s="1"/>
  <c r="AA761" i="13"/>
  <c r="AD761" i="13" s="1"/>
  <c r="AA762" i="13"/>
  <c r="AA763" i="13"/>
  <c r="AA764" i="13"/>
  <c r="AA773" i="13"/>
  <c r="AT768" i="13" l="1"/>
  <c r="AU773" i="13"/>
  <c r="AZ773" i="13" s="1"/>
  <c r="AJ773" i="13"/>
  <c r="AD773" i="13"/>
  <c r="Z773" i="13"/>
  <c r="S773" i="13"/>
  <c r="AJ764" i="13"/>
  <c r="AJ763" i="13"/>
  <c r="AJ762" i="13"/>
  <c r="AJ761" i="13"/>
  <c r="AJ760" i="13"/>
  <c r="AJ759" i="13"/>
  <c r="AJ758" i="13"/>
  <c r="AJ757" i="13"/>
  <c r="AJ756" i="13"/>
  <c r="AJ755" i="13"/>
  <c r="AJ754" i="13"/>
  <c r="AJ753" i="13"/>
  <c r="AJ752" i="13"/>
  <c r="AJ751" i="13"/>
  <c r="Z756" i="13"/>
  <c r="Z755" i="13"/>
  <c r="Z754" i="13"/>
  <c r="Z753" i="13"/>
  <c r="AJ750" i="13"/>
  <c r="AJ749" i="13"/>
  <c r="AJ748" i="13"/>
  <c r="AA752" i="13"/>
  <c r="AA751" i="13"/>
  <c r="AA750" i="13"/>
  <c r="AA749" i="13"/>
  <c r="AA748" i="13"/>
  <c r="AA747" i="13"/>
  <c r="BA773" i="13" l="1"/>
  <c r="AA755" i="13"/>
  <c r="AA753" i="13"/>
  <c r="AA757" i="13"/>
  <c r="AA756" i="13"/>
  <c r="AA754" i="13"/>
  <c r="AA758" i="13"/>
  <c r="AN773" i="13"/>
  <c r="W773" i="13"/>
  <c r="R773" i="13"/>
  <c r="AC773" i="13" l="1"/>
  <c r="AE773" i="13" s="1"/>
  <c r="AK773" i="13" s="1"/>
  <c r="AM773" i="13" s="1"/>
  <c r="K773" i="13"/>
  <c r="M773" i="13" s="1"/>
  <c r="AO773" i="13" l="1"/>
  <c r="AL773" i="13"/>
  <c r="AV773" i="13"/>
  <c r="AU764" i="13"/>
  <c r="AZ764" i="13" s="1"/>
  <c r="AD764" i="13"/>
  <c r="Z764" i="13"/>
  <c r="S764" i="13"/>
  <c r="AU763" i="13"/>
  <c r="AZ763" i="13" s="1"/>
  <c r="AD763" i="13"/>
  <c r="Z763" i="13"/>
  <c r="AU762" i="13"/>
  <c r="AZ762" i="13" s="1"/>
  <c r="Z762" i="13"/>
  <c r="AU761" i="13"/>
  <c r="AZ761" i="13" s="1"/>
  <c r="Z761" i="13"/>
  <c r="S761" i="13"/>
  <c r="AU760" i="13"/>
  <c r="AZ760" i="13" s="1"/>
  <c r="Z760" i="13"/>
  <c r="S760" i="13"/>
  <c r="AU759" i="13"/>
  <c r="AZ759" i="13" s="1"/>
  <c r="Z759" i="13"/>
  <c r="AU758" i="13"/>
  <c r="AZ758" i="13" s="1"/>
  <c r="AD758" i="13"/>
  <c r="S758" i="13"/>
  <c r="AU757" i="13"/>
  <c r="AZ757" i="13" s="1"/>
  <c r="AD757" i="13"/>
  <c r="S757" i="13"/>
  <c r="AU756" i="13"/>
  <c r="AZ756" i="13" s="1"/>
  <c r="AD756" i="13"/>
  <c r="AU755" i="13"/>
  <c r="AZ755" i="13" s="1"/>
  <c r="AU754" i="13"/>
  <c r="AZ754" i="13" s="1"/>
  <c r="S754" i="13"/>
  <c r="AU753" i="13"/>
  <c r="AZ753" i="13" s="1"/>
  <c r="AD753" i="13"/>
  <c r="S753" i="13"/>
  <c r="AU752" i="13"/>
  <c r="AZ752" i="13" s="1"/>
  <c r="AD752" i="13"/>
  <c r="Z752" i="13"/>
  <c r="AU751" i="13"/>
  <c r="AZ751" i="13" s="1"/>
  <c r="Z751" i="13"/>
  <c r="S751" i="13"/>
  <c r="AU750" i="13"/>
  <c r="AZ750" i="13" s="1"/>
  <c r="AD750" i="13"/>
  <c r="Z750" i="13"/>
  <c r="S750" i="13"/>
  <c r="AU749" i="13"/>
  <c r="AZ749" i="13" s="1"/>
  <c r="AD749" i="13"/>
  <c r="Z749" i="13"/>
  <c r="S749" i="13"/>
  <c r="AU748" i="13"/>
  <c r="AZ748" i="13" s="1"/>
  <c r="Z748" i="13"/>
  <c r="Z747" i="13"/>
  <c r="S745" i="13"/>
  <c r="S746" i="13"/>
  <c r="S744" i="13"/>
  <c r="AD747" i="13"/>
  <c r="AU747" i="13"/>
  <c r="AZ747" i="13" s="1"/>
  <c r="AC759" i="13" l="1"/>
  <c r="K759" i="13"/>
  <c r="M759" i="13" s="1"/>
  <c r="AX773" i="13"/>
  <c r="AY773" i="13"/>
  <c r="AC761" i="13"/>
  <c r="K761" i="13"/>
  <c r="M761" i="13" s="1"/>
  <c r="N773" i="13"/>
  <c r="Q773" i="13"/>
  <c r="AC760" i="13"/>
  <c r="AE760" i="13" s="1"/>
  <c r="K760" i="13"/>
  <c r="M760" i="13" s="1"/>
  <c r="BA757" i="13"/>
  <c r="BA747" i="13"/>
  <c r="BA749" i="13"/>
  <c r="BA756" i="13"/>
  <c r="BA750" i="13"/>
  <c r="BA764" i="13"/>
  <c r="BA753" i="13"/>
  <c r="BA763" i="13"/>
  <c r="BA760" i="13"/>
  <c r="BA758" i="13"/>
  <c r="BA761" i="13"/>
  <c r="BA759" i="13"/>
  <c r="BA752" i="13"/>
  <c r="S752" i="13"/>
  <c r="W752" i="13" s="1"/>
  <c r="S759" i="13"/>
  <c r="W759" i="13" s="1"/>
  <c r="S763" i="13"/>
  <c r="W763" i="13" s="1"/>
  <c r="R747" i="13"/>
  <c r="S747" i="13"/>
  <c r="W747" i="13" s="1"/>
  <c r="R755" i="13"/>
  <c r="S755" i="13"/>
  <c r="W755" i="13" s="1"/>
  <c r="S748" i="13"/>
  <c r="W748" i="13" s="1"/>
  <c r="S756" i="13"/>
  <c r="W756" i="13" s="1"/>
  <c r="R762" i="13"/>
  <c r="S762" i="13"/>
  <c r="R752" i="13"/>
  <c r="R758" i="13"/>
  <c r="R748" i="13"/>
  <c r="R764" i="13"/>
  <c r="AN764" i="13"/>
  <c r="R749" i="13"/>
  <c r="R756" i="13"/>
  <c r="R759" i="13"/>
  <c r="AN748" i="13"/>
  <c r="AN752" i="13"/>
  <c r="AN755" i="13"/>
  <c r="R757" i="13"/>
  <c r="AD748" i="13"/>
  <c r="BA748" i="13" s="1"/>
  <c r="W760" i="13"/>
  <c r="R760" i="13"/>
  <c r="R751" i="13"/>
  <c r="W751" i="13"/>
  <c r="W754" i="13"/>
  <c r="R754" i="13"/>
  <c r="R750" i="13"/>
  <c r="AN753" i="13"/>
  <c r="R761" i="13"/>
  <c r="AD754" i="13"/>
  <c r="BA754" i="13" s="1"/>
  <c r="AN759" i="13"/>
  <c r="AN760" i="13"/>
  <c r="W753" i="13"/>
  <c r="R753" i="13"/>
  <c r="AN762" i="13"/>
  <c r="AN763" i="13"/>
  <c r="AN751" i="13"/>
  <c r="AN756" i="13"/>
  <c r="AN757" i="13"/>
  <c r="W749" i="13"/>
  <c r="W750" i="13"/>
  <c r="W761" i="13"/>
  <c r="W758" i="13"/>
  <c r="AN750" i="13"/>
  <c r="W764" i="13"/>
  <c r="AN761" i="13"/>
  <c r="AD751" i="13"/>
  <c r="BA751" i="13" s="1"/>
  <c r="AD762" i="13"/>
  <c r="BA762" i="13" s="1"/>
  <c r="AN754" i="13"/>
  <c r="W757" i="13"/>
  <c r="AN749" i="13"/>
  <c r="AD755" i="13"/>
  <c r="BA755" i="13" s="1"/>
  <c r="R763" i="13"/>
  <c r="AV761" i="13" l="1"/>
  <c r="AX761" i="13" s="1"/>
  <c r="AV759" i="13"/>
  <c r="AX759" i="13" s="1"/>
  <c r="AT773" i="13"/>
  <c r="AV760" i="13"/>
  <c r="AX760" i="13" s="1"/>
  <c r="AC763" i="13"/>
  <c r="K763" i="13"/>
  <c r="M763" i="13" s="1"/>
  <c r="AC757" i="13"/>
  <c r="AE757" i="13" s="1"/>
  <c r="AL757" i="13" s="1"/>
  <c r="K757" i="13"/>
  <c r="M757" i="13" s="1"/>
  <c r="AC747" i="13"/>
  <c r="AE747" i="13" s="1"/>
  <c r="AO747" i="13" s="1"/>
  <c r="K747" i="13"/>
  <c r="M747" i="13" s="1"/>
  <c r="AC755" i="13"/>
  <c r="AE755" i="13" s="1"/>
  <c r="K755" i="13"/>
  <c r="M755" i="13" s="1"/>
  <c r="AC749" i="13"/>
  <c r="AE749" i="13" s="1"/>
  <c r="AK749" i="13" s="1"/>
  <c r="AM749" i="13" s="1"/>
  <c r="K749" i="13"/>
  <c r="M749" i="13" s="1"/>
  <c r="AC751" i="13"/>
  <c r="AE751" i="13" s="1"/>
  <c r="K751" i="13"/>
  <c r="M751" i="13" s="1"/>
  <c r="AC752" i="13"/>
  <c r="AE752" i="13" s="1"/>
  <c r="AO752" i="13" s="1"/>
  <c r="K752" i="13"/>
  <c r="M752" i="13" s="1"/>
  <c r="AC764" i="13"/>
  <c r="AE764" i="13" s="1"/>
  <c r="AK764" i="13" s="1"/>
  <c r="AM764" i="13" s="1"/>
  <c r="K764" i="13"/>
  <c r="M764" i="13" s="1"/>
  <c r="AC753" i="13"/>
  <c r="AE753" i="13" s="1"/>
  <c r="AK753" i="13" s="1"/>
  <c r="AM753" i="13" s="1"/>
  <c r="K753" i="13"/>
  <c r="M753" i="13" s="1"/>
  <c r="AC758" i="13"/>
  <c r="AE758" i="13" s="1"/>
  <c r="AK758" i="13" s="1"/>
  <c r="K758" i="13"/>
  <c r="M758" i="13" s="1"/>
  <c r="AC750" i="13"/>
  <c r="AE750" i="13" s="1"/>
  <c r="AL750" i="13" s="1"/>
  <c r="K750" i="13"/>
  <c r="M750" i="13" s="1"/>
  <c r="K748" i="13"/>
  <c r="M748" i="13" s="1"/>
  <c r="AC748" i="13"/>
  <c r="AE748" i="13" s="1"/>
  <c r="AC754" i="13"/>
  <c r="AE754" i="13" s="1"/>
  <c r="AK754" i="13" s="1"/>
  <c r="AM754" i="13" s="1"/>
  <c r="K754" i="13"/>
  <c r="M754" i="13" s="1"/>
  <c r="K762" i="13"/>
  <c r="M762" i="13" s="1"/>
  <c r="AC762" i="13"/>
  <c r="AE762" i="13" s="1"/>
  <c r="AC756" i="13"/>
  <c r="AE756" i="13" s="1"/>
  <c r="AL756" i="13" s="1"/>
  <c r="K756" i="13"/>
  <c r="M756" i="13" s="1"/>
  <c r="Q759" i="13"/>
  <c r="N759" i="13"/>
  <c r="Q761" i="13"/>
  <c r="N761" i="13"/>
  <c r="Q760" i="13"/>
  <c r="N760" i="13"/>
  <c r="AE763" i="13"/>
  <c r="AK763" i="13" s="1"/>
  <c r="AM763" i="13" s="1"/>
  <c r="AY759" i="13"/>
  <c r="AE759" i="13"/>
  <c r="AL759" i="13" s="1"/>
  <c r="AO760" i="13"/>
  <c r="AE761" i="13"/>
  <c r="AK761" i="13" s="1"/>
  <c r="AM761" i="13" s="1"/>
  <c r="W762" i="13"/>
  <c r="AY761" i="13" l="1"/>
  <c r="AL749" i="13"/>
  <c r="AL753" i="13"/>
  <c r="AO764" i="13"/>
  <c r="AO753" i="13"/>
  <c r="AL752" i="13"/>
  <c r="AY760" i="13"/>
  <c r="AK752" i="13"/>
  <c r="AM752" i="13" s="1"/>
  <c r="AK750" i="13"/>
  <c r="AM750" i="13" s="1"/>
  <c r="AO749" i="13"/>
  <c r="AO757" i="13"/>
  <c r="AL758" i="13"/>
  <c r="AL764" i="13"/>
  <c r="AK757" i="13"/>
  <c r="AM757" i="13" s="1"/>
  <c r="AO750" i="13"/>
  <c r="AO756" i="13"/>
  <c r="AV764" i="13"/>
  <c r="AV751" i="13"/>
  <c r="AV755" i="13"/>
  <c r="AV757" i="13"/>
  <c r="AV762" i="13"/>
  <c r="AV748" i="13"/>
  <c r="AK756" i="13"/>
  <c r="AM756" i="13" s="1"/>
  <c r="AV756" i="13"/>
  <c r="AV754" i="13"/>
  <c r="AV750" i="13"/>
  <c r="AV753" i="13"/>
  <c r="AV752" i="13"/>
  <c r="AV749" i="13"/>
  <c r="AV747" i="13"/>
  <c r="AV763" i="13"/>
  <c r="AT759" i="13"/>
  <c r="AT760" i="13"/>
  <c r="AO763" i="13"/>
  <c r="AL763" i="13"/>
  <c r="AT761" i="13"/>
  <c r="AO759" i="13"/>
  <c r="AK759" i="13"/>
  <c r="AM759" i="13" s="1"/>
  <c r="AO754" i="13"/>
  <c r="AL760" i="13"/>
  <c r="AK760" i="13"/>
  <c r="AM760" i="13" s="1"/>
  <c r="AL754" i="13"/>
  <c r="AO761" i="13"/>
  <c r="AL761" i="13"/>
  <c r="AK748" i="13"/>
  <c r="AM748" i="13" s="1"/>
  <c r="AL748" i="13"/>
  <c r="AO748" i="13"/>
  <c r="AL762" i="13"/>
  <c r="AO762" i="13"/>
  <c r="AK762" i="13"/>
  <c r="AM762" i="13" s="1"/>
  <c r="AL755" i="13"/>
  <c r="AO755" i="13"/>
  <c r="AK755" i="13"/>
  <c r="AM755" i="13" s="1"/>
  <c r="AL751" i="13"/>
  <c r="AO751" i="13"/>
  <c r="AK751" i="13"/>
  <c r="AM751" i="13" s="1"/>
  <c r="Q747" i="13" l="1"/>
  <c r="N747" i="13"/>
  <c r="AX752" i="13"/>
  <c r="AY752" i="13"/>
  <c r="Q750" i="13"/>
  <c r="N750" i="13"/>
  <c r="N756" i="13"/>
  <c r="Q756" i="13"/>
  <c r="Q762" i="13"/>
  <c r="N762" i="13"/>
  <c r="N755" i="13"/>
  <c r="Q755" i="13"/>
  <c r="AX764" i="13"/>
  <c r="AY764" i="13"/>
  <c r="Q763" i="13"/>
  <c r="N763" i="13"/>
  <c r="Q749" i="13"/>
  <c r="N749" i="13"/>
  <c r="AX753" i="13"/>
  <c r="AY753" i="13"/>
  <c r="AX754" i="13"/>
  <c r="AY754" i="13"/>
  <c r="AX762" i="13"/>
  <c r="AY762" i="13"/>
  <c r="AX755" i="13"/>
  <c r="AY755" i="13"/>
  <c r="Q764" i="13"/>
  <c r="N764" i="13"/>
  <c r="AX763" i="13"/>
  <c r="AY763" i="13"/>
  <c r="AX749" i="13"/>
  <c r="AY749" i="13"/>
  <c r="N753" i="13"/>
  <c r="Q753" i="13"/>
  <c r="N754" i="13"/>
  <c r="Q754" i="13"/>
  <c r="Q748" i="13"/>
  <c r="N748" i="13"/>
  <c r="Q757" i="13"/>
  <c r="N757" i="13"/>
  <c r="Q751" i="13"/>
  <c r="N751" i="13"/>
  <c r="AX747" i="13"/>
  <c r="AY747" i="13"/>
  <c r="Q752" i="13"/>
  <c r="N752" i="13"/>
  <c r="AX750" i="13"/>
  <c r="AY750" i="13"/>
  <c r="AX756" i="13"/>
  <c r="AY756" i="13"/>
  <c r="AX748" i="13"/>
  <c r="AY748" i="13"/>
  <c r="AX757" i="13"/>
  <c r="AY757" i="13"/>
  <c r="AX751" i="13"/>
  <c r="AY751" i="13"/>
  <c r="AJ746" i="13"/>
  <c r="Z746" i="13"/>
  <c r="AA746" i="13"/>
  <c r="AD746" i="13" s="1"/>
  <c r="W746" i="13"/>
  <c r="R746" i="13"/>
  <c r="AU746" i="13"/>
  <c r="AZ746" i="13" s="1"/>
  <c r="Z741" i="13"/>
  <c r="AA741" i="13"/>
  <c r="AD741" i="13" s="1"/>
  <c r="Z742" i="13"/>
  <c r="AA742" i="13"/>
  <c r="AD742" i="13" s="1"/>
  <c r="AU741" i="13"/>
  <c r="AZ741" i="13" s="1"/>
  <c r="AU742" i="13"/>
  <c r="AZ742" i="13" s="1"/>
  <c r="AT752" i="13" l="1"/>
  <c r="AT751" i="13"/>
  <c r="AT748" i="13"/>
  <c r="AT749" i="13"/>
  <c r="AT762" i="13"/>
  <c r="AT750" i="13"/>
  <c r="AT747" i="13"/>
  <c r="AT756" i="13"/>
  <c r="AT757" i="13"/>
  <c r="AT754" i="13"/>
  <c r="AT764" i="13"/>
  <c r="AT763" i="13"/>
  <c r="AT755" i="13"/>
  <c r="AT753" i="13"/>
  <c r="BA746" i="13"/>
  <c r="BA742" i="13"/>
  <c r="BA741" i="13"/>
  <c r="S741" i="13"/>
  <c r="W741" i="13" s="1"/>
  <c r="S742" i="13"/>
  <c r="W742" i="13" s="1"/>
  <c r="R741" i="13"/>
  <c r="AN746" i="13"/>
  <c r="R742" i="13"/>
  <c r="AC746" i="13" l="1"/>
  <c r="AE746" i="13" s="1"/>
  <c r="AK746" i="13" s="1"/>
  <c r="AM746" i="13" s="1"/>
  <c r="K746" i="13"/>
  <c r="M746" i="13" s="1"/>
  <c r="AC742" i="13"/>
  <c r="AE742" i="13" s="1"/>
  <c r="AO742" i="13" s="1"/>
  <c r="K742" i="13"/>
  <c r="M742" i="13" s="1"/>
  <c r="AC741" i="13"/>
  <c r="AE741" i="13" s="1"/>
  <c r="AO741" i="13" s="1"/>
  <c r="K741" i="13"/>
  <c r="M741" i="13" s="1"/>
  <c r="AO746" i="13" l="1"/>
  <c r="AL746" i="13"/>
  <c r="AV742" i="13"/>
  <c r="AV741" i="13"/>
  <c r="AV746" i="13"/>
  <c r="AU745" i="13"/>
  <c r="AZ745" i="13" s="1"/>
  <c r="AA745" i="13"/>
  <c r="Z745" i="13"/>
  <c r="AU744" i="13"/>
  <c r="AZ744" i="13" s="1"/>
  <c r="AA744" i="13"/>
  <c r="Z744" i="13"/>
  <c r="AU743" i="13"/>
  <c r="AZ743" i="13" s="1"/>
  <c r="AA743" i="13"/>
  <c r="S743" i="13"/>
  <c r="AA740" i="13"/>
  <c r="AD740" i="13" s="1"/>
  <c r="Z740" i="13"/>
  <c r="AU740" i="13"/>
  <c r="AZ740" i="13" s="1"/>
  <c r="AX741" i="13" l="1"/>
  <c r="AY741" i="13"/>
  <c r="Q741" i="13"/>
  <c r="N741" i="13"/>
  <c r="AX746" i="13"/>
  <c r="AY746" i="13"/>
  <c r="AX742" i="13"/>
  <c r="AY742" i="13"/>
  <c r="Q746" i="13"/>
  <c r="N746" i="13"/>
  <c r="Q742" i="13"/>
  <c r="N742" i="13"/>
  <c r="BA740" i="13"/>
  <c r="Z743" i="13"/>
  <c r="S740" i="13"/>
  <c r="W740" i="13" s="1"/>
  <c r="W743" i="13"/>
  <c r="R743" i="13"/>
  <c r="W744" i="13"/>
  <c r="R744" i="13"/>
  <c r="W745" i="13"/>
  <c r="R745" i="13"/>
  <c r="AD744" i="13"/>
  <c r="BA744" i="13" s="1"/>
  <c r="AD745" i="13"/>
  <c r="BA745" i="13" s="1"/>
  <c r="AD743" i="13"/>
  <c r="BA743" i="13" s="1"/>
  <c r="R740" i="13"/>
  <c r="AT746" i="13" l="1"/>
  <c r="AT741" i="13"/>
  <c r="AT742" i="13"/>
  <c r="AC744" i="13"/>
  <c r="AE744" i="13" s="1"/>
  <c r="AO744" i="13" s="1"/>
  <c r="K744" i="13"/>
  <c r="M744" i="13" s="1"/>
  <c r="AC745" i="13"/>
  <c r="AE745" i="13" s="1"/>
  <c r="AO745" i="13" s="1"/>
  <c r="K745" i="13"/>
  <c r="M745" i="13" s="1"/>
  <c r="AC740" i="13"/>
  <c r="AE740" i="13" s="1"/>
  <c r="AO740" i="13" s="1"/>
  <c r="K740" i="13"/>
  <c r="M740" i="13" s="1"/>
  <c r="AC743" i="13"/>
  <c r="AE743" i="13" s="1"/>
  <c r="K743" i="13"/>
  <c r="M743" i="13" s="1"/>
  <c r="AV744" i="13" l="1"/>
  <c r="AX744" i="13" s="1"/>
  <c r="AV745" i="13"/>
  <c r="AX745" i="13" s="1"/>
  <c r="AV743" i="13"/>
  <c r="AV740" i="13"/>
  <c r="Q744" i="13"/>
  <c r="N744" i="13"/>
  <c r="Q745" i="13"/>
  <c r="N745" i="13"/>
  <c r="AO743" i="13"/>
  <c r="AY744" i="13" l="1"/>
  <c r="AY745" i="13"/>
  <c r="AX740" i="13"/>
  <c r="AY740" i="13"/>
  <c r="Q740" i="13"/>
  <c r="N740" i="13"/>
  <c r="AX743" i="13"/>
  <c r="AY743" i="13"/>
  <c r="N743" i="13"/>
  <c r="Q743" i="13"/>
  <c r="AT744" i="13"/>
  <c r="AT745" i="13"/>
  <c r="AU4" i="13"/>
  <c r="J4" i="13" s="1"/>
  <c r="AB4" i="13" s="1"/>
  <c r="AU6" i="13"/>
  <c r="J6" i="13" s="1"/>
  <c r="AB6" i="13" s="1"/>
  <c r="AU7" i="13"/>
  <c r="J7" i="13" s="1"/>
  <c r="AB7" i="13" s="1"/>
  <c r="AU21" i="13"/>
  <c r="J21" i="13" s="1"/>
  <c r="AB21" i="13" s="1"/>
  <c r="AU22" i="13"/>
  <c r="J22" i="13" s="1"/>
  <c r="AB22" i="13" s="1"/>
  <c r="AU23" i="13"/>
  <c r="J23" i="13" s="1"/>
  <c r="AB23" i="13" s="1"/>
  <c r="AU24" i="13"/>
  <c r="J24" i="13" s="1"/>
  <c r="AB24" i="13" s="1"/>
  <c r="AU25" i="13"/>
  <c r="J25" i="13" s="1"/>
  <c r="AB25" i="13" s="1"/>
  <c r="AU26" i="13"/>
  <c r="AQ26" i="13" s="1"/>
  <c r="AU27" i="13"/>
  <c r="AQ27" i="13" s="1"/>
  <c r="AU28" i="13"/>
  <c r="AQ28" i="13" s="1"/>
  <c r="AU29" i="13"/>
  <c r="AQ29" i="13" s="1"/>
  <c r="AU30" i="13"/>
  <c r="AQ30" i="13" s="1"/>
  <c r="AU31" i="13"/>
  <c r="AQ31" i="13" s="1"/>
  <c r="AU32" i="13"/>
  <c r="AQ32" i="13" s="1"/>
  <c r="AU33" i="13"/>
  <c r="AQ33" i="13" s="1"/>
  <c r="AU36" i="13"/>
  <c r="AZ36" i="13" s="1"/>
  <c r="AU38" i="13"/>
  <c r="AZ38" i="13" s="1"/>
  <c r="AU46" i="13"/>
  <c r="AZ46" i="13" s="1"/>
  <c r="AU48" i="13"/>
  <c r="AZ48" i="13" s="1"/>
  <c r="AU49" i="13"/>
  <c r="AZ49" i="13" s="1"/>
  <c r="AU50" i="13"/>
  <c r="AZ50" i="13" s="1"/>
  <c r="AU51" i="13"/>
  <c r="AZ51" i="13" s="1"/>
  <c r="AU52" i="13"/>
  <c r="AZ52" i="13" s="1"/>
  <c r="AU53" i="13"/>
  <c r="AZ53" i="13" s="1"/>
  <c r="AU54" i="13"/>
  <c r="AZ54" i="13" s="1"/>
  <c r="AU55" i="13"/>
  <c r="AZ55" i="13" s="1"/>
  <c r="AU56" i="13"/>
  <c r="AZ56" i="13" s="1"/>
  <c r="AU57" i="13"/>
  <c r="AZ57" i="13" s="1"/>
  <c r="AU60" i="13"/>
  <c r="AZ60" i="13" s="1"/>
  <c r="AU61" i="13"/>
  <c r="AZ61" i="13" s="1"/>
  <c r="AU62" i="13"/>
  <c r="AZ62" i="13" s="1"/>
  <c r="AU63" i="13"/>
  <c r="AZ63" i="13" s="1"/>
  <c r="AU66" i="13"/>
  <c r="AZ66" i="13" s="1"/>
  <c r="AU67" i="13"/>
  <c r="AZ67" i="13" s="1"/>
  <c r="AU68" i="13"/>
  <c r="AZ68" i="13" s="1"/>
  <c r="AU69" i="13"/>
  <c r="AZ69" i="13" s="1"/>
  <c r="AU71" i="13"/>
  <c r="AZ71" i="13" s="1"/>
  <c r="AU72" i="13"/>
  <c r="AZ72" i="13" s="1"/>
  <c r="AU73" i="13"/>
  <c r="AZ73" i="13" s="1"/>
  <c r="AU74" i="13"/>
  <c r="AZ74" i="13" s="1"/>
  <c r="AU75" i="13"/>
  <c r="AZ75" i="13" s="1"/>
  <c r="AU80" i="13"/>
  <c r="AZ80" i="13" s="1"/>
  <c r="AU81" i="13"/>
  <c r="AZ81" i="13" s="1"/>
  <c r="AU82" i="13"/>
  <c r="AZ82" i="13" s="1"/>
  <c r="AU83" i="13"/>
  <c r="AZ83" i="13" s="1"/>
  <c r="AU84" i="13"/>
  <c r="AZ84" i="13" s="1"/>
  <c r="AU85" i="13"/>
  <c r="AZ85" i="13" s="1"/>
  <c r="AU89" i="13"/>
  <c r="AZ89" i="13" s="1"/>
  <c r="AU90" i="13"/>
  <c r="AZ90" i="13" s="1"/>
  <c r="AU91" i="13"/>
  <c r="AZ91" i="13" s="1"/>
  <c r="AU110" i="13"/>
  <c r="AZ110" i="13" s="1"/>
  <c r="AU111" i="13"/>
  <c r="AZ111" i="13" s="1"/>
  <c r="AU112" i="13"/>
  <c r="AZ112" i="13" s="1"/>
  <c r="AU113" i="13"/>
  <c r="AZ113" i="13" s="1"/>
  <c r="AU116" i="13"/>
  <c r="AZ116" i="13" s="1"/>
  <c r="AU117" i="13"/>
  <c r="AZ117" i="13" s="1"/>
  <c r="AU335" i="13"/>
  <c r="AZ335" i="13" s="1"/>
  <c r="AU336" i="13"/>
  <c r="AZ336" i="13" s="1"/>
  <c r="AU337" i="13"/>
  <c r="AZ337" i="13" s="1"/>
  <c r="AU338" i="13"/>
  <c r="AZ338" i="13" s="1"/>
  <c r="AU362" i="13"/>
  <c r="AZ362" i="13" s="1"/>
  <c r="AU363" i="13"/>
  <c r="AZ363" i="13" s="1"/>
  <c r="AU364" i="13"/>
  <c r="AZ364" i="13" s="1"/>
  <c r="AU365" i="13"/>
  <c r="AZ365" i="13" s="1"/>
  <c r="AU366" i="13"/>
  <c r="AZ366" i="13" s="1"/>
  <c r="AU367" i="13"/>
  <c r="AZ367" i="13" s="1"/>
  <c r="AU368" i="13"/>
  <c r="AZ368" i="13" s="1"/>
  <c r="AU369" i="13"/>
  <c r="AZ369" i="13" s="1"/>
  <c r="AU370" i="13"/>
  <c r="AZ370" i="13" s="1"/>
  <c r="AU371" i="13"/>
  <c r="AZ371" i="13" s="1"/>
  <c r="AU372" i="13"/>
  <c r="AZ372" i="13" s="1"/>
  <c r="AU373" i="13"/>
  <c r="AZ373" i="13" s="1"/>
  <c r="AU374" i="13"/>
  <c r="AZ374" i="13" s="1"/>
  <c r="AU375" i="13"/>
  <c r="AZ375" i="13" s="1"/>
  <c r="AU376" i="13"/>
  <c r="AZ376" i="13" s="1"/>
  <c r="AU377" i="13"/>
  <c r="AZ377" i="13" s="1"/>
  <c r="AU378" i="13"/>
  <c r="AZ378" i="13" s="1"/>
  <c r="AU379" i="13"/>
  <c r="AZ379" i="13" s="1"/>
  <c r="AU380" i="13"/>
  <c r="AZ380" i="13" s="1"/>
  <c r="AU381" i="13"/>
  <c r="AZ381" i="13" s="1"/>
  <c r="AU382" i="13"/>
  <c r="AZ382" i="13" s="1"/>
  <c r="AU383" i="13"/>
  <c r="AZ383" i="13" s="1"/>
  <c r="AU384" i="13"/>
  <c r="AZ384" i="13" s="1"/>
  <c r="AU385" i="13"/>
  <c r="AZ385" i="13" s="1"/>
  <c r="AU386" i="13"/>
  <c r="AZ386" i="13" s="1"/>
  <c r="AU387" i="13"/>
  <c r="AZ387" i="13" s="1"/>
  <c r="AU388" i="13"/>
  <c r="AZ388" i="13" s="1"/>
  <c r="AU389" i="13"/>
  <c r="AZ389" i="13" s="1"/>
  <c r="AU390" i="13"/>
  <c r="AZ390" i="13" s="1"/>
  <c r="AU391" i="13"/>
  <c r="AZ391" i="13" s="1"/>
  <c r="AU392" i="13"/>
  <c r="AZ392" i="13" s="1"/>
  <c r="AU393" i="13"/>
  <c r="AZ393" i="13" s="1"/>
  <c r="AU394" i="13"/>
  <c r="AZ394" i="13" s="1"/>
  <c r="AU395" i="13"/>
  <c r="AZ395" i="13" s="1"/>
  <c r="AU396" i="13"/>
  <c r="AZ396" i="13" s="1"/>
  <c r="AU397" i="13"/>
  <c r="AZ397" i="13" s="1"/>
  <c r="AU398" i="13"/>
  <c r="AZ398" i="13" s="1"/>
  <c r="AU399" i="13"/>
  <c r="AZ399" i="13" s="1"/>
  <c r="AU400" i="13"/>
  <c r="AZ400" i="13" s="1"/>
  <c r="AU401" i="13"/>
  <c r="AZ401" i="13" s="1"/>
  <c r="AU402" i="13"/>
  <c r="AZ402" i="13" s="1"/>
  <c r="AU403" i="13"/>
  <c r="AZ403" i="13" s="1"/>
  <c r="AU404" i="13"/>
  <c r="AZ404" i="13" s="1"/>
  <c r="AU405" i="13"/>
  <c r="AZ405" i="13" s="1"/>
  <c r="AU406" i="13"/>
  <c r="AZ406" i="13" s="1"/>
  <c r="AU407" i="13"/>
  <c r="AZ407" i="13" s="1"/>
  <c r="AU408" i="13"/>
  <c r="AZ408" i="13" s="1"/>
  <c r="AU409" i="13"/>
  <c r="AZ409" i="13" s="1"/>
  <c r="AU410" i="13"/>
  <c r="AZ410" i="13" s="1"/>
  <c r="AU411" i="13"/>
  <c r="AZ411" i="13" s="1"/>
  <c r="AU412" i="13"/>
  <c r="AZ412" i="13" s="1"/>
  <c r="AU413" i="13"/>
  <c r="AZ413" i="13" s="1"/>
  <c r="AU414" i="13"/>
  <c r="AZ414" i="13" s="1"/>
  <c r="AU415" i="13"/>
  <c r="AZ415" i="13" s="1"/>
  <c r="AU416" i="13"/>
  <c r="AZ416" i="13" s="1"/>
  <c r="AU417" i="13"/>
  <c r="AZ417" i="13" s="1"/>
  <c r="AU418" i="13"/>
  <c r="AZ418" i="13" s="1"/>
  <c r="AU419" i="13"/>
  <c r="AZ419" i="13" s="1"/>
  <c r="AU420" i="13"/>
  <c r="AZ420" i="13" s="1"/>
  <c r="AU421" i="13"/>
  <c r="AZ421" i="13" s="1"/>
  <c r="AU422" i="13"/>
  <c r="AZ422" i="13" s="1"/>
  <c r="AU423" i="13"/>
  <c r="AZ423" i="13" s="1"/>
  <c r="AU424" i="13"/>
  <c r="AZ424" i="13" s="1"/>
  <c r="AU425" i="13"/>
  <c r="AZ425" i="13" s="1"/>
  <c r="AU426" i="13"/>
  <c r="AZ426" i="13" s="1"/>
  <c r="AU427" i="13"/>
  <c r="AZ427" i="13" s="1"/>
  <c r="AU428" i="13"/>
  <c r="AZ428" i="13" s="1"/>
  <c r="AU429" i="13"/>
  <c r="AZ429" i="13" s="1"/>
  <c r="AU430" i="13"/>
  <c r="AZ430" i="13" s="1"/>
  <c r="AU431" i="13"/>
  <c r="AZ431" i="13" s="1"/>
  <c r="AU432" i="13"/>
  <c r="AZ432" i="13" s="1"/>
  <c r="AU433" i="13"/>
  <c r="AZ433" i="13" s="1"/>
  <c r="AU434" i="13"/>
  <c r="AZ434" i="13" s="1"/>
  <c r="AU435" i="13"/>
  <c r="AZ435" i="13" s="1"/>
  <c r="AU436" i="13"/>
  <c r="AZ436" i="13" s="1"/>
  <c r="AU437" i="13"/>
  <c r="AZ437" i="13" s="1"/>
  <c r="AU438" i="13"/>
  <c r="AZ438" i="13" s="1"/>
  <c r="AU439" i="13"/>
  <c r="AZ439" i="13" s="1"/>
  <c r="AU440" i="13"/>
  <c r="AZ440" i="13" s="1"/>
  <c r="AU441" i="13"/>
  <c r="AZ441" i="13" s="1"/>
  <c r="AU442" i="13"/>
  <c r="AZ442" i="13" s="1"/>
  <c r="AU443" i="13"/>
  <c r="AZ443" i="13" s="1"/>
  <c r="AU444" i="13"/>
  <c r="AZ444" i="13" s="1"/>
  <c r="AU445" i="13"/>
  <c r="AZ445" i="13" s="1"/>
  <c r="AU446" i="13"/>
  <c r="AZ446" i="13" s="1"/>
  <c r="AU447" i="13"/>
  <c r="AZ447" i="13" s="1"/>
  <c r="AU448" i="13"/>
  <c r="AZ448" i="13" s="1"/>
  <c r="AU449" i="13"/>
  <c r="AZ449" i="13" s="1"/>
  <c r="AU450" i="13"/>
  <c r="AZ450" i="13" s="1"/>
  <c r="AU451" i="13"/>
  <c r="AZ451" i="13" s="1"/>
  <c r="AU452" i="13"/>
  <c r="AZ452" i="13" s="1"/>
  <c r="AU453" i="13"/>
  <c r="AZ453" i="13" s="1"/>
  <c r="AU454" i="13"/>
  <c r="AZ454" i="13" s="1"/>
  <c r="AU455" i="13"/>
  <c r="AZ455" i="13" s="1"/>
  <c r="AU456" i="13"/>
  <c r="AZ456" i="13" s="1"/>
  <c r="AU457" i="13"/>
  <c r="AZ457" i="13" s="1"/>
  <c r="AU458" i="13"/>
  <c r="AZ458" i="13" s="1"/>
  <c r="AU459" i="13"/>
  <c r="AZ459" i="13" s="1"/>
  <c r="AU460" i="13"/>
  <c r="AZ460" i="13" s="1"/>
  <c r="AU461" i="13"/>
  <c r="AZ461" i="13" s="1"/>
  <c r="AU462" i="13"/>
  <c r="AZ462" i="13" s="1"/>
  <c r="AU463" i="13"/>
  <c r="AZ463" i="13" s="1"/>
  <c r="AU464" i="13"/>
  <c r="AZ464" i="13" s="1"/>
  <c r="AU465" i="13"/>
  <c r="AZ465" i="13" s="1"/>
  <c r="AU466" i="13"/>
  <c r="AZ466" i="13" s="1"/>
  <c r="AU467" i="13"/>
  <c r="AZ467" i="13" s="1"/>
  <c r="AU468" i="13"/>
  <c r="AZ468" i="13" s="1"/>
  <c r="AU469" i="13"/>
  <c r="AZ469" i="13" s="1"/>
  <c r="AU470" i="13"/>
  <c r="AZ470" i="13" s="1"/>
  <c r="AU471" i="13"/>
  <c r="AZ471" i="13" s="1"/>
  <c r="AU472" i="13"/>
  <c r="AZ472" i="13" s="1"/>
  <c r="AU473" i="13"/>
  <c r="AZ473" i="13" s="1"/>
  <c r="AU474" i="13"/>
  <c r="AZ474" i="13" s="1"/>
  <c r="AU475" i="13"/>
  <c r="AZ475" i="13" s="1"/>
  <c r="AU476" i="13"/>
  <c r="AZ476" i="13" s="1"/>
  <c r="AU477" i="13"/>
  <c r="AZ477" i="13" s="1"/>
  <c r="AU478" i="13"/>
  <c r="AZ478" i="13" s="1"/>
  <c r="AU479" i="13"/>
  <c r="AZ479" i="13" s="1"/>
  <c r="AU480" i="13"/>
  <c r="AZ480" i="13" s="1"/>
  <c r="AU481" i="13"/>
  <c r="AZ481" i="13" s="1"/>
  <c r="AU482" i="13"/>
  <c r="AZ482" i="13" s="1"/>
  <c r="AU483" i="13"/>
  <c r="AZ483" i="13" s="1"/>
  <c r="AU484" i="13"/>
  <c r="AZ484" i="13" s="1"/>
  <c r="AU485" i="13"/>
  <c r="AZ485" i="13" s="1"/>
  <c r="AU486" i="13"/>
  <c r="AZ486" i="13" s="1"/>
  <c r="AU487" i="13"/>
  <c r="AZ487" i="13" s="1"/>
  <c r="AU488" i="13"/>
  <c r="AZ488" i="13" s="1"/>
  <c r="AU489" i="13"/>
  <c r="AZ489" i="13" s="1"/>
  <c r="AU490" i="13"/>
  <c r="AZ490" i="13" s="1"/>
  <c r="AU491" i="13"/>
  <c r="AZ491" i="13" s="1"/>
  <c r="AU492" i="13"/>
  <c r="AZ492" i="13" s="1"/>
  <c r="AU493" i="13"/>
  <c r="AZ493" i="13" s="1"/>
  <c r="AU494" i="13"/>
  <c r="AZ494" i="13" s="1"/>
  <c r="AU495" i="13"/>
  <c r="AZ495" i="13" s="1"/>
  <c r="AU496" i="13"/>
  <c r="AZ496" i="13" s="1"/>
  <c r="AU497" i="13"/>
  <c r="AZ497" i="13" s="1"/>
  <c r="AU498" i="13"/>
  <c r="AZ498" i="13" s="1"/>
  <c r="AU499" i="13"/>
  <c r="AZ499" i="13" s="1"/>
  <c r="AU500" i="13"/>
  <c r="AZ500" i="13" s="1"/>
  <c r="AU501" i="13"/>
  <c r="AZ501" i="13" s="1"/>
  <c r="AU502" i="13"/>
  <c r="AZ502" i="13" s="1"/>
  <c r="AU503" i="13"/>
  <c r="AZ503" i="13" s="1"/>
  <c r="AU504" i="13"/>
  <c r="AZ504" i="13" s="1"/>
  <c r="AU505" i="13"/>
  <c r="AZ505" i="13" s="1"/>
  <c r="AU506" i="13"/>
  <c r="AZ506" i="13" s="1"/>
  <c r="AU507" i="13"/>
  <c r="AZ507" i="13" s="1"/>
  <c r="AU508" i="13"/>
  <c r="AZ508" i="13" s="1"/>
  <c r="AU509" i="13"/>
  <c r="AZ509" i="13" s="1"/>
  <c r="AU510" i="13"/>
  <c r="AZ510" i="13" s="1"/>
  <c r="AU511" i="13"/>
  <c r="AZ511" i="13" s="1"/>
  <c r="AU512" i="13"/>
  <c r="AZ512" i="13" s="1"/>
  <c r="AU513" i="13"/>
  <c r="AZ513" i="13" s="1"/>
  <c r="AU514" i="13"/>
  <c r="AZ514" i="13" s="1"/>
  <c r="AU515" i="13"/>
  <c r="AZ515" i="13" s="1"/>
  <c r="AU516" i="13"/>
  <c r="AZ516" i="13" s="1"/>
  <c r="AU517" i="13"/>
  <c r="AZ517" i="13" s="1"/>
  <c r="AU518" i="13"/>
  <c r="AZ518" i="13" s="1"/>
  <c r="AU519" i="13"/>
  <c r="AZ519" i="13" s="1"/>
  <c r="AU520" i="13"/>
  <c r="AZ520" i="13" s="1"/>
  <c r="AU521" i="13"/>
  <c r="AZ521" i="13" s="1"/>
  <c r="AU522" i="13"/>
  <c r="AZ522" i="13" s="1"/>
  <c r="AU523" i="13"/>
  <c r="AZ523" i="13" s="1"/>
  <c r="AU524" i="13"/>
  <c r="AZ524" i="13" s="1"/>
  <c r="AU525" i="13"/>
  <c r="AZ525" i="13" s="1"/>
  <c r="AU526" i="13"/>
  <c r="AZ526" i="13" s="1"/>
  <c r="AU527" i="13"/>
  <c r="AZ527" i="13" s="1"/>
  <c r="AU528" i="13"/>
  <c r="AZ528" i="13" s="1"/>
  <c r="AU529" i="13"/>
  <c r="AZ529" i="13" s="1"/>
  <c r="AU530" i="13"/>
  <c r="AZ530" i="13" s="1"/>
  <c r="AU531" i="13"/>
  <c r="AZ531" i="13" s="1"/>
  <c r="AU532" i="13"/>
  <c r="AZ532" i="13" s="1"/>
  <c r="AU533" i="13"/>
  <c r="AZ533" i="13" s="1"/>
  <c r="AU534" i="13"/>
  <c r="AZ534" i="13" s="1"/>
  <c r="AU535" i="13"/>
  <c r="AZ535" i="13" s="1"/>
  <c r="AU536" i="13"/>
  <c r="AZ536" i="13" s="1"/>
  <c r="AU537" i="13"/>
  <c r="AZ537" i="13" s="1"/>
  <c r="AU538" i="13"/>
  <c r="AZ538" i="13" s="1"/>
  <c r="AU539" i="13"/>
  <c r="AZ539" i="13" s="1"/>
  <c r="AU540" i="13"/>
  <c r="AZ540" i="13" s="1"/>
  <c r="AU541" i="13"/>
  <c r="AZ541" i="13" s="1"/>
  <c r="AU542" i="13"/>
  <c r="AZ542" i="13" s="1"/>
  <c r="AU543" i="13"/>
  <c r="AZ543" i="13" s="1"/>
  <c r="AU544" i="13"/>
  <c r="AZ544" i="13" s="1"/>
  <c r="AU545" i="13"/>
  <c r="AZ545" i="13" s="1"/>
  <c r="AU546" i="13"/>
  <c r="AZ546" i="13" s="1"/>
  <c r="AU547" i="13"/>
  <c r="AZ547" i="13" s="1"/>
  <c r="AU548" i="13"/>
  <c r="AZ548" i="13" s="1"/>
  <c r="AU549" i="13"/>
  <c r="AZ549" i="13" s="1"/>
  <c r="AU550" i="13"/>
  <c r="AZ550" i="13" s="1"/>
  <c r="AU551" i="13"/>
  <c r="AZ551" i="13" s="1"/>
  <c r="AU552" i="13"/>
  <c r="AZ552" i="13" s="1"/>
  <c r="AU553" i="13"/>
  <c r="AZ553" i="13" s="1"/>
  <c r="AU554" i="13"/>
  <c r="AZ554" i="13" s="1"/>
  <c r="AU555" i="13"/>
  <c r="AZ555" i="13" s="1"/>
  <c r="AU556" i="13"/>
  <c r="AZ556" i="13" s="1"/>
  <c r="AU557" i="13"/>
  <c r="AZ557" i="13" s="1"/>
  <c r="AU558" i="13"/>
  <c r="AZ558" i="13" s="1"/>
  <c r="AU559" i="13"/>
  <c r="AZ559" i="13" s="1"/>
  <c r="AU560" i="13"/>
  <c r="AZ560" i="13" s="1"/>
  <c r="AU561" i="13"/>
  <c r="AZ561" i="13" s="1"/>
  <c r="AU562" i="13"/>
  <c r="AZ562" i="13" s="1"/>
  <c r="AU563" i="13"/>
  <c r="AZ563" i="13" s="1"/>
  <c r="AU564" i="13"/>
  <c r="AZ564" i="13" s="1"/>
  <c r="AU565" i="13"/>
  <c r="AZ565" i="13" s="1"/>
  <c r="AU566" i="13"/>
  <c r="AZ566" i="13" s="1"/>
  <c r="AU567" i="13"/>
  <c r="AZ567" i="13" s="1"/>
  <c r="AU568" i="13"/>
  <c r="AZ568" i="13" s="1"/>
  <c r="AU569" i="13"/>
  <c r="AZ569" i="13" s="1"/>
  <c r="AU570" i="13"/>
  <c r="AZ570" i="13" s="1"/>
  <c r="AU571" i="13"/>
  <c r="AZ571" i="13" s="1"/>
  <c r="AU572" i="13"/>
  <c r="AZ572" i="13" s="1"/>
  <c r="AU573" i="13"/>
  <c r="AZ573" i="13" s="1"/>
  <c r="AU574" i="13"/>
  <c r="AZ574" i="13" s="1"/>
  <c r="AU575" i="13"/>
  <c r="AZ575" i="13" s="1"/>
  <c r="AU576" i="13"/>
  <c r="AZ576" i="13" s="1"/>
  <c r="AU577" i="13"/>
  <c r="AZ577" i="13" s="1"/>
  <c r="AU578" i="13"/>
  <c r="AZ578" i="13" s="1"/>
  <c r="AU579" i="13"/>
  <c r="AZ579" i="13" s="1"/>
  <c r="AU580" i="13"/>
  <c r="AZ580" i="13" s="1"/>
  <c r="AU581" i="13"/>
  <c r="AZ581" i="13" s="1"/>
  <c r="AU582" i="13"/>
  <c r="AZ582" i="13" s="1"/>
  <c r="AU583" i="13"/>
  <c r="AZ583" i="13" s="1"/>
  <c r="AU584" i="13"/>
  <c r="AZ584" i="13" s="1"/>
  <c r="AU585" i="13"/>
  <c r="AZ585" i="13" s="1"/>
  <c r="AU586" i="13"/>
  <c r="AZ586" i="13" s="1"/>
  <c r="AU587" i="13"/>
  <c r="AZ587" i="13" s="1"/>
  <c r="AU588" i="13"/>
  <c r="AZ588" i="13" s="1"/>
  <c r="AU589" i="13"/>
  <c r="AZ589" i="13" s="1"/>
  <c r="AU590" i="13"/>
  <c r="AZ590" i="13" s="1"/>
  <c r="AU591" i="13"/>
  <c r="AZ591" i="13" s="1"/>
  <c r="AU592" i="13"/>
  <c r="AZ592" i="13" s="1"/>
  <c r="AU593" i="13"/>
  <c r="AZ593" i="13" s="1"/>
  <c r="AU594" i="13"/>
  <c r="AZ594" i="13" s="1"/>
  <c r="AU595" i="13"/>
  <c r="AZ595" i="13" s="1"/>
  <c r="AU596" i="13"/>
  <c r="AZ596" i="13" s="1"/>
  <c r="AU597" i="13"/>
  <c r="AZ597" i="13" s="1"/>
  <c r="AU598" i="13"/>
  <c r="AZ598" i="13" s="1"/>
  <c r="AU599" i="13"/>
  <c r="AZ599" i="13" s="1"/>
  <c r="AU600" i="13"/>
  <c r="AZ600" i="13" s="1"/>
  <c r="AU601" i="13"/>
  <c r="AZ601" i="13" s="1"/>
  <c r="AU602" i="13"/>
  <c r="AZ602" i="13" s="1"/>
  <c r="AU603" i="13"/>
  <c r="AZ603" i="13" s="1"/>
  <c r="AU604" i="13"/>
  <c r="AZ604" i="13" s="1"/>
  <c r="AU605" i="13"/>
  <c r="AZ605" i="13" s="1"/>
  <c r="AU606" i="13"/>
  <c r="AZ606" i="13" s="1"/>
  <c r="AU607" i="13"/>
  <c r="AZ607" i="13" s="1"/>
  <c r="AU608" i="13"/>
  <c r="AZ608" i="13" s="1"/>
  <c r="AU609" i="13"/>
  <c r="AZ609" i="13" s="1"/>
  <c r="AU610" i="13"/>
  <c r="AZ610" i="13" s="1"/>
  <c r="AU611" i="13"/>
  <c r="AZ611" i="13" s="1"/>
  <c r="AU612" i="13"/>
  <c r="AZ612" i="13" s="1"/>
  <c r="AU613" i="13"/>
  <c r="AZ613" i="13" s="1"/>
  <c r="AU614" i="13"/>
  <c r="AZ614" i="13" s="1"/>
  <c r="AU615" i="13"/>
  <c r="AZ615" i="13" s="1"/>
  <c r="AU616" i="13"/>
  <c r="AZ616" i="13" s="1"/>
  <c r="AU617" i="13"/>
  <c r="AZ617" i="13" s="1"/>
  <c r="AU618" i="13"/>
  <c r="AZ618" i="13" s="1"/>
  <c r="AU619" i="13"/>
  <c r="AZ619" i="13" s="1"/>
  <c r="AU620" i="13"/>
  <c r="AZ620" i="13" s="1"/>
  <c r="AU621" i="13"/>
  <c r="AZ621" i="13" s="1"/>
  <c r="AU622" i="13"/>
  <c r="AZ622" i="13" s="1"/>
  <c r="AU623" i="13"/>
  <c r="AZ623" i="13" s="1"/>
  <c r="AU624" i="13"/>
  <c r="AZ624" i="13" s="1"/>
  <c r="AU625" i="13"/>
  <c r="AZ625" i="13" s="1"/>
  <c r="AU626" i="13"/>
  <c r="AZ626" i="13" s="1"/>
  <c r="AU627" i="13"/>
  <c r="AZ627" i="13" s="1"/>
  <c r="AU628" i="13"/>
  <c r="AZ628" i="13" s="1"/>
  <c r="AU629" i="13"/>
  <c r="AZ629" i="13" s="1"/>
  <c r="AU630" i="13"/>
  <c r="AZ630" i="13" s="1"/>
  <c r="AU631" i="13"/>
  <c r="AZ631" i="13" s="1"/>
  <c r="AU632" i="13"/>
  <c r="AZ632" i="13" s="1"/>
  <c r="AU633" i="13"/>
  <c r="AZ633" i="13" s="1"/>
  <c r="AU634" i="13"/>
  <c r="AZ634" i="13" s="1"/>
  <c r="AU637" i="13"/>
  <c r="AZ637" i="13" s="1"/>
  <c r="AU638" i="13"/>
  <c r="AZ638" i="13" s="1"/>
  <c r="AU639" i="13"/>
  <c r="AZ639" i="13" s="1"/>
  <c r="AU640" i="13"/>
  <c r="AZ640" i="13" s="1"/>
  <c r="AU641" i="13"/>
  <c r="AZ641" i="13" s="1"/>
  <c r="AU642" i="13"/>
  <c r="AZ642" i="13" s="1"/>
  <c r="AU643" i="13"/>
  <c r="AZ643" i="13" s="1"/>
  <c r="AU644" i="13"/>
  <c r="AZ644" i="13" s="1"/>
  <c r="AU645" i="13"/>
  <c r="AZ645" i="13" s="1"/>
  <c r="AU646" i="13"/>
  <c r="AZ646" i="13" s="1"/>
  <c r="AU647" i="13"/>
  <c r="AZ647" i="13" s="1"/>
  <c r="AU648" i="13"/>
  <c r="AZ648" i="13" s="1"/>
  <c r="AU649" i="13"/>
  <c r="AZ649" i="13" s="1"/>
  <c r="AU650" i="13"/>
  <c r="AZ650" i="13" s="1"/>
  <c r="AU651" i="13"/>
  <c r="AZ651" i="13" s="1"/>
  <c r="AU652" i="13"/>
  <c r="AZ652" i="13" s="1"/>
  <c r="AU653" i="13"/>
  <c r="AZ653" i="13" s="1"/>
  <c r="AU654" i="13"/>
  <c r="AZ654" i="13" s="1"/>
  <c r="AU655" i="13"/>
  <c r="AZ655" i="13" s="1"/>
  <c r="AU659" i="13"/>
  <c r="AZ659" i="13" s="1"/>
  <c r="AU660" i="13"/>
  <c r="AZ660" i="13" s="1"/>
  <c r="AU661" i="13"/>
  <c r="AZ661" i="13" s="1"/>
  <c r="AU662" i="13"/>
  <c r="AZ662" i="13" s="1"/>
  <c r="AU663" i="13"/>
  <c r="AZ663" i="13" s="1"/>
  <c r="AU664" i="13"/>
  <c r="AZ664" i="13" s="1"/>
  <c r="AU665" i="13"/>
  <c r="AZ665" i="13" s="1"/>
  <c r="AU666" i="13"/>
  <c r="AZ666" i="13" s="1"/>
  <c r="AU667" i="13"/>
  <c r="AZ667" i="13" s="1"/>
  <c r="AU668" i="13"/>
  <c r="AZ668" i="13" s="1"/>
  <c r="AU669" i="13"/>
  <c r="AZ669" i="13" s="1"/>
  <c r="AU670" i="13"/>
  <c r="AZ670" i="13" s="1"/>
  <c r="AU671" i="13"/>
  <c r="AZ671" i="13" s="1"/>
  <c r="AU672" i="13"/>
  <c r="AZ672" i="13" s="1"/>
  <c r="AU673" i="13"/>
  <c r="AZ673" i="13" s="1"/>
  <c r="AU674" i="13"/>
  <c r="AZ674" i="13" s="1"/>
  <c r="AU675" i="13"/>
  <c r="AZ675" i="13" s="1"/>
  <c r="AU676" i="13"/>
  <c r="AZ676" i="13" s="1"/>
  <c r="AU677" i="13"/>
  <c r="AZ677" i="13" s="1"/>
  <c r="AU678" i="13"/>
  <c r="AZ678" i="13" s="1"/>
  <c r="AU679" i="13"/>
  <c r="AZ679" i="13" s="1"/>
  <c r="AU680" i="13"/>
  <c r="AZ680" i="13" s="1"/>
  <c r="AU681" i="13"/>
  <c r="AZ681" i="13" s="1"/>
  <c r="AU682" i="13"/>
  <c r="AZ682" i="13" s="1"/>
  <c r="AU683" i="13"/>
  <c r="AZ683" i="13" s="1"/>
  <c r="AU684" i="13"/>
  <c r="AZ684" i="13" s="1"/>
  <c r="AU685" i="13"/>
  <c r="AZ685" i="13" s="1"/>
  <c r="AU686" i="13"/>
  <c r="AZ686" i="13" s="1"/>
  <c r="AU687" i="13"/>
  <c r="AZ687" i="13" s="1"/>
  <c r="AU688" i="13"/>
  <c r="AZ688" i="13" s="1"/>
  <c r="AU689" i="13"/>
  <c r="AZ689" i="13" s="1"/>
  <c r="AU690" i="13"/>
  <c r="AZ690" i="13" s="1"/>
  <c r="AU691" i="13"/>
  <c r="AZ691" i="13" s="1"/>
  <c r="AU692" i="13"/>
  <c r="AZ692" i="13" s="1"/>
  <c r="AU693" i="13"/>
  <c r="AZ693" i="13" s="1"/>
  <c r="AU694" i="13"/>
  <c r="AZ694" i="13" s="1"/>
  <c r="AU695" i="13"/>
  <c r="AZ695" i="13" s="1"/>
  <c r="AU696" i="13"/>
  <c r="AZ696" i="13" s="1"/>
  <c r="AU697" i="13"/>
  <c r="AZ697" i="13" s="1"/>
  <c r="AU698" i="13"/>
  <c r="AZ698" i="13" s="1"/>
  <c r="AU699" i="13"/>
  <c r="AZ699" i="13" s="1"/>
  <c r="AU700" i="13"/>
  <c r="AZ700" i="13" s="1"/>
  <c r="AU701" i="13"/>
  <c r="AZ701" i="13" s="1"/>
  <c r="AU702" i="13"/>
  <c r="AZ702" i="13" s="1"/>
  <c r="AU703" i="13"/>
  <c r="AZ703" i="13" s="1"/>
  <c r="AU704" i="13"/>
  <c r="AZ704" i="13" s="1"/>
  <c r="AU705" i="13"/>
  <c r="AZ705" i="13" s="1"/>
  <c r="AU706" i="13"/>
  <c r="AZ706" i="13" s="1"/>
  <c r="AU707" i="13"/>
  <c r="AZ707" i="13" s="1"/>
  <c r="AU708" i="13"/>
  <c r="AZ708" i="13" s="1"/>
  <c r="AU709" i="13"/>
  <c r="AZ709" i="13" s="1"/>
  <c r="AU710" i="13"/>
  <c r="AZ710" i="13" s="1"/>
  <c r="AU711" i="13"/>
  <c r="AZ711" i="13" s="1"/>
  <c r="AU712" i="13"/>
  <c r="AZ712" i="13" s="1"/>
  <c r="AU713" i="13"/>
  <c r="AZ713" i="13" s="1"/>
  <c r="AU714" i="13"/>
  <c r="AZ714" i="13" s="1"/>
  <c r="AU715" i="13"/>
  <c r="AZ715" i="13" s="1"/>
  <c r="AU716" i="13"/>
  <c r="AZ716" i="13" s="1"/>
  <c r="AU717" i="13"/>
  <c r="AZ717" i="13" s="1"/>
  <c r="AU718" i="13"/>
  <c r="AZ718" i="13" s="1"/>
  <c r="AU719" i="13"/>
  <c r="AZ719" i="13" s="1"/>
  <c r="AU720" i="13"/>
  <c r="AZ720" i="13" s="1"/>
  <c r="AU721" i="13"/>
  <c r="AZ721" i="13" s="1"/>
  <c r="AU722" i="13"/>
  <c r="AZ722" i="13" s="1"/>
  <c r="AU723" i="13"/>
  <c r="AZ723" i="13" s="1"/>
  <c r="AU724" i="13"/>
  <c r="AZ724" i="13" s="1"/>
  <c r="AU725" i="13"/>
  <c r="AZ725" i="13" s="1"/>
  <c r="AU726" i="13"/>
  <c r="AZ726" i="13" s="1"/>
  <c r="AU727" i="13"/>
  <c r="AZ727" i="13" s="1"/>
  <c r="AU728" i="13"/>
  <c r="AZ728" i="13" s="1"/>
  <c r="AU729" i="13"/>
  <c r="AZ729" i="13" s="1"/>
  <c r="AU730" i="13"/>
  <c r="AZ730" i="13" s="1"/>
  <c r="AU731" i="13"/>
  <c r="AZ731" i="13" s="1"/>
  <c r="AU732" i="13"/>
  <c r="AZ732" i="13" s="1"/>
  <c r="AU733" i="13"/>
  <c r="AZ733" i="13" s="1"/>
  <c r="AU734" i="13"/>
  <c r="AZ734" i="13" s="1"/>
  <c r="AU736" i="13"/>
  <c r="AZ736" i="13" s="1"/>
  <c r="AU737" i="13"/>
  <c r="AZ737" i="13" s="1"/>
  <c r="AU738" i="13"/>
  <c r="AZ738" i="13" s="1"/>
  <c r="AU739" i="13"/>
  <c r="AZ739" i="13" s="1"/>
  <c r="AU781" i="13"/>
  <c r="AZ781" i="13" s="1"/>
  <c r="A5648" i="67"/>
  <c r="A5649" i="67" s="1"/>
  <c r="D4609" i="67"/>
  <c r="D4590" i="67"/>
  <c r="D4569" i="67"/>
  <c r="D4547" i="67"/>
  <c r="D4527" i="67"/>
  <c r="D4506" i="67"/>
  <c r="D4485" i="67"/>
  <c r="D4466" i="67"/>
  <c r="D4446" i="67"/>
  <c r="D4427" i="67"/>
  <c r="D4409" i="67"/>
  <c r="D4264" i="67"/>
  <c r="D3636" i="67"/>
  <c r="D3615" i="67"/>
  <c r="D3595" i="67"/>
  <c r="D3573" i="67"/>
  <c r="D3551" i="67"/>
  <c r="D3531" i="67"/>
  <c r="D3511" i="67"/>
  <c r="J33" i="13" l="1"/>
  <c r="J29" i="13"/>
  <c r="J32" i="13"/>
  <c r="J28" i="13"/>
  <c r="J31" i="13"/>
  <c r="J27" i="13"/>
  <c r="J30" i="13"/>
  <c r="AZ26" i="13"/>
  <c r="J26" i="13"/>
  <c r="AT743" i="13"/>
  <c r="AT740" i="13"/>
  <c r="K585" i="13"/>
  <c r="M585" i="13" s="1"/>
  <c r="K557" i="13"/>
  <c r="M557" i="13" s="1"/>
  <c r="K541" i="13"/>
  <c r="M541" i="13" s="1"/>
  <c r="K457" i="13"/>
  <c r="M457" i="13" s="1"/>
  <c r="K437" i="13"/>
  <c r="M437" i="13" s="1"/>
  <c r="K429" i="13"/>
  <c r="M429" i="13" s="1"/>
  <c r="K425" i="13"/>
  <c r="M425" i="13" s="1"/>
  <c r="K385" i="13"/>
  <c r="M385" i="13" s="1"/>
  <c r="K377" i="13"/>
  <c r="M377" i="13" s="1"/>
  <c r="K83" i="13"/>
  <c r="K612" i="13"/>
  <c r="M612" i="13" s="1"/>
  <c r="K584" i="13"/>
  <c r="M584" i="13" s="1"/>
  <c r="K556" i="13"/>
  <c r="M556" i="13" s="1"/>
  <c r="K544" i="13"/>
  <c r="M544" i="13" s="1"/>
  <c r="K456" i="13"/>
  <c r="M456" i="13" s="1"/>
  <c r="K436" i="13"/>
  <c r="M436" i="13" s="1"/>
  <c r="K428" i="13"/>
  <c r="M428" i="13" s="1"/>
  <c r="K376" i="13"/>
  <c r="M376" i="13" s="1"/>
  <c r="K672" i="13"/>
  <c r="M672" i="13" s="1"/>
  <c r="K587" i="13"/>
  <c r="M587" i="13" s="1"/>
  <c r="K555" i="13"/>
  <c r="M555" i="13" s="1"/>
  <c r="K543" i="13"/>
  <c r="M543" i="13" s="1"/>
  <c r="K455" i="13"/>
  <c r="M455" i="13" s="1"/>
  <c r="K435" i="13"/>
  <c r="M435" i="13" s="1"/>
  <c r="K431" i="13"/>
  <c r="M431" i="13" s="1"/>
  <c r="K427" i="13"/>
  <c r="M427" i="13" s="1"/>
  <c r="K387" i="13"/>
  <c r="M387" i="13" s="1"/>
  <c r="K586" i="13"/>
  <c r="M586" i="13" s="1"/>
  <c r="K558" i="13"/>
  <c r="M558" i="13" s="1"/>
  <c r="K434" i="13"/>
  <c r="M434" i="13" s="1"/>
  <c r="K430" i="13"/>
  <c r="M430" i="13" s="1"/>
  <c r="K426" i="13"/>
  <c r="M426" i="13" s="1"/>
  <c r="K386" i="13"/>
  <c r="M386" i="13" s="1"/>
  <c r="K378" i="13"/>
  <c r="M378" i="13" s="1"/>
  <c r="K336" i="13"/>
  <c r="K84" i="13"/>
  <c r="K46" i="13"/>
  <c r="J112" i="13"/>
  <c r="AB112" i="13" s="1"/>
  <c r="J117" i="13"/>
  <c r="AB117" i="13" s="1"/>
  <c r="J116" i="13"/>
  <c r="AB116" i="13" s="1"/>
  <c r="J111" i="13"/>
  <c r="AB111" i="13" s="1"/>
  <c r="J113" i="13"/>
  <c r="AB113" i="13" s="1"/>
  <c r="J110" i="13"/>
  <c r="AB110" i="13" s="1"/>
  <c r="AJ739" i="13"/>
  <c r="AA739" i="13"/>
  <c r="AD739" i="13" s="1"/>
  <c r="BA739" i="13" s="1"/>
  <c r="Z739" i="13"/>
  <c r="AJ738" i="13"/>
  <c r="AA738" i="13"/>
  <c r="Z738" i="13"/>
  <c r="S738" i="13"/>
  <c r="AJ737" i="13"/>
  <c r="AA737" i="13"/>
  <c r="AD737" i="13" s="1"/>
  <c r="BA737" i="13" s="1"/>
  <c r="Z737" i="13"/>
  <c r="AZ27" i="13" l="1"/>
  <c r="AZ28" i="13"/>
  <c r="AZ29" i="13"/>
  <c r="AZ30" i="13"/>
  <c r="AZ31" i="13"/>
  <c r="AZ32" i="13"/>
  <c r="AZ33" i="13"/>
  <c r="L83" i="13"/>
  <c r="M83" i="13" s="1"/>
  <c r="L46" i="13"/>
  <c r="M46" i="13" s="1"/>
  <c r="L336" i="13"/>
  <c r="M336" i="13" s="1"/>
  <c r="Q336" i="13" s="1"/>
  <c r="L84" i="13"/>
  <c r="M84" i="13" s="1"/>
  <c r="K24" i="13"/>
  <c r="K32" i="13"/>
  <c r="M32" i="13" s="1"/>
  <c r="K48" i="13"/>
  <c r="K56" i="13"/>
  <c r="K67" i="13"/>
  <c r="K80" i="13"/>
  <c r="K91" i="13"/>
  <c r="K362" i="13"/>
  <c r="M362" i="13" s="1"/>
  <c r="K370" i="13"/>
  <c r="M370" i="13" s="1"/>
  <c r="K394" i="13"/>
  <c r="M394" i="13" s="1"/>
  <c r="K402" i="13"/>
  <c r="M402" i="13" s="1"/>
  <c r="K410" i="13"/>
  <c r="M410" i="13" s="1"/>
  <c r="K418" i="13"/>
  <c r="M418" i="13" s="1"/>
  <c r="K442" i="13"/>
  <c r="M442" i="13" s="1"/>
  <c r="K450" i="13"/>
  <c r="M450" i="13" s="1"/>
  <c r="K458" i="13"/>
  <c r="M458" i="13" s="1"/>
  <c r="K466" i="13"/>
  <c r="M466" i="13" s="1"/>
  <c r="K474" i="13"/>
  <c r="M474" i="13" s="1"/>
  <c r="K482" i="13"/>
  <c r="M482" i="13" s="1"/>
  <c r="K490" i="13"/>
  <c r="M490" i="13" s="1"/>
  <c r="K498" i="13"/>
  <c r="M498" i="13" s="1"/>
  <c r="K506" i="13"/>
  <c r="M506" i="13" s="1"/>
  <c r="K514" i="13"/>
  <c r="M514" i="13" s="1"/>
  <c r="K522" i="13"/>
  <c r="M522" i="13" s="1"/>
  <c r="K530" i="13"/>
  <c r="M530" i="13" s="1"/>
  <c r="K538" i="13"/>
  <c r="M538" i="13" s="1"/>
  <c r="K546" i="13"/>
  <c r="M546" i="13" s="1"/>
  <c r="K554" i="13"/>
  <c r="M554" i="13" s="1"/>
  <c r="K562" i="13"/>
  <c r="M562" i="13" s="1"/>
  <c r="K570" i="13"/>
  <c r="M570" i="13" s="1"/>
  <c r="K578" i="13"/>
  <c r="M578" i="13" s="1"/>
  <c r="K594" i="13"/>
  <c r="M594" i="13" s="1"/>
  <c r="K602" i="13"/>
  <c r="M602" i="13" s="1"/>
  <c r="K610" i="13"/>
  <c r="M610" i="13" s="1"/>
  <c r="K618" i="13"/>
  <c r="M618" i="13" s="1"/>
  <c r="K626" i="13"/>
  <c r="M626" i="13" s="1"/>
  <c r="K634" i="13"/>
  <c r="M634" i="13" s="1"/>
  <c r="K644" i="13"/>
  <c r="M644" i="13" s="1"/>
  <c r="K652" i="13"/>
  <c r="M652" i="13" s="1"/>
  <c r="K663" i="13"/>
  <c r="M663" i="13" s="1"/>
  <c r="K671" i="13"/>
  <c r="M671" i="13" s="1"/>
  <c r="K679" i="13"/>
  <c r="M679" i="13" s="1"/>
  <c r="K687" i="13"/>
  <c r="M687" i="13" s="1"/>
  <c r="K695" i="13"/>
  <c r="M695" i="13" s="1"/>
  <c r="K703" i="13"/>
  <c r="M703" i="13" s="1"/>
  <c r="K711" i="13"/>
  <c r="M711" i="13" s="1"/>
  <c r="K719" i="13"/>
  <c r="M719" i="13" s="1"/>
  <c r="K727" i="13"/>
  <c r="M727" i="13" s="1"/>
  <c r="K736" i="13"/>
  <c r="M736" i="13" s="1"/>
  <c r="K21" i="13"/>
  <c r="K29" i="13"/>
  <c r="M29" i="13" s="1"/>
  <c r="K53" i="13"/>
  <c r="K63" i="13"/>
  <c r="K73" i="13"/>
  <c r="K85" i="13"/>
  <c r="K337" i="13"/>
  <c r="K363" i="13"/>
  <c r="M363" i="13" s="1"/>
  <c r="K371" i="13"/>
  <c r="M371" i="13" s="1"/>
  <c r="K379" i="13"/>
  <c r="M379" i="13" s="1"/>
  <c r="K395" i="13"/>
  <c r="M395" i="13" s="1"/>
  <c r="K403" i="13"/>
  <c r="M403" i="13" s="1"/>
  <c r="K411" i="13"/>
  <c r="M411" i="13" s="1"/>
  <c r="K419" i="13"/>
  <c r="M419" i="13" s="1"/>
  <c r="K443" i="13"/>
  <c r="M443" i="13" s="1"/>
  <c r="K451" i="13"/>
  <c r="M451" i="13" s="1"/>
  <c r="K459" i="13"/>
  <c r="M459" i="13" s="1"/>
  <c r="K467" i="13"/>
  <c r="M467" i="13" s="1"/>
  <c r="K475" i="13"/>
  <c r="M475" i="13" s="1"/>
  <c r="K483" i="13"/>
  <c r="M483" i="13" s="1"/>
  <c r="K491" i="13"/>
  <c r="M491" i="13" s="1"/>
  <c r="K499" i="13"/>
  <c r="M499" i="13" s="1"/>
  <c r="K507" i="13"/>
  <c r="M507" i="13" s="1"/>
  <c r="K515" i="13"/>
  <c r="M515" i="13" s="1"/>
  <c r="K523" i="13"/>
  <c r="M523" i="13" s="1"/>
  <c r="K531" i="13"/>
  <c r="M531" i="13" s="1"/>
  <c r="K539" i="13"/>
  <c r="M539" i="13" s="1"/>
  <c r="K547" i="13"/>
  <c r="M547" i="13" s="1"/>
  <c r="K563" i="13"/>
  <c r="M563" i="13" s="1"/>
  <c r="K571" i="13"/>
  <c r="M571" i="13" s="1"/>
  <c r="K579" i="13"/>
  <c r="M579" i="13" s="1"/>
  <c r="K595" i="13"/>
  <c r="M595" i="13" s="1"/>
  <c r="K603" i="13"/>
  <c r="M603" i="13" s="1"/>
  <c r="K611" i="13"/>
  <c r="M611" i="13" s="1"/>
  <c r="K619" i="13"/>
  <c r="M619" i="13" s="1"/>
  <c r="K627" i="13"/>
  <c r="M627" i="13" s="1"/>
  <c r="K637" i="13"/>
  <c r="M637" i="13" s="1"/>
  <c r="K645" i="13"/>
  <c r="M645" i="13" s="1"/>
  <c r="K653" i="13"/>
  <c r="M653" i="13" s="1"/>
  <c r="K664" i="13"/>
  <c r="M664" i="13" s="1"/>
  <c r="K680" i="13"/>
  <c r="M680" i="13" s="1"/>
  <c r="K688" i="13"/>
  <c r="M688" i="13" s="1"/>
  <c r="K696" i="13"/>
  <c r="M696" i="13" s="1"/>
  <c r="K704" i="13"/>
  <c r="M704" i="13" s="1"/>
  <c r="K712" i="13"/>
  <c r="M712" i="13" s="1"/>
  <c r="K720" i="13"/>
  <c r="M720" i="13" s="1"/>
  <c r="K728" i="13"/>
  <c r="M728" i="13" s="1"/>
  <c r="AC737" i="13"/>
  <c r="AE737" i="13" s="1"/>
  <c r="K737" i="13"/>
  <c r="M737" i="13" s="1"/>
  <c r="K22" i="13"/>
  <c r="K30" i="13"/>
  <c r="M30" i="13" s="1"/>
  <c r="K54" i="13"/>
  <c r="K74" i="13"/>
  <c r="K89" i="13"/>
  <c r="K338" i="13"/>
  <c r="K364" i="13"/>
  <c r="M364" i="13" s="1"/>
  <c r="K372" i="13"/>
  <c r="M372" i="13" s="1"/>
  <c r="K380" i="13"/>
  <c r="M380" i="13" s="1"/>
  <c r="K388" i="13"/>
  <c r="M388" i="13" s="1"/>
  <c r="K396" i="13"/>
  <c r="M396" i="13" s="1"/>
  <c r="K404" i="13"/>
  <c r="M404" i="13" s="1"/>
  <c r="K412" i="13"/>
  <c r="M412" i="13" s="1"/>
  <c r="K420" i="13"/>
  <c r="M420" i="13" s="1"/>
  <c r="K444" i="13"/>
  <c r="M444" i="13" s="1"/>
  <c r="K452" i="13"/>
  <c r="M452" i="13" s="1"/>
  <c r="K460" i="13"/>
  <c r="M460" i="13" s="1"/>
  <c r="K468" i="13"/>
  <c r="M468" i="13" s="1"/>
  <c r="K476" i="13"/>
  <c r="M476" i="13" s="1"/>
  <c r="K484" i="13"/>
  <c r="M484" i="13" s="1"/>
  <c r="K492" i="13"/>
  <c r="M492" i="13" s="1"/>
  <c r="K500" i="13"/>
  <c r="M500" i="13" s="1"/>
  <c r="K508" i="13"/>
  <c r="M508" i="13" s="1"/>
  <c r="K516" i="13"/>
  <c r="M516" i="13" s="1"/>
  <c r="K524" i="13"/>
  <c r="M524" i="13" s="1"/>
  <c r="K532" i="13"/>
  <c r="M532" i="13" s="1"/>
  <c r="K540" i="13"/>
  <c r="M540" i="13" s="1"/>
  <c r="K548" i="13"/>
  <c r="M548" i="13" s="1"/>
  <c r="K564" i="13"/>
  <c r="M564" i="13" s="1"/>
  <c r="K572" i="13"/>
  <c r="M572" i="13" s="1"/>
  <c r="K580" i="13"/>
  <c r="M580" i="13" s="1"/>
  <c r="K588" i="13"/>
  <c r="M588" i="13" s="1"/>
  <c r="K596" i="13"/>
  <c r="M596" i="13" s="1"/>
  <c r="K604" i="13"/>
  <c r="M604" i="13" s="1"/>
  <c r="K620" i="13"/>
  <c r="M620" i="13" s="1"/>
  <c r="K628" i="13"/>
  <c r="M628" i="13" s="1"/>
  <c r="K638" i="13"/>
  <c r="M638" i="13" s="1"/>
  <c r="K646" i="13"/>
  <c r="M646" i="13" s="1"/>
  <c r="K654" i="13"/>
  <c r="M654" i="13" s="1"/>
  <c r="K665" i="13"/>
  <c r="M665" i="13" s="1"/>
  <c r="K673" i="13"/>
  <c r="M673" i="13" s="1"/>
  <c r="K681" i="13"/>
  <c r="M681" i="13" s="1"/>
  <c r="K689" i="13"/>
  <c r="M689" i="13" s="1"/>
  <c r="K697" i="13"/>
  <c r="M697" i="13" s="1"/>
  <c r="K705" i="13"/>
  <c r="M705" i="13" s="1"/>
  <c r="K713" i="13"/>
  <c r="M713" i="13" s="1"/>
  <c r="K721" i="13"/>
  <c r="M721" i="13" s="1"/>
  <c r="K729" i="13"/>
  <c r="M729" i="13" s="1"/>
  <c r="AC738" i="13"/>
  <c r="K738" i="13"/>
  <c r="M738" i="13" s="1"/>
  <c r="K23" i="13"/>
  <c r="K31" i="13"/>
  <c r="M31" i="13" s="1"/>
  <c r="K55" i="13"/>
  <c r="K66" i="13"/>
  <c r="K75" i="13"/>
  <c r="K90" i="13"/>
  <c r="K335" i="13"/>
  <c r="K369" i="13"/>
  <c r="M369" i="13" s="1"/>
  <c r="K393" i="13"/>
  <c r="M393" i="13" s="1"/>
  <c r="K401" i="13"/>
  <c r="M401" i="13" s="1"/>
  <c r="K409" i="13"/>
  <c r="M409" i="13" s="1"/>
  <c r="K417" i="13"/>
  <c r="M417" i="13" s="1"/>
  <c r="K433" i="13"/>
  <c r="M433" i="13" s="1"/>
  <c r="K441" i="13"/>
  <c r="M441" i="13" s="1"/>
  <c r="K449" i="13"/>
  <c r="M449" i="13" s="1"/>
  <c r="K465" i="13"/>
  <c r="M465" i="13" s="1"/>
  <c r="K473" i="13"/>
  <c r="M473" i="13" s="1"/>
  <c r="K481" i="13"/>
  <c r="M481" i="13" s="1"/>
  <c r="K489" i="13"/>
  <c r="M489" i="13" s="1"/>
  <c r="K497" i="13"/>
  <c r="M497" i="13" s="1"/>
  <c r="K505" i="13"/>
  <c r="M505" i="13" s="1"/>
  <c r="K513" i="13"/>
  <c r="M513" i="13" s="1"/>
  <c r="K521" i="13"/>
  <c r="M521" i="13" s="1"/>
  <c r="K529" i="13"/>
  <c r="M529" i="13" s="1"/>
  <c r="K537" i="13"/>
  <c r="M537" i="13" s="1"/>
  <c r="K545" i="13"/>
  <c r="M545" i="13" s="1"/>
  <c r="K553" i="13"/>
  <c r="M553" i="13" s="1"/>
  <c r="K561" i="13"/>
  <c r="M561" i="13" s="1"/>
  <c r="K569" i="13"/>
  <c r="M569" i="13" s="1"/>
  <c r="K577" i="13"/>
  <c r="M577" i="13" s="1"/>
  <c r="K593" i="13"/>
  <c r="M593" i="13" s="1"/>
  <c r="K601" i="13"/>
  <c r="M601" i="13" s="1"/>
  <c r="K609" i="13"/>
  <c r="M609" i="13" s="1"/>
  <c r="K617" i="13"/>
  <c r="M617" i="13" s="1"/>
  <c r="K625" i="13"/>
  <c r="M625" i="13" s="1"/>
  <c r="K633" i="13"/>
  <c r="M633" i="13" s="1"/>
  <c r="K643" i="13"/>
  <c r="M643" i="13" s="1"/>
  <c r="K651" i="13"/>
  <c r="M651" i="13" s="1"/>
  <c r="K662" i="13"/>
  <c r="M662" i="13" s="1"/>
  <c r="K670" i="13"/>
  <c r="M670" i="13" s="1"/>
  <c r="K678" i="13"/>
  <c r="M678" i="13" s="1"/>
  <c r="K686" i="13"/>
  <c r="M686" i="13" s="1"/>
  <c r="K694" i="13"/>
  <c r="M694" i="13" s="1"/>
  <c r="K702" i="13"/>
  <c r="M702" i="13" s="1"/>
  <c r="K710" i="13"/>
  <c r="M710" i="13" s="1"/>
  <c r="K718" i="13"/>
  <c r="M718" i="13" s="1"/>
  <c r="K726" i="13"/>
  <c r="M726" i="13" s="1"/>
  <c r="K734" i="13"/>
  <c r="M734" i="13" s="1"/>
  <c r="K7" i="13"/>
  <c r="K28" i="13"/>
  <c r="M28" i="13" s="1"/>
  <c r="K52" i="13"/>
  <c r="K62" i="13"/>
  <c r="K72" i="13"/>
  <c r="K366" i="13"/>
  <c r="M366" i="13" s="1"/>
  <c r="K374" i="13"/>
  <c r="M374" i="13" s="1"/>
  <c r="K382" i="13"/>
  <c r="M382" i="13" s="1"/>
  <c r="K390" i="13"/>
  <c r="M390" i="13" s="1"/>
  <c r="K398" i="13"/>
  <c r="M398" i="13" s="1"/>
  <c r="K406" i="13"/>
  <c r="M406" i="13" s="1"/>
  <c r="K414" i="13"/>
  <c r="M414" i="13" s="1"/>
  <c r="K422" i="13"/>
  <c r="M422" i="13" s="1"/>
  <c r="K438" i="13"/>
  <c r="M438" i="13" s="1"/>
  <c r="K446" i="13"/>
  <c r="M446" i="13" s="1"/>
  <c r="K454" i="13"/>
  <c r="M454" i="13" s="1"/>
  <c r="K462" i="13"/>
  <c r="M462" i="13" s="1"/>
  <c r="K470" i="13"/>
  <c r="M470" i="13" s="1"/>
  <c r="K478" i="13"/>
  <c r="M478" i="13" s="1"/>
  <c r="K486" i="13"/>
  <c r="M486" i="13" s="1"/>
  <c r="K494" i="13"/>
  <c r="M494" i="13" s="1"/>
  <c r="K502" i="13"/>
  <c r="M502" i="13" s="1"/>
  <c r="K510" i="13"/>
  <c r="M510" i="13" s="1"/>
  <c r="K518" i="13"/>
  <c r="M518" i="13" s="1"/>
  <c r="K526" i="13"/>
  <c r="M526" i="13" s="1"/>
  <c r="K534" i="13"/>
  <c r="M534" i="13" s="1"/>
  <c r="K542" i="13"/>
  <c r="M542" i="13" s="1"/>
  <c r="K550" i="13"/>
  <c r="M550" i="13" s="1"/>
  <c r="K566" i="13"/>
  <c r="M566" i="13" s="1"/>
  <c r="K574" i="13"/>
  <c r="M574" i="13" s="1"/>
  <c r="K582" i="13"/>
  <c r="M582" i="13" s="1"/>
  <c r="K590" i="13"/>
  <c r="M590" i="13" s="1"/>
  <c r="K598" i="13"/>
  <c r="M598" i="13" s="1"/>
  <c r="K606" i="13"/>
  <c r="M606" i="13" s="1"/>
  <c r="K614" i="13"/>
  <c r="M614" i="13" s="1"/>
  <c r="K622" i="13"/>
  <c r="M622" i="13" s="1"/>
  <c r="K630" i="13"/>
  <c r="M630" i="13" s="1"/>
  <c r="K640" i="13"/>
  <c r="M640" i="13" s="1"/>
  <c r="K648" i="13"/>
  <c r="M648" i="13" s="1"/>
  <c r="K659" i="13"/>
  <c r="M659" i="13" s="1"/>
  <c r="K667" i="13"/>
  <c r="M667" i="13" s="1"/>
  <c r="K675" i="13"/>
  <c r="M675" i="13" s="1"/>
  <c r="K683" i="13"/>
  <c r="M683" i="13" s="1"/>
  <c r="K691" i="13"/>
  <c r="M691" i="13" s="1"/>
  <c r="K699" i="13"/>
  <c r="M699" i="13" s="1"/>
  <c r="K707" i="13"/>
  <c r="M707" i="13" s="1"/>
  <c r="K715" i="13"/>
  <c r="M715" i="13" s="1"/>
  <c r="K723" i="13"/>
  <c r="M723" i="13" s="1"/>
  <c r="K731" i="13"/>
  <c r="M731" i="13" s="1"/>
  <c r="K781" i="13"/>
  <c r="M781" i="13" s="1"/>
  <c r="K25" i="13"/>
  <c r="K33" i="13"/>
  <c r="M33" i="13" s="1"/>
  <c r="K49" i="13"/>
  <c r="K57" i="13"/>
  <c r="K68" i="13"/>
  <c r="K81" i="13"/>
  <c r="K367" i="13"/>
  <c r="M367" i="13" s="1"/>
  <c r="K375" i="13"/>
  <c r="M375" i="13" s="1"/>
  <c r="K383" i="13"/>
  <c r="M383" i="13" s="1"/>
  <c r="K391" i="13"/>
  <c r="M391" i="13" s="1"/>
  <c r="K399" i="13"/>
  <c r="M399" i="13" s="1"/>
  <c r="K407" i="13"/>
  <c r="M407" i="13" s="1"/>
  <c r="K415" i="13"/>
  <c r="M415" i="13" s="1"/>
  <c r="K423" i="13"/>
  <c r="M423" i="13" s="1"/>
  <c r="K439" i="13"/>
  <c r="M439" i="13" s="1"/>
  <c r="K447" i="13"/>
  <c r="M447" i="13" s="1"/>
  <c r="K463" i="13"/>
  <c r="M463" i="13" s="1"/>
  <c r="K471" i="13"/>
  <c r="M471" i="13" s="1"/>
  <c r="K479" i="13"/>
  <c r="M479" i="13" s="1"/>
  <c r="K487" i="13"/>
  <c r="M487" i="13" s="1"/>
  <c r="K495" i="13"/>
  <c r="M495" i="13" s="1"/>
  <c r="K503" i="13"/>
  <c r="M503" i="13" s="1"/>
  <c r="K511" i="13"/>
  <c r="M511" i="13" s="1"/>
  <c r="K519" i="13"/>
  <c r="M519" i="13" s="1"/>
  <c r="K527" i="13"/>
  <c r="M527" i="13" s="1"/>
  <c r="K535" i="13"/>
  <c r="M535" i="13" s="1"/>
  <c r="K551" i="13"/>
  <c r="M551" i="13" s="1"/>
  <c r="K559" i="13"/>
  <c r="M559" i="13" s="1"/>
  <c r="K567" i="13"/>
  <c r="M567" i="13" s="1"/>
  <c r="K575" i="13"/>
  <c r="M575" i="13" s="1"/>
  <c r="K583" i="13"/>
  <c r="M583" i="13" s="1"/>
  <c r="K591" i="13"/>
  <c r="M591" i="13" s="1"/>
  <c r="K599" i="13"/>
  <c r="M599" i="13" s="1"/>
  <c r="K607" i="13"/>
  <c r="M607" i="13" s="1"/>
  <c r="K615" i="13"/>
  <c r="M615" i="13" s="1"/>
  <c r="K623" i="13"/>
  <c r="M623" i="13" s="1"/>
  <c r="K631" i="13"/>
  <c r="M631" i="13" s="1"/>
  <c r="K641" i="13"/>
  <c r="M641" i="13" s="1"/>
  <c r="K649" i="13"/>
  <c r="M649" i="13" s="1"/>
  <c r="K660" i="13"/>
  <c r="M660" i="13" s="1"/>
  <c r="K668" i="13"/>
  <c r="M668" i="13" s="1"/>
  <c r="K676" i="13"/>
  <c r="M676" i="13" s="1"/>
  <c r="K684" i="13"/>
  <c r="M684" i="13" s="1"/>
  <c r="K692" i="13"/>
  <c r="M692" i="13" s="1"/>
  <c r="K700" i="13"/>
  <c r="M700" i="13" s="1"/>
  <c r="K708" i="13"/>
  <c r="M708" i="13" s="1"/>
  <c r="K716" i="13"/>
  <c r="M716" i="13" s="1"/>
  <c r="K724" i="13"/>
  <c r="M724" i="13" s="1"/>
  <c r="K732" i="13"/>
  <c r="M732" i="13" s="1"/>
  <c r="K26" i="13"/>
  <c r="M26" i="13" s="1"/>
  <c r="K36" i="13"/>
  <c r="K50" i="13"/>
  <c r="K60" i="13"/>
  <c r="K69" i="13"/>
  <c r="K82" i="13"/>
  <c r="K368" i="13"/>
  <c r="M368" i="13" s="1"/>
  <c r="K384" i="13"/>
  <c r="M384" i="13" s="1"/>
  <c r="K392" i="13"/>
  <c r="M392" i="13" s="1"/>
  <c r="K400" i="13"/>
  <c r="M400" i="13" s="1"/>
  <c r="K408" i="13"/>
  <c r="M408" i="13" s="1"/>
  <c r="K416" i="13"/>
  <c r="M416" i="13" s="1"/>
  <c r="K424" i="13"/>
  <c r="M424" i="13" s="1"/>
  <c r="K432" i="13"/>
  <c r="M432" i="13" s="1"/>
  <c r="K440" i="13"/>
  <c r="M440" i="13" s="1"/>
  <c r="K448" i="13"/>
  <c r="M448" i="13" s="1"/>
  <c r="K464" i="13"/>
  <c r="M464" i="13" s="1"/>
  <c r="K472" i="13"/>
  <c r="M472" i="13" s="1"/>
  <c r="K480" i="13"/>
  <c r="M480" i="13" s="1"/>
  <c r="K488" i="13"/>
  <c r="M488" i="13" s="1"/>
  <c r="K496" i="13"/>
  <c r="M496" i="13" s="1"/>
  <c r="K504" i="13"/>
  <c r="M504" i="13" s="1"/>
  <c r="K512" i="13"/>
  <c r="M512" i="13" s="1"/>
  <c r="K520" i="13"/>
  <c r="M520" i="13" s="1"/>
  <c r="K528" i="13"/>
  <c r="M528" i="13" s="1"/>
  <c r="K536" i="13"/>
  <c r="M536" i="13" s="1"/>
  <c r="K552" i="13"/>
  <c r="M552" i="13" s="1"/>
  <c r="K560" i="13"/>
  <c r="M560" i="13" s="1"/>
  <c r="K568" i="13"/>
  <c r="M568" i="13" s="1"/>
  <c r="K576" i="13"/>
  <c r="M576" i="13" s="1"/>
  <c r="K592" i="13"/>
  <c r="M592" i="13" s="1"/>
  <c r="K600" i="13"/>
  <c r="M600" i="13" s="1"/>
  <c r="K608" i="13"/>
  <c r="M608" i="13" s="1"/>
  <c r="K616" i="13"/>
  <c r="M616" i="13" s="1"/>
  <c r="K624" i="13"/>
  <c r="M624" i="13" s="1"/>
  <c r="K632" i="13"/>
  <c r="M632" i="13" s="1"/>
  <c r="K642" i="13"/>
  <c r="M642" i="13" s="1"/>
  <c r="K650" i="13"/>
  <c r="M650" i="13" s="1"/>
  <c r="K661" i="13"/>
  <c r="M661" i="13" s="1"/>
  <c r="K669" i="13"/>
  <c r="M669" i="13" s="1"/>
  <c r="K677" i="13"/>
  <c r="M677" i="13" s="1"/>
  <c r="K685" i="13"/>
  <c r="M685" i="13" s="1"/>
  <c r="K693" i="13"/>
  <c r="M693" i="13" s="1"/>
  <c r="K701" i="13"/>
  <c r="M701" i="13" s="1"/>
  <c r="K709" i="13"/>
  <c r="M709" i="13" s="1"/>
  <c r="K717" i="13"/>
  <c r="M717" i="13" s="1"/>
  <c r="K725" i="13"/>
  <c r="M725" i="13" s="1"/>
  <c r="K733" i="13"/>
  <c r="M733" i="13" s="1"/>
  <c r="K6" i="13"/>
  <c r="K27" i="13"/>
  <c r="M27" i="13" s="1"/>
  <c r="K38" i="13"/>
  <c r="K51" i="13"/>
  <c r="K61" i="13"/>
  <c r="K71" i="13"/>
  <c r="K365" i="13"/>
  <c r="M365" i="13" s="1"/>
  <c r="K373" i="13"/>
  <c r="M373" i="13" s="1"/>
  <c r="K381" i="13"/>
  <c r="M381" i="13" s="1"/>
  <c r="K389" i="13"/>
  <c r="M389" i="13" s="1"/>
  <c r="K397" i="13"/>
  <c r="M397" i="13" s="1"/>
  <c r="K405" i="13"/>
  <c r="M405" i="13" s="1"/>
  <c r="K413" i="13"/>
  <c r="M413" i="13" s="1"/>
  <c r="K421" i="13"/>
  <c r="M421" i="13" s="1"/>
  <c r="K445" i="13"/>
  <c r="M445" i="13" s="1"/>
  <c r="K453" i="13"/>
  <c r="M453" i="13" s="1"/>
  <c r="K461" i="13"/>
  <c r="M461" i="13" s="1"/>
  <c r="K469" i="13"/>
  <c r="M469" i="13" s="1"/>
  <c r="K477" i="13"/>
  <c r="M477" i="13" s="1"/>
  <c r="K485" i="13"/>
  <c r="M485" i="13" s="1"/>
  <c r="K493" i="13"/>
  <c r="M493" i="13" s="1"/>
  <c r="K501" i="13"/>
  <c r="M501" i="13" s="1"/>
  <c r="K509" i="13"/>
  <c r="M509" i="13" s="1"/>
  <c r="K517" i="13"/>
  <c r="M517" i="13" s="1"/>
  <c r="K525" i="13"/>
  <c r="M525" i="13" s="1"/>
  <c r="K533" i="13"/>
  <c r="M533" i="13" s="1"/>
  <c r="K549" i="13"/>
  <c r="M549" i="13" s="1"/>
  <c r="K565" i="13"/>
  <c r="M565" i="13" s="1"/>
  <c r="K573" i="13"/>
  <c r="M573" i="13" s="1"/>
  <c r="K581" i="13"/>
  <c r="M581" i="13" s="1"/>
  <c r="K589" i="13"/>
  <c r="M589" i="13" s="1"/>
  <c r="K597" i="13"/>
  <c r="M597" i="13" s="1"/>
  <c r="K605" i="13"/>
  <c r="M605" i="13" s="1"/>
  <c r="K613" i="13"/>
  <c r="M613" i="13" s="1"/>
  <c r="K621" i="13"/>
  <c r="M621" i="13" s="1"/>
  <c r="K629" i="13"/>
  <c r="M629" i="13" s="1"/>
  <c r="K639" i="13"/>
  <c r="M639" i="13" s="1"/>
  <c r="K647" i="13"/>
  <c r="M647" i="13" s="1"/>
  <c r="K655" i="13"/>
  <c r="M655" i="13" s="1"/>
  <c r="K666" i="13"/>
  <c r="M666" i="13" s="1"/>
  <c r="K674" i="13"/>
  <c r="M674" i="13" s="1"/>
  <c r="K682" i="13"/>
  <c r="M682" i="13" s="1"/>
  <c r="K690" i="13"/>
  <c r="M690" i="13" s="1"/>
  <c r="K698" i="13"/>
  <c r="M698" i="13" s="1"/>
  <c r="K706" i="13"/>
  <c r="M706" i="13" s="1"/>
  <c r="K714" i="13"/>
  <c r="M714" i="13" s="1"/>
  <c r="K722" i="13"/>
  <c r="M722" i="13" s="1"/>
  <c r="K730" i="13"/>
  <c r="M730" i="13" s="1"/>
  <c r="AC739" i="13"/>
  <c r="AE739" i="13" s="1"/>
  <c r="K739" i="13"/>
  <c r="M739" i="13" s="1"/>
  <c r="K111" i="13"/>
  <c r="M111" i="13" s="1"/>
  <c r="K113" i="13"/>
  <c r="M113" i="13" s="1"/>
  <c r="K116" i="13"/>
  <c r="M116" i="13" s="1"/>
  <c r="K112" i="13"/>
  <c r="M112" i="13" s="1"/>
  <c r="K117" i="13"/>
  <c r="M117" i="13" s="1"/>
  <c r="K110" i="13"/>
  <c r="R739" i="13"/>
  <c r="S739" i="13"/>
  <c r="W739" i="13" s="1"/>
  <c r="R737" i="13"/>
  <c r="S737" i="13"/>
  <c r="W737" i="13" s="1"/>
  <c r="AN738" i="13"/>
  <c r="AD738" i="13"/>
  <c r="BA738" i="13" s="1"/>
  <c r="W738" i="13"/>
  <c r="AN737" i="13"/>
  <c r="AN739" i="13"/>
  <c r="R738" i="13"/>
  <c r="M110" i="13" l="1"/>
  <c r="Q110" i="13" s="1"/>
  <c r="L61" i="13"/>
  <c r="M61" i="13" s="1"/>
  <c r="L38" i="13"/>
  <c r="M38" i="13" s="1"/>
  <c r="L6" i="13"/>
  <c r="M6" i="13" s="1"/>
  <c r="L69" i="13"/>
  <c r="M69" i="13" s="1"/>
  <c r="L50" i="13"/>
  <c r="M50" i="13" s="1"/>
  <c r="L62" i="13"/>
  <c r="M62" i="13" s="1"/>
  <c r="L85" i="13"/>
  <c r="M85" i="13" s="1"/>
  <c r="L63" i="13"/>
  <c r="M63" i="13" s="1"/>
  <c r="L81" i="13"/>
  <c r="M81" i="13" s="1"/>
  <c r="L57" i="13"/>
  <c r="M57" i="13" s="1"/>
  <c r="N57" i="13" s="1"/>
  <c r="L52" i="13"/>
  <c r="M52" i="13" s="1"/>
  <c r="Q52" i="13" s="1"/>
  <c r="L335" i="13"/>
  <c r="M335" i="13" s="1"/>
  <c r="Q335" i="13" s="1"/>
  <c r="L75" i="13"/>
  <c r="M75" i="13" s="1"/>
  <c r="L55" i="13"/>
  <c r="M55" i="13" s="1"/>
  <c r="L23" i="13"/>
  <c r="M23" i="13" s="1"/>
  <c r="L338" i="13"/>
  <c r="M338" i="13" s="1"/>
  <c r="Q338" i="13" s="1"/>
  <c r="L74" i="13"/>
  <c r="M74" i="13" s="1"/>
  <c r="L54" i="13"/>
  <c r="M54" i="13" s="1"/>
  <c r="L22" i="13"/>
  <c r="M22" i="13" s="1"/>
  <c r="L337" i="13"/>
  <c r="M337" i="13" s="1"/>
  <c r="Q337" i="13" s="1"/>
  <c r="L21" i="13"/>
  <c r="M21" i="13" s="1"/>
  <c r="L80" i="13"/>
  <c r="M80" i="13" s="1"/>
  <c r="L56" i="13"/>
  <c r="M56" i="13" s="1"/>
  <c r="L71" i="13"/>
  <c r="M71" i="13" s="1"/>
  <c r="L51" i="13"/>
  <c r="M51" i="13" s="1"/>
  <c r="L82" i="13"/>
  <c r="M82" i="13" s="1"/>
  <c r="L60" i="13"/>
  <c r="M60" i="13" s="1"/>
  <c r="L36" i="13"/>
  <c r="M36" i="13" s="1"/>
  <c r="O36" i="13" s="1"/>
  <c r="L25" i="13"/>
  <c r="M25" i="13" s="1"/>
  <c r="L72" i="13"/>
  <c r="M72" i="13" s="1"/>
  <c r="L7" i="13"/>
  <c r="M7" i="13" s="1"/>
  <c r="L73" i="13"/>
  <c r="M73" i="13" s="1"/>
  <c r="L53" i="13"/>
  <c r="M53" i="13" s="1"/>
  <c r="O53" i="13" s="1"/>
  <c r="L68" i="13"/>
  <c r="M68" i="13" s="1"/>
  <c r="L49" i="13"/>
  <c r="M49" i="13" s="1"/>
  <c r="L90" i="13"/>
  <c r="M90" i="13" s="1"/>
  <c r="L66" i="13"/>
  <c r="M66" i="13" s="1"/>
  <c r="L89" i="13"/>
  <c r="M89" i="13" s="1"/>
  <c r="L91" i="13"/>
  <c r="M91" i="13" s="1"/>
  <c r="O91" i="13" s="1"/>
  <c r="L67" i="13"/>
  <c r="M67" i="13" s="1"/>
  <c r="L48" i="13"/>
  <c r="M48" i="13" s="1"/>
  <c r="L24" i="13"/>
  <c r="M24" i="13" s="1"/>
  <c r="AV737" i="13"/>
  <c r="AX737" i="13" s="1"/>
  <c r="AV739" i="13"/>
  <c r="AX739" i="13" s="1"/>
  <c r="AV738" i="13"/>
  <c r="AX738" i="13" s="1"/>
  <c r="AE738" i="13"/>
  <c r="AL738" i="13" s="1"/>
  <c r="AL737" i="13"/>
  <c r="AO737" i="13"/>
  <c r="AK737" i="13"/>
  <c r="AM737" i="13" s="1"/>
  <c r="AL739" i="13"/>
  <c r="AO739" i="13"/>
  <c r="AK739" i="13"/>
  <c r="AM739" i="13" s="1"/>
  <c r="Q738" i="13" l="1"/>
  <c r="N738" i="13"/>
  <c r="Q739" i="13"/>
  <c r="N739" i="13"/>
  <c r="Q737" i="13"/>
  <c r="N737" i="13"/>
  <c r="AY739" i="13"/>
  <c r="AY737" i="13"/>
  <c r="AY738" i="13"/>
  <c r="AK738" i="13"/>
  <c r="AM738" i="13" s="1"/>
  <c r="AO738" i="13"/>
  <c r="AT737" i="13" l="1"/>
  <c r="AT739" i="13"/>
  <c r="AT738" i="13"/>
  <c r="AJ736" i="13"/>
  <c r="AA736" i="13"/>
  <c r="AD736" i="13" s="1"/>
  <c r="BA736" i="13" s="1"/>
  <c r="Z736" i="13"/>
  <c r="Q757" i="11"/>
  <c r="Q758" i="11"/>
  <c r="Q759" i="11"/>
  <c r="Q760" i="11"/>
  <c r="Q761" i="11"/>
  <c r="Q762" i="11"/>
  <c r="Q763" i="11"/>
  <c r="Q764" i="11"/>
  <c r="Q765" i="11"/>
  <c r="Q766" i="11"/>
  <c r="Q767" i="11"/>
  <c r="Q768" i="11"/>
  <c r="Q769" i="11"/>
  <c r="Q770" i="11"/>
  <c r="Q771" i="11"/>
  <c r="Q772" i="11"/>
  <c r="Q773" i="11"/>
  <c r="Q774" i="11"/>
  <c r="Q775" i="11"/>
  <c r="Q776" i="11"/>
  <c r="Q777" i="11"/>
  <c r="Q778" i="11"/>
  <c r="Q779" i="11"/>
  <c r="Q780" i="11"/>
  <c r="Q756" i="11"/>
  <c r="S736" i="13" l="1"/>
  <c r="W736" i="13" s="1"/>
  <c r="AN736" i="13"/>
  <c r="AC736" i="13"/>
  <c r="AE736" i="13" s="1"/>
  <c r="AO736" i="13" s="1"/>
  <c r="R736" i="13"/>
  <c r="AV736" i="13" l="1"/>
  <c r="AX736" i="13" s="1"/>
  <c r="AL736" i="13"/>
  <c r="AK736" i="13"/>
  <c r="AM736" i="13" s="1"/>
  <c r="K62" i="2"/>
  <c r="J62" i="2"/>
  <c r="G62" i="2"/>
  <c r="F62" i="2"/>
  <c r="D62" i="2"/>
  <c r="C62" i="2"/>
  <c r="J42" i="2"/>
  <c r="J43" i="2" s="1"/>
  <c r="K42" i="2"/>
  <c r="K43" i="2" s="1"/>
  <c r="L42" i="2"/>
  <c r="L43" i="2" s="1"/>
  <c r="J47" i="2"/>
  <c r="J56" i="2"/>
  <c r="K56" i="2"/>
  <c r="L56" i="2"/>
  <c r="L62" i="2"/>
  <c r="C89" i="3"/>
  <c r="O61" i="2"/>
  <c r="O54" i="2"/>
  <c r="D3" i="2"/>
  <c r="E3" i="2" s="1"/>
  <c r="F3" i="2" s="1"/>
  <c r="G3" i="2" s="1"/>
  <c r="H3" i="2" s="1"/>
  <c r="I3" i="2" s="1"/>
  <c r="J3" i="2" s="1"/>
  <c r="K3" i="2" s="1"/>
  <c r="L3" i="2" s="1"/>
  <c r="M3" i="2" s="1"/>
  <c r="N3" i="2" s="1"/>
  <c r="C42" i="2"/>
  <c r="C43" i="2" s="1"/>
  <c r="D42" i="2"/>
  <c r="D43" i="2" s="1"/>
  <c r="E42" i="2"/>
  <c r="E43" i="2" s="1"/>
  <c r="F42" i="2"/>
  <c r="G42" i="2"/>
  <c r="G43" i="2" s="1"/>
  <c r="H42" i="2"/>
  <c r="H43" i="2" s="1"/>
  <c r="I42" i="2"/>
  <c r="C47" i="2"/>
  <c r="D47" i="2"/>
  <c r="E47" i="2"/>
  <c r="F47" i="2"/>
  <c r="G47" i="2"/>
  <c r="H47" i="2"/>
  <c r="I47" i="2"/>
  <c r="D53" i="2"/>
  <c r="E53" i="2" s="1"/>
  <c r="F53" i="2" s="1"/>
  <c r="G53" i="2" s="1"/>
  <c r="H53" i="2" s="1"/>
  <c r="I53" i="2" s="1"/>
  <c r="J53" i="2" s="1"/>
  <c r="K53" i="2" s="1"/>
  <c r="L53" i="2" s="1"/>
  <c r="M53" i="2" s="1"/>
  <c r="N53" i="2" s="1"/>
  <c r="C56" i="2"/>
  <c r="D56" i="2"/>
  <c r="E56" i="2"/>
  <c r="F56" i="2"/>
  <c r="G56" i="2"/>
  <c r="H56" i="2"/>
  <c r="I56" i="2"/>
  <c r="D60" i="2"/>
  <c r="E60" i="2" s="1"/>
  <c r="F60" i="2" s="1"/>
  <c r="G60" i="2" s="1"/>
  <c r="H60" i="2" s="1"/>
  <c r="I60" i="2" s="1"/>
  <c r="J60" i="2" s="1"/>
  <c r="K60" i="2" s="1"/>
  <c r="L60" i="2" s="1"/>
  <c r="M60" i="2" s="1"/>
  <c r="N60" i="2" s="1"/>
  <c r="E62" i="2"/>
  <c r="H62" i="2"/>
  <c r="I62" i="2"/>
  <c r="Q736" i="13" l="1"/>
  <c r="N736" i="13"/>
  <c r="AY736" i="13"/>
  <c r="O37" i="2"/>
  <c r="O42" i="2"/>
  <c r="O43" i="2" s="1"/>
  <c r="O47" i="2"/>
  <c r="I43" i="2"/>
  <c r="F43" i="2"/>
  <c r="AT736" i="13" l="1"/>
  <c r="AJ724" i="13"/>
  <c r="AA724" i="13"/>
  <c r="Z724" i="13"/>
  <c r="AJ723" i="13"/>
  <c r="AA723" i="13"/>
  <c r="AD723" i="13" s="1"/>
  <c r="BA723" i="13" s="1"/>
  <c r="Z723" i="13"/>
  <c r="S723" i="13"/>
  <c r="AJ722" i="13"/>
  <c r="AA722" i="13"/>
  <c r="Z722" i="13"/>
  <c r="AJ721" i="13"/>
  <c r="AA721" i="13"/>
  <c r="AD721" i="13" s="1"/>
  <c r="BA721" i="13" s="1"/>
  <c r="Z721" i="13"/>
  <c r="AJ720" i="13"/>
  <c r="AA720" i="13"/>
  <c r="Z720" i="13"/>
  <c r="AJ719" i="13"/>
  <c r="AA719" i="13"/>
  <c r="AD719" i="13" s="1"/>
  <c r="BA719" i="13" s="1"/>
  <c r="Z719" i="13"/>
  <c r="S719" i="13"/>
  <c r="AJ718" i="13"/>
  <c r="AA718" i="13"/>
  <c r="Z718" i="13"/>
  <c r="AJ717" i="13"/>
  <c r="AA717" i="13"/>
  <c r="AD717" i="13" s="1"/>
  <c r="BA717" i="13" s="1"/>
  <c r="Z717" i="13"/>
  <c r="S717" i="13"/>
  <c r="AJ734" i="13"/>
  <c r="AA734" i="13"/>
  <c r="AD734" i="13" s="1"/>
  <c r="BA734" i="13" s="1"/>
  <c r="Z734" i="13"/>
  <c r="AJ733" i="13"/>
  <c r="AA733" i="13"/>
  <c r="AD733" i="13" s="1"/>
  <c r="BA733" i="13" s="1"/>
  <c r="Z733" i="13"/>
  <c r="S733" i="13"/>
  <c r="AJ732" i="13"/>
  <c r="AA732" i="13"/>
  <c r="AD732" i="13" s="1"/>
  <c r="BA732" i="13" s="1"/>
  <c r="Z732" i="13"/>
  <c r="Z711" i="13"/>
  <c r="R734" i="13" l="1"/>
  <c r="S734" i="13"/>
  <c r="W734" i="13" s="1"/>
  <c r="R718" i="13"/>
  <c r="S718" i="13"/>
  <c r="R721" i="13"/>
  <c r="S721" i="13"/>
  <c r="W721" i="13" s="1"/>
  <c r="S732" i="13"/>
  <c r="W732" i="13" s="1"/>
  <c r="R720" i="13"/>
  <c r="S720" i="13"/>
  <c r="R722" i="13"/>
  <c r="S722" i="13"/>
  <c r="R724" i="13"/>
  <c r="S724" i="13"/>
  <c r="N720" i="13"/>
  <c r="N724" i="13"/>
  <c r="N717" i="13"/>
  <c r="N719" i="13"/>
  <c r="AV732" i="13"/>
  <c r="AX732" i="13" s="1"/>
  <c r="AV719" i="13"/>
  <c r="AX719" i="13" s="1"/>
  <c r="AV718" i="13"/>
  <c r="AX718" i="13" s="1"/>
  <c r="AV733" i="13"/>
  <c r="AX733" i="13" s="1"/>
  <c r="AV717" i="13"/>
  <c r="AX717" i="13" s="1"/>
  <c r="AV721" i="13"/>
  <c r="AX721" i="13" s="1"/>
  <c r="AV723" i="13"/>
  <c r="AX723" i="13" s="1"/>
  <c r="AV734" i="13"/>
  <c r="AX734" i="13" s="1"/>
  <c r="AV720" i="13"/>
  <c r="AX720" i="13" s="1"/>
  <c r="AV722" i="13"/>
  <c r="AX722" i="13" s="1"/>
  <c r="AV724" i="13"/>
  <c r="AX724" i="13" s="1"/>
  <c r="AN720" i="13"/>
  <c r="AN721" i="13"/>
  <c r="AD720" i="13"/>
  <c r="BA720" i="13" s="1"/>
  <c r="AC720" i="13"/>
  <c r="R719" i="13"/>
  <c r="W719" i="13"/>
  <c r="AD724" i="13"/>
  <c r="BA724" i="13" s="1"/>
  <c r="AC724" i="13"/>
  <c r="AN733" i="13"/>
  <c r="AN717" i="13"/>
  <c r="AD718" i="13"/>
  <c r="BA718" i="13" s="1"/>
  <c r="AC718" i="13"/>
  <c r="R723" i="13"/>
  <c r="W723" i="13"/>
  <c r="AN718" i="13"/>
  <c r="AN719" i="13"/>
  <c r="AD722" i="13"/>
  <c r="BA722" i="13" s="1"/>
  <c r="AC722" i="13"/>
  <c r="AN722" i="13"/>
  <c r="AN723" i="13"/>
  <c r="AN724" i="13"/>
  <c r="AC719" i="13"/>
  <c r="AE719" i="13" s="1"/>
  <c r="AC721" i="13"/>
  <c r="AE721" i="13" s="1"/>
  <c r="AC723" i="13"/>
  <c r="AE723" i="13" s="1"/>
  <c r="AC717" i="13"/>
  <c r="AE717" i="13" s="1"/>
  <c r="AK717" i="13" s="1"/>
  <c r="AM717" i="13" s="1"/>
  <c r="W717" i="13"/>
  <c r="R717" i="13"/>
  <c r="AN734" i="13"/>
  <c r="AN732" i="13"/>
  <c r="AC733" i="13"/>
  <c r="AE733" i="13" s="1"/>
  <c r="AL733" i="13" s="1"/>
  <c r="R732" i="13"/>
  <c r="W733" i="13"/>
  <c r="R733" i="13"/>
  <c r="AC732" i="13"/>
  <c r="AE732" i="13" s="1"/>
  <c r="AC734" i="13"/>
  <c r="AE734" i="13" s="1"/>
  <c r="Z696" i="13"/>
  <c r="AA696" i="13"/>
  <c r="AD696" i="13" s="1"/>
  <c r="BA696" i="13" s="1"/>
  <c r="AJ696" i="13"/>
  <c r="Z697" i="13"/>
  <c r="AA697" i="13"/>
  <c r="AJ697" i="13"/>
  <c r="Z698" i="13"/>
  <c r="AA698" i="13"/>
  <c r="AJ698" i="13"/>
  <c r="W699" i="13"/>
  <c r="Z699" i="13"/>
  <c r="AA699" i="13"/>
  <c r="AD699" i="13" s="1"/>
  <c r="BA699" i="13" s="1"/>
  <c r="AJ699" i="13"/>
  <c r="R700" i="13"/>
  <c r="Z700" i="13"/>
  <c r="AA700" i="13"/>
  <c r="AD700" i="13" s="1"/>
  <c r="BA700" i="13" s="1"/>
  <c r="AJ700" i="13"/>
  <c r="R701" i="13"/>
  <c r="Z701" i="13"/>
  <c r="AA701" i="13"/>
  <c r="AJ701" i="13"/>
  <c r="R702" i="13"/>
  <c r="Z702" i="13"/>
  <c r="AA702" i="13"/>
  <c r="AD702" i="13" s="1"/>
  <c r="BA702" i="13" s="1"/>
  <c r="AJ702" i="13"/>
  <c r="W703" i="13"/>
  <c r="Z703" i="13"/>
  <c r="AA703" i="13"/>
  <c r="AD703" i="13" s="1"/>
  <c r="BA703" i="13" s="1"/>
  <c r="AJ703" i="13"/>
  <c r="W704" i="13"/>
  <c r="Z704" i="13"/>
  <c r="AA704" i="13"/>
  <c r="AD704" i="13" s="1"/>
  <c r="BA704" i="13" s="1"/>
  <c r="AJ704" i="13"/>
  <c r="R705" i="13"/>
  <c r="Z705" i="13"/>
  <c r="AA705" i="13"/>
  <c r="AJ705" i="13"/>
  <c r="R706" i="13"/>
  <c r="Z706" i="13"/>
  <c r="AA706" i="13"/>
  <c r="AJ706" i="13"/>
  <c r="Z707" i="13"/>
  <c r="AA707" i="13"/>
  <c r="AD707" i="13" s="1"/>
  <c r="BA707" i="13" s="1"/>
  <c r="AJ707" i="13"/>
  <c r="R708" i="13"/>
  <c r="Z708" i="13"/>
  <c r="AA708" i="13"/>
  <c r="AD708" i="13" s="1"/>
  <c r="BA708" i="13" s="1"/>
  <c r="AJ708" i="13"/>
  <c r="R709" i="13"/>
  <c r="Z709" i="13"/>
  <c r="AA709" i="13"/>
  <c r="AJ709" i="13"/>
  <c r="R710" i="13"/>
  <c r="Z710" i="13"/>
  <c r="AA710" i="13"/>
  <c r="AJ710" i="13"/>
  <c r="AA711" i="13"/>
  <c r="AJ711" i="13"/>
  <c r="Z712" i="13"/>
  <c r="AA712" i="13"/>
  <c r="AD712" i="13" s="1"/>
  <c r="BA712" i="13" s="1"/>
  <c r="AJ712" i="13"/>
  <c r="Z713" i="13"/>
  <c r="AA713" i="13"/>
  <c r="AJ713" i="13"/>
  <c r="Z714" i="13"/>
  <c r="AA714" i="13"/>
  <c r="AJ714" i="13"/>
  <c r="Z715" i="13"/>
  <c r="AA715" i="13"/>
  <c r="AD715" i="13" s="1"/>
  <c r="BA715" i="13" s="1"/>
  <c r="AJ715" i="13"/>
  <c r="Z716" i="13"/>
  <c r="AA716" i="13"/>
  <c r="AD716" i="13" s="1"/>
  <c r="BA716" i="13" s="1"/>
  <c r="AJ716" i="13"/>
  <c r="Z725" i="13"/>
  <c r="AA725" i="13"/>
  <c r="AJ725" i="13"/>
  <c r="Z726" i="13"/>
  <c r="AA726" i="13"/>
  <c r="AJ726" i="13"/>
  <c r="Z727" i="13"/>
  <c r="AA727" i="13"/>
  <c r="AJ727" i="13"/>
  <c r="Z728" i="13"/>
  <c r="AA728" i="13"/>
  <c r="AD728" i="13" s="1"/>
  <c r="BA728" i="13" s="1"/>
  <c r="AJ728" i="13"/>
  <c r="Z729" i="13"/>
  <c r="AA729" i="13"/>
  <c r="AD729" i="13" s="1"/>
  <c r="BA729" i="13" s="1"/>
  <c r="AJ729" i="13"/>
  <c r="S730" i="13"/>
  <c r="Z730" i="13"/>
  <c r="AA730" i="13"/>
  <c r="AD730" i="13" s="1"/>
  <c r="BA730" i="13" s="1"/>
  <c r="AJ730" i="13"/>
  <c r="Z731" i="13"/>
  <c r="AA731" i="13"/>
  <c r="AD731" i="13" s="1"/>
  <c r="BA731" i="13" s="1"/>
  <c r="AJ731" i="13"/>
  <c r="AJ648" i="13"/>
  <c r="Z648" i="13"/>
  <c r="AJ647" i="13"/>
  <c r="Z647" i="13"/>
  <c r="AJ646" i="13"/>
  <c r="Z646" i="13"/>
  <c r="AJ645" i="13"/>
  <c r="Q722" i="13" l="1"/>
  <c r="N722" i="13"/>
  <c r="Q721" i="13"/>
  <c r="N721" i="13"/>
  <c r="Q718" i="13"/>
  <c r="N718" i="13"/>
  <c r="Q734" i="13"/>
  <c r="N734" i="13"/>
  <c r="Q732" i="13"/>
  <c r="N732" i="13"/>
  <c r="Q723" i="13"/>
  <c r="N723" i="13"/>
  <c r="Q733" i="13"/>
  <c r="N733" i="13"/>
  <c r="AA645" i="13"/>
  <c r="AD645" i="13" s="1"/>
  <c r="BA645" i="13" s="1"/>
  <c r="AA646" i="13"/>
  <c r="AD646" i="13" s="1"/>
  <c r="BA646" i="13" s="1"/>
  <c r="AA647" i="13"/>
  <c r="AD647" i="13" s="1"/>
  <c r="BA647" i="13" s="1"/>
  <c r="Q724" i="13"/>
  <c r="AT724" i="13" s="1"/>
  <c r="Q720" i="13"/>
  <c r="AT720" i="13" s="1"/>
  <c r="R644" i="13"/>
  <c r="S644" i="13"/>
  <c r="R697" i="13"/>
  <c r="S697" i="13"/>
  <c r="W697" i="13" s="1"/>
  <c r="R731" i="13"/>
  <c r="S731" i="13"/>
  <c r="W731" i="13" s="1"/>
  <c r="R729" i="13"/>
  <c r="S729" i="13"/>
  <c r="W729" i="13" s="1"/>
  <c r="S727" i="13"/>
  <c r="W727" i="13" s="1"/>
  <c r="R725" i="13"/>
  <c r="S725" i="13"/>
  <c r="W725" i="13" s="1"/>
  <c r="S715" i="13"/>
  <c r="W715" i="13" s="1"/>
  <c r="R713" i="13"/>
  <c r="S713" i="13"/>
  <c r="W713" i="13" s="1"/>
  <c r="S711" i="13"/>
  <c r="W711" i="13" s="1"/>
  <c r="R698" i="13"/>
  <c r="S698" i="13"/>
  <c r="W698" i="13" s="1"/>
  <c r="S696" i="13"/>
  <c r="W696" i="13" s="1"/>
  <c r="S645" i="13"/>
  <c r="W645" i="13" s="1"/>
  <c r="R646" i="13"/>
  <c r="S646" i="13"/>
  <c r="W646" i="13" s="1"/>
  <c r="S647" i="13"/>
  <c r="W647" i="13" s="1"/>
  <c r="R648" i="13"/>
  <c r="S648" i="13"/>
  <c r="W648" i="13" s="1"/>
  <c r="S728" i="13"/>
  <c r="W728" i="13" s="1"/>
  <c r="R726" i="13"/>
  <c r="S726" i="13"/>
  <c r="W726" i="13" s="1"/>
  <c r="R716" i="13"/>
  <c r="S716" i="13"/>
  <c r="W716" i="13" s="1"/>
  <c r="R714" i="13"/>
  <c r="S714" i="13"/>
  <c r="R712" i="13"/>
  <c r="S712" i="13"/>
  <c r="W712" i="13" s="1"/>
  <c r="AY722" i="13"/>
  <c r="AY721" i="13"/>
  <c r="AY719" i="13"/>
  <c r="AY720" i="13"/>
  <c r="AY717" i="13"/>
  <c r="AY732" i="13"/>
  <c r="AY734" i="13"/>
  <c r="AY733" i="13"/>
  <c r="AY724" i="13"/>
  <c r="AY723" i="13"/>
  <c r="AY718" i="13"/>
  <c r="Q719" i="13"/>
  <c r="AV730" i="13"/>
  <c r="AX730" i="13" s="1"/>
  <c r="AV726" i="13"/>
  <c r="AX726" i="13" s="1"/>
  <c r="AV729" i="13"/>
  <c r="AX729" i="13" s="1"/>
  <c r="AV725" i="13"/>
  <c r="AX725" i="13" s="1"/>
  <c r="AV715" i="13"/>
  <c r="AX715" i="13" s="1"/>
  <c r="AV713" i="13"/>
  <c r="AX713" i="13" s="1"/>
  <c r="AV711" i="13"/>
  <c r="AX711" i="13" s="1"/>
  <c r="AV709" i="13"/>
  <c r="AX709" i="13" s="1"/>
  <c r="AV707" i="13"/>
  <c r="AX707" i="13" s="1"/>
  <c r="AV705" i="13"/>
  <c r="AX705" i="13" s="1"/>
  <c r="AV703" i="13"/>
  <c r="AX703" i="13" s="1"/>
  <c r="AV701" i="13"/>
  <c r="AX701" i="13" s="1"/>
  <c r="AV699" i="13"/>
  <c r="AX699" i="13" s="1"/>
  <c r="AV697" i="13"/>
  <c r="AX697" i="13" s="1"/>
  <c r="AV728" i="13"/>
  <c r="AX728" i="13" s="1"/>
  <c r="AV731" i="13"/>
  <c r="AX731" i="13" s="1"/>
  <c r="AV727" i="13"/>
  <c r="AX727" i="13" s="1"/>
  <c r="AV716" i="13"/>
  <c r="AX716" i="13" s="1"/>
  <c r="AV714" i="13"/>
  <c r="AX714" i="13" s="1"/>
  <c r="AV712" i="13"/>
  <c r="AX712" i="13" s="1"/>
  <c r="AV710" i="13"/>
  <c r="AX710" i="13" s="1"/>
  <c r="AV708" i="13"/>
  <c r="AX708" i="13" s="1"/>
  <c r="AV706" i="13"/>
  <c r="AX706" i="13" s="1"/>
  <c r="AV704" i="13"/>
  <c r="AX704" i="13" s="1"/>
  <c r="AV702" i="13"/>
  <c r="AX702" i="13" s="1"/>
  <c r="AV700" i="13"/>
  <c r="AX700" i="13" s="1"/>
  <c r="AV698" i="13"/>
  <c r="AX698" i="13" s="1"/>
  <c r="AV696" i="13"/>
  <c r="AX696" i="13" s="1"/>
  <c r="AE718" i="13"/>
  <c r="AL718" i="13" s="1"/>
  <c r="AE724" i="13"/>
  <c r="AL724" i="13" s="1"/>
  <c r="AE720" i="13"/>
  <c r="AK720" i="13" s="1"/>
  <c r="AM720" i="13" s="1"/>
  <c r="AE722" i="13"/>
  <c r="AL722" i="13" s="1"/>
  <c r="AL719" i="13"/>
  <c r="AO719" i="13"/>
  <c r="AK719" i="13"/>
  <c r="AM719" i="13" s="1"/>
  <c r="AL721" i="13"/>
  <c r="AO721" i="13"/>
  <c r="AK721" i="13"/>
  <c r="AM721" i="13" s="1"/>
  <c r="AL723" i="13"/>
  <c r="AO723" i="13"/>
  <c r="AK723" i="13"/>
  <c r="AM723" i="13" s="1"/>
  <c r="W718" i="13"/>
  <c r="W722" i="13"/>
  <c r="W724" i="13"/>
  <c r="W720" i="13"/>
  <c r="AL717" i="13"/>
  <c r="AO717" i="13"/>
  <c r="R696" i="13"/>
  <c r="AK733" i="13"/>
  <c r="AM733" i="13" s="1"/>
  <c r="AO733" i="13"/>
  <c r="AL734" i="13"/>
  <c r="AO734" i="13"/>
  <c r="AK734" i="13"/>
  <c r="AM734" i="13" s="1"/>
  <c r="AL732" i="13"/>
  <c r="AO732" i="13"/>
  <c r="AK732" i="13"/>
  <c r="AM732" i="13" s="1"/>
  <c r="AN729" i="13"/>
  <c r="AN730" i="13"/>
  <c r="AN716" i="13"/>
  <c r="AC730" i="13"/>
  <c r="AE730" i="13" s="1"/>
  <c r="AL730" i="13" s="1"/>
  <c r="AN713" i="13"/>
  <c r="R707" i="13"/>
  <c r="AN696" i="13"/>
  <c r="R728" i="13"/>
  <c r="R704" i="13"/>
  <c r="AC703" i="13"/>
  <c r="AE703" i="13" s="1"/>
  <c r="AK703" i="13" s="1"/>
  <c r="AM703" i="13" s="1"/>
  <c r="AN731" i="13"/>
  <c r="AN728" i="13"/>
  <c r="AC714" i="13"/>
  <c r="AN703" i="13"/>
  <c r="AC711" i="13"/>
  <c r="W702" i="13"/>
  <c r="W701" i="13"/>
  <c r="AC699" i="13"/>
  <c r="AE699" i="13" s="1"/>
  <c r="R699" i="13"/>
  <c r="AC731" i="13"/>
  <c r="AE731" i="13" s="1"/>
  <c r="R727" i="13"/>
  <c r="AD711" i="13"/>
  <c r="BA711" i="13" s="1"/>
  <c r="AN711" i="13"/>
  <c r="AN709" i="13"/>
  <c r="W709" i="13"/>
  <c r="AC727" i="13"/>
  <c r="AC708" i="13"/>
  <c r="AE708" i="13" s="1"/>
  <c r="AL708" i="13" s="1"/>
  <c r="AC707" i="13"/>
  <c r="AE707" i="13" s="1"/>
  <c r="AN706" i="13"/>
  <c r="W705" i="13"/>
  <c r="AN704" i="13"/>
  <c r="AC700" i="13"/>
  <c r="AE700" i="13" s="1"/>
  <c r="AK700" i="13" s="1"/>
  <c r="AM700" i="13" s="1"/>
  <c r="AN725" i="13"/>
  <c r="R715" i="13"/>
  <c r="AN708" i="13"/>
  <c r="W708" i="13"/>
  <c r="AN700" i="13"/>
  <c r="AN697" i="13"/>
  <c r="AD727" i="13"/>
  <c r="BA727" i="13" s="1"/>
  <c r="AN727" i="13"/>
  <c r="AC726" i="13"/>
  <c r="AD714" i="13"/>
  <c r="BA714" i="13" s="1"/>
  <c r="AN712" i="13"/>
  <c r="R711" i="13"/>
  <c r="AC704" i="13"/>
  <c r="AE704" i="13" s="1"/>
  <c r="AL704" i="13" s="1"/>
  <c r="R703" i="13"/>
  <c r="AC702" i="13"/>
  <c r="AE702" i="13" s="1"/>
  <c r="AK702" i="13" s="1"/>
  <c r="AM702" i="13" s="1"/>
  <c r="W700" i="13"/>
  <c r="W710" i="13"/>
  <c r="AN707" i="13"/>
  <c r="AC706" i="13"/>
  <c r="AN702" i="13"/>
  <c r="AN699" i="13"/>
  <c r="AN698" i="13"/>
  <c r="AC729" i="13"/>
  <c r="AE729" i="13" s="1"/>
  <c r="AO729" i="13" s="1"/>
  <c r="AC728" i="13"/>
  <c r="AE728" i="13" s="1"/>
  <c r="AL728" i="13" s="1"/>
  <c r="AD726" i="13"/>
  <c r="BA726" i="13" s="1"/>
  <c r="AC716" i="13"/>
  <c r="AE716" i="13" s="1"/>
  <c r="AL716" i="13" s="1"/>
  <c r="AC715" i="13"/>
  <c r="AE715" i="13" s="1"/>
  <c r="AC710" i="13"/>
  <c r="W706" i="13"/>
  <c r="AN705" i="13"/>
  <c r="AN701" i="13"/>
  <c r="AC696" i="13"/>
  <c r="AE696" i="13" s="1"/>
  <c r="AN714" i="13"/>
  <c r="AN726" i="13"/>
  <c r="AN715" i="13"/>
  <c r="AC697" i="13"/>
  <c r="AC712" i="13"/>
  <c r="AE712" i="13" s="1"/>
  <c r="AN710" i="13"/>
  <c r="W730" i="13"/>
  <c r="AC709" i="13"/>
  <c r="AD709" i="13"/>
  <c r="BA709" i="13" s="1"/>
  <c r="AC698" i="13"/>
  <c r="AD698" i="13"/>
  <c r="BA698" i="13" s="1"/>
  <c r="AC713" i="13"/>
  <c r="AD713" i="13"/>
  <c r="BA713" i="13" s="1"/>
  <c r="AD706" i="13"/>
  <c r="BA706" i="13" s="1"/>
  <c r="R730" i="13"/>
  <c r="AC705" i="13"/>
  <c r="AD705" i="13"/>
  <c r="BA705" i="13" s="1"/>
  <c r="AC725" i="13"/>
  <c r="AD725" i="13"/>
  <c r="BA725" i="13" s="1"/>
  <c r="AD710" i="13"/>
  <c r="BA710" i="13" s="1"/>
  <c r="W707" i="13"/>
  <c r="AC701" i="13"/>
  <c r="AD701" i="13"/>
  <c r="BA701" i="13" s="1"/>
  <c r="AD697" i="13"/>
  <c r="BA697" i="13" s="1"/>
  <c r="R645" i="13"/>
  <c r="R647" i="13"/>
  <c r="AN646" i="13"/>
  <c r="AN647" i="13"/>
  <c r="AN648" i="13"/>
  <c r="AA648" i="13"/>
  <c r="Z645" i="13"/>
  <c r="AN645" i="13" s="1"/>
  <c r="AT733" i="13" l="1"/>
  <c r="AT722" i="13"/>
  <c r="AT732" i="13"/>
  <c r="AT723" i="13"/>
  <c r="AT734" i="13"/>
  <c r="AT721" i="13"/>
  <c r="Q701" i="13"/>
  <c r="N701" i="13"/>
  <c r="Q709" i="13"/>
  <c r="N709" i="13"/>
  <c r="Q727" i="13"/>
  <c r="N727" i="13"/>
  <c r="Q729" i="13"/>
  <c r="N729" i="13"/>
  <c r="Q698" i="13"/>
  <c r="N698" i="13"/>
  <c r="Q706" i="13"/>
  <c r="N706" i="13"/>
  <c r="Q714" i="13"/>
  <c r="N714" i="13"/>
  <c r="Q703" i="13"/>
  <c r="N703" i="13"/>
  <c r="Q711" i="13"/>
  <c r="N711" i="13"/>
  <c r="Q730" i="13"/>
  <c r="N730" i="13"/>
  <c r="Q731" i="13"/>
  <c r="N731" i="13"/>
  <c r="Q700" i="13"/>
  <c r="N700" i="13"/>
  <c r="Q708" i="13"/>
  <c r="N708" i="13"/>
  <c r="Q716" i="13"/>
  <c r="N716" i="13"/>
  <c r="Q705" i="13"/>
  <c r="N705" i="13"/>
  <c r="Q713" i="13"/>
  <c r="N713" i="13"/>
  <c r="Q697" i="13"/>
  <c r="N697" i="13"/>
  <c r="Q728" i="13"/>
  <c r="N728" i="13"/>
  <c r="Q702" i="13"/>
  <c r="N702" i="13"/>
  <c r="Q710" i="13"/>
  <c r="N710" i="13"/>
  <c r="Q726" i="13"/>
  <c r="N726" i="13"/>
  <c r="Q699" i="13"/>
  <c r="N699" i="13"/>
  <c r="Q707" i="13"/>
  <c r="N707" i="13"/>
  <c r="Q725" i="13"/>
  <c r="N725" i="13"/>
  <c r="Q715" i="13"/>
  <c r="N715" i="13"/>
  <c r="Q696" i="13"/>
  <c r="N696" i="13"/>
  <c r="Q704" i="13"/>
  <c r="N704" i="13"/>
  <c r="Q712" i="13"/>
  <c r="N712" i="13"/>
  <c r="AC645" i="13"/>
  <c r="AE645" i="13" s="1"/>
  <c r="AK645" i="13" s="1"/>
  <c r="AM645" i="13" s="1"/>
  <c r="AC647" i="13"/>
  <c r="AE647" i="13" s="1"/>
  <c r="AO647" i="13" s="1"/>
  <c r="AC646" i="13"/>
  <c r="AE646" i="13" s="1"/>
  <c r="AL646" i="13" s="1"/>
  <c r="AT719" i="13"/>
  <c r="AT718" i="13"/>
  <c r="AE726" i="13"/>
  <c r="AK726" i="13" s="1"/>
  <c r="AM726" i="13" s="1"/>
  <c r="AY696" i="13"/>
  <c r="AY704" i="13"/>
  <c r="AY712" i="13"/>
  <c r="AY731" i="13"/>
  <c r="AY699" i="13"/>
  <c r="AY707" i="13"/>
  <c r="AY715" i="13"/>
  <c r="AY730" i="13"/>
  <c r="AY698" i="13"/>
  <c r="AY706" i="13"/>
  <c r="AY714" i="13"/>
  <c r="AY728" i="13"/>
  <c r="AY701" i="13"/>
  <c r="AY709" i="13"/>
  <c r="AY725" i="13"/>
  <c r="AY700" i="13"/>
  <c r="AY708" i="13"/>
  <c r="AY716" i="13"/>
  <c r="AY703" i="13"/>
  <c r="AY711" i="13"/>
  <c r="AY729" i="13"/>
  <c r="AY702" i="13"/>
  <c r="AY710" i="13"/>
  <c r="AY727" i="13"/>
  <c r="AY697" i="13"/>
  <c r="AY705" i="13"/>
  <c r="AY713" i="13"/>
  <c r="AY726" i="13"/>
  <c r="AV647" i="13"/>
  <c r="AX647" i="13" s="1"/>
  <c r="AV648" i="13"/>
  <c r="AX648" i="13" s="1"/>
  <c r="AV646" i="13"/>
  <c r="AX646" i="13" s="1"/>
  <c r="AV645" i="13"/>
  <c r="AX645" i="13" s="1"/>
  <c r="AK718" i="13"/>
  <c r="AM718" i="13" s="1"/>
  <c r="AO718" i="13"/>
  <c r="AO724" i="13"/>
  <c r="AK724" i="13"/>
  <c r="AM724" i="13" s="1"/>
  <c r="AO720" i="13"/>
  <c r="AL720" i="13"/>
  <c r="AK722" i="13"/>
  <c r="AM722" i="13" s="1"/>
  <c r="AO722" i="13"/>
  <c r="AO700" i="13"/>
  <c r="AE711" i="13"/>
  <c r="AO711" i="13" s="1"/>
  <c r="AE706" i="13"/>
  <c r="AO706" i="13" s="1"/>
  <c r="AO730" i="13"/>
  <c r="AO708" i="13"/>
  <c r="AE714" i="13"/>
  <c r="AK714" i="13" s="1"/>
  <c r="AM714" i="13" s="1"/>
  <c r="AK708" i="13"/>
  <c r="AM708" i="13" s="1"/>
  <c r="AO704" i="13"/>
  <c r="AK716" i="13"/>
  <c r="AM716" i="13" s="1"/>
  <c r="AK730" i="13"/>
  <c r="AM730" i="13" s="1"/>
  <c r="AE727" i="13"/>
  <c r="AO727" i="13" s="1"/>
  <c r="AL700" i="13"/>
  <c r="AL703" i="13"/>
  <c r="AO703" i="13"/>
  <c r="AO702" i="13"/>
  <c r="AK728" i="13"/>
  <c r="AM728" i="13" s="1"/>
  <c r="AE710" i="13"/>
  <c r="AL710" i="13" s="1"/>
  <c r="AL702" i="13"/>
  <c r="AO728" i="13"/>
  <c r="AE697" i="13"/>
  <c r="AL697" i="13" s="1"/>
  <c r="AK704" i="13"/>
  <c r="AM704" i="13" s="1"/>
  <c r="AO716" i="13"/>
  <c r="AL729" i="13"/>
  <c r="AK729" i="13"/>
  <c r="AM729" i="13" s="1"/>
  <c r="AE698" i="13"/>
  <c r="AK698" i="13" s="1"/>
  <c r="AM698" i="13" s="1"/>
  <c r="AE709" i="13"/>
  <c r="AK709" i="13" s="1"/>
  <c r="AM709" i="13" s="1"/>
  <c r="AE701" i="13"/>
  <c r="AL696" i="13"/>
  <c r="AO696" i="13"/>
  <c r="AK696" i="13"/>
  <c r="AM696" i="13" s="1"/>
  <c r="AE713" i="13"/>
  <c r="AO699" i="13"/>
  <c r="AK699" i="13"/>
  <c r="AM699" i="13" s="1"/>
  <c r="AL699" i="13"/>
  <c r="AL707" i="13"/>
  <c r="AK707" i="13"/>
  <c r="AM707" i="13" s="1"/>
  <c r="AO707" i="13"/>
  <c r="AL731" i="13"/>
  <c r="AO731" i="13"/>
  <c r="AK731" i="13"/>
  <c r="AM731" i="13" s="1"/>
  <c r="AE725" i="13"/>
  <c r="AE705" i="13"/>
  <c r="AL712" i="13"/>
  <c r="AK712" i="13"/>
  <c r="AM712" i="13" s="1"/>
  <c r="AO712" i="13"/>
  <c r="AO715" i="13"/>
  <c r="AK715" i="13"/>
  <c r="AM715" i="13" s="1"/>
  <c r="AL715" i="13"/>
  <c r="W714" i="13"/>
  <c r="AC648" i="13"/>
  <c r="AD648" i="13"/>
  <c r="BA648" i="13" s="1"/>
  <c r="AT729" i="13" l="1"/>
  <c r="AT716" i="13"/>
  <c r="AT713" i="13"/>
  <c r="AT709" i="13"/>
  <c r="AT725" i="13"/>
  <c r="AT728" i="13"/>
  <c r="AT699" i="13"/>
  <c r="AT710" i="13"/>
  <c r="AT727" i="13"/>
  <c r="AT730" i="13"/>
  <c r="AT706" i="13"/>
  <c r="AT714" i="13"/>
  <c r="AT707" i="13"/>
  <c r="AT697" i="13"/>
  <c r="AT731" i="13"/>
  <c r="AT704" i="13"/>
  <c r="AT702" i="13"/>
  <c r="AT705" i="13"/>
  <c r="AT708" i="13"/>
  <c r="AT711" i="13"/>
  <c r="AT701" i="13"/>
  <c r="AT696" i="13"/>
  <c r="Q648" i="13"/>
  <c r="N648" i="13"/>
  <c r="Q646" i="13"/>
  <c r="N646" i="13"/>
  <c r="Q647" i="13"/>
  <c r="N647" i="13"/>
  <c r="Q645" i="13"/>
  <c r="N645" i="13"/>
  <c r="AL645" i="13"/>
  <c r="AO645" i="13"/>
  <c r="AK647" i="13"/>
  <c r="AM647" i="13" s="1"/>
  <c r="AL647" i="13"/>
  <c r="AO646" i="13"/>
  <c r="AK646" i="13"/>
  <c r="AM646" i="13" s="1"/>
  <c r="Q717" i="13"/>
  <c r="AT717" i="13" s="1"/>
  <c r="AT698" i="13"/>
  <c r="AT712" i="13"/>
  <c r="AT715" i="13"/>
  <c r="AT726" i="13"/>
  <c r="AL726" i="13"/>
  <c r="AO726" i="13"/>
  <c r="AY647" i="13"/>
  <c r="AY645" i="13"/>
  <c r="AY648" i="13"/>
  <c r="AY646" i="13"/>
  <c r="AT703" i="13"/>
  <c r="AT700" i="13"/>
  <c r="AK706" i="13"/>
  <c r="AM706" i="13" s="1"/>
  <c r="AK711" i="13"/>
  <c r="AM711" i="13" s="1"/>
  <c r="AL711" i="13"/>
  <c r="AL706" i="13"/>
  <c r="AO714" i="13"/>
  <c r="AL714" i="13"/>
  <c r="AO710" i="13"/>
  <c r="AL698" i="13"/>
  <c r="AK710" i="13"/>
  <c r="AM710" i="13" s="1"/>
  <c r="AO697" i="13"/>
  <c r="AL727" i="13"/>
  <c r="AK697" i="13"/>
  <c r="AM697" i="13" s="1"/>
  <c r="AK727" i="13"/>
  <c r="AM727" i="13" s="1"/>
  <c r="AO709" i="13"/>
  <c r="AL709" i="13"/>
  <c r="AO698" i="13"/>
  <c r="AK725" i="13"/>
  <c r="AM725" i="13" s="1"/>
  <c r="AO725" i="13"/>
  <c r="AL725" i="13"/>
  <c r="AK701" i="13"/>
  <c r="AM701" i="13" s="1"/>
  <c r="AO701" i="13"/>
  <c r="AL701" i="13"/>
  <c r="AK713" i="13"/>
  <c r="AM713" i="13" s="1"/>
  <c r="AO713" i="13"/>
  <c r="AL713" i="13"/>
  <c r="AK705" i="13"/>
  <c r="AM705" i="13" s="1"/>
  <c r="AO705" i="13"/>
  <c r="AL705" i="13"/>
  <c r="AE648" i="13"/>
  <c r="AK648" i="13" s="1"/>
  <c r="AM648" i="13" s="1"/>
  <c r="AT645" i="13" l="1"/>
  <c r="AT646" i="13"/>
  <c r="AT648" i="13"/>
  <c r="AT647" i="13"/>
  <c r="AL648" i="13"/>
  <c r="AO648" i="13"/>
  <c r="AJ644" i="13" l="1"/>
  <c r="AA644" i="13"/>
  <c r="AD644" i="13" s="1"/>
  <c r="BA644" i="13" s="1"/>
  <c r="W644" i="13"/>
  <c r="AV644" i="13" l="1"/>
  <c r="AX644" i="13" s="1"/>
  <c r="Z644" i="13"/>
  <c r="AN644" i="13" s="1"/>
  <c r="AC644" i="13"/>
  <c r="AE644" i="13" s="1"/>
  <c r="Q644" i="13" l="1"/>
  <c r="N644" i="13"/>
  <c r="AY644" i="13"/>
  <c r="AO644" i="13"/>
  <c r="AK644" i="13"/>
  <c r="AM644" i="13" s="1"/>
  <c r="AL644" i="13"/>
  <c r="AT644" i="13" l="1"/>
  <c r="Q913" i="11"/>
  <c r="Q914" i="11"/>
  <c r="Q915" i="11"/>
  <c r="Q916" i="11"/>
  <c r="Q917" i="11"/>
  <c r="Q918" i="11"/>
  <c r="Q919" i="11"/>
  <c r="Q920" i="11"/>
  <c r="Q921" i="11"/>
  <c r="Q922" i="11"/>
  <c r="Q923" i="11"/>
  <c r="Q924" i="11"/>
  <c r="Q925" i="11"/>
  <c r="Q926" i="11"/>
  <c r="Q927" i="11"/>
  <c r="Q928" i="11"/>
  <c r="Q929" i="11"/>
  <c r="Q930" i="11"/>
  <c r="Q931" i="11"/>
  <c r="Q932" i="11"/>
  <c r="Q933" i="11"/>
  <c r="Q934" i="11"/>
  <c r="Q935" i="11"/>
  <c r="Q936" i="11"/>
  <c r="Q937" i="11"/>
  <c r="Q938" i="11"/>
  <c r="Q939" i="11"/>
  <c r="Q940" i="11"/>
  <c r="Q941" i="11"/>
  <c r="Q942" i="11"/>
  <c r="Q943" i="11"/>
  <c r="Q944" i="11"/>
  <c r="Q945" i="11"/>
  <c r="Q946" i="11"/>
  <c r="Q947" i="11"/>
  <c r="Q948" i="11"/>
  <c r="Q949" i="11"/>
  <c r="Q950" i="11"/>
  <c r="Q951" i="11"/>
  <c r="Q952" i="11"/>
  <c r="Q953" i="11"/>
  <c r="Q954" i="11"/>
  <c r="Q955" i="11"/>
  <c r="Q956" i="11"/>
  <c r="Q957" i="11"/>
  <c r="Q958" i="11"/>
  <c r="Q959" i="11"/>
  <c r="Q960" i="11"/>
  <c r="Q961" i="11"/>
  <c r="Q962" i="11"/>
  <c r="Q963" i="11"/>
  <c r="Q964" i="11"/>
  <c r="Q965" i="11"/>
  <c r="Q966" i="11"/>
  <c r="Q967" i="11"/>
  <c r="Q968" i="11"/>
  <c r="Q969" i="11"/>
  <c r="Q970" i="11"/>
  <c r="Q971" i="11"/>
  <c r="Q972" i="11"/>
  <c r="Q973" i="11"/>
  <c r="Q974" i="11"/>
  <c r="Q975" i="11"/>
  <c r="Q976" i="11"/>
  <c r="Q977" i="11"/>
  <c r="Q978" i="11"/>
  <c r="Q979" i="11"/>
  <c r="Q980" i="11"/>
  <c r="Q981" i="11"/>
  <c r="Q982" i="11"/>
  <c r="Q983" i="11"/>
  <c r="Q984" i="11"/>
  <c r="Q985" i="11"/>
  <c r="Q986" i="11"/>
  <c r="Q987" i="11"/>
  <c r="Q988" i="11"/>
  <c r="Q989" i="11"/>
  <c r="Q990" i="11"/>
  <c r="Q991" i="11"/>
  <c r="Q992" i="11"/>
  <c r="Q993" i="11"/>
  <c r="Q994" i="11"/>
  <c r="Q995" i="11"/>
  <c r="Q996" i="11"/>
  <c r="Q997" i="11"/>
  <c r="Q998" i="11"/>
  <c r="Q999" i="11"/>
  <c r="Q1000" i="11"/>
  <c r="Q1001" i="11"/>
  <c r="Q1002" i="11"/>
  <c r="Q1003" i="11"/>
  <c r="Q1004" i="11"/>
  <c r="Q1005" i="11"/>
  <c r="Q1006" i="11"/>
  <c r="Q1007" i="11"/>
  <c r="Q1008" i="11"/>
  <c r="Q1009" i="11"/>
  <c r="Q1010" i="11"/>
  <c r="Q1011" i="11"/>
  <c r="Q1012" i="11"/>
  <c r="Q1013" i="11"/>
  <c r="Q1014" i="11"/>
  <c r="Q1015" i="11"/>
  <c r="Q1016" i="11"/>
  <c r="Q1017" i="11"/>
  <c r="Q1018" i="11"/>
  <c r="Q1019" i="11"/>
  <c r="Q1020" i="11"/>
  <c r="Q1021" i="11"/>
  <c r="Q1022" i="11"/>
  <c r="Q1023" i="11"/>
  <c r="Q1024" i="11"/>
  <c r="Q1025" i="11"/>
  <c r="Q1026" i="11"/>
  <c r="Q1027" i="11"/>
  <c r="Q1028" i="11"/>
  <c r="Q1029" i="11"/>
  <c r="Q1030" i="11"/>
  <c r="Q1031" i="11"/>
  <c r="Q1032" i="11"/>
  <c r="Q1033" i="11"/>
  <c r="Q1034" i="11"/>
  <c r="Q1035" i="11"/>
  <c r="Q1036" i="11"/>
  <c r="Q1037" i="11"/>
  <c r="Q1038" i="11"/>
  <c r="Q1039" i="11"/>
  <c r="Q1040" i="11"/>
  <c r="Q1041" i="11"/>
  <c r="Q1042" i="11"/>
  <c r="Q1043" i="11"/>
  <c r="Q1044" i="11"/>
  <c r="Q1045" i="11"/>
  <c r="Q1046" i="11"/>
  <c r="Q1047" i="11"/>
  <c r="Q1048" i="11"/>
  <c r="Q1049" i="11"/>
  <c r="Q1050" i="11"/>
  <c r="Q1051" i="11"/>
  <c r="Q1052" i="11"/>
  <c r="Q1053" i="11"/>
  <c r="Q1054" i="11"/>
  <c r="Q1055" i="11"/>
  <c r="Q1056" i="11"/>
  <c r="Q1057" i="11"/>
  <c r="Q1058" i="11"/>
  <c r="Q1059" i="11"/>
  <c r="Q1060" i="11"/>
  <c r="Q1061" i="11"/>
  <c r="Q1062" i="11"/>
  <c r="Q1063" i="11"/>
  <c r="Q1064" i="11"/>
  <c r="Q1065" i="11"/>
  <c r="Q1066" i="11"/>
  <c r="Q1067" i="11"/>
  <c r="Q1068" i="11"/>
  <c r="Q1069" i="11"/>
  <c r="Q1070" i="11"/>
  <c r="Q1071" i="11"/>
  <c r="Q1072" i="11"/>
  <c r="Q1073" i="11"/>
  <c r="Q1074" i="11"/>
  <c r="Q1075" i="11"/>
  <c r="Q1076" i="11"/>
  <c r="Q1077" i="11"/>
  <c r="Q1078" i="11"/>
  <c r="Q1079" i="11"/>
  <c r="Q1080" i="11"/>
  <c r="Q1081" i="11"/>
  <c r="Q1082" i="11"/>
  <c r="Q1083" i="11"/>
  <c r="Q1084" i="11"/>
  <c r="Q1085" i="11"/>
  <c r="Q1086" i="11"/>
  <c r="Q1087" i="11"/>
  <c r="Q1088" i="11"/>
  <c r="Q1089" i="11"/>
  <c r="Q1090" i="11"/>
  <c r="Q1091" i="11"/>
  <c r="Q1092" i="11"/>
  <c r="Q1093" i="11"/>
  <c r="Q1094" i="11"/>
  <c r="Q1095" i="11"/>
  <c r="Q1096" i="11"/>
  <c r="Q1097" i="11"/>
  <c r="Q1098" i="11"/>
  <c r="Q1099" i="11"/>
  <c r="Q1100" i="11"/>
  <c r="Q1101" i="11"/>
  <c r="Q1102" i="11"/>
  <c r="Q1103" i="11"/>
  <c r="Q1104" i="11"/>
  <c r="Q1105" i="11"/>
  <c r="Q1106" i="11"/>
  <c r="Q1107" i="11"/>
  <c r="Q1108" i="11"/>
  <c r="Q1109" i="11"/>
  <c r="Q1110" i="11"/>
  <c r="Q1111" i="11"/>
  <c r="Q1112" i="11"/>
  <c r="Q1113" i="11"/>
  <c r="Q1114" i="11"/>
  <c r="Q1115" i="11"/>
  <c r="Q1116" i="11"/>
  <c r="Q1117" i="11"/>
  <c r="Q1118" i="11"/>
  <c r="Q1119" i="11"/>
  <c r="Q1120" i="11"/>
  <c r="Q1121" i="11"/>
  <c r="Q1122" i="11"/>
  <c r="Q1123" i="11"/>
  <c r="Q1124" i="11"/>
  <c r="Q1125" i="11"/>
  <c r="Q1126" i="11"/>
  <c r="Q1127" i="11"/>
  <c r="Q1128" i="11"/>
  <c r="Q1129" i="11"/>
  <c r="Q1130" i="11"/>
  <c r="Q1131" i="11"/>
  <c r="Q1132" i="11"/>
  <c r="Q1133" i="11"/>
  <c r="Q1134" i="11"/>
  <c r="Q1135" i="11"/>
  <c r="Q1136" i="11"/>
  <c r="Q1137" i="11"/>
  <c r="Q1138" i="11"/>
  <c r="Q1139" i="11"/>
  <c r="Q1140" i="11"/>
  <c r="Q1141" i="11"/>
  <c r="Q1142" i="11"/>
  <c r="Q1143" i="11"/>
  <c r="Q1144" i="11"/>
  <c r="Q1145" i="11"/>
  <c r="Q1146" i="11"/>
  <c r="Q1147" i="11"/>
  <c r="Q1148" i="11"/>
  <c r="Q1149" i="11"/>
  <c r="Q1150" i="11"/>
  <c r="Q1151" i="11"/>
  <c r="Q1152" i="11"/>
  <c r="Q1153" i="11"/>
  <c r="Q1154" i="11"/>
  <c r="Q1155" i="11"/>
  <c r="Q1156" i="11"/>
  <c r="Q1157" i="11"/>
  <c r="Q1158" i="11"/>
  <c r="Q1159" i="11"/>
  <c r="Q1160" i="11"/>
  <c r="Q1161" i="11"/>
  <c r="Q1162" i="11"/>
  <c r="Q1163" i="11"/>
  <c r="Q1164" i="11"/>
  <c r="Q1165" i="11"/>
  <c r="Q1166" i="11"/>
  <c r="Q1167" i="11"/>
  <c r="Q1168" i="11"/>
  <c r="Q1169" i="11"/>
  <c r="Q1170" i="11"/>
  <c r="Q1171" i="11"/>
  <c r="Q1172" i="11"/>
  <c r="Q1173" i="11"/>
  <c r="Q1174" i="11"/>
  <c r="Q1175" i="11"/>
  <c r="Q1176" i="11"/>
  <c r="Q1177" i="11"/>
  <c r="Q1178" i="11"/>
  <c r="Q1179" i="11"/>
  <c r="Q1180" i="11"/>
  <c r="Q1181" i="11"/>
  <c r="Q1182" i="11"/>
  <c r="Q1183" i="11"/>
  <c r="Q1184" i="11"/>
  <c r="Q1185" i="11"/>
  <c r="Q1186" i="11"/>
  <c r="Q1187" i="11"/>
  <c r="Q1188" i="11"/>
  <c r="Q1189" i="11"/>
  <c r="Q1190" i="11"/>
  <c r="Q1191" i="11"/>
  <c r="Q1192" i="11"/>
  <c r="Q1193" i="11"/>
  <c r="Q1194" i="11"/>
  <c r="Q1195" i="11"/>
  <c r="Q1196" i="11"/>
  <c r="Q1197" i="11"/>
  <c r="Q1198" i="11"/>
  <c r="Q1199" i="11"/>
  <c r="Q1200" i="11"/>
  <c r="Q1201" i="11"/>
  <c r="Q1202" i="11"/>
  <c r="Q1203" i="11"/>
  <c r="Q1204" i="11"/>
  <c r="Q1205" i="11"/>
  <c r="Q1206" i="11"/>
  <c r="Q1207" i="11"/>
  <c r="Q1208" i="11"/>
  <c r="Q1209" i="11"/>
  <c r="Q1210" i="11"/>
  <c r="Q1211" i="11"/>
  <c r="Q1212" i="11"/>
  <c r="Q1213" i="11"/>
  <c r="Q1214" i="11"/>
  <c r="Q1215" i="11"/>
  <c r="Q1216" i="11"/>
  <c r="Q1217" i="11"/>
  <c r="Q1218" i="11"/>
  <c r="Q1219" i="11"/>
  <c r="Q1220" i="11"/>
  <c r="Q1221" i="11"/>
  <c r="Q1222" i="11"/>
  <c r="Q1223" i="11"/>
  <c r="Q1224" i="11"/>
  <c r="Q1225" i="11"/>
  <c r="Q1226" i="11"/>
  <c r="Q1227" i="11"/>
  <c r="Q1228" i="11"/>
  <c r="Q1229" i="11"/>
  <c r="Q1230" i="11"/>
  <c r="Q1231" i="11"/>
  <c r="Q1232" i="11"/>
  <c r="Q1233" i="11"/>
  <c r="Q1234" i="11"/>
  <c r="Q1235" i="11"/>
  <c r="Q1236" i="11"/>
  <c r="Q1237" i="11"/>
  <c r="Q1238" i="11"/>
  <c r="Q1239" i="11"/>
  <c r="Q1240" i="11"/>
  <c r="Q1241" i="11"/>
  <c r="Q1242" i="11"/>
  <c r="Q1243" i="11"/>
  <c r="Q1244" i="11"/>
  <c r="Q1245" i="11"/>
  <c r="Q1246" i="11"/>
  <c r="Q1247" i="11"/>
  <c r="Q1248" i="11"/>
  <c r="Q1249" i="11"/>
  <c r="Q1250" i="11"/>
  <c r="Q1251" i="11"/>
  <c r="Q1252" i="11"/>
  <c r="Q1253" i="11"/>
  <c r="Q1254" i="11"/>
  <c r="Q1255" i="11"/>
  <c r="Q1256" i="11"/>
  <c r="Q1257" i="11"/>
  <c r="Q1258" i="11"/>
  <c r="Q1259" i="11"/>
  <c r="Q1260" i="11"/>
  <c r="Q1261" i="11"/>
  <c r="Q1262" i="11"/>
  <c r="Q1263" i="11"/>
  <c r="Q1264" i="11"/>
  <c r="Q1265" i="11"/>
  <c r="Q1266" i="11"/>
  <c r="Q1267" i="11"/>
  <c r="Q1268" i="11"/>
  <c r="Q1269" i="11"/>
  <c r="Q1270" i="11"/>
  <c r="Q1271" i="11"/>
  <c r="Q1272" i="11"/>
  <c r="Q1273" i="11"/>
  <c r="Q1274" i="11"/>
  <c r="Q1275" i="11"/>
  <c r="Q1276" i="11"/>
  <c r="Q1277" i="11"/>
  <c r="Q1278" i="11"/>
  <c r="Q1279" i="11"/>
  <c r="Q1280" i="11"/>
  <c r="Q1281" i="11"/>
  <c r="Q1282" i="11"/>
  <c r="Q1283" i="11"/>
  <c r="Q1284" i="11"/>
  <c r="Q1285" i="11"/>
  <c r="Q1286" i="11"/>
  <c r="Q1287" i="11"/>
  <c r="Q1288" i="11"/>
  <c r="Q1289" i="11"/>
  <c r="Q1290" i="11"/>
  <c r="Q1291" i="11"/>
  <c r="Q1292" i="11"/>
  <c r="Q1293" i="11"/>
  <c r="Q1294" i="11"/>
  <c r="Q1295" i="11"/>
  <c r="Q1296" i="11"/>
  <c r="Q1297" i="11"/>
  <c r="Q1298" i="11"/>
  <c r="Q1299" i="11"/>
  <c r="Q1300" i="11"/>
  <c r="Q1301" i="11"/>
  <c r="Q1302" i="11"/>
  <c r="Q1303" i="11"/>
  <c r="Q1304" i="11"/>
  <c r="Q1305" i="11"/>
  <c r="Q1306" i="11"/>
  <c r="Q1307" i="11"/>
  <c r="Q1308" i="11"/>
  <c r="Q1309" i="11"/>
  <c r="Q1310" i="11"/>
  <c r="Q1311" i="11"/>
  <c r="Q1312" i="11"/>
  <c r="Q1313" i="11"/>
  <c r="Q1314" i="11"/>
  <c r="Q1315" i="11"/>
  <c r="Q1316" i="11"/>
  <c r="Q1317" i="11"/>
  <c r="Q1318" i="11"/>
  <c r="Q1319" i="11"/>
  <c r="Q1320" i="11"/>
  <c r="Q1321" i="11"/>
  <c r="Q1322" i="11"/>
  <c r="Q1323" i="11"/>
  <c r="Q1324" i="11"/>
  <c r="Q1325" i="11"/>
  <c r="Q1326" i="11"/>
  <c r="Q1327" i="11"/>
  <c r="Q1328" i="11"/>
  <c r="Q1329" i="11"/>
  <c r="Q1330" i="11"/>
  <c r="Q1331" i="11"/>
  <c r="Q1332" i="11"/>
  <c r="Q1333" i="11"/>
  <c r="Q1334" i="11"/>
  <c r="Q1335" i="11"/>
  <c r="Q1336" i="11"/>
  <c r="Q1337" i="11"/>
  <c r="Q1338" i="11"/>
  <c r="Q1339" i="11"/>
  <c r="Q1340" i="11"/>
  <c r="Q1341" i="11"/>
  <c r="Q1342" i="11"/>
  <c r="Q1343" i="11"/>
  <c r="Q1344" i="11"/>
  <c r="Q1345" i="11"/>
  <c r="Q1346" i="11"/>
  <c r="Q1347" i="11"/>
  <c r="Q1348" i="11"/>
  <c r="Q1349" i="11"/>
  <c r="Q1350" i="11"/>
  <c r="Q1351" i="11"/>
  <c r="Q1352" i="11"/>
  <c r="Q1353" i="11"/>
  <c r="Q1354" i="11"/>
  <c r="Q1355" i="11"/>
  <c r="Q1356" i="11"/>
  <c r="Q1357" i="11"/>
  <c r="Q1358" i="11"/>
  <c r="Q1359" i="11"/>
  <c r="Q1360" i="11"/>
  <c r="Q1361" i="11"/>
  <c r="Q1362" i="11"/>
  <c r="Q1363" i="11"/>
  <c r="Q1364" i="11"/>
  <c r="Q1365" i="11"/>
  <c r="Q1366" i="11"/>
  <c r="Q1367" i="11"/>
  <c r="Q1368" i="11"/>
  <c r="Q1369" i="11"/>
  <c r="Q1370" i="11"/>
  <c r="Q1371" i="11"/>
  <c r="Q1372" i="11"/>
  <c r="Q1373" i="11"/>
  <c r="Q1374" i="11"/>
  <c r="Q1375" i="11"/>
  <c r="Q1376" i="11"/>
  <c r="Q1377" i="11"/>
  <c r="Q1378" i="11"/>
  <c r="Q1379" i="11"/>
  <c r="Q1380" i="11"/>
  <c r="Q1381" i="11"/>
  <c r="Q1382" i="11"/>
  <c r="Q1383" i="11"/>
  <c r="Q1384" i="11"/>
  <c r="Q1385" i="11"/>
  <c r="Q1386" i="11"/>
  <c r="Q1387" i="11"/>
  <c r="Q1388" i="11"/>
  <c r="Q1389" i="11"/>
  <c r="Q1390" i="11"/>
  <c r="Q1391" i="11"/>
  <c r="Q1392" i="11"/>
  <c r="Q1393" i="11"/>
  <c r="Q1394" i="11"/>
  <c r="Q1395" i="11"/>
  <c r="Q1468" i="11"/>
  <c r="Q1469" i="11"/>
  <c r="Q1470" i="11"/>
  <c r="Q1471" i="11"/>
  <c r="Q1472" i="11"/>
  <c r="Q1473" i="11"/>
  <c r="Q1474" i="11"/>
  <c r="Q1475" i="11"/>
  <c r="Q1476" i="11"/>
  <c r="Q1477" i="11"/>
  <c r="Q1478" i="11"/>
  <c r="Q1479" i="11"/>
  <c r="Q1480" i="11"/>
  <c r="Q1481" i="11"/>
  <c r="Q1482" i="11"/>
  <c r="Q1483" i="11"/>
  <c r="Q1484" i="11"/>
  <c r="Q1485" i="11"/>
  <c r="Q1486" i="11"/>
  <c r="Q1487" i="11"/>
  <c r="Q1488" i="11"/>
  <c r="Q1489" i="11"/>
  <c r="Q1490" i="11"/>
  <c r="Q1491" i="11"/>
  <c r="Q1492" i="11"/>
  <c r="Q1493" i="11"/>
  <c r="Q1494" i="11"/>
  <c r="Q1495" i="11"/>
  <c r="Q1496" i="11"/>
  <c r="Q1497" i="11"/>
  <c r="Q1498" i="11"/>
  <c r="Q1499" i="11"/>
  <c r="Q1500" i="11"/>
  <c r="Q1501" i="11"/>
  <c r="Q1502" i="11"/>
  <c r="Q1503" i="11"/>
  <c r="Q1504" i="11"/>
  <c r="Q1505" i="11"/>
  <c r="Q1506" i="11"/>
  <c r="Q1507" i="11"/>
  <c r="Q1508" i="11"/>
  <c r="Q1509" i="11"/>
  <c r="Q1511" i="11"/>
  <c r="Q1512" i="11"/>
  <c r="Q1513" i="11"/>
  <c r="Q1514" i="11"/>
  <c r="Q1515" i="11"/>
  <c r="Q1516" i="11"/>
  <c r="Q1517" i="11"/>
  <c r="Q1518" i="11"/>
  <c r="Q1519" i="11"/>
  <c r="Q1520" i="11"/>
  <c r="Q1521" i="11"/>
  <c r="Q1522" i="11"/>
  <c r="Q1523" i="11"/>
  <c r="Q1524" i="11"/>
  <c r="Q1525" i="11"/>
  <c r="Q1526" i="11"/>
  <c r="Q1527" i="11"/>
  <c r="Q1528" i="11"/>
  <c r="Q1529" i="11"/>
  <c r="Q1530" i="11"/>
  <c r="Q1531" i="11"/>
  <c r="Q1532" i="11"/>
  <c r="Q1533" i="11"/>
  <c r="Q1534" i="11"/>
  <c r="Q1535" i="11"/>
  <c r="Q1536" i="11"/>
  <c r="Q1537" i="11"/>
  <c r="Q1538" i="11"/>
  <c r="Q1539" i="11"/>
  <c r="Q1540" i="11"/>
  <c r="Q1541" i="11"/>
  <c r="Q1542" i="11"/>
  <c r="Q1543" i="11"/>
  <c r="Q1544" i="11"/>
  <c r="Q1545" i="11"/>
  <c r="Q1546" i="11"/>
  <c r="Q1547" i="11"/>
  <c r="Q1548" i="11"/>
  <c r="Q1549" i="11"/>
  <c r="Q1550" i="11"/>
  <c r="Q1551" i="11"/>
  <c r="Q1552" i="11"/>
  <c r="Q1553" i="11"/>
  <c r="Q1554" i="11"/>
  <c r="Q1555" i="11"/>
  <c r="Q1556" i="11"/>
  <c r="Q1557" i="11"/>
  <c r="Q1558" i="11"/>
  <c r="Q1559" i="11"/>
  <c r="Q1560" i="11"/>
  <c r="Q1561" i="11"/>
  <c r="Q1562" i="11"/>
  <c r="Q1563" i="11"/>
  <c r="Q1564" i="11"/>
  <c r="Q1565" i="11"/>
  <c r="Q1566" i="11"/>
  <c r="Q1567" i="11"/>
  <c r="Q1568" i="11"/>
  <c r="Q1569" i="11"/>
  <c r="Q1570" i="11"/>
  <c r="Q1571" i="11"/>
  <c r="Q1572" i="11"/>
  <c r="Q1573" i="11"/>
  <c r="Q1574" i="11"/>
  <c r="Q1575" i="11"/>
  <c r="Q1576" i="11"/>
  <c r="Q1577" i="11"/>
  <c r="Q1578" i="11"/>
  <c r="Q1579" i="11"/>
  <c r="Q1580" i="11"/>
  <c r="Q1581" i="11"/>
  <c r="Q1582" i="11"/>
  <c r="Q1583" i="11"/>
  <c r="Q1584" i="11"/>
  <c r="Q1585" i="11"/>
  <c r="Q1586" i="11"/>
  <c r="Q1587" i="11"/>
  <c r="Q1588" i="11"/>
  <c r="Q1589" i="11"/>
  <c r="Q1590" i="11"/>
  <c r="Q1591" i="11"/>
  <c r="Q1592" i="11"/>
  <c r="Q1593" i="11"/>
  <c r="Q1594" i="11"/>
  <c r="Q1595" i="11"/>
  <c r="Q1596" i="11"/>
  <c r="Q1597" i="11"/>
  <c r="Q1598" i="11"/>
  <c r="Q1599" i="11"/>
  <c r="Q1600" i="11"/>
  <c r="Q1601" i="11"/>
  <c r="Q1602" i="11"/>
  <c r="Q1603" i="11"/>
  <c r="Q1604" i="11"/>
  <c r="Q1605" i="11"/>
  <c r="Q1606" i="11"/>
  <c r="Q1607" i="11"/>
  <c r="Q1608" i="11"/>
  <c r="Q1609" i="11"/>
  <c r="Q1610" i="11"/>
  <c r="Q1611" i="11"/>
  <c r="Q1612" i="11"/>
  <c r="Q1613" i="11"/>
  <c r="Q1614" i="11"/>
  <c r="Q1615" i="11"/>
  <c r="Q1616" i="11"/>
  <c r="Q1617" i="11"/>
  <c r="Q1618" i="11"/>
  <c r="Q1619" i="11"/>
  <c r="Q1620" i="11"/>
  <c r="Q1621" i="11"/>
  <c r="Q1622" i="11"/>
  <c r="Q1623" i="11"/>
  <c r="Q1624" i="11"/>
  <c r="Q1625" i="11"/>
  <c r="Q1626" i="11"/>
  <c r="Q1627" i="11"/>
  <c r="Q1628" i="11"/>
  <c r="Q1629" i="11"/>
  <c r="Q1630" i="11"/>
  <c r="Q1631" i="11"/>
  <c r="Q1632" i="11"/>
  <c r="Q1633" i="11"/>
  <c r="Q1634" i="11"/>
  <c r="Q1635" i="11"/>
  <c r="Q1636" i="11"/>
  <c r="Q1637" i="11"/>
  <c r="Q1638" i="11"/>
  <c r="Q1639" i="11"/>
  <c r="Q1640" i="11"/>
  <c r="Q1641" i="11"/>
  <c r="Q1642" i="11"/>
  <c r="Q1643" i="11"/>
  <c r="Q1644" i="11"/>
  <c r="Q1645" i="11"/>
  <c r="Q1646" i="11"/>
  <c r="Q1647" i="11"/>
  <c r="Q1648" i="11"/>
  <c r="Q1649" i="11"/>
  <c r="Q1650" i="11"/>
  <c r="Q1651" i="11"/>
  <c r="Q1652" i="11"/>
  <c r="Q1653" i="11"/>
  <c r="Q1654" i="11"/>
  <c r="Q1655" i="11"/>
  <c r="Q1656" i="11"/>
  <c r="Q1657" i="11"/>
  <c r="Q1658" i="11"/>
  <c r="Q1659" i="11"/>
  <c r="Q1660" i="11"/>
  <c r="Q1661" i="11"/>
  <c r="Q1662" i="11"/>
  <c r="Q1663" i="11"/>
  <c r="Q1664" i="11"/>
  <c r="Q1665" i="11"/>
  <c r="Q1666" i="11"/>
  <c r="Q1667" i="11"/>
  <c r="Q1668" i="11"/>
  <c r="Q1669" i="11"/>
  <c r="Q1670" i="11"/>
  <c r="Q1671" i="11"/>
  <c r="Q1672" i="11"/>
  <c r="Q1673" i="11"/>
  <c r="Q1674" i="11"/>
  <c r="Q1675" i="11"/>
  <c r="Q1676" i="11"/>
  <c r="Q1677" i="11"/>
  <c r="Q1678" i="11"/>
  <c r="Q1679" i="11"/>
  <c r="Q1680" i="11"/>
  <c r="Q1681" i="11"/>
  <c r="Q1682" i="11"/>
  <c r="Q1683" i="11"/>
  <c r="Q1684" i="11"/>
  <c r="Q1685" i="11"/>
  <c r="Q1686" i="11"/>
  <c r="Q1687" i="11"/>
  <c r="Q1688" i="11"/>
  <c r="Q1689" i="11"/>
  <c r="Q1690" i="11"/>
  <c r="Q1691" i="11"/>
  <c r="Q1692" i="11"/>
  <c r="Q1693" i="11"/>
  <c r="Q1694" i="11"/>
  <c r="Q1695" i="11"/>
  <c r="Q1696" i="11"/>
  <c r="Q1697" i="11"/>
  <c r="Q1698" i="11"/>
  <c r="Q1699" i="11"/>
  <c r="Q1700" i="11"/>
  <c r="Q1701" i="11"/>
  <c r="Q1702" i="11"/>
  <c r="Q1703" i="11"/>
  <c r="Q1704" i="11"/>
  <c r="Q1705" i="11"/>
  <c r="Q1706" i="11"/>
  <c r="Q1707" i="11"/>
  <c r="Q1708" i="11"/>
  <c r="Q1709" i="11"/>
  <c r="Q1710" i="11"/>
  <c r="Q1711" i="11"/>
  <c r="Q1712" i="11"/>
  <c r="Q723" i="11"/>
  <c r="Q724" i="11"/>
  <c r="Q725" i="11"/>
  <c r="Q726" i="11"/>
  <c r="Q727" i="11"/>
  <c r="Q728" i="11"/>
  <c r="Q729" i="11"/>
  <c r="Q730" i="11"/>
  <c r="Q731" i="11"/>
  <c r="Q732" i="11"/>
  <c r="Q733" i="11"/>
  <c r="Q734" i="11"/>
  <c r="Q735" i="11"/>
  <c r="Q736" i="11"/>
  <c r="Q737" i="11"/>
  <c r="Q738" i="11"/>
  <c r="Q739" i="11"/>
  <c r="Q740" i="11"/>
  <c r="Q741" i="11"/>
  <c r="Q742" i="11"/>
  <c r="Q743" i="11"/>
  <c r="Q744" i="11"/>
  <c r="Q745" i="11"/>
  <c r="Q746" i="11"/>
  <c r="Q747" i="11"/>
  <c r="Q748" i="11"/>
  <c r="Q749" i="11"/>
  <c r="Q750" i="11"/>
  <c r="Q751" i="11"/>
  <c r="Q752" i="11"/>
  <c r="Q753" i="11"/>
  <c r="Q754" i="11"/>
  <c r="Q722" i="11"/>
  <c r="Q12" i="11"/>
  <c r="Q15" i="11"/>
  <c r="Q33" i="11"/>
  <c r="Q57" i="11"/>
  <c r="Q87" i="11"/>
  <c r="Q120" i="11"/>
  <c r="Q158" i="11"/>
  <c r="Q183" i="11"/>
  <c r="Q251" i="11"/>
  <c r="Q271" i="11"/>
  <c r="Q302" i="11"/>
  <c r="Q320" i="11"/>
  <c r="Q385" i="11"/>
  <c r="Q446" i="11"/>
  <c r="Q467" i="11"/>
  <c r="Q521" i="11"/>
  <c r="Q542" i="11"/>
  <c r="Q592" i="11"/>
  <c r="Q617" i="11"/>
  <c r="Q644" i="11"/>
  <c r="Q721" i="11"/>
  <c r="Q782" i="11"/>
  <c r="Q783" i="11"/>
  <c r="Q784" i="11"/>
  <c r="Q785" i="11"/>
  <c r="Q786" i="11"/>
  <c r="Q787" i="11"/>
  <c r="Q788" i="11"/>
  <c r="Q789" i="11"/>
  <c r="Q790" i="11"/>
  <c r="Q791" i="11"/>
  <c r="Q792" i="11"/>
  <c r="Q793" i="11"/>
  <c r="Q794" i="11"/>
  <c r="Q795" i="11"/>
  <c r="Q796" i="11"/>
  <c r="Q797" i="11"/>
  <c r="Q798" i="11"/>
  <c r="Q799" i="11"/>
  <c r="Q800" i="11"/>
  <c r="Q801" i="11"/>
  <c r="Q802" i="11"/>
  <c r="Q803" i="11"/>
  <c r="Q804" i="11"/>
  <c r="Q805" i="11"/>
  <c r="Q806" i="11"/>
  <c r="Q807" i="11"/>
  <c r="Q808" i="11"/>
  <c r="Q809" i="11"/>
  <c r="Q810" i="11"/>
  <c r="Q811" i="11"/>
  <c r="Q812" i="11"/>
  <c r="Q813" i="11"/>
  <c r="Q814" i="11"/>
  <c r="Q815" i="11"/>
  <c r="Q816" i="11"/>
  <c r="Q817" i="11"/>
  <c r="Q818" i="11"/>
  <c r="Q819" i="11"/>
  <c r="Q820" i="11"/>
  <c r="Q821" i="11"/>
  <c r="Q822" i="11"/>
  <c r="Q823" i="11"/>
  <c r="Q824" i="11"/>
  <c r="Q825" i="11"/>
  <c r="Q826" i="11"/>
  <c r="Q827" i="11"/>
  <c r="Q828" i="11"/>
  <c r="Q829" i="11"/>
  <c r="Q830" i="11"/>
  <c r="Q831" i="11"/>
  <c r="Q832" i="11"/>
  <c r="Q833" i="11"/>
  <c r="Q834" i="11"/>
  <c r="Q835" i="11"/>
  <c r="Q836" i="11"/>
  <c r="Q837" i="11"/>
  <c r="Q838" i="11"/>
  <c r="Q839" i="11"/>
  <c r="Q840" i="11"/>
  <c r="Q841" i="11"/>
  <c r="Q842" i="11"/>
  <c r="Q843" i="11"/>
  <c r="Q844" i="11"/>
  <c r="Q845" i="11"/>
  <c r="Q846" i="11"/>
  <c r="Q847" i="11"/>
  <c r="Q848" i="11"/>
  <c r="Q849" i="11"/>
  <c r="Q850" i="11"/>
  <c r="Q851" i="11"/>
  <c r="Q852" i="11"/>
  <c r="Q853" i="11"/>
  <c r="Q854" i="11"/>
  <c r="Q855" i="11"/>
  <c r="Q856" i="11"/>
  <c r="Q857" i="11"/>
  <c r="Q858" i="11"/>
  <c r="Q859" i="11"/>
  <c r="Q860" i="11"/>
  <c r="Q861" i="11"/>
  <c r="Q862" i="11"/>
  <c r="Q863" i="11"/>
  <c r="Q864" i="11"/>
  <c r="Q865" i="11"/>
  <c r="Q866" i="11"/>
  <c r="Q867" i="11"/>
  <c r="Q868" i="11"/>
  <c r="Q869" i="11"/>
  <c r="Q870" i="11"/>
  <c r="Q871" i="11"/>
  <c r="Q872" i="11"/>
  <c r="Q873" i="11"/>
  <c r="Q874" i="11"/>
  <c r="Q875" i="11"/>
  <c r="Q876" i="11"/>
  <c r="Q877" i="11"/>
  <c r="Q878" i="11"/>
  <c r="Q879" i="11"/>
  <c r="Q880" i="11"/>
  <c r="Q881" i="11"/>
  <c r="Q882" i="11"/>
  <c r="Q883" i="11"/>
  <c r="Q884" i="11"/>
  <c r="Q885" i="11"/>
  <c r="Q886" i="11"/>
  <c r="Q887" i="11"/>
  <c r="Q888" i="11"/>
  <c r="Q889" i="11"/>
  <c r="Q890" i="11"/>
  <c r="Q891" i="11"/>
  <c r="Q892" i="11"/>
  <c r="Q893" i="11"/>
  <c r="Q894" i="11"/>
  <c r="Q895" i="11"/>
  <c r="Q896" i="11"/>
  <c r="Q897" i="11"/>
  <c r="Q898" i="11"/>
  <c r="Q899" i="11"/>
  <c r="Q900" i="11"/>
  <c r="Q901" i="11"/>
  <c r="Q902" i="11"/>
  <c r="Q903" i="11"/>
  <c r="Q904" i="11"/>
  <c r="Q905" i="11"/>
  <c r="Q906" i="11"/>
  <c r="Q907" i="11"/>
  <c r="Q908" i="11"/>
  <c r="Q909" i="11"/>
  <c r="Q910" i="11"/>
  <c r="Q911" i="11"/>
  <c r="Q912" i="11"/>
  <c r="AJ46" i="13" l="1"/>
  <c r="AA46" i="13"/>
  <c r="AD46" i="13" s="1"/>
  <c r="BA46" i="13" s="1"/>
  <c r="Z46" i="13"/>
  <c r="S46" i="13" l="1"/>
  <c r="W46" i="13" s="1"/>
  <c r="AV46" i="13"/>
  <c r="AX46" i="13" s="1"/>
  <c r="AC46" i="13"/>
  <c r="AE46" i="13" s="1"/>
  <c r="AO46" i="13" s="1"/>
  <c r="AN46" i="13"/>
  <c r="Q46" i="13" l="1"/>
  <c r="AY46" i="13"/>
  <c r="AL46" i="13"/>
  <c r="AK46" i="13"/>
  <c r="AM46" i="13" s="1"/>
  <c r="AT46" i="13" l="1"/>
  <c r="AJ553" i="13"/>
  <c r="AA553" i="13"/>
  <c r="Z553" i="13"/>
  <c r="Z551" i="13"/>
  <c r="AA551" i="13"/>
  <c r="AD551" i="13" s="1"/>
  <c r="BA551" i="13" s="1"/>
  <c r="AJ551" i="13"/>
  <c r="S553" i="13" l="1"/>
  <c r="W553" i="13" s="1"/>
  <c r="R551" i="13"/>
  <c r="S551" i="13"/>
  <c r="N553" i="13"/>
  <c r="AV553" i="13"/>
  <c r="AX553" i="13" s="1"/>
  <c r="AV551" i="13"/>
  <c r="AX551" i="13" s="1"/>
  <c r="AC553" i="13"/>
  <c r="R553" i="13"/>
  <c r="AD553" i="13"/>
  <c r="BA553" i="13" s="1"/>
  <c r="AN553" i="13"/>
  <c r="AN551" i="13"/>
  <c r="AC551" i="13"/>
  <c r="AE551" i="13" s="1"/>
  <c r="AK551" i="13" s="1"/>
  <c r="AM551" i="13" s="1"/>
  <c r="Q551" i="13" l="1"/>
  <c r="N551" i="13"/>
  <c r="Q553" i="13"/>
  <c r="AY551" i="13"/>
  <c r="AY553" i="13"/>
  <c r="AE553" i="13"/>
  <c r="AK553" i="13" s="1"/>
  <c r="AM553" i="13" s="1"/>
  <c r="AL551" i="13"/>
  <c r="AO551" i="13"/>
  <c r="W551" i="13"/>
  <c r="AT551" i="13" l="1"/>
  <c r="AT553" i="13"/>
  <c r="AL553" i="13"/>
  <c r="AO553" i="13"/>
  <c r="Q720" i="11" l="1"/>
  <c r="Q719" i="11"/>
  <c r="Q718" i="11"/>
  <c r="Q717" i="11"/>
  <c r="Q716" i="11"/>
  <c r="Q715" i="11"/>
  <c r="Q714" i="11"/>
  <c r="Q713" i="11"/>
  <c r="Q712" i="11"/>
  <c r="Q711" i="11"/>
  <c r="Q710" i="11"/>
  <c r="Q709" i="11"/>
  <c r="Q708" i="11"/>
  <c r="Q707" i="11"/>
  <c r="Q706" i="11"/>
  <c r="Q705" i="11"/>
  <c r="Q704" i="11"/>
  <c r="Q703" i="11"/>
  <c r="Q702" i="11"/>
  <c r="Q701" i="11"/>
  <c r="Q700" i="11"/>
  <c r="Q699" i="11"/>
  <c r="Q698" i="11"/>
  <c r="Q697" i="11"/>
  <c r="Q696" i="11"/>
  <c r="Q695" i="11"/>
  <c r="Q694" i="11"/>
  <c r="Q693" i="11"/>
  <c r="Q692" i="11"/>
  <c r="Q691" i="11"/>
  <c r="Q690" i="11"/>
  <c r="Q689" i="11"/>
  <c r="Q688" i="11"/>
  <c r="Q687" i="11"/>
  <c r="Q686" i="11"/>
  <c r="Q685" i="11"/>
  <c r="Q684" i="11"/>
  <c r="Q683" i="11"/>
  <c r="Q682" i="11"/>
  <c r="Q681" i="11"/>
  <c r="Q680" i="11"/>
  <c r="Q679" i="11"/>
  <c r="Q678" i="11"/>
  <c r="Q677" i="11"/>
  <c r="Q676" i="11"/>
  <c r="Q675" i="11"/>
  <c r="Q674" i="11"/>
  <c r="Q673" i="11"/>
  <c r="Q672" i="11"/>
  <c r="Q671" i="11"/>
  <c r="Q670" i="11"/>
  <c r="Q669" i="11"/>
  <c r="Q668" i="11"/>
  <c r="Q667" i="11"/>
  <c r="Q666" i="11"/>
  <c r="Q665" i="11"/>
  <c r="Q664" i="11"/>
  <c r="Q663" i="11"/>
  <c r="Q662" i="11"/>
  <c r="Q661" i="11"/>
  <c r="Q660" i="11"/>
  <c r="Q659" i="11"/>
  <c r="Q658" i="11"/>
  <c r="Q657" i="11"/>
  <c r="Q656" i="11"/>
  <c r="Q655" i="11"/>
  <c r="Q654" i="11"/>
  <c r="Q653" i="11"/>
  <c r="Q652" i="11"/>
  <c r="Q651" i="11"/>
  <c r="Q650" i="11"/>
  <c r="Q649" i="11"/>
  <c r="Q648" i="11"/>
  <c r="Q647" i="11"/>
  <c r="Q646" i="11"/>
  <c r="Q645" i="11"/>
  <c r="Z669" i="13" l="1"/>
  <c r="Z668" i="13"/>
  <c r="Z667" i="13"/>
  <c r="Z666" i="13"/>
  <c r="Z665" i="13"/>
  <c r="Z664" i="13"/>
  <c r="Z662" i="13"/>
  <c r="Z661" i="13"/>
  <c r="Z660" i="13"/>
  <c r="Z659" i="13"/>
  <c r="Z654" i="13"/>
  <c r="Z653" i="13"/>
  <c r="Z652" i="13"/>
  <c r="Z650" i="13"/>
  <c r="Z649" i="13"/>
  <c r="AJ670" i="13"/>
  <c r="Z670" i="13"/>
  <c r="S670" i="13"/>
  <c r="AJ669" i="13"/>
  <c r="W669" i="13"/>
  <c r="AJ668" i="13"/>
  <c r="S668" i="13"/>
  <c r="AJ667" i="13"/>
  <c r="AJ666" i="13"/>
  <c r="AJ665" i="13"/>
  <c r="R665" i="13"/>
  <c r="AJ664" i="13"/>
  <c r="W664" i="13"/>
  <c r="AJ663" i="13"/>
  <c r="AJ662" i="13"/>
  <c r="W662" i="13"/>
  <c r="AJ661" i="13"/>
  <c r="AJ660" i="13"/>
  <c r="AJ659" i="13"/>
  <c r="AJ655" i="13"/>
  <c r="AJ654" i="13"/>
  <c r="AJ653" i="13"/>
  <c r="AJ652" i="13"/>
  <c r="AJ651" i="13"/>
  <c r="AJ650" i="13"/>
  <c r="AJ649" i="13"/>
  <c r="AA655" i="13" l="1"/>
  <c r="AD655" i="13" s="1"/>
  <c r="BA655" i="13" s="1"/>
  <c r="AA649" i="13"/>
  <c r="AD649" i="13" s="1"/>
  <c r="BA649" i="13" s="1"/>
  <c r="AA653" i="13"/>
  <c r="AD653" i="13" s="1"/>
  <c r="BA653" i="13" s="1"/>
  <c r="AA661" i="13"/>
  <c r="AD661" i="13" s="1"/>
  <c r="BA661" i="13" s="1"/>
  <c r="AA669" i="13"/>
  <c r="AA654" i="13"/>
  <c r="AD654" i="13" s="1"/>
  <c r="BA654" i="13" s="1"/>
  <c r="AA662" i="13"/>
  <c r="R649" i="13"/>
  <c r="S649" i="13"/>
  <c r="W649" i="13" s="1"/>
  <c r="R655" i="13"/>
  <c r="S655" i="13"/>
  <c r="R650" i="13"/>
  <c r="S650" i="13"/>
  <c r="R652" i="13"/>
  <c r="S652" i="13"/>
  <c r="R654" i="13"/>
  <c r="S654" i="13"/>
  <c r="S659" i="13"/>
  <c r="W659" i="13" s="1"/>
  <c r="S661" i="13"/>
  <c r="W661" i="13" s="1"/>
  <c r="R663" i="13"/>
  <c r="S663" i="13"/>
  <c r="W663" i="13" s="1"/>
  <c r="R651" i="13"/>
  <c r="S651" i="13"/>
  <c r="S660" i="13"/>
  <c r="W660" i="13" s="1"/>
  <c r="S667" i="13"/>
  <c r="W667" i="13" s="1"/>
  <c r="R653" i="13"/>
  <c r="S653" i="13"/>
  <c r="AA666" i="13"/>
  <c r="AD666" i="13" s="1"/>
  <c r="BA666" i="13" s="1"/>
  <c r="AA650" i="13"/>
  <c r="AD650" i="13" s="1"/>
  <c r="BA650" i="13" s="1"/>
  <c r="AA670" i="13"/>
  <c r="AD670" i="13" s="1"/>
  <c r="BA670" i="13" s="1"/>
  <c r="AA668" i="13"/>
  <c r="AD668" i="13" s="1"/>
  <c r="BA668" i="13" s="1"/>
  <c r="AA651" i="13"/>
  <c r="AD651" i="13" s="1"/>
  <c r="BA651" i="13" s="1"/>
  <c r="AA660" i="13"/>
  <c r="AD660" i="13" s="1"/>
  <c r="BA660" i="13" s="1"/>
  <c r="AA665" i="13"/>
  <c r="AC665" i="13" s="1"/>
  <c r="AA652" i="13"/>
  <c r="AD652" i="13" s="1"/>
  <c r="BA652" i="13" s="1"/>
  <c r="Z655" i="13"/>
  <c r="AN655" i="13" s="1"/>
  <c r="AA663" i="13"/>
  <c r="AC663" i="13" s="1"/>
  <c r="AA667" i="13"/>
  <c r="AD667" i="13" s="1"/>
  <c r="BA667" i="13" s="1"/>
  <c r="Z651" i="13"/>
  <c r="AN651" i="13" s="1"/>
  <c r="AA659" i="13"/>
  <c r="AD659" i="13" s="1"/>
  <c r="BA659" i="13" s="1"/>
  <c r="AA664" i="13"/>
  <c r="AD664" i="13" s="1"/>
  <c r="BA664" i="13" s="1"/>
  <c r="Z663" i="13"/>
  <c r="AN663" i="13" s="1"/>
  <c r="AN665" i="13"/>
  <c r="AN649" i="13"/>
  <c r="W666" i="13"/>
  <c r="R666" i="13"/>
  <c r="AN667" i="13"/>
  <c r="AN650" i="13"/>
  <c r="AN662" i="13"/>
  <c r="AN664" i="13"/>
  <c r="AN660" i="13"/>
  <c r="AN661" i="13"/>
  <c r="AN669" i="13"/>
  <c r="AN659" i="13"/>
  <c r="R669" i="13"/>
  <c r="R667" i="13"/>
  <c r="R664" i="13"/>
  <c r="R661" i="13"/>
  <c r="R660" i="13"/>
  <c r="R659" i="13"/>
  <c r="W665" i="13"/>
  <c r="R662" i="13"/>
  <c r="R670" i="13"/>
  <c r="AN652" i="13"/>
  <c r="AN653" i="13"/>
  <c r="AN654" i="13"/>
  <c r="W670" i="13"/>
  <c r="R668" i="13"/>
  <c r="AN666" i="13"/>
  <c r="W668" i="13"/>
  <c r="AN670" i="13"/>
  <c r="AN668" i="13"/>
  <c r="AC669" i="13" l="1"/>
  <c r="AD669" i="13"/>
  <c r="BA669" i="13" s="1"/>
  <c r="AC649" i="13"/>
  <c r="AE649" i="13" s="1"/>
  <c r="AK649" i="13" s="1"/>
  <c r="AM649" i="13" s="1"/>
  <c r="AC653" i="13"/>
  <c r="AE653" i="13" s="1"/>
  <c r="AK653" i="13" s="1"/>
  <c r="AM653" i="13" s="1"/>
  <c r="AC654" i="13"/>
  <c r="AE654" i="13" s="1"/>
  <c r="AK654" i="13" s="1"/>
  <c r="AM654" i="13" s="1"/>
  <c r="AC661" i="13"/>
  <c r="AE661" i="13" s="1"/>
  <c r="AO661" i="13" s="1"/>
  <c r="AC662" i="13"/>
  <c r="AD662" i="13"/>
  <c r="BA662" i="13" s="1"/>
  <c r="AC655" i="13"/>
  <c r="AE655" i="13" s="1"/>
  <c r="AK655" i="13" s="1"/>
  <c r="AM655" i="13" s="1"/>
  <c r="AC666" i="13"/>
  <c r="AE666" i="13" s="1"/>
  <c r="AO666" i="13" s="1"/>
  <c r="AV652" i="13"/>
  <c r="AX652" i="13" s="1"/>
  <c r="AV670" i="13"/>
  <c r="AX670" i="13" s="1"/>
  <c r="AV666" i="13"/>
  <c r="AX666" i="13" s="1"/>
  <c r="AV649" i="13"/>
  <c r="AX649" i="13" s="1"/>
  <c r="AV662" i="13"/>
  <c r="AX662" i="13" s="1"/>
  <c r="AC650" i="13"/>
  <c r="AE650" i="13" s="1"/>
  <c r="AL650" i="13" s="1"/>
  <c r="AC670" i="13"/>
  <c r="AE670" i="13" s="1"/>
  <c r="AL670" i="13" s="1"/>
  <c r="AV664" i="13"/>
  <c r="AX664" i="13" s="1"/>
  <c r="AV669" i="13"/>
  <c r="AX669" i="13" s="1"/>
  <c r="AV665" i="13"/>
  <c r="AX665" i="13" s="1"/>
  <c r="AV651" i="13"/>
  <c r="AX651" i="13" s="1"/>
  <c r="AV663" i="13"/>
  <c r="AX663" i="13" s="1"/>
  <c r="AV650" i="13"/>
  <c r="AX650" i="13" s="1"/>
  <c r="AV661" i="13"/>
  <c r="AX661" i="13" s="1"/>
  <c r="AV659" i="13"/>
  <c r="AX659" i="13" s="1"/>
  <c r="AV654" i="13"/>
  <c r="AX654" i="13" s="1"/>
  <c r="AV667" i="13"/>
  <c r="AX667" i="13" s="1"/>
  <c r="AV653" i="13"/>
  <c r="AX653" i="13" s="1"/>
  <c r="AV660" i="13"/>
  <c r="AX660" i="13" s="1"/>
  <c r="AV655" i="13"/>
  <c r="AX655" i="13" s="1"/>
  <c r="AV668" i="13"/>
  <c r="AX668" i="13" s="1"/>
  <c r="AC668" i="13"/>
  <c r="AE668" i="13" s="1"/>
  <c r="AL668" i="13" s="1"/>
  <c r="AD665" i="13"/>
  <c r="BA665" i="13" s="1"/>
  <c r="AC651" i="13"/>
  <c r="AE651" i="13" s="1"/>
  <c r="AK651" i="13" s="1"/>
  <c r="AM651" i="13" s="1"/>
  <c r="AC660" i="13"/>
  <c r="AE660" i="13" s="1"/>
  <c r="AK660" i="13" s="1"/>
  <c r="AM660" i="13" s="1"/>
  <c r="AC652" i="13"/>
  <c r="AE652" i="13" s="1"/>
  <c r="AK652" i="13" s="1"/>
  <c r="AM652" i="13" s="1"/>
  <c r="AD663" i="13"/>
  <c r="BA663" i="13" s="1"/>
  <c r="AC667" i="13"/>
  <c r="AE667" i="13" s="1"/>
  <c r="AK667" i="13" s="1"/>
  <c r="AM667" i="13" s="1"/>
  <c r="AC659" i="13"/>
  <c r="AE659" i="13" s="1"/>
  <c r="AK659" i="13" s="1"/>
  <c r="AM659" i="13" s="1"/>
  <c r="AC664" i="13"/>
  <c r="AE664" i="13" s="1"/>
  <c r="AK664" i="13" s="1"/>
  <c r="AM664" i="13" s="1"/>
  <c r="W654" i="13"/>
  <c r="W655" i="13"/>
  <c r="W653" i="13"/>
  <c r="W650" i="13"/>
  <c r="W651" i="13"/>
  <c r="W652" i="13"/>
  <c r="AO653" i="13" l="1"/>
  <c r="Q670" i="13"/>
  <c r="N670" i="13"/>
  <c r="Q651" i="13"/>
  <c r="N651" i="13"/>
  <c r="Q659" i="13"/>
  <c r="N659" i="13"/>
  <c r="Q666" i="13"/>
  <c r="N666" i="13"/>
  <c r="Q662" i="13"/>
  <c r="N662" i="13"/>
  <c r="Q652" i="13"/>
  <c r="N652" i="13"/>
  <c r="Q665" i="13"/>
  <c r="N665" i="13"/>
  <c r="Q649" i="13"/>
  <c r="N649" i="13"/>
  <c r="Q661" i="13"/>
  <c r="N661" i="13"/>
  <c r="Q660" i="13"/>
  <c r="N660" i="13"/>
  <c r="Q655" i="13"/>
  <c r="N655" i="13"/>
  <c r="Q669" i="13"/>
  <c r="N669" i="13"/>
  <c r="Q668" i="13"/>
  <c r="N668" i="13"/>
  <c r="Q650" i="13"/>
  <c r="N650" i="13"/>
  <c r="Q654" i="13"/>
  <c r="N654" i="13"/>
  <c r="Q653" i="13"/>
  <c r="N653" i="13"/>
  <c r="Q664" i="13"/>
  <c r="N664" i="13"/>
  <c r="Q667" i="13"/>
  <c r="N667" i="13"/>
  <c r="Q663" i="13"/>
  <c r="N663" i="13"/>
  <c r="AL649" i="13"/>
  <c r="AO649" i="13"/>
  <c r="AE669" i="13"/>
  <c r="AL669" i="13" s="1"/>
  <c r="AL655" i="13"/>
  <c r="AL654" i="13"/>
  <c r="AL653" i="13"/>
  <c r="AE662" i="13"/>
  <c r="AL662" i="13" s="1"/>
  <c r="AK661" i="13"/>
  <c r="AM661" i="13" s="1"/>
  <c r="AO654" i="13"/>
  <c r="AL661" i="13"/>
  <c r="AO655" i="13"/>
  <c r="AE663" i="13"/>
  <c r="AL663" i="13" s="1"/>
  <c r="AE665" i="13"/>
  <c r="AK665" i="13" s="1"/>
  <c r="AM665" i="13" s="1"/>
  <c r="AY668" i="13"/>
  <c r="AY667" i="13"/>
  <c r="AY650" i="13"/>
  <c r="AY669" i="13"/>
  <c r="AY662" i="13"/>
  <c r="AY652" i="13"/>
  <c r="AY655" i="13"/>
  <c r="AY654" i="13"/>
  <c r="AY663" i="13"/>
  <c r="AY664" i="13"/>
  <c r="AY649" i="13"/>
  <c r="AY660" i="13"/>
  <c r="AY659" i="13"/>
  <c r="AY651" i="13"/>
  <c r="AY666" i="13"/>
  <c r="AY653" i="13"/>
  <c r="AY661" i="13"/>
  <c r="AY665" i="13"/>
  <c r="AY670" i="13"/>
  <c r="AL666" i="13"/>
  <c r="AK666" i="13"/>
  <c r="AM666" i="13" s="1"/>
  <c r="AO670" i="13"/>
  <c r="AK650" i="13"/>
  <c r="AM650" i="13" s="1"/>
  <c r="AO650" i="13"/>
  <c r="AK670" i="13"/>
  <c r="AM670" i="13" s="1"/>
  <c r="AO668" i="13"/>
  <c r="AK668" i="13"/>
  <c r="AM668" i="13" s="1"/>
  <c r="AL651" i="13"/>
  <c r="AO651" i="13"/>
  <c r="AO660" i="13"/>
  <c r="AL660" i="13"/>
  <c r="AO652" i="13"/>
  <c r="AL652" i="13"/>
  <c r="AL667" i="13"/>
  <c r="AO664" i="13"/>
  <c r="AL664" i="13"/>
  <c r="AO659" i="13"/>
  <c r="AO667" i="13"/>
  <c r="AL659" i="13"/>
  <c r="AJ642" i="13"/>
  <c r="AA642" i="13"/>
  <c r="AD642" i="13" s="1"/>
  <c r="BA642" i="13" s="1"/>
  <c r="Z642" i="13"/>
  <c r="AT670" i="13" l="1"/>
  <c r="AT661" i="13"/>
  <c r="AT662" i="13"/>
  <c r="AT659" i="13"/>
  <c r="AT664" i="13"/>
  <c r="AT654" i="13"/>
  <c r="AT668" i="13"/>
  <c r="AT655" i="13"/>
  <c r="AT665" i="13"/>
  <c r="AT667" i="13"/>
  <c r="AT653" i="13"/>
  <c r="AT650" i="13"/>
  <c r="AT669" i="13"/>
  <c r="AT660" i="13"/>
  <c r="AT651" i="13"/>
  <c r="AT666" i="13"/>
  <c r="AO662" i="13"/>
  <c r="AK669" i="13"/>
  <c r="AM669" i="13" s="1"/>
  <c r="AO669" i="13"/>
  <c r="AK662" i="13"/>
  <c r="AM662" i="13" s="1"/>
  <c r="AO665" i="13"/>
  <c r="AL665" i="13"/>
  <c r="AK663" i="13"/>
  <c r="AM663" i="13" s="1"/>
  <c r="AO663" i="13"/>
  <c r="R642" i="13"/>
  <c r="S642" i="13"/>
  <c r="W642" i="13" s="1"/>
  <c r="AT663" i="13"/>
  <c r="AV642" i="13"/>
  <c r="AX642" i="13" s="1"/>
  <c r="AT652" i="13"/>
  <c r="AT649" i="13"/>
  <c r="AN642" i="13"/>
  <c r="AC642" i="13"/>
  <c r="AE642" i="13" s="1"/>
  <c r="Q642" i="13" l="1"/>
  <c r="N642" i="13"/>
  <c r="AY642" i="13"/>
  <c r="AL642" i="13"/>
  <c r="AO642" i="13"/>
  <c r="AK642" i="13"/>
  <c r="AM642" i="13" s="1"/>
  <c r="AT642" i="13" l="1"/>
  <c r="AJ643" i="13"/>
  <c r="AA643" i="13"/>
  <c r="AD643" i="13" s="1"/>
  <c r="BA643" i="13" s="1"/>
  <c r="Z643" i="13"/>
  <c r="S643" i="13"/>
  <c r="Z641" i="13"/>
  <c r="Z639" i="13"/>
  <c r="AA639" i="13"/>
  <c r="AJ639" i="13"/>
  <c r="S640" i="13"/>
  <c r="Z640" i="13"/>
  <c r="AA640" i="13"/>
  <c r="AD640" i="13" s="1"/>
  <c r="BA640" i="13" s="1"/>
  <c r="AJ640" i="13"/>
  <c r="S641" i="13"/>
  <c r="AA641" i="13"/>
  <c r="AJ641" i="13"/>
  <c r="S671" i="13"/>
  <c r="Z671" i="13"/>
  <c r="AA671" i="13"/>
  <c r="AD671" i="13" s="1"/>
  <c r="BA671" i="13" s="1"/>
  <c r="AJ671" i="13"/>
  <c r="S672" i="13"/>
  <c r="Z672" i="13"/>
  <c r="AA672" i="13"/>
  <c r="AJ672" i="13"/>
  <c r="Z673" i="13"/>
  <c r="AA673" i="13"/>
  <c r="AJ673" i="13"/>
  <c r="S674" i="13"/>
  <c r="Z674" i="13"/>
  <c r="AA674" i="13"/>
  <c r="AD674" i="13" s="1"/>
  <c r="BA674" i="13" s="1"/>
  <c r="AJ674" i="13"/>
  <c r="Z675" i="13"/>
  <c r="AA675" i="13"/>
  <c r="AD675" i="13" s="1"/>
  <c r="BA675" i="13" s="1"/>
  <c r="AJ675" i="13"/>
  <c r="Z676" i="13"/>
  <c r="AA676" i="13"/>
  <c r="AD676" i="13" s="1"/>
  <c r="BA676" i="13" s="1"/>
  <c r="AJ676" i="13"/>
  <c r="S677" i="13"/>
  <c r="Z677" i="13"/>
  <c r="AA677" i="13"/>
  <c r="AJ677" i="13"/>
  <c r="Z678" i="13"/>
  <c r="AA678" i="13"/>
  <c r="AD678" i="13" s="1"/>
  <c r="BA678" i="13" s="1"/>
  <c r="AJ678" i="13"/>
  <c r="S679" i="13"/>
  <c r="Z679" i="13"/>
  <c r="AA679" i="13"/>
  <c r="AJ679" i="13"/>
  <c r="S680" i="13"/>
  <c r="Z680" i="13"/>
  <c r="AA680" i="13"/>
  <c r="AD680" i="13" s="1"/>
  <c r="BA680" i="13" s="1"/>
  <c r="AJ680" i="13"/>
  <c r="Z681" i="13"/>
  <c r="AA681" i="13"/>
  <c r="AD681" i="13" s="1"/>
  <c r="BA681" i="13" s="1"/>
  <c r="AJ681" i="13"/>
  <c r="S682" i="13"/>
  <c r="Z682" i="13"/>
  <c r="AA682" i="13"/>
  <c r="AD682" i="13" s="1"/>
  <c r="BA682" i="13" s="1"/>
  <c r="AJ682" i="13"/>
  <c r="S683" i="13"/>
  <c r="Z683" i="13"/>
  <c r="AA683" i="13"/>
  <c r="AJ683" i="13"/>
  <c r="Z684" i="13"/>
  <c r="AA684" i="13"/>
  <c r="AD684" i="13" s="1"/>
  <c r="BA684" i="13" s="1"/>
  <c r="AJ684" i="13"/>
  <c r="Z685" i="13"/>
  <c r="AA685" i="13"/>
  <c r="AD685" i="13" s="1"/>
  <c r="BA685" i="13" s="1"/>
  <c r="AJ685" i="13"/>
  <c r="Z686" i="13"/>
  <c r="AA686" i="13"/>
  <c r="AD686" i="13" s="1"/>
  <c r="BA686" i="13" s="1"/>
  <c r="AJ686" i="13"/>
  <c r="S687" i="13"/>
  <c r="Z687" i="13"/>
  <c r="AA687" i="13"/>
  <c r="AJ687" i="13"/>
  <c r="Z688" i="13"/>
  <c r="AA688" i="13"/>
  <c r="AD688" i="13" s="1"/>
  <c r="BA688" i="13" s="1"/>
  <c r="AJ688" i="13"/>
  <c r="Z689" i="13"/>
  <c r="AA689" i="13"/>
  <c r="AJ689" i="13"/>
  <c r="Z690" i="13"/>
  <c r="AA690" i="13"/>
  <c r="AD690" i="13" s="1"/>
  <c r="BA690" i="13" s="1"/>
  <c r="AJ690" i="13"/>
  <c r="Z691" i="13"/>
  <c r="AA691" i="13"/>
  <c r="AD691" i="13" s="1"/>
  <c r="BA691" i="13" s="1"/>
  <c r="S692" i="13"/>
  <c r="Z692" i="13"/>
  <c r="AA692" i="13"/>
  <c r="AD692" i="13" s="1"/>
  <c r="BA692" i="13" s="1"/>
  <c r="AJ692" i="13"/>
  <c r="S693" i="13"/>
  <c r="Z693" i="13"/>
  <c r="AA693" i="13"/>
  <c r="AD693" i="13" s="1"/>
  <c r="BA693" i="13" s="1"/>
  <c r="AJ693" i="13"/>
  <c r="Z694" i="13"/>
  <c r="AA694" i="13"/>
  <c r="AJ694" i="13"/>
  <c r="S695" i="13"/>
  <c r="Z695" i="13"/>
  <c r="AA695" i="13"/>
  <c r="AD695" i="13" s="1"/>
  <c r="BA695" i="13" s="1"/>
  <c r="AJ695" i="13"/>
  <c r="S781" i="13"/>
  <c r="Z781" i="13"/>
  <c r="AA781" i="13"/>
  <c r="Q672" i="13" l="1"/>
  <c r="N672" i="13"/>
  <c r="AD672" i="13"/>
  <c r="BA672" i="13" s="1"/>
  <c r="R694" i="13"/>
  <c r="S694" i="13"/>
  <c r="W694" i="13" s="1"/>
  <c r="R690" i="13"/>
  <c r="S690" i="13"/>
  <c r="W690" i="13" s="1"/>
  <c r="S688" i="13"/>
  <c r="W688" i="13" s="1"/>
  <c r="S686" i="13"/>
  <c r="W686" i="13" s="1"/>
  <c r="S684" i="13"/>
  <c r="W684" i="13" s="1"/>
  <c r="S678" i="13"/>
  <c r="W678" i="13" s="1"/>
  <c r="S676" i="13"/>
  <c r="W676" i="13" s="1"/>
  <c r="R691" i="13"/>
  <c r="S691" i="13"/>
  <c r="W691" i="13" s="1"/>
  <c r="S689" i="13"/>
  <c r="W689" i="13" s="1"/>
  <c r="S685" i="13"/>
  <c r="W685" i="13" s="1"/>
  <c r="R681" i="13"/>
  <c r="S681" i="13"/>
  <c r="W681" i="13" s="1"/>
  <c r="R675" i="13"/>
  <c r="S675" i="13"/>
  <c r="W675" i="13" s="1"/>
  <c r="R673" i="13"/>
  <c r="S673" i="13"/>
  <c r="W673" i="13" s="1"/>
  <c r="S639" i="13"/>
  <c r="W639" i="13" s="1"/>
  <c r="N693" i="13"/>
  <c r="N691" i="13"/>
  <c r="N692" i="13"/>
  <c r="N695" i="13"/>
  <c r="N687" i="13"/>
  <c r="N688" i="13"/>
  <c r="N678" i="13"/>
  <c r="AV640" i="13"/>
  <c r="AX640" i="13" s="1"/>
  <c r="AV641" i="13"/>
  <c r="AX641" i="13" s="1"/>
  <c r="AV639" i="13"/>
  <c r="AX639" i="13" s="1"/>
  <c r="AV643" i="13"/>
  <c r="AX643" i="13" s="1"/>
  <c r="AV781" i="13"/>
  <c r="AX781" i="13" s="1"/>
  <c r="AV695" i="13"/>
  <c r="AX695" i="13" s="1"/>
  <c r="AV693" i="13"/>
  <c r="AX693" i="13" s="1"/>
  <c r="AV691" i="13"/>
  <c r="AX691" i="13" s="1"/>
  <c r="AV689" i="13"/>
  <c r="AX689" i="13" s="1"/>
  <c r="AV687" i="13"/>
  <c r="AX687" i="13" s="1"/>
  <c r="AV685" i="13"/>
  <c r="AX685" i="13" s="1"/>
  <c r="AV683" i="13"/>
  <c r="AX683" i="13" s="1"/>
  <c r="AV681" i="13"/>
  <c r="AX681" i="13" s="1"/>
  <c r="AV679" i="13"/>
  <c r="AX679" i="13" s="1"/>
  <c r="AV677" i="13"/>
  <c r="AX677" i="13" s="1"/>
  <c r="AV675" i="13"/>
  <c r="AX675" i="13" s="1"/>
  <c r="AV673" i="13"/>
  <c r="AX673" i="13" s="1"/>
  <c r="AV671" i="13"/>
  <c r="AX671" i="13" s="1"/>
  <c r="AV694" i="13"/>
  <c r="AX694" i="13" s="1"/>
  <c r="AV692" i="13"/>
  <c r="AX692" i="13" s="1"/>
  <c r="AV690" i="13"/>
  <c r="AX690" i="13" s="1"/>
  <c r="AV688" i="13"/>
  <c r="AX688" i="13" s="1"/>
  <c r="AV686" i="13"/>
  <c r="AX686" i="13" s="1"/>
  <c r="AV684" i="13"/>
  <c r="AX684" i="13" s="1"/>
  <c r="AV682" i="13"/>
  <c r="AX682" i="13" s="1"/>
  <c r="AV680" i="13"/>
  <c r="AX680" i="13" s="1"/>
  <c r="AV678" i="13"/>
  <c r="AX678" i="13" s="1"/>
  <c r="AV676" i="13"/>
  <c r="AX676" i="13" s="1"/>
  <c r="AV674" i="13"/>
  <c r="AX674" i="13" s="1"/>
  <c r="AV672" i="13"/>
  <c r="AX672" i="13" s="1"/>
  <c r="AC643" i="13"/>
  <c r="AE643" i="13" s="1"/>
  <c r="AN643" i="13"/>
  <c r="AN693" i="13"/>
  <c r="W643" i="13"/>
  <c r="R643" i="13"/>
  <c r="AN639" i="13"/>
  <c r="AN682" i="13"/>
  <c r="R639" i="13"/>
  <c r="AN673" i="13"/>
  <c r="AN678" i="13"/>
  <c r="AC692" i="13"/>
  <c r="AE692" i="13" s="1"/>
  <c r="AN681" i="13"/>
  <c r="AN25" i="61"/>
  <c r="R685" i="13"/>
  <c r="AN676" i="13"/>
  <c r="R676" i="13"/>
  <c r="AN675" i="13"/>
  <c r="W674" i="13"/>
  <c r="R674" i="13"/>
  <c r="W781" i="13"/>
  <c r="R781" i="13"/>
  <c r="W680" i="13"/>
  <c r="R680" i="13"/>
  <c r="AN684" i="13"/>
  <c r="AN680" i="13"/>
  <c r="W671" i="13"/>
  <c r="R671" i="13"/>
  <c r="AN686" i="13"/>
  <c r="AC681" i="13"/>
  <c r="AE681" i="13" s="1"/>
  <c r="AK681" i="13" s="1"/>
  <c r="AM681" i="13" s="1"/>
  <c r="AN671" i="13"/>
  <c r="R688" i="13"/>
  <c r="AN685" i="13"/>
  <c r="R640" i="13"/>
  <c r="W640" i="13"/>
  <c r="AC673" i="13"/>
  <c r="AD673" i="13"/>
  <c r="BA673" i="13" s="1"/>
  <c r="W672" i="13"/>
  <c r="R672" i="13"/>
  <c r="W692" i="13"/>
  <c r="R692" i="13"/>
  <c r="AN688" i="13"/>
  <c r="AC691" i="13"/>
  <c r="AE691" i="13" s="1"/>
  <c r="AN689" i="13"/>
  <c r="AC684" i="13"/>
  <c r="AE684" i="13" s="1"/>
  <c r="AC641" i="13"/>
  <c r="AC688" i="13"/>
  <c r="AE688" i="13" s="1"/>
  <c r="AK688" i="13" s="1"/>
  <c r="AM688" i="13" s="1"/>
  <c r="AN677" i="13"/>
  <c r="R641" i="13"/>
  <c r="AC639" i="13"/>
  <c r="AD639" i="13"/>
  <c r="BA639" i="13" s="1"/>
  <c r="R677" i="13"/>
  <c r="W677" i="13"/>
  <c r="W679" i="13"/>
  <c r="R679" i="13"/>
  <c r="W693" i="13"/>
  <c r="R693" i="13"/>
  <c r="AC781" i="13"/>
  <c r="AD781" i="13"/>
  <c r="BA781" i="13" s="1"/>
  <c r="W683" i="13"/>
  <c r="R683" i="13"/>
  <c r="AN695" i="13"/>
  <c r="R689" i="13"/>
  <c r="R687" i="13"/>
  <c r="W687" i="13"/>
  <c r="R695" i="13"/>
  <c r="W695" i="13"/>
  <c r="AD689" i="13"/>
  <c r="BA689" i="13" s="1"/>
  <c r="AC689" i="13"/>
  <c r="AD679" i="13"/>
  <c r="BA679" i="13" s="1"/>
  <c r="AC679" i="13"/>
  <c r="AN674" i="13"/>
  <c r="AN641" i="13"/>
  <c r="AN694" i="13"/>
  <c r="AC693" i="13"/>
  <c r="AE693" i="13" s="1"/>
  <c r="AL693" i="13" s="1"/>
  <c r="AC686" i="13"/>
  <c r="AE686" i="13" s="1"/>
  <c r="AL686" i="13" s="1"/>
  <c r="AC685" i="13"/>
  <c r="AE685" i="13" s="1"/>
  <c r="AL685" i="13" s="1"/>
  <c r="AN683" i="13"/>
  <c r="AC680" i="13"/>
  <c r="AE680" i="13" s="1"/>
  <c r="AO680" i="13" s="1"/>
  <c r="AN679" i="13"/>
  <c r="AD641" i="13"/>
  <c r="BA641" i="13" s="1"/>
  <c r="AC640" i="13"/>
  <c r="AE640" i="13" s="1"/>
  <c r="AO640" i="13" s="1"/>
  <c r="AN690" i="13"/>
  <c r="AC674" i="13"/>
  <c r="AE674" i="13" s="1"/>
  <c r="AO674" i="13" s="1"/>
  <c r="AN640" i="13"/>
  <c r="AC695" i="13"/>
  <c r="AE695" i="13" s="1"/>
  <c r="AN692" i="13"/>
  <c r="AN687" i="13"/>
  <c r="R678" i="13"/>
  <c r="AC676" i="13"/>
  <c r="AE676" i="13" s="1"/>
  <c r="AN672" i="13"/>
  <c r="AC687" i="13"/>
  <c r="AD687" i="13"/>
  <c r="BA687" i="13" s="1"/>
  <c r="AC671" i="13"/>
  <c r="AE671" i="13" s="1"/>
  <c r="AC694" i="13"/>
  <c r="AD694" i="13"/>
  <c r="BA694" i="13" s="1"/>
  <c r="R682" i="13"/>
  <c r="R684" i="13"/>
  <c r="AD683" i="13"/>
  <c r="BA683" i="13" s="1"/>
  <c r="AC683" i="13"/>
  <c r="AD677" i="13"/>
  <c r="BA677" i="13" s="1"/>
  <c r="AC677" i="13"/>
  <c r="AC678" i="13"/>
  <c r="AE678" i="13" s="1"/>
  <c r="AC675" i="13"/>
  <c r="AE675" i="13" s="1"/>
  <c r="AC690" i="13"/>
  <c r="AE690" i="13" s="1"/>
  <c r="R686" i="13"/>
  <c r="AC682" i="13"/>
  <c r="AE682" i="13" s="1"/>
  <c r="W641" i="13"/>
  <c r="Q676" i="13" l="1"/>
  <c r="N676" i="13"/>
  <c r="Q684" i="13"/>
  <c r="N684" i="13"/>
  <c r="Q694" i="13"/>
  <c r="N694" i="13"/>
  <c r="Q671" i="13"/>
  <c r="N671" i="13"/>
  <c r="Q679" i="13"/>
  <c r="N679" i="13"/>
  <c r="Q686" i="13"/>
  <c r="N686" i="13"/>
  <c r="Q643" i="13"/>
  <c r="N643" i="13"/>
  <c r="Q673" i="13"/>
  <c r="N673" i="13"/>
  <c r="Q681" i="13"/>
  <c r="N681" i="13"/>
  <c r="Q689" i="13"/>
  <c r="N689" i="13"/>
  <c r="Q680" i="13"/>
  <c r="N680" i="13"/>
  <c r="Q639" i="13"/>
  <c r="N639" i="13"/>
  <c r="Q675" i="13"/>
  <c r="N675" i="13"/>
  <c r="Q683" i="13"/>
  <c r="N683" i="13"/>
  <c r="Q674" i="13"/>
  <c r="N674" i="13"/>
  <c r="Q682" i="13"/>
  <c r="N682" i="13"/>
  <c r="Q690" i="13"/>
  <c r="N690" i="13"/>
  <c r="Q641" i="13"/>
  <c r="N641" i="13"/>
  <c r="Q677" i="13"/>
  <c r="N677" i="13"/>
  <c r="Q685" i="13"/>
  <c r="N685" i="13"/>
  <c r="Q640" i="13"/>
  <c r="N640" i="13"/>
  <c r="Q781" i="13"/>
  <c r="N781" i="13"/>
  <c r="AC672" i="13"/>
  <c r="AE672" i="13" s="1"/>
  <c r="AL672" i="13" s="1"/>
  <c r="Q687" i="13"/>
  <c r="Q692" i="13"/>
  <c r="AT692" i="13" s="1"/>
  <c r="Q688" i="13"/>
  <c r="AT688" i="13" s="1"/>
  <c r="Q693" i="13"/>
  <c r="AT693" i="13" s="1"/>
  <c r="AY678" i="13"/>
  <c r="AY686" i="13"/>
  <c r="AY694" i="13"/>
  <c r="AY673" i="13"/>
  <c r="AY681" i="13"/>
  <c r="AY689" i="13"/>
  <c r="AY781" i="13"/>
  <c r="AY639" i="13"/>
  <c r="AY684" i="13"/>
  <c r="AY671" i="13"/>
  <c r="AY687" i="13"/>
  <c r="AY643" i="13"/>
  <c r="AY672" i="13"/>
  <c r="AY680" i="13"/>
  <c r="AY688" i="13"/>
  <c r="AY675" i="13"/>
  <c r="AY683" i="13"/>
  <c r="AY691" i="13"/>
  <c r="AY641" i="13"/>
  <c r="AY676" i="13"/>
  <c r="AY692" i="13"/>
  <c r="AY679" i="13"/>
  <c r="AY695" i="13"/>
  <c r="AY674" i="13"/>
  <c r="AY682" i="13"/>
  <c r="AY690" i="13"/>
  <c r="AY677" i="13"/>
  <c r="AY685" i="13"/>
  <c r="AY693" i="13"/>
  <c r="AY640" i="13"/>
  <c r="AT672" i="13"/>
  <c r="Q695" i="13"/>
  <c r="AO643" i="13"/>
  <c r="AK643" i="13"/>
  <c r="AM643" i="13" s="1"/>
  <c r="AK685" i="13"/>
  <c r="AM685" i="13" s="1"/>
  <c r="AL643" i="13"/>
  <c r="AK674" i="13"/>
  <c r="AM674" i="13" s="1"/>
  <c r="AO686" i="13"/>
  <c r="AE673" i="13"/>
  <c r="AL673" i="13" s="1"/>
  <c r="AL688" i="13"/>
  <c r="AO681" i="13"/>
  <c r="AO688" i="13"/>
  <c r="AK693" i="13"/>
  <c r="AM693" i="13" s="1"/>
  <c r="AL681" i="13"/>
  <c r="AE683" i="13"/>
  <c r="AL683" i="13" s="1"/>
  <c r="AE679" i="13"/>
  <c r="AO679" i="13" s="1"/>
  <c r="AL640" i="13"/>
  <c r="AK680" i="13"/>
  <c r="AM680" i="13" s="1"/>
  <c r="AE641" i="13"/>
  <c r="AL641" i="13" s="1"/>
  <c r="AK640" i="13"/>
  <c r="AM640" i="13" s="1"/>
  <c r="AO693" i="13"/>
  <c r="AE687" i="13"/>
  <c r="AL687" i="13" s="1"/>
  <c r="AK686" i="13"/>
  <c r="AM686" i="13" s="1"/>
  <c r="AL695" i="13"/>
  <c r="AK695" i="13"/>
  <c r="AM695" i="13" s="1"/>
  <c r="AO695" i="13"/>
  <c r="AL680" i="13"/>
  <c r="AE694" i="13"/>
  <c r="AL694" i="13" s="1"/>
  <c r="AO685" i="13"/>
  <c r="AE781" i="13"/>
  <c r="AL674" i="13"/>
  <c r="AE677" i="13"/>
  <c r="AK677" i="13" s="1"/>
  <c r="AM677" i="13" s="1"/>
  <c r="AE689" i="13"/>
  <c r="AE639" i="13"/>
  <c r="AK690" i="13"/>
  <c r="AM690" i="13" s="1"/>
  <c r="AO690" i="13"/>
  <c r="AL690" i="13"/>
  <c r="AK675" i="13"/>
  <c r="AM675" i="13" s="1"/>
  <c r="AO675" i="13"/>
  <c r="AL675" i="13"/>
  <c r="AK684" i="13"/>
  <c r="AM684" i="13" s="1"/>
  <c r="AO684" i="13"/>
  <c r="AL684" i="13"/>
  <c r="AK682" i="13"/>
  <c r="AM682" i="13" s="1"/>
  <c r="AO682" i="13"/>
  <c r="AL682" i="13"/>
  <c r="AK678" i="13"/>
  <c r="AM678" i="13" s="1"/>
  <c r="AO678" i="13"/>
  <c r="AL678" i="13"/>
  <c r="W682" i="13"/>
  <c r="AO691" i="13"/>
  <c r="AK676" i="13"/>
  <c r="AM676" i="13" s="1"/>
  <c r="AO676" i="13"/>
  <c r="AL676" i="13"/>
  <c r="AK671" i="13"/>
  <c r="AM671" i="13" s="1"/>
  <c r="AO671" i="13"/>
  <c r="AL671" i="13"/>
  <c r="AK692" i="13"/>
  <c r="AM692" i="13" s="1"/>
  <c r="AL692" i="13"/>
  <c r="AO692" i="13"/>
  <c r="AT676" i="13" l="1"/>
  <c r="AT694" i="13"/>
  <c r="AT680" i="13"/>
  <c r="AT640" i="13"/>
  <c r="AT690" i="13"/>
  <c r="AT674" i="13"/>
  <c r="AT675" i="13"/>
  <c r="AT682" i="13"/>
  <c r="AT673" i="13"/>
  <c r="AT671" i="13"/>
  <c r="AT677" i="13"/>
  <c r="AT684" i="13"/>
  <c r="AT689" i="13"/>
  <c r="AK672" i="13"/>
  <c r="AM672" i="13" s="1"/>
  <c r="AO672" i="13"/>
  <c r="Q691" i="13"/>
  <c r="AT691" i="13" s="1"/>
  <c r="AT687" i="13"/>
  <c r="AT781" i="13"/>
  <c r="AT685" i="13"/>
  <c r="AT695" i="13"/>
  <c r="AT686" i="13"/>
  <c r="AT643" i="13"/>
  <c r="Q678" i="13"/>
  <c r="AT678" i="13" s="1"/>
  <c r="AT683" i="13"/>
  <c r="AT679" i="13"/>
  <c r="AT681" i="13"/>
  <c r="AT641" i="13"/>
  <c r="AT639" i="13"/>
  <c r="AO694" i="13"/>
  <c r="AL677" i="13"/>
  <c r="AK694" i="13"/>
  <c r="AM694" i="13" s="1"/>
  <c r="AK673" i="13"/>
  <c r="AM673" i="13" s="1"/>
  <c r="AO687" i="13"/>
  <c r="AO677" i="13"/>
  <c r="AO673" i="13"/>
  <c r="AO683" i="13"/>
  <c r="AK683" i="13"/>
  <c r="AM683" i="13" s="1"/>
  <c r="AO641" i="13"/>
  <c r="AK641" i="13"/>
  <c r="AM641" i="13" s="1"/>
  <c r="AL679" i="13"/>
  <c r="AK679" i="13"/>
  <c r="AM679" i="13" s="1"/>
  <c r="AK687" i="13"/>
  <c r="AM687" i="13" s="1"/>
  <c r="AO781" i="13"/>
  <c r="AL639" i="13"/>
  <c r="AO639" i="13"/>
  <c r="AK639" i="13"/>
  <c r="AM639" i="13" s="1"/>
  <c r="AK689" i="13"/>
  <c r="AM689" i="13" s="1"/>
  <c r="AL689" i="13"/>
  <c r="AO689" i="13"/>
  <c r="AJ638" i="13" l="1"/>
  <c r="AA638" i="13"/>
  <c r="AD638" i="13" s="1"/>
  <c r="BA638" i="13" s="1"/>
  <c r="Z638" i="13"/>
  <c r="S638" i="13"/>
  <c r="AJ637" i="13"/>
  <c r="AA637" i="13"/>
  <c r="AD637" i="13" s="1"/>
  <c r="BA637" i="13" s="1"/>
  <c r="Z637" i="13"/>
  <c r="S493" i="13"/>
  <c r="S393" i="13"/>
  <c r="R637" i="13" l="1"/>
  <c r="S637" i="13"/>
  <c r="W637" i="13" s="1"/>
  <c r="AV638" i="13"/>
  <c r="AX638" i="13" s="1"/>
  <c r="AV637" i="13"/>
  <c r="AX637" i="13" s="1"/>
  <c r="AN638" i="13"/>
  <c r="AC638" i="13"/>
  <c r="AE638" i="13" s="1"/>
  <c r="AK638" i="13" s="1"/>
  <c r="AM638" i="13" s="1"/>
  <c r="AN637" i="13"/>
  <c r="W638" i="13"/>
  <c r="R638" i="13"/>
  <c r="AC637" i="13"/>
  <c r="AE637" i="13" s="1"/>
  <c r="Q638" i="13" l="1"/>
  <c r="N638" i="13"/>
  <c r="Q637" i="13"/>
  <c r="N637" i="13"/>
  <c r="AY637" i="13"/>
  <c r="AY638" i="13"/>
  <c r="AO638" i="13"/>
  <c r="AL638" i="13"/>
  <c r="AL637" i="13"/>
  <c r="AO637" i="13"/>
  <c r="AK637" i="13"/>
  <c r="AM637" i="13" s="1"/>
  <c r="AT637" i="13" l="1"/>
  <c r="AT638" i="13"/>
  <c r="Q643" i="11"/>
  <c r="Q642" i="11"/>
  <c r="Q641" i="11"/>
  <c r="Q640" i="11"/>
  <c r="Q639" i="11"/>
  <c r="Q638" i="11"/>
  <c r="Q637" i="11"/>
  <c r="Q636" i="11"/>
  <c r="Q635" i="11"/>
  <c r="Q634" i="11"/>
  <c r="Q633" i="11"/>
  <c r="Q632" i="11"/>
  <c r="Q631" i="11"/>
  <c r="Q630" i="11"/>
  <c r="Q629" i="11"/>
  <c r="Q628" i="11"/>
  <c r="Q627" i="11"/>
  <c r="Q626" i="11"/>
  <c r="Q625" i="11"/>
  <c r="Q624" i="11"/>
  <c r="Q623" i="11"/>
  <c r="Q622" i="11"/>
  <c r="Q621" i="11"/>
  <c r="Q620" i="11"/>
  <c r="Q619" i="11"/>
  <c r="Q618" i="11"/>
  <c r="D44" i="3" l="1"/>
  <c r="D22" i="3"/>
  <c r="Z626" i="13"/>
  <c r="AA626" i="13"/>
  <c r="AJ626" i="13"/>
  <c r="S627" i="13"/>
  <c r="Z627" i="13"/>
  <c r="AA627" i="13"/>
  <c r="AJ627" i="13"/>
  <c r="Z628" i="13"/>
  <c r="AA628" i="13"/>
  <c r="AJ628" i="13"/>
  <c r="S629" i="13"/>
  <c r="Z629" i="13"/>
  <c r="AA629" i="13"/>
  <c r="AJ629" i="13"/>
  <c r="Z630" i="13"/>
  <c r="AA630" i="13"/>
  <c r="AJ630" i="13"/>
  <c r="S631" i="13"/>
  <c r="Z631" i="13"/>
  <c r="AA631" i="13"/>
  <c r="AD631" i="13" s="1"/>
  <c r="BA631" i="13" s="1"/>
  <c r="AJ631" i="13"/>
  <c r="Z632" i="13"/>
  <c r="AA632" i="13"/>
  <c r="AJ632" i="13"/>
  <c r="S633" i="13"/>
  <c r="Z633" i="13"/>
  <c r="AA633" i="13"/>
  <c r="AJ633" i="13"/>
  <c r="Z634" i="13"/>
  <c r="AA634" i="13"/>
  <c r="AJ634" i="13"/>
  <c r="S634" i="13" l="1"/>
  <c r="W634" i="13" s="1"/>
  <c r="S632" i="13"/>
  <c r="W632" i="13" s="1"/>
  <c r="R630" i="13"/>
  <c r="S630" i="13"/>
  <c r="W630" i="13" s="1"/>
  <c r="R628" i="13"/>
  <c r="S628" i="13"/>
  <c r="W628" i="13" s="1"/>
  <c r="S626" i="13"/>
  <c r="W626" i="13" s="1"/>
  <c r="AV632" i="13"/>
  <c r="AX632" i="13" s="1"/>
  <c r="AV630" i="13"/>
  <c r="AX630" i="13" s="1"/>
  <c r="AV628" i="13"/>
  <c r="AX628" i="13" s="1"/>
  <c r="AV626" i="13"/>
  <c r="AX626" i="13" s="1"/>
  <c r="AV634" i="13"/>
  <c r="AX634" i="13" s="1"/>
  <c r="AV633" i="13"/>
  <c r="AX633" i="13" s="1"/>
  <c r="AV631" i="13"/>
  <c r="AX631" i="13" s="1"/>
  <c r="AV629" i="13"/>
  <c r="AX629" i="13" s="1"/>
  <c r="AV627" i="13"/>
  <c r="AX627" i="13" s="1"/>
  <c r="AN628" i="13"/>
  <c r="R634" i="13"/>
  <c r="AN634" i="13"/>
  <c r="AC629" i="13"/>
  <c r="AC634" i="13"/>
  <c r="AC633" i="13"/>
  <c r="AD629" i="13"/>
  <c r="BA629" i="13" s="1"/>
  <c r="AN629" i="13"/>
  <c r="AC628" i="13"/>
  <c r="R629" i="13"/>
  <c r="AN626" i="13"/>
  <c r="AN632" i="13"/>
  <c r="R632" i="13"/>
  <c r="R631" i="13"/>
  <c r="AN630" i="13"/>
  <c r="AC627" i="13"/>
  <c r="AC626" i="13"/>
  <c r="AC631" i="13"/>
  <c r="AE631" i="13" s="1"/>
  <c r="AL631" i="13" s="1"/>
  <c r="AN627" i="13"/>
  <c r="AD627" i="13"/>
  <c r="BA627" i="13" s="1"/>
  <c r="R626" i="13"/>
  <c r="AD633" i="13"/>
  <c r="BA633" i="13" s="1"/>
  <c r="AN633" i="13"/>
  <c r="AC632" i="13"/>
  <c r="R627" i="13"/>
  <c r="R633" i="13"/>
  <c r="AN631" i="13"/>
  <c r="AC630" i="13"/>
  <c r="W627" i="13"/>
  <c r="W633" i="13"/>
  <c r="W631" i="13"/>
  <c r="W629" i="13"/>
  <c r="AD634" i="13"/>
  <c r="BA634" i="13" s="1"/>
  <c r="AD632" i="13"/>
  <c r="BA632" i="13" s="1"/>
  <c r="AD630" i="13"/>
  <c r="BA630" i="13" s="1"/>
  <c r="AD628" i="13"/>
  <c r="BA628" i="13" s="1"/>
  <c r="AD626" i="13"/>
  <c r="BA626" i="13" s="1"/>
  <c r="Q627" i="13" l="1"/>
  <c r="N627" i="13"/>
  <c r="Q626" i="13"/>
  <c r="N626" i="13"/>
  <c r="Q634" i="13"/>
  <c r="N634" i="13"/>
  <c r="Q629" i="13"/>
  <c r="N629" i="13"/>
  <c r="Q628" i="13"/>
  <c r="N628" i="13"/>
  <c r="Q631" i="13"/>
  <c r="N631" i="13"/>
  <c r="Q630" i="13"/>
  <c r="N630" i="13"/>
  <c r="Q633" i="13"/>
  <c r="N633" i="13"/>
  <c r="Q632" i="13"/>
  <c r="N632" i="13"/>
  <c r="AY626" i="13"/>
  <c r="AY633" i="13"/>
  <c r="AY631" i="13"/>
  <c r="AY628" i="13"/>
  <c r="AY627" i="13"/>
  <c r="AY630" i="13"/>
  <c r="AY629" i="13"/>
  <c r="AY634" i="13"/>
  <c r="AY632" i="13"/>
  <c r="AE633" i="13"/>
  <c r="AL633" i="13" s="1"/>
  <c r="AK631" i="13"/>
  <c r="AM631" i="13" s="1"/>
  <c r="AO631" i="13"/>
  <c r="AE628" i="13"/>
  <c r="AK628" i="13" s="1"/>
  <c r="AM628" i="13" s="1"/>
  <c r="AE629" i="13"/>
  <c r="AL629" i="13" s="1"/>
  <c r="AE632" i="13"/>
  <c r="AO632" i="13" s="1"/>
  <c r="AE627" i="13"/>
  <c r="AL627" i="13" s="1"/>
  <c r="AE626" i="13"/>
  <c r="AK626" i="13" s="1"/>
  <c r="AM626" i="13" s="1"/>
  <c r="AE634" i="13"/>
  <c r="AO634" i="13" s="1"/>
  <c r="AE630" i="13"/>
  <c r="AK630" i="13" s="1"/>
  <c r="AM630" i="13" s="1"/>
  <c r="AT631" i="13" l="1"/>
  <c r="AT633" i="13"/>
  <c r="AT628" i="13"/>
  <c r="AT634" i="13"/>
  <c r="AT627" i="13"/>
  <c r="AT626" i="13"/>
  <c r="AT629" i="13"/>
  <c r="AT630" i="13"/>
  <c r="AT632" i="13"/>
  <c r="AK633" i="13"/>
  <c r="AM633" i="13" s="1"/>
  <c r="AO633" i="13"/>
  <c r="AK629" i="13"/>
  <c r="AM629" i="13" s="1"/>
  <c r="AO629" i="13"/>
  <c r="AK632" i="13"/>
  <c r="AM632" i="13" s="1"/>
  <c r="AL634" i="13"/>
  <c r="AL632" i="13"/>
  <c r="AO628" i="13"/>
  <c r="AK634" i="13"/>
  <c r="AM634" i="13" s="1"/>
  <c r="AL628" i="13"/>
  <c r="AL626" i="13"/>
  <c r="AO626" i="13"/>
  <c r="AO627" i="13"/>
  <c r="AK627" i="13"/>
  <c r="AM627" i="13" s="1"/>
  <c r="AL630" i="13"/>
  <c r="AO630" i="13"/>
  <c r="AJ625" i="13"/>
  <c r="AJ624" i="13"/>
  <c r="AJ623" i="13"/>
  <c r="AJ622" i="13"/>
  <c r="AJ621" i="13"/>
  <c r="AJ620" i="13"/>
  <c r="AJ619" i="13"/>
  <c r="AJ618" i="13"/>
  <c r="AJ617" i="13"/>
  <c r="AJ616" i="13"/>
  <c r="AJ615" i="13"/>
  <c r="AJ614" i="13"/>
  <c r="AA625" i="13"/>
  <c r="AD625" i="13" s="1"/>
  <c r="BA625" i="13" s="1"/>
  <c r="Z625" i="13"/>
  <c r="AA624" i="13"/>
  <c r="AD624" i="13" s="1"/>
  <c r="BA624" i="13" s="1"/>
  <c r="Z624" i="13"/>
  <c r="S624" i="13"/>
  <c r="AA623" i="13"/>
  <c r="AD623" i="13" s="1"/>
  <c r="BA623" i="13" s="1"/>
  <c r="Z623" i="13"/>
  <c r="AA622" i="13"/>
  <c r="AD622" i="13" s="1"/>
  <c r="BA622" i="13" s="1"/>
  <c r="Z622" i="13"/>
  <c r="S622" i="13"/>
  <c r="AA621" i="13"/>
  <c r="AD621" i="13" s="1"/>
  <c r="BA621" i="13" s="1"/>
  <c r="Z621" i="13"/>
  <c r="S621" i="13"/>
  <c r="S623" i="13" l="1"/>
  <c r="W623" i="13" s="1"/>
  <c r="S625" i="13"/>
  <c r="W625" i="13" s="1"/>
  <c r="AV622" i="13"/>
  <c r="AX622" i="13" s="1"/>
  <c r="AV623" i="13"/>
  <c r="AX623" i="13" s="1"/>
  <c r="AV624" i="13"/>
  <c r="AX624" i="13" s="1"/>
  <c r="AV621" i="13"/>
  <c r="AX621" i="13" s="1"/>
  <c r="AV625" i="13"/>
  <c r="AX625" i="13" s="1"/>
  <c r="AN625" i="13"/>
  <c r="AC624" i="13"/>
  <c r="AE624" i="13" s="1"/>
  <c r="AL624" i="13" s="1"/>
  <c r="AN622" i="13"/>
  <c r="R621" i="13"/>
  <c r="AN621" i="13"/>
  <c r="AN624" i="13"/>
  <c r="R623" i="13"/>
  <c r="R625" i="13"/>
  <c r="AN623" i="13"/>
  <c r="AC622" i="13"/>
  <c r="AE622" i="13" s="1"/>
  <c r="AL622" i="13" s="1"/>
  <c r="W624" i="13"/>
  <c r="W622" i="13"/>
  <c r="R622" i="13"/>
  <c r="R624" i="13"/>
  <c r="W621" i="13"/>
  <c r="AC621" i="13"/>
  <c r="AE621" i="13" s="1"/>
  <c r="AL621" i="13" s="1"/>
  <c r="AC623" i="13"/>
  <c r="AE623" i="13" s="1"/>
  <c r="AL623" i="13" s="1"/>
  <c r="AC625" i="13"/>
  <c r="AE625" i="13" s="1"/>
  <c r="AL625" i="13" s="1"/>
  <c r="Q625" i="13" l="1"/>
  <c r="N625" i="13"/>
  <c r="Q623" i="13"/>
  <c r="N623" i="13"/>
  <c r="Q624" i="13"/>
  <c r="N624" i="13"/>
  <c r="Q622" i="13"/>
  <c r="N622" i="13"/>
  <c r="Q621" i="13"/>
  <c r="N621" i="13"/>
  <c r="AY622" i="13"/>
  <c r="AY621" i="13"/>
  <c r="AY623" i="13"/>
  <c r="AY625" i="13"/>
  <c r="AY624" i="13"/>
  <c r="AK624" i="13"/>
  <c r="AM624" i="13" s="1"/>
  <c r="AO624" i="13"/>
  <c r="AK622" i="13"/>
  <c r="AM622" i="13" s="1"/>
  <c r="AO622" i="13"/>
  <c r="AO623" i="13"/>
  <c r="AK623" i="13"/>
  <c r="AM623" i="13" s="1"/>
  <c r="AO621" i="13"/>
  <c r="AK621" i="13"/>
  <c r="AM621" i="13" s="1"/>
  <c r="AO625" i="13"/>
  <c r="AK625" i="13"/>
  <c r="AM625" i="13" s="1"/>
  <c r="AT621" i="13" l="1"/>
  <c r="AT624" i="13"/>
  <c r="AT625" i="13"/>
  <c r="AT622" i="13"/>
  <c r="AT623" i="13"/>
  <c r="Q616" i="11"/>
  <c r="Q615" i="11"/>
  <c r="Q614" i="11"/>
  <c r="Q613" i="11"/>
  <c r="Q612" i="11"/>
  <c r="Q611" i="11"/>
  <c r="Q610" i="11"/>
  <c r="Q609" i="11"/>
  <c r="Q608" i="11"/>
  <c r="Q607" i="11"/>
  <c r="Q606" i="11"/>
  <c r="Q605" i="11"/>
  <c r="Q604" i="11"/>
  <c r="Q603" i="11"/>
  <c r="Q602" i="11"/>
  <c r="Q601" i="11"/>
  <c r="Q600" i="11"/>
  <c r="Q599" i="11"/>
  <c r="Q598" i="11"/>
  <c r="Q597" i="11"/>
  <c r="Q596" i="11"/>
  <c r="Q595" i="11"/>
  <c r="Q594" i="11"/>
  <c r="Q593" i="11"/>
  <c r="Z612" i="13"/>
  <c r="AA612" i="13"/>
  <c r="Z613" i="13"/>
  <c r="AA613" i="13"/>
  <c r="S614" i="13"/>
  <c r="Z614" i="13"/>
  <c r="AA614" i="13"/>
  <c r="AD614" i="13" s="1"/>
  <c r="BA614" i="13" s="1"/>
  <c r="S615" i="13"/>
  <c r="Z615" i="13"/>
  <c r="AA615" i="13"/>
  <c r="Z616" i="13"/>
  <c r="AA616" i="13"/>
  <c r="Z617" i="13"/>
  <c r="AA617" i="13"/>
  <c r="S618" i="13"/>
  <c r="Z618" i="13"/>
  <c r="AA618" i="13"/>
  <c r="AD618" i="13" s="1"/>
  <c r="BA618" i="13" s="1"/>
  <c r="S619" i="13"/>
  <c r="Z619" i="13"/>
  <c r="AA619" i="13"/>
  <c r="AD619" i="13" s="1"/>
  <c r="BA619" i="13" s="1"/>
  <c r="Z620" i="13"/>
  <c r="AA620" i="13"/>
  <c r="Q612" i="13" l="1"/>
  <c r="N612" i="13"/>
  <c r="AD612" i="13"/>
  <c r="BA612" i="13" s="1"/>
  <c r="R617" i="13"/>
  <c r="S617" i="13"/>
  <c r="W617" i="13" s="1"/>
  <c r="R613" i="13"/>
  <c r="S613" i="13"/>
  <c r="W613" i="13" s="1"/>
  <c r="R620" i="13"/>
  <c r="S620" i="13"/>
  <c r="W620" i="13" s="1"/>
  <c r="R616" i="13"/>
  <c r="S616" i="13"/>
  <c r="W616" i="13" s="1"/>
  <c r="S612" i="13"/>
  <c r="W612" i="13" s="1"/>
  <c r="AV618" i="13"/>
  <c r="AX618" i="13" s="1"/>
  <c r="AV614" i="13"/>
  <c r="AX614" i="13" s="1"/>
  <c r="AV617" i="13"/>
  <c r="AX617" i="13" s="1"/>
  <c r="AV613" i="13"/>
  <c r="AX613" i="13" s="1"/>
  <c r="AV620" i="13"/>
  <c r="AX620" i="13" s="1"/>
  <c r="AV616" i="13"/>
  <c r="AX616" i="13" s="1"/>
  <c r="AV612" i="13"/>
  <c r="AX612" i="13" s="1"/>
  <c r="AV619" i="13"/>
  <c r="AX619" i="13" s="1"/>
  <c r="AV615" i="13"/>
  <c r="AX615" i="13" s="1"/>
  <c r="R612" i="13"/>
  <c r="R619" i="13"/>
  <c r="R618" i="13"/>
  <c r="AC618" i="13"/>
  <c r="AE618" i="13" s="1"/>
  <c r="AC616" i="13"/>
  <c r="AN615" i="13"/>
  <c r="AC619" i="13"/>
  <c r="AE619" i="13" s="1"/>
  <c r="AL619" i="13" s="1"/>
  <c r="AC615" i="13"/>
  <c r="AC613" i="13"/>
  <c r="AC614" i="13"/>
  <c r="AE614" i="13" s="1"/>
  <c r="AL614" i="13" s="1"/>
  <c r="AN620" i="13"/>
  <c r="AN619" i="13"/>
  <c r="AD615" i="13"/>
  <c r="BA615" i="13" s="1"/>
  <c r="R615" i="13"/>
  <c r="AN614" i="13"/>
  <c r="AN616" i="13"/>
  <c r="AC620" i="13"/>
  <c r="AN618" i="13"/>
  <c r="AC617" i="13"/>
  <c r="AN617" i="13"/>
  <c r="W619" i="13"/>
  <c r="W618" i="13"/>
  <c r="W614" i="13"/>
  <c r="W615" i="13"/>
  <c r="R614" i="13"/>
  <c r="AD617" i="13"/>
  <c r="BA617" i="13" s="1"/>
  <c r="AD613" i="13"/>
  <c r="BA613" i="13" s="1"/>
  <c r="AD620" i="13"/>
  <c r="BA620" i="13" s="1"/>
  <c r="AD616" i="13"/>
  <c r="BA616" i="13" s="1"/>
  <c r="Q619" i="13" l="1"/>
  <c r="N619" i="13"/>
  <c r="Q617" i="13"/>
  <c r="N617" i="13"/>
  <c r="Q616" i="13"/>
  <c r="N616" i="13"/>
  <c r="Q614" i="13"/>
  <c r="N614" i="13"/>
  <c r="Q620" i="13"/>
  <c r="N620" i="13"/>
  <c r="Q618" i="13"/>
  <c r="N618" i="13"/>
  <c r="Q615" i="13"/>
  <c r="N615" i="13"/>
  <c r="Q613" i="13"/>
  <c r="N613" i="13"/>
  <c r="AC612" i="13"/>
  <c r="AE612" i="13" s="1"/>
  <c r="AO612" i="13" s="1"/>
  <c r="AY613" i="13"/>
  <c r="AY612" i="13"/>
  <c r="AY617" i="13"/>
  <c r="AY619" i="13"/>
  <c r="AY616" i="13"/>
  <c r="AY614" i="13"/>
  <c r="AY615" i="13"/>
  <c r="AY620" i="13"/>
  <c r="AY618" i="13"/>
  <c r="AK618" i="13"/>
  <c r="AM618" i="13" s="1"/>
  <c r="AL618" i="13"/>
  <c r="AE616" i="13"/>
  <c r="AL616" i="13" s="1"/>
  <c r="AK619" i="13"/>
  <c r="AM619" i="13" s="1"/>
  <c r="AK614" i="13"/>
  <c r="AM614" i="13" s="1"/>
  <c r="AE620" i="13"/>
  <c r="AL620" i="13" s="1"/>
  <c r="AO618" i="13"/>
  <c r="AO619" i="13"/>
  <c r="AE613" i="13"/>
  <c r="AO614" i="13"/>
  <c r="AE615" i="13"/>
  <c r="AL615" i="13" s="1"/>
  <c r="AE617" i="13"/>
  <c r="AL617" i="13" s="1"/>
  <c r="AO616" i="13" l="1"/>
  <c r="AO613" i="13"/>
  <c r="AK616" i="13"/>
  <c r="AM616" i="13" s="1"/>
  <c r="AO620" i="13"/>
  <c r="AK620" i="13"/>
  <c r="AM620" i="13" s="1"/>
  <c r="AO617" i="13"/>
  <c r="AO615" i="13"/>
  <c r="AK615" i="13"/>
  <c r="AM615" i="13" s="1"/>
  <c r="AK617" i="13"/>
  <c r="AM617" i="13" s="1"/>
  <c r="S606" i="13"/>
  <c r="Z606" i="13"/>
  <c r="AA606" i="13"/>
  <c r="AD606" i="13" s="1"/>
  <c r="BA606" i="13" s="1"/>
  <c r="AJ606" i="13"/>
  <c r="Z607" i="13"/>
  <c r="AA607" i="13"/>
  <c r="Z608" i="13"/>
  <c r="AA608" i="13"/>
  <c r="AJ608" i="13"/>
  <c r="S609" i="13"/>
  <c r="Z609" i="13"/>
  <c r="AA609" i="13"/>
  <c r="AD609" i="13" s="1"/>
  <c r="BA609" i="13" s="1"/>
  <c r="AJ609" i="13"/>
  <c r="S610" i="13"/>
  <c r="Z610" i="13"/>
  <c r="AA610" i="13"/>
  <c r="AD610" i="13" s="1"/>
  <c r="BA610" i="13" s="1"/>
  <c r="AJ610" i="13"/>
  <c r="Z611" i="13"/>
  <c r="AA611" i="13"/>
  <c r="AJ611" i="13"/>
  <c r="R608" i="13" l="1"/>
  <c r="S608" i="13"/>
  <c r="W608" i="13" s="1"/>
  <c r="R611" i="13"/>
  <c r="S611" i="13"/>
  <c r="W611" i="13" s="1"/>
  <c r="R607" i="13"/>
  <c r="S607" i="13"/>
  <c r="W607" i="13" s="1"/>
  <c r="N611" i="13"/>
  <c r="AV608" i="13"/>
  <c r="AX608" i="13" s="1"/>
  <c r="AV607" i="13"/>
  <c r="AX607" i="13" s="1"/>
  <c r="AV611" i="13"/>
  <c r="AX611" i="13" s="1"/>
  <c r="AV609" i="13"/>
  <c r="AX609" i="13" s="1"/>
  <c r="AV610" i="13"/>
  <c r="AX610" i="13" s="1"/>
  <c r="AV606" i="13"/>
  <c r="AX606" i="13" s="1"/>
  <c r="AN610" i="13"/>
  <c r="AC610" i="13"/>
  <c r="AE610" i="13" s="1"/>
  <c r="AK610" i="13" s="1"/>
  <c r="AM610" i="13" s="1"/>
  <c r="AC609" i="13"/>
  <c r="AE609" i="13" s="1"/>
  <c r="AK609" i="13" s="1"/>
  <c r="AM609" i="13" s="1"/>
  <c r="AC607" i="13"/>
  <c r="R610" i="13"/>
  <c r="AN608" i="13"/>
  <c r="AC611" i="13"/>
  <c r="R609" i="13"/>
  <c r="AN606" i="13"/>
  <c r="R606" i="13"/>
  <c r="AN611" i="13"/>
  <c r="AC606" i="13"/>
  <c r="AE606" i="13" s="1"/>
  <c r="AN609" i="13"/>
  <c r="AC608" i="13"/>
  <c r="W610" i="13"/>
  <c r="W609" i="13"/>
  <c r="W606" i="13"/>
  <c r="AD608" i="13"/>
  <c r="BA608" i="13" s="1"/>
  <c r="AD611" i="13"/>
  <c r="BA611" i="13" s="1"/>
  <c r="AD607" i="13"/>
  <c r="BA607" i="13" s="1"/>
  <c r="Q606" i="13" l="1"/>
  <c r="N606" i="13"/>
  <c r="Q610" i="13"/>
  <c r="N610" i="13"/>
  <c r="Q608" i="13"/>
  <c r="N608" i="13"/>
  <c r="Q607" i="13"/>
  <c r="N607" i="13"/>
  <c r="Q609" i="13"/>
  <c r="N609" i="13"/>
  <c r="Q611" i="13"/>
  <c r="AY609" i="13"/>
  <c r="AY611" i="13"/>
  <c r="AY606" i="13"/>
  <c r="AY607" i="13"/>
  <c r="AY610" i="13"/>
  <c r="AY608" i="13"/>
  <c r="AE607" i="13"/>
  <c r="AL610" i="13"/>
  <c r="AE611" i="13"/>
  <c r="AL611" i="13" s="1"/>
  <c r="AE608" i="13"/>
  <c r="AO608" i="13" s="1"/>
  <c r="AL609" i="13"/>
  <c r="AO609" i="13"/>
  <c r="AO610" i="13"/>
  <c r="AL606" i="13"/>
  <c r="AK606" i="13"/>
  <c r="AM606" i="13" s="1"/>
  <c r="AO606" i="13"/>
  <c r="AO607" i="13" l="1"/>
  <c r="AO611" i="13"/>
  <c r="AK611" i="13"/>
  <c r="AM611" i="13" s="1"/>
  <c r="AK608" i="13"/>
  <c r="AM608" i="13" s="1"/>
  <c r="AL608" i="13"/>
  <c r="Z605" i="13" l="1"/>
  <c r="AA605" i="13"/>
  <c r="AC605" i="13" s="1"/>
  <c r="AJ605" i="13"/>
  <c r="S605" i="13" l="1"/>
  <c r="W605" i="13" s="1"/>
  <c r="AV605" i="13"/>
  <c r="AX605" i="13" s="1"/>
  <c r="AN605" i="13"/>
  <c r="R605" i="13"/>
  <c r="AD605" i="13"/>
  <c r="BA605" i="13" s="1"/>
  <c r="Q605" i="13" l="1"/>
  <c r="N605" i="13"/>
  <c r="AE605" i="13"/>
  <c r="AL605" i="13" s="1"/>
  <c r="AY605" i="13"/>
  <c r="AO605" i="13" l="1"/>
  <c r="AK605" i="13"/>
  <c r="AM605" i="13" s="1"/>
  <c r="AJ595" i="13"/>
  <c r="AA595" i="13"/>
  <c r="Z595" i="13"/>
  <c r="Q591" i="11"/>
  <c r="Q590" i="11"/>
  <c r="Q589" i="11"/>
  <c r="Q588" i="11"/>
  <c r="Q587" i="11"/>
  <c r="Q586" i="11"/>
  <c r="Q585" i="11"/>
  <c r="Q584" i="11"/>
  <c r="Q583" i="11"/>
  <c r="Q582" i="11"/>
  <c r="Q581" i="11"/>
  <c r="Q580" i="11"/>
  <c r="Q579" i="11"/>
  <c r="Q578" i="11"/>
  <c r="Q577" i="11"/>
  <c r="Q576" i="11"/>
  <c r="Q575" i="11"/>
  <c r="Q574" i="11"/>
  <c r="Q573" i="11"/>
  <c r="Q572" i="11"/>
  <c r="Q571" i="11"/>
  <c r="Q570" i="11"/>
  <c r="Q569" i="11"/>
  <c r="Q568" i="11"/>
  <c r="Q567" i="11"/>
  <c r="Q566" i="11"/>
  <c r="Q565" i="11"/>
  <c r="Q564" i="11"/>
  <c r="Q563" i="11"/>
  <c r="Q562" i="11"/>
  <c r="Q561" i="11"/>
  <c r="Q560" i="11"/>
  <c r="Q559" i="11"/>
  <c r="Q558" i="11"/>
  <c r="Q557" i="11"/>
  <c r="Q556" i="11"/>
  <c r="Q555" i="11"/>
  <c r="Q554" i="11"/>
  <c r="Q553" i="11"/>
  <c r="Q552" i="11"/>
  <c r="Q551" i="11"/>
  <c r="Q550" i="11"/>
  <c r="Q549" i="11"/>
  <c r="Q548" i="11"/>
  <c r="Q547" i="11"/>
  <c r="Q546" i="11"/>
  <c r="Q545" i="11"/>
  <c r="Q544" i="11"/>
  <c r="Q543" i="11"/>
  <c r="AJ540" i="13"/>
  <c r="AA540" i="13"/>
  <c r="Z540" i="13"/>
  <c r="Z541" i="13"/>
  <c r="S595" i="13" l="1"/>
  <c r="W595" i="13" s="1"/>
  <c r="R540" i="13"/>
  <c r="S540" i="13"/>
  <c r="W540" i="13" s="1"/>
  <c r="AV540" i="13"/>
  <c r="AX540" i="13" s="1"/>
  <c r="AV595" i="13"/>
  <c r="AX595" i="13" s="1"/>
  <c r="AC595" i="13"/>
  <c r="AN595" i="13"/>
  <c r="R595" i="13"/>
  <c r="AD595" i="13"/>
  <c r="BA595" i="13" s="1"/>
  <c r="AC540" i="13"/>
  <c r="AD540" i="13"/>
  <c r="BA540" i="13" s="1"/>
  <c r="AN540" i="13"/>
  <c r="Q540" i="13" l="1"/>
  <c r="N540" i="13"/>
  <c r="Q595" i="13"/>
  <c r="N595" i="13"/>
  <c r="AY595" i="13"/>
  <c r="AY540" i="13"/>
  <c r="AE595" i="13"/>
  <c r="AK595" i="13" s="1"/>
  <c r="AM595" i="13" s="1"/>
  <c r="AE540" i="13"/>
  <c r="AL540" i="13" s="1"/>
  <c r="AL595" i="13" l="1"/>
  <c r="AO595" i="13"/>
  <c r="AO540" i="13"/>
  <c r="AK540" i="13"/>
  <c r="AM540" i="13" s="1"/>
  <c r="S599" i="13" l="1"/>
  <c r="S592" i="13"/>
  <c r="S591" i="13"/>
  <c r="S590" i="13"/>
  <c r="S589" i="13"/>
  <c r="S588" i="13"/>
  <c r="S587" i="13"/>
  <c r="S586" i="13"/>
  <c r="S585" i="13"/>
  <c r="S584" i="13"/>
  <c r="S583" i="13"/>
  <c r="S582" i="13"/>
  <c r="S581" i="13"/>
  <c r="S580" i="13"/>
  <c r="S579" i="13"/>
  <c r="S578" i="13"/>
  <c r="S577" i="13"/>
  <c r="S576" i="13"/>
  <c r="S575" i="13"/>
  <c r="S574" i="13"/>
  <c r="S573" i="13"/>
  <c r="S572" i="13"/>
  <c r="S571" i="13"/>
  <c r="S570" i="13"/>
  <c r="S569" i="13"/>
  <c r="S568" i="13"/>
  <c r="S567" i="13"/>
  <c r="S566" i="13"/>
  <c r="S565" i="13"/>
  <c r="S557" i="13"/>
  <c r="S559" i="13"/>
  <c r="S561" i="13"/>
  <c r="S563" i="13"/>
  <c r="AJ564" i="13"/>
  <c r="Z564" i="13"/>
  <c r="Z563" i="13"/>
  <c r="AJ563" i="13"/>
  <c r="AJ562" i="13"/>
  <c r="AJ561" i="13"/>
  <c r="Z561" i="13"/>
  <c r="AJ560" i="13"/>
  <c r="Z560" i="13"/>
  <c r="Z559" i="13"/>
  <c r="AJ559" i="13"/>
  <c r="Z558" i="13"/>
  <c r="AJ558" i="13"/>
  <c r="AA558" i="13"/>
  <c r="AA564" i="13" l="1"/>
  <c r="AD564" i="13" s="1"/>
  <c r="BA564" i="13" s="1"/>
  <c r="AD558" i="13"/>
  <c r="BA558" i="13" s="1"/>
  <c r="S560" i="13"/>
  <c r="W560" i="13" s="1"/>
  <c r="R564" i="13"/>
  <c r="S564" i="13"/>
  <c r="S562" i="13"/>
  <c r="W562" i="13" s="1"/>
  <c r="S558" i="13"/>
  <c r="W558" i="13" s="1"/>
  <c r="AA561" i="13"/>
  <c r="AD561" i="13" s="1"/>
  <c r="BA561" i="13" s="1"/>
  <c r="AA562" i="13"/>
  <c r="AC562" i="13" s="1"/>
  <c r="AA563" i="13"/>
  <c r="AD563" i="13" s="1"/>
  <c r="BA563" i="13" s="1"/>
  <c r="AA560" i="13"/>
  <c r="AD560" i="13" s="1"/>
  <c r="BA560" i="13" s="1"/>
  <c r="Z562" i="13"/>
  <c r="AN562" i="13" s="1"/>
  <c r="R559" i="13"/>
  <c r="R563" i="13"/>
  <c r="R562" i="13"/>
  <c r="R558" i="13"/>
  <c r="R560" i="13"/>
  <c r="R561" i="13"/>
  <c r="AN560" i="13"/>
  <c r="AN564" i="13"/>
  <c r="AN563" i="13"/>
  <c r="W563" i="13"/>
  <c r="AN561" i="13"/>
  <c r="W561" i="13"/>
  <c r="AA559" i="13"/>
  <c r="AD559" i="13" s="1"/>
  <c r="BA559" i="13" s="1"/>
  <c r="AN559" i="13"/>
  <c r="W559" i="13"/>
  <c r="AN558" i="13"/>
  <c r="Q558" i="13" l="1"/>
  <c r="N558" i="13"/>
  <c r="AC564" i="13"/>
  <c r="AE564" i="13" s="1"/>
  <c r="AO564" i="13" s="1"/>
  <c r="AC558" i="13"/>
  <c r="AE558" i="13" s="1"/>
  <c r="AO558" i="13" s="1"/>
  <c r="AV563" i="13"/>
  <c r="AX563" i="13" s="1"/>
  <c r="AV564" i="13"/>
  <c r="AX564" i="13" s="1"/>
  <c r="AV562" i="13"/>
  <c r="AX562" i="13" s="1"/>
  <c r="AV559" i="13"/>
  <c r="AX559" i="13" s="1"/>
  <c r="AV561" i="13"/>
  <c r="AX561" i="13" s="1"/>
  <c r="AV560" i="13"/>
  <c r="AX560" i="13" s="1"/>
  <c r="AV558" i="13"/>
  <c r="AX558" i="13" s="1"/>
  <c r="AC561" i="13"/>
  <c r="AE561" i="13" s="1"/>
  <c r="AL561" i="13" s="1"/>
  <c r="AC563" i="13"/>
  <c r="AE563" i="13" s="1"/>
  <c r="AK563" i="13" s="1"/>
  <c r="AM563" i="13" s="1"/>
  <c r="AD562" i="13"/>
  <c r="BA562" i="13" s="1"/>
  <c r="AC560" i="13"/>
  <c r="AE560" i="13" s="1"/>
  <c r="AL560" i="13" s="1"/>
  <c r="W564" i="13"/>
  <c r="AC559" i="13"/>
  <c r="AE559" i="13" s="1"/>
  <c r="AO559" i="13" s="1"/>
  <c r="Q559" i="13" l="1"/>
  <c r="N559" i="13"/>
  <c r="Q564" i="13"/>
  <c r="N564" i="13"/>
  <c r="Q560" i="13"/>
  <c r="N560" i="13"/>
  <c r="Q563" i="13"/>
  <c r="N563" i="13"/>
  <c r="Q561" i="13"/>
  <c r="N561" i="13"/>
  <c r="Q562" i="13"/>
  <c r="N562" i="13"/>
  <c r="AL558" i="13"/>
  <c r="AL564" i="13"/>
  <c r="AK564" i="13"/>
  <c r="AM564" i="13" s="1"/>
  <c r="AK558" i="13"/>
  <c r="AM558" i="13" s="1"/>
  <c r="AE562" i="13"/>
  <c r="AL562" i="13" s="1"/>
  <c r="AY561" i="13"/>
  <c r="AY563" i="13"/>
  <c r="AY559" i="13"/>
  <c r="AY558" i="13"/>
  <c r="AY562" i="13"/>
  <c r="AY560" i="13"/>
  <c r="AY564" i="13"/>
  <c r="AK561" i="13"/>
  <c r="AM561" i="13" s="1"/>
  <c r="AO561" i="13"/>
  <c r="AO563" i="13"/>
  <c r="AL563" i="13"/>
  <c r="AO560" i="13"/>
  <c r="AK560" i="13"/>
  <c r="AM560" i="13" s="1"/>
  <c r="AL559" i="13"/>
  <c r="AK559" i="13"/>
  <c r="AM559" i="13" s="1"/>
  <c r="AO562" i="13" l="1"/>
  <c r="AK562" i="13"/>
  <c r="AM562" i="13" s="1"/>
  <c r="AJ592" i="13"/>
  <c r="AA592" i="13"/>
  <c r="Z592" i="13"/>
  <c r="R592" i="13"/>
  <c r="AJ591" i="13"/>
  <c r="AA591" i="13"/>
  <c r="Z591" i="13"/>
  <c r="R591" i="13"/>
  <c r="AJ590" i="13"/>
  <c r="AA590" i="13"/>
  <c r="Z590" i="13"/>
  <c r="R590" i="13"/>
  <c r="AJ589" i="13"/>
  <c r="AA589" i="13"/>
  <c r="Z589" i="13"/>
  <c r="R589" i="13"/>
  <c r="AJ588" i="13"/>
  <c r="AA588" i="13"/>
  <c r="Z588" i="13"/>
  <c r="W588" i="13"/>
  <c r="R588" i="13"/>
  <c r="AJ587" i="13"/>
  <c r="AA587" i="13"/>
  <c r="Z587" i="13"/>
  <c r="W587" i="13"/>
  <c r="R587" i="13"/>
  <c r="AJ586" i="13"/>
  <c r="AA586" i="13"/>
  <c r="Z586" i="13"/>
  <c r="R586" i="13"/>
  <c r="AJ585" i="13"/>
  <c r="AA585" i="13"/>
  <c r="Z585" i="13"/>
  <c r="R585" i="13"/>
  <c r="AJ584" i="13"/>
  <c r="AA584" i="13"/>
  <c r="Z584" i="13"/>
  <c r="R584" i="13"/>
  <c r="AJ583" i="13"/>
  <c r="AA583" i="13"/>
  <c r="AD583" i="13" s="1"/>
  <c r="BA583" i="13" s="1"/>
  <c r="Z583" i="13"/>
  <c r="R583" i="13"/>
  <c r="AJ582" i="13"/>
  <c r="AA582" i="13"/>
  <c r="Z582" i="13"/>
  <c r="W582" i="13"/>
  <c r="R582" i="13"/>
  <c r="AJ581" i="13"/>
  <c r="AA581" i="13"/>
  <c r="Z581" i="13"/>
  <c r="W581" i="13"/>
  <c r="R581" i="13"/>
  <c r="AJ580" i="13"/>
  <c r="AA580" i="13"/>
  <c r="Z580" i="13"/>
  <c r="W580" i="13"/>
  <c r="R580" i="13"/>
  <c r="AJ579" i="13"/>
  <c r="AA579" i="13"/>
  <c r="Z579" i="13"/>
  <c r="W579" i="13"/>
  <c r="R579" i="13"/>
  <c r="AJ578" i="13"/>
  <c r="AA578" i="13"/>
  <c r="Z578" i="13"/>
  <c r="W578" i="13"/>
  <c r="R578" i="13"/>
  <c r="AJ577" i="13"/>
  <c r="AA577" i="13"/>
  <c r="Z577" i="13"/>
  <c r="W577" i="13"/>
  <c r="R577" i="13"/>
  <c r="AJ576" i="13"/>
  <c r="AA576" i="13"/>
  <c r="Z576" i="13"/>
  <c r="W576" i="13"/>
  <c r="R576" i="13"/>
  <c r="AJ575" i="13"/>
  <c r="AA575" i="13"/>
  <c r="Z575" i="13"/>
  <c r="W575" i="13"/>
  <c r="R575" i="13"/>
  <c r="AJ574" i="13"/>
  <c r="AA574" i="13"/>
  <c r="Z574" i="13"/>
  <c r="W574" i="13"/>
  <c r="R574" i="13"/>
  <c r="AJ573" i="13"/>
  <c r="AA573" i="13"/>
  <c r="AD573" i="13" s="1"/>
  <c r="BA573" i="13" s="1"/>
  <c r="Z573" i="13"/>
  <c r="W573" i="13"/>
  <c r="R573" i="13"/>
  <c r="AJ572" i="13"/>
  <c r="AA572" i="13"/>
  <c r="Z572" i="13"/>
  <c r="W572" i="13"/>
  <c r="R572" i="13"/>
  <c r="AJ571" i="13"/>
  <c r="AA571" i="13"/>
  <c r="Z571" i="13"/>
  <c r="W571" i="13"/>
  <c r="R571" i="13"/>
  <c r="AJ570" i="13"/>
  <c r="AA570" i="13"/>
  <c r="Z570" i="13"/>
  <c r="W570" i="13"/>
  <c r="R570" i="13"/>
  <c r="AJ569" i="13"/>
  <c r="AA569" i="13"/>
  <c r="AD569" i="13" s="1"/>
  <c r="BA569" i="13" s="1"/>
  <c r="Z569" i="13"/>
  <c r="W569" i="13"/>
  <c r="R569" i="13"/>
  <c r="AJ568" i="13"/>
  <c r="AA568" i="13"/>
  <c r="Z568" i="13"/>
  <c r="W568" i="13"/>
  <c r="R568" i="13"/>
  <c r="AJ567" i="13"/>
  <c r="AA567" i="13"/>
  <c r="Z567" i="13"/>
  <c r="W567" i="13"/>
  <c r="R567" i="13"/>
  <c r="AJ566" i="13"/>
  <c r="AA566" i="13"/>
  <c r="Z566" i="13"/>
  <c r="W566" i="13"/>
  <c r="R566" i="13"/>
  <c r="AJ565" i="13"/>
  <c r="AA565" i="13"/>
  <c r="Z565" i="13"/>
  <c r="W565" i="13"/>
  <c r="R565" i="13"/>
  <c r="AJ557" i="13"/>
  <c r="AA557" i="13"/>
  <c r="R557" i="13"/>
  <c r="Z557" i="13"/>
  <c r="Q584" i="13" l="1"/>
  <c r="N584" i="13"/>
  <c r="Q585" i="13"/>
  <c r="N585" i="13"/>
  <c r="Q557" i="13"/>
  <c r="N557" i="13"/>
  <c r="Q586" i="13"/>
  <c r="N586" i="13"/>
  <c r="Q587" i="13"/>
  <c r="N587" i="13"/>
  <c r="AC584" i="13"/>
  <c r="AC587" i="13"/>
  <c r="AC585" i="13"/>
  <c r="AD557" i="13"/>
  <c r="BA557" i="13" s="1"/>
  <c r="AC586" i="13"/>
  <c r="AV565" i="13"/>
  <c r="AX565" i="13" s="1"/>
  <c r="AV573" i="13"/>
  <c r="AX573" i="13" s="1"/>
  <c r="AV577" i="13"/>
  <c r="AX577" i="13" s="1"/>
  <c r="AV589" i="13"/>
  <c r="AX589" i="13" s="1"/>
  <c r="AV580" i="13"/>
  <c r="AX580" i="13" s="1"/>
  <c r="AV567" i="13"/>
  <c r="AX567" i="13" s="1"/>
  <c r="AV571" i="13"/>
  <c r="AX571" i="13" s="1"/>
  <c r="AV575" i="13"/>
  <c r="AX575" i="13" s="1"/>
  <c r="AV579" i="13"/>
  <c r="AX579" i="13" s="1"/>
  <c r="AV583" i="13"/>
  <c r="AX583" i="13" s="1"/>
  <c r="AV591" i="13"/>
  <c r="AX591" i="13" s="1"/>
  <c r="AV569" i="13"/>
  <c r="AX569" i="13" s="1"/>
  <c r="AV581" i="13"/>
  <c r="AX581" i="13" s="1"/>
  <c r="AV568" i="13"/>
  <c r="AX568" i="13" s="1"/>
  <c r="AV572" i="13"/>
  <c r="AX572" i="13" s="1"/>
  <c r="AV576" i="13"/>
  <c r="AX576" i="13" s="1"/>
  <c r="AV588" i="13"/>
  <c r="AX588" i="13" s="1"/>
  <c r="AV592" i="13"/>
  <c r="AX592" i="13" s="1"/>
  <c r="AV566" i="13"/>
  <c r="AX566" i="13" s="1"/>
  <c r="AV570" i="13"/>
  <c r="AX570" i="13" s="1"/>
  <c r="AV574" i="13"/>
  <c r="AX574" i="13" s="1"/>
  <c r="AV578" i="13"/>
  <c r="AX578" i="13" s="1"/>
  <c r="AV582" i="13"/>
  <c r="AX582" i="13" s="1"/>
  <c r="AV590" i="13"/>
  <c r="AX590" i="13" s="1"/>
  <c r="AV585" i="13"/>
  <c r="AX585" i="13" s="1"/>
  <c r="AV584" i="13"/>
  <c r="AX584" i="13" s="1"/>
  <c r="AV587" i="13"/>
  <c r="AX587" i="13" s="1"/>
  <c r="AV557" i="13"/>
  <c r="AX557" i="13" s="1"/>
  <c r="AV586" i="13"/>
  <c r="AX586" i="13" s="1"/>
  <c r="AC575" i="13"/>
  <c r="AC565" i="13"/>
  <c r="AN571" i="13"/>
  <c r="AN573" i="13"/>
  <c r="AN582" i="13"/>
  <c r="AN583" i="13"/>
  <c r="AN584" i="13"/>
  <c r="AN589" i="13"/>
  <c r="AN575" i="13"/>
  <c r="AN576" i="13"/>
  <c r="AN572" i="13"/>
  <c r="AC581" i="13"/>
  <c r="AD570" i="13"/>
  <c r="BA570" i="13" s="1"/>
  <c r="AC570" i="13"/>
  <c r="AD571" i="13"/>
  <c r="BA571" i="13" s="1"/>
  <c r="AC571" i="13"/>
  <c r="AD574" i="13"/>
  <c r="BA574" i="13" s="1"/>
  <c r="AC574" i="13"/>
  <c r="AD572" i="13"/>
  <c r="BA572" i="13" s="1"/>
  <c r="AC572" i="13"/>
  <c r="AD576" i="13"/>
  <c r="BA576" i="13" s="1"/>
  <c r="AC576" i="13"/>
  <c r="AN577" i="13"/>
  <c r="AD582" i="13"/>
  <c r="BA582" i="13" s="1"/>
  <c r="AC582" i="13"/>
  <c r="AC583" i="13"/>
  <c r="AD584" i="13"/>
  <c r="BA584" i="13" s="1"/>
  <c r="AD585" i="13"/>
  <c r="BA585" i="13" s="1"/>
  <c r="AD586" i="13"/>
  <c r="BA586" i="13" s="1"/>
  <c r="AD587" i="13"/>
  <c r="BA587" i="13" s="1"/>
  <c r="AD566" i="13"/>
  <c r="BA566" i="13" s="1"/>
  <c r="AC566" i="13"/>
  <c r="AD567" i="13"/>
  <c r="BA567" i="13" s="1"/>
  <c r="AC567" i="13"/>
  <c r="AC573" i="13"/>
  <c r="AE573" i="13" s="1"/>
  <c r="AD575" i="13"/>
  <c r="BA575" i="13" s="1"/>
  <c r="AD577" i="13"/>
  <c r="BA577" i="13" s="1"/>
  <c r="AC577" i="13"/>
  <c r="AN579" i="13"/>
  <c r="AN580" i="13"/>
  <c r="AD581" i="13"/>
  <c r="BA581" i="13" s="1"/>
  <c r="AD588" i="13"/>
  <c r="BA588" i="13" s="1"/>
  <c r="AC588" i="13"/>
  <c r="AD589" i="13"/>
  <c r="BA589" i="13" s="1"/>
  <c r="AC589" i="13"/>
  <c r="AD590" i="13"/>
  <c r="BA590" i="13" s="1"/>
  <c r="AC590" i="13"/>
  <c r="AD565" i="13"/>
  <c r="BA565" i="13" s="1"/>
  <c r="AD568" i="13"/>
  <c r="BA568" i="13" s="1"/>
  <c r="AC568" i="13"/>
  <c r="AC569" i="13"/>
  <c r="AE569" i="13" s="1"/>
  <c r="AD578" i="13"/>
  <c r="BA578" i="13" s="1"/>
  <c r="AC578" i="13"/>
  <c r="AD579" i="13"/>
  <c r="BA579" i="13" s="1"/>
  <c r="AC579" i="13"/>
  <c r="AD580" i="13"/>
  <c r="BA580" i="13" s="1"/>
  <c r="AC580" i="13"/>
  <c r="AD591" i="13"/>
  <c r="BA591" i="13" s="1"/>
  <c r="AC591" i="13"/>
  <c r="AD592" i="13"/>
  <c r="BA592" i="13" s="1"/>
  <c r="AC592" i="13"/>
  <c r="AN566" i="13"/>
  <c r="AN570" i="13"/>
  <c r="AN578" i="13"/>
  <c r="AN585" i="13"/>
  <c r="AN586" i="13"/>
  <c r="AN592" i="13"/>
  <c r="AN568" i="13"/>
  <c r="AN574" i="13"/>
  <c r="AN565" i="13"/>
  <c r="AN567" i="13"/>
  <c r="AN569" i="13"/>
  <c r="AN581" i="13"/>
  <c r="AN587" i="13"/>
  <c r="AN590" i="13"/>
  <c r="AN591" i="13"/>
  <c r="AN588" i="13"/>
  <c r="W583" i="13"/>
  <c r="W589" i="13"/>
  <c r="W585" i="13"/>
  <c r="W586" i="13"/>
  <c r="W584" i="13"/>
  <c r="W592" i="13"/>
  <c r="W591" i="13"/>
  <c r="W590" i="13"/>
  <c r="AN557" i="13"/>
  <c r="W557" i="13"/>
  <c r="Q570" i="13" l="1"/>
  <c r="N570" i="13"/>
  <c r="Q582" i="13"/>
  <c r="N582" i="13"/>
  <c r="Q566" i="13"/>
  <c r="N566" i="13"/>
  <c r="Q571" i="13"/>
  <c r="N571" i="13"/>
  <c r="Q572" i="13"/>
  <c r="N572" i="13"/>
  <c r="Q573" i="13"/>
  <c r="N573" i="13"/>
  <c r="Q591" i="13"/>
  <c r="N591" i="13"/>
  <c r="Q576" i="13"/>
  <c r="N576" i="13"/>
  <c r="Q589" i="13"/>
  <c r="N589" i="13"/>
  <c r="Q578" i="13"/>
  <c r="N578" i="13"/>
  <c r="Q583" i="13"/>
  <c r="N583" i="13"/>
  <c r="Q567" i="13"/>
  <c r="N567" i="13"/>
  <c r="Q568" i="13"/>
  <c r="N568" i="13"/>
  <c r="Q569" i="13"/>
  <c r="N569" i="13"/>
  <c r="Q592" i="13"/>
  <c r="N592" i="13"/>
  <c r="Q575" i="13"/>
  <c r="N575" i="13"/>
  <c r="Q577" i="13"/>
  <c r="N577" i="13"/>
  <c r="Q590" i="13"/>
  <c r="N590" i="13"/>
  <c r="Q574" i="13"/>
  <c r="N574" i="13"/>
  <c r="Q579" i="13"/>
  <c r="N579" i="13"/>
  <c r="Q580" i="13"/>
  <c r="N580" i="13"/>
  <c r="Q581" i="13"/>
  <c r="N581" i="13"/>
  <c r="Q565" i="13"/>
  <c r="N565" i="13"/>
  <c r="Q588" i="13"/>
  <c r="N588" i="13"/>
  <c r="AC557" i="13"/>
  <c r="AE557" i="13" s="1"/>
  <c r="AL557" i="13" s="1"/>
  <c r="AY557" i="13"/>
  <c r="AY570" i="13"/>
  <c r="AY576" i="13"/>
  <c r="AY575" i="13"/>
  <c r="AY589" i="13"/>
  <c r="AY578" i="13"/>
  <c r="AY568" i="13"/>
  <c r="AY583" i="13"/>
  <c r="AY567" i="13"/>
  <c r="AY573" i="13"/>
  <c r="AY590" i="13"/>
  <c r="AY569" i="13"/>
  <c r="AY587" i="13"/>
  <c r="AY582" i="13"/>
  <c r="AY566" i="13"/>
  <c r="AY572" i="13"/>
  <c r="AY591" i="13"/>
  <c r="AY571" i="13"/>
  <c r="AY577" i="13"/>
  <c r="AY584" i="13"/>
  <c r="AY592" i="13"/>
  <c r="AY586" i="13"/>
  <c r="AY585" i="13"/>
  <c r="AY574" i="13"/>
  <c r="AY588" i="13"/>
  <c r="AY581" i="13"/>
  <c r="AY579" i="13"/>
  <c r="AY580" i="13"/>
  <c r="AY565" i="13"/>
  <c r="AE565" i="13"/>
  <c r="AK565" i="13" s="1"/>
  <c r="AM565" i="13" s="1"/>
  <c r="AE575" i="13"/>
  <c r="AO575" i="13" s="1"/>
  <c r="AE571" i="13"/>
  <c r="AO571" i="13" s="1"/>
  <c r="AE581" i="13"/>
  <c r="AL581" i="13" s="1"/>
  <c r="AE591" i="13"/>
  <c r="AE579" i="13"/>
  <c r="AE588" i="13"/>
  <c r="AE566" i="13"/>
  <c r="AE586" i="13"/>
  <c r="AE584" i="13"/>
  <c r="AE582" i="13"/>
  <c r="AE592" i="13"/>
  <c r="AE580" i="13"/>
  <c r="AE578" i="13"/>
  <c r="AE568" i="13"/>
  <c r="AE589" i="13"/>
  <c r="AE567" i="13"/>
  <c r="AE587" i="13"/>
  <c r="AE585" i="13"/>
  <c r="AE583" i="13"/>
  <c r="AO573" i="13"/>
  <c r="AK573" i="13"/>
  <c r="AM573" i="13" s="1"/>
  <c r="AL573" i="13"/>
  <c r="AO569" i="13"/>
  <c r="AK569" i="13"/>
  <c r="AM569" i="13" s="1"/>
  <c r="AL569" i="13"/>
  <c r="AE577" i="13"/>
  <c r="AE572" i="13"/>
  <c r="AE574" i="13"/>
  <c r="AE590" i="13"/>
  <c r="AE576" i="13"/>
  <c r="AE570" i="13"/>
  <c r="AK557" i="13" l="1"/>
  <c r="AM557" i="13" s="1"/>
  <c r="AO557" i="13"/>
  <c r="AL565" i="13"/>
  <c r="AO565" i="13"/>
  <c r="AK575" i="13"/>
  <c r="AM575" i="13" s="1"/>
  <c r="AL575" i="13"/>
  <c r="AL571" i="13"/>
  <c r="AK571" i="13"/>
  <c r="AM571" i="13" s="1"/>
  <c r="AO581" i="13"/>
  <c r="AK581" i="13"/>
  <c r="AM581" i="13" s="1"/>
  <c r="AO585" i="13"/>
  <c r="AK585" i="13"/>
  <c r="AM585" i="13" s="1"/>
  <c r="AL585" i="13"/>
  <c r="AO568" i="13"/>
  <c r="AK568" i="13"/>
  <c r="AM568" i="13" s="1"/>
  <c r="AL568" i="13"/>
  <c r="AO582" i="13"/>
  <c r="AL582" i="13"/>
  <c r="AK582" i="13"/>
  <c r="AM582" i="13" s="1"/>
  <c r="AL588" i="13"/>
  <c r="AO588" i="13"/>
  <c r="AK588" i="13"/>
  <c r="AM588" i="13" s="1"/>
  <c r="AL587" i="13"/>
  <c r="AO587" i="13"/>
  <c r="AK587" i="13"/>
  <c r="AM587" i="13" s="1"/>
  <c r="AK578" i="13"/>
  <c r="AM578" i="13" s="1"/>
  <c r="AL578" i="13"/>
  <c r="AO578" i="13"/>
  <c r="AO584" i="13"/>
  <c r="AK584" i="13"/>
  <c r="AM584" i="13" s="1"/>
  <c r="AL584" i="13"/>
  <c r="AO579" i="13"/>
  <c r="AK579" i="13"/>
  <c r="AM579" i="13" s="1"/>
  <c r="AL579" i="13"/>
  <c r="AO567" i="13"/>
  <c r="AL567" i="13"/>
  <c r="AK567" i="13"/>
  <c r="AM567" i="13" s="1"/>
  <c r="AL580" i="13"/>
  <c r="AO580" i="13"/>
  <c r="AK580" i="13"/>
  <c r="AM580" i="13" s="1"/>
  <c r="AK586" i="13"/>
  <c r="AM586" i="13" s="1"/>
  <c r="AL586" i="13"/>
  <c r="AO586" i="13"/>
  <c r="AL591" i="13"/>
  <c r="AK591" i="13"/>
  <c r="AM591" i="13" s="1"/>
  <c r="AO591" i="13"/>
  <c r="AO583" i="13"/>
  <c r="AK583" i="13"/>
  <c r="AM583" i="13" s="1"/>
  <c r="AL583" i="13"/>
  <c r="AL589" i="13"/>
  <c r="AO589" i="13"/>
  <c r="AK589" i="13"/>
  <c r="AM589" i="13" s="1"/>
  <c r="AL592" i="13"/>
  <c r="AO592" i="13"/>
  <c r="AK592" i="13"/>
  <c r="AM592" i="13" s="1"/>
  <c r="AO566" i="13"/>
  <c r="AK566" i="13"/>
  <c r="AM566" i="13" s="1"/>
  <c r="AL566" i="13"/>
  <c r="AO590" i="13"/>
  <c r="AK590" i="13"/>
  <c r="AM590" i="13" s="1"/>
  <c r="AL590" i="13"/>
  <c r="AL576" i="13"/>
  <c r="AO576" i="13"/>
  <c r="AK576" i="13"/>
  <c r="AM576" i="13" s="1"/>
  <c r="AO572" i="13"/>
  <c r="AK572" i="13"/>
  <c r="AM572" i="13" s="1"/>
  <c r="AL572" i="13"/>
  <c r="AO570" i="13"/>
  <c r="AK570" i="13"/>
  <c r="AM570" i="13" s="1"/>
  <c r="AL570" i="13"/>
  <c r="AK574" i="13"/>
  <c r="AM574" i="13" s="1"/>
  <c r="AL574" i="13"/>
  <c r="AO574" i="13"/>
  <c r="AK577" i="13"/>
  <c r="AM577" i="13" s="1"/>
  <c r="AL577" i="13"/>
  <c r="AO577" i="13"/>
  <c r="Q530" i="11" l="1"/>
  <c r="Q523" i="11"/>
  <c r="Q522" i="11"/>
  <c r="Q541" i="11"/>
  <c r="Q540" i="11"/>
  <c r="Q539" i="11"/>
  <c r="Q538" i="11"/>
  <c r="Q537" i="11"/>
  <c r="Q536" i="11"/>
  <c r="Q535" i="11"/>
  <c r="Q534" i="11"/>
  <c r="Q533" i="11"/>
  <c r="Q532" i="11"/>
  <c r="Q531" i="11"/>
  <c r="Q529" i="11"/>
  <c r="Q528" i="11" l="1"/>
  <c r="Q527" i="11"/>
  <c r="Q526" i="11"/>
  <c r="Q525" i="11"/>
  <c r="Q524" i="11"/>
  <c r="AJ556" i="13" l="1"/>
  <c r="AA556" i="13"/>
  <c r="Z556" i="13"/>
  <c r="AJ555" i="13"/>
  <c r="AA555" i="13"/>
  <c r="Z555" i="13"/>
  <c r="AD555" i="13" l="1"/>
  <c r="BA555" i="13" s="1"/>
  <c r="AD556" i="13"/>
  <c r="BA556" i="13" s="1"/>
  <c r="R555" i="13"/>
  <c r="S555" i="13"/>
  <c r="W555" i="13" s="1"/>
  <c r="R556" i="13"/>
  <c r="S556" i="13"/>
  <c r="W556" i="13" s="1"/>
  <c r="AN556" i="13"/>
  <c r="AN555" i="13"/>
  <c r="Q556" i="13" l="1"/>
  <c r="N556" i="13"/>
  <c r="Q555" i="13"/>
  <c r="N555" i="13"/>
  <c r="AC556" i="13"/>
  <c r="AE556" i="13" s="1"/>
  <c r="AO556" i="13" s="1"/>
  <c r="AC555" i="13"/>
  <c r="AE555" i="13" s="1"/>
  <c r="AL555" i="13" s="1"/>
  <c r="AV555" i="13"/>
  <c r="AX555" i="13" s="1"/>
  <c r="AV556" i="13"/>
  <c r="AX556" i="13" s="1"/>
  <c r="AK556" i="13" l="1"/>
  <c r="AM556" i="13" s="1"/>
  <c r="AL556" i="13"/>
  <c r="AK555" i="13"/>
  <c r="AM555" i="13" s="1"/>
  <c r="AO555" i="13"/>
  <c r="AY556" i="13"/>
  <c r="AY555" i="13"/>
  <c r="Z596" i="13"/>
  <c r="Z594" i="13"/>
  <c r="Z593" i="13"/>
  <c r="AJ596" i="13"/>
  <c r="AA596" i="13"/>
  <c r="AD596" i="13" s="1"/>
  <c r="BA596" i="13" s="1"/>
  <c r="S596" i="13"/>
  <c r="AJ594" i="13"/>
  <c r="AA594" i="13"/>
  <c r="AD594" i="13" s="1"/>
  <c r="BA594" i="13" s="1"/>
  <c r="AJ593" i="13"/>
  <c r="AA593" i="13"/>
  <c r="AD593" i="13" s="1"/>
  <c r="BA593" i="13" s="1"/>
  <c r="S593" i="13"/>
  <c r="AJ552" i="13"/>
  <c r="AA552" i="13"/>
  <c r="AD552" i="13" s="1"/>
  <c r="BA552" i="13" s="1"/>
  <c r="Z552" i="13"/>
  <c r="R82" i="13"/>
  <c r="R81" i="13"/>
  <c r="S550" i="13"/>
  <c r="R554" i="13" l="1"/>
  <c r="S554" i="13"/>
  <c r="R552" i="13"/>
  <c r="S552" i="13"/>
  <c r="W552" i="13" s="1"/>
  <c r="R594" i="13"/>
  <c r="S594" i="13"/>
  <c r="W594" i="13" s="1"/>
  <c r="AV594" i="13"/>
  <c r="AX594" i="13" s="1"/>
  <c r="AV552" i="13"/>
  <c r="AX552" i="13" s="1"/>
  <c r="AV596" i="13"/>
  <c r="AX596" i="13" s="1"/>
  <c r="AV593" i="13"/>
  <c r="AX593" i="13" s="1"/>
  <c r="AN594" i="13"/>
  <c r="AN596" i="13"/>
  <c r="AC593" i="13"/>
  <c r="AE593" i="13" s="1"/>
  <c r="AO593" i="13" s="1"/>
  <c r="AN593" i="13"/>
  <c r="AN552" i="13"/>
  <c r="AC594" i="13"/>
  <c r="AE594" i="13" s="1"/>
  <c r="AL594" i="13" s="1"/>
  <c r="AC596" i="13"/>
  <c r="AE596" i="13" s="1"/>
  <c r="AL596" i="13" s="1"/>
  <c r="W593" i="13"/>
  <c r="W596" i="13"/>
  <c r="R593" i="13"/>
  <c r="R596" i="13"/>
  <c r="AC552" i="13"/>
  <c r="AE552" i="13" s="1"/>
  <c r="R550" i="13"/>
  <c r="Q594" i="13" l="1"/>
  <c r="N594" i="13"/>
  <c r="Q593" i="13"/>
  <c r="N593" i="13"/>
  <c r="Q596" i="13"/>
  <c r="N596" i="13"/>
  <c r="Q552" i="13"/>
  <c r="N552" i="13"/>
  <c r="AY552" i="13"/>
  <c r="AY593" i="13"/>
  <c r="AY596" i="13"/>
  <c r="AY594" i="13"/>
  <c r="AL593" i="13"/>
  <c r="AO596" i="13"/>
  <c r="AK594" i="13"/>
  <c r="AM594" i="13" s="1"/>
  <c r="AK593" i="13"/>
  <c r="AM593" i="13" s="1"/>
  <c r="AO594" i="13"/>
  <c r="AK596" i="13"/>
  <c r="AM596" i="13" s="1"/>
  <c r="AL552" i="13"/>
  <c r="AO552" i="13"/>
  <c r="AK552" i="13"/>
  <c r="AM552" i="13" s="1"/>
  <c r="AJ554" i="13" l="1"/>
  <c r="AA554" i="13"/>
  <c r="AD554" i="13" s="1"/>
  <c r="BA554" i="13" s="1"/>
  <c r="Z554" i="13"/>
  <c r="W554" i="13"/>
  <c r="AJ550" i="13"/>
  <c r="AA550" i="13"/>
  <c r="AD550" i="13" s="1"/>
  <c r="BA550" i="13" s="1"/>
  <c r="Z550" i="13"/>
  <c r="W550" i="13"/>
  <c r="Z544" i="13"/>
  <c r="Z543" i="13"/>
  <c r="AV550" i="13" l="1"/>
  <c r="AX550" i="13" s="1"/>
  <c r="AV554" i="13"/>
  <c r="AX554" i="13" s="1"/>
  <c r="AN550" i="13"/>
  <c r="AC550" i="13"/>
  <c r="AE550" i="13" s="1"/>
  <c r="AO550" i="13" s="1"/>
  <c r="AN554" i="13"/>
  <c r="AC554" i="13"/>
  <c r="AE554" i="13" s="1"/>
  <c r="Q554" i="13" l="1"/>
  <c r="N554" i="13"/>
  <c r="Q550" i="13"/>
  <c r="N550" i="13"/>
  <c r="AY554" i="13"/>
  <c r="AY550" i="13"/>
  <c r="AK550" i="13"/>
  <c r="AM550" i="13" s="1"/>
  <c r="AL550" i="13"/>
  <c r="AL554" i="13"/>
  <c r="AO554" i="13"/>
  <c r="AK554" i="13"/>
  <c r="AM554" i="13" s="1"/>
  <c r="Q520" i="11" l="1"/>
  <c r="Q519" i="11"/>
  <c r="Q518" i="11"/>
  <c r="Q517" i="11"/>
  <c r="Q516" i="11"/>
  <c r="Q515" i="11"/>
  <c r="Q514" i="11"/>
  <c r="Q513" i="11"/>
  <c r="Q512" i="11"/>
  <c r="Q511" i="11"/>
  <c r="Q510" i="11"/>
  <c r="Q509" i="11"/>
  <c r="Q508" i="11"/>
  <c r="Q507" i="11"/>
  <c r="Q506" i="11"/>
  <c r="Q505" i="11"/>
  <c r="Q504" i="11"/>
  <c r="Q503" i="11"/>
  <c r="Q502" i="11"/>
  <c r="Q501" i="11"/>
  <c r="Q500" i="11"/>
  <c r="Q497" i="11"/>
  <c r="Q496" i="11"/>
  <c r="Q495" i="11"/>
  <c r="Q494" i="11"/>
  <c r="Q493" i="11"/>
  <c r="Q470" i="11"/>
  <c r="Q469" i="11"/>
  <c r="Q468" i="11"/>
  <c r="Z523" i="13" l="1"/>
  <c r="Z522" i="13"/>
  <c r="Z521" i="13"/>
  <c r="Z520" i="13"/>
  <c r="Z519" i="13"/>
  <c r="Z518" i="13"/>
  <c r="Z517" i="13"/>
  <c r="Z516" i="13"/>
  <c r="Z515" i="13"/>
  <c r="AJ523" i="13"/>
  <c r="S523" i="13"/>
  <c r="AJ522" i="13"/>
  <c r="AJ521" i="13"/>
  <c r="S521" i="13"/>
  <c r="AJ520" i="13"/>
  <c r="S520" i="13"/>
  <c r="AJ519" i="13"/>
  <c r="S519" i="13"/>
  <c r="AJ518" i="13"/>
  <c r="AJ517" i="13"/>
  <c r="AJ516" i="13"/>
  <c r="S516" i="13"/>
  <c r="AJ515" i="13"/>
  <c r="S515" i="13"/>
  <c r="AA523" i="13" l="1"/>
  <c r="AA518" i="13"/>
  <c r="AD518" i="13" s="1"/>
  <c r="BA518" i="13" s="1"/>
  <c r="AA519" i="13"/>
  <c r="AD519" i="13" s="1"/>
  <c r="BA519" i="13" s="1"/>
  <c r="AA517" i="13"/>
  <c r="AD517" i="13" s="1"/>
  <c r="BA517" i="13" s="1"/>
  <c r="R522" i="13"/>
  <c r="S522" i="13"/>
  <c r="W522" i="13" s="1"/>
  <c r="R518" i="13"/>
  <c r="S518" i="13"/>
  <c r="W518" i="13" s="1"/>
  <c r="R517" i="13"/>
  <c r="S517" i="13"/>
  <c r="W517" i="13" s="1"/>
  <c r="W515" i="13"/>
  <c r="R515" i="13"/>
  <c r="W516" i="13"/>
  <c r="R516" i="13"/>
  <c r="W519" i="13"/>
  <c r="R519" i="13"/>
  <c r="W520" i="13"/>
  <c r="R520" i="13"/>
  <c r="W521" i="13"/>
  <c r="R521" i="13"/>
  <c r="W523" i="13"/>
  <c r="R523" i="13"/>
  <c r="AA521" i="13"/>
  <c r="AC521" i="13" s="1"/>
  <c r="AA522" i="13"/>
  <c r="AD522" i="13" s="1"/>
  <c r="BA522" i="13" s="1"/>
  <c r="AN515" i="13"/>
  <c r="AA515" i="13"/>
  <c r="AD515" i="13" s="1"/>
  <c r="BA515" i="13" s="1"/>
  <c r="AN518" i="13"/>
  <c r="AN519" i="13"/>
  <c r="AN522" i="13"/>
  <c r="AN521" i="13"/>
  <c r="AN523" i="13"/>
  <c r="AN517" i="13"/>
  <c r="AN520" i="13"/>
  <c r="AN516" i="13"/>
  <c r="AA516" i="13"/>
  <c r="AA520" i="13"/>
  <c r="AC519" i="13" l="1"/>
  <c r="AE519" i="13" s="1"/>
  <c r="AC523" i="13"/>
  <c r="AD523" i="13"/>
  <c r="BA523" i="13" s="1"/>
  <c r="AC517" i="13"/>
  <c r="AE517" i="13" s="1"/>
  <c r="AO517" i="13" s="1"/>
  <c r="AC518" i="13"/>
  <c r="AE518" i="13" s="1"/>
  <c r="AK518" i="13" s="1"/>
  <c r="AM518" i="13" s="1"/>
  <c r="AV523" i="13"/>
  <c r="AX523" i="13" s="1"/>
  <c r="AV520" i="13"/>
  <c r="AX520" i="13" s="1"/>
  <c r="AV519" i="13"/>
  <c r="AX519" i="13" s="1"/>
  <c r="AV521" i="13"/>
  <c r="AX521" i="13" s="1"/>
  <c r="AV517" i="13"/>
  <c r="AX517" i="13" s="1"/>
  <c r="AV516" i="13"/>
  <c r="AX516" i="13" s="1"/>
  <c r="AV522" i="13"/>
  <c r="AX522" i="13" s="1"/>
  <c r="AV515" i="13"/>
  <c r="AX515" i="13" s="1"/>
  <c r="AV518" i="13"/>
  <c r="AX518" i="13" s="1"/>
  <c r="AD521" i="13"/>
  <c r="BA521" i="13" s="1"/>
  <c r="AC522" i="13"/>
  <c r="AE522" i="13" s="1"/>
  <c r="AO522" i="13" s="1"/>
  <c r="AC515" i="13"/>
  <c r="AE515" i="13" s="1"/>
  <c r="AL515" i="13" s="1"/>
  <c r="AC516" i="13"/>
  <c r="AD516" i="13"/>
  <c r="BA516" i="13" s="1"/>
  <c r="AC520" i="13"/>
  <c r="AD520" i="13"/>
  <c r="BA520" i="13" s="1"/>
  <c r="Q522" i="13" l="1"/>
  <c r="N522" i="13"/>
  <c r="Q520" i="13"/>
  <c r="N520" i="13"/>
  <c r="Q516" i="13"/>
  <c r="N516" i="13"/>
  <c r="Q517" i="13"/>
  <c r="N517" i="13"/>
  <c r="Q518" i="13"/>
  <c r="N518" i="13"/>
  <c r="Q523" i="13"/>
  <c r="N523" i="13"/>
  <c r="Q521" i="13"/>
  <c r="N521" i="13"/>
  <c r="Q515" i="13"/>
  <c r="N515" i="13"/>
  <c r="Q519" i="13"/>
  <c r="N519" i="13"/>
  <c r="AK517" i="13"/>
  <c r="AM517" i="13" s="1"/>
  <c r="AE523" i="13"/>
  <c r="AO523" i="13" s="1"/>
  <c r="AL517" i="13"/>
  <c r="AO518" i="13"/>
  <c r="AL518" i="13"/>
  <c r="AE521" i="13"/>
  <c r="AL521" i="13" s="1"/>
  <c r="AY522" i="13"/>
  <c r="AY516" i="13"/>
  <c r="AY520" i="13"/>
  <c r="AY518" i="13"/>
  <c r="AY517" i="13"/>
  <c r="AY523" i="13"/>
  <c r="AY515" i="13"/>
  <c r="AY521" i="13"/>
  <c r="AY519" i="13"/>
  <c r="AL522" i="13"/>
  <c r="AK522" i="13"/>
  <c r="AM522" i="13" s="1"/>
  <c r="AK515" i="13"/>
  <c r="AM515" i="13" s="1"/>
  <c r="AO515" i="13"/>
  <c r="AE520" i="13"/>
  <c r="AK520" i="13" s="1"/>
  <c r="AM520" i="13" s="1"/>
  <c r="AL519" i="13"/>
  <c r="AO519" i="13"/>
  <c r="AK519" i="13"/>
  <c r="AM519" i="13" s="1"/>
  <c r="AE516" i="13"/>
  <c r="AL523" i="13" l="1"/>
  <c r="AK523" i="13"/>
  <c r="AM523" i="13" s="1"/>
  <c r="AO521" i="13"/>
  <c r="AK521" i="13"/>
  <c r="AM521" i="13" s="1"/>
  <c r="AO520" i="13"/>
  <c r="AL520" i="13"/>
  <c r="AK516" i="13"/>
  <c r="AM516" i="13" s="1"/>
  <c r="AO516" i="13"/>
  <c r="AL516" i="13"/>
  <c r="AA541" i="13" l="1"/>
  <c r="AD541" i="13" s="1"/>
  <c r="BA541" i="13" s="1"/>
  <c r="AC541" i="13" l="1"/>
  <c r="AE541" i="13" s="1"/>
  <c r="R541" i="13"/>
  <c r="S541" i="13"/>
  <c r="W541" i="13" s="1"/>
  <c r="AV541" i="13"/>
  <c r="AX541" i="13" s="1"/>
  <c r="Q541" i="13" l="1"/>
  <c r="N541" i="13"/>
  <c r="AY541" i="13"/>
  <c r="AO541" i="13"/>
  <c r="Q492" i="11" l="1"/>
  <c r="Q491" i="11"/>
  <c r="Q490" i="11"/>
  <c r="Q489" i="11"/>
  <c r="Q488" i="11"/>
  <c r="Q487" i="11"/>
  <c r="Q486" i="11"/>
  <c r="Q485" i="11"/>
  <c r="Q484" i="11"/>
  <c r="Q483" i="11"/>
  <c r="Q482" i="11"/>
  <c r="Q481" i="11"/>
  <c r="Q480" i="11"/>
  <c r="Q479" i="11"/>
  <c r="Q478" i="11"/>
  <c r="Q477" i="11"/>
  <c r="Q476" i="11"/>
  <c r="Q475" i="11"/>
  <c r="Q474" i="11"/>
  <c r="Q473" i="11"/>
  <c r="Q472" i="11"/>
  <c r="Q471" i="11"/>
  <c r="Q499" i="11" l="1"/>
  <c r="Q498" i="11"/>
  <c r="P880" i="13" l="1"/>
  <c r="Z514" i="13" l="1"/>
  <c r="AA513" i="13"/>
  <c r="AD513" i="13" s="1"/>
  <c r="BA513" i="13" s="1"/>
  <c r="Z513" i="13"/>
  <c r="Z512" i="13"/>
  <c r="AA511" i="13"/>
  <c r="AD511" i="13" s="1"/>
  <c r="BA511" i="13" s="1"/>
  <c r="Z511" i="13"/>
  <c r="AA510" i="13"/>
  <c r="AD510" i="13" s="1"/>
  <c r="BA510" i="13" s="1"/>
  <c r="Z510" i="13"/>
  <c r="AA509" i="13"/>
  <c r="AD509" i="13" s="1"/>
  <c r="BA509" i="13" s="1"/>
  <c r="Z509" i="13"/>
  <c r="AA508" i="13"/>
  <c r="AD508" i="13" s="1"/>
  <c r="BA508" i="13" s="1"/>
  <c r="Z508" i="13"/>
  <c r="AA507" i="13"/>
  <c r="AD507" i="13" s="1"/>
  <c r="BA507" i="13" s="1"/>
  <c r="Z507" i="13"/>
  <c r="AA506" i="13"/>
  <c r="AD506" i="13" s="1"/>
  <c r="BA506" i="13" s="1"/>
  <c r="Z506" i="13"/>
  <c r="S506" i="13"/>
  <c r="AA505" i="13"/>
  <c r="Z505" i="13"/>
  <c r="S505" i="13"/>
  <c r="Z504" i="13"/>
  <c r="S504" i="13"/>
  <c r="AJ604" i="13"/>
  <c r="AJ603" i="13"/>
  <c r="AJ602" i="13"/>
  <c r="AJ601" i="13"/>
  <c r="AJ600" i="13"/>
  <c r="AJ599" i="13"/>
  <c r="AJ598" i="13"/>
  <c r="AJ597" i="13"/>
  <c r="AJ549" i="13"/>
  <c r="AJ548" i="13"/>
  <c r="AJ547" i="13"/>
  <c r="AJ546" i="13"/>
  <c r="AJ545" i="13"/>
  <c r="AJ544" i="13"/>
  <c r="AJ543" i="13"/>
  <c r="AJ542" i="13"/>
  <c r="AJ490" i="13"/>
  <c r="AJ489" i="13"/>
  <c r="AJ488" i="13"/>
  <c r="AJ487" i="13"/>
  <c r="AJ486" i="13"/>
  <c r="AJ485" i="13"/>
  <c r="AJ484" i="13"/>
  <c r="AJ483" i="13"/>
  <c r="AJ482" i="13"/>
  <c r="AJ481" i="13"/>
  <c r="AJ480" i="13"/>
  <c r="AJ479" i="13"/>
  <c r="AJ478" i="13"/>
  <c r="AJ477" i="13"/>
  <c r="AJ476" i="13"/>
  <c r="AJ475" i="13"/>
  <c r="AJ474" i="13"/>
  <c r="AJ473" i="13"/>
  <c r="AJ472" i="13"/>
  <c r="AJ471" i="13"/>
  <c r="AJ470" i="13"/>
  <c r="AJ469" i="13"/>
  <c r="AJ468" i="13"/>
  <c r="AJ467" i="13"/>
  <c r="AJ466" i="13"/>
  <c r="AJ465" i="13"/>
  <c r="AJ464" i="13"/>
  <c r="AJ463" i="13"/>
  <c r="AJ462" i="13"/>
  <c r="AJ461" i="13"/>
  <c r="AJ460" i="13"/>
  <c r="AJ459" i="13"/>
  <c r="AJ458" i="13"/>
  <c r="AJ457" i="13"/>
  <c r="AJ456" i="13"/>
  <c r="AJ455" i="13"/>
  <c r="AJ454" i="13"/>
  <c r="AJ453" i="13"/>
  <c r="AJ452" i="13"/>
  <c r="AJ451" i="13"/>
  <c r="AJ450" i="13"/>
  <c r="AJ449" i="13"/>
  <c r="AJ448" i="13"/>
  <c r="AJ447" i="13"/>
  <c r="AJ446" i="13"/>
  <c r="AJ445" i="13"/>
  <c r="AJ444" i="13"/>
  <c r="AJ443" i="13"/>
  <c r="AJ442" i="13"/>
  <c r="AJ441" i="13"/>
  <c r="AJ440" i="13"/>
  <c r="AJ439" i="13"/>
  <c r="AJ438" i="13"/>
  <c r="AJ437" i="13"/>
  <c r="AJ436" i="13"/>
  <c r="AJ435" i="13"/>
  <c r="AJ434" i="13"/>
  <c r="AJ433" i="13"/>
  <c r="AJ432" i="13"/>
  <c r="AJ431" i="13"/>
  <c r="AJ430" i="13"/>
  <c r="AJ429" i="13"/>
  <c r="AJ428" i="13"/>
  <c r="AJ427" i="13"/>
  <c r="AJ426" i="13"/>
  <c r="AJ425" i="13"/>
  <c r="AJ424" i="13"/>
  <c r="AJ423" i="13"/>
  <c r="AJ422" i="13"/>
  <c r="AJ421" i="13"/>
  <c r="AJ420" i="13"/>
  <c r="AJ419" i="13"/>
  <c r="AJ418" i="13"/>
  <c r="AJ417" i="13"/>
  <c r="AJ416" i="13"/>
  <c r="AJ415" i="13"/>
  <c r="AJ414" i="13"/>
  <c r="AJ413" i="13"/>
  <c r="AJ412" i="13"/>
  <c r="AJ411" i="13"/>
  <c r="AJ410" i="13"/>
  <c r="AJ409" i="13"/>
  <c r="AJ408" i="13"/>
  <c r="AJ407" i="13"/>
  <c r="AJ406" i="13"/>
  <c r="AJ405" i="13"/>
  <c r="AJ404" i="13"/>
  <c r="AJ403" i="13"/>
  <c r="AJ402" i="13"/>
  <c r="AJ401" i="13"/>
  <c r="AJ400" i="13"/>
  <c r="AJ399" i="13"/>
  <c r="AJ398" i="13"/>
  <c r="AJ397" i="13"/>
  <c r="AJ396" i="13"/>
  <c r="AJ395" i="13"/>
  <c r="AJ394" i="13"/>
  <c r="AJ393" i="13"/>
  <c r="AJ392" i="13"/>
  <c r="AJ391" i="13"/>
  <c r="AJ390" i="13"/>
  <c r="AJ389" i="13"/>
  <c r="AJ388" i="13"/>
  <c r="AJ387" i="13"/>
  <c r="AJ386" i="13"/>
  <c r="AJ385" i="13"/>
  <c r="AJ384" i="13"/>
  <c r="AJ383" i="13"/>
  <c r="AJ382" i="13"/>
  <c r="AJ381" i="13"/>
  <c r="AJ380" i="13"/>
  <c r="AJ379" i="13"/>
  <c r="AJ378" i="13"/>
  <c r="AJ377" i="13"/>
  <c r="AJ376" i="13"/>
  <c r="AJ375" i="13"/>
  <c r="AJ374" i="13"/>
  <c r="AJ373" i="13"/>
  <c r="AJ372" i="13"/>
  <c r="AJ371" i="13"/>
  <c r="AJ370" i="13"/>
  <c r="AJ369" i="13"/>
  <c r="AJ368" i="13"/>
  <c r="AJ367" i="13"/>
  <c r="AJ366" i="13"/>
  <c r="AJ365" i="13"/>
  <c r="AJ364" i="13"/>
  <c r="AJ363" i="13"/>
  <c r="AJ362" i="13"/>
  <c r="AJ338" i="13"/>
  <c r="AJ337" i="13"/>
  <c r="AJ336" i="13"/>
  <c r="AJ335" i="13"/>
  <c r="AJ117" i="13"/>
  <c r="AJ116" i="13"/>
  <c r="AJ113" i="13"/>
  <c r="AJ112" i="13"/>
  <c r="AJ111" i="13"/>
  <c r="AJ110" i="13"/>
  <c r="AJ91" i="13"/>
  <c r="AJ89" i="13"/>
  <c r="AJ75" i="13"/>
  <c r="AJ74" i="13"/>
  <c r="AJ73" i="13"/>
  <c r="AJ72" i="13"/>
  <c r="AJ71" i="13"/>
  <c r="AJ69" i="13"/>
  <c r="AJ68" i="13"/>
  <c r="AJ67" i="13"/>
  <c r="AJ66" i="13"/>
  <c r="AJ63" i="13"/>
  <c r="AJ61" i="13"/>
  <c r="AJ56" i="13"/>
  <c r="AJ55" i="13"/>
  <c r="AJ54" i="13"/>
  <c r="AJ53" i="13"/>
  <c r="AJ52" i="13"/>
  <c r="AJ51" i="13"/>
  <c r="AJ50" i="13"/>
  <c r="AJ49" i="13"/>
  <c r="AJ48" i="13"/>
  <c r="AJ38" i="13"/>
  <c r="AJ36" i="13"/>
  <c r="AJ33" i="13"/>
  <c r="AJ32" i="13"/>
  <c r="AJ31" i="13"/>
  <c r="AJ30" i="13"/>
  <c r="AJ29" i="13"/>
  <c r="AJ28" i="13"/>
  <c r="AJ27" i="13"/>
  <c r="AJ26" i="13"/>
  <c r="AJ25" i="13"/>
  <c r="AJ24" i="13"/>
  <c r="AJ23" i="13"/>
  <c r="AJ22" i="13"/>
  <c r="AJ21" i="13"/>
  <c r="AJ7" i="13"/>
  <c r="AJ6" i="13"/>
  <c r="AA604" i="13"/>
  <c r="AA603" i="13"/>
  <c r="AA602" i="13"/>
  <c r="AA601" i="13"/>
  <c r="AA600" i="13"/>
  <c r="AA599" i="13"/>
  <c r="AA598" i="13"/>
  <c r="AA597" i="13"/>
  <c r="AA549" i="13"/>
  <c r="AA548" i="13"/>
  <c r="AA547" i="13"/>
  <c r="AA546" i="13"/>
  <c r="AA545" i="13"/>
  <c r="AA544" i="13"/>
  <c r="AA543" i="13"/>
  <c r="AA542" i="13"/>
  <c r="AA539" i="13"/>
  <c r="AA538" i="13"/>
  <c r="AA537" i="13"/>
  <c r="AA536" i="13"/>
  <c r="AA535" i="13"/>
  <c r="AA534" i="13"/>
  <c r="AA533" i="13"/>
  <c r="AA532" i="13"/>
  <c r="AA531" i="13"/>
  <c r="AA530" i="13"/>
  <c r="AA529" i="13"/>
  <c r="AA528" i="13"/>
  <c r="AA527" i="13"/>
  <c r="AA526" i="13"/>
  <c r="AA525" i="13"/>
  <c r="AA524" i="13"/>
  <c r="AA465" i="13"/>
  <c r="AA464" i="13"/>
  <c r="AA463" i="13"/>
  <c r="AA462" i="13"/>
  <c r="AA461" i="13"/>
  <c r="AA460" i="13"/>
  <c r="AA459" i="13"/>
  <c r="AA458" i="13"/>
  <c r="AA457" i="13"/>
  <c r="AA456" i="13"/>
  <c r="AA455" i="13"/>
  <c r="AA454" i="13"/>
  <c r="AA453" i="13"/>
  <c r="AA452" i="13"/>
  <c r="AA451" i="13"/>
  <c r="AA450" i="13"/>
  <c r="AA449" i="13"/>
  <c r="AA448" i="13"/>
  <c r="AA447" i="13"/>
  <c r="AA446" i="13"/>
  <c r="AA445" i="13"/>
  <c r="AA444" i="13"/>
  <c r="AA443" i="13"/>
  <c r="AA442" i="13"/>
  <c r="AA441" i="13"/>
  <c r="AA440" i="13"/>
  <c r="AA439" i="13"/>
  <c r="AA438" i="13"/>
  <c r="AA437" i="13"/>
  <c r="AA436" i="13"/>
  <c r="AA435" i="13"/>
  <c r="AA434" i="13"/>
  <c r="AA433" i="13"/>
  <c r="AA432" i="13"/>
  <c r="AA431" i="13"/>
  <c r="AA430" i="13"/>
  <c r="AA429" i="13"/>
  <c r="AA428" i="13"/>
  <c r="AA427" i="13"/>
  <c r="AA426" i="13"/>
  <c r="AA425" i="13"/>
  <c r="AA424" i="13"/>
  <c r="AA423" i="13"/>
  <c r="AA409" i="13"/>
  <c r="AA408" i="13"/>
  <c r="AA407" i="13"/>
  <c r="AA406" i="13"/>
  <c r="AA405" i="13"/>
  <c r="AA404" i="13"/>
  <c r="AA403" i="13"/>
  <c r="AA402" i="13"/>
  <c r="AA401" i="13"/>
  <c r="AA400" i="13"/>
  <c r="AA399" i="13"/>
  <c r="AA398" i="13"/>
  <c r="AA397" i="13"/>
  <c r="AA396" i="13"/>
  <c r="AA395" i="13"/>
  <c r="AA394" i="13"/>
  <c r="AA393" i="13"/>
  <c r="AA392" i="13"/>
  <c r="AA391" i="13"/>
  <c r="AA390" i="13"/>
  <c r="AA389" i="13"/>
  <c r="AA388" i="13"/>
  <c r="AA387" i="13"/>
  <c r="AA386" i="13"/>
  <c r="AA385" i="13"/>
  <c r="AA384" i="13"/>
  <c r="AA383" i="13"/>
  <c r="AA382" i="13"/>
  <c r="AA381" i="13"/>
  <c r="AA380" i="13"/>
  <c r="AA379" i="13"/>
  <c r="AA378" i="13"/>
  <c r="AA377" i="13"/>
  <c r="AA376" i="13"/>
  <c r="AA375" i="13"/>
  <c r="AA374" i="13"/>
  <c r="AA373" i="13"/>
  <c r="AA372" i="13"/>
  <c r="AA371" i="13"/>
  <c r="AA370" i="13"/>
  <c r="AA369" i="13"/>
  <c r="AA368" i="13"/>
  <c r="AA367" i="13"/>
  <c r="AA366" i="13"/>
  <c r="AA365" i="13"/>
  <c r="AA364" i="13"/>
  <c r="AA363" i="13"/>
  <c r="AA362" i="13"/>
  <c r="AA338" i="13"/>
  <c r="AA337" i="13"/>
  <c r="AA336" i="13"/>
  <c r="AA335" i="13"/>
  <c r="AA117" i="13"/>
  <c r="AA116" i="13"/>
  <c r="AA113" i="13"/>
  <c r="AD113" i="13" s="1"/>
  <c r="AA112" i="13"/>
  <c r="AD112" i="13" s="1"/>
  <c r="AA111" i="13"/>
  <c r="AD111" i="13" s="1"/>
  <c r="AA110" i="13"/>
  <c r="AD110" i="13" s="1"/>
  <c r="AA91" i="13"/>
  <c r="AD91" i="13" s="1"/>
  <c r="AA90" i="13"/>
  <c r="AD90" i="13" s="1"/>
  <c r="AA89" i="13"/>
  <c r="AD89" i="13" s="1"/>
  <c r="AA85" i="13"/>
  <c r="AD85" i="13" s="1"/>
  <c r="AA84" i="13"/>
  <c r="AD84" i="13" s="1"/>
  <c r="BA84" i="13" s="1"/>
  <c r="AA83" i="13"/>
  <c r="AD83" i="13" s="1"/>
  <c r="BA83" i="13" s="1"/>
  <c r="AA80" i="13"/>
  <c r="AD80" i="13" s="1"/>
  <c r="AA75" i="13"/>
  <c r="AD75" i="13" s="1"/>
  <c r="AA74" i="13"/>
  <c r="AD74" i="13" s="1"/>
  <c r="AA73" i="13"/>
  <c r="AD73" i="13" s="1"/>
  <c r="AA72" i="13"/>
  <c r="AD72" i="13" s="1"/>
  <c r="AA71" i="13"/>
  <c r="AA69" i="13"/>
  <c r="AA68" i="13"/>
  <c r="AA67" i="13"/>
  <c r="AA66" i="13"/>
  <c r="AA63" i="13"/>
  <c r="AD63" i="13" s="1"/>
  <c r="AA38" i="13"/>
  <c r="AA36" i="13"/>
  <c r="AA33" i="13"/>
  <c r="AA32" i="13"/>
  <c r="AA31" i="13"/>
  <c r="AA30" i="13"/>
  <c r="AA29" i="13"/>
  <c r="AA28" i="13"/>
  <c r="AA27" i="13"/>
  <c r="AA26" i="13"/>
  <c r="AC26" i="13" s="1"/>
  <c r="AA25" i="13"/>
  <c r="AA24" i="13"/>
  <c r="AA23" i="13"/>
  <c r="AA22" i="13"/>
  <c r="AA21" i="13"/>
  <c r="AA7" i="13"/>
  <c r="AA6" i="13"/>
  <c r="AJ4" i="13"/>
  <c r="AA4" i="13"/>
  <c r="AC4" i="13" s="1"/>
  <c r="R509" i="13" l="1"/>
  <c r="S509" i="13"/>
  <c r="R510" i="13"/>
  <c r="S510" i="13"/>
  <c r="R507" i="13"/>
  <c r="S507" i="13"/>
  <c r="R508" i="13"/>
  <c r="S508" i="13"/>
  <c r="R513" i="13"/>
  <c r="S513" i="13"/>
  <c r="R514" i="13"/>
  <c r="S514" i="13"/>
  <c r="R511" i="13"/>
  <c r="S511" i="13"/>
  <c r="R512" i="13"/>
  <c r="S512" i="13"/>
  <c r="AV514" i="13"/>
  <c r="AX514" i="13" s="1"/>
  <c r="W504" i="13"/>
  <c r="R504" i="13"/>
  <c r="W506" i="13"/>
  <c r="R506" i="13"/>
  <c r="W505" i="13"/>
  <c r="R505" i="13"/>
  <c r="AA512" i="13"/>
  <c r="AD512" i="13" s="1"/>
  <c r="BA512" i="13" s="1"/>
  <c r="AA514" i="13"/>
  <c r="AD514" i="13" s="1"/>
  <c r="BA514" i="13" s="1"/>
  <c r="AC508" i="13"/>
  <c r="AE508" i="13" s="1"/>
  <c r="AC510" i="13"/>
  <c r="AE510" i="13" s="1"/>
  <c r="AC505" i="13"/>
  <c r="AD505" i="13"/>
  <c r="BA505" i="13" s="1"/>
  <c r="AA504" i="13"/>
  <c r="AC506" i="13"/>
  <c r="AE506" i="13" s="1"/>
  <c r="AC507" i="13"/>
  <c r="AE507" i="13" s="1"/>
  <c r="AC509" i="13"/>
  <c r="AE509" i="13" s="1"/>
  <c r="AC511" i="13"/>
  <c r="AE511" i="13" s="1"/>
  <c r="AC513" i="13"/>
  <c r="AE513" i="13" s="1"/>
  <c r="AA503" i="13"/>
  <c r="AA502" i="13"/>
  <c r="AA501" i="13"/>
  <c r="AA500" i="13"/>
  <c r="AA499" i="13"/>
  <c r="AA498" i="13"/>
  <c r="AA497" i="13"/>
  <c r="AA496" i="13"/>
  <c r="AA495" i="13"/>
  <c r="AA494" i="13"/>
  <c r="AA493" i="13"/>
  <c r="AA492" i="13"/>
  <c r="AA491" i="13"/>
  <c r="Q514" i="13" l="1"/>
  <c r="N514" i="13"/>
  <c r="AY514" i="13"/>
  <c r="AV505" i="13"/>
  <c r="AX505" i="13" s="1"/>
  <c r="AV504" i="13"/>
  <c r="AX504" i="13" s="1"/>
  <c r="AV511" i="13"/>
  <c r="AX511" i="13" s="1"/>
  <c r="AV507" i="13"/>
  <c r="AX507" i="13" s="1"/>
  <c r="AV510" i="13"/>
  <c r="AX510" i="13" s="1"/>
  <c r="AV508" i="13"/>
  <c r="AX508" i="13" s="1"/>
  <c r="AV513" i="13"/>
  <c r="AX513" i="13" s="1"/>
  <c r="AV509" i="13"/>
  <c r="AX509" i="13" s="1"/>
  <c r="AV506" i="13"/>
  <c r="AX506" i="13" s="1"/>
  <c r="AV512" i="13"/>
  <c r="AX512" i="13" s="1"/>
  <c r="AC514" i="13"/>
  <c r="AE514" i="13" s="1"/>
  <c r="AC512" i="13"/>
  <c r="AE512" i="13" s="1"/>
  <c r="AO511" i="13"/>
  <c r="W509" i="13"/>
  <c r="AO510" i="13"/>
  <c r="W507" i="13"/>
  <c r="W514" i="13"/>
  <c r="AE505" i="13"/>
  <c r="W511" i="13"/>
  <c r="AO513" i="13"/>
  <c r="AO509" i="13"/>
  <c r="AC504" i="13"/>
  <c r="AD504" i="13"/>
  <c r="BA504" i="13" s="1"/>
  <c r="W513" i="13"/>
  <c r="W508" i="13"/>
  <c r="AO507" i="13"/>
  <c r="AO506" i="13"/>
  <c r="W510" i="13"/>
  <c r="AO508" i="13"/>
  <c r="W512" i="13"/>
  <c r="Q512" i="13" l="1"/>
  <c r="N512" i="13"/>
  <c r="Q513" i="13"/>
  <c r="N513" i="13"/>
  <c r="Q511" i="13"/>
  <c r="N511" i="13"/>
  <c r="Q505" i="13"/>
  <c r="N505" i="13"/>
  <c r="Q508" i="13"/>
  <c r="N508" i="13"/>
  <c r="Q504" i="13"/>
  <c r="N504" i="13"/>
  <c r="Q506" i="13"/>
  <c r="N506" i="13"/>
  <c r="Q510" i="13"/>
  <c r="N510" i="13"/>
  <c r="Q509" i="13"/>
  <c r="N509" i="13"/>
  <c r="Q507" i="13"/>
  <c r="N507" i="13"/>
  <c r="AA472" i="13"/>
  <c r="AA480" i="13"/>
  <c r="AA488" i="13"/>
  <c r="AA469" i="13"/>
  <c r="AA473" i="13"/>
  <c r="AA477" i="13"/>
  <c r="AA481" i="13"/>
  <c r="AA485" i="13"/>
  <c r="AA489" i="13"/>
  <c r="AA476" i="13"/>
  <c r="AA484" i="13"/>
  <c r="AA466" i="13"/>
  <c r="AA470" i="13"/>
  <c r="AA474" i="13"/>
  <c r="AA478" i="13"/>
  <c r="AA482" i="13"/>
  <c r="AA486" i="13"/>
  <c r="AA490" i="13"/>
  <c r="AA468" i="13"/>
  <c r="AA467" i="13"/>
  <c r="AA471" i="13"/>
  <c r="AA475" i="13"/>
  <c r="AA479" i="13"/>
  <c r="AA483" i="13"/>
  <c r="AA487" i="13"/>
  <c r="AY506" i="13"/>
  <c r="AY510" i="13"/>
  <c r="AY509" i="13"/>
  <c r="AY505" i="13"/>
  <c r="AY513" i="13"/>
  <c r="AY511" i="13"/>
  <c r="AY507" i="13"/>
  <c r="AY512" i="13"/>
  <c r="AY508" i="13"/>
  <c r="AY504" i="13"/>
  <c r="AO514" i="13"/>
  <c r="AO512" i="13"/>
  <c r="AE504" i="13"/>
  <c r="AO505" i="13"/>
  <c r="Z459" i="13"/>
  <c r="AD460" i="13"/>
  <c r="BA460" i="13" s="1"/>
  <c r="AD459" i="13"/>
  <c r="BA459" i="13" s="1"/>
  <c r="S459" i="13"/>
  <c r="R460" i="13" l="1"/>
  <c r="S460" i="13"/>
  <c r="W460" i="13" s="1"/>
  <c r="AV460" i="13"/>
  <c r="AX460" i="13" s="1"/>
  <c r="W459" i="13"/>
  <c r="R459" i="13"/>
  <c r="AO504" i="13"/>
  <c r="Z460" i="13"/>
  <c r="AN460" i="13" s="1"/>
  <c r="AN459" i="13"/>
  <c r="AC460" i="13"/>
  <c r="AE460" i="13" s="1"/>
  <c r="AC459" i="13"/>
  <c r="AE459" i="13" s="1"/>
  <c r="AK459" i="13" s="1"/>
  <c r="AM459" i="13" s="1"/>
  <c r="Q11" i="11"/>
  <c r="Q10" i="11"/>
  <c r="N9" i="11"/>
  <c r="K9" i="11"/>
  <c r="Q9" i="11" s="1"/>
  <c r="Q186" i="11"/>
  <c r="Q185" i="11"/>
  <c r="Q184" i="11"/>
  <c r="Q182" i="11"/>
  <c r="Q181" i="11"/>
  <c r="Q180" i="11"/>
  <c r="Q179" i="11"/>
  <c r="Q178" i="11"/>
  <c r="Q177" i="11"/>
  <c r="Q176" i="11"/>
  <c r="Q175" i="11"/>
  <c r="Q174" i="11"/>
  <c r="Q173" i="11"/>
  <c r="Q172" i="11"/>
  <c r="Q171" i="11"/>
  <c r="Q170" i="11"/>
  <c r="Q169" i="11"/>
  <c r="Q168" i="11"/>
  <c r="Q167" i="11"/>
  <c r="Q166" i="11"/>
  <c r="Q165" i="11"/>
  <c r="Q164" i="11"/>
  <c r="Q163" i="11"/>
  <c r="Q162" i="11"/>
  <c r="Q161" i="11"/>
  <c r="Q460" i="13" l="1"/>
  <c r="N460" i="13"/>
  <c r="AY460" i="13"/>
  <c r="AV459" i="13"/>
  <c r="AX459" i="13" s="1"/>
  <c r="AL460" i="13"/>
  <c r="AO460" i="13"/>
  <c r="AK460" i="13"/>
  <c r="AM460" i="13" s="1"/>
  <c r="AO459" i="13"/>
  <c r="AL459" i="13"/>
  <c r="Q459" i="13" l="1"/>
  <c r="N459" i="13"/>
  <c r="AY459" i="13"/>
  <c r="AD38" i="13"/>
  <c r="BA38" i="13" s="1"/>
  <c r="Z38" i="13"/>
  <c r="S38" i="13"/>
  <c r="Z36" i="13"/>
  <c r="S36" i="13"/>
  <c r="AD33" i="13"/>
  <c r="BA33" i="13" s="1"/>
  <c r="Z33" i="13"/>
  <c r="S33" i="13"/>
  <c r="AD32" i="13"/>
  <c r="BA32" i="13" s="1"/>
  <c r="Z32" i="13"/>
  <c r="S32" i="13"/>
  <c r="N38" i="13" l="1"/>
  <c r="AV33" i="13"/>
  <c r="AX33" i="13" s="1"/>
  <c r="AV32" i="13"/>
  <c r="AX32" i="13" s="1"/>
  <c r="AV36" i="13"/>
  <c r="AX36" i="13" s="1"/>
  <c r="AV38" i="13"/>
  <c r="AX38" i="13" s="1"/>
  <c r="W32" i="13"/>
  <c r="R32" i="13"/>
  <c r="W33" i="13"/>
  <c r="R33" i="13"/>
  <c r="W36" i="13"/>
  <c r="R36" i="13"/>
  <c r="W38" i="13"/>
  <c r="R38" i="13"/>
  <c r="AN33" i="13"/>
  <c r="AC36" i="13"/>
  <c r="AN38" i="13"/>
  <c r="AD36" i="13"/>
  <c r="BA36" i="13" s="1"/>
  <c r="AC32" i="13"/>
  <c r="AE32" i="13" s="1"/>
  <c r="AK32" i="13" s="1"/>
  <c r="AM32" i="13" s="1"/>
  <c r="AN32" i="13"/>
  <c r="AN36" i="13"/>
  <c r="AC33" i="13"/>
  <c r="AE33" i="13" s="1"/>
  <c r="AC38" i="13"/>
  <c r="AE38" i="13" s="1"/>
  <c r="N32" i="13" l="1"/>
  <c r="Q32" i="13" s="1"/>
  <c r="N33" i="13"/>
  <c r="Q33" i="13" s="1"/>
  <c r="AY33" i="13"/>
  <c r="AY38" i="13"/>
  <c r="AY36" i="13"/>
  <c r="AY32" i="13"/>
  <c r="AE36" i="13"/>
  <c r="AL36" i="13" s="1"/>
  <c r="AO32" i="13"/>
  <c r="AL32" i="13"/>
  <c r="AL38" i="13"/>
  <c r="AO38" i="13"/>
  <c r="AK38" i="13"/>
  <c r="AM38" i="13" s="1"/>
  <c r="AL33" i="13"/>
  <c r="AO33" i="13"/>
  <c r="AK33" i="13"/>
  <c r="AM33" i="13" s="1"/>
  <c r="AO36" i="13" l="1"/>
  <c r="AK36" i="13"/>
  <c r="AM36" i="13" s="1"/>
  <c r="Q463" i="11" l="1"/>
  <c r="Q464" i="11"/>
  <c r="Q465" i="11"/>
  <c r="Q466" i="11"/>
  <c r="Q461" i="11"/>
  <c r="Q460" i="11"/>
  <c r="Q459" i="11"/>
  <c r="Q458" i="11"/>
  <c r="Q457" i="11"/>
  <c r="Q456" i="11"/>
  <c r="Q455" i="11"/>
  <c r="Q454" i="11"/>
  <c r="Q453" i="11"/>
  <c r="Q452" i="11"/>
  <c r="Q451" i="11"/>
  <c r="Q450" i="11"/>
  <c r="Q449" i="11"/>
  <c r="Q448" i="11"/>
  <c r="Q447" i="11"/>
  <c r="Q462" i="11" l="1"/>
  <c r="S365" i="13" l="1"/>
  <c r="Z365" i="13"/>
  <c r="W365" i="13" l="1"/>
  <c r="R365" i="13"/>
  <c r="AC365" i="13"/>
  <c r="AN365" i="13"/>
  <c r="AD365" i="13"/>
  <c r="BA365" i="13" s="1"/>
  <c r="AV365" i="13" l="1"/>
  <c r="AX365" i="13" s="1"/>
  <c r="AE365" i="13"/>
  <c r="AL365" i="13" s="1"/>
  <c r="Q365" i="13" l="1"/>
  <c r="N365" i="13"/>
  <c r="AY365" i="13"/>
  <c r="AK365" i="13"/>
  <c r="AM365" i="13" s="1"/>
  <c r="AO365" i="13"/>
  <c r="S447" i="13" l="1"/>
  <c r="Z447" i="13"/>
  <c r="S448" i="13"/>
  <c r="Z448" i="13"/>
  <c r="S449" i="13"/>
  <c r="Z449" i="13"/>
  <c r="S450" i="13"/>
  <c r="Z450" i="13"/>
  <c r="S451" i="13"/>
  <c r="Z451" i="13"/>
  <c r="S455" i="13"/>
  <c r="AD455" i="13"/>
  <c r="BA455" i="13" s="1"/>
  <c r="S456" i="13"/>
  <c r="AC456" i="13"/>
  <c r="AD454" i="13"/>
  <c r="BA454" i="13" s="1"/>
  <c r="Z454" i="13"/>
  <c r="S454" i="13"/>
  <c r="AD453" i="13"/>
  <c r="BA453" i="13" s="1"/>
  <c r="Z453" i="13"/>
  <c r="S453" i="13"/>
  <c r="AD452" i="13"/>
  <c r="BA452" i="13" s="1"/>
  <c r="Z452" i="13"/>
  <c r="S452" i="13"/>
  <c r="Q455" i="13" l="1"/>
  <c r="N455" i="13"/>
  <c r="Q456" i="13"/>
  <c r="N456" i="13"/>
  <c r="R457" i="13"/>
  <c r="S457" i="13"/>
  <c r="W457" i="13" s="1"/>
  <c r="AV452" i="13"/>
  <c r="AX452" i="13" s="1"/>
  <c r="AV451" i="13"/>
  <c r="AX451" i="13" s="1"/>
  <c r="AV447" i="13"/>
  <c r="AX447" i="13" s="1"/>
  <c r="AV453" i="13"/>
  <c r="AX453" i="13" s="1"/>
  <c r="AV448" i="13"/>
  <c r="AX448" i="13" s="1"/>
  <c r="AV454" i="13"/>
  <c r="AX454" i="13" s="1"/>
  <c r="AV450" i="13"/>
  <c r="AX450" i="13" s="1"/>
  <c r="AV449" i="13"/>
  <c r="AX449" i="13" s="1"/>
  <c r="AV455" i="13"/>
  <c r="AX455" i="13" s="1"/>
  <c r="AV456" i="13"/>
  <c r="AX456" i="13" s="1"/>
  <c r="W453" i="13"/>
  <c r="R453" i="13"/>
  <c r="W454" i="13"/>
  <c r="R454" i="13"/>
  <c r="W455" i="13"/>
  <c r="R455" i="13"/>
  <c r="W448" i="13"/>
  <c r="R448" i="13"/>
  <c r="W451" i="13"/>
  <c r="R451" i="13"/>
  <c r="W447" i="13"/>
  <c r="R447" i="13"/>
  <c r="W452" i="13"/>
  <c r="R452" i="13"/>
  <c r="W456" i="13"/>
  <c r="R456" i="13"/>
  <c r="W449" i="13"/>
  <c r="R449" i="13"/>
  <c r="W450" i="13"/>
  <c r="R450" i="13"/>
  <c r="Z455" i="13"/>
  <c r="AN455" i="13" s="1"/>
  <c r="AC449" i="13"/>
  <c r="AN447" i="13"/>
  <c r="Z457" i="13"/>
  <c r="AN457" i="13" s="1"/>
  <c r="AN448" i="13"/>
  <c r="AN451" i="13"/>
  <c r="AN449" i="13"/>
  <c r="AN450" i="13"/>
  <c r="AC451" i="13"/>
  <c r="AC450" i="13"/>
  <c r="AC448" i="13"/>
  <c r="AC447" i="13"/>
  <c r="AD450" i="13"/>
  <c r="BA450" i="13" s="1"/>
  <c r="AD448" i="13"/>
  <c r="BA448" i="13" s="1"/>
  <c r="AD451" i="13"/>
  <c r="BA451" i="13" s="1"/>
  <c r="AD449" i="13"/>
  <c r="BA449" i="13" s="1"/>
  <c r="AD447" i="13"/>
  <c r="BA447" i="13" s="1"/>
  <c r="AC457" i="13"/>
  <c r="Z456" i="13"/>
  <c r="AN456" i="13" s="1"/>
  <c r="AD457" i="13"/>
  <c r="BA457" i="13" s="1"/>
  <c r="AC455" i="13"/>
  <c r="AE455" i="13" s="1"/>
  <c r="AD456" i="13"/>
  <c r="BA456" i="13" s="1"/>
  <c r="AC453" i="13"/>
  <c r="AE453" i="13" s="1"/>
  <c r="AN452" i="13"/>
  <c r="AN454" i="13"/>
  <c r="AC452" i="13"/>
  <c r="AE452" i="13" s="1"/>
  <c r="AL452" i="13" s="1"/>
  <c r="AC454" i="13"/>
  <c r="AE454" i="13" s="1"/>
  <c r="AL454" i="13" s="1"/>
  <c r="AN453" i="13"/>
  <c r="Q451" i="13" l="1"/>
  <c r="N451" i="13"/>
  <c r="Q450" i="13"/>
  <c r="N450" i="13"/>
  <c r="Q449" i="13"/>
  <c r="N449" i="13"/>
  <c r="Q454" i="13"/>
  <c r="N454" i="13"/>
  <c r="Q448" i="13"/>
  <c r="N448" i="13"/>
  <c r="Q457" i="13"/>
  <c r="N457" i="13"/>
  <c r="Q447" i="13"/>
  <c r="N447" i="13"/>
  <c r="Q453" i="13"/>
  <c r="N453" i="13"/>
  <c r="Q452" i="13"/>
  <c r="N452" i="13"/>
  <c r="AE456" i="13"/>
  <c r="AO456" i="13" s="1"/>
  <c r="AY449" i="13"/>
  <c r="AY453" i="13"/>
  <c r="AY450" i="13"/>
  <c r="AY447" i="13"/>
  <c r="AY456" i="13"/>
  <c r="AY454" i="13"/>
  <c r="AY451" i="13"/>
  <c r="AY455" i="13"/>
  <c r="AY448" i="13"/>
  <c r="AY452" i="13"/>
  <c r="AV457" i="13"/>
  <c r="AX457" i="13" s="1"/>
  <c r="AE449" i="13"/>
  <c r="AK449" i="13" s="1"/>
  <c r="AM449" i="13" s="1"/>
  <c r="AE451" i="13"/>
  <c r="AL451" i="13" s="1"/>
  <c r="AE448" i="13"/>
  <c r="AL448" i="13" s="1"/>
  <c r="AE450" i="13"/>
  <c r="AO450" i="13" s="1"/>
  <c r="AE447" i="13"/>
  <c r="AO447" i="13" s="1"/>
  <c r="AE457" i="13"/>
  <c r="AL457" i="13" s="1"/>
  <c r="AO454" i="13"/>
  <c r="AL455" i="13"/>
  <c r="AK455" i="13"/>
  <c r="AM455" i="13" s="1"/>
  <c r="AO455" i="13"/>
  <c r="AL453" i="13"/>
  <c r="AO453" i="13"/>
  <c r="AK454" i="13"/>
  <c r="AM454" i="13" s="1"/>
  <c r="AK453" i="13"/>
  <c r="AM453" i="13" s="1"/>
  <c r="AO452" i="13"/>
  <c r="AK452" i="13"/>
  <c r="AM452" i="13" s="1"/>
  <c r="AK456" i="13" l="1"/>
  <c r="AM456" i="13" s="1"/>
  <c r="AL456" i="13"/>
  <c r="AY457" i="13"/>
  <c r="AK451" i="13"/>
  <c r="AM451" i="13" s="1"/>
  <c r="AO449" i="13"/>
  <c r="AL449" i="13"/>
  <c r="AK448" i="13"/>
  <c r="AM448" i="13" s="1"/>
  <c r="AO451" i="13"/>
  <c r="AO448" i="13"/>
  <c r="AK447" i="13"/>
  <c r="AM447" i="13" s="1"/>
  <c r="AL450" i="13"/>
  <c r="AK450" i="13"/>
  <c r="AM450" i="13" s="1"/>
  <c r="AL447" i="13"/>
  <c r="AK457" i="13"/>
  <c r="AM457" i="13" s="1"/>
  <c r="AO457" i="13"/>
  <c r="Q409" i="11" l="1"/>
  <c r="Q410" i="11"/>
  <c r="Q411" i="11"/>
  <c r="Q412" i="11"/>
  <c r="Q413" i="11"/>
  <c r="Q414" i="11"/>
  <c r="Q415" i="11"/>
  <c r="Q416" i="11"/>
  <c r="Q417" i="11"/>
  <c r="Q418" i="11"/>
  <c r="Q419" i="11"/>
  <c r="Q420" i="11"/>
  <c r="Q421" i="11"/>
  <c r="Q422" i="11"/>
  <c r="Q423" i="11"/>
  <c r="Q424" i="11"/>
  <c r="Q425" i="11"/>
  <c r="Q426" i="11"/>
  <c r="Q427" i="11"/>
  <c r="Q428" i="11"/>
  <c r="Q429" i="11"/>
  <c r="Q430" i="11"/>
  <c r="Q431" i="11"/>
  <c r="Q432" i="11"/>
  <c r="Q433" i="11"/>
  <c r="Q434" i="11"/>
  <c r="Q435" i="11"/>
  <c r="Q436" i="11"/>
  <c r="Q437" i="11"/>
  <c r="Q438" i="11"/>
  <c r="Q439" i="11"/>
  <c r="Q440" i="11"/>
  <c r="Q441" i="11"/>
  <c r="Q442" i="11"/>
  <c r="Q443" i="11"/>
  <c r="Q444" i="11"/>
  <c r="Q445" i="11"/>
  <c r="Q391" i="11"/>
  <c r="Q392" i="11"/>
  <c r="Q393" i="11"/>
  <c r="Q394" i="11"/>
  <c r="Q395" i="11"/>
  <c r="Q396" i="11"/>
  <c r="Q397" i="11"/>
  <c r="Q398" i="11"/>
  <c r="Q399" i="11"/>
  <c r="Q400" i="11"/>
  <c r="Q401" i="11"/>
  <c r="Q402" i="11"/>
  <c r="Q403" i="11"/>
  <c r="Q404" i="11"/>
  <c r="Q405" i="11"/>
  <c r="Q390" i="11"/>
  <c r="Q64" i="11"/>
  <c r="Q407" i="11"/>
  <c r="Q408" i="11"/>
  <c r="Q406" i="11"/>
  <c r="Q387" i="11" l="1"/>
  <c r="Q388" i="11"/>
  <c r="Q386" i="11"/>
  <c r="Q252" i="11"/>
  <c r="Q253" i="11"/>
  <c r="Q254" i="11"/>
  <c r="Q255" i="11"/>
  <c r="Q256" i="11"/>
  <c r="Q257" i="11"/>
  <c r="Q258" i="11"/>
  <c r="Q259" i="11"/>
  <c r="Q260" i="11"/>
  <c r="Q261" i="11"/>
  <c r="Q262" i="11"/>
  <c r="Q263" i="11"/>
  <c r="Q264" i="11"/>
  <c r="Q265" i="11"/>
  <c r="Q266" i="11"/>
  <c r="Q267" i="11"/>
  <c r="Q268" i="11"/>
  <c r="Q269" i="11"/>
  <c r="Q270" i="11"/>
  <c r="Q389" i="11" l="1"/>
  <c r="AD445" i="13"/>
  <c r="BA445" i="13" s="1"/>
  <c r="Z445" i="13"/>
  <c r="AD444" i="13"/>
  <c r="BA444" i="13" s="1"/>
  <c r="Z444" i="13"/>
  <c r="S444" i="13"/>
  <c r="AD443" i="13"/>
  <c r="BA443" i="13" s="1"/>
  <c r="Z443" i="13"/>
  <c r="AD442" i="13"/>
  <c r="BA442" i="13" s="1"/>
  <c r="Z442" i="13"/>
  <c r="S442" i="13"/>
  <c r="AD441" i="13"/>
  <c r="BA441" i="13" s="1"/>
  <c r="Z441" i="13"/>
  <c r="S441" i="13"/>
  <c r="Z440" i="13"/>
  <c r="S440" i="13"/>
  <c r="AD439" i="13"/>
  <c r="BA439" i="13" s="1"/>
  <c r="Z439" i="13"/>
  <c r="AD438" i="13"/>
  <c r="BA438" i="13" s="1"/>
  <c r="Z438" i="13"/>
  <c r="S438" i="13"/>
  <c r="N444" i="13" l="1"/>
  <c r="N440" i="13"/>
  <c r="R417" i="13"/>
  <c r="S417" i="13"/>
  <c r="R445" i="13"/>
  <c r="S445" i="13"/>
  <c r="R420" i="13"/>
  <c r="S420" i="13"/>
  <c r="R416" i="13"/>
  <c r="S416" i="13"/>
  <c r="R412" i="13"/>
  <c r="S412" i="13"/>
  <c r="R419" i="13"/>
  <c r="S419" i="13"/>
  <c r="R415" i="13"/>
  <c r="S415" i="13"/>
  <c r="R439" i="13"/>
  <c r="S439" i="13"/>
  <c r="W439" i="13" s="1"/>
  <c r="R421" i="13"/>
  <c r="S421" i="13"/>
  <c r="R443" i="13"/>
  <c r="S443" i="13"/>
  <c r="W443" i="13" s="1"/>
  <c r="R422" i="13"/>
  <c r="S422" i="13"/>
  <c r="R418" i="13"/>
  <c r="S418" i="13"/>
  <c r="R414" i="13"/>
  <c r="S414" i="13"/>
  <c r="N438" i="13"/>
  <c r="N443" i="13"/>
  <c r="N439" i="13"/>
  <c r="N441" i="13"/>
  <c r="N445" i="13"/>
  <c r="N442" i="13"/>
  <c r="AV439" i="13"/>
  <c r="AX439" i="13" s="1"/>
  <c r="AV444" i="13"/>
  <c r="AX444" i="13" s="1"/>
  <c r="AV440" i="13"/>
  <c r="AX440" i="13" s="1"/>
  <c r="AV441" i="13"/>
  <c r="AX441" i="13" s="1"/>
  <c r="AV445" i="13"/>
  <c r="AX445" i="13" s="1"/>
  <c r="AV438" i="13"/>
  <c r="AX438" i="13" s="1"/>
  <c r="AV443" i="13"/>
  <c r="AX443" i="13" s="1"/>
  <c r="AV442" i="13"/>
  <c r="AX442" i="13" s="1"/>
  <c r="W444" i="13"/>
  <c r="R444" i="13"/>
  <c r="W440" i="13"/>
  <c r="R440" i="13"/>
  <c r="W441" i="13"/>
  <c r="R441" i="13"/>
  <c r="W442" i="13"/>
  <c r="R442" i="13"/>
  <c r="W438" i="13"/>
  <c r="R438" i="13"/>
  <c r="AC440" i="13"/>
  <c r="AN443" i="13"/>
  <c r="AC441" i="13"/>
  <c r="AE441" i="13" s="1"/>
  <c r="AL441" i="13" s="1"/>
  <c r="AN444" i="13"/>
  <c r="AC445" i="13"/>
  <c r="AE445" i="13" s="1"/>
  <c r="AL445" i="13" s="1"/>
  <c r="AN440" i="13"/>
  <c r="AC442" i="13"/>
  <c r="AE442" i="13" s="1"/>
  <c r="AO442" i="13" s="1"/>
  <c r="AC438" i="13"/>
  <c r="AE438" i="13" s="1"/>
  <c r="AL438" i="13" s="1"/>
  <c r="AN441" i="13"/>
  <c r="AN442" i="13"/>
  <c r="AN438" i="13"/>
  <c r="AN439" i="13"/>
  <c r="AD440" i="13"/>
  <c r="BA440" i="13" s="1"/>
  <c r="AN445" i="13"/>
  <c r="AC439" i="13"/>
  <c r="AE439" i="13" s="1"/>
  <c r="AC443" i="13"/>
  <c r="AE443" i="13" s="1"/>
  <c r="AC444" i="13"/>
  <c r="AE444" i="13" s="1"/>
  <c r="AY442" i="13" l="1"/>
  <c r="AY441" i="13"/>
  <c r="AY443" i="13"/>
  <c r="AY440" i="13"/>
  <c r="AY438" i="13"/>
  <c r="AY444" i="13"/>
  <c r="AY445" i="13"/>
  <c r="AY439" i="13"/>
  <c r="AO441" i="13"/>
  <c r="AK441" i="13"/>
  <c r="AM441" i="13" s="1"/>
  <c r="AE440" i="13"/>
  <c r="AO440" i="13" s="1"/>
  <c r="AK438" i="13"/>
  <c r="AM438" i="13" s="1"/>
  <c r="AK445" i="13"/>
  <c r="AM445" i="13" s="1"/>
  <c r="AL442" i="13"/>
  <c r="AO445" i="13"/>
  <c r="AO438" i="13"/>
  <c r="AK442" i="13"/>
  <c r="AM442" i="13" s="1"/>
  <c r="AL443" i="13"/>
  <c r="AO443" i="13"/>
  <c r="AK443" i="13"/>
  <c r="AM443" i="13" s="1"/>
  <c r="AL444" i="13"/>
  <c r="AO444" i="13"/>
  <c r="AK444" i="13"/>
  <c r="AM444" i="13" s="1"/>
  <c r="W445" i="13"/>
  <c r="AL439" i="13"/>
  <c r="AO439" i="13"/>
  <c r="AK439" i="13"/>
  <c r="AM439" i="13" s="1"/>
  <c r="Q438" i="13" l="1"/>
  <c r="Q443" i="13"/>
  <c r="Q440" i="13"/>
  <c r="Q441" i="13"/>
  <c r="Q445" i="13"/>
  <c r="Q439" i="13"/>
  <c r="Q444" i="13"/>
  <c r="Q442" i="13"/>
  <c r="AL440" i="13"/>
  <c r="AK440" i="13"/>
  <c r="AM440" i="13" s="1"/>
  <c r="AD437" i="13" l="1"/>
  <c r="BA437" i="13" s="1"/>
  <c r="Z437" i="13"/>
  <c r="S437" i="13"/>
  <c r="AD436" i="13"/>
  <c r="BA436" i="13" s="1"/>
  <c r="Z436" i="13"/>
  <c r="AD435" i="13"/>
  <c r="BA435" i="13" s="1"/>
  <c r="Z435" i="13"/>
  <c r="S435" i="13"/>
  <c r="S434" i="13"/>
  <c r="Z412" i="13"/>
  <c r="W412" i="13"/>
  <c r="Q436" i="13" l="1"/>
  <c r="N436" i="13"/>
  <c r="Q437" i="13"/>
  <c r="N437" i="13"/>
  <c r="Q435" i="13"/>
  <c r="N435" i="13"/>
  <c r="Q434" i="13"/>
  <c r="N434" i="13"/>
  <c r="AA411" i="13"/>
  <c r="AA415" i="13"/>
  <c r="AA419" i="13"/>
  <c r="AA412" i="13"/>
  <c r="AD412" i="13" s="1"/>
  <c r="BA412" i="13" s="1"/>
  <c r="AA416" i="13"/>
  <c r="AA420" i="13"/>
  <c r="AA413" i="13"/>
  <c r="AA417" i="13"/>
  <c r="AA421" i="13"/>
  <c r="AA410" i="13"/>
  <c r="AA414" i="13"/>
  <c r="AA418" i="13"/>
  <c r="AA422" i="13"/>
  <c r="R436" i="13"/>
  <c r="S436" i="13"/>
  <c r="W436" i="13" s="1"/>
  <c r="AV435" i="13"/>
  <c r="AX435" i="13" s="1"/>
  <c r="AV436" i="13"/>
  <c r="AX436" i="13" s="1"/>
  <c r="AV437" i="13"/>
  <c r="AX437" i="13" s="1"/>
  <c r="AV434" i="13"/>
  <c r="AX434" i="13" s="1"/>
  <c r="W435" i="13"/>
  <c r="R435" i="13"/>
  <c r="W434" i="13"/>
  <c r="R434" i="13"/>
  <c r="W437" i="13"/>
  <c r="R437" i="13"/>
  <c r="AN436" i="13"/>
  <c r="AC435" i="13"/>
  <c r="AE435" i="13" s="1"/>
  <c r="AC437" i="13"/>
  <c r="AE437" i="13" s="1"/>
  <c r="AK437" i="13" s="1"/>
  <c r="AM437" i="13" s="1"/>
  <c r="AN437" i="13"/>
  <c r="AN435" i="13"/>
  <c r="AC434" i="13"/>
  <c r="AD434" i="13"/>
  <c r="BA434" i="13" s="1"/>
  <c r="Z434" i="13"/>
  <c r="AN434" i="13" s="1"/>
  <c r="AC436" i="13"/>
  <c r="AE436" i="13" s="1"/>
  <c r="AN412" i="13"/>
  <c r="Q319" i="11"/>
  <c r="Q318" i="11"/>
  <c r="Q317" i="11"/>
  <c r="Q316" i="11"/>
  <c r="Q315" i="11"/>
  <c r="Q313" i="11"/>
  <c r="Q312" i="11"/>
  <c r="Q311" i="11"/>
  <c r="Q310" i="11"/>
  <c r="Q309" i="11"/>
  <c r="Q308" i="11"/>
  <c r="Q307" i="11"/>
  <c r="Q306" i="11"/>
  <c r="Q305" i="11"/>
  <c r="Q304" i="11"/>
  <c r="Q303" i="11"/>
  <c r="Q384" i="11"/>
  <c r="Q383" i="11"/>
  <c r="Q382" i="11"/>
  <c r="Q381" i="11"/>
  <c r="Q380" i="11"/>
  <c r="Q379" i="11"/>
  <c r="Q378" i="11"/>
  <c r="Q377" i="11"/>
  <c r="Q376" i="11"/>
  <c r="Q375" i="11"/>
  <c r="Q374" i="11"/>
  <c r="Q373" i="11"/>
  <c r="Q372" i="11"/>
  <c r="Q371" i="11"/>
  <c r="Q370" i="11"/>
  <c r="Q369" i="11"/>
  <c r="Q368" i="11"/>
  <c r="Q367" i="11"/>
  <c r="Q366" i="11"/>
  <c r="Q365" i="11"/>
  <c r="Q364" i="11"/>
  <c r="Q363" i="11"/>
  <c r="Q362" i="11"/>
  <c r="Q361" i="11"/>
  <c r="Q360" i="11"/>
  <c r="Q359" i="11"/>
  <c r="Q358" i="11"/>
  <c r="Q357" i="11"/>
  <c r="Q356" i="11"/>
  <c r="Q355" i="11"/>
  <c r="Q354" i="11"/>
  <c r="Q353" i="11"/>
  <c r="Q352" i="11"/>
  <c r="Q351" i="11"/>
  <c r="Q350" i="11"/>
  <c r="Q349" i="11"/>
  <c r="Q348" i="11"/>
  <c r="Q347" i="11"/>
  <c r="Q346" i="11"/>
  <c r="Q345" i="11"/>
  <c r="Q344" i="11"/>
  <c r="Q343" i="11"/>
  <c r="Q342" i="11"/>
  <c r="Q341" i="11"/>
  <c r="Q340" i="11"/>
  <c r="Q339" i="11"/>
  <c r="Q338" i="11"/>
  <c r="Q337" i="11"/>
  <c r="Q336" i="11"/>
  <c r="Q335" i="11"/>
  <c r="Q334" i="11"/>
  <c r="Q333" i="11"/>
  <c r="Q332" i="11"/>
  <c r="Q331" i="11"/>
  <c r="Q330" i="11"/>
  <c r="Q329" i="11"/>
  <c r="Q328" i="11"/>
  <c r="Q327" i="11"/>
  <c r="Q326" i="11"/>
  <c r="Q325" i="11"/>
  <c r="Q324" i="11"/>
  <c r="Q323" i="11"/>
  <c r="Q322" i="11"/>
  <c r="Q321" i="11"/>
  <c r="Q314" i="11"/>
  <c r="AC412" i="13" l="1"/>
  <c r="AE412" i="13" s="1"/>
  <c r="AK412" i="13" s="1"/>
  <c r="AM412" i="13" s="1"/>
  <c r="AY434" i="13"/>
  <c r="AY437" i="13"/>
  <c r="AY436" i="13"/>
  <c r="AY435" i="13"/>
  <c r="AV412" i="13"/>
  <c r="AX412" i="13" s="1"/>
  <c r="AL435" i="13"/>
  <c r="AO435" i="13"/>
  <c r="AK435" i="13"/>
  <c r="AM435" i="13" s="1"/>
  <c r="AO437" i="13"/>
  <c r="AL437" i="13"/>
  <c r="AE434" i="13"/>
  <c r="AO434" i="13" s="1"/>
  <c r="AL436" i="13"/>
  <c r="AO436" i="13"/>
  <c r="AK436" i="13"/>
  <c r="AM436" i="13" s="1"/>
  <c r="AD421" i="13"/>
  <c r="BA421" i="13" s="1"/>
  <c r="Z421" i="13"/>
  <c r="Z420" i="13"/>
  <c r="AD419" i="13"/>
  <c r="BA419" i="13" s="1"/>
  <c r="Z419" i="13"/>
  <c r="AD418" i="13"/>
  <c r="BA418" i="13" s="1"/>
  <c r="Z418" i="13"/>
  <c r="AD417" i="13"/>
  <c r="BA417" i="13" s="1"/>
  <c r="Z417" i="13"/>
  <c r="AD416" i="13"/>
  <c r="BA416" i="13" s="1"/>
  <c r="Z416" i="13"/>
  <c r="AD415" i="13"/>
  <c r="BA415" i="13" s="1"/>
  <c r="Z415" i="13"/>
  <c r="AD414" i="13"/>
  <c r="BA414" i="13" s="1"/>
  <c r="Z414" i="13"/>
  <c r="AD413" i="13"/>
  <c r="BA413" i="13" s="1"/>
  <c r="Z413" i="13"/>
  <c r="AD411" i="13"/>
  <c r="BA411" i="13" s="1"/>
  <c r="Z411" i="13"/>
  <c r="S411" i="13"/>
  <c r="AD410" i="13"/>
  <c r="BA410" i="13" s="1"/>
  <c r="Z410" i="13"/>
  <c r="Z428" i="13"/>
  <c r="S428" i="13"/>
  <c r="AD427" i="13"/>
  <c r="BA427" i="13" s="1"/>
  <c r="Z427" i="13"/>
  <c r="AD426" i="13"/>
  <c r="BA426" i="13" s="1"/>
  <c r="Z426" i="13"/>
  <c r="S426" i="13"/>
  <c r="AD425" i="13"/>
  <c r="BA425" i="13" s="1"/>
  <c r="Z425" i="13"/>
  <c r="S425" i="13"/>
  <c r="AD424" i="13"/>
  <c r="BA424" i="13" s="1"/>
  <c r="Z424" i="13"/>
  <c r="S424" i="13"/>
  <c r="AD423" i="13"/>
  <c r="BA423" i="13" s="1"/>
  <c r="Z423" i="13"/>
  <c r="Q427" i="13" l="1"/>
  <c r="N427" i="13"/>
  <c r="Q428" i="13"/>
  <c r="N428" i="13"/>
  <c r="Q425" i="13"/>
  <c r="N425" i="13"/>
  <c r="Q426" i="13"/>
  <c r="N426" i="13"/>
  <c r="Q412" i="13"/>
  <c r="N412" i="13"/>
  <c r="R423" i="13"/>
  <c r="S423" i="13"/>
  <c r="W423" i="13" s="1"/>
  <c r="R410" i="13"/>
  <c r="S410" i="13"/>
  <c r="W410" i="13" s="1"/>
  <c r="R413" i="13"/>
  <c r="S413" i="13"/>
  <c r="W413" i="13" s="1"/>
  <c r="R427" i="13"/>
  <c r="S427" i="13"/>
  <c r="W427" i="13" s="1"/>
  <c r="AY412" i="13"/>
  <c r="AV423" i="13"/>
  <c r="AX423" i="13" s="1"/>
  <c r="AV414" i="13"/>
  <c r="AX414" i="13" s="1"/>
  <c r="AV415" i="13"/>
  <c r="AX415" i="13" s="1"/>
  <c r="AV424" i="13"/>
  <c r="AX424" i="13" s="1"/>
  <c r="AV410" i="13"/>
  <c r="AX410" i="13" s="1"/>
  <c r="AV416" i="13"/>
  <c r="AX416" i="13" s="1"/>
  <c r="AV417" i="13"/>
  <c r="AX417" i="13" s="1"/>
  <c r="AV413" i="13"/>
  <c r="AX413" i="13" s="1"/>
  <c r="AV420" i="13"/>
  <c r="AX420" i="13" s="1"/>
  <c r="AV411" i="13"/>
  <c r="AX411" i="13" s="1"/>
  <c r="AV418" i="13"/>
  <c r="AX418" i="13" s="1"/>
  <c r="AV419" i="13"/>
  <c r="AX419" i="13" s="1"/>
  <c r="AV421" i="13"/>
  <c r="AX421" i="13" s="1"/>
  <c r="AV428" i="13"/>
  <c r="AX428" i="13" s="1"/>
  <c r="AV425" i="13"/>
  <c r="AX425" i="13" s="1"/>
  <c r="AV426" i="13"/>
  <c r="AX426" i="13" s="1"/>
  <c r="AV427" i="13"/>
  <c r="AX427" i="13" s="1"/>
  <c r="W424" i="13"/>
  <c r="R424" i="13"/>
  <c r="W428" i="13"/>
  <c r="R428" i="13"/>
  <c r="W425" i="13"/>
  <c r="R425" i="13"/>
  <c r="W411" i="13"/>
  <c r="R411" i="13"/>
  <c r="W426" i="13"/>
  <c r="R426" i="13"/>
  <c r="AO412" i="13"/>
  <c r="AL412" i="13"/>
  <c r="AK434" i="13"/>
  <c r="AM434" i="13" s="1"/>
  <c r="AL434" i="13"/>
  <c r="AC428" i="13"/>
  <c r="AN410" i="13"/>
  <c r="AN423" i="13"/>
  <c r="W419" i="13"/>
  <c r="AN419" i="13"/>
  <c r="AC413" i="13"/>
  <c r="AE413" i="13" s="1"/>
  <c r="W415" i="13"/>
  <c r="AN415" i="13"/>
  <c r="AN425" i="13"/>
  <c r="AN417" i="13"/>
  <c r="AC420" i="13"/>
  <c r="AN413" i="13"/>
  <c r="AC416" i="13"/>
  <c r="AE416" i="13" s="1"/>
  <c r="AN420" i="13"/>
  <c r="AN414" i="13"/>
  <c r="AN416" i="13"/>
  <c r="AN411" i="13"/>
  <c r="W417" i="13"/>
  <c r="AC418" i="13"/>
  <c r="AE418" i="13" s="1"/>
  <c r="AL418" i="13" s="1"/>
  <c r="AC421" i="13"/>
  <c r="AE421" i="13" s="1"/>
  <c r="AK421" i="13" s="1"/>
  <c r="AM421" i="13" s="1"/>
  <c r="AN418" i="13"/>
  <c r="W421" i="13"/>
  <c r="AC411" i="13"/>
  <c r="AE411" i="13" s="1"/>
  <c r="AO411" i="13" s="1"/>
  <c r="AC414" i="13"/>
  <c r="AE414" i="13" s="1"/>
  <c r="AO414" i="13" s="1"/>
  <c r="AC417" i="13"/>
  <c r="AE417" i="13" s="1"/>
  <c r="AO417" i="13" s="1"/>
  <c r="AD420" i="13"/>
  <c r="BA420" i="13" s="1"/>
  <c r="AN421" i="13"/>
  <c r="W414" i="13"/>
  <c r="W416" i="13"/>
  <c r="W418" i="13"/>
  <c r="W420" i="13"/>
  <c r="AC410" i="13"/>
  <c r="AE410" i="13" s="1"/>
  <c r="AC415" i="13"/>
  <c r="AE415" i="13" s="1"/>
  <c r="AC419" i="13"/>
  <c r="AE419" i="13" s="1"/>
  <c r="AN424" i="13"/>
  <c r="AC425" i="13"/>
  <c r="AE425" i="13" s="1"/>
  <c r="AL425" i="13" s="1"/>
  <c r="AC426" i="13"/>
  <c r="AE426" i="13" s="1"/>
  <c r="AK426" i="13" s="1"/>
  <c r="AM426" i="13" s="1"/>
  <c r="AC424" i="13"/>
  <c r="AE424" i="13" s="1"/>
  <c r="AO424" i="13" s="1"/>
  <c r="AD428" i="13"/>
  <c r="BA428" i="13" s="1"/>
  <c r="AN426" i="13"/>
  <c r="AN427" i="13"/>
  <c r="AN428" i="13"/>
  <c r="AC423" i="13"/>
  <c r="AE423" i="13" s="1"/>
  <c r="AC427" i="13"/>
  <c r="AE427" i="13" s="1"/>
  <c r="Q416" i="13" l="1"/>
  <c r="N416" i="13"/>
  <c r="Q423" i="13"/>
  <c r="N423" i="13"/>
  <c r="Q421" i="13"/>
  <c r="N421" i="13"/>
  <c r="Q419" i="13"/>
  <c r="N419" i="13"/>
  <c r="Q410" i="13"/>
  <c r="N410" i="13"/>
  <c r="Q420" i="13"/>
  <c r="N420" i="13"/>
  <c r="Q417" i="13"/>
  <c r="N417" i="13"/>
  <c r="Q418" i="13"/>
  <c r="N418" i="13"/>
  <c r="Q415" i="13"/>
  <c r="N415" i="13"/>
  <c r="Q424" i="13"/>
  <c r="N424" i="13"/>
  <c r="Q411" i="13"/>
  <c r="N411" i="13"/>
  <c r="Q414" i="13"/>
  <c r="N414" i="13"/>
  <c r="Q413" i="13"/>
  <c r="N413" i="13"/>
  <c r="AY425" i="13"/>
  <c r="AY419" i="13"/>
  <c r="AY413" i="13"/>
  <c r="AY424" i="13"/>
  <c r="AY428" i="13"/>
  <c r="AY418" i="13"/>
  <c r="AY417" i="13"/>
  <c r="AY415" i="13"/>
  <c r="AY427" i="13"/>
  <c r="AY411" i="13"/>
  <c r="AY416" i="13"/>
  <c r="AY414" i="13"/>
  <c r="AY426" i="13"/>
  <c r="AY421" i="13"/>
  <c r="AY420" i="13"/>
  <c r="AY410" i="13"/>
  <c r="AY423" i="13"/>
  <c r="AE420" i="13"/>
  <c r="AL420" i="13" s="1"/>
  <c r="AE428" i="13"/>
  <c r="AK428" i="13" s="1"/>
  <c r="AM428" i="13" s="1"/>
  <c r="AO425" i="13"/>
  <c r="AL414" i="13"/>
  <c r="AK425" i="13"/>
  <c r="AM425" i="13" s="1"/>
  <c r="AK414" i="13"/>
  <c r="AM414" i="13" s="1"/>
  <c r="AL421" i="13"/>
  <c r="AL411" i="13"/>
  <c r="AL417" i="13"/>
  <c r="AL416" i="13"/>
  <c r="AO416" i="13"/>
  <c r="AK416" i="13"/>
  <c r="AM416" i="13" s="1"/>
  <c r="AO426" i="13"/>
  <c r="AK418" i="13"/>
  <c r="AM418" i="13" s="1"/>
  <c r="AK411" i="13"/>
  <c r="AM411" i="13" s="1"/>
  <c r="AO418" i="13"/>
  <c r="AO421" i="13"/>
  <c r="AK417" i="13"/>
  <c r="AM417" i="13" s="1"/>
  <c r="AL413" i="13"/>
  <c r="AO413" i="13"/>
  <c r="AK413" i="13"/>
  <c r="AM413" i="13" s="1"/>
  <c r="AL419" i="13"/>
  <c r="AO419" i="13"/>
  <c r="AK419" i="13"/>
  <c r="AM419" i="13" s="1"/>
  <c r="AL415" i="13"/>
  <c r="AO415" i="13"/>
  <c r="AK415" i="13"/>
  <c r="AM415" i="13" s="1"/>
  <c r="AL410" i="13"/>
  <c r="AO410" i="13"/>
  <c r="AK410" i="13"/>
  <c r="AM410" i="13" s="1"/>
  <c r="AL426" i="13"/>
  <c r="AK424" i="13"/>
  <c r="AM424" i="13" s="1"/>
  <c r="AL424" i="13"/>
  <c r="AL427" i="13"/>
  <c r="AO427" i="13"/>
  <c r="AK427" i="13"/>
  <c r="AM427" i="13" s="1"/>
  <c r="AL423" i="13"/>
  <c r="AO423" i="13"/>
  <c r="AK423" i="13"/>
  <c r="AM423" i="13" s="1"/>
  <c r="AL428" i="13" l="1"/>
  <c r="AK420" i="13"/>
  <c r="AM420" i="13" s="1"/>
  <c r="AO420" i="13"/>
  <c r="AO428" i="13"/>
  <c r="Q300" i="11" l="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301" i="11"/>
  <c r="R363" i="13" l="1"/>
  <c r="S363" i="13"/>
  <c r="Q247" i="11"/>
  <c r="Q246" i="11"/>
  <c r="Q245" i="11"/>
  <c r="Q244" i="11"/>
  <c r="Q243" i="11"/>
  <c r="Q242" i="11"/>
  <c r="Q241" i="11"/>
  <c r="Q240" i="11"/>
  <c r="Q239" i="11"/>
  <c r="Q238" i="11"/>
  <c r="Q237" i="11"/>
  <c r="Q236" i="11"/>
  <c r="Q235" i="11"/>
  <c r="Q234" i="11"/>
  <c r="Q233" i="11"/>
  <c r="Q232" i="11"/>
  <c r="Q231" i="11"/>
  <c r="Q230" i="11"/>
  <c r="Q229" i="11"/>
  <c r="Q228" i="11"/>
  <c r="Q227" i="11"/>
  <c r="Q226" i="11"/>
  <c r="Q225" i="11"/>
  <c r="Q224" i="11"/>
  <c r="Q216" i="11"/>
  <c r="Q215" i="11"/>
  <c r="Q214" i="11"/>
  <c r="Q213" i="11"/>
  <c r="Q212" i="11"/>
  <c r="Q211" i="11"/>
  <c r="Q210" i="11"/>
  <c r="Q209" i="11"/>
  <c r="Q208" i="11"/>
  <c r="Q207" i="11"/>
  <c r="Q206" i="11"/>
  <c r="Q205" i="11"/>
  <c r="Q203" i="11"/>
  <c r="Q202" i="11"/>
  <c r="Q201" i="11"/>
  <c r="Q200" i="11"/>
  <c r="Q199" i="11"/>
  <c r="Q198" i="11"/>
  <c r="Q197" i="11"/>
  <c r="Q196" i="11"/>
  <c r="Q195" i="11"/>
  <c r="Q194" i="11"/>
  <c r="Q193" i="11"/>
  <c r="Q192" i="11"/>
  <c r="Q191" i="11"/>
  <c r="Q190" i="11"/>
  <c r="Q188" i="11"/>
  <c r="Q187" i="11"/>
  <c r="Q249" i="11"/>
  <c r="Z336" i="13" l="1"/>
  <c r="Z335" i="13" l="1"/>
  <c r="S335" i="13"/>
  <c r="AV335" i="13" l="1"/>
  <c r="AX335" i="13" s="1"/>
  <c r="W335" i="13"/>
  <c r="AC335" i="13"/>
  <c r="AD335" i="13"/>
  <c r="BA335" i="13" s="1"/>
  <c r="AN335" i="13"/>
  <c r="Q250" i="11"/>
  <c r="Q248" i="11"/>
  <c r="Q223" i="11"/>
  <c r="Q222" i="11"/>
  <c r="Q221" i="11"/>
  <c r="Q220" i="11"/>
  <c r="Q219" i="11"/>
  <c r="Q218" i="11"/>
  <c r="Q217" i="11"/>
  <c r="Q204" i="11"/>
  <c r="Q189" i="11"/>
  <c r="AY335" i="13" l="1"/>
  <c r="AE335" i="13"/>
  <c r="AL335" i="13" s="1"/>
  <c r="A921" i="60"/>
  <c r="A922" i="60" s="1"/>
  <c r="A923" i="60" s="1"/>
  <c r="A924" i="60" s="1"/>
  <c r="A925" i="60" s="1"/>
  <c r="A926" i="60" s="1"/>
  <c r="A927" i="60" s="1"/>
  <c r="A928" i="60" s="1"/>
  <c r="A929" i="60" s="1"/>
  <c r="A930" i="60" s="1"/>
  <c r="A931" i="60" s="1"/>
  <c r="A932" i="60" s="1"/>
  <c r="A933" i="60" s="1"/>
  <c r="A934" i="60" s="1"/>
  <c r="A935" i="60" s="1"/>
  <c r="A936" i="60" s="1"/>
  <c r="A937" i="60" s="1"/>
  <c r="A938" i="60" s="1"/>
  <c r="A939" i="60" s="1"/>
  <c r="A940" i="60" s="1"/>
  <c r="A941" i="60" s="1"/>
  <c r="A942" i="60" s="1"/>
  <c r="A445" i="60"/>
  <c r="A446" i="60" s="1"/>
  <c r="A447" i="60" s="1"/>
  <c r="A448" i="60" s="1"/>
  <c r="A449" i="60" s="1"/>
  <c r="A450" i="60" s="1"/>
  <c r="A451" i="60" s="1"/>
  <c r="A452" i="60" s="1"/>
  <c r="A453" i="60" s="1"/>
  <c r="A454" i="60" s="1"/>
  <c r="A455" i="60" s="1"/>
  <c r="A456" i="60" s="1"/>
  <c r="A457" i="60" s="1"/>
  <c r="A458" i="60" s="1"/>
  <c r="A459" i="60" s="1"/>
  <c r="A460" i="60" s="1"/>
  <c r="A461" i="60" s="1"/>
  <c r="A462" i="60" s="1"/>
  <c r="A463" i="60" s="1"/>
  <c r="A464" i="60" s="1"/>
  <c r="A465" i="60" s="1"/>
  <c r="A466" i="60" s="1"/>
  <c r="A467" i="60" s="1"/>
  <c r="A468" i="60" s="1"/>
  <c r="A469" i="60" s="1"/>
  <c r="A470" i="60" s="1"/>
  <c r="A471" i="60" s="1"/>
  <c r="A472" i="60" s="1"/>
  <c r="A473" i="60" s="1"/>
  <c r="A474" i="60" s="1"/>
  <c r="A475" i="60" s="1"/>
  <c r="A476" i="60" s="1"/>
  <c r="A477" i="60" s="1"/>
  <c r="A478" i="60" s="1"/>
  <c r="A479" i="60" s="1"/>
  <c r="A480" i="60" s="1"/>
  <c r="A481" i="60" s="1"/>
  <c r="A482" i="60" s="1"/>
  <c r="A483" i="60" s="1"/>
  <c r="A484" i="60" s="1"/>
  <c r="A485" i="60" s="1"/>
  <c r="A486" i="60" s="1"/>
  <c r="A487" i="60" s="1"/>
  <c r="A488" i="60" s="1"/>
  <c r="A489" i="60" s="1"/>
  <c r="A490" i="60" s="1"/>
  <c r="A491" i="60" s="1"/>
  <c r="A492" i="60" s="1"/>
  <c r="A493" i="60" s="1"/>
  <c r="A494" i="60" s="1"/>
  <c r="A495" i="60" s="1"/>
  <c r="A496" i="60" s="1"/>
  <c r="A497" i="60" s="1"/>
  <c r="A498" i="60" s="1"/>
  <c r="A499" i="60" s="1"/>
  <c r="A500" i="60" s="1"/>
  <c r="A501" i="60" s="1"/>
  <c r="A502" i="60" s="1"/>
  <c r="A503" i="60" s="1"/>
  <c r="A504" i="60" s="1"/>
  <c r="A505" i="60" s="1"/>
  <c r="A506" i="60" s="1"/>
  <c r="A507" i="60" s="1"/>
  <c r="A508" i="60" s="1"/>
  <c r="A509" i="60" s="1"/>
  <c r="A510" i="60" s="1"/>
  <c r="A511" i="60" s="1"/>
  <c r="A512" i="60" s="1"/>
  <c r="A513" i="60" s="1"/>
  <c r="A514" i="60" s="1"/>
  <c r="A515" i="60" s="1"/>
  <c r="A516" i="60" s="1"/>
  <c r="A517" i="60" s="1"/>
  <c r="A518" i="60" s="1"/>
  <c r="A519" i="60" s="1"/>
  <c r="A520" i="60" s="1"/>
  <c r="A521" i="60" s="1"/>
  <c r="A522" i="60" s="1"/>
  <c r="A523" i="60" s="1"/>
  <c r="A524" i="60" s="1"/>
  <c r="A525" i="60" s="1"/>
  <c r="A526" i="60" s="1"/>
  <c r="A527" i="60" s="1"/>
  <c r="A528" i="60" s="1"/>
  <c r="A529" i="60" s="1"/>
  <c r="A530" i="60" s="1"/>
  <c r="A531" i="60" s="1"/>
  <c r="A532" i="60" s="1"/>
  <c r="A533" i="60" s="1"/>
  <c r="A534" i="60" s="1"/>
  <c r="A535" i="60" s="1"/>
  <c r="A536" i="60" s="1"/>
  <c r="A537" i="60" s="1"/>
  <c r="A538" i="60" s="1"/>
  <c r="A539" i="60" s="1"/>
  <c r="A540" i="60" s="1"/>
  <c r="A541" i="60" s="1"/>
  <c r="A542" i="60" s="1"/>
  <c r="A543" i="60" s="1"/>
  <c r="A544" i="60" s="1"/>
  <c r="A545" i="60" s="1"/>
  <c r="A546" i="60" s="1"/>
  <c r="A547" i="60" s="1"/>
  <c r="A548" i="60" s="1"/>
  <c r="A549" i="60" s="1"/>
  <c r="A550" i="60" s="1"/>
  <c r="A551" i="60" s="1"/>
  <c r="A552" i="60" s="1"/>
  <c r="A553" i="60" s="1"/>
  <c r="A554" i="60" s="1"/>
  <c r="A555" i="60" s="1"/>
  <c r="A556" i="60" s="1"/>
  <c r="A557" i="60" s="1"/>
  <c r="A558" i="60" s="1"/>
  <c r="A559" i="60" s="1"/>
  <c r="A560" i="60" s="1"/>
  <c r="A561" i="60" s="1"/>
  <c r="A562" i="60" s="1"/>
  <c r="A563" i="60" s="1"/>
  <c r="A564" i="60" s="1"/>
  <c r="A565" i="60" s="1"/>
  <c r="A566" i="60" s="1"/>
  <c r="A567" i="60" s="1"/>
  <c r="A568" i="60" s="1"/>
  <c r="A569" i="60" s="1"/>
  <c r="A570" i="60" s="1"/>
  <c r="A571" i="60" s="1"/>
  <c r="A572" i="60" s="1"/>
  <c r="A573" i="60" s="1"/>
  <c r="A574" i="60" s="1"/>
  <c r="A575" i="60" s="1"/>
  <c r="A576" i="60"/>
  <c r="A577" i="60" s="1"/>
  <c r="A578" i="60" s="1"/>
  <c r="A579" i="60" s="1"/>
  <c r="A580" i="60" s="1"/>
  <c r="A581" i="60" s="1"/>
  <c r="A582" i="60" s="1"/>
  <c r="A583" i="60" s="1"/>
  <c r="A584" i="60"/>
  <c r="A585" i="60" s="1"/>
  <c r="A586" i="60" s="1"/>
  <c r="A587" i="60" s="1"/>
  <c r="A588" i="60" s="1"/>
  <c r="A589" i="60" s="1"/>
  <c r="A590" i="60" s="1"/>
  <c r="A591" i="60" s="1"/>
  <c r="A592" i="60" s="1"/>
  <c r="A593" i="60" s="1"/>
  <c r="A594" i="60" s="1"/>
  <c r="A595" i="60" s="1"/>
  <c r="A596" i="60" s="1"/>
  <c r="A597" i="60" s="1"/>
  <c r="A598" i="60" s="1"/>
  <c r="A599" i="60" s="1"/>
  <c r="A600" i="60" s="1"/>
  <c r="A601" i="60" s="1"/>
  <c r="A602" i="60" s="1"/>
  <c r="A603" i="60" s="1"/>
  <c r="A604" i="60" s="1"/>
  <c r="A605" i="60" s="1"/>
  <c r="A606" i="60" s="1"/>
  <c r="A607" i="60" s="1"/>
  <c r="A608" i="60" s="1"/>
  <c r="A609" i="60" s="1"/>
  <c r="A610" i="60" s="1"/>
  <c r="A611" i="60" s="1"/>
  <c r="A612" i="60" s="1"/>
  <c r="A613" i="60" s="1"/>
  <c r="A614" i="60" s="1"/>
  <c r="A615" i="60" s="1"/>
  <c r="A616" i="60" s="1"/>
  <c r="A617" i="60" s="1"/>
  <c r="A618" i="60" s="1"/>
  <c r="A619" i="60" s="1"/>
  <c r="A620" i="60" s="1"/>
  <c r="A621" i="60" s="1"/>
  <c r="A622" i="60" s="1"/>
  <c r="A623" i="60" s="1"/>
  <c r="A624" i="60" s="1"/>
  <c r="A625" i="60" s="1"/>
  <c r="A626" i="60" s="1"/>
  <c r="A627" i="60" s="1"/>
  <c r="A628" i="60" s="1"/>
  <c r="A629" i="60" s="1"/>
  <c r="A630" i="60" s="1"/>
  <c r="A631" i="60" s="1"/>
  <c r="A632" i="60" s="1"/>
  <c r="A633" i="60" s="1"/>
  <c r="A634" i="60" s="1"/>
  <c r="A635" i="60" s="1"/>
  <c r="A636" i="60" s="1"/>
  <c r="A637" i="60" s="1"/>
  <c r="A638" i="60" s="1"/>
  <c r="A639" i="60" s="1"/>
  <c r="A640" i="60" s="1"/>
  <c r="A641" i="60" s="1"/>
  <c r="A642" i="60" s="1"/>
  <c r="A643" i="60" s="1"/>
  <c r="A644" i="60" s="1"/>
  <c r="A645" i="60" s="1"/>
  <c r="A646" i="60" s="1"/>
  <c r="A647" i="60" s="1"/>
  <c r="A648" i="60" s="1"/>
  <c r="A649" i="60" s="1"/>
  <c r="A650" i="60" s="1"/>
  <c r="A651" i="60" s="1"/>
  <c r="A652" i="60" s="1"/>
  <c r="A653" i="60" s="1"/>
  <c r="A654" i="60" s="1"/>
  <c r="A655" i="60" s="1"/>
  <c r="A656" i="60" s="1"/>
  <c r="A657" i="60" s="1"/>
  <c r="A658" i="60" s="1"/>
  <c r="A659" i="60" s="1"/>
  <c r="A660" i="60" s="1"/>
  <c r="A661" i="60" s="1"/>
  <c r="A662" i="60" s="1"/>
  <c r="A663" i="60" s="1"/>
  <c r="A664" i="60" s="1"/>
  <c r="A665" i="60" s="1"/>
  <c r="A666" i="60" s="1"/>
  <c r="A667" i="60" s="1"/>
  <c r="A668" i="60" s="1"/>
  <c r="A669" i="60" s="1"/>
  <c r="A670" i="60" s="1"/>
  <c r="A671" i="60" s="1"/>
  <c r="A672" i="60" s="1"/>
  <c r="A673" i="60" s="1"/>
  <c r="A674" i="60" s="1"/>
  <c r="A675" i="60" s="1"/>
  <c r="A676" i="60" s="1"/>
  <c r="A677" i="60" s="1"/>
  <c r="A678" i="60" s="1"/>
  <c r="A679" i="60" s="1"/>
  <c r="A680" i="60" s="1"/>
  <c r="A681" i="60" s="1"/>
  <c r="A682" i="60" s="1"/>
  <c r="A683" i="60" s="1"/>
  <c r="A684" i="60" s="1"/>
  <c r="A685" i="60" s="1"/>
  <c r="A686" i="60" s="1"/>
  <c r="A687" i="60" s="1"/>
  <c r="A688" i="60" s="1"/>
  <c r="A689" i="60" s="1"/>
  <c r="A690" i="60" s="1"/>
  <c r="A691" i="60" s="1"/>
  <c r="A692" i="60" s="1"/>
  <c r="A693" i="60" s="1"/>
  <c r="A694" i="60" s="1"/>
  <c r="A695" i="60" s="1"/>
  <c r="A696" i="60" s="1"/>
  <c r="A697" i="60" s="1"/>
  <c r="A698" i="60" s="1"/>
  <c r="A699" i="60" s="1"/>
  <c r="A700" i="60" s="1"/>
  <c r="A701" i="60" s="1"/>
  <c r="A702" i="60" s="1"/>
  <c r="A703" i="60" s="1"/>
  <c r="A704" i="60" s="1"/>
  <c r="A705" i="60" s="1"/>
  <c r="A706" i="60" s="1"/>
  <c r="A707" i="60" s="1"/>
  <c r="A708" i="60" s="1"/>
  <c r="A709" i="60" s="1"/>
  <c r="A710" i="60" s="1"/>
  <c r="A711" i="60" s="1"/>
  <c r="A712" i="60" s="1"/>
  <c r="A713" i="60" s="1"/>
  <c r="A714" i="60" s="1"/>
  <c r="A715" i="60" s="1"/>
  <c r="A716" i="60" s="1"/>
  <c r="A717" i="60" s="1"/>
  <c r="A718" i="60" s="1"/>
  <c r="A719" i="60" s="1"/>
  <c r="A720" i="60" s="1"/>
  <c r="A721" i="60" s="1"/>
  <c r="A722" i="60" s="1"/>
  <c r="A723" i="60" s="1"/>
  <c r="A724" i="60" s="1"/>
  <c r="A725" i="60" s="1"/>
  <c r="A726" i="60" s="1"/>
  <c r="A727" i="60" s="1"/>
  <c r="A728" i="60" s="1"/>
  <c r="A729" i="60" s="1"/>
  <c r="A730" i="60" s="1"/>
  <c r="A731" i="60" s="1"/>
  <c r="A732" i="60" s="1"/>
  <c r="A733" i="60" s="1"/>
  <c r="A734" i="60" s="1"/>
  <c r="A735" i="60" s="1"/>
  <c r="A736" i="60" s="1"/>
  <c r="A737" i="60" s="1"/>
  <c r="A738" i="60" s="1"/>
  <c r="A739" i="60" s="1"/>
  <c r="A740" i="60" s="1"/>
  <c r="A741" i="60" s="1"/>
  <c r="A742" i="60" s="1"/>
  <c r="A743" i="60" s="1"/>
  <c r="A744" i="60" s="1"/>
  <c r="A745" i="60" s="1"/>
  <c r="A746" i="60" s="1"/>
  <c r="A747" i="60" s="1"/>
  <c r="A748" i="60" s="1"/>
  <c r="A749" i="60" s="1"/>
  <c r="A750" i="60" s="1"/>
  <c r="A751" i="60" s="1"/>
  <c r="A752" i="60" s="1"/>
  <c r="A753" i="60" s="1"/>
  <c r="A754" i="60" s="1"/>
  <c r="A755" i="60" s="1"/>
  <c r="A756" i="60" s="1"/>
  <c r="A757" i="60" s="1"/>
  <c r="A758" i="60" s="1"/>
  <c r="A759" i="60" s="1"/>
  <c r="A760" i="60" s="1"/>
  <c r="A761" i="60" s="1"/>
  <c r="A762" i="60" s="1"/>
  <c r="A763" i="60" s="1"/>
  <c r="A764" i="60" s="1"/>
  <c r="A765" i="60" s="1"/>
  <c r="A766" i="60" s="1"/>
  <c r="A767" i="60" s="1"/>
  <c r="A768" i="60" s="1"/>
  <c r="A769" i="60" s="1"/>
  <c r="A770" i="60" s="1"/>
  <c r="A771" i="60" s="1"/>
  <c r="A772" i="60" s="1"/>
  <c r="A773" i="60" s="1"/>
  <c r="A774" i="60" s="1"/>
  <c r="A775" i="60" s="1"/>
  <c r="A776" i="60" s="1"/>
  <c r="A777" i="60" s="1"/>
  <c r="A778" i="60" s="1"/>
  <c r="A779" i="60" s="1"/>
  <c r="A780" i="60" s="1"/>
  <c r="A781" i="60" s="1"/>
  <c r="A782" i="60" s="1"/>
  <c r="A783" i="60" s="1"/>
  <c r="A784" i="60" s="1"/>
  <c r="A785" i="60" s="1"/>
  <c r="A786" i="60" s="1"/>
  <c r="A787" i="60" s="1"/>
  <c r="A788" i="60" s="1"/>
  <c r="A789" i="60" s="1"/>
  <c r="A790" i="60" s="1"/>
  <c r="A791" i="60" s="1"/>
  <c r="A792" i="60" s="1"/>
  <c r="A793" i="60" s="1"/>
  <c r="A794" i="60" s="1"/>
  <c r="A795" i="60" s="1"/>
  <c r="A796" i="60" s="1"/>
  <c r="A797" i="60" s="1"/>
  <c r="A798" i="60" s="1"/>
  <c r="A799" i="60" s="1"/>
  <c r="A800" i="60" s="1"/>
  <c r="A801" i="60" s="1"/>
  <c r="A802" i="60" s="1"/>
  <c r="A803" i="60" s="1"/>
  <c r="A804" i="60" s="1"/>
  <c r="A805" i="60" s="1"/>
  <c r="A806" i="60" s="1"/>
  <c r="A807" i="60" s="1"/>
  <c r="A808" i="60" s="1"/>
  <c r="A809" i="60" s="1"/>
  <c r="A810" i="60" s="1"/>
  <c r="A811" i="60" s="1"/>
  <c r="A812" i="60" s="1"/>
  <c r="A813" i="60" s="1"/>
  <c r="A814" i="60" s="1"/>
  <c r="A815" i="60" s="1"/>
  <c r="A816" i="60" s="1"/>
  <c r="A817" i="60" s="1"/>
  <c r="A818" i="60" s="1"/>
  <c r="A819" i="60" s="1"/>
  <c r="A820" i="60" s="1"/>
  <c r="A821" i="60" s="1"/>
  <c r="A822" i="60" s="1"/>
  <c r="A823" i="60" s="1"/>
  <c r="A824" i="60" s="1"/>
  <c r="A825" i="60" s="1"/>
  <c r="A826" i="60" s="1"/>
  <c r="A827" i="60" s="1"/>
  <c r="A828" i="60" s="1"/>
  <c r="A829" i="60" s="1"/>
  <c r="A830" i="60" s="1"/>
  <c r="A831" i="60" s="1"/>
  <c r="A832" i="60" s="1"/>
  <c r="A833" i="60" s="1"/>
  <c r="A834" i="60" s="1"/>
  <c r="A835" i="60" s="1"/>
  <c r="A836" i="60" s="1"/>
  <c r="A837" i="60" s="1"/>
  <c r="A838" i="60" s="1"/>
  <c r="A839" i="60" s="1"/>
  <c r="A840" i="60" s="1"/>
  <c r="A841" i="60" s="1"/>
  <c r="A842" i="60" s="1"/>
  <c r="A843" i="60" s="1"/>
  <c r="A844" i="60" s="1"/>
  <c r="A845" i="60" s="1"/>
  <c r="A846" i="60" s="1"/>
  <c r="A847" i="60" s="1"/>
  <c r="A848" i="60" s="1"/>
  <c r="A849" i="60" s="1"/>
  <c r="A850" i="60" s="1"/>
  <c r="A851" i="60" s="1"/>
  <c r="A852" i="60" s="1"/>
  <c r="A853" i="60" s="1"/>
  <c r="A854" i="60" s="1"/>
  <c r="A855" i="60" s="1"/>
  <c r="A856" i="60" s="1"/>
  <c r="A857" i="60" s="1"/>
  <c r="A858" i="60" s="1"/>
  <c r="A859" i="60" s="1"/>
  <c r="A860" i="60" s="1"/>
  <c r="A861" i="60" s="1"/>
  <c r="A862" i="60" s="1"/>
  <c r="A863" i="60" s="1"/>
  <c r="A864" i="60" s="1"/>
  <c r="A865" i="60" s="1"/>
  <c r="A866" i="60" s="1"/>
  <c r="A867" i="60" s="1"/>
  <c r="A868" i="60" s="1"/>
  <c r="A869" i="60" s="1"/>
  <c r="A870" i="60" s="1"/>
  <c r="A871" i="60" s="1"/>
  <c r="A872" i="60" s="1"/>
  <c r="A873" i="60" s="1"/>
  <c r="A874" i="60" s="1"/>
  <c r="A875" i="60" s="1"/>
  <c r="A876" i="60" s="1"/>
  <c r="A877" i="60" s="1"/>
  <c r="A878" i="60" s="1"/>
  <c r="A879" i="60" s="1"/>
  <c r="A880" i="60" s="1"/>
  <c r="A881" i="60" s="1"/>
  <c r="A882" i="60" s="1"/>
  <c r="A883" i="60" s="1"/>
  <c r="A884" i="60" s="1"/>
  <c r="A885" i="60" s="1"/>
  <c r="A886" i="60" s="1"/>
  <c r="A887" i="60" s="1"/>
  <c r="A888" i="60" s="1"/>
  <c r="A889" i="60" s="1"/>
  <c r="A890" i="60" s="1"/>
  <c r="A891" i="60" s="1"/>
  <c r="A892" i="60" s="1"/>
  <c r="A893" i="60" s="1"/>
  <c r="A894" i="60" s="1"/>
  <c r="A895" i="60" s="1"/>
  <c r="A896" i="60" s="1"/>
  <c r="A897" i="60" s="1"/>
  <c r="A898" i="60" s="1"/>
  <c r="A899" i="60" s="1"/>
  <c r="A900" i="60" s="1"/>
  <c r="A901" i="60" s="1"/>
  <c r="A902" i="60" s="1"/>
  <c r="A903" i="60" s="1"/>
  <c r="A904" i="60" s="1"/>
  <c r="A905" i="60" s="1"/>
  <c r="A906" i="60" s="1"/>
  <c r="A907" i="60" s="1"/>
  <c r="A908" i="60" s="1"/>
  <c r="A909" i="60" s="1"/>
  <c r="A910" i="60" s="1"/>
  <c r="A911" i="60" s="1"/>
  <c r="A912" i="60" s="1"/>
  <c r="A913" i="60" s="1"/>
  <c r="A914" i="60" s="1"/>
  <c r="A915" i="60" s="1"/>
  <c r="A916" i="60" s="1"/>
  <c r="A917" i="60" s="1"/>
  <c r="A918" i="60" s="1"/>
  <c r="A919" i="60" s="1"/>
  <c r="A920" i="60" s="1"/>
  <c r="AJ508" i="13" l="1"/>
  <c r="AJ507" i="13"/>
  <c r="AJ504" i="13"/>
  <c r="AJ533" i="13"/>
  <c r="AJ529" i="13"/>
  <c r="AJ525" i="13"/>
  <c r="AJ501" i="13"/>
  <c r="AJ497" i="13"/>
  <c r="AJ493" i="13"/>
  <c r="AJ514" i="13"/>
  <c r="AJ527" i="13"/>
  <c r="AJ499" i="13"/>
  <c r="AJ495" i="13"/>
  <c r="AJ510" i="13"/>
  <c r="AJ509" i="13"/>
  <c r="AJ534" i="13"/>
  <c r="AJ530" i="13"/>
  <c r="AJ526" i="13"/>
  <c r="AJ502" i="13"/>
  <c r="AJ498" i="13"/>
  <c r="AJ494" i="13"/>
  <c r="AJ506" i="13"/>
  <c r="AJ532" i="13"/>
  <c r="AJ528" i="13"/>
  <c r="AJ524" i="13"/>
  <c r="AJ500" i="13"/>
  <c r="AJ496" i="13"/>
  <c r="AJ492" i="13"/>
  <c r="AJ513" i="13"/>
  <c r="AJ511" i="13"/>
  <c r="AJ535" i="13"/>
  <c r="AJ531" i="13"/>
  <c r="AJ503" i="13"/>
  <c r="AJ491" i="13"/>
  <c r="AJ512" i="13"/>
  <c r="AJ505" i="13"/>
  <c r="AO335" i="13"/>
  <c r="AK335" i="13"/>
  <c r="AM335" i="13" s="1"/>
  <c r="AN514" i="13" l="1"/>
  <c r="AK514" i="13"/>
  <c r="AM514" i="13" s="1"/>
  <c r="AL514" i="13"/>
  <c r="AN508" i="13"/>
  <c r="AK508" i="13"/>
  <c r="AM508" i="13" s="1"/>
  <c r="AL508" i="13"/>
  <c r="AN505" i="13"/>
  <c r="AK505" i="13"/>
  <c r="AM505" i="13" s="1"/>
  <c r="AL505" i="13"/>
  <c r="AN511" i="13"/>
  <c r="AL511" i="13"/>
  <c r="AK511" i="13"/>
  <c r="AM511" i="13" s="1"/>
  <c r="AN506" i="13"/>
  <c r="AK506" i="13"/>
  <c r="AM506" i="13" s="1"/>
  <c r="AL506" i="13"/>
  <c r="AN510" i="13"/>
  <c r="AL510" i="13"/>
  <c r="AK510" i="13"/>
  <c r="AM510" i="13" s="1"/>
  <c r="AN507" i="13"/>
  <c r="AK507" i="13"/>
  <c r="AM507" i="13" s="1"/>
  <c r="AL507" i="13"/>
  <c r="AN513" i="13"/>
  <c r="AL513" i="13"/>
  <c r="AK513" i="13"/>
  <c r="AM513" i="13" s="1"/>
  <c r="AN512" i="13"/>
  <c r="AL512" i="13"/>
  <c r="AK512" i="13"/>
  <c r="AM512" i="13" s="1"/>
  <c r="AN509" i="13"/>
  <c r="AK509" i="13"/>
  <c r="AM509" i="13" s="1"/>
  <c r="AL509" i="13"/>
  <c r="AN504" i="13"/>
  <c r="AK504" i="13"/>
  <c r="AM504" i="13" s="1"/>
  <c r="AL504" i="13"/>
  <c r="AJ537" i="13"/>
  <c r="AJ539" i="13"/>
  <c r="AJ538" i="13"/>
  <c r="AJ536" i="13"/>
  <c r="AJ541" i="13" l="1"/>
  <c r="AJ613" i="13" l="1"/>
  <c r="AJ612" i="13"/>
  <c r="AN541" i="13"/>
  <c r="AL541" i="13"/>
  <c r="AK541" i="13"/>
  <c r="AM541" i="13" s="1"/>
  <c r="AJ745" i="13" l="1"/>
  <c r="AJ740" i="13"/>
  <c r="AJ744" i="13"/>
  <c r="AJ743" i="13"/>
  <c r="AN612" i="13"/>
  <c r="AL612" i="13"/>
  <c r="AK612" i="13"/>
  <c r="AM612" i="13" s="1"/>
  <c r="AN613" i="13"/>
  <c r="AL613" i="13"/>
  <c r="AK613" i="13"/>
  <c r="AM613" i="13" s="1"/>
  <c r="AN744" i="13" l="1"/>
  <c r="AK744" i="13"/>
  <c r="AM744" i="13" s="1"/>
  <c r="AL744" i="13"/>
  <c r="AN740" i="13"/>
  <c r="AK740" i="13"/>
  <c r="AM740" i="13" s="1"/>
  <c r="AL740" i="13"/>
  <c r="AN745" i="13"/>
  <c r="AK745" i="13"/>
  <c r="AM745" i="13" s="1"/>
  <c r="AL745" i="13"/>
  <c r="AN743" i="13"/>
  <c r="AL743" i="13"/>
  <c r="AK743" i="13"/>
  <c r="AM743" i="13" s="1"/>
  <c r="AJ742" i="13"/>
  <c r="AJ741" i="13"/>
  <c r="AJ776" i="13" l="1"/>
  <c r="AJ774" i="13"/>
  <c r="AJ778" i="13"/>
  <c r="AJ777" i="13"/>
  <c r="AJ779" i="13"/>
  <c r="AJ775" i="13"/>
  <c r="AL741" i="13"/>
  <c r="AN741" i="13"/>
  <c r="AK741" i="13"/>
  <c r="AM741" i="13" s="1"/>
  <c r="AN742" i="13"/>
  <c r="AL742" i="13"/>
  <c r="AK742" i="13"/>
  <c r="AM742" i="13" s="1"/>
  <c r="Q160" i="11"/>
  <c r="Q149" i="11"/>
  <c r="Q148" i="11"/>
  <c r="Q147" i="11"/>
  <c r="Q146" i="11"/>
  <c r="Q145" i="11"/>
  <c r="Q144" i="11"/>
  <c r="Q143" i="11"/>
  <c r="Q142" i="11"/>
  <c r="Q141" i="11"/>
  <c r="Q140" i="11"/>
  <c r="Q139" i="11"/>
  <c r="Q138" i="11"/>
  <c r="Q137" i="11"/>
  <c r="Q136" i="11"/>
  <c r="Q135" i="11"/>
  <c r="Q134" i="11"/>
  <c r="Q133" i="11"/>
  <c r="Q132" i="11"/>
  <c r="Q131" i="11"/>
  <c r="Q128" i="11"/>
  <c r="Q126" i="11"/>
  <c r="Q125" i="11"/>
  <c r="Q124" i="11"/>
  <c r="Q123" i="11"/>
  <c r="Q122" i="11"/>
  <c r="Q121" i="11"/>
  <c r="Q156" i="11"/>
  <c r="Q155" i="11"/>
  <c r="Q154" i="11"/>
  <c r="Q153" i="11"/>
  <c r="Q152" i="11"/>
  <c r="Q151" i="11"/>
  <c r="Q150" i="11"/>
  <c r="Q159" i="11"/>
  <c r="AJ781" i="13" l="1"/>
  <c r="AN777" i="13"/>
  <c r="AK777" i="13"/>
  <c r="AM777" i="13" s="1"/>
  <c r="AL777" i="13"/>
  <c r="AN778" i="13"/>
  <c r="AK778" i="13"/>
  <c r="AM778" i="13" s="1"/>
  <c r="AL778" i="13"/>
  <c r="AN775" i="13"/>
  <c r="AL775" i="13"/>
  <c r="AK775" i="13"/>
  <c r="AM775" i="13" s="1"/>
  <c r="AN774" i="13"/>
  <c r="AK774" i="13"/>
  <c r="AM774" i="13" s="1"/>
  <c r="AL774" i="13"/>
  <c r="AN779" i="13"/>
  <c r="AL779" i="13"/>
  <c r="AK779" i="13"/>
  <c r="AM779" i="13" s="1"/>
  <c r="AN776" i="13"/>
  <c r="AK776" i="13"/>
  <c r="AM776" i="13" s="1"/>
  <c r="AL776" i="13"/>
  <c r="AN781" i="13" l="1"/>
  <c r="AL781" i="13"/>
  <c r="AK781" i="13"/>
  <c r="AM781" i="13" s="1"/>
  <c r="J1713" i="11"/>
  <c r="AJ856" i="13" l="1"/>
  <c r="AJ855" i="13"/>
  <c r="AN855" i="13" l="1"/>
  <c r="AK855" i="13"/>
  <c r="AM855" i="13" s="1"/>
  <c r="AL855" i="13"/>
  <c r="AN856" i="13"/>
  <c r="AL856" i="13"/>
  <c r="AK856" i="13"/>
  <c r="AM856" i="13" s="1"/>
  <c r="B754" i="60"/>
  <c r="B755" i="60" s="1"/>
  <c r="B756" i="60" s="1"/>
  <c r="B757" i="60" s="1"/>
  <c r="B758" i="60" s="1"/>
  <c r="B759" i="60" s="1"/>
  <c r="B760" i="60" s="1"/>
  <c r="B761" i="60" s="1"/>
  <c r="B762" i="60" s="1"/>
  <c r="B763" i="60" s="1"/>
  <c r="B764" i="60" s="1"/>
  <c r="B765" i="60" s="1"/>
  <c r="B766" i="60" s="1"/>
  <c r="B767" i="60" s="1"/>
  <c r="B768" i="60" s="1"/>
  <c r="B769" i="60" s="1"/>
  <c r="B770" i="60" s="1"/>
  <c r="B771" i="60" s="1"/>
  <c r="B772" i="60" s="1"/>
  <c r="B773" i="60" s="1"/>
  <c r="B774" i="60" s="1"/>
  <c r="B775" i="60" s="1"/>
  <c r="B776" i="60" s="1"/>
  <c r="B777" i="60" s="1"/>
  <c r="B778" i="60" s="1"/>
  <c r="B779" i="60" s="1"/>
  <c r="B780" i="60" s="1"/>
  <c r="B781" i="60" s="1"/>
  <c r="B782" i="60" s="1"/>
  <c r="B783" i="60" s="1"/>
  <c r="B784" i="60" s="1"/>
  <c r="B785" i="60" s="1"/>
  <c r="B786" i="60" s="1"/>
  <c r="B787" i="60" s="1"/>
  <c r="B788" i="60" s="1"/>
  <c r="B789" i="60" s="1"/>
  <c r="B790" i="60" s="1"/>
  <c r="B791" i="60" s="1"/>
  <c r="B792" i="60" s="1"/>
  <c r="B793" i="60" s="1"/>
  <c r="B794" i="60" s="1"/>
  <c r="B795" i="60" s="1"/>
  <c r="B796" i="60" s="1"/>
  <c r="B797" i="60" s="1"/>
  <c r="B798" i="60" s="1"/>
  <c r="B799" i="60" s="1"/>
  <c r="B800" i="60" s="1"/>
  <c r="B801" i="60" s="1"/>
  <c r="B802" i="60" s="1"/>
  <c r="B803" i="60" s="1"/>
  <c r="B804" i="60" s="1"/>
  <c r="B805" i="60" s="1"/>
  <c r="B806" i="60" s="1"/>
  <c r="B807" i="60" s="1"/>
  <c r="B808" i="60" s="1"/>
  <c r="B809" i="60" s="1"/>
  <c r="B810" i="60" s="1"/>
  <c r="B811" i="60" s="1"/>
  <c r="B812" i="60" s="1"/>
  <c r="B813" i="60" s="1"/>
  <c r="B814" i="60" s="1"/>
  <c r="B815" i="60" s="1"/>
  <c r="B816" i="60" s="1"/>
  <c r="B817" i="60" s="1"/>
  <c r="B818" i="60" s="1"/>
  <c r="B819" i="60" s="1"/>
  <c r="B820" i="60" s="1"/>
  <c r="B821" i="60" s="1"/>
  <c r="B822" i="60" s="1"/>
  <c r="B823" i="60" s="1"/>
  <c r="B824" i="60" s="1"/>
  <c r="B825" i="60" s="1"/>
  <c r="B826" i="60" s="1"/>
  <c r="B827" i="60" s="1"/>
  <c r="B828" i="60" s="1"/>
  <c r="B829" i="60" s="1"/>
  <c r="B830" i="60" s="1"/>
  <c r="B831" i="60" s="1"/>
  <c r="B832" i="60" s="1"/>
  <c r="B833" i="60" s="1"/>
  <c r="B834" i="60" s="1"/>
  <c r="B835" i="60" s="1"/>
  <c r="B836" i="60" s="1"/>
  <c r="B837" i="60" s="1"/>
  <c r="B838" i="60" s="1"/>
  <c r="B839" i="60" s="1"/>
  <c r="B840" i="60" s="1"/>
  <c r="B841" i="60" s="1"/>
  <c r="B842" i="60" s="1"/>
  <c r="B843" i="60" s="1"/>
  <c r="B844" i="60" s="1"/>
  <c r="B845" i="60" s="1"/>
  <c r="B846" i="60" s="1"/>
  <c r="B847" i="60" s="1"/>
  <c r="B848" i="60" s="1"/>
  <c r="B849" i="60" s="1"/>
  <c r="B850" i="60" s="1"/>
  <c r="B851" i="60" s="1"/>
  <c r="B852" i="60" s="1"/>
  <c r="B853" i="60" s="1"/>
  <c r="B854" i="60" s="1"/>
  <c r="B855" i="60" s="1"/>
  <c r="B856" i="60" s="1"/>
  <c r="B857" i="60" s="1"/>
  <c r="B858" i="60" s="1"/>
  <c r="B859" i="60" s="1"/>
  <c r="B860" i="60" s="1"/>
  <c r="B861" i="60" s="1"/>
  <c r="B862" i="60" s="1"/>
  <c r="B863" i="60" s="1"/>
  <c r="B864" i="60" s="1"/>
  <c r="B865" i="60" s="1"/>
  <c r="B866" i="60" s="1"/>
  <c r="B867" i="60" s="1"/>
  <c r="B868" i="60" s="1"/>
  <c r="B869" i="60" s="1"/>
  <c r="B870" i="60" s="1"/>
  <c r="AJ860" i="13"/>
  <c r="AJ862" i="13"/>
  <c r="AJ857" i="13"/>
  <c r="AJ858" i="13"/>
  <c r="AJ859" i="13"/>
  <c r="AJ861" i="13"/>
  <c r="AJ863" i="13"/>
  <c r="S336" i="13"/>
  <c r="Z337" i="13"/>
  <c r="Z338" i="13"/>
  <c r="S362" i="13"/>
  <c r="Z362" i="13"/>
  <c r="AD362" i="13"/>
  <c r="BA362" i="13" s="1"/>
  <c r="Q157" i="11"/>
  <c r="Q130" i="11"/>
  <c r="Q129" i="11"/>
  <c r="Q127" i="11"/>
  <c r="AJ607" i="13" l="1"/>
  <c r="B871" i="60"/>
  <c r="B872" i="60" s="1"/>
  <c r="B873" i="60" s="1"/>
  <c r="B874" i="60" s="1"/>
  <c r="B875" i="60" s="1"/>
  <c r="B876" i="60" s="1"/>
  <c r="B877" i="60" s="1"/>
  <c r="B878" i="60" s="1"/>
  <c r="B879" i="60" s="1"/>
  <c r="B880" i="60" s="1"/>
  <c r="AN863" i="13"/>
  <c r="AK863" i="13"/>
  <c r="AM863" i="13" s="1"/>
  <c r="AL863" i="13"/>
  <c r="AN857" i="13"/>
  <c r="AK857" i="13"/>
  <c r="AL857" i="13"/>
  <c r="AJ32" i="61"/>
  <c r="AN859" i="13"/>
  <c r="AL859" i="13"/>
  <c r="AK859" i="13"/>
  <c r="AM859" i="13" s="1"/>
  <c r="AN860" i="13"/>
  <c r="AK860" i="13"/>
  <c r="AM860" i="13" s="1"/>
  <c r="AL860" i="13"/>
  <c r="AN858" i="13"/>
  <c r="AK858" i="13"/>
  <c r="AM858" i="13" s="1"/>
  <c r="AL858" i="13"/>
  <c r="AN861" i="13"/>
  <c r="AK861" i="13"/>
  <c r="AM861" i="13" s="1"/>
  <c r="AL861" i="13"/>
  <c r="AN862" i="13"/>
  <c r="AL862" i="13"/>
  <c r="AK862" i="13"/>
  <c r="AM862" i="13" s="1"/>
  <c r="S337" i="13"/>
  <c r="W337" i="13" s="1"/>
  <c r="S338" i="13"/>
  <c r="W338" i="13" s="1"/>
  <c r="AV362" i="13"/>
  <c r="AX362" i="13" s="1"/>
  <c r="AV337" i="13"/>
  <c r="AX337" i="13" s="1"/>
  <c r="AV338" i="13"/>
  <c r="AX338" i="13" s="1"/>
  <c r="AV336" i="13"/>
  <c r="AX336" i="13" s="1"/>
  <c r="W336" i="13"/>
  <c r="W362" i="13"/>
  <c r="R362" i="13"/>
  <c r="AN337" i="13"/>
  <c r="AC336" i="13"/>
  <c r="AN362" i="13"/>
  <c r="AC338" i="13"/>
  <c r="AD336" i="13"/>
  <c r="BA336" i="13" s="1"/>
  <c r="AN338" i="13"/>
  <c r="AC362" i="13"/>
  <c r="AE362" i="13" s="1"/>
  <c r="AN336" i="13"/>
  <c r="AC337" i="13"/>
  <c r="AD337" i="13"/>
  <c r="BA337" i="13" s="1"/>
  <c r="AD338" i="13"/>
  <c r="BA338" i="13" s="1"/>
  <c r="Q362" i="13" l="1"/>
  <c r="N362" i="13"/>
  <c r="AL32" i="61"/>
  <c r="AN31" i="61"/>
  <c r="AO32" i="61" s="1"/>
  <c r="C117" i="3" s="1"/>
  <c r="AJ691" i="13"/>
  <c r="B881" i="60"/>
  <c r="B882" i="60" s="1"/>
  <c r="B883" i="60" s="1"/>
  <c r="B884" i="60" s="1"/>
  <c r="B885" i="60" s="1"/>
  <c r="B886" i="60" s="1"/>
  <c r="B887" i="60" s="1"/>
  <c r="B888" i="60" s="1"/>
  <c r="B889" i="60" s="1"/>
  <c r="B890" i="60" s="1"/>
  <c r="B891" i="60" s="1"/>
  <c r="B892" i="60" s="1"/>
  <c r="B893" i="60" s="1"/>
  <c r="B894" i="60" s="1"/>
  <c r="B895" i="60" s="1"/>
  <c r="B896" i="60" s="1"/>
  <c r="B897" i="60" s="1"/>
  <c r="B898" i="60" s="1"/>
  <c r="B899" i="60" s="1"/>
  <c r="B900" i="60" s="1"/>
  <c r="B901" i="60" s="1"/>
  <c r="B902" i="60" s="1"/>
  <c r="B903" i="60" s="1"/>
  <c r="B904" i="60" s="1"/>
  <c r="B905" i="60" s="1"/>
  <c r="B906" i="60" s="1"/>
  <c r="B907" i="60" s="1"/>
  <c r="AM857" i="13"/>
  <c r="AK32" i="61"/>
  <c r="AN607" i="13"/>
  <c r="AL607" i="13"/>
  <c r="AK607" i="13"/>
  <c r="AM607" i="13" s="1"/>
  <c r="AY336" i="13"/>
  <c r="AY337" i="13"/>
  <c r="AY362" i="13"/>
  <c r="AY338" i="13"/>
  <c r="AE336" i="13"/>
  <c r="AO336" i="13" s="1"/>
  <c r="AE338" i="13"/>
  <c r="AO338" i="13" s="1"/>
  <c r="AO362" i="13"/>
  <c r="AL362" i="13"/>
  <c r="AK362" i="13"/>
  <c r="AM362" i="13" s="1"/>
  <c r="AE337" i="13"/>
  <c r="B908" i="60" l="1"/>
  <c r="B909" i="60" s="1"/>
  <c r="B910" i="60" s="1"/>
  <c r="B911" i="60" s="1"/>
  <c r="B912" i="60" s="1"/>
  <c r="B913" i="60" s="1"/>
  <c r="B914" i="60" s="1"/>
  <c r="B915" i="60" s="1"/>
  <c r="B916" i="60" s="1"/>
  <c r="B917" i="60" s="1"/>
  <c r="B918" i="60" s="1"/>
  <c r="B919" i="60" s="1"/>
  <c r="B920" i="60" s="1"/>
  <c r="B921" i="60" s="1"/>
  <c r="B922" i="60" s="1"/>
  <c r="B923" i="60" s="1"/>
  <c r="B924" i="60" s="1"/>
  <c r="B925" i="60" s="1"/>
  <c r="B926" i="60" s="1"/>
  <c r="B927" i="60" s="1"/>
  <c r="B928" i="60" s="1"/>
  <c r="B929" i="60" s="1"/>
  <c r="B930" i="60" s="1"/>
  <c r="B931" i="60" s="1"/>
  <c r="B932" i="60" s="1"/>
  <c r="B933" i="60" s="1"/>
  <c r="B934" i="60" s="1"/>
  <c r="B935" i="60" s="1"/>
  <c r="AJ747" i="13"/>
  <c r="AL691" i="13"/>
  <c r="AN691" i="13"/>
  <c r="AK691" i="13"/>
  <c r="AM691" i="13" s="1"/>
  <c r="AK338" i="13"/>
  <c r="AM338" i="13" s="1"/>
  <c r="AK336" i="13"/>
  <c r="AM336" i="13" s="1"/>
  <c r="AL336" i="13"/>
  <c r="AL338" i="13"/>
  <c r="AK337" i="13"/>
  <c r="AM337" i="13" s="1"/>
  <c r="AO337" i="13"/>
  <c r="AL337" i="13"/>
  <c r="AN747" i="13" l="1"/>
  <c r="AK747" i="13"/>
  <c r="AM747" i="13" s="1"/>
  <c r="AL747" i="13"/>
  <c r="AJ784" i="13"/>
  <c r="B936" i="60"/>
  <c r="B937" i="60" s="1"/>
  <c r="B938" i="60" s="1"/>
  <c r="B939" i="60" s="1"/>
  <c r="B940" i="60" s="1"/>
  <c r="B941" i="60" s="1"/>
  <c r="B942" i="60" s="1"/>
  <c r="B943" i="60" s="1"/>
  <c r="B944" i="60" s="1"/>
  <c r="B945" i="60" s="1"/>
  <c r="B946" i="60" s="1"/>
  <c r="B947" i="60" s="1"/>
  <c r="B948" i="60" s="1"/>
  <c r="B949" i="60" s="1"/>
  <c r="B950" i="60" s="1"/>
  <c r="B951" i="60" s="1"/>
  <c r="B952" i="60" s="1"/>
  <c r="B953" i="60" s="1"/>
  <c r="B954" i="60" s="1"/>
  <c r="B955" i="60" s="1"/>
  <c r="B956" i="60" s="1"/>
  <c r="B957" i="60" s="1"/>
  <c r="B958" i="60" s="1"/>
  <c r="B959" i="60" s="1"/>
  <c r="B960" i="60" s="1"/>
  <c r="B961" i="60" s="1"/>
  <c r="B962" i="60" s="1"/>
  <c r="B963" i="60" s="1"/>
  <c r="B964" i="60" s="1"/>
  <c r="B965" i="60" s="1"/>
  <c r="B966" i="60" s="1"/>
  <c r="B967" i="60" s="1"/>
  <c r="B968" i="60" s="1"/>
  <c r="B969" i="60" s="1"/>
  <c r="B970" i="60" s="1"/>
  <c r="B971" i="60" s="1"/>
  <c r="B972" i="60" s="1"/>
  <c r="B973" i="60" s="1"/>
  <c r="B974" i="60" s="1"/>
  <c r="B975" i="60" s="1"/>
  <c r="B976" i="60" s="1"/>
  <c r="B977" i="60" s="1"/>
  <c r="B978" i="60" s="1"/>
  <c r="B979" i="60" s="1"/>
  <c r="B980" i="60" s="1"/>
  <c r="B981" i="60" s="1"/>
  <c r="B982" i="60" s="1"/>
  <c r="B983" i="60" s="1"/>
  <c r="B984" i="60" s="1"/>
  <c r="B985" i="60" s="1"/>
  <c r="B986" i="60" s="1"/>
  <c r="B987" i="60" s="1"/>
  <c r="B988" i="60" s="1"/>
  <c r="B989" i="60" s="1"/>
  <c r="B990" i="60" s="1"/>
  <c r="B991" i="60" s="1"/>
  <c r="B992" i="60" s="1"/>
  <c r="B993" i="60" s="1"/>
  <c r="B994" i="60" s="1"/>
  <c r="B995" i="60" s="1"/>
  <c r="B996" i="60" s="1"/>
  <c r="B997" i="60" s="1"/>
  <c r="B998" i="60" s="1"/>
  <c r="B999" i="60" s="1"/>
  <c r="B1000" i="60" s="1"/>
  <c r="B1001" i="60" s="1"/>
  <c r="B1002" i="60" s="1"/>
  <c r="B1003" i="60" s="1"/>
  <c r="B1004" i="60" s="1"/>
  <c r="B1005" i="60" s="1"/>
  <c r="B1006" i="60" s="1"/>
  <c r="B1007" i="60" s="1"/>
  <c r="B1008" i="60" s="1"/>
  <c r="B1009" i="60" s="1"/>
  <c r="B1010" i="60" s="1"/>
  <c r="B1011" i="60" s="1"/>
  <c r="B1012" i="60" s="1"/>
  <c r="B1013" i="60" s="1"/>
  <c r="B1014" i="60" s="1"/>
  <c r="B1015" i="60" s="1"/>
  <c r="B1016" i="60" s="1"/>
  <c r="B1017" i="60" s="1"/>
  <c r="B1018" i="60" s="1"/>
  <c r="B1019" i="60" s="1"/>
  <c r="B1020" i="60" s="1"/>
  <c r="B1021" i="60" s="1"/>
  <c r="B1022" i="60" s="1"/>
  <c r="B1023" i="60" s="1"/>
  <c r="B1024" i="60" s="1"/>
  <c r="B1025" i="60" s="1"/>
  <c r="B1026" i="60" s="1"/>
  <c r="B1027" i="60" s="1"/>
  <c r="B1028" i="60" s="1"/>
  <c r="B1029" i="60" s="1"/>
  <c r="B1030" i="60" s="1"/>
  <c r="B1031" i="60" s="1"/>
  <c r="B1032" i="60" s="1"/>
  <c r="B1033" i="60" s="1"/>
  <c r="B1034" i="60" s="1"/>
  <c r="B1035" i="60" s="1"/>
  <c r="B1036" i="60" s="1"/>
  <c r="B1037" i="60" s="1"/>
  <c r="B1038" i="60" s="1"/>
  <c r="B1039" i="60" s="1"/>
  <c r="B1040" i="60" s="1"/>
  <c r="B1041" i="60" s="1"/>
  <c r="B1042" i="60" s="1"/>
  <c r="B1043" i="60" s="1"/>
  <c r="B1044" i="60" s="1"/>
  <c r="B1045" i="60" s="1"/>
  <c r="B1046" i="60" s="1"/>
  <c r="B1047" i="60" s="1"/>
  <c r="B1048" i="60" s="1"/>
  <c r="B1049" i="60" s="1"/>
  <c r="B1050" i="60" s="1"/>
  <c r="B1051" i="60" s="1"/>
  <c r="B1052" i="60" s="1"/>
  <c r="B1053" i="60" s="1"/>
  <c r="B1054" i="60" s="1"/>
  <c r="B1055" i="60" s="1"/>
  <c r="B1056" i="60" s="1"/>
  <c r="B1057" i="60" s="1"/>
  <c r="B1058" i="60" s="1"/>
  <c r="B1059" i="60" s="1"/>
  <c r="B1060" i="60" s="1"/>
  <c r="B1061" i="60" s="1"/>
  <c r="B1062" i="60" s="1"/>
  <c r="B1063" i="60" s="1"/>
  <c r="B1064" i="60" s="1"/>
  <c r="B1065" i="60" s="1"/>
  <c r="B1066" i="60" s="1"/>
  <c r="B1067" i="60" s="1"/>
  <c r="B1068" i="60" s="1"/>
  <c r="B1069" i="60" s="1"/>
  <c r="B1070" i="60" s="1"/>
  <c r="B1071" i="60" s="1"/>
  <c r="B1072" i="60" s="1"/>
  <c r="B1073" i="60" s="1"/>
  <c r="B1074" i="60" s="1"/>
  <c r="B1075" i="60" s="1"/>
  <c r="B1076" i="60" s="1"/>
  <c r="B1077" i="60" s="1"/>
  <c r="B1078" i="60" s="1"/>
  <c r="B1079" i="60" s="1"/>
  <c r="B1080" i="60" s="1"/>
  <c r="B1081" i="60" s="1"/>
  <c r="B1082" i="60" s="1"/>
  <c r="B1083" i="60" s="1"/>
  <c r="B1084" i="60" s="1"/>
  <c r="B1085" i="60" s="1"/>
  <c r="B1086" i="60" s="1"/>
  <c r="B1087" i="60" s="1"/>
  <c r="B1088" i="60" s="1"/>
  <c r="B1089" i="60" s="1"/>
  <c r="B1090" i="60" s="1"/>
  <c r="B1091" i="60" s="1"/>
  <c r="B1092" i="60" s="1"/>
  <c r="B1093" i="60" s="1"/>
  <c r="B1094" i="60" s="1"/>
  <c r="B1095" i="60" s="1"/>
  <c r="B1096" i="60" s="1"/>
  <c r="B1097" i="60" s="1"/>
  <c r="B1098" i="60" s="1"/>
  <c r="B1099" i="60" s="1"/>
  <c r="B1100" i="60" s="1"/>
  <c r="B1101" i="60" s="1"/>
  <c r="B1102" i="60" s="1"/>
  <c r="B1103" i="60" s="1"/>
  <c r="B1104" i="60" s="1"/>
  <c r="B1105" i="60" s="1"/>
  <c r="B1106" i="60" s="1"/>
  <c r="B1107" i="60" s="1"/>
  <c r="B1108" i="60" s="1"/>
  <c r="B1109" i="60" s="1"/>
  <c r="B1110" i="60" s="1"/>
  <c r="B1111" i="60" s="1"/>
  <c r="B1112" i="60" s="1"/>
  <c r="B1113" i="60" s="1"/>
  <c r="B1114" i="60" s="1"/>
  <c r="B1115" i="60" s="1"/>
  <c r="B1116" i="60" s="1"/>
  <c r="B1117" i="60" s="1"/>
  <c r="B1118" i="60" s="1"/>
  <c r="B1119" i="60" s="1"/>
  <c r="B1120" i="60" s="1"/>
  <c r="B1121" i="60" s="1"/>
  <c r="B1122" i="60" s="1"/>
  <c r="B1123" i="60" s="1"/>
  <c r="B1124" i="60" s="1"/>
  <c r="B1125" i="60" s="1"/>
  <c r="B1126" i="60" s="1"/>
  <c r="B1127" i="60" s="1"/>
  <c r="B1128" i="60" s="1"/>
  <c r="B1129" i="60" s="1"/>
  <c r="B1130" i="60" s="1"/>
  <c r="B1131" i="60" s="1"/>
  <c r="B1132" i="60" s="1"/>
  <c r="B1133" i="60" s="1"/>
  <c r="B1134" i="60" s="1"/>
  <c r="B1135" i="60" s="1"/>
  <c r="B1136" i="60" s="1"/>
  <c r="B1137" i="60" s="1"/>
  <c r="B1138" i="60" s="1"/>
  <c r="B1139" i="60" s="1"/>
  <c r="B1140" i="60" s="1"/>
  <c r="B1141" i="60" s="1"/>
  <c r="B1142" i="60" s="1"/>
  <c r="B1143" i="60" s="1"/>
  <c r="B1144" i="60" s="1"/>
  <c r="B1145" i="60" s="1"/>
  <c r="B1146" i="60" s="1"/>
  <c r="B1147" i="60" s="1"/>
  <c r="B1148" i="60" s="1"/>
  <c r="B1149" i="60" s="1"/>
  <c r="B1150" i="60" s="1"/>
  <c r="B1151" i="60" s="1"/>
  <c r="B1152" i="60" s="1"/>
  <c r="B1153" i="60" s="1"/>
  <c r="B1154" i="60" s="1"/>
  <c r="B1155" i="60" s="1"/>
  <c r="B1156" i="60" s="1"/>
  <c r="B1157" i="60" s="1"/>
  <c r="B1158" i="60" s="1"/>
  <c r="B1159" i="60" s="1"/>
  <c r="B1160" i="60" s="1"/>
  <c r="B1161" i="60" s="1"/>
  <c r="B1162" i="60" s="1"/>
  <c r="B1163" i="60" s="1"/>
  <c r="B1164" i="60" s="1"/>
  <c r="B1165" i="60" s="1"/>
  <c r="B1166" i="60" s="1"/>
  <c r="B1167" i="60" s="1"/>
  <c r="B1168" i="60" s="1"/>
  <c r="B1169" i="60" s="1"/>
  <c r="B1170" i="60" s="1"/>
  <c r="B1171" i="60" s="1"/>
  <c r="B1172" i="60" s="1"/>
  <c r="B1173" i="60" s="1"/>
  <c r="B1174" i="60" s="1"/>
  <c r="B1175" i="60" s="1"/>
  <c r="B1176" i="60" s="1"/>
  <c r="B1177" i="60" s="1"/>
  <c r="B1178" i="60" s="1"/>
  <c r="B1179" i="60" s="1"/>
  <c r="B1180" i="60" s="1"/>
  <c r="B1181" i="60" s="1"/>
  <c r="B1182" i="60" s="1"/>
  <c r="B1183" i="60" s="1"/>
  <c r="B1184" i="60" s="1"/>
  <c r="B1185" i="60" s="1"/>
  <c r="B1186" i="60" s="1"/>
  <c r="B1187" i="60" s="1"/>
  <c r="B1188" i="60" s="1"/>
  <c r="B1189" i="60" s="1"/>
  <c r="B1190" i="60" s="1"/>
  <c r="B1191" i="60" s="1"/>
  <c r="B1192" i="60" s="1"/>
  <c r="B1193" i="60" s="1"/>
  <c r="B1194" i="60" s="1"/>
  <c r="B1195" i="60" s="1"/>
  <c r="B1196" i="60" s="1"/>
  <c r="B1197" i="60" s="1"/>
  <c r="B1198" i="60" s="1"/>
  <c r="B1199" i="60" s="1"/>
  <c r="B1200" i="60" s="1"/>
  <c r="B1201" i="60" s="1"/>
  <c r="B1202" i="60" s="1"/>
  <c r="B1203" i="60" s="1"/>
  <c r="B1204" i="60" s="1"/>
  <c r="B1205" i="60" s="1"/>
  <c r="B1206" i="60" s="1"/>
  <c r="B1207" i="60" s="1"/>
  <c r="B1208" i="60" s="1"/>
  <c r="B1209" i="60" s="1"/>
  <c r="B1210" i="60" s="1"/>
  <c r="B1211" i="60" s="1"/>
  <c r="B1212" i="60" s="1"/>
  <c r="B1213" i="60" s="1"/>
  <c r="B1214" i="60" s="1"/>
  <c r="B1215" i="60" s="1"/>
  <c r="B1216" i="60" s="1"/>
  <c r="B1217" i="60" s="1"/>
  <c r="B1218" i="60" s="1"/>
  <c r="B1219" i="60" s="1"/>
  <c r="B1220" i="60" s="1"/>
  <c r="B1221" i="60" s="1"/>
  <c r="B1222" i="60" s="1"/>
  <c r="B1223" i="60" s="1"/>
  <c r="B1224" i="60" s="1"/>
  <c r="B1225" i="60" s="1"/>
  <c r="B1226" i="60" s="1"/>
  <c r="B1227" i="60" s="1"/>
  <c r="B1228" i="60" s="1"/>
  <c r="B1229" i="60" s="1"/>
  <c r="B1230" i="60" s="1"/>
  <c r="B1231" i="60" s="1"/>
  <c r="B1232" i="60" s="1"/>
  <c r="B1233" i="60" s="1"/>
  <c r="B1234" i="60" s="1"/>
  <c r="B1235" i="60" s="1"/>
  <c r="B1236" i="60" s="1"/>
  <c r="B1237" i="60" s="1"/>
  <c r="B1238" i="60" s="1"/>
  <c r="B1239" i="60" s="1"/>
  <c r="B1240" i="60" s="1"/>
  <c r="B1241" i="60" s="1"/>
  <c r="B1242" i="60" s="1"/>
  <c r="B1243" i="60" s="1"/>
  <c r="B1244" i="60" s="1"/>
  <c r="B1245" i="60" s="1"/>
  <c r="B1246" i="60" s="1"/>
  <c r="B1247" i="60" s="1"/>
  <c r="B1248" i="60" s="1"/>
  <c r="B1249" i="60" s="1"/>
  <c r="B1250" i="60" s="1"/>
  <c r="B1251" i="60" s="1"/>
  <c r="B1252" i="60" s="1"/>
  <c r="B1253" i="60" s="1"/>
  <c r="B1254" i="60" s="1"/>
  <c r="B1255" i="60" s="1"/>
  <c r="B1256" i="60" s="1"/>
  <c r="B1257" i="60" s="1"/>
  <c r="B1258" i="60" s="1"/>
  <c r="B1259" i="60" s="1"/>
  <c r="B1260" i="60" s="1"/>
  <c r="B1261" i="60" s="1"/>
  <c r="B1262" i="60" s="1"/>
  <c r="B1263" i="60" s="1"/>
  <c r="B1264" i="60" s="1"/>
  <c r="B1265" i="60" s="1"/>
  <c r="B1266" i="60" s="1"/>
  <c r="B1267" i="60" s="1"/>
  <c r="B1268" i="60" s="1"/>
  <c r="B1269" i="60" s="1"/>
  <c r="B1270" i="60" s="1"/>
  <c r="B1271" i="60" s="1"/>
  <c r="B1272" i="60" s="1"/>
  <c r="B1273" i="60" s="1"/>
  <c r="B1274" i="60" s="1"/>
  <c r="B1275" i="60" s="1"/>
  <c r="B1276" i="60" s="1"/>
  <c r="B1277" i="60" s="1"/>
  <c r="B1278" i="60" s="1"/>
  <c r="B1279" i="60" s="1"/>
  <c r="B1280" i="60" s="1"/>
  <c r="B1281" i="60" s="1"/>
  <c r="B1282" i="60" s="1"/>
  <c r="B1283" i="60" s="1"/>
  <c r="B1284" i="60" s="1"/>
  <c r="B1285" i="60" s="1"/>
  <c r="B1286" i="60" s="1"/>
  <c r="B1287" i="60" s="1"/>
  <c r="B1288" i="60" s="1"/>
  <c r="B1289" i="60" s="1"/>
  <c r="B1290" i="60" s="1"/>
  <c r="B1291" i="60" s="1"/>
  <c r="B1292" i="60" s="1"/>
  <c r="B1293" i="60" s="1"/>
  <c r="B1294" i="60" s="1"/>
  <c r="B1295" i="60" s="1"/>
  <c r="B1296" i="60" s="1"/>
  <c r="B1297" i="60" s="1"/>
  <c r="B1298" i="60" s="1"/>
  <c r="B1299" i="60" s="1"/>
  <c r="B1300" i="60" s="1"/>
  <c r="B1301" i="60" s="1"/>
  <c r="B1302" i="60" s="1"/>
  <c r="B1303" i="60" s="1"/>
  <c r="B1304" i="60" s="1"/>
  <c r="B1305" i="60" s="1"/>
  <c r="B1306" i="60" s="1"/>
  <c r="B1307" i="60" s="1"/>
  <c r="B1308" i="60" s="1"/>
  <c r="B1309" i="60" s="1"/>
  <c r="B1310" i="60" s="1"/>
  <c r="B1311" i="60" s="1"/>
  <c r="B1312" i="60" s="1"/>
  <c r="B1313" i="60" s="1"/>
  <c r="B1314" i="60" s="1"/>
  <c r="B1315" i="60" s="1"/>
  <c r="B1316" i="60" s="1"/>
  <c r="B1317" i="60" s="1"/>
  <c r="B1318" i="60" s="1"/>
  <c r="B1319" i="60" s="1"/>
  <c r="B1320" i="60" s="1"/>
  <c r="B1321" i="60" s="1"/>
  <c r="B1322" i="60" s="1"/>
  <c r="B1323" i="60" s="1"/>
  <c r="B1324" i="60" s="1"/>
  <c r="B1325" i="60" s="1"/>
  <c r="B1326" i="60" s="1"/>
  <c r="B1327" i="60" s="1"/>
  <c r="B1328" i="60" s="1"/>
  <c r="B1329" i="60" s="1"/>
  <c r="B1330" i="60" s="1"/>
  <c r="B1331" i="60" s="1"/>
  <c r="B1332" i="60" s="1"/>
  <c r="B1333" i="60" s="1"/>
  <c r="B1334" i="60" s="1"/>
  <c r="B1335" i="60" s="1"/>
  <c r="B1336" i="60" s="1"/>
  <c r="B1337" i="60" s="1"/>
  <c r="B1338" i="60" s="1"/>
  <c r="B1339" i="60" s="1"/>
  <c r="B1340" i="60" s="1"/>
  <c r="B1341" i="60" s="1"/>
  <c r="B1342" i="60" s="1"/>
  <c r="B1343" i="60" s="1"/>
  <c r="B1344" i="60" s="1"/>
  <c r="B1345" i="60" s="1"/>
  <c r="B1346" i="60" s="1"/>
  <c r="B1347" i="60" s="1"/>
  <c r="B1348" i="60" s="1"/>
  <c r="B1349" i="60" s="1"/>
  <c r="B1350" i="60" s="1"/>
  <c r="B1351" i="60" s="1"/>
  <c r="B1352" i="60" s="1"/>
  <c r="B1353" i="60" s="1"/>
  <c r="B1354" i="60" s="1"/>
  <c r="B1355" i="60" s="1"/>
  <c r="B1356" i="60" s="1"/>
  <c r="B1357" i="60" s="1"/>
  <c r="B1358" i="60" s="1"/>
  <c r="B1359" i="60" s="1"/>
  <c r="B1360" i="60" s="1"/>
  <c r="B1361" i="60" s="1"/>
  <c r="B1362" i="60" s="1"/>
  <c r="B1363" i="60" s="1"/>
  <c r="B1364" i="60" s="1"/>
  <c r="B1365" i="60" s="1"/>
  <c r="B1366" i="60" s="1"/>
  <c r="B1367" i="60" s="1"/>
  <c r="B1368" i="60" s="1"/>
  <c r="B1369" i="60" s="1"/>
  <c r="B1370" i="60" s="1"/>
  <c r="B1371" i="60" s="1"/>
  <c r="B1372" i="60" s="1"/>
  <c r="B1373" i="60" s="1"/>
  <c r="B1374" i="60" s="1"/>
  <c r="B1375" i="60" s="1"/>
  <c r="B1376" i="60" s="1"/>
  <c r="B1377" i="60" s="1"/>
  <c r="B1378" i="60" s="1"/>
  <c r="B1379" i="60" s="1"/>
  <c r="B1380" i="60" s="1"/>
  <c r="B1381" i="60" s="1"/>
  <c r="B1382" i="60" s="1"/>
  <c r="B1383" i="60" s="1"/>
  <c r="B1384" i="60" s="1"/>
  <c r="B1385" i="60" s="1"/>
  <c r="B1386" i="60" s="1"/>
  <c r="B1387" i="60" s="1"/>
  <c r="B1388" i="60" s="1"/>
  <c r="B1389" i="60" s="1"/>
  <c r="B1390" i="60" s="1"/>
  <c r="B1391" i="60" s="1"/>
  <c r="B1392" i="60" s="1"/>
  <c r="B1393" i="60" s="1"/>
  <c r="B1394" i="60" s="1"/>
  <c r="B1395" i="60" s="1"/>
  <c r="B1396" i="60" s="1"/>
  <c r="B1397" i="60" s="1"/>
  <c r="B1398" i="60" s="1"/>
  <c r="B1399" i="60" s="1"/>
  <c r="B1400" i="60" s="1"/>
  <c r="B1401" i="60" s="1"/>
  <c r="B1402" i="60" s="1"/>
  <c r="B1403" i="60" s="1"/>
  <c r="B1404" i="60" s="1"/>
  <c r="B1405" i="60" s="1"/>
  <c r="B1406" i="60" s="1"/>
  <c r="B1407" i="60" s="1"/>
  <c r="B1408" i="60" s="1"/>
  <c r="B1409" i="60" s="1"/>
  <c r="B1410" i="60" s="1"/>
  <c r="B1411" i="60" s="1"/>
  <c r="B1412" i="60" s="1"/>
  <c r="B1413" i="60" s="1"/>
  <c r="B1414" i="60" s="1"/>
  <c r="B1415" i="60" s="1"/>
  <c r="B1416" i="60" s="1"/>
  <c r="B1417" i="60" s="1"/>
  <c r="B1418" i="60" s="1"/>
  <c r="B1419" i="60" s="1"/>
  <c r="B1420" i="60" s="1"/>
  <c r="B1421" i="60" s="1"/>
  <c r="B1422" i="60" s="1"/>
  <c r="B1423" i="60" s="1"/>
  <c r="B1424" i="60" s="1"/>
  <c r="B1425" i="60" s="1"/>
  <c r="B1426" i="60" s="1"/>
  <c r="B1427" i="60" s="1"/>
  <c r="B1428" i="60" s="1"/>
  <c r="B1429" i="60" s="1"/>
  <c r="B1430" i="60" s="1"/>
  <c r="B1431" i="60" s="1"/>
  <c r="B1432" i="60" s="1"/>
  <c r="B1433" i="60" s="1"/>
  <c r="B1434" i="60" s="1"/>
  <c r="B1435" i="60" s="1"/>
  <c r="B1436" i="60" s="1"/>
  <c r="B1437" i="60" s="1"/>
  <c r="B1438" i="60" s="1"/>
  <c r="B1439" i="60" s="1"/>
  <c r="B1440" i="60" s="1"/>
  <c r="B1441" i="60" s="1"/>
  <c r="B1442" i="60" s="1"/>
  <c r="B1443" i="60" s="1"/>
  <c r="B1444" i="60" s="1"/>
  <c r="B1445" i="60" s="1"/>
  <c r="B1446" i="60" s="1"/>
  <c r="B1447" i="60" s="1"/>
  <c r="B1448" i="60" s="1"/>
  <c r="B1449" i="60" s="1"/>
  <c r="B1450" i="60" s="1"/>
  <c r="B1451" i="60" s="1"/>
  <c r="B1452" i="60" s="1"/>
  <c r="B1453" i="60" s="1"/>
  <c r="B1454" i="60" s="1"/>
  <c r="B1455" i="60" s="1"/>
  <c r="B1456" i="60" s="1"/>
  <c r="B1457" i="60" s="1"/>
  <c r="B1458" i="60" s="1"/>
  <c r="B1459" i="60" s="1"/>
  <c r="B1460" i="60" s="1"/>
  <c r="B1461" i="60" s="1"/>
  <c r="B1462" i="60" s="1"/>
  <c r="B1463" i="60" s="1"/>
  <c r="B1464" i="60" s="1"/>
  <c r="B1465" i="60" s="1"/>
  <c r="B1466" i="60" s="1"/>
  <c r="B1467" i="60" s="1"/>
  <c r="B1468" i="60" s="1"/>
  <c r="B1469" i="60" s="1"/>
  <c r="B1470" i="60" s="1"/>
  <c r="B1471" i="60" s="1"/>
  <c r="B1472" i="60" s="1"/>
  <c r="B1473" i="60" s="1"/>
  <c r="B1474" i="60" s="1"/>
  <c r="B1475" i="60" s="1"/>
  <c r="B1476" i="60" s="1"/>
  <c r="B1477" i="60" s="1"/>
  <c r="B1478" i="60" s="1"/>
  <c r="B1479" i="60" s="1"/>
  <c r="B1480" i="60" s="1"/>
  <c r="B1481" i="60" s="1"/>
  <c r="B1482" i="60" s="1"/>
  <c r="B1483" i="60" s="1"/>
  <c r="B1484" i="60" s="1"/>
  <c r="B1485" i="60" s="1"/>
  <c r="B1486" i="60" s="1"/>
  <c r="B1487" i="60" s="1"/>
  <c r="B1488" i="60" s="1"/>
  <c r="B1489" i="60" s="1"/>
  <c r="B1490" i="60" s="1"/>
  <c r="B1491" i="60" s="1"/>
  <c r="B1492" i="60" s="1"/>
  <c r="B1493" i="60" s="1"/>
  <c r="B1494" i="60" s="1"/>
  <c r="B1495" i="60" s="1"/>
  <c r="B1496" i="60" s="1"/>
  <c r="B1497" i="60" s="1"/>
  <c r="B1498" i="60" s="1"/>
  <c r="B1499" i="60" s="1"/>
  <c r="B1500" i="60" s="1"/>
  <c r="B1501" i="60" s="1"/>
  <c r="B1502" i="60" s="1"/>
  <c r="B1503" i="60" s="1"/>
  <c r="B1504" i="60" s="1"/>
  <c r="B1505" i="60" s="1"/>
  <c r="B1506" i="60" s="1"/>
  <c r="B1507" i="60" s="1"/>
  <c r="B1508" i="60" s="1"/>
  <c r="B1509" i="60" s="1"/>
  <c r="B1510" i="60" s="1"/>
  <c r="B1511" i="60" s="1"/>
  <c r="B1512" i="60" s="1"/>
  <c r="B1513" i="60" s="1"/>
  <c r="B1514" i="60" s="1"/>
  <c r="B1515" i="60" s="1"/>
  <c r="B1516" i="60" s="1"/>
  <c r="B1517" i="60" s="1"/>
  <c r="B1518" i="60" s="1"/>
  <c r="B1519" i="60" s="1"/>
  <c r="B1520" i="60" s="1"/>
  <c r="B1521" i="60" s="1"/>
  <c r="B1522" i="60" s="1"/>
  <c r="B1523" i="60" s="1"/>
  <c r="B1524" i="60" s="1"/>
  <c r="B1525" i="60" s="1"/>
  <c r="B1526" i="60" s="1"/>
  <c r="B1527" i="60" s="1"/>
  <c r="B1528" i="60" s="1"/>
  <c r="B1529" i="60" s="1"/>
  <c r="B1530" i="60" s="1"/>
  <c r="B1531" i="60" s="1"/>
  <c r="B1532" i="60" s="1"/>
  <c r="B1533" i="60" s="1"/>
  <c r="B1534" i="60" s="1"/>
  <c r="B1535" i="60" s="1"/>
  <c r="B1536" i="60" s="1"/>
  <c r="B1537" i="60" s="1"/>
  <c r="B1538" i="60" s="1"/>
  <c r="B1539" i="60" s="1"/>
  <c r="B1540" i="60" s="1"/>
  <c r="B1541" i="60" s="1"/>
  <c r="B1542" i="60" s="1"/>
  <c r="B1543" i="60" s="1"/>
  <c r="B1544" i="60" s="1"/>
  <c r="B1545" i="60" s="1"/>
  <c r="B1546" i="60" s="1"/>
  <c r="B1547" i="60" s="1"/>
  <c r="B1548" i="60" s="1"/>
  <c r="B1549" i="60" s="1"/>
  <c r="B1550" i="60" s="1"/>
  <c r="B1551" i="60" s="1"/>
  <c r="B1552" i="60" s="1"/>
  <c r="B1553" i="60" s="1"/>
  <c r="B1554" i="60" s="1"/>
  <c r="B1555" i="60" s="1"/>
  <c r="B1556" i="60" s="1"/>
  <c r="B1557" i="60" s="1"/>
  <c r="B1558" i="60" s="1"/>
  <c r="B1559" i="60" s="1"/>
  <c r="B1560" i="60" s="1"/>
  <c r="B1561" i="60" s="1"/>
  <c r="B1562" i="60" s="1"/>
  <c r="B1563" i="60" s="1"/>
  <c r="B1564" i="60" s="1"/>
  <c r="B1565" i="60" s="1"/>
  <c r="B1566" i="60" s="1"/>
  <c r="B1567" i="60" s="1"/>
  <c r="B1568" i="60" s="1"/>
  <c r="B1569" i="60" s="1"/>
  <c r="B1570" i="60" s="1"/>
  <c r="B1571" i="60" s="1"/>
  <c r="B1572" i="60" s="1"/>
  <c r="B1573" i="60" s="1"/>
  <c r="B1574" i="60" s="1"/>
  <c r="B1575" i="60" s="1"/>
  <c r="B1576" i="60" s="1"/>
  <c r="B1577" i="60" s="1"/>
  <c r="B1578" i="60" s="1"/>
  <c r="B1579" i="60" s="1"/>
  <c r="B1580" i="60" s="1"/>
  <c r="B1581" i="60" s="1"/>
  <c r="B1582" i="60" s="1"/>
  <c r="B1583" i="60" s="1"/>
  <c r="B1584" i="60" s="1"/>
  <c r="B1585" i="60" s="1"/>
  <c r="B1586" i="60" s="1"/>
  <c r="B1587" i="60" s="1"/>
  <c r="B1588" i="60" s="1"/>
  <c r="B1589" i="60" s="1"/>
  <c r="B1590" i="60" s="1"/>
  <c r="B1591" i="60" s="1"/>
  <c r="B1592" i="60" s="1"/>
  <c r="B1593" i="60" s="1"/>
  <c r="B1594" i="60" s="1"/>
  <c r="B1595" i="60" s="1"/>
  <c r="B1596" i="60" s="1"/>
  <c r="B1597" i="60" s="1"/>
  <c r="B1598" i="60" s="1"/>
  <c r="B1599" i="60" s="1"/>
  <c r="B1600" i="60" s="1"/>
  <c r="B1601" i="60" s="1"/>
  <c r="B1602" i="60" s="1"/>
  <c r="B1603" i="60" s="1"/>
  <c r="B1604" i="60" s="1"/>
  <c r="B1605" i="60" s="1"/>
  <c r="B1606" i="60" s="1"/>
  <c r="B1607" i="60" s="1"/>
  <c r="B1608" i="60" s="1"/>
  <c r="B1609" i="60" s="1"/>
  <c r="B1610" i="60" s="1"/>
  <c r="B1611" i="60" s="1"/>
  <c r="B1612" i="60" s="1"/>
  <c r="B1613" i="60" s="1"/>
  <c r="B1614" i="60" s="1"/>
  <c r="B1615" i="60" s="1"/>
  <c r="B1616" i="60" s="1"/>
  <c r="B1617" i="60" s="1"/>
  <c r="B1618" i="60" s="1"/>
  <c r="B1619" i="60" s="1"/>
  <c r="B1620" i="60" s="1"/>
  <c r="B1621" i="60" s="1"/>
  <c r="B1622" i="60" s="1"/>
  <c r="B1623" i="60" s="1"/>
  <c r="B1624" i="60" s="1"/>
  <c r="B1625" i="60" s="1"/>
  <c r="B1626" i="60" s="1"/>
  <c r="B1627" i="60" s="1"/>
  <c r="B1628" i="60" s="1"/>
  <c r="B1629" i="60" s="1"/>
  <c r="B1630" i="60" s="1"/>
  <c r="B1631" i="60" s="1"/>
  <c r="B1632" i="60" s="1"/>
  <c r="B1633" i="60" s="1"/>
  <c r="B1634" i="60" s="1"/>
  <c r="B1635" i="60" s="1"/>
  <c r="B1636" i="60" s="1"/>
  <c r="B1637" i="60" s="1"/>
  <c r="B1638" i="60" s="1"/>
  <c r="B1639" i="60" s="1"/>
  <c r="B1640" i="60" s="1"/>
  <c r="B1641" i="60" s="1"/>
  <c r="B1642" i="60" s="1"/>
  <c r="B1643" i="60" s="1"/>
  <c r="B1644" i="60" s="1"/>
  <c r="B1645" i="60" s="1"/>
  <c r="B1646" i="60" s="1"/>
  <c r="B1647" i="60" s="1"/>
  <c r="B1648" i="60" s="1"/>
  <c r="B1649" i="60" s="1"/>
  <c r="B1650" i="60" s="1"/>
  <c r="B1651" i="60" s="1"/>
  <c r="B1652" i="60" s="1"/>
  <c r="B1653" i="60" s="1"/>
  <c r="B1654" i="60" s="1"/>
  <c r="B1655" i="60" s="1"/>
  <c r="B1656" i="60" s="1"/>
  <c r="B1657" i="60" s="1"/>
  <c r="B1658" i="60" s="1"/>
  <c r="B1659" i="60" s="1"/>
  <c r="B1660" i="60" s="1"/>
  <c r="B1661" i="60" s="1"/>
  <c r="B1662" i="60" s="1"/>
  <c r="B1663" i="60" s="1"/>
  <c r="B1664" i="60" s="1"/>
  <c r="B1665" i="60" s="1"/>
  <c r="B1666" i="60" s="1"/>
  <c r="B1667" i="60" s="1"/>
  <c r="B1668" i="60" s="1"/>
  <c r="B1669" i="60" s="1"/>
  <c r="B1670" i="60" s="1"/>
  <c r="B1671" i="60" s="1"/>
  <c r="B1672" i="60" s="1"/>
  <c r="B1673" i="60" s="1"/>
  <c r="B1674" i="60" s="1"/>
  <c r="B1675" i="60" s="1"/>
  <c r="B1676" i="60" s="1"/>
  <c r="B1677" i="60" s="1"/>
  <c r="B1678" i="60" s="1"/>
  <c r="B1679" i="60" s="1"/>
  <c r="B1680" i="60" s="1"/>
  <c r="B1681" i="60" s="1"/>
  <c r="B1682" i="60" s="1"/>
  <c r="B1683" i="60" s="1"/>
  <c r="B1684" i="60" s="1"/>
  <c r="B1685" i="60" s="1"/>
  <c r="B1686" i="60" s="1"/>
  <c r="B1687" i="60" s="1"/>
  <c r="B1688" i="60" s="1"/>
  <c r="B1689" i="60" s="1"/>
  <c r="B1690" i="60" s="1"/>
  <c r="B1691" i="60" s="1"/>
  <c r="B1692" i="60" s="1"/>
  <c r="B1693" i="60" s="1"/>
  <c r="B1694" i="60" s="1"/>
  <c r="B1695" i="60" s="1"/>
  <c r="B1696" i="60" s="1"/>
  <c r="B1697" i="60" s="1"/>
  <c r="B1698" i="60" s="1"/>
  <c r="B1699" i="60" s="1"/>
  <c r="B1700" i="60" s="1"/>
  <c r="B1701" i="60" s="1"/>
  <c r="B1702" i="60" s="1"/>
  <c r="B1703" i="60" s="1"/>
  <c r="B1704" i="60" s="1"/>
  <c r="B1705" i="60" s="1"/>
  <c r="B1706" i="60" s="1"/>
  <c r="B1707" i="60" s="1"/>
  <c r="B1708" i="60" s="1"/>
  <c r="B1709" i="60" s="1"/>
  <c r="B1710" i="60" s="1"/>
  <c r="B1711" i="60" s="1"/>
  <c r="B1712" i="60" s="1"/>
  <c r="B1713" i="60" s="1"/>
  <c r="B1714" i="60" s="1"/>
  <c r="B1715" i="60" s="1"/>
  <c r="B1716" i="60" s="1"/>
  <c r="B1717" i="60" s="1"/>
  <c r="B1718" i="60" s="1"/>
  <c r="B1719" i="60" s="1"/>
  <c r="B1720" i="60" s="1"/>
  <c r="B1721" i="60" s="1"/>
  <c r="B1722" i="60" s="1"/>
  <c r="B1723" i="60" s="1"/>
  <c r="B1724" i="60" s="1"/>
  <c r="B1725" i="60" s="1"/>
  <c r="B1726" i="60" s="1"/>
  <c r="B1727" i="60" s="1"/>
  <c r="B1728" i="60" s="1"/>
  <c r="B1729" i="60" s="1"/>
  <c r="B1730" i="60" s="1"/>
  <c r="B1731" i="60" s="1"/>
  <c r="B1732" i="60" s="1"/>
  <c r="B1733" i="60" s="1"/>
  <c r="B1734" i="60" s="1"/>
  <c r="B1735" i="60" s="1"/>
  <c r="B1736" i="60" s="1"/>
  <c r="B1737" i="60" s="1"/>
  <c r="B1738" i="60" s="1"/>
  <c r="B1739" i="60" s="1"/>
  <c r="B1740" i="60" s="1"/>
  <c r="B1741" i="60" s="1"/>
  <c r="B1742" i="60" s="1"/>
  <c r="B1743" i="60" s="1"/>
  <c r="B1744" i="60" s="1"/>
  <c r="B1745" i="60" s="1"/>
  <c r="B1746" i="60" s="1"/>
  <c r="B1747" i="60" s="1"/>
  <c r="B1748" i="60" s="1"/>
  <c r="B1749" i="60" s="1"/>
  <c r="B1750" i="60" s="1"/>
  <c r="B1751" i="60" s="1"/>
  <c r="B1752" i="60" s="1"/>
  <c r="B1753" i="60" s="1"/>
  <c r="B1754" i="60" s="1"/>
  <c r="B1755" i="60" s="1"/>
  <c r="B1756" i="60" s="1"/>
  <c r="B1757" i="60" s="1"/>
  <c r="B1758" i="60" s="1"/>
  <c r="B1759" i="60" s="1"/>
  <c r="B1760" i="60" s="1"/>
  <c r="B1761" i="60" s="1"/>
  <c r="B1762" i="60" s="1"/>
  <c r="B1763" i="60" s="1"/>
  <c r="B1764" i="60" s="1"/>
  <c r="B1765" i="60" s="1"/>
  <c r="B1766" i="60" s="1"/>
  <c r="B1767" i="60" s="1"/>
  <c r="B1768" i="60" s="1"/>
  <c r="B1769" i="60" s="1"/>
  <c r="B1770" i="60" s="1"/>
  <c r="B1771" i="60" s="1"/>
  <c r="B1772" i="60" s="1"/>
  <c r="B1773" i="60" s="1"/>
  <c r="B1774" i="60" s="1"/>
  <c r="B1775" i="60" s="1"/>
  <c r="B1776" i="60" s="1"/>
  <c r="B1777" i="60" s="1"/>
  <c r="B1778" i="60" s="1"/>
  <c r="B1779" i="60" s="1"/>
  <c r="B1780" i="60" s="1"/>
  <c r="B1781" i="60" s="1"/>
  <c r="B1782" i="60" s="1"/>
  <c r="B1783" i="60" s="1"/>
  <c r="B1784" i="60" s="1"/>
  <c r="B1785" i="60" s="1"/>
  <c r="B1786" i="60" s="1"/>
  <c r="B1787" i="60" s="1"/>
  <c r="B1788" i="60" s="1"/>
  <c r="B1789" i="60" s="1"/>
  <c r="B1790" i="60" s="1"/>
  <c r="B1791" i="60" s="1"/>
  <c r="B1792" i="60" s="1"/>
  <c r="B1793" i="60" s="1"/>
  <c r="B1794" i="60" s="1"/>
  <c r="B1795" i="60" s="1"/>
  <c r="B1796" i="60" s="1"/>
  <c r="B1797" i="60" s="1"/>
  <c r="B1798" i="60" s="1"/>
  <c r="B1799" i="60" s="1"/>
  <c r="B1800" i="60" s="1"/>
  <c r="B1801" i="60" s="1"/>
  <c r="B1802" i="60" s="1"/>
  <c r="B1803" i="60" s="1"/>
  <c r="B1804" i="60" s="1"/>
  <c r="B1805" i="60" s="1"/>
  <c r="B1806" i="60" s="1"/>
  <c r="B1807" i="60" s="1"/>
  <c r="B1808" i="60" s="1"/>
  <c r="B1809" i="60" s="1"/>
  <c r="B1810" i="60" s="1"/>
  <c r="B1811" i="60" s="1"/>
  <c r="B1812" i="60" s="1"/>
  <c r="B1813" i="60" s="1"/>
  <c r="B1814" i="60" s="1"/>
  <c r="B1815" i="60" s="1"/>
  <c r="B1816" i="60" s="1"/>
  <c r="B1817" i="60" s="1"/>
  <c r="B1818" i="60" s="1"/>
  <c r="B1819" i="60" s="1"/>
  <c r="B1820" i="60" s="1"/>
  <c r="B1821" i="60" s="1"/>
  <c r="B1822" i="60" s="1"/>
  <c r="B1823" i="60" s="1"/>
  <c r="B1824" i="60" s="1"/>
  <c r="B1825" i="60" s="1"/>
  <c r="B1826" i="60" s="1"/>
  <c r="B1827" i="60" s="1"/>
  <c r="B1828" i="60" s="1"/>
  <c r="B1829" i="60" s="1"/>
  <c r="B1830" i="60" s="1"/>
  <c r="B1831" i="60" s="1"/>
  <c r="B1832" i="60" s="1"/>
  <c r="B1833" i="60" s="1"/>
  <c r="B1834" i="60" s="1"/>
  <c r="B1835" i="60" s="1"/>
  <c r="B1836" i="60" s="1"/>
  <c r="B1837" i="60" s="1"/>
  <c r="B1838" i="60" s="1"/>
  <c r="B1839" i="60" s="1"/>
  <c r="B1840" i="60" s="1"/>
  <c r="B1841" i="60" s="1"/>
  <c r="B1842" i="60" s="1"/>
  <c r="B1843" i="60" s="1"/>
  <c r="B1844" i="60" s="1"/>
  <c r="B1845" i="60" s="1"/>
  <c r="B1846" i="60" s="1"/>
  <c r="B1847" i="60" s="1"/>
  <c r="B1848" i="60" s="1"/>
  <c r="B1849" i="60" s="1"/>
  <c r="B1850" i="60" s="1"/>
  <c r="B1851" i="60" s="1"/>
  <c r="B1852" i="60" s="1"/>
  <c r="B1853" i="60" s="1"/>
  <c r="B1854" i="60" s="1"/>
  <c r="B1855" i="60" s="1"/>
  <c r="B1856" i="60" s="1"/>
  <c r="B1857" i="60" s="1"/>
  <c r="B1858" i="60" s="1"/>
  <c r="B1859" i="60" s="1"/>
  <c r="B1860" i="60" s="1"/>
  <c r="B1861" i="60" s="1"/>
  <c r="B1862" i="60" s="1"/>
  <c r="B1863" i="60" s="1"/>
  <c r="B1864" i="60" s="1"/>
  <c r="B1865" i="60" s="1"/>
  <c r="B1866" i="60" s="1"/>
  <c r="B1867" i="60" s="1"/>
  <c r="B1868" i="60" s="1"/>
  <c r="B1869" i="60" s="1"/>
  <c r="B1870" i="60" s="1"/>
  <c r="B1871" i="60" s="1"/>
  <c r="B1872" i="60" s="1"/>
  <c r="B1873" i="60" s="1"/>
  <c r="B1874" i="60" s="1"/>
  <c r="B1875" i="60" s="1"/>
  <c r="B1876" i="60" s="1"/>
  <c r="B1877" i="60" s="1"/>
  <c r="B1878" i="60" s="1"/>
  <c r="B1879" i="60" s="1"/>
  <c r="B1880" i="60" s="1"/>
  <c r="B1881" i="60" s="1"/>
  <c r="B1882" i="60" s="1"/>
  <c r="B1883" i="60" s="1"/>
  <c r="B1884" i="60" s="1"/>
  <c r="B1885" i="60" s="1"/>
  <c r="B1886" i="60" s="1"/>
  <c r="B1887" i="60" s="1"/>
  <c r="B1888" i="60" s="1"/>
  <c r="B1889" i="60" s="1"/>
  <c r="B1890" i="60" s="1"/>
  <c r="B1891" i="60" s="1"/>
  <c r="B1892" i="60" s="1"/>
  <c r="B1893" i="60" s="1"/>
  <c r="B1894" i="60" s="1"/>
  <c r="B1895" i="60" s="1"/>
  <c r="B1896" i="60" s="1"/>
  <c r="B1897" i="60" s="1"/>
  <c r="B1898" i="60" s="1"/>
  <c r="B1899" i="60" s="1"/>
  <c r="B1900" i="60" s="1"/>
  <c r="B1901" i="60" s="1"/>
  <c r="B1902" i="60" s="1"/>
  <c r="B1903" i="60" s="1"/>
  <c r="B1904" i="60" s="1"/>
  <c r="B1905" i="60" s="1"/>
  <c r="B1906" i="60" s="1"/>
  <c r="B1907" i="60" s="1"/>
  <c r="B1908" i="60" s="1"/>
  <c r="B1909" i="60" s="1"/>
  <c r="B1910" i="60" s="1"/>
  <c r="B1911" i="60" s="1"/>
  <c r="B1912" i="60" s="1"/>
  <c r="B1913" i="60" s="1"/>
  <c r="B1914" i="60" s="1"/>
  <c r="B1915" i="60" s="1"/>
  <c r="B1916" i="60" s="1"/>
  <c r="B1917" i="60" s="1"/>
  <c r="B1918" i="60" s="1"/>
  <c r="B1919" i="60" s="1"/>
  <c r="B1920" i="60" s="1"/>
  <c r="B1921" i="60" s="1"/>
  <c r="B1922" i="60" s="1"/>
  <c r="B1923" i="60" s="1"/>
  <c r="B1924" i="60" s="1"/>
  <c r="B1925" i="60" s="1"/>
  <c r="B1926" i="60" s="1"/>
  <c r="B1927" i="60" s="1"/>
  <c r="B1928" i="60" s="1"/>
  <c r="B1929" i="60" s="1"/>
  <c r="B1930" i="60" s="1"/>
  <c r="B1931" i="60" s="1"/>
  <c r="B1932" i="60" s="1"/>
  <c r="B1933" i="60" s="1"/>
  <c r="B1934" i="60" s="1"/>
  <c r="B1935" i="60" s="1"/>
  <c r="B1936" i="60" s="1"/>
  <c r="B1937" i="60" s="1"/>
  <c r="B1938" i="60" s="1"/>
  <c r="B1939" i="60" s="1"/>
  <c r="B1940" i="60" s="1"/>
  <c r="B1941" i="60" s="1"/>
  <c r="B1942" i="60" s="1"/>
  <c r="B1943" i="60" s="1"/>
  <c r="B1944" i="60" s="1"/>
  <c r="B1945" i="60" s="1"/>
  <c r="B1946" i="60" s="1"/>
  <c r="B1947" i="60" s="1"/>
  <c r="B1948" i="60" s="1"/>
  <c r="B1949" i="60" s="1"/>
  <c r="B1950" i="60" s="1"/>
  <c r="B1951" i="60" s="1"/>
  <c r="B1952" i="60" s="1"/>
  <c r="B1953" i="60" s="1"/>
  <c r="B1954" i="60" s="1"/>
  <c r="B1955" i="60" s="1"/>
  <c r="B1956" i="60" s="1"/>
  <c r="B1957" i="60" s="1"/>
  <c r="B1958" i="60" s="1"/>
  <c r="B1959" i="60" s="1"/>
  <c r="B1960" i="60" s="1"/>
  <c r="B1961" i="60" s="1"/>
  <c r="B1962" i="60" s="1"/>
  <c r="B1963" i="60" s="1"/>
  <c r="B1964" i="60" s="1"/>
  <c r="AL784" i="13" l="1"/>
  <c r="AN784" i="13"/>
  <c r="AN22" i="61" s="1"/>
  <c r="AK784" i="13"/>
  <c r="AM784" i="13" s="1"/>
  <c r="Q119" i="11" l="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6" i="11" l="1"/>
  <c r="Q85" i="11"/>
  <c r="Q84" i="11"/>
  <c r="Q83" i="11"/>
  <c r="Q82" i="11"/>
  <c r="Q81" i="11"/>
  <c r="Q80" i="11"/>
  <c r="Q79" i="11"/>
  <c r="Q78" i="11"/>
  <c r="Q77" i="11"/>
  <c r="Q76" i="11"/>
  <c r="Q75" i="11"/>
  <c r="Q74" i="11"/>
  <c r="Q73" i="11"/>
  <c r="Q72" i="11"/>
  <c r="Q71" i="11"/>
  <c r="Q70" i="11"/>
  <c r="Q69" i="11"/>
  <c r="Q68" i="11"/>
  <c r="Q67" i="11"/>
  <c r="Q66" i="11"/>
  <c r="Q65" i="11"/>
  <c r="Q63" i="11"/>
  <c r="Q62" i="11"/>
  <c r="Q61" i="11"/>
  <c r="Q60" i="11"/>
  <c r="Q59" i="11"/>
  <c r="Q58" i="11"/>
  <c r="Q56" i="11" l="1"/>
  <c r="Q55" i="11"/>
  <c r="Q54" i="11"/>
  <c r="Q53" i="11"/>
  <c r="Q52" i="11"/>
  <c r="Q51" i="11"/>
  <c r="Q50" i="11"/>
  <c r="Q49" i="11"/>
  <c r="Q48" i="11"/>
  <c r="Q47" i="11"/>
  <c r="Q46" i="11"/>
  <c r="Q45" i="11"/>
  <c r="Q44" i="11"/>
  <c r="Q43" i="11"/>
  <c r="Q42" i="11"/>
  <c r="Q41" i="11"/>
  <c r="Q40" i="11"/>
  <c r="Q39" i="11"/>
  <c r="Q38" i="11"/>
  <c r="Q37" i="11"/>
  <c r="Q36" i="11"/>
  <c r="Q35" i="11"/>
  <c r="Q34" i="11"/>
  <c r="Q32" i="11" l="1"/>
  <c r="Q31" i="11"/>
  <c r="Q28" i="11" l="1"/>
  <c r="Q27" i="11"/>
  <c r="Q26" i="11"/>
  <c r="Q25" i="11"/>
  <c r="Q24" i="11"/>
  <c r="Q23" i="11"/>
  <c r="Q22" i="11"/>
  <c r="Q21" i="11"/>
  <c r="Q20" i="11"/>
  <c r="Q19" i="11"/>
  <c r="Q18" i="11"/>
  <c r="Q17" i="11"/>
  <c r="Q14" i="11"/>
  <c r="Q13" i="11" l="1"/>
  <c r="S83" i="13"/>
  <c r="D9" i="3"/>
  <c r="C32" i="2" s="1"/>
  <c r="R84" i="13" l="1"/>
  <c r="S84" i="13"/>
  <c r="R89" i="13"/>
  <c r="S89" i="13"/>
  <c r="R85" i="13"/>
  <c r="S85" i="13"/>
  <c r="R83" i="13"/>
  <c r="Q30" i="11" l="1"/>
  <c r="Q29" i="11" l="1"/>
  <c r="K1713" i="11"/>
  <c r="Z48" i="13" l="1"/>
  <c r="AC83" i="13" l="1"/>
  <c r="AE83" i="13" s="1"/>
  <c r="AK83" i="13" s="1"/>
  <c r="AC84" i="13"/>
  <c r="AE84" i="13" s="1"/>
  <c r="BA85" i="13"/>
  <c r="Z83" i="13"/>
  <c r="AN83" i="13" s="1"/>
  <c r="Z84" i="13"/>
  <c r="AN84" i="13" s="1"/>
  <c r="Z85" i="13"/>
  <c r="Z89" i="13"/>
  <c r="Z90" i="13"/>
  <c r="W84" i="13"/>
  <c r="W83" i="13"/>
  <c r="AV84" i="13" l="1"/>
  <c r="AX84" i="13" s="1"/>
  <c r="AV83" i="13"/>
  <c r="AX83" i="13" s="1"/>
  <c r="AM83" i="13"/>
  <c r="AL84" i="13"/>
  <c r="AK84" i="13"/>
  <c r="AM84" i="13" s="1"/>
  <c r="AO84" i="13"/>
  <c r="AL83" i="13"/>
  <c r="AO83" i="13"/>
  <c r="AC85" i="13"/>
  <c r="AE85" i="13" s="1"/>
  <c r="AN85" i="13"/>
  <c r="Q83" i="13" l="1"/>
  <c r="Q84" i="13"/>
  <c r="AY83" i="13"/>
  <c r="AY84" i="13"/>
  <c r="AL85" i="13"/>
  <c r="AK85" i="13"/>
  <c r="AM85" i="13" s="1"/>
  <c r="AO85" i="13"/>
  <c r="O3" i="4" l="1"/>
  <c r="Q3" i="4"/>
  <c r="P4" i="4"/>
  <c r="R3" i="4" l="1"/>
  <c r="N3" i="4"/>
  <c r="M3" i="4" s="1"/>
  <c r="Q4" i="4"/>
  <c r="O4" i="4"/>
  <c r="R4" i="4"/>
  <c r="N4" i="4" l="1"/>
  <c r="S3" i="4"/>
  <c r="M4" i="4"/>
  <c r="L3" i="4"/>
  <c r="S4" i="4" l="1"/>
  <c r="T3" i="4"/>
  <c r="K3" i="4"/>
  <c r="L4" i="4"/>
  <c r="U3" i="4" l="1"/>
  <c r="T4" i="4"/>
  <c r="J3" i="4"/>
  <c r="K4" i="4"/>
  <c r="M2" i="4"/>
  <c r="L2" i="4"/>
  <c r="V3" i="4" l="1"/>
  <c r="U4" i="4"/>
  <c r="J4" i="4"/>
  <c r="N2" i="4"/>
  <c r="K2" i="4"/>
  <c r="W3" i="4" l="1"/>
  <c r="V4" i="4"/>
  <c r="O2" i="4"/>
  <c r="J2" i="4"/>
  <c r="X3" i="4" l="1"/>
  <c r="W4" i="4"/>
  <c r="P2" i="4"/>
  <c r="Y3" i="4" l="1"/>
  <c r="X4" i="4"/>
  <c r="Q2" i="4"/>
  <c r="Y4" i="4" l="1"/>
  <c r="Z3" i="4"/>
  <c r="R2" i="4"/>
  <c r="AA3" i="4" l="1"/>
  <c r="Z4" i="4"/>
  <c r="S2" i="4"/>
  <c r="AA4" i="4" l="1"/>
  <c r="AB3" i="4"/>
  <c r="T2" i="4"/>
  <c r="AC3" i="4" l="1"/>
  <c r="AB4" i="4"/>
  <c r="U2" i="4"/>
  <c r="AC4" i="4" l="1"/>
  <c r="AD3" i="4"/>
  <c r="V2" i="4"/>
  <c r="AE3" i="4" l="1"/>
  <c r="AD4" i="4"/>
  <c r="W2" i="4"/>
  <c r="AF3" i="4" l="1"/>
  <c r="AE4" i="4"/>
  <c r="X2" i="4"/>
  <c r="AG3" i="4" l="1"/>
  <c r="AF4" i="4"/>
  <c r="Y2" i="4"/>
  <c r="AG4" i="4" l="1"/>
  <c r="AH3" i="4"/>
  <c r="Z2" i="4"/>
  <c r="AH4" i="4" l="1"/>
  <c r="AI3" i="4"/>
  <c r="AA2" i="4"/>
  <c r="AI4" i="4" l="1"/>
  <c r="AJ3" i="4"/>
  <c r="AB2" i="4"/>
  <c r="AK3" i="4" l="1"/>
  <c r="AJ4" i="4"/>
  <c r="AC2" i="4"/>
  <c r="AL3" i="4" l="1"/>
  <c r="AK4" i="4"/>
  <c r="AD2" i="4"/>
  <c r="AL4" i="4" l="1"/>
  <c r="AM3" i="4"/>
  <c r="AE2" i="4"/>
  <c r="AM4" i="4" l="1"/>
  <c r="AN3" i="4"/>
  <c r="AF2" i="4"/>
  <c r="AO3" i="4" l="1"/>
  <c r="AN4" i="4"/>
  <c r="AG2" i="4"/>
  <c r="AO4" i="4" l="1"/>
  <c r="AP3" i="4"/>
  <c r="AH2" i="4"/>
  <c r="AQ3" i="4" l="1"/>
  <c r="AP4" i="4"/>
  <c r="AI2" i="4"/>
  <c r="AR3" i="4" l="1"/>
  <c r="AQ4" i="4"/>
  <c r="AJ2" i="4"/>
  <c r="AS3" i="4" l="1"/>
  <c r="AR4" i="4"/>
  <c r="AK2" i="4"/>
  <c r="AT3" i="4" l="1"/>
  <c r="AS4" i="4"/>
  <c r="AL2" i="4"/>
  <c r="AU3" i="4" l="1"/>
  <c r="AT4" i="4"/>
  <c r="AM2" i="4"/>
  <c r="AU4" i="4" l="1"/>
  <c r="AV3" i="4"/>
  <c r="AN2" i="4"/>
  <c r="AW3" i="4" l="1"/>
  <c r="AV4" i="4"/>
  <c r="AO2" i="4"/>
  <c r="AX3" i="4" l="1"/>
  <c r="AW4" i="4"/>
  <c r="AP2" i="4"/>
  <c r="AY3" i="4" l="1"/>
  <c r="AX4" i="4"/>
  <c r="AQ2" i="4"/>
  <c r="AY4" i="4" l="1"/>
  <c r="AZ3" i="4"/>
  <c r="AR2" i="4"/>
  <c r="BA3" i="4" l="1"/>
  <c r="AZ4" i="4"/>
  <c r="AS2" i="4"/>
  <c r="BB3" i="4" l="1"/>
  <c r="BA4" i="4"/>
  <c r="AT2" i="4"/>
  <c r="BC3" i="4" l="1"/>
  <c r="BB4" i="4"/>
  <c r="AU2" i="4"/>
  <c r="BD3" i="4" l="1"/>
  <c r="BC4" i="4"/>
  <c r="AV2" i="4"/>
  <c r="BE3" i="4" l="1"/>
  <c r="BD4" i="4"/>
  <c r="AW2" i="4"/>
  <c r="BE4" i="4" l="1"/>
  <c r="BF3" i="4"/>
  <c r="AX2" i="4"/>
  <c r="BG3" i="4" l="1"/>
  <c r="BF4" i="4"/>
  <c r="AY2" i="4"/>
  <c r="BG4" i="4" l="1"/>
  <c r="BH3" i="4"/>
  <c r="AZ2" i="4"/>
  <c r="BH4" i="4" l="1"/>
  <c r="BI3" i="4"/>
  <c r="BA2" i="4"/>
  <c r="BJ3" i="4" l="1"/>
  <c r="BI4" i="4"/>
  <c r="BB2" i="4"/>
  <c r="BK3" i="4" l="1"/>
  <c r="BJ4" i="4"/>
  <c r="BC2" i="4"/>
  <c r="BK4" i="4" l="1"/>
  <c r="BL3" i="4"/>
  <c r="BD2" i="4"/>
  <c r="BL4" i="4" l="1"/>
  <c r="BM3" i="4"/>
  <c r="BE2" i="4"/>
  <c r="BM4" i="4" l="1"/>
  <c r="BN3" i="4"/>
  <c r="BF2" i="4"/>
  <c r="BN4" i="4" l="1"/>
  <c r="BO3" i="4"/>
  <c r="BG2" i="4"/>
  <c r="BO4" i="4" l="1"/>
  <c r="BP3" i="4"/>
  <c r="BH2" i="4"/>
  <c r="BQ3" i="4" l="1"/>
  <c r="BP4" i="4"/>
  <c r="BI2" i="4"/>
  <c r="BR3" i="4" l="1"/>
  <c r="BQ4" i="4"/>
  <c r="BJ2" i="4"/>
  <c r="BS3" i="4" l="1"/>
  <c r="BR4" i="4"/>
  <c r="BK2" i="4"/>
  <c r="BT3" i="4" l="1"/>
  <c r="BS4" i="4"/>
  <c r="BL2" i="4"/>
  <c r="BT4" i="4" l="1"/>
  <c r="BU3" i="4"/>
  <c r="BM2" i="4"/>
  <c r="BU4" i="4" l="1"/>
  <c r="BV3" i="4"/>
  <c r="BN2" i="4"/>
  <c r="BW3" i="4" l="1"/>
  <c r="BV2" i="4"/>
  <c r="BV4" i="4"/>
  <c r="BO2" i="4"/>
  <c r="BW4" i="4" l="1"/>
  <c r="BX3" i="4"/>
  <c r="BW2" i="4"/>
  <c r="BP2" i="4"/>
  <c r="BX2" i="4" l="1"/>
  <c r="BY3" i="4"/>
  <c r="BX4" i="4"/>
  <c r="BQ2" i="4"/>
  <c r="BZ3" i="4" l="1"/>
  <c r="BY2" i="4"/>
  <c r="BY4" i="4"/>
  <c r="BR2" i="4"/>
  <c r="CA3" i="4" l="1"/>
  <c r="BZ4" i="4"/>
  <c r="BZ2" i="4"/>
  <c r="BS2" i="4"/>
  <c r="CB3" i="4" l="1"/>
  <c r="CA2" i="4"/>
  <c r="CA4" i="4"/>
  <c r="BT2" i="4"/>
  <c r="CC3" i="4" l="1"/>
  <c r="CB2" i="4"/>
  <c r="CB4" i="4"/>
  <c r="BU2" i="4"/>
  <c r="CC2" i="4" l="1"/>
  <c r="CD3" i="4"/>
  <c r="CC4" i="4"/>
  <c r="CD2" i="4" l="1"/>
  <c r="CD4" i="4"/>
  <c r="CE3" i="4"/>
  <c r="AD31" i="13"/>
  <c r="BA31" i="13" s="1"/>
  <c r="Z31" i="13"/>
  <c r="AA81" i="13" l="1"/>
  <c r="AD81" i="13" s="1"/>
  <c r="AA82" i="13"/>
  <c r="AD82" i="13" s="1"/>
  <c r="R31" i="13"/>
  <c r="S31" i="13"/>
  <c r="AV31" i="13"/>
  <c r="AX31" i="13" s="1"/>
  <c r="CE2" i="4"/>
  <c r="CE4" i="4"/>
  <c r="CF3" i="4"/>
  <c r="AN31" i="13"/>
  <c r="AC31" i="13"/>
  <c r="AE31" i="13" s="1"/>
  <c r="N31" i="13" l="1"/>
  <c r="Q31" i="13" s="1"/>
  <c r="AY31" i="13"/>
  <c r="CF2" i="4"/>
  <c r="CF4" i="4"/>
  <c r="CG3" i="4"/>
  <c r="AL31" i="13"/>
  <c r="AO31" i="13"/>
  <c r="AK31" i="13"/>
  <c r="AM31" i="13" s="1"/>
  <c r="W31" i="13"/>
  <c r="CG4" i="4" l="1"/>
  <c r="CH3" i="4"/>
  <c r="CG2" i="4"/>
  <c r="Z117" i="13"/>
  <c r="Z116" i="13"/>
  <c r="N116" i="13" l="1"/>
  <c r="Q116" i="13" s="1"/>
  <c r="R116" i="13"/>
  <c r="S116" i="13"/>
  <c r="W116" i="13" s="1"/>
  <c r="R117" i="13"/>
  <c r="S117" i="13"/>
  <c r="W117" i="13" s="1"/>
  <c r="AV116" i="13"/>
  <c r="AX116" i="13" s="1"/>
  <c r="CH4" i="4"/>
  <c r="CH2" i="4"/>
  <c r="CI3" i="4"/>
  <c r="CJ3" i="4" s="1"/>
  <c r="AC117" i="13"/>
  <c r="AN116" i="13"/>
  <c r="AD117" i="13"/>
  <c r="BA117" i="13" s="1"/>
  <c r="AN117" i="13"/>
  <c r="AC116" i="13"/>
  <c r="AD116" i="13"/>
  <c r="BA116" i="13" s="1"/>
  <c r="N117" i="13" l="1"/>
  <c r="Q117" i="13" s="1"/>
  <c r="AY116" i="13"/>
  <c r="AV117" i="13"/>
  <c r="AX117" i="13" s="1"/>
  <c r="CJ2" i="4"/>
  <c r="CJ4" i="4"/>
  <c r="CK3" i="4"/>
  <c r="CI2" i="4"/>
  <c r="CI4" i="4"/>
  <c r="AE117" i="13"/>
  <c r="AO117" i="13" s="1"/>
  <c r="AE116" i="13"/>
  <c r="AO116" i="13" s="1"/>
  <c r="AY117" i="13" l="1"/>
  <c r="CK2" i="4"/>
  <c r="CK4" i="4"/>
  <c r="CL3" i="4"/>
  <c r="AK117" i="13"/>
  <c r="AM117" i="13" s="1"/>
  <c r="AL117" i="13"/>
  <c r="AK116" i="13"/>
  <c r="AM116" i="13" s="1"/>
  <c r="AL116" i="13"/>
  <c r="CM3" i="4" l="1"/>
  <c r="CN3" i="4" s="1"/>
  <c r="CL4" i="4"/>
  <c r="CL2" i="4"/>
  <c r="S91" i="13"/>
  <c r="Z91" i="13"/>
  <c r="Z110" i="13"/>
  <c r="Z111" i="13"/>
  <c r="Z113" i="13"/>
  <c r="I880" i="13"/>
  <c r="BA89" i="13"/>
  <c r="BA90" i="13"/>
  <c r="BA110" i="13"/>
  <c r="BA111" i="13"/>
  <c r="R112" i="13" l="1"/>
  <c r="S112" i="13"/>
  <c r="W112" i="13" s="1"/>
  <c r="R90" i="13"/>
  <c r="S90" i="13"/>
  <c r="W90" i="13" s="1"/>
  <c r="R111" i="13"/>
  <c r="S111" i="13"/>
  <c r="W111" i="13" s="1"/>
  <c r="R113" i="13"/>
  <c r="S113" i="13"/>
  <c r="W113" i="13" s="1"/>
  <c r="R110" i="13"/>
  <c r="S110" i="13"/>
  <c r="W110" i="13" s="1"/>
  <c r="Q85" i="13"/>
  <c r="AV90" i="13"/>
  <c r="AX90" i="13" s="1"/>
  <c r="AV89" i="13"/>
  <c r="AX89" i="13" s="1"/>
  <c r="AV111" i="13"/>
  <c r="AX111" i="13" s="1"/>
  <c r="AV110" i="13"/>
  <c r="AX110" i="13" s="1"/>
  <c r="AV85" i="13"/>
  <c r="AX85" i="13" s="1"/>
  <c r="AV91" i="13"/>
  <c r="AX91" i="13" s="1"/>
  <c r="CN2" i="4"/>
  <c r="CN4" i="4"/>
  <c r="CO3" i="4"/>
  <c r="CM4" i="4"/>
  <c r="CM2" i="4"/>
  <c r="W91" i="13"/>
  <c r="R91" i="13"/>
  <c r="W85" i="13"/>
  <c r="W89" i="13"/>
  <c r="AC112" i="13"/>
  <c r="AC91" i="13"/>
  <c r="AC113" i="13"/>
  <c r="AN110" i="13"/>
  <c r="AN91" i="13"/>
  <c r="AN90" i="13"/>
  <c r="AN89" i="13"/>
  <c r="AC89" i="13"/>
  <c r="AE89" i="13" s="1"/>
  <c r="AK89" i="13" s="1"/>
  <c r="AM89" i="13" s="1"/>
  <c r="BA91" i="13"/>
  <c r="BA113" i="13"/>
  <c r="BA112" i="13"/>
  <c r="AN113" i="13"/>
  <c r="Z112" i="13"/>
  <c r="AN112" i="13" s="1"/>
  <c r="AC110" i="13"/>
  <c r="AE110" i="13" s="1"/>
  <c r="AK110" i="13" s="1"/>
  <c r="AM110" i="13" s="1"/>
  <c r="AC111" i="13"/>
  <c r="AE111" i="13" s="1"/>
  <c r="AL111" i="13" s="1"/>
  <c r="AC90" i="13"/>
  <c r="AE90" i="13" s="1"/>
  <c r="AL90" i="13" s="1"/>
  <c r="AN111" i="13"/>
  <c r="N113" i="13" l="1"/>
  <c r="Q113" i="13" s="1"/>
  <c r="N112" i="13"/>
  <c r="Q112" i="13" s="1"/>
  <c r="Q90" i="13"/>
  <c r="N89" i="13"/>
  <c r="Q91" i="13"/>
  <c r="N111" i="13"/>
  <c r="Q111" i="13" s="1"/>
  <c r="AY110" i="13"/>
  <c r="AY111" i="13"/>
  <c r="AY91" i="13"/>
  <c r="AY89" i="13"/>
  <c r="AY85" i="13"/>
  <c r="AY90" i="13"/>
  <c r="AV113" i="13"/>
  <c r="AX113" i="13" s="1"/>
  <c r="AV112" i="13"/>
  <c r="AX112" i="13" s="1"/>
  <c r="CP3" i="4"/>
  <c r="CQ3" i="4" s="1"/>
  <c r="CO2" i="4"/>
  <c r="CO4" i="4"/>
  <c r="AE112" i="13"/>
  <c r="AK112" i="13" s="1"/>
  <c r="AM112" i="13" s="1"/>
  <c r="AE91" i="13"/>
  <c r="AO91" i="13" s="1"/>
  <c r="AE113" i="13"/>
  <c r="AL113" i="13" s="1"/>
  <c r="AL110" i="13"/>
  <c r="AO110" i="13"/>
  <c r="AO89" i="13"/>
  <c r="AO111" i="13"/>
  <c r="AK111" i="13"/>
  <c r="AM111" i="13" s="1"/>
  <c r="AK90" i="13"/>
  <c r="AM90" i="13" s="1"/>
  <c r="AO90" i="13"/>
  <c r="AL89" i="13"/>
  <c r="AY112" i="13" l="1"/>
  <c r="AY113" i="13"/>
  <c r="CQ2" i="4"/>
  <c r="CQ4" i="4"/>
  <c r="CR3" i="4"/>
  <c r="CS3" i="4" s="1"/>
  <c r="CP4" i="4"/>
  <c r="CP2" i="4"/>
  <c r="AL112" i="13"/>
  <c r="AO112" i="13"/>
  <c r="AK113" i="13"/>
  <c r="AM113" i="13" s="1"/>
  <c r="AO113" i="13"/>
  <c r="AL91" i="13"/>
  <c r="AK91" i="13"/>
  <c r="AM91" i="13" s="1"/>
  <c r="CS4" i="4" l="1"/>
  <c r="CS2" i="4"/>
  <c r="CT3" i="4"/>
  <c r="CU3" i="4" s="1"/>
  <c r="CR2" i="4"/>
  <c r="CR4" i="4"/>
  <c r="A34" i="61"/>
  <c r="A31" i="61"/>
  <c r="A28" i="61"/>
  <c r="A25" i="61"/>
  <c r="A22" i="61"/>
  <c r="A19" i="61"/>
  <c r="A16" i="61"/>
  <c r="A13" i="61"/>
  <c r="A10" i="61"/>
  <c r="A7" i="61"/>
  <c r="A4" i="61"/>
  <c r="CU2" i="4" l="1"/>
  <c r="CU4" i="4"/>
  <c r="CV3" i="4"/>
  <c r="CT4" i="4"/>
  <c r="CT2" i="4"/>
  <c r="Z82" i="13"/>
  <c r="Z80" i="13"/>
  <c r="S80" i="13"/>
  <c r="Z75" i="13"/>
  <c r="S75" i="13"/>
  <c r="Z74" i="13"/>
  <c r="S74" i="13"/>
  <c r="Z73" i="13"/>
  <c r="S73" i="13"/>
  <c r="Z81" i="13"/>
  <c r="Z72" i="13"/>
  <c r="S72" i="13"/>
  <c r="Z71" i="13"/>
  <c r="S71" i="13"/>
  <c r="U71" i="13" s="1"/>
  <c r="AD71" i="13" s="1"/>
  <c r="Z69" i="13"/>
  <c r="S69" i="13"/>
  <c r="U69" i="13" s="1"/>
  <c r="AD69" i="13" s="1"/>
  <c r="Z68" i="13"/>
  <c r="S68" i="13"/>
  <c r="U68" i="13" s="1"/>
  <c r="AD68" i="13" s="1"/>
  <c r="Z67" i="13"/>
  <c r="S67" i="13"/>
  <c r="U67" i="13" s="1"/>
  <c r="AD67" i="13" s="1"/>
  <c r="Z66" i="13"/>
  <c r="S66" i="13"/>
  <c r="U66" i="13" s="1"/>
  <c r="AD66" i="13" s="1"/>
  <c r="Z63" i="13"/>
  <c r="S63" i="13"/>
  <c r="Z62" i="13"/>
  <c r="S62" i="13"/>
  <c r="Z61" i="13"/>
  <c r="S61" i="13"/>
  <c r="Z60" i="13"/>
  <c r="S60" i="13"/>
  <c r="Z57" i="13"/>
  <c r="S57" i="13"/>
  <c r="Z56" i="13"/>
  <c r="S56" i="13"/>
  <c r="Z55" i="13"/>
  <c r="S55" i="13"/>
  <c r="Z54" i="13"/>
  <c r="S54" i="13"/>
  <c r="Z53" i="13"/>
  <c r="Z49" i="13"/>
  <c r="Z50" i="13"/>
  <c r="Z51" i="13"/>
  <c r="Z52" i="13"/>
  <c r="S48" i="13"/>
  <c r="Q63" i="13" l="1"/>
  <c r="AA57" i="13"/>
  <c r="AA54" i="13"/>
  <c r="AD54" i="13" s="1"/>
  <c r="AA51" i="13"/>
  <c r="AA56" i="13"/>
  <c r="AA60" i="13"/>
  <c r="AD60" i="13" s="1"/>
  <c r="AA55" i="13"/>
  <c r="AA61" i="13"/>
  <c r="AD61" i="13" s="1"/>
  <c r="CV2" i="4"/>
  <c r="CW3" i="4"/>
  <c r="CX3" i="4" s="1"/>
  <c r="CV4" i="4"/>
  <c r="S51" i="13"/>
  <c r="W51" i="13" s="1"/>
  <c r="R49" i="13"/>
  <c r="S49" i="13"/>
  <c r="W49" i="13" s="1"/>
  <c r="R52" i="13"/>
  <c r="S52" i="13"/>
  <c r="W52" i="13" s="1"/>
  <c r="S50" i="13"/>
  <c r="W50" i="13" s="1"/>
  <c r="R53" i="13"/>
  <c r="S53" i="13"/>
  <c r="W53" i="13" s="1"/>
  <c r="AV74" i="13"/>
  <c r="AX74" i="13" s="1"/>
  <c r="AV63" i="13"/>
  <c r="AX63" i="13" s="1"/>
  <c r="AA48" i="13"/>
  <c r="AD48" i="13" s="1"/>
  <c r="J880" i="13"/>
  <c r="W67" i="13"/>
  <c r="R67" i="13"/>
  <c r="W69" i="13"/>
  <c r="R69" i="13"/>
  <c r="W73" i="13"/>
  <c r="R73" i="13"/>
  <c r="W57" i="13"/>
  <c r="R57" i="13"/>
  <c r="W63" i="13"/>
  <c r="R63" i="13"/>
  <c r="W75" i="13"/>
  <c r="R75" i="13"/>
  <c r="W54" i="13"/>
  <c r="R54" i="13"/>
  <c r="W48" i="13"/>
  <c r="R48" i="13"/>
  <c r="W56" i="13"/>
  <c r="R56" i="13"/>
  <c r="W62" i="13"/>
  <c r="R62" i="13"/>
  <c r="W66" i="13"/>
  <c r="R66" i="13"/>
  <c r="W68" i="13"/>
  <c r="R68" i="13"/>
  <c r="W71" i="13"/>
  <c r="R71" i="13"/>
  <c r="W74" i="13"/>
  <c r="R74" i="13"/>
  <c r="W60" i="13"/>
  <c r="R60" i="13"/>
  <c r="W72" i="13"/>
  <c r="R72" i="13"/>
  <c r="W55" i="13"/>
  <c r="R55" i="13"/>
  <c r="W61" i="13"/>
  <c r="R61" i="13"/>
  <c r="W80" i="13"/>
  <c r="R80" i="13"/>
  <c r="AA49" i="13"/>
  <c r="AD49" i="13" s="1"/>
  <c r="AA62" i="13"/>
  <c r="AD62" i="13" s="1"/>
  <c r="AA52" i="13"/>
  <c r="AA50" i="13"/>
  <c r="AA53" i="13"/>
  <c r="W82" i="13"/>
  <c r="BA74" i="13"/>
  <c r="BA63" i="13"/>
  <c r="AC68" i="13"/>
  <c r="AC80" i="13"/>
  <c r="AN71" i="13"/>
  <c r="AN67" i="13"/>
  <c r="AC66" i="13"/>
  <c r="AC75" i="13"/>
  <c r="AC71" i="13"/>
  <c r="AC73" i="13"/>
  <c r="AN74" i="13"/>
  <c r="AN55" i="13"/>
  <c r="AN69" i="13"/>
  <c r="AN75" i="13"/>
  <c r="AN73" i="13"/>
  <c r="AN80" i="13"/>
  <c r="AC82" i="13"/>
  <c r="BA82" i="13"/>
  <c r="BA81" i="13"/>
  <c r="BA75" i="13"/>
  <c r="BA73" i="13"/>
  <c r="BA68" i="13"/>
  <c r="BA71" i="13"/>
  <c r="BA66" i="13"/>
  <c r="AN57" i="13"/>
  <c r="AN68" i="13"/>
  <c r="AC72" i="13"/>
  <c r="AN66" i="13"/>
  <c r="AC69" i="13"/>
  <c r="AN72" i="13"/>
  <c r="AC67" i="13"/>
  <c r="AN63" i="13"/>
  <c r="BA67" i="13"/>
  <c r="BA72" i="13"/>
  <c r="BA69" i="13"/>
  <c r="W81" i="13"/>
  <c r="AN61" i="13"/>
  <c r="AN53" i="13"/>
  <c r="AN60" i="13"/>
  <c r="AN62" i="13"/>
  <c r="AN56" i="13"/>
  <c r="AN54" i="13"/>
  <c r="AN50" i="13"/>
  <c r="AN48" i="13"/>
  <c r="Q51" i="13"/>
  <c r="AN51" i="13"/>
  <c r="AN49" i="13"/>
  <c r="AN52" i="13"/>
  <c r="AD52" i="13" l="1"/>
  <c r="BA52" i="13" s="1"/>
  <c r="AD55" i="13"/>
  <c r="BA55" i="13" s="1"/>
  <c r="AD53" i="13"/>
  <c r="BA53" i="13" s="1"/>
  <c r="AD57" i="13"/>
  <c r="BA57" i="13" s="1"/>
  <c r="AD56" i="13"/>
  <c r="BA56" i="13" s="1"/>
  <c r="CX2" i="4"/>
  <c r="CX4" i="4"/>
  <c r="CY3" i="4"/>
  <c r="CZ3" i="4" s="1"/>
  <c r="N55" i="13"/>
  <c r="Q62" i="13"/>
  <c r="Q68" i="13"/>
  <c r="N68" i="13"/>
  <c r="Q50" i="13"/>
  <c r="Q49" i="13"/>
  <c r="Q60" i="13"/>
  <c r="Q81" i="13"/>
  <c r="N54" i="13"/>
  <c r="Q61" i="13"/>
  <c r="Q82" i="13"/>
  <c r="Q71" i="13"/>
  <c r="N71" i="13"/>
  <c r="Q69" i="13"/>
  <c r="N69" i="13"/>
  <c r="N74" i="13"/>
  <c r="N56" i="13"/>
  <c r="Q67" i="13"/>
  <c r="N67" i="13"/>
  <c r="Q48" i="13"/>
  <c r="Q66" i="13"/>
  <c r="N66" i="13"/>
  <c r="AC61" i="13"/>
  <c r="BA61" i="13"/>
  <c r="AC51" i="13"/>
  <c r="AC56" i="13"/>
  <c r="AC54" i="13"/>
  <c r="BA54" i="13"/>
  <c r="AC60" i="13"/>
  <c r="AC55" i="13"/>
  <c r="AC57" i="13"/>
  <c r="BA60" i="13"/>
  <c r="AA880" i="13"/>
  <c r="CW2" i="4"/>
  <c r="CW4" i="4"/>
  <c r="AY63" i="13"/>
  <c r="AY74" i="13"/>
  <c r="BA48" i="13"/>
  <c r="AC48" i="13"/>
  <c r="AV75" i="13"/>
  <c r="AX75" i="13" s="1"/>
  <c r="AV80" i="13"/>
  <c r="AX80" i="13" s="1"/>
  <c r="AV72" i="13"/>
  <c r="AX72" i="13" s="1"/>
  <c r="AV73" i="13"/>
  <c r="AX73" i="13" s="1"/>
  <c r="AV62" i="13"/>
  <c r="AX62" i="13" s="1"/>
  <c r="AV66" i="13"/>
  <c r="AX66" i="13" s="1"/>
  <c r="AV68" i="13"/>
  <c r="AX68" i="13" s="1"/>
  <c r="AV53" i="13"/>
  <c r="AX53" i="13" s="1"/>
  <c r="AV52" i="13"/>
  <c r="AX52" i="13" s="1"/>
  <c r="AV57" i="13"/>
  <c r="AX57" i="13" s="1"/>
  <c r="AV60" i="13"/>
  <c r="AX60" i="13" s="1"/>
  <c r="AV81" i="13"/>
  <c r="AX81" i="13" s="1"/>
  <c r="AV49" i="13"/>
  <c r="AX49" i="13" s="1"/>
  <c r="AV48" i="13"/>
  <c r="AX48" i="13" s="1"/>
  <c r="AV55" i="13"/>
  <c r="AX55" i="13" s="1"/>
  <c r="AV54" i="13"/>
  <c r="AX54" i="13" s="1"/>
  <c r="AV56" i="13"/>
  <c r="AX56" i="13" s="1"/>
  <c r="AV61" i="13"/>
  <c r="AX61" i="13" s="1"/>
  <c r="AV82" i="13"/>
  <c r="AX82" i="13" s="1"/>
  <c r="AV71" i="13"/>
  <c r="AX71" i="13" s="1"/>
  <c r="AV69" i="13"/>
  <c r="AX69" i="13" s="1"/>
  <c r="AV51" i="13"/>
  <c r="AX51" i="13" s="1"/>
  <c r="AV67" i="13"/>
  <c r="AX67" i="13" s="1"/>
  <c r="AV50" i="13"/>
  <c r="AX50" i="13" s="1"/>
  <c r="BA62" i="13"/>
  <c r="BA49" i="13"/>
  <c r="AC52" i="13"/>
  <c r="AC74" i="13"/>
  <c r="AE74" i="13" s="1"/>
  <c r="AL74" i="13" s="1"/>
  <c r="AC63" i="13"/>
  <c r="AE63" i="13" s="1"/>
  <c r="AL63" i="13" s="1"/>
  <c r="BA80" i="13"/>
  <c r="AE67" i="13"/>
  <c r="AO67" i="13" s="1"/>
  <c r="AE69" i="13"/>
  <c r="AO69" i="13" s="1"/>
  <c r="AE73" i="13"/>
  <c r="AL73" i="13" s="1"/>
  <c r="AC62" i="13"/>
  <c r="AE72" i="13"/>
  <c r="AO72" i="13" s="1"/>
  <c r="AE71" i="13"/>
  <c r="AC53" i="13"/>
  <c r="AE75" i="13"/>
  <c r="AL75" i="13" s="1"/>
  <c r="AE82" i="13"/>
  <c r="AC81" i="13"/>
  <c r="AE81" i="13" s="1"/>
  <c r="AO81" i="13" s="1"/>
  <c r="AE68" i="13"/>
  <c r="AE66" i="13"/>
  <c r="AC50" i="13"/>
  <c r="AC49" i="13"/>
  <c r="AE52" i="13" l="1"/>
  <c r="AK52" i="13" s="1"/>
  <c r="AM52" i="13" s="1"/>
  <c r="AE57" i="13"/>
  <c r="AO57" i="13" s="1"/>
  <c r="AE56" i="13"/>
  <c r="AO56" i="13" s="1"/>
  <c r="AE55" i="13"/>
  <c r="AK55" i="13" s="1"/>
  <c r="AM55" i="13" s="1"/>
  <c r="AE53" i="13"/>
  <c r="AK53" i="13" s="1"/>
  <c r="AM53" i="13" s="1"/>
  <c r="DA3" i="4"/>
  <c r="CZ4" i="4"/>
  <c r="CY2" i="4"/>
  <c r="CY4" i="4"/>
  <c r="N73" i="13"/>
  <c r="N75" i="13"/>
  <c r="N72" i="13"/>
  <c r="Q80" i="13"/>
  <c r="AE61" i="13"/>
  <c r="AL61" i="13" s="1"/>
  <c r="AE54" i="13"/>
  <c r="AK54" i="13" s="1"/>
  <c r="AM54" i="13" s="1"/>
  <c r="AE60" i="13"/>
  <c r="AO60" i="13" s="1"/>
  <c r="AE80" i="13"/>
  <c r="AL80" i="13" s="1"/>
  <c r="AY51" i="13"/>
  <c r="AY57" i="13"/>
  <c r="AY66" i="13"/>
  <c r="AY72" i="13"/>
  <c r="AY69" i="13"/>
  <c r="AY56" i="13"/>
  <c r="AY49" i="13"/>
  <c r="AY52" i="13"/>
  <c r="AY80" i="13"/>
  <c r="AY61" i="13"/>
  <c r="AY50" i="13"/>
  <c r="AY81" i="13"/>
  <c r="AY75" i="13"/>
  <c r="AY48" i="13"/>
  <c r="AY71" i="13"/>
  <c r="AY54" i="13"/>
  <c r="AY53" i="13"/>
  <c r="AY62" i="13"/>
  <c r="AY67" i="13"/>
  <c r="AY82" i="13"/>
  <c r="AY55" i="13"/>
  <c r="AY60" i="13"/>
  <c r="AY68" i="13"/>
  <c r="AY73" i="13"/>
  <c r="AE48" i="13"/>
  <c r="AO48" i="13" s="1"/>
  <c r="AE62" i="13"/>
  <c r="AO62" i="13" s="1"/>
  <c r="AE49" i="13"/>
  <c r="AK49" i="13" s="1"/>
  <c r="AM49" i="13" s="1"/>
  <c r="AO74" i="13"/>
  <c r="AK63" i="13"/>
  <c r="AM63" i="13" s="1"/>
  <c r="AK74" i="13"/>
  <c r="AM74" i="13" s="1"/>
  <c r="AK67" i="13"/>
  <c r="AM67" i="13" s="1"/>
  <c r="AL72" i="13"/>
  <c r="AO73" i="13"/>
  <c r="AL69" i="13"/>
  <c r="AK69" i="13"/>
  <c r="AM69" i="13" s="1"/>
  <c r="AL67" i="13"/>
  <c r="AK73" i="13"/>
  <c r="AM73" i="13" s="1"/>
  <c r="AO63" i="13"/>
  <c r="AK75" i="13"/>
  <c r="AM75" i="13" s="1"/>
  <c r="AO75" i="13"/>
  <c r="AK72" i="13"/>
  <c r="AM72" i="13" s="1"/>
  <c r="AK71" i="13"/>
  <c r="AM71" i="13" s="1"/>
  <c r="AO71" i="13"/>
  <c r="AL71" i="13"/>
  <c r="AO82" i="13"/>
  <c r="AK66" i="13"/>
  <c r="AM66" i="13" s="1"/>
  <c r="AL66" i="13"/>
  <c r="AO66" i="13"/>
  <c r="AK68" i="13"/>
  <c r="AM68" i="13" s="1"/>
  <c r="AL68" i="13"/>
  <c r="AO68" i="13"/>
  <c r="AO52" i="13" l="1"/>
  <c r="AL52" i="13"/>
  <c r="AK57" i="13"/>
  <c r="AM57" i="13" s="1"/>
  <c r="AL57" i="13"/>
  <c r="AL55" i="13"/>
  <c r="AK56" i="13"/>
  <c r="AM56" i="13" s="1"/>
  <c r="AO53" i="13"/>
  <c r="AL53" i="13"/>
  <c r="AL56" i="13"/>
  <c r="AO55" i="13"/>
  <c r="DA4" i="4"/>
  <c r="DA2" i="4"/>
  <c r="DB3" i="4"/>
  <c r="CZ2" i="4"/>
  <c r="AK61" i="13"/>
  <c r="AM61" i="13" s="1"/>
  <c r="AO61" i="13"/>
  <c r="AL54" i="13"/>
  <c r="AL60" i="13"/>
  <c r="AO54" i="13"/>
  <c r="AK60" i="13"/>
  <c r="AM60" i="13" s="1"/>
  <c r="AO80" i="13"/>
  <c r="AK80" i="13"/>
  <c r="AM80" i="13" s="1"/>
  <c r="AL48" i="13"/>
  <c r="AK48" i="13"/>
  <c r="AM48" i="13" s="1"/>
  <c r="AK62" i="13"/>
  <c r="AM62" i="13" s="1"/>
  <c r="AL49" i="13"/>
  <c r="AL62" i="13"/>
  <c r="AO49" i="13"/>
  <c r="K4" i="13"/>
  <c r="S364" i="13"/>
  <c r="S537" i="13"/>
  <c r="S536" i="13"/>
  <c r="S535" i="13"/>
  <c r="S495" i="13"/>
  <c r="S494" i="13"/>
  <c r="S403" i="13"/>
  <c r="S402" i="13"/>
  <c r="S401" i="13"/>
  <c r="S603" i="13"/>
  <c r="S602" i="13"/>
  <c r="S601" i="13"/>
  <c r="S600" i="13"/>
  <c r="S598" i="13"/>
  <c r="S597" i="13"/>
  <c r="S549" i="13"/>
  <c r="S548" i="13"/>
  <c r="S547" i="13"/>
  <c r="S546" i="13"/>
  <c r="S544" i="13"/>
  <c r="S543" i="13"/>
  <c r="S542" i="13"/>
  <c r="S539" i="13"/>
  <c r="S533" i="13"/>
  <c r="S532" i="13"/>
  <c r="S531" i="13"/>
  <c r="S530" i="13"/>
  <c r="S529" i="13"/>
  <c r="S528" i="13"/>
  <c r="S527" i="13"/>
  <c r="S526" i="13"/>
  <c r="S525" i="13"/>
  <c r="S524" i="13"/>
  <c r="S503" i="13"/>
  <c r="S502" i="13"/>
  <c r="S501" i="13"/>
  <c r="S500" i="13"/>
  <c r="S497" i="13"/>
  <c r="S496" i="13"/>
  <c r="S492" i="13"/>
  <c r="S491" i="13"/>
  <c r="S490" i="13"/>
  <c r="S489" i="13"/>
  <c r="S488" i="13"/>
  <c r="S487" i="13"/>
  <c r="S486" i="13"/>
  <c r="S485" i="13"/>
  <c r="S484" i="13"/>
  <c r="S483" i="13"/>
  <c r="S482" i="13"/>
  <c r="S479" i="13"/>
  <c r="S478" i="13"/>
  <c r="S477" i="13"/>
  <c r="S476" i="13"/>
  <c r="S475" i="13"/>
  <c r="S474" i="13"/>
  <c r="S473" i="13"/>
  <c r="S472" i="13"/>
  <c r="S471" i="13"/>
  <c r="S470" i="13"/>
  <c r="S469" i="13"/>
  <c r="S468" i="13"/>
  <c r="S467" i="13"/>
  <c r="S466" i="13"/>
  <c r="S463" i="13"/>
  <c r="S462" i="13"/>
  <c r="S461" i="13"/>
  <c r="S458" i="13"/>
  <c r="S446" i="13"/>
  <c r="S433" i="13"/>
  <c r="S432" i="13"/>
  <c r="S431" i="13"/>
  <c r="S430" i="13"/>
  <c r="S429" i="13"/>
  <c r="W422" i="13"/>
  <c r="S409" i="13"/>
  <c r="S406" i="13"/>
  <c r="S405" i="13"/>
  <c r="S404" i="13"/>
  <c r="S400" i="13"/>
  <c r="S399" i="13"/>
  <c r="S398" i="13"/>
  <c r="S397" i="13"/>
  <c r="S396" i="13"/>
  <c r="S395" i="13"/>
  <c r="S394" i="13"/>
  <c r="S392" i="13"/>
  <c r="S391" i="13"/>
  <c r="S390" i="13"/>
  <c r="S387" i="13"/>
  <c r="S386" i="13"/>
  <c r="S385" i="13"/>
  <c r="S384" i="13"/>
  <c r="S383" i="13"/>
  <c r="S382" i="13"/>
  <c r="S381" i="13"/>
  <c r="S380" i="13"/>
  <c r="S379" i="13"/>
  <c r="S376" i="13"/>
  <c r="S375" i="13"/>
  <c r="S374" i="13"/>
  <c r="S373" i="13"/>
  <c r="S372" i="13"/>
  <c r="S371" i="13"/>
  <c r="S368" i="13"/>
  <c r="S367" i="13"/>
  <c r="W363" i="13"/>
  <c r="S22" i="13"/>
  <c r="S21" i="13"/>
  <c r="S7" i="13"/>
  <c r="S6" i="13"/>
  <c r="D4" i="13"/>
  <c r="AV4" i="13" l="1"/>
  <c r="AX4" i="13" s="1"/>
  <c r="DC3" i="4"/>
  <c r="DB2" i="4"/>
  <c r="DB4" i="4"/>
  <c r="Q431" i="13"/>
  <c r="N431" i="13"/>
  <c r="Q376" i="13"/>
  <c r="N376" i="13"/>
  <c r="Q544" i="13"/>
  <c r="N544" i="13"/>
  <c r="Q385" i="13"/>
  <c r="N385" i="13"/>
  <c r="Q543" i="13"/>
  <c r="N543" i="13"/>
  <c r="Q429" i="13"/>
  <c r="N429" i="13"/>
  <c r="Q378" i="13"/>
  <c r="N378" i="13"/>
  <c r="Q386" i="13"/>
  <c r="N386" i="13"/>
  <c r="Q430" i="13"/>
  <c r="N430" i="13"/>
  <c r="Q542" i="13"/>
  <c r="N542" i="13"/>
  <c r="Q387" i="13"/>
  <c r="N387" i="13"/>
  <c r="Q377" i="13"/>
  <c r="N377" i="13"/>
  <c r="L4" i="13"/>
  <c r="M4" i="13" s="1"/>
  <c r="N381" i="13"/>
  <c r="R26" i="13"/>
  <c r="S26" i="13"/>
  <c r="W26" i="13" s="1"/>
  <c r="R464" i="13"/>
  <c r="S464" i="13"/>
  <c r="W464" i="13" s="1"/>
  <c r="R23" i="13"/>
  <c r="S23" i="13"/>
  <c r="W23" i="13" s="1"/>
  <c r="R27" i="13"/>
  <c r="S27" i="13"/>
  <c r="W27" i="13" s="1"/>
  <c r="R465" i="13"/>
  <c r="S465" i="13"/>
  <c r="W465" i="13" s="1"/>
  <c r="R481" i="13"/>
  <c r="S481" i="13"/>
  <c r="W481" i="13" s="1"/>
  <c r="R545" i="13"/>
  <c r="S545" i="13"/>
  <c r="W545" i="13" s="1"/>
  <c r="R370" i="13"/>
  <c r="S370" i="13"/>
  <c r="W370" i="13" s="1"/>
  <c r="R366" i="13"/>
  <c r="S366" i="13"/>
  <c r="W366" i="13" s="1"/>
  <c r="R24" i="13"/>
  <c r="S24" i="13"/>
  <c r="W24" i="13" s="1"/>
  <c r="R28" i="13"/>
  <c r="S28" i="13"/>
  <c r="W28" i="13" s="1"/>
  <c r="R407" i="13"/>
  <c r="S407" i="13"/>
  <c r="W407" i="13" s="1"/>
  <c r="R604" i="13"/>
  <c r="S604" i="13"/>
  <c r="W604" i="13" s="1"/>
  <c r="R30" i="13"/>
  <c r="S30" i="13"/>
  <c r="W30" i="13" s="1"/>
  <c r="R378" i="13"/>
  <c r="S378" i="13"/>
  <c r="W378" i="13" s="1"/>
  <c r="R389" i="13"/>
  <c r="S389" i="13"/>
  <c r="W389" i="13" s="1"/>
  <c r="R480" i="13"/>
  <c r="S480" i="13"/>
  <c r="W480" i="13" s="1"/>
  <c r="R499" i="13"/>
  <c r="S499" i="13"/>
  <c r="W499" i="13" s="1"/>
  <c r="R538" i="13"/>
  <c r="S538" i="13"/>
  <c r="W538" i="13" s="1"/>
  <c r="R25" i="13"/>
  <c r="S25" i="13"/>
  <c r="W25" i="13" s="1"/>
  <c r="R29" i="13"/>
  <c r="S29" i="13"/>
  <c r="W29" i="13" s="1"/>
  <c r="R369" i="13"/>
  <c r="S369" i="13"/>
  <c r="W369" i="13" s="1"/>
  <c r="R377" i="13"/>
  <c r="S377" i="13"/>
  <c r="W377" i="13" s="1"/>
  <c r="R388" i="13"/>
  <c r="S388" i="13"/>
  <c r="W388" i="13" s="1"/>
  <c r="R408" i="13"/>
  <c r="S408" i="13"/>
  <c r="W408" i="13" s="1"/>
  <c r="R498" i="13"/>
  <c r="S498" i="13"/>
  <c r="W498" i="13" s="1"/>
  <c r="R534" i="13"/>
  <c r="S534" i="13"/>
  <c r="W534" i="13" s="1"/>
  <c r="N537" i="13"/>
  <c r="N394" i="13"/>
  <c r="N382" i="13"/>
  <c r="N536" i="13"/>
  <c r="N539" i="13"/>
  <c r="N446" i="13"/>
  <c r="N384" i="13"/>
  <c r="N364" i="13"/>
  <c r="N538" i="13"/>
  <c r="N383" i="13"/>
  <c r="AV601" i="13"/>
  <c r="AX601" i="13" s="1"/>
  <c r="AV548" i="13"/>
  <c r="AX548" i="13" s="1"/>
  <c r="AV538" i="13"/>
  <c r="AX538" i="13" s="1"/>
  <c r="AV534" i="13"/>
  <c r="AX534" i="13" s="1"/>
  <c r="AV530" i="13"/>
  <c r="AX530" i="13" s="1"/>
  <c r="AV526" i="13"/>
  <c r="AX526" i="13" s="1"/>
  <c r="AV502" i="13"/>
  <c r="AX502" i="13" s="1"/>
  <c r="AV498" i="13"/>
  <c r="AX498" i="13" s="1"/>
  <c r="AV494" i="13"/>
  <c r="AX494" i="13" s="1"/>
  <c r="AV490" i="13"/>
  <c r="AX490" i="13" s="1"/>
  <c r="AV486" i="13"/>
  <c r="AX486" i="13" s="1"/>
  <c r="AV482" i="13"/>
  <c r="AX482" i="13" s="1"/>
  <c r="AV478" i="13"/>
  <c r="AX478" i="13" s="1"/>
  <c r="AV474" i="13"/>
  <c r="AX474" i="13" s="1"/>
  <c r="AV470" i="13"/>
  <c r="AX470" i="13" s="1"/>
  <c r="AV466" i="13"/>
  <c r="AX466" i="13" s="1"/>
  <c r="AV462" i="13"/>
  <c r="AX462" i="13" s="1"/>
  <c r="AV433" i="13"/>
  <c r="AX433" i="13" s="1"/>
  <c r="AV407" i="13"/>
  <c r="AX407" i="13" s="1"/>
  <c r="AV403" i="13"/>
  <c r="AX403" i="13" s="1"/>
  <c r="AV399" i="13"/>
  <c r="AX399" i="13" s="1"/>
  <c r="AV395" i="13"/>
  <c r="AX395" i="13" s="1"/>
  <c r="AV391" i="13"/>
  <c r="AX391" i="13" s="1"/>
  <c r="AV383" i="13"/>
  <c r="AX383" i="13" s="1"/>
  <c r="AV379" i="13"/>
  <c r="AX379" i="13" s="1"/>
  <c r="AV372" i="13"/>
  <c r="AX372" i="13" s="1"/>
  <c r="AV368" i="13"/>
  <c r="AX368" i="13" s="1"/>
  <c r="AV363" i="13"/>
  <c r="AX363" i="13" s="1"/>
  <c r="AV27" i="13"/>
  <c r="AX27" i="13" s="1"/>
  <c r="AV23" i="13"/>
  <c r="AX23" i="13" s="1"/>
  <c r="AV6" i="13"/>
  <c r="AX6" i="13" s="1"/>
  <c r="AV604" i="13"/>
  <c r="AX604" i="13" s="1"/>
  <c r="AV600" i="13"/>
  <c r="AX600" i="13" s="1"/>
  <c r="AV598" i="13"/>
  <c r="AX598" i="13" s="1"/>
  <c r="AV547" i="13"/>
  <c r="AX547" i="13" s="1"/>
  <c r="AV537" i="13"/>
  <c r="AX537" i="13" s="1"/>
  <c r="AV533" i="13"/>
  <c r="AX533" i="13" s="1"/>
  <c r="AV529" i="13"/>
  <c r="AX529" i="13" s="1"/>
  <c r="AV525" i="13"/>
  <c r="AX525" i="13" s="1"/>
  <c r="AV501" i="13"/>
  <c r="AX501" i="13" s="1"/>
  <c r="AV497" i="13"/>
  <c r="AX497" i="13" s="1"/>
  <c r="AV493" i="13"/>
  <c r="AX493" i="13" s="1"/>
  <c r="AV489" i="13"/>
  <c r="AX489" i="13" s="1"/>
  <c r="AV485" i="13"/>
  <c r="AX485" i="13" s="1"/>
  <c r="AV481" i="13"/>
  <c r="AX481" i="13" s="1"/>
  <c r="AV477" i="13"/>
  <c r="AX477" i="13" s="1"/>
  <c r="AV473" i="13"/>
  <c r="AX473" i="13" s="1"/>
  <c r="AV469" i="13"/>
  <c r="AX469" i="13" s="1"/>
  <c r="AV465" i="13"/>
  <c r="AX465" i="13" s="1"/>
  <c r="AV461" i="13"/>
  <c r="AX461" i="13" s="1"/>
  <c r="AV432" i="13"/>
  <c r="AX432" i="13" s="1"/>
  <c r="AV422" i="13"/>
  <c r="AX422" i="13" s="1"/>
  <c r="AV406" i="13"/>
  <c r="AX406" i="13" s="1"/>
  <c r="AV402" i="13"/>
  <c r="AX402" i="13" s="1"/>
  <c r="AV398" i="13"/>
  <c r="AX398" i="13" s="1"/>
  <c r="AV394" i="13"/>
  <c r="AX394" i="13" s="1"/>
  <c r="AV390" i="13"/>
  <c r="AX390" i="13" s="1"/>
  <c r="AV382" i="13"/>
  <c r="AX382" i="13" s="1"/>
  <c r="AV375" i="13"/>
  <c r="AX375" i="13" s="1"/>
  <c r="AV371" i="13"/>
  <c r="AX371" i="13" s="1"/>
  <c r="AV367" i="13"/>
  <c r="AX367" i="13" s="1"/>
  <c r="AV30" i="13"/>
  <c r="AX30" i="13" s="1"/>
  <c r="AV26" i="13"/>
  <c r="AX26" i="13" s="1"/>
  <c r="AV22" i="13"/>
  <c r="AX22" i="13" s="1"/>
  <c r="AV603" i="13"/>
  <c r="AX603" i="13" s="1"/>
  <c r="AV599" i="13"/>
  <c r="AX599" i="13" s="1"/>
  <c r="AV597" i="13"/>
  <c r="AX597" i="13" s="1"/>
  <c r="AV546" i="13"/>
  <c r="AX546" i="13" s="1"/>
  <c r="AV536" i="13"/>
  <c r="AX536" i="13" s="1"/>
  <c r="AV532" i="13"/>
  <c r="AX532" i="13" s="1"/>
  <c r="AV528" i="13"/>
  <c r="AX528" i="13" s="1"/>
  <c r="AV524" i="13"/>
  <c r="AX524" i="13" s="1"/>
  <c r="AV500" i="13"/>
  <c r="AX500" i="13" s="1"/>
  <c r="AV496" i="13"/>
  <c r="AX496" i="13" s="1"/>
  <c r="AV492" i="13"/>
  <c r="AX492" i="13" s="1"/>
  <c r="AV488" i="13"/>
  <c r="AX488" i="13" s="1"/>
  <c r="AV484" i="13"/>
  <c r="AX484" i="13" s="1"/>
  <c r="AV480" i="13"/>
  <c r="AX480" i="13" s="1"/>
  <c r="AV476" i="13"/>
  <c r="AX476" i="13" s="1"/>
  <c r="AV472" i="13"/>
  <c r="AX472" i="13" s="1"/>
  <c r="AV468" i="13"/>
  <c r="AX468" i="13" s="1"/>
  <c r="AV464" i="13"/>
  <c r="AX464" i="13" s="1"/>
  <c r="AV458" i="13"/>
  <c r="AX458" i="13" s="1"/>
  <c r="AV409" i="13"/>
  <c r="AX409" i="13" s="1"/>
  <c r="AV405" i="13"/>
  <c r="AX405" i="13" s="1"/>
  <c r="AV401" i="13"/>
  <c r="AX401" i="13" s="1"/>
  <c r="AV397" i="13"/>
  <c r="AX397" i="13" s="1"/>
  <c r="AV393" i="13"/>
  <c r="AX393" i="13" s="1"/>
  <c r="AV389" i="13"/>
  <c r="AX389" i="13" s="1"/>
  <c r="AV381" i="13"/>
  <c r="AX381" i="13" s="1"/>
  <c r="AV374" i="13"/>
  <c r="AX374" i="13" s="1"/>
  <c r="AV370" i="13"/>
  <c r="AX370" i="13" s="1"/>
  <c r="AV366" i="13"/>
  <c r="AX366" i="13" s="1"/>
  <c r="AV29" i="13"/>
  <c r="AX29" i="13" s="1"/>
  <c r="AV25" i="13"/>
  <c r="AX25" i="13" s="1"/>
  <c r="AV21" i="13"/>
  <c r="AX21" i="13" s="1"/>
  <c r="AV602" i="13"/>
  <c r="AX602" i="13" s="1"/>
  <c r="AV549" i="13"/>
  <c r="AX549" i="13" s="1"/>
  <c r="AV545" i="13"/>
  <c r="AX545" i="13" s="1"/>
  <c r="AV539" i="13"/>
  <c r="AX539" i="13" s="1"/>
  <c r="AV535" i="13"/>
  <c r="AX535" i="13" s="1"/>
  <c r="AV531" i="13"/>
  <c r="AX531" i="13" s="1"/>
  <c r="AV527" i="13"/>
  <c r="AX527" i="13" s="1"/>
  <c r="AV503" i="13"/>
  <c r="AX503" i="13" s="1"/>
  <c r="AV499" i="13"/>
  <c r="AX499" i="13" s="1"/>
  <c r="AV495" i="13"/>
  <c r="AX495" i="13" s="1"/>
  <c r="AV491" i="13"/>
  <c r="AX491" i="13" s="1"/>
  <c r="AV487" i="13"/>
  <c r="AX487" i="13" s="1"/>
  <c r="AV483" i="13"/>
  <c r="AX483" i="13" s="1"/>
  <c r="AV479" i="13"/>
  <c r="AX479" i="13" s="1"/>
  <c r="AV475" i="13"/>
  <c r="AX475" i="13" s="1"/>
  <c r="AV471" i="13"/>
  <c r="AX471" i="13" s="1"/>
  <c r="AV467" i="13"/>
  <c r="AX467" i="13" s="1"/>
  <c r="AV463" i="13"/>
  <c r="AX463" i="13" s="1"/>
  <c r="AV446" i="13"/>
  <c r="AX446" i="13" s="1"/>
  <c r="AV408" i="13"/>
  <c r="AX408" i="13" s="1"/>
  <c r="AV404" i="13"/>
  <c r="AX404" i="13" s="1"/>
  <c r="AV400" i="13"/>
  <c r="AX400" i="13" s="1"/>
  <c r="AV396" i="13"/>
  <c r="AX396" i="13" s="1"/>
  <c r="AV392" i="13"/>
  <c r="AX392" i="13" s="1"/>
  <c r="AV388" i="13"/>
  <c r="AX388" i="13" s="1"/>
  <c r="AV384" i="13"/>
  <c r="AX384" i="13" s="1"/>
  <c r="AV380" i="13"/>
  <c r="AX380" i="13" s="1"/>
  <c r="AV373" i="13"/>
  <c r="AX373" i="13" s="1"/>
  <c r="AV369" i="13"/>
  <c r="AX369" i="13" s="1"/>
  <c r="AV364" i="13"/>
  <c r="AX364" i="13" s="1"/>
  <c r="AV28" i="13"/>
  <c r="AX28" i="13" s="1"/>
  <c r="AV24" i="13"/>
  <c r="AX24" i="13" s="1"/>
  <c r="AV7" i="13"/>
  <c r="AX7" i="13" s="1"/>
  <c r="AV544" i="13"/>
  <c r="AX544" i="13" s="1"/>
  <c r="AV429" i="13"/>
  <c r="AX429" i="13" s="1"/>
  <c r="AV387" i="13"/>
  <c r="AX387" i="13" s="1"/>
  <c r="AV376" i="13"/>
  <c r="AX376" i="13" s="1"/>
  <c r="AV543" i="13"/>
  <c r="AX543" i="13" s="1"/>
  <c r="AV386" i="13"/>
  <c r="AX386" i="13" s="1"/>
  <c r="AV542" i="13"/>
  <c r="AX542" i="13" s="1"/>
  <c r="AV431" i="13"/>
  <c r="AX431" i="13" s="1"/>
  <c r="AV385" i="13"/>
  <c r="AX385" i="13" s="1"/>
  <c r="AV378" i="13"/>
  <c r="AX378" i="13" s="1"/>
  <c r="AV430" i="13"/>
  <c r="AX430" i="13" s="1"/>
  <c r="AV377" i="13"/>
  <c r="AX377" i="13" s="1"/>
  <c r="R6" i="13"/>
  <c r="R7" i="13"/>
  <c r="R21" i="13"/>
  <c r="R22" i="13"/>
  <c r="W368" i="13"/>
  <c r="R368" i="13"/>
  <c r="W379" i="13"/>
  <c r="R379" i="13"/>
  <c r="W391" i="13"/>
  <c r="R391" i="13"/>
  <c r="W406" i="13"/>
  <c r="R406" i="13"/>
  <c r="W473" i="13"/>
  <c r="R473" i="13"/>
  <c r="W489" i="13"/>
  <c r="R489" i="13"/>
  <c r="W598" i="13"/>
  <c r="R598" i="13"/>
  <c r="R535" i="13"/>
  <c r="W380" i="13"/>
  <c r="R380" i="13"/>
  <c r="W462" i="13"/>
  <c r="R462" i="13"/>
  <c r="W474" i="13"/>
  <c r="R474" i="13"/>
  <c r="W496" i="13"/>
  <c r="R496" i="13"/>
  <c r="W528" i="13"/>
  <c r="R528" i="13"/>
  <c r="W372" i="13"/>
  <c r="R372" i="13"/>
  <c r="W387" i="13"/>
  <c r="R387" i="13"/>
  <c r="W461" i="13"/>
  <c r="R461" i="13"/>
  <c r="W469" i="13"/>
  <c r="R469" i="13"/>
  <c r="W477" i="13"/>
  <c r="R477" i="13"/>
  <c r="W485" i="13"/>
  <c r="R485" i="13"/>
  <c r="W493" i="13"/>
  <c r="R493" i="13"/>
  <c r="W503" i="13"/>
  <c r="R503" i="13"/>
  <c r="W531" i="13"/>
  <c r="R531" i="13"/>
  <c r="W547" i="13"/>
  <c r="R547" i="13"/>
  <c r="W600" i="13"/>
  <c r="R600" i="13"/>
  <c r="R402" i="13"/>
  <c r="W373" i="13"/>
  <c r="R373" i="13"/>
  <c r="W400" i="13"/>
  <c r="R400" i="13"/>
  <c r="W429" i="13"/>
  <c r="R429" i="13"/>
  <c r="W470" i="13"/>
  <c r="R470" i="13"/>
  <c r="W482" i="13"/>
  <c r="R482" i="13"/>
  <c r="W490" i="13"/>
  <c r="R490" i="13"/>
  <c r="W524" i="13"/>
  <c r="R524" i="13"/>
  <c r="W532" i="13"/>
  <c r="R532" i="13"/>
  <c r="W543" i="13"/>
  <c r="R543" i="13"/>
  <c r="W601" i="13"/>
  <c r="R601" i="13"/>
  <c r="R403" i="13"/>
  <c r="R536" i="13"/>
  <c r="W374" i="13"/>
  <c r="R374" i="13"/>
  <c r="W381" i="13"/>
  <c r="R381" i="13"/>
  <c r="W385" i="13"/>
  <c r="R385" i="13"/>
  <c r="W393" i="13"/>
  <c r="R393" i="13"/>
  <c r="W397" i="13"/>
  <c r="R397" i="13"/>
  <c r="W404" i="13"/>
  <c r="R404" i="13"/>
  <c r="W430" i="13"/>
  <c r="R430" i="13"/>
  <c r="W446" i="13"/>
  <c r="R446" i="13"/>
  <c r="W463" i="13"/>
  <c r="R463" i="13"/>
  <c r="W467" i="13"/>
  <c r="R467" i="13"/>
  <c r="W471" i="13"/>
  <c r="R471" i="13"/>
  <c r="W475" i="13"/>
  <c r="R475" i="13"/>
  <c r="W479" i="13"/>
  <c r="R479" i="13"/>
  <c r="W483" i="13"/>
  <c r="R483" i="13"/>
  <c r="W487" i="13"/>
  <c r="R487" i="13"/>
  <c r="W491" i="13"/>
  <c r="R491" i="13"/>
  <c r="W497" i="13"/>
  <c r="R497" i="13"/>
  <c r="W501" i="13"/>
  <c r="R501" i="13"/>
  <c r="W525" i="13"/>
  <c r="R525" i="13"/>
  <c r="W529" i="13"/>
  <c r="R529" i="13"/>
  <c r="W533" i="13"/>
  <c r="R533" i="13"/>
  <c r="W544" i="13"/>
  <c r="R544" i="13"/>
  <c r="W549" i="13"/>
  <c r="R549" i="13"/>
  <c r="W602" i="13"/>
  <c r="R602" i="13"/>
  <c r="R494" i="13"/>
  <c r="R537" i="13"/>
  <c r="W376" i="13"/>
  <c r="R376" i="13"/>
  <c r="W383" i="13"/>
  <c r="R383" i="13"/>
  <c r="W395" i="13"/>
  <c r="R395" i="13"/>
  <c r="W399" i="13"/>
  <c r="R399" i="13"/>
  <c r="W432" i="13"/>
  <c r="R432" i="13"/>
  <c r="W527" i="13"/>
  <c r="R527" i="13"/>
  <c r="W542" i="13"/>
  <c r="R542" i="13"/>
  <c r="W384" i="13"/>
  <c r="R384" i="13"/>
  <c r="W392" i="13"/>
  <c r="R392" i="13"/>
  <c r="W396" i="13"/>
  <c r="R396" i="13"/>
  <c r="W433" i="13"/>
  <c r="R433" i="13"/>
  <c r="W466" i="13"/>
  <c r="R466" i="13"/>
  <c r="W478" i="13"/>
  <c r="R478" i="13"/>
  <c r="W486" i="13"/>
  <c r="R486" i="13"/>
  <c r="W500" i="13"/>
  <c r="R500" i="13"/>
  <c r="W539" i="13"/>
  <c r="R539" i="13"/>
  <c r="W548" i="13"/>
  <c r="R548" i="13"/>
  <c r="W367" i="13"/>
  <c r="R367" i="13"/>
  <c r="W371" i="13"/>
  <c r="R371" i="13"/>
  <c r="W375" i="13"/>
  <c r="R375" i="13"/>
  <c r="W382" i="13"/>
  <c r="R382" i="13"/>
  <c r="W386" i="13"/>
  <c r="R386" i="13"/>
  <c r="W390" i="13"/>
  <c r="R390" i="13"/>
  <c r="W394" i="13"/>
  <c r="R394" i="13"/>
  <c r="W398" i="13"/>
  <c r="R398" i="13"/>
  <c r="W405" i="13"/>
  <c r="R405" i="13"/>
  <c r="W409" i="13"/>
  <c r="R409" i="13"/>
  <c r="W431" i="13"/>
  <c r="R431" i="13"/>
  <c r="W458" i="13"/>
  <c r="R458" i="13"/>
  <c r="W468" i="13"/>
  <c r="R468" i="13"/>
  <c r="W472" i="13"/>
  <c r="R472" i="13"/>
  <c r="W476" i="13"/>
  <c r="R476" i="13"/>
  <c r="W484" i="13"/>
  <c r="R484" i="13"/>
  <c r="W488" i="13"/>
  <c r="R488" i="13"/>
  <c r="W492" i="13"/>
  <c r="R492" i="13"/>
  <c r="W502" i="13"/>
  <c r="R502" i="13"/>
  <c r="W526" i="13"/>
  <c r="R526" i="13"/>
  <c r="W530" i="13"/>
  <c r="R530" i="13"/>
  <c r="W546" i="13"/>
  <c r="R546" i="13"/>
  <c r="W597" i="13"/>
  <c r="R597" i="13"/>
  <c r="W599" i="13"/>
  <c r="R599" i="13"/>
  <c r="W603" i="13"/>
  <c r="R603" i="13"/>
  <c r="R401" i="13"/>
  <c r="R495" i="13"/>
  <c r="W364" i="13"/>
  <c r="R364" i="13"/>
  <c r="W7" i="13"/>
  <c r="W21" i="13"/>
  <c r="S4" i="13"/>
  <c r="W22" i="13"/>
  <c r="W6" i="13"/>
  <c r="R4" i="13"/>
  <c r="B11" i="6"/>
  <c r="B12" i="6" s="1"/>
  <c r="B13" i="6" s="1"/>
  <c r="B14" i="6" s="1"/>
  <c r="B15" i="6" s="1"/>
  <c r="B16" i="6" s="1"/>
  <c r="B17" i="6" s="1"/>
  <c r="B18" i="6" s="1"/>
  <c r="B19" i="6" s="1"/>
  <c r="B20" i="6" s="1"/>
  <c r="B21" i="6" s="1"/>
  <c r="DC4" i="4" l="1"/>
  <c r="DD3" i="4"/>
  <c r="DC2" i="4"/>
  <c r="Q23" i="13"/>
  <c r="Q399" i="13"/>
  <c r="N399" i="13"/>
  <c r="Q494" i="13"/>
  <c r="N494" i="13"/>
  <c r="Q7" i="13"/>
  <c r="Q392" i="13"/>
  <c r="N392" i="13"/>
  <c r="Q479" i="13"/>
  <c r="N479" i="13"/>
  <c r="Q531" i="13"/>
  <c r="N531" i="13"/>
  <c r="Q602" i="13"/>
  <c r="N602" i="13"/>
  <c r="Q599" i="13"/>
  <c r="N599" i="13"/>
  <c r="Q481" i="13"/>
  <c r="N481" i="13"/>
  <c r="Q533" i="13"/>
  <c r="N533" i="13"/>
  <c r="Q546" i="13"/>
  <c r="N546" i="13"/>
  <c r="Q468" i="13"/>
  <c r="N468" i="13"/>
  <c r="Q21" i="13"/>
  <c r="Q379" i="13"/>
  <c r="N379" i="13"/>
  <c r="Q466" i="13"/>
  <c r="N466" i="13"/>
  <c r="Q534" i="13"/>
  <c r="N534" i="13"/>
  <c r="Q407" i="13"/>
  <c r="N407" i="13"/>
  <c r="Q470" i="13"/>
  <c r="N470" i="13"/>
  <c r="Q486" i="13"/>
  <c r="N486" i="13"/>
  <c r="Q502" i="13"/>
  <c r="N502" i="13"/>
  <c r="N28" i="13"/>
  <c r="Q28" i="13" s="1"/>
  <c r="Q404" i="13"/>
  <c r="N404" i="13"/>
  <c r="Q471" i="13"/>
  <c r="N471" i="13"/>
  <c r="Q487" i="13"/>
  <c r="N487" i="13"/>
  <c r="Q503" i="13"/>
  <c r="N503" i="13"/>
  <c r="Q500" i="13"/>
  <c r="N500" i="13"/>
  <c r="Q22" i="13"/>
  <c r="Q406" i="13"/>
  <c r="N406" i="13"/>
  <c r="Q473" i="13"/>
  <c r="N473" i="13"/>
  <c r="Q489" i="13"/>
  <c r="N489" i="13"/>
  <c r="Q525" i="13"/>
  <c r="N525" i="13"/>
  <c r="Q598" i="13"/>
  <c r="N598" i="13"/>
  <c r="Q395" i="13"/>
  <c r="N395" i="13"/>
  <c r="Q463" i="13"/>
  <c r="N463" i="13"/>
  <c r="Q398" i="13"/>
  <c r="N398" i="13"/>
  <c r="Q393" i="13"/>
  <c r="N393" i="13"/>
  <c r="Q409" i="13"/>
  <c r="N409" i="13"/>
  <c r="Q476" i="13"/>
  <c r="N476" i="13"/>
  <c r="Q492" i="13"/>
  <c r="N492" i="13"/>
  <c r="Q374" i="13"/>
  <c r="N374" i="13"/>
  <c r="N29" i="13"/>
  <c r="Q29" i="13" s="1"/>
  <c r="Q372" i="13"/>
  <c r="N372" i="13"/>
  <c r="Q462" i="13"/>
  <c r="N462" i="13"/>
  <c r="Q478" i="13"/>
  <c r="N478" i="13"/>
  <c r="Q530" i="13"/>
  <c r="N530" i="13"/>
  <c r="Q373" i="13"/>
  <c r="N373" i="13"/>
  <c r="Q495" i="13"/>
  <c r="N495" i="13"/>
  <c r="Q458" i="13"/>
  <c r="N458" i="13"/>
  <c r="Q528" i="13"/>
  <c r="N528" i="13"/>
  <c r="N30" i="13"/>
  <c r="Q30" i="13" s="1"/>
  <c r="Q371" i="13"/>
  <c r="N371" i="13"/>
  <c r="Q461" i="13"/>
  <c r="N461" i="13"/>
  <c r="Q497" i="13"/>
  <c r="N497" i="13"/>
  <c r="Q604" i="13"/>
  <c r="N604" i="13"/>
  <c r="Q369" i="13"/>
  <c r="N369" i="13"/>
  <c r="Q547" i="13"/>
  <c r="N547" i="13"/>
  <c r="Q401" i="13"/>
  <c r="N401" i="13"/>
  <c r="Q484" i="13"/>
  <c r="N484" i="13"/>
  <c r="Q366" i="13"/>
  <c r="N366" i="13"/>
  <c r="N27" i="13"/>
  <c r="Q27" i="13" s="1"/>
  <c r="Q403" i="13"/>
  <c r="N403" i="13"/>
  <c r="Q482" i="13"/>
  <c r="N482" i="13"/>
  <c r="Q498" i="13"/>
  <c r="N498" i="13"/>
  <c r="Q24" i="13"/>
  <c r="Q380" i="13"/>
  <c r="N380" i="13"/>
  <c r="Q400" i="13"/>
  <c r="N400" i="13"/>
  <c r="Q467" i="13"/>
  <c r="N467" i="13"/>
  <c r="Q483" i="13"/>
  <c r="N483" i="13"/>
  <c r="Q499" i="13"/>
  <c r="N499" i="13"/>
  <c r="Q535" i="13"/>
  <c r="N535" i="13"/>
  <c r="Q496" i="13"/>
  <c r="N496" i="13"/>
  <c r="Q532" i="13"/>
  <c r="N532" i="13"/>
  <c r="Q603" i="13"/>
  <c r="N603" i="13"/>
  <c r="Q375" i="13"/>
  <c r="N375" i="13"/>
  <c r="Q402" i="13"/>
  <c r="N402" i="13"/>
  <c r="Q469" i="13"/>
  <c r="N469" i="13"/>
  <c r="Q485" i="13"/>
  <c r="N485" i="13"/>
  <c r="Q501" i="13"/>
  <c r="N501" i="13"/>
  <c r="Q368" i="13"/>
  <c r="N368" i="13"/>
  <c r="Q396" i="13"/>
  <c r="N396" i="13"/>
  <c r="Q367" i="13"/>
  <c r="N367" i="13"/>
  <c r="Q389" i="13"/>
  <c r="N389" i="13"/>
  <c r="Q405" i="13"/>
  <c r="N405" i="13"/>
  <c r="Q472" i="13"/>
  <c r="N472" i="13"/>
  <c r="Q488" i="13"/>
  <c r="N488" i="13"/>
  <c r="Q370" i="13"/>
  <c r="N370" i="13"/>
  <c r="Q25" i="13"/>
  <c r="Q6" i="13"/>
  <c r="Q363" i="13"/>
  <c r="N363" i="13"/>
  <c r="Q391" i="13"/>
  <c r="N391" i="13"/>
  <c r="Q433" i="13"/>
  <c r="N433" i="13"/>
  <c r="Q474" i="13"/>
  <c r="N474" i="13"/>
  <c r="Q490" i="13"/>
  <c r="N490" i="13"/>
  <c r="Q526" i="13"/>
  <c r="N526" i="13"/>
  <c r="Q601" i="13"/>
  <c r="N601" i="13"/>
  <c r="Q388" i="13"/>
  <c r="N388" i="13"/>
  <c r="Q408" i="13"/>
  <c r="N408" i="13"/>
  <c r="Q475" i="13"/>
  <c r="N475" i="13"/>
  <c r="Q491" i="13"/>
  <c r="N491" i="13"/>
  <c r="Q527" i="13"/>
  <c r="N527" i="13"/>
  <c r="Q549" i="13"/>
  <c r="N549" i="13"/>
  <c r="Q524" i="13"/>
  <c r="N524" i="13"/>
  <c r="Q597" i="13"/>
  <c r="N597" i="13"/>
  <c r="N26" i="13"/>
  <c r="Q26" i="13" s="1"/>
  <c r="Q390" i="13"/>
  <c r="N390" i="13"/>
  <c r="Q422" i="13"/>
  <c r="N422" i="13"/>
  <c r="Q477" i="13"/>
  <c r="N477" i="13"/>
  <c r="Q493" i="13"/>
  <c r="N493" i="13"/>
  <c r="Q529" i="13"/>
  <c r="N529" i="13"/>
  <c r="Q600" i="13"/>
  <c r="N600" i="13"/>
  <c r="Q548" i="13"/>
  <c r="N548" i="13"/>
  <c r="Q545" i="13"/>
  <c r="N545" i="13"/>
  <c r="Q465" i="13"/>
  <c r="N465" i="13"/>
  <c r="Q397" i="13"/>
  <c r="N397" i="13"/>
  <c r="Q464" i="13"/>
  <c r="N464" i="13"/>
  <c r="Q480" i="13"/>
  <c r="N480" i="13"/>
  <c r="Q432" i="13"/>
  <c r="N432" i="13"/>
  <c r="Q4" i="13"/>
  <c r="W4" i="13"/>
  <c r="T4" i="13"/>
  <c r="AY542" i="13"/>
  <c r="AY369" i="13"/>
  <c r="AY467" i="13"/>
  <c r="AY535" i="13"/>
  <c r="AY389" i="13"/>
  <c r="AY484" i="13"/>
  <c r="AY603" i="13"/>
  <c r="AY394" i="13"/>
  <c r="AY422" i="13"/>
  <c r="AY501" i="13"/>
  <c r="AY604" i="13"/>
  <c r="AY391" i="13"/>
  <c r="AY486" i="13"/>
  <c r="AY502" i="13"/>
  <c r="AY430" i="13"/>
  <c r="AY378" i="13"/>
  <c r="AY386" i="13"/>
  <c r="AY544" i="13"/>
  <c r="AY28" i="13"/>
  <c r="AY373" i="13"/>
  <c r="AY392" i="13"/>
  <c r="AY408" i="13"/>
  <c r="AY471" i="13"/>
  <c r="AY487" i="13"/>
  <c r="AY503" i="13"/>
  <c r="AY539" i="13"/>
  <c r="AY602" i="13"/>
  <c r="AY370" i="13"/>
  <c r="AY393" i="13"/>
  <c r="AY409" i="13"/>
  <c r="AY472" i="13"/>
  <c r="AY488" i="13"/>
  <c r="AY524" i="13"/>
  <c r="AY546" i="13"/>
  <c r="AY22" i="13"/>
  <c r="AY375" i="13"/>
  <c r="AY398" i="13"/>
  <c r="AY432" i="13"/>
  <c r="AY473" i="13"/>
  <c r="AY489" i="13"/>
  <c r="AY525" i="13"/>
  <c r="AY547" i="13"/>
  <c r="AY6" i="13"/>
  <c r="AY372" i="13"/>
  <c r="AY395" i="13"/>
  <c r="AY433" i="13"/>
  <c r="AY474" i="13"/>
  <c r="AY490" i="13"/>
  <c r="AY526" i="13"/>
  <c r="AY548" i="13"/>
  <c r="AY377" i="13"/>
  <c r="AY24" i="13"/>
  <c r="AY388" i="13"/>
  <c r="AY483" i="13"/>
  <c r="AY366" i="13"/>
  <c r="AY468" i="13"/>
  <c r="AY536" i="13"/>
  <c r="AY469" i="13"/>
  <c r="AY537" i="13"/>
  <c r="AY368" i="13"/>
  <c r="AY407" i="13"/>
  <c r="AY538" i="13"/>
  <c r="AY385" i="13"/>
  <c r="AY543" i="13"/>
  <c r="AY376" i="13"/>
  <c r="AY4" i="13"/>
  <c r="AY380" i="13"/>
  <c r="AY396" i="13"/>
  <c r="AY446" i="13"/>
  <c r="AY475" i="13"/>
  <c r="AY491" i="13"/>
  <c r="AY527" i="13"/>
  <c r="AY545" i="13"/>
  <c r="AY21" i="13"/>
  <c r="AY374" i="13"/>
  <c r="AY397" i="13"/>
  <c r="AY458" i="13"/>
  <c r="AY476" i="13"/>
  <c r="AY492" i="13"/>
  <c r="AY528" i="13"/>
  <c r="AY597" i="13"/>
  <c r="AY26" i="13"/>
  <c r="AY382" i="13"/>
  <c r="AY402" i="13"/>
  <c r="AY461" i="13"/>
  <c r="AY477" i="13"/>
  <c r="AY493" i="13"/>
  <c r="AY529" i="13"/>
  <c r="AY598" i="13"/>
  <c r="AY23" i="13"/>
  <c r="AY379" i="13"/>
  <c r="AY399" i="13"/>
  <c r="AY462" i="13"/>
  <c r="AY478" i="13"/>
  <c r="AY494" i="13"/>
  <c r="AY530" i="13"/>
  <c r="AY431" i="13"/>
  <c r="AY387" i="13"/>
  <c r="AY7" i="13"/>
  <c r="AY364" i="13"/>
  <c r="AY384" i="13"/>
  <c r="AY400" i="13"/>
  <c r="AY463" i="13"/>
  <c r="AY479" i="13"/>
  <c r="AY495" i="13"/>
  <c r="AY531" i="13"/>
  <c r="AY549" i="13"/>
  <c r="AY25" i="13"/>
  <c r="AY381" i="13"/>
  <c r="AY401" i="13"/>
  <c r="AY464" i="13"/>
  <c r="AY480" i="13"/>
  <c r="AY496" i="13"/>
  <c r="AY532" i="13"/>
  <c r="AY599" i="13"/>
  <c r="AY30" i="13"/>
  <c r="AY367" i="13"/>
  <c r="AY390" i="13"/>
  <c r="AY406" i="13"/>
  <c r="AY465" i="13"/>
  <c r="AY481" i="13"/>
  <c r="AY497" i="13"/>
  <c r="AY533" i="13"/>
  <c r="AY600" i="13"/>
  <c r="AY27" i="13"/>
  <c r="AY363" i="13"/>
  <c r="AY383" i="13"/>
  <c r="AY403" i="13"/>
  <c r="AY466" i="13"/>
  <c r="AY482" i="13"/>
  <c r="AY498" i="13"/>
  <c r="AY534" i="13"/>
  <c r="AY601" i="13"/>
  <c r="AY429" i="13"/>
  <c r="AY404" i="13"/>
  <c r="AY499" i="13"/>
  <c r="AY29" i="13"/>
  <c r="AY405" i="13"/>
  <c r="AY500" i="13"/>
  <c r="AY371" i="13"/>
  <c r="AY485" i="13"/>
  <c r="AY470" i="13"/>
  <c r="Q394" i="13"/>
  <c r="D132" i="3"/>
  <c r="D121" i="3"/>
  <c r="D110" i="3"/>
  <c r="D99" i="3"/>
  <c r="D88" i="3"/>
  <c r="D77" i="3"/>
  <c r="D66" i="3"/>
  <c r="D55" i="3"/>
  <c r="D33" i="3"/>
  <c r="D11" i="3"/>
  <c r="D31" i="3"/>
  <c r="E32" i="2" s="1"/>
  <c r="O32" i="2" s="1"/>
  <c r="AD6" i="13"/>
  <c r="BA6" i="13" s="1"/>
  <c r="AD7" i="13"/>
  <c r="BA7" i="13" s="1"/>
  <c r="AD21" i="13"/>
  <c r="BA21" i="13" s="1"/>
  <c r="AD22" i="13"/>
  <c r="BA22" i="13" s="1"/>
  <c r="AD23" i="13"/>
  <c r="BA23" i="13" s="1"/>
  <c r="AD24" i="13"/>
  <c r="BA24" i="13" s="1"/>
  <c r="AD25" i="13"/>
  <c r="BA25" i="13" s="1"/>
  <c r="AD27" i="13"/>
  <c r="BA27" i="13" s="1"/>
  <c r="AD28" i="13"/>
  <c r="BA28" i="13" s="1"/>
  <c r="AD29" i="13"/>
  <c r="BA29" i="13" s="1"/>
  <c r="AD30" i="13"/>
  <c r="BA30" i="13" s="1"/>
  <c r="AC366" i="13"/>
  <c r="AD370" i="13"/>
  <c r="BA370" i="13" s="1"/>
  <c r="AD371" i="13"/>
  <c r="BA371" i="13" s="1"/>
  <c r="AD372" i="13"/>
  <c r="BA372" i="13" s="1"/>
  <c r="AD373" i="13"/>
  <c r="BA373" i="13" s="1"/>
  <c r="AD374" i="13"/>
  <c r="BA374" i="13" s="1"/>
  <c r="AD375" i="13"/>
  <c r="BA375" i="13" s="1"/>
  <c r="AD376" i="13"/>
  <c r="BA376" i="13" s="1"/>
  <c r="AD377" i="13"/>
  <c r="BA377" i="13" s="1"/>
  <c r="AD378" i="13"/>
  <c r="BA378" i="13" s="1"/>
  <c r="AD379" i="13"/>
  <c r="BA379" i="13" s="1"/>
  <c r="AD380" i="13"/>
  <c r="BA380" i="13" s="1"/>
  <c r="AD381" i="13"/>
  <c r="BA381" i="13" s="1"/>
  <c r="AD382" i="13"/>
  <c r="BA382" i="13" s="1"/>
  <c r="AD383" i="13"/>
  <c r="BA383" i="13" s="1"/>
  <c r="AD384" i="13"/>
  <c r="BA384" i="13" s="1"/>
  <c r="AD385" i="13"/>
  <c r="BA385" i="13" s="1"/>
  <c r="AD386" i="13"/>
  <c r="BA386" i="13" s="1"/>
  <c r="AD387" i="13"/>
  <c r="BA387" i="13" s="1"/>
  <c r="AD388" i="13"/>
  <c r="BA388" i="13" s="1"/>
  <c r="AD389" i="13"/>
  <c r="BA389" i="13" s="1"/>
  <c r="AD390" i="13"/>
  <c r="BA390" i="13" s="1"/>
  <c r="AD391" i="13"/>
  <c r="BA391" i="13" s="1"/>
  <c r="AD392" i="13"/>
  <c r="BA392" i="13" s="1"/>
  <c r="AD393" i="13"/>
  <c r="BA393" i="13" s="1"/>
  <c r="AD394" i="13"/>
  <c r="BA394" i="13" s="1"/>
  <c r="AD395" i="13"/>
  <c r="BA395" i="13" s="1"/>
  <c r="AD396" i="13"/>
  <c r="BA396" i="13" s="1"/>
  <c r="AD397" i="13"/>
  <c r="BA397" i="13" s="1"/>
  <c r="AD398" i="13"/>
  <c r="BA398" i="13" s="1"/>
  <c r="AD399" i="13"/>
  <c r="BA399" i="13" s="1"/>
  <c r="AD400" i="13"/>
  <c r="BA400" i="13" s="1"/>
  <c r="AD401" i="13"/>
  <c r="BA401" i="13" s="1"/>
  <c r="AD402" i="13"/>
  <c r="BA402" i="13" s="1"/>
  <c r="AD403" i="13"/>
  <c r="BA403" i="13" s="1"/>
  <c r="AD404" i="13"/>
  <c r="BA404" i="13" s="1"/>
  <c r="AD405" i="13"/>
  <c r="BA405" i="13" s="1"/>
  <c r="AD406" i="13"/>
  <c r="BA406" i="13" s="1"/>
  <c r="AD407" i="13"/>
  <c r="BA407" i="13" s="1"/>
  <c r="AD408" i="13"/>
  <c r="BA408" i="13" s="1"/>
  <c r="AD409" i="13"/>
  <c r="BA409" i="13" s="1"/>
  <c r="AD422" i="13"/>
  <c r="BA422" i="13" s="1"/>
  <c r="AD429" i="13"/>
  <c r="BA429" i="13" s="1"/>
  <c r="AD430" i="13"/>
  <c r="BA430" i="13" s="1"/>
  <c r="AD431" i="13"/>
  <c r="BA431" i="13" s="1"/>
  <c r="AD432" i="13"/>
  <c r="BA432" i="13" s="1"/>
  <c r="AD433" i="13"/>
  <c r="BA433" i="13" s="1"/>
  <c r="AD446" i="13"/>
  <c r="BA446" i="13" s="1"/>
  <c r="AD458" i="13"/>
  <c r="BA458" i="13" s="1"/>
  <c r="AD461" i="13"/>
  <c r="BA461" i="13" s="1"/>
  <c r="AD462" i="13"/>
  <c r="BA462" i="13" s="1"/>
  <c r="AD463" i="13"/>
  <c r="BA463" i="13" s="1"/>
  <c r="AD464" i="13"/>
  <c r="BA464" i="13" s="1"/>
  <c r="AD465" i="13"/>
  <c r="BA465" i="13" s="1"/>
  <c r="AD466" i="13"/>
  <c r="BA466" i="13" s="1"/>
  <c r="AD467" i="13"/>
  <c r="BA467" i="13" s="1"/>
  <c r="AD468" i="13"/>
  <c r="BA468" i="13" s="1"/>
  <c r="AD469" i="13"/>
  <c r="BA469" i="13" s="1"/>
  <c r="AD470" i="13"/>
  <c r="BA470" i="13" s="1"/>
  <c r="AD471" i="13"/>
  <c r="BA471" i="13" s="1"/>
  <c r="AD472" i="13"/>
  <c r="BA472" i="13" s="1"/>
  <c r="AD473" i="13"/>
  <c r="BA473" i="13" s="1"/>
  <c r="AD474" i="13"/>
  <c r="BA474" i="13" s="1"/>
  <c r="AD475" i="13"/>
  <c r="BA475" i="13" s="1"/>
  <c r="AD476" i="13"/>
  <c r="BA476" i="13" s="1"/>
  <c r="AD477" i="13"/>
  <c r="BA477" i="13" s="1"/>
  <c r="AD478" i="13"/>
  <c r="BA478" i="13" s="1"/>
  <c r="AD479" i="13"/>
  <c r="BA479" i="13" s="1"/>
  <c r="AD480" i="13"/>
  <c r="BA480" i="13" s="1"/>
  <c r="AD481" i="13"/>
  <c r="BA481" i="13" s="1"/>
  <c r="AD482" i="13"/>
  <c r="BA482" i="13" s="1"/>
  <c r="AD483" i="13"/>
  <c r="BA483" i="13" s="1"/>
  <c r="AD484" i="13"/>
  <c r="BA484" i="13" s="1"/>
  <c r="AD485" i="13"/>
  <c r="BA485" i="13" s="1"/>
  <c r="AD486" i="13"/>
  <c r="BA486" i="13" s="1"/>
  <c r="AD487" i="13"/>
  <c r="BA487" i="13" s="1"/>
  <c r="AD488" i="13"/>
  <c r="BA488" i="13" s="1"/>
  <c r="AD489" i="13"/>
  <c r="BA489" i="13" s="1"/>
  <c r="AD490" i="13"/>
  <c r="BA490" i="13" s="1"/>
  <c r="AD491" i="13"/>
  <c r="BA491" i="13" s="1"/>
  <c r="AD492" i="13"/>
  <c r="BA492" i="13" s="1"/>
  <c r="AD493" i="13"/>
  <c r="BA493" i="13" s="1"/>
  <c r="AD494" i="13"/>
  <c r="BA494" i="13" s="1"/>
  <c r="AD495" i="13"/>
  <c r="BA495" i="13" s="1"/>
  <c r="AD496" i="13"/>
  <c r="BA496" i="13" s="1"/>
  <c r="AD497" i="13"/>
  <c r="BA497" i="13" s="1"/>
  <c r="AD498" i="13"/>
  <c r="BA498" i="13" s="1"/>
  <c r="AD499" i="13"/>
  <c r="BA499" i="13" s="1"/>
  <c r="AD500" i="13"/>
  <c r="BA500" i="13" s="1"/>
  <c r="AD501" i="13"/>
  <c r="BA501" i="13" s="1"/>
  <c r="AD502" i="13"/>
  <c r="BA502" i="13" s="1"/>
  <c r="AD503" i="13"/>
  <c r="BA503" i="13" s="1"/>
  <c r="AD524" i="13"/>
  <c r="BA524" i="13" s="1"/>
  <c r="AD525" i="13"/>
  <c r="BA525" i="13" s="1"/>
  <c r="AD526" i="13"/>
  <c r="BA526" i="13" s="1"/>
  <c r="AD527" i="13"/>
  <c r="BA527" i="13" s="1"/>
  <c r="AD528" i="13"/>
  <c r="BA528" i="13" s="1"/>
  <c r="AD529" i="13"/>
  <c r="BA529" i="13" s="1"/>
  <c r="AD530" i="13"/>
  <c r="BA530" i="13" s="1"/>
  <c r="AD531" i="13"/>
  <c r="BA531" i="13" s="1"/>
  <c r="AD532" i="13"/>
  <c r="BA532" i="13" s="1"/>
  <c r="AD533" i="13"/>
  <c r="BA533" i="13" s="1"/>
  <c r="AD534" i="13"/>
  <c r="BA534" i="13" s="1"/>
  <c r="AD535" i="13"/>
  <c r="BA535" i="13" s="1"/>
  <c r="AD536" i="13"/>
  <c r="BA536" i="13" s="1"/>
  <c r="AD537" i="13"/>
  <c r="BA537" i="13" s="1"/>
  <c r="AD538" i="13"/>
  <c r="BA538" i="13" s="1"/>
  <c r="AD539" i="13"/>
  <c r="BA539" i="13" s="1"/>
  <c r="AD542" i="13"/>
  <c r="BA542" i="13" s="1"/>
  <c r="AD543" i="13"/>
  <c r="BA543" i="13" s="1"/>
  <c r="AD544" i="13"/>
  <c r="BA544" i="13" s="1"/>
  <c r="AD546" i="13"/>
  <c r="BA546" i="13" s="1"/>
  <c r="AD547" i="13"/>
  <c r="BA547" i="13" s="1"/>
  <c r="AD548" i="13"/>
  <c r="BA548" i="13" s="1"/>
  <c r="AD549" i="13"/>
  <c r="BA549" i="13" s="1"/>
  <c r="AD597" i="13"/>
  <c r="BA597" i="13" s="1"/>
  <c r="AD598" i="13"/>
  <c r="BA598" i="13" s="1"/>
  <c r="AD599" i="13"/>
  <c r="BA599" i="13" s="1"/>
  <c r="AD600" i="13"/>
  <c r="BA600" i="13" s="1"/>
  <c r="AD601" i="13"/>
  <c r="BA601" i="13" s="1"/>
  <c r="AD602" i="13"/>
  <c r="BA602" i="13" s="1"/>
  <c r="AD603" i="13"/>
  <c r="BA603" i="13" s="1"/>
  <c r="Z604" i="13"/>
  <c r="Z603" i="13"/>
  <c r="AN603" i="13" s="1"/>
  <c r="Z602" i="13"/>
  <c r="AN602" i="13" s="1"/>
  <c r="Z601" i="13"/>
  <c r="AN601" i="13" s="1"/>
  <c r="Z600" i="13"/>
  <c r="AN600" i="13" s="1"/>
  <c r="Z599" i="13"/>
  <c r="AN599" i="13" s="1"/>
  <c r="Z598" i="13"/>
  <c r="AN598" i="13" s="1"/>
  <c r="Z597" i="13"/>
  <c r="AN597" i="13" s="1"/>
  <c r="Z549" i="13"/>
  <c r="AN549" i="13" s="1"/>
  <c r="Z548" i="13"/>
  <c r="AN548" i="13" s="1"/>
  <c r="Z547" i="13"/>
  <c r="AN547" i="13" s="1"/>
  <c r="Z546" i="13"/>
  <c r="AN546" i="13" s="1"/>
  <c r="Z545" i="13"/>
  <c r="AN544" i="13"/>
  <c r="AN543" i="13"/>
  <c r="Z542" i="13"/>
  <c r="AN542" i="13" s="1"/>
  <c r="Z539" i="13"/>
  <c r="AN539" i="13" s="1"/>
  <c r="Z538" i="13"/>
  <c r="AN538" i="13" s="1"/>
  <c r="Z537" i="13"/>
  <c r="AN537" i="13" s="1"/>
  <c r="Z536" i="13"/>
  <c r="AN536" i="13" s="1"/>
  <c r="Z535" i="13"/>
  <c r="AN535" i="13" s="1"/>
  <c r="Z534" i="13"/>
  <c r="AN534" i="13" s="1"/>
  <c r="Z533" i="13"/>
  <c r="AN533" i="13" s="1"/>
  <c r="Z532" i="13"/>
  <c r="AN532" i="13" s="1"/>
  <c r="Z531" i="13"/>
  <c r="AN531" i="13" s="1"/>
  <c r="Z530" i="13"/>
  <c r="AN530" i="13" s="1"/>
  <c r="Z529" i="13"/>
  <c r="AN529" i="13" s="1"/>
  <c r="Z528" i="13"/>
  <c r="AN528" i="13" s="1"/>
  <c r="Z527" i="13"/>
  <c r="AN527" i="13" s="1"/>
  <c r="Z526" i="13"/>
  <c r="AN526" i="13" s="1"/>
  <c r="Z525" i="13"/>
  <c r="AN525" i="13" s="1"/>
  <c r="Z524" i="13"/>
  <c r="AN524" i="13" s="1"/>
  <c r="Z503" i="13"/>
  <c r="AN503" i="13" s="1"/>
  <c r="Z502" i="13"/>
  <c r="AN502" i="13" s="1"/>
  <c r="Z501" i="13"/>
  <c r="AN501" i="13" s="1"/>
  <c r="Z500" i="13"/>
  <c r="AN500" i="13" s="1"/>
  <c r="Z499" i="13"/>
  <c r="AN499" i="13" s="1"/>
  <c r="Z498" i="13"/>
  <c r="AN498" i="13" s="1"/>
  <c r="Z497" i="13"/>
  <c r="AN497" i="13" s="1"/>
  <c r="Z496" i="13"/>
  <c r="AN496" i="13" s="1"/>
  <c r="Z495" i="13"/>
  <c r="AN495" i="13" s="1"/>
  <c r="Z494" i="13"/>
  <c r="AN494" i="13" s="1"/>
  <c r="Z493" i="13"/>
  <c r="AN493" i="13" s="1"/>
  <c r="Z492" i="13"/>
  <c r="AN492" i="13" s="1"/>
  <c r="Z491" i="13"/>
  <c r="AN491" i="13" s="1"/>
  <c r="Z490" i="13"/>
  <c r="AN490" i="13" s="1"/>
  <c r="Z489" i="13"/>
  <c r="AN489" i="13" s="1"/>
  <c r="Z488" i="13"/>
  <c r="AN488" i="13" s="1"/>
  <c r="Z487" i="13"/>
  <c r="AN487" i="13" s="1"/>
  <c r="Z486" i="13"/>
  <c r="AN486" i="13" s="1"/>
  <c r="Z485" i="13"/>
  <c r="AN485" i="13" s="1"/>
  <c r="Z484" i="13"/>
  <c r="AN484" i="13" s="1"/>
  <c r="Z483" i="13"/>
  <c r="AN483" i="13" s="1"/>
  <c r="Z482" i="13"/>
  <c r="AN482" i="13" s="1"/>
  <c r="Z481" i="13"/>
  <c r="AN481" i="13" s="1"/>
  <c r="Z480" i="13"/>
  <c r="AN480" i="13" s="1"/>
  <c r="Z479" i="13"/>
  <c r="AN479" i="13" s="1"/>
  <c r="Z478" i="13"/>
  <c r="AN478" i="13" s="1"/>
  <c r="Z477" i="13"/>
  <c r="AN477" i="13" s="1"/>
  <c r="Z476" i="13"/>
  <c r="AN476" i="13" s="1"/>
  <c r="Z475" i="13"/>
  <c r="AN475" i="13" s="1"/>
  <c r="Z474" i="13"/>
  <c r="AN474" i="13" s="1"/>
  <c r="Z473" i="13"/>
  <c r="AN473" i="13" s="1"/>
  <c r="Z472" i="13"/>
  <c r="AN472" i="13" s="1"/>
  <c r="Z471" i="13"/>
  <c r="AN471" i="13" s="1"/>
  <c r="Z470" i="13"/>
  <c r="AN470" i="13" s="1"/>
  <c r="Z469" i="13"/>
  <c r="AN469" i="13" s="1"/>
  <c r="Z468" i="13"/>
  <c r="AN468" i="13" s="1"/>
  <c r="Z467" i="13"/>
  <c r="AN467" i="13" s="1"/>
  <c r="Z466" i="13"/>
  <c r="AN466" i="13" s="1"/>
  <c r="Z465" i="13"/>
  <c r="AN465" i="13" s="1"/>
  <c r="Z464" i="13"/>
  <c r="AN464" i="13" s="1"/>
  <c r="Z463" i="13"/>
  <c r="AN463" i="13" s="1"/>
  <c r="Z462" i="13"/>
  <c r="AN462" i="13" s="1"/>
  <c r="Z461" i="13"/>
  <c r="AN461" i="13" s="1"/>
  <c r="Z458" i="13"/>
  <c r="AN458" i="13" s="1"/>
  <c r="Z446" i="13"/>
  <c r="AN446" i="13" s="1"/>
  <c r="Z433" i="13"/>
  <c r="AN433" i="13" s="1"/>
  <c r="Z432" i="13"/>
  <c r="AN432" i="13" s="1"/>
  <c r="Z431" i="13"/>
  <c r="AN431" i="13" s="1"/>
  <c r="Z430" i="13"/>
  <c r="AN430" i="13" s="1"/>
  <c r="Z429" i="13"/>
  <c r="AN429" i="13" s="1"/>
  <c r="Z422" i="13"/>
  <c r="AN422" i="13" s="1"/>
  <c r="Z409" i="13"/>
  <c r="AN409" i="13" s="1"/>
  <c r="Z408" i="13"/>
  <c r="AN408" i="13" s="1"/>
  <c r="Z407" i="13"/>
  <c r="AN407" i="13" s="1"/>
  <c r="Z406" i="13"/>
  <c r="AN406" i="13" s="1"/>
  <c r="Z405" i="13"/>
  <c r="AN405" i="13" s="1"/>
  <c r="Z404" i="13"/>
  <c r="AN404" i="13" s="1"/>
  <c r="Z403" i="13"/>
  <c r="AN403" i="13" s="1"/>
  <c r="Z402" i="13"/>
  <c r="AN402" i="13" s="1"/>
  <c r="Z401" i="13"/>
  <c r="AN401" i="13" s="1"/>
  <c r="Z400" i="13"/>
  <c r="AN400" i="13" s="1"/>
  <c r="Z399" i="13"/>
  <c r="AN399" i="13" s="1"/>
  <c r="Z398" i="13"/>
  <c r="AN398" i="13" s="1"/>
  <c r="Z397" i="13"/>
  <c r="AN397" i="13" s="1"/>
  <c r="Z396" i="13"/>
  <c r="AN396" i="13" s="1"/>
  <c r="Z395" i="13"/>
  <c r="AN395" i="13" s="1"/>
  <c r="Z394" i="13"/>
  <c r="AN394" i="13" s="1"/>
  <c r="Z393" i="13"/>
  <c r="AN393" i="13" s="1"/>
  <c r="Z392" i="13"/>
  <c r="AN392" i="13" s="1"/>
  <c r="Z391" i="13"/>
  <c r="AN391" i="13" s="1"/>
  <c r="Z390" i="13"/>
  <c r="AN390" i="13" s="1"/>
  <c r="Z389" i="13"/>
  <c r="AN389" i="13" s="1"/>
  <c r="Z388" i="13"/>
  <c r="AN388" i="13" s="1"/>
  <c r="Z387" i="13"/>
  <c r="AN387" i="13" s="1"/>
  <c r="Z386" i="13"/>
  <c r="AN386" i="13" s="1"/>
  <c r="Z385" i="13"/>
  <c r="AN385" i="13" s="1"/>
  <c r="Z384" i="13"/>
  <c r="AN384" i="13" s="1"/>
  <c r="Z383" i="13"/>
  <c r="AN383" i="13" s="1"/>
  <c r="Z382" i="13"/>
  <c r="AN382" i="13" s="1"/>
  <c r="Z381" i="13"/>
  <c r="AN381" i="13" s="1"/>
  <c r="Z380" i="13"/>
  <c r="AN380" i="13" s="1"/>
  <c r="Z379" i="13"/>
  <c r="AN379" i="13" s="1"/>
  <c r="Z378" i="13"/>
  <c r="AN378" i="13" s="1"/>
  <c r="Z377" i="13"/>
  <c r="AN377" i="13" s="1"/>
  <c r="Z376" i="13"/>
  <c r="AN376" i="13" s="1"/>
  <c r="Z375" i="13"/>
  <c r="AN375" i="13" s="1"/>
  <c r="Z374" i="13"/>
  <c r="AN374" i="13" s="1"/>
  <c r="Z373" i="13"/>
  <c r="AN373" i="13" s="1"/>
  <c r="Z372" i="13"/>
  <c r="AN372" i="13" s="1"/>
  <c r="Z371" i="13"/>
  <c r="AN371" i="13" s="1"/>
  <c r="Z370" i="13"/>
  <c r="AN370" i="13" s="1"/>
  <c r="Z369" i="13"/>
  <c r="AN369" i="13" s="1"/>
  <c r="Z368" i="13"/>
  <c r="AN368" i="13" s="1"/>
  <c r="Z367" i="13"/>
  <c r="AN367" i="13" s="1"/>
  <c r="Z366" i="13"/>
  <c r="Z364" i="13"/>
  <c r="Z363" i="13"/>
  <c r="AN363" i="13" s="1"/>
  <c r="Z30" i="13"/>
  <c r="AN30" i="13" s="1"/>
  <c r="Z29" i="13"/>
  <c r="AN29" i="13" s="1"/>
  <c r="Z28" i="13"/>
  <c r="AN28" i="13" s="1"/>
  <c r="Z27" i="13"/>
  <c r="AN27" i="13" s="1"/>
  <c r="Z26" i="13"/>
  <c r="AN26" i="13" s="1"/>
  <c r="Z25" i="13"/>
  <c r="AN25" i="13" s="1"/>
  <c r="Z24" i="13"/>
  <c r="AN24" i="13" s="1"/>
  <c r="Z23" i="13"/>
  <c r="AN23" i="13" s="1"/>
  <c r="Z22" i="13"/>
  <c r="AN22" i="13" s="1"/>
  <c r="Z21" i="13"/>
  <c r="AN21" i="13" s="1"/>
  <c r="Z7" i="13"/>
  <c r="AN7" i="13" s="1"/>
  <c r="Z6" i="13"/>
  <c r="AN6" i="13" s="1"/>
  <c r="Z4" i="13"/>
  <c r="AN4" i="13" s="1"/>
  <c r="AM3" i="61"/>
  <c r="W401" i="13"/>
  <c r="W402" i="13"/>
  <c r="W403" i="13"/>
  <c r="W494" i="13"/>
  <c r="W495" i="13"/>
  <c r="W535" i="13"/>
  <c r="W536" i="13"/>
  <c r="W537" i="13"/>
  <c r="DE3" i="4" l="1"/>
  <c r="DD2" i="4"/>
  <c r="DD4" i="4"/>
  <c r="Q383" i="13"/>
  <c r="Q539" i="13"/>
  <c r="Q537" i="13"/>
  <c r="Q381" i="13"/>
  <c r="Q446" i="13"/>
  <c r="Q536" i="13"/>
  <c r="Q384" i="13"/>
  <c r="Q382" i="13"/>
  <c r="Q538" i="13"/>
  <c r="AD363" i="13"/>
  <c r="BA363" i="13" s="1"/>
  <c r="AC363" i="13"/>
  <c r="AD367" i="13"/>
  <c r="BA367" i="13" s="1"/>
  <c r="AC367" i="13"/>
  <c r="AD369" i="13"/>
  <c r="BA369" i="13" s="1"/>
  <c r="AC369" i="13"/>
  <c r="AD368" i="13"/>
  <c r="BA368" i="13" s="1"/>
  <c r="AC368" i="13"/>
  <c r="AD4" i="13"/>
  <c r="BA4" i="13" s="1"/>
  <c r="BB4" i="13" s="1"/>
  <c r="AD26" i="13"/>
  <c r="BA26" i="13" s="1"/>
  <c r="AC545" i="13"/>
  <c r="AD545" i="13"/>
  <c r="BA545" i="13" s="1"/>
  <c r="AC604" i="13"/>
  <c r="AD604" i="13"/>
  <c r="BA604" i="13" s="1"/>
  <c r="AD366" i="13"/>
  <c r="BA366" i="13" s="1"/>
  <c r="AC364" i="13"/>
  <c r="AD364" i="13"/>
  <c r="BA364" i="13" s="1"/>
  <c r="AN604" i="13"/>
  <c r="AN16" i="61" s="1"/>
  <c r="AN545" i="13"/>
  <c r="AN13" i="61" s="1"/>
  <c r="AN364" i="13"/>
  <c r="AN366" i="13"/>
  <c r="DF3" i="4" l="1"/>
  <c r="DE2" i="4"/>
  <c r="DE4" i="4"/>
  <c r="O880" i="13"/>
  <c r="Q364" i="13"/>
  <c r="AN10" i="61"/>
  <c r="AE364" i="13"/>
  <c r="AK364" i="13" s="1"/>
  <c r="AM364" i="13" s="1"/>
  <c r="AE604" i="13"/>
  <c r="AE366" i="13"/>
  <c r="AE545" i="13"/>
  <c r="A411" i="60"/>
  <c r="A412" i="60" s="1"/>
  <c r="A413" i="60" s="1"/>
  <c r="A414" i="60" s="1"/>
  <c r="A415" i="60" s="1"/>
  <c r="A416" i="60" s="1"/>
  <c r="A417" i="60" s="1"/>
  <c r="A418" i="60" s="1"/>
  <c r="A419" i="60" s="1"/>
  <c r="A420" i="60" s="1"/>
  <c r="A421" i="60" s="1"/>
  <c r="A422" i="60" s="1"/>
  <c r="A423" i="60" s="1"/>
  <c r="A424" i="60" s="1"/>
  <c r="A425" i="60" s="1"/>
  <c r="A426" i="60" s="1"/>
  <c r="A427" i="60" s="1"/>
  <c r="A428" i="60" s="1"/>
  <c r="A429" i="60" s="1"/>
  <c r="A430" i="60" s="1"/>
  <c r="A431" i="60" s="1"/>
  <c r="A432" i="60" s="1"/>
  <c r="A433" i="60" s="1"/>
  <c r="A434" i="60" s="1"/>
  <c r="A435" i="60" s="1"/>
  <c r="A436" i="60" s="1"/>
  <c r="A437" i="60" s="1"/>
  <c r="A438" i="60" s="1"/>
  <c r="A439" i="60" s="1"/>
  <c r="A440" i="60" s="1"/>
  <c r="A441" i="60" s="1"/>
  <c r="A442" i="60" s="1"/>
  <c r="A443" i="60" s="1"/>
  <c r="A444" i="60" s="1"/>
  <c r="A376" i="60"/>
  <c r="A377" i="60"/>
  <c r="A378" i="60" s="1"/>
  <c r="A379" i="60" s="1"/>
  <c r="A380" i="60" s="1"/>
  <c r="A381" i="60" s="1"/>
  <c r="A382" i="60" s="1"/>
  <c r="A383" i="60" s="1"/>
  <c r="A384" i="60" s="1"/>
  <c r="A385" i="60" s="1"/>
  <c r="A386" i="60" s="1"/>
  <c r="A387" i="60" s="1"/>
  <c r="A388" i="60" s="1"/>
  <c r="A389" i="60" s="1"/>
  <c r="A390" i="60" s="1"/>
  <c r="A391" i="60" s="1"/>
  <c r="A392" i="60" s="1"/>
  <c r="A393" i="60" s="1"/>
  <c r="A394" i="60" s="1"/>
  <c r="A395" i="60" s="1"/>
  <c r="A396" i="60" s="1"/>
  <c r="A397" i="60" s="1"/>
  <c r="A398" i="60" s="1"/>
  <c r="A399" i="60" s="1"/>
  <c r="A400" i="60" s="1"/>
  <c r="A401" i="60" s="1"/>
  <c r="A402" i="60" s="1"/>
  <c r="A403" i="60" s="1"/>
  <c r="A404" i="60" s="1"/>
  <c r="A405" i="60" s="1"/>
  <c r="A406" i="60" s="1"/>
  <c r="A407" i="60" s="1"/>
  <c r="A408" i="60" s="1"/>
  <c r="A409" i="60" s="1"/>
  <c r="A410" i="60" s="1"/>
  <c r="B214" i="60"/>
  <c r="B215" i="60" s="1"/>
  <c r="B213" i="60"/>
  <c r="DG3" i="4" l="1"/>
  <c r="DF2" i="4"/>
  <c r="DF4" i="4"/>
  <c r="AL364" i="13"/>
  <c r="AO364" i="13"/>
  <c r="AK604" i="13"/>
  <c r="AM604" i="13" s="1"/>
  <c r="AL604" i="13"/>
  <c r="AO604" i="13"/>
  <c r="AL545" i="13"/>
  <c r="AO545" i="13"/>
  <c r="AK545" i="13"/>
  <c r="AM545" i="13" s="1"/>
  <c r="AK366" i="13"/>
  <c r="AM366" i="13" s="1"/>
  <c r="AO366" i="13"/>
  <c r="AL366" i="13"/>
  <c r="AC6" i="13"/>
  <c r="AC7" i="13"/>
  <c r="AC21" i="13"/>
  <c r="AC22" i="13"/>
  <c r="AC23" i="13"/>
  <c r="AE23" i="13" s="1"/>
  <c r="AC24" i="13"/>
  <c r="AE24" i="13" s="1"/>
  <c r="AC25" i="13"/>
  <c r="AE25" i="13" s="1"/>
  <c r="AC27" i="13"/>
  <c r="AE27" i="13" s="1"/>
  <c r="AC28" i="13"/>
  <c r="AE28" i="13" s="1"/>
  <c r="AC29" i="13"/>
  <c r="AE29" i="13" s="1"/>
  <c r="AC30" i="13"/>
  <c r="AE30" i="13" s="1"/>
  <c r="AE363" i="13"/>
  <c r="AE367" i="13"/>
  <c r="AE368" i="13"/>
  <c r="AE369" i="13"/>
  <c r="AC370" i="13"/>
  <c r="AE370" i="13" s="1"/>
  <c r="AC371" i="13"/>
  <c r="AE371" i="13" s="1"/>
  <c r="AC372" i="13"/>
  <c r="AE372" i="13" s="1"/>
  <c r="AC373" i="13"/>
  <c r="AE373" i="13" s="1"/>
  <c r="AC374" i="13"/>
  <c r="AE374" i="13" s="1"/>
  <c r="AC375" i="13"/>
  <c r="AE375" i="13" s="1"/>
  <c r="AC376" i="13"/>
  <c r="AE376" i="13" s="1"/>
  <c r="AC377" i="13"/>
  <c r="AE377" i="13" s="1"/>
  <c r="AC378" i="13"/>
  <c r="AE378" i="13" s="1"/>
  <c r="AC379" i="13"/>
  <c r="AE379" i="13" s="1"/>
  <c r="AC380" i="13"/>
  <c r="AE380" i="13" s="1"/>
  <c r="AC381" i="13"/>
  <c r="AE381" i="13" s="1"/>
  <c r="AC382" i="13"/>
  <c r="AE382" i="13" s="1"/>
  <c r="AC383" i="13"/>
  <c r="AE383" i="13" s="1"/>
  <c r="AC384" i="13"/>
  <c r="AE384" i="13" s="1"/>
  <c r="AC385" i="13"/>
  <c r="AE385" i="13" s="1"/>
  <c r="AC386" i="13"/>
  <c r="AE386" i="13" s="1"/>
  <c r="AC387" i="13"/>
  <c r="AE387" i="13" s="1"/>
  <c r="AC388" i="13"/>
  <c r="AE388" i="13" s="1"/>
  <c r="AC389" i="13"/>
  <c r="AE389" i="13" s="1"/>
  <c r="AC390" i="13"/>
  <c r="AE390" i="13" s="1"/>
  <c r="AC391" i="13"/>
  <c r="AE391" i="13" s="1"/>
  <c r="AC392" i="13"/>
  <c r="AE392" i="13" s="1"/>
  <c r="AC393" i="13"/>
  <c r="AE393" i="13" s="1"/>
  <c r="AC394" i="13"/>
  <c r="AE394" i="13" s="1"/>
  <c r="AC395" i="13"/>
  <c r="AE395" i="13" s="1"/>
  <c r="AC396" i="13"/>
  <c r="AE396" i="13" s="1"/>
  <c r="AC397" i="13"/>
  <c r="AE397" i="13" s="1"/>
  <c r="AC398" i="13"/>
  <c r="AE398" i="13" s="1"/>
  <c r="AC399" i="13"/>
  <c r="AE399" i="13" s="1"/>
  <c r="AC400" i="13"/>
  <c r="AE400" i="13" s="1"/>
  <c r="AC401" i="13"/>
  <c r="AE401" i="13" s="1"/>
  <c r="AC402" i="13"/>
  <c r="AE402" i="13" s="1"/>
  <c r="AC403" i="13"/>
  <c r="AE403" i="13" s="1"/>
  <c r="AC404" i="13"/>
  <c r="AE404" i="13" s="1"/>
  <c r="AC405" i="13"/>
  <c r="AE405" i="13" s="1"/>
  <c r="AC406" i="13"/>
  <c r="AE406" i="13" s="1"/>
  <c r="AC407" i="13"/>
  <c r="AE407" i="13" s="1"/>
  <c r="AC408" i="13"/>
  <c r="AE408" i="13" s="1"/>
  <c r="AC409" i="13"/>
  <c r="AE409" i="13" s="1"/>
  <c r="AC422" i="13"/>
  <c r="AE422" i="13" s="1"/>
  <c r="AC429" i="13"/>
  <c r="AE429" i="13" s="1"/>
  <c r="AC430" i="13"/>
  <c r="AE430" i="13" s="1"/>
  <c r="AC431" i="13"/>
  <c r="AE431" i="13" s="1"/>
  <c r="AC432" i="13"/>
  <c r="AC433" i="13"/>
  <c r="AE433" i="13" s="1"/>
  <c r="AC446" i="13"/>
  <c r="AE446" i="13" s="1"/>
  <c r="AC458" i="13"/>
  <c r="AE458" i="13" s="1"/>
  <c r="AC461" i="13"/>
  <c r="AE461" i="13" s="1"/>
  <c r="AC462" i="13"/>
  <c r="AE462" i="13" s="1"/>
  <c r="AC463" i="13"/>
  <c r="AE463" i="13" s="1"/>
  <c r="AC464" i="13"/>
  <c r="AE464" i="13" s="1"/>
  <c r="AC465" i="13"/>
  <c r="AE465" i="13" s="1"/>
  <c r="AC466" i="13"/>
  <c r="AE466" i="13" s="1"/>
  <c r="AC467" i="13"/>
  <c r="AE467" i="13" s="1"/>
  <c r="AC468" i="13"/>
  <c r="AE468" i="13" s="1"/>
  <c r="AC469" i="13"/>
  <c r="AE469" i="13" s="1"/>
  <c r="AC470" i="13"/>
  <c r="AE470" i="13" s="1"/>
  <c r="AC471" i="13"/>
  <c r="AE471" i="13" s="1"/>
  <c r="AC472" i="13"/>
  <c r="AE472" i="13" s="1"/>
  <c r="AC473" i="13"/>
  <c r="AE473" i="13" s="1"/>
  <c r="AC474" i="13"/>
  <c r="AE474" i="13" s="1"/>
  <c r="AC475" i="13"/>
  <c r="AE475" i="13" s="1"/>
  <c r="AC476" i="13"/>
  <c r="AE476" i="13" s="1"/>
  <c r="AC477" i="13"/>
  <c r="AE477" i="13" s="1"/>
  <c r="AC478" i="13"/>
  <c r="AE478" i="13" s="1"/>
  <c r="AC479" i="13"/>
  <c r="AE479" i="13" s="1"/>
  <c r="AC480" i="13"/>
  <c r="AE480" i="13" s="1"/>
  <c r="AC481" i="13"/>
  <c r="AE481" i="13" s="1"/>
  <c r="AC482" i="13"/>
  <c r="AE482" i="13" s="1"/>
  <c r="AC483" i="13"/>
  <c r="AE483" i="13" s="1"/>
  <c r="AC484" i="13"/>
  <c r="AE484" i="13" s="1"/>
  <c r="AC485" i="13"/>
  <c r="AE485" i="13" s="1"/>
  <c r="AC486" i="13"/>
  <c r="AE486" i="13" s="1"/>
  <c r="AC487" i="13"/>
  <c r="AE487" i="13" s="1"/>
  <c r="AC488" i="13"/>
  <c r="AE488" i="13" s="1"/>
  <c r="AC489" i="13"/>
  <c r="AE489" i="13" s="1"/>
  <c r="AC490" i="13"/>
  <c r="AE490" i="13" s="1"/>
  <c r="AC491" i="13"/>
  <c r="AE491" i="13" s="1"/>
  <c r="AC492" i="13"/>
  <c r="AE492" i="13" s="1"/>
  <c r="AC493" i="13"/>
  <c r="AE493" i="13" s="1"/>
  <c r="AC494" i="13"/>
  <c r="AE494" i="13" s="1"/>
  <c r="AC495" i="13"/>
  <c r="AE495" i="13" s="1"/>
  <c r="AC496" i="13"/>
  <c r="AE496" i="13" s="1"/>
  <c r="AC497" i="13"/>
  <c r="AE497" i="13" s="1"/>
  <c r="AC498" i="13"/>
  <c r="AE498" i="13" s="1"/>
  <c r="AC499" i="13"/>
  <c r="AE499" i="13" s="1"/>
  <c r="AC500" i="13"/>
  <c r="AE500" i="13" s="1"/>
  <c r="AC501" i="13"/>
  <c r="AE501" i="13" s="1"/>
  <c r="AC502" i="13"/>
  <c r="AE502" i="13" s="1"/>
  <c r="AC503" i="13"/>
  <c r="AE503" i="13" s="1"/>
  <c r="AC524" i="13"/>
  <c r="AE524" i="13" s="1"/>
  <c r="AC525" i="13"/>
  <c r="AE525" i="13" s="1"/>
  <c r="AC526" i="13"/>
  <c r="AE526" i="13" s="1"/>
  <c r="AC527" i="13"/>
  <c r="AE527" i="13" s="1"/>
  <c r="AC528" i="13"/>
  <c r="AE528" i="13" s="1"/>
  <c r="AC529" i="13"/>
  <c r="AE529" i="13" s="1"/>
  <c r="AC530" i="13"/>
  <c r="AE530" i="13" s="1"/>
  <c r="AC531" i="13"/>
  <c r="AE531" i="13" s="1"/>
  <c r="AC532" i="13"/>
  <c r="AE532" i="13" s="1"/>
  <c r="AC533" i="13"/>
  <c r="AE533" i="13" s="1"/>
  <c r="AC534" i="13"/>
  <c r="AE534" i="13" s="1"/>
  <c r="AC535" i="13"/>
  <c r="AE535" i="13" s="1"/>
  <c r="AC536" i="13"/>
  <c r="AE536" i="13" s="1"/>
  <c r="AC537" i="13"/>
  <c r="AE537" i="13" s="1"/>
  <c r="AC538" i="13"/>
  <c r="AE538" i="13" s="1"/>
  <c r="AC539" i="13"/>
  <c r="AE539" i="13" s="1"/>
  <c r="AC542" i="13"/>
  <c r="AE542" i="13" s="1"/>
  <c r="AC543" i="13"/>
  <c r="AE543" i="13" s="1"/>
  <c r="AC544" i="13"/>
  <c r="AE544" i="13" s="1"/>
  <c r="AC546" i="13"/>
  <c r="AE546" i="13" s="1"/>
  <c r="AC547" i="13"/>
  <c r="AE547" i="13" s="1"/>
  <c r="AC548" i="13"/>
  <c r="AE548" i="13" s="1"/>
  <c r="AC549" i="13"/>
  <c r="AE549" i="13" s="1"/>
  <c r="AC597" i="13"/>
  <c r="AC598" i="13"/>
  <c r="AE598" i="13" s="1"/>
  <c r="AC599" i="13"/>
  <c r="AE599" i="13" s="1"/>
  <c r="AC600" i="13"/>
  <c r="AE600" i="13" s="1"/>
  <c r="AC601" i="13"/>
  <c r="AE601" i="13" s="1"/>
  <c r="AC602" i="13"/>
  <c r="AE602" i="13" s="1"/>
  <c r="AC603" i="13"/>
  <c r="AE603" i="13" s="1"/>
  <c r="DG4" i="4" l="1"/>
  <c r="DG2" i="4"/>
  <c r="DH3" i="4"/>
  <c r="AC880" i="13"/>
  <c r="T780" i="13"/>
  <c r="T778" i="13"/>
  <c r="T779" i="13"/>
  <c r="T776" i="13"/>
  <c r="T777" i="13"/>
  <c r="T774" i="13"/>
  <c r="T775" i="13"/>
  <c r="T770" i="13"/>
  <c r="T772" i="13"/>
  <c r="T771" i="13"/>
  <c r="T769" i="13"/>
  <c r="T767" i="13"/>
  <c r="T765" i="13"/>
  <c r="T766" i="13"/>
  <c r="T768" i="13"/>
  <c r="T773" i="13"/>
  <c r="T763" i="13"/>
  <c r="T749" i="13"/>
  <c r="T759" i="13"/>
  <c r="T752" i="13"/>
  <c r="T756" i="13"/>
  <c r="T754" i="13"/>
  <c r="T760" i="13"/>
  <c r="T750" i="13"/>
  <c r="T761" i="13"/>
  <c r="T758" i="13"/>
  <c r="T757" i="13"/>
  <c r="T751" i="13"/>
  <c r="T748" i="13"/>
  <c r="T764" i="13"/>
  <c r="T755" i="13"/>
  <c r="T753" i="13"/>
  <c r="T762" i="13"/>
  <c r="T747" i="13"/>
  <c r="T746" i="13"/>
  <c r="T745" i="13"/>
  <c r="T741" i="13"/>
  <c r="T742" i="13"/>
  <c r="T743" i="13"/>
  <c r="T744" i="13"/>
  <c r="T740" i="13"/>
  <c r="T736" i="13"/>
  <c r="T737" i="13"/>
  <c r="T739" i="13"/>
  <c r="T738" i="13"/>
  <c r="T717" i="13"/>
  <c r="T723" i="13"/>
  <c r="T719" i="13"/>
  <c r="T721" i="13"/>
  <c r="T718" i="13"/>
  <c r="T722" i="13"/>
  <c r="T720" i="13"/>
  <c r="T724" i="13"/>
  <c r="T732" i="13"/>
  <c r="T733" i="13"/>
  <c r="T734" i="13"/>
  <c r="AE432" i="13"/>
  <c r="AL432" i="13" s="1"/>
  <c r="T712" i="13"/>
  <c r="T705" i="13"/>
  <c r="T708" i="13"/>
  <c r="T697" i="13"/>
  <c r="T729" i="13"/>
  <c r="T704" i="13"/>
  <c r="T700" i="13"/>
  <c r="T713" i="13"/>
  <c r="T716" i="13"/>
  <c r="T731" i="13"/>
  <c r="T726" i="13"/>
  <c r="T701" i="13"/>
  <c r="T696" i="13"/>
  <c r="T715" i="13"/>
  <c r="T709" i="13"/>
  <c r="T703" i="13"/>
  <c r="T730" i="13"/>
  <c r="T698" i="13"/>
  <c r="T707" i="13"/>
  <c r="T727" i="13"/>
  <c r="T728" i="13"/>
  <c r="T725" i="13"/>
  <c r="T711" i="13"/>
  <c r="T702" i="13"/>
  <c r="T706" i="13"/>
  <c r="T699" i="13"/>
  <c r="T710" i="13"/>
  <c r="T714" i="13"/>
  <c r="T645" i="13"/>
  <c r="T648" i="13"/>
  <c r="T647" i="13"/>
  <c r="T646" i="13"/>
  <c r="T644" i="13"/>
  <c r="T46" i="13"/>
  <c r="T599" i="13"/>
  <c r="T553" i="13"/>
  <c r="T551" i="13"/>
  <c r="T649" i="13"/>
  <c r="T664" i="13"/>
  <c r="T662" i="13"/>
  <c r="T660" i="13"/>
  <c r="T667" i="13"/>
  <c r="T663" i="13"/>
  <c r="T665" i="13"/>
  <c r="T669" i="13"/>
  <c r="T661" i="13"/>
  <c r="T666" i="13"/>
  <c r="T670" i="13"/>
  <c r="T659" i="13"/>
  <c r="T668" i="13"/>
  <c r="T650" i="13"/>
  <c r="T651" i="13"/>
  <c r="T654" i="13"/>
  <c r="T655" i="13"/>
  <c r="T653" i="13"/>
  <c r="T652" i="13"/>
  <c r="T642" i="13"/>
  <c r="T643" i="13"/>
  <c r="T640" i="13"/>
  <c r="T639" i="13"/>
  <c r="T673" i="13"/>
  <c r="T680" i="13"/>
  <c r="T676" i="13"/>
  <c r="T686" i="13"/>
  <c r="T689" i="13"/>
  <c r="T678" i="13"/>
  <c r="T675" i="13"/>
  <c r="T690" i="13"/>
  <c r="T694" i="13"/>
  <c r="T684" i="13"/>
  <c r="T693" i="13"/>
  <c r="T688" i="13"/>
  <c r="T695" i="13"/>
  <c r="T687" i="13"/>
  <c r="T677" i="13"/>
  <c r="T672" i="13"/>
  <c r="T679" i="13"/>
  <c r="T681" i="13"/>
  <c r="T685" i="13"/>
  <c r="T674" i="13"/>
  <c r="T683" i="13"/>
  <c r="T781" i="13"/>
  <c r="T691" i="13"/>
  <c r="T692" i="13"/>
  <c r="T671" i="13"/>
  <c r="T641" i="13"/>
  <c r="T682" i="13"/>
  <c r="T638" i="13"/>
  <c r="T637" i="13"/>
  <c r="T626" i="13"/>
  <c r="T628" i="13"/>
  <c r="T630" i="13"/>
  <c r="T632" i="13"/>
  <c r="T634" i="13"/>
  <c r="T629" i="13"/>
  <c r="T633" i="13"/>
  <c r="T627" i="13"/>
  <c r="T631" i="13"/>
  <c r="T621" i="13"/>
  <c r="T625" i="13"/>
  <c r="T622" i="13"/>
  <c r="T623" i="13"/>
  <c r="T624" i="13"/>
  <c r="T612" i="13"/>
  <c r="T616" i="13"/>
  <c r="T620" i="13"/>
  <c r="T618" i="13"/>
  <c r="T615" i="13"/>
  <c r="T614" i="13"/>
  <c r="T613" i="13"/>
  <c r="T619" i="13"/>
  <c r="T617" i="13"/>
  <c r="T607" i="13"/>
  <c r="T611" i="13"/>
  <c r="T608" i="13"/>
  <c r="T610" i="13"/>
  <c r="T609" i="13"/>
  <c r="T606" i="13"/>
  <c r="T595" i="13"/>
  <c r="T605" i="13"/>
  <c r="AE597" i="13"/>
  <c r="AL597" i="13" s="1"/>
  <c r="AC17" i="61"/>
  <c r="T540" i="13"/>
  <c r="T564" i="13"/>
  <c r="T576" i="13"/>
  <c r="T572" i="13"/>
  <c r="T568" i="13"/>
  <c r="T575" i="13"/>
  <c r="T571" i="13"/>
  <c r="T567" i="13"/>
  <c r="T574" i="13"/>
  <c r="T570" i="13"/>
  <c r="T566" i="13"/>
  <c r="T573" i="13"/>
  <c r="T569" i="13"/>
  <c r="T565" i="13"/>
  <c r="T563" i="13"/>
  <c r="T562" i="13"/>
  <c r="T561" i="13"/>
  <c r="T560" i="13"/>
  <c r="T558" i="13"/>
  <c r="T559" i="13"/>
  <c r="T589" i="13"/>
  <c r="T585" i="13"/>
  <c r="T582" i="13"/>
  <c r="T587" i="13"/>
  <c r="T590" i="13"/>
  <c r="T578" i="13"/>
  <c r="T580" i="13"/>
  <c r="T592" i="13"/>
  <c r="T591" i="13"/>
  <c r="T583" i="13"/>
  <c r="T588" i="13"/>
  <c r="T579" i="13"/>
  <c r="T581" i="13"/>
  <c r="T586" i="13"/>
  <c r="T584" i="13"/>
  <c r="T577" i="13"/>
  <c r="T557" i="13"/>
  <c r="AE6" i="13"/>
  <c r="AK6" i="13" s="1"/>
  <c r="AM6" i="13" s="1"/>
  <c r="AE22" i="13"/>
  <c r="AK22" i="13" s="1"/>
  <c r="AM22" i="13" s="1"/>
  <c r="AE21" i="13"/>
  <c r="AL21" i="13" s="1"/>
  <c r="AE7" i="13"/>
  <c r="AL7" i="13" s="1"/>
  <c r="T556" i="13"/>
  <c r="T555" i="13"/>
  <c r="T593" i="13"/>
  <c r="T596" i="13"/>
  <c r="T594" i="13"/>
  <c r="T552" i="13"/>
  <c r="T550" i="13"/>
  <c r="T554" i="13"/>
  <c r="T520" i="13"/>
  <c r="T519" i="13"/>
  <c r="T523" i="13"/>
  <c r="T515" i="13"/>
  <c r="T516" i="13"/>
  <c r="T518" i="13"/>
  <c r="T522" i="13"/>
  <c r="T517" i="13"/>
  <c r="T521" i="13"/>
  <c r="T541" i="13"/>
  <c r="T504" i="13"/>
  <c r="T506" i="13"/>
  <c r="T505" i="13"/>
  <c r="T511" i="13"/>
  <c r="T508" i="13"/>
  <c r="T514" i="13"/>
  <c r="T510" i="13"/>
  <c r="T512" i="13"/>
  <c r="T509" i="13"/>
  <c r="T513" i="13"/>
  <c r="T507" i="13"/>
  <c r="T460" i="13"/>
  <c r="T459" i="13"/>
  <c r="T32" i="13"/>
  <c r="T36" i="13"/>
  <c r="T38" i="13"/>
  <c r="T33" i="13"/>
  <c r="T365" i="13"/>
  <c r="T448" i="13"/>
  <c r="T449" i="13"/>
  <c r="T450" i="13"/>
  <c r="T447" i="13"/>
  <c r="T451" i="13"/>
  <c r="T455" i="13"/>
  <c r="T457" i="13"/>
  <c r="T456" i="13"/>
  <c r="T453" i="13"/>
  <c r="T452" i="13"/>
  <c r="T454" i="13"/>
  <c r="T439" i="13"/>
  <c r="T444" i="13"/>
  <c r="T441" i="13"/>
  <c r="T438" i="13"/>
  <c r="T440" i="13"/>
  <c r="T442" i="13"/>
  <c r="T443" i="13"/>
  <c r="T445" i="13"/>
  <c r="T435" i="13"/>
  <c r="T434" i="13"/>
  <c r="T436" i="13"/>
  <c r="T437" i="13"/>
  <c r="T412" i="13"/>
  <c r="T410" i="13"/>
  <c r="T416" i="13"/>
  <c r="T419" i="13"/>
  <c r="T411" i="13"/>
  <c r="T417" i="13"/>
  <c r="T415" i="13"/>
  <c r="T420" i="13"/>
  <c r="T421" i="13"/>
  <c r="T413" i="13"/>
  <c r="T414" i="13"/>
  <c r="T418" i="13"/>
  <c r="T424" i="13"/>
  <c r="T425" i="13"/>
  <c r="T427" i="13"/>
  <c r="T426" i="13"/>
  <c r="T428" i="13"/>
  <c r="T423" i="13"/>
  <c r="T335" i="13"/>
  <c r="AE4" i="13"/>
  <c r="T362" i="13"/>
  <c r="T336" i="13"/>
  <c r="T338" i="13"/>
  <c r="T337" i="13"/>
  <c r="T83" i="13"/>
  <c r="T84" i="13"/>
  <c r="T85" i="13"/>
  <c r="AE26" i="13"/>
  <c r="AL26" i="13" s="1"/>
  <c r="T31" i="13"/>
  <c r="T116" i="13"/>
  <c r="T117" i="13"/>
  <c r="T89" i="13"/>
  <c r="T110" i="13"/>
  <c r="T90" i="13"/>
  <c r="T91" i="13"/>
  <c r="T112" i="13"/>
  <c r="T113" i="13"/>
  <c r="T111" i="13"/>
  <c r="T82" i="13"/>
  <c r="T73" i="13"/>
  <c r="T80" i="13"/>
  <c r="T75" i="13"/>
  <c r="T74" i="13"/>
  <c r="T71" i="13"/>
  <c r="T68" i="13"/>
  <c r="T72" i="13"/>
  <c r="T66" i="13"/>
  <c r="T69" i="13"/>
  <c r="T81" i="13"/>
  <c r="T63" i="13"/>
  <c r="T67" i="13"/>
  <c r="T61" i="13"/>
  <c r="T62" i="13"/>
  <c r="T54" i="13"/>
  <c r="T57" i="13"/>
  <c r="T60" i="13"/>
  <c r="T55" i="13"/>
  <c r="T56" i="13"/>
  <c r="T50" i="13"/>
  <c r="T52" i="13"/>
  <c r="T53" i="13"/>
  <c r="T49" i="13"/>
  <c r="T51" i="13"/>
  <c r="T48" i="13"/>
  <c r="T604" i="13"/>
  <c r="AL534" i="13"/>
  <c r="AK534" i="13"/>
  <c r="AM534" i="13" s="1"/>
  <c r="AL526" i="13"/>
  <c r="AK526" i="13"/>
  <c r="AM526" i="13" s="1"/>
  <c r="AL498" i="13"/>
  <c r="AK498" i="13"/>
  <c r="AM498" i="13" s="1"/>
  <c r="AL490" i="13"/>
  <c r="AK490" i="13"/>
  <c r="AM490" i="13" s="1"/>
  <c r="AL482" i="13"/>
  <c r="AK482" i="13"/>
  <c r="AM482" i="13" s="1"/>
  <c r="AL478" i="13"/>
  <c r="AK478" i="13"/>
  <c r="AM478" i="13" s="1"/>
  <c r="AL470" i="13"/>
  <c r="AK470" i="13"/>
  <c r="AM470" i="13" s="1"/>
  <c r="AL462" i="13"/>
  <c r="AK462" i="13"/>
  <c r="AM462" i="13" s="1"/>
  <c r="AL406" i="13"/>
  <c r="AK406" i="13"/>
  <c r="AM406" i="13" s="1"/>
  <c r="AL398" i="13"/>
  <c r="AK398" i="13"/>
  <c r="AM398" i="13" s="1"/>
  <c r="AL390" i="13"/>
  <c r="AK390" i="13"/>
  <c r="AM390" i="13" s="1"/>
  <c r="AL379" i="13"/>
  <c r="AK379" i="13"/>
  <c r="AM379" i="13" s="1"/>
  <c r="AL376" i="13"/>
  <c r="AK376" i="13"/>
  <c r="AM376" i="13" s="1"/>
  <c r="AL372" i="13"/>
  <c r="AK372" i="13"/>
  <c r="AM372" i="13" s="1"/>
  <c r="AL368" i="13"/>
  <c r="AK368" i="13"/>
  <c r="AM368" i="13" s="1"/>
  <c r="AL28" i="13"/>
  <c r="AK28" i="13"/>
  <c r="AM28" i="13" s="1"/>
  <c r="AL24" i="13"/>
  <c r="AK24" i="13"/>
  <c r="AM24" i="13" s="1"/>
  <c r="AL601" i="13"/>
  <c r="AK601" i="13"/>
  <c r="AM601" i="13" s="1"/>
  <c r="AO549" i="13"/>
  <c r="AL549" i="13"/>
  <c r="AK549" i="13"/>
  <c r="AM549" i="13" s="1"/>
  <c r="AL544" i="13"/>
  <c r="AK544" i="13"/>
  <c r="AM544" i="13" s="1"/>
  <c r="AL537" i="13"/>
  <c r="AK537" i="13"/>
  <c r="AM537" i="13" s="1"/>
  <c r="AK533" i="13"/>
  <c r="AM533" i="13" s="1"/>
  <c r="AL533" i="13"/>
  <c r="AL529" i="13"/>
  <c r="AK529" i="13"/>
  <c r="AM529" i="13" s="1"/>
  <c r="AL525" i="13"/>
  <c r="AK525" i="13"/>
  <c r="AM525" i="13" s="1"/>
  <c r="AL501" i="13"/>
  <c r="AK501" i="13"/>
  <c r="AM501" i="13" s="1"/>
  <c r="AL497" i="13"/>
  <c r="AK497" i="13"/>
  <c r="AM497" i="13" s="1"/>
  <c r="AK493" i="13"/>
  <c r="AM493" i="13" s="1"/>
  <c r="AL493" i="13"/>
  <c r="AK489" i="13"/>
  <c r="AM489" i="13" s="1"/>
  <c r="AL489" i="13"/>
  <c r="AL485" i="13"/>
  <c r="AK485" i="13"/>
  <c r="AM485" i="13" s="1"/>
  <c r="AL481" i="13"/>
  <c r="AK481" i="13"/>
  <c r="AM481" i="13" s="1"/>
  <c r="AL477" i="13"/>
  <c r="AK477" i="13"/>
  <c r="AM477" i="13" s="1"/>
  <c r="AK473" i="13"/>
  <c r="AM473" i="13" s="1"/>
  <c r="AL473" i="13"/>
  <c r="AL469" i="13"/>
  <c r="AK469" i="13"/>
  <c r="AM469" i="13" s="1"/>
  <c r="AL465" i="13"/>
  <c r="AK465" i="13"/>
  <c r="AM465" i="13" s="1"/>
  <c r="AL461" i="13"/>
  <c r="AK461" i="13"/>
  <c r="AM461" i="13" s="1"/>
  <c r="AL431" i="13"/>
  <c r="AK431" i="13"/>
  <c r="AM431" i="13" s="1"/>
  <c r="AK409" i="13"/>
  <c r="AM409" i="13" s="1"/>
  <c r="AL409" i="13"/>
  <c r="AK405" i="13"/>
  <c r="AM405" i="13" s="1"/>
  <c r="AL405" i="13"/>
  <c r="AL401" i="13"/>
  <c r="AK401" i="13"/>
  <c r="AM401" i="13" s="1"/>
  <c r="AL397" i="13"/>
  <c r="AK397" i="13"/>
  <c r="AM397" i="13" s="1"/>
  <c r="AL393" i="13"/>
  <c r="AK393" i="13"/>
  <c r="AM393" i="13" s="1"/>
  <c r="AK389" i="13"/>
  <c r="AM389" i="13" s="1"/>
  <c r="AL389" i="13"/>
  <c r="AL386" i="13"/>
  <c r="AK386" i="13"/>
  <c r="AM386" i="13" s="1"/>
  <c r="AL382" i="13"/>
  <c r="AK382" i="13"/>
  <c r="AM382" i="13" s="1"/>
  <c r="AL375" i="13"/>
  <c r="AK375" i="13"/>
  <c r="AM375" i="13" s="1"/>
  <c r="AK371" i="13"/>
  <c r="AM371" i="13" s="1"/>
  <c r="AL371" i="13"/>
  <c r="AL367" i="13"/>
  <c r="AK367" i="13"/>
  <c r="AM367" i="13" s="1"/>
  <c r="AL27" i="13"/>
  <c r="AK27" i="13"/>
  <c r="AM27" i="13" s="1"/>
  <c r="AL23" i="13"/>
  <c r="AK23" i="13"/>
  <c r="AM23" i="13" s="1"/>
  <c r="AL602" i="13"/>
  <c r="AK602" i="13"/>
  <c r="AM602" i="13" s="1"/>
  <c r="AO546" i="13"/>
  <c r="AL546" i="13"/>
  <c r="AK546" i="13"/>
  <c r="AM546" i="13" s="1"/>
  <c r="AL538" i="13"/>
  <c r="AK538" i="13"/>
  <c r="AM538" i="13" s="1"/>
  <c r="AL530" i="13"/>
  <c r="AK530" i="13"/>
  <c r="AM530" i="13" s="1"/>
  <c r="AL502" i="13"/>
  <c r="AK502" i="13"/>
  <c r="AM502" i="13" s="1"/>
  <c r="AL494" i="13"/>
  <c r="AK494" i="13"/>
  <c r="AM494" i="13" s="1"/>
  <c r="AL486" i="13"/>
  <c r="AK486" i="13"/>
  <c r="AM486" i="13" s="1"/>
  <c r="AL474" i="13"/>
  <c r="AK474" i="13"/>
  <c r="AM474" i="13" s="1"/>
  <c r="AL466" i="13"/>
  <c r="AK466" i="13"/>
  <c r="AM466" i="13" s="1"/>
  <c r="AL422" i="13"/>
  <c r="AK422" i="13"/>
  <c r="AM422" i="13" s="1"/>
  <c r="AL402" i="13"/>
  <c r="AK402" i="13"/>
  <c r="AM402" i="13" s="1"/>
  <c r="AL394" i="13"/>
  <c r="AK394" i="13"/>
  <c r="AM394" i="13" s="1"/>
  <c r="AL383" i="13"/>
  <c r="AK383" i="13"/>
  <c r="AM383" i="13" s="1"/>
  <c r="AK600" i="13"/>
  <c r="AM600" i="13" s="1"/>
  <c r="AL600" i="13"/>
  <c r="AL598" i="13"/>
  <c r="AK598" i="13"/>
  <c r="AM598" i="13" s="1"/>
  <c r="AO548" i="13"/>
  <c r="AK548" i="13"/>
  <c r="AM548" i="13" s="1"/>
  <c r="AL548" i="13"/>
  <c r="AL543" i="13"/>
  <c r="AK543" i="13"/>
  <c r="AM543" i="13" s="1"/>
  <c r="AL536" i="13"/>
  <c r="AK536" i="13"/>
  <c r="AM536" i="13" s="1"/>
  <c r="AL532" i="13"/>
  <c r="AK532" i="13"/>
  <c r="AM532" i="13" s="1"/>
  <c r="AL528" i="13"/>
  <c r="AK528" i="13"/>
  <c r="AM528" i="13" s="1"/>
  <c r="AL524" i="13"/>
  <c r="AK524" i="13"/>
  <c r="AM524" i="13" s="1"/>
  <c r="AL500" i="13"/>
  <c r="AK500" i="13"/>
  <c r="AM500" i="13" s="1"/>
  <c r="AL496" i="13"/>
  <c r="AK496" i="13"/>
  <c r="AM496" i="13" s="1"/>
  <c r="AL492" i="13"/>
  <c r="AK492" i="13"/>
  <c r="AM492" i="13" s="1"/>
  <c r="AL488" i="13"/>
  <c r="AK488" i="13"/>
  <c r="AM488" i="13" s="1"/>
  <c r="AL484" i="13"/>
  <c r="AK484" i="13"/>
  <c r="AM484" i="13" s="1"/>
  <c r="AL480" i="13"/>
  <c r="AK480" i="13"/>
  <c r="AM480" i="13" s="1"/>
  <c r="AL476" i="13"/>
  <c r="AK476" i="13"/>
  <c r="AM476" i="13" s="1"/>
  <c r="AL472" i="13"/>
  <c r="AK472" i="13"/>
  <c r="AM472" i="13" s="1"/>
  <c r="AL468" i="13"/>
  <c r="AK468" i="13"/>
  <c r="AM468" i="13" s="1"/>
  <c r="AL464" i="13"/>
  <c r="AK464" i="13"/>
  <c r="AM464" i="13" s="1"/>
  <c r="AL458" i="13"/>
  <c r="AK458" i="13"/>
  <c r="AM458" i="13" s="1"/>
  <c r="AL446" i="13"/>
  <c r="AK446" i="13"/>
  <c r="AM446" i="13" s="1"/>
  <c r="AL430" i="13"/>
  <c r="AK430" i="13"/>
  <c r="AM430" i="13" s="1"/>
  <c r="AL408" i="13"/>
  <c r="AK408" i="13"/>
  <c r="AM408" i="13" s="1"/>
  <c r="AL404" i="13"/>
  <c r="AK404" i="13"/>
  <c r="AM404" i="13" s="1"/>
  <c r="AL400" i="13"/>
  <c r="AK400" i="13"/>
  <c r="AM400" i="13" s="1"/>
  <c r="AL396" i="13"/>
  <c r="AK396" i="13"/>
  <c r="AM396" i="13" s="1"/>
  <c r="AL392" i="13"/>
  <c r="AK392" i="13"/>
  <c r="AM392" i="13" s="1"/>
  <c r="AL388" i="13"/>
  <c r="AK388" i="13"/>
  <c r="AM388" i="13" s="1"/>
  <c r="AL385" i="13"/>
  <c r="AK385" i="13"/>
  <c r="AM385" i="13" s="1"/>
  <c r="AL381" i="13"/>
  <c r="AK381" i="13"/>
  <c r="AM381" i="13" s="1"/>
  <c r="AL378" i="13"/>
  <c r="AK378" i="13"/>
  <c r="AM378" i="13" s="1"/>
  <c r="AL374" i="13"/>
  <c r="AK374" i="13"/>
  <c r="AM374" i="13" s="1"/>
  <c r="AL370" i="13"/>
  <c r="AK370" i="13"/>
  <c r="AM370" i="13" s="1"/>
  <c r="AL363" i="13"/>
  <c r="AK363" i="13"/>
  <c r="AM363" i="13" s="1"/>
  <c r="AL30" i="13"/>
  <c r="AK30" i="13"/>
  <c r="AM30" i="13" s="1"/>
  <c r="AL603" i="13"/>
  <c r="AK603" i="13"/>
  <c r="AM603" i="13" s="1"/>
  <c r="AL599" i="13"/>
  <c r="AK599" i="13"/>
  <c r="AM599" i="13" s="1"/>
  <c r="AO547" i="13"/>
  <c r="AL547" i="13"/>
  <c r="AK547" i="13"/>
  <c r="AM547" i="13" s="1"/>
  <c r="AL542" i="13"/>
  <c r="AK542" i="13"/>
  <c r="AM542" i="13" s="1"/>
  <c r="AL539" i="13"/>
  <c r="AK539" i="13"/>
  <c r="AM539" i="13" s="1"/>
  <c r="AL535" i="13"/>
  <c r="AK535" i="13"/>
  <c r="AM535" i="13" s="1"/>
  <c r="AL531" i="13"/>
  <c r="AK531" i="13"/>
  <c r="AM531" i="13" s="1"/>
  <c r="AL527" i="13"/>
  <c r="AK527" i="13"/>
  <c r="AM527" i="13" s="1"/>
  <c r="AL503" i="13"/>
  <c r="AK503" i="13"/>
  <c r="AM503" i="13" s="1"/>
  <c r="AL499" i="13"/>
  <c r="AK499" i="13"/>
  <c r="AM499" i="13" s="1"/>
  <c r="AL495" i="13"/>
  <c r="AK495" i="13"/>
  <c r="AM495" i="13" s="1"/>
  <c r="AL491" i="13"/>
  <c r="AK491" i="13"/>
  <c r="AM491" i="13" s="1"/>
  <c r="AL487" i="13"/>
  <c r="AK487" i="13"/>
  <c r="AM487" i="13" s="1"/>
  <c r="AL483" i="13"/>
  <c r="AK483" i="13"/>
  <c r="AM483" i="13" s="1"/>
  <c r="AL479" i="13"/>
  <c r="AK479" i="13"/>
  <c r="AM479" i="13" s="1"/>
  <c r="AL475" i="13"/>
  <c r="AK475" i="13"/>
  <c r="AM475" i="13" s="1"/>
  <c r="AL471" i="13"/>
  <c r="AK471" i="13"/>
  <c r="AM471" i="13" s="1"/>
  <c r="AL467" i="13"/>
  <c r="AK467" i="13"/>
  <c r="AM467" i="13" s="1"/>
  <c r="AL463" i="13"/>
  <c r="AK463" i="13"/>
  <c r="AM463" i="13" s="1"/>
  <c r="AL433" i="13"/>
  <c r="AK433" i="13"/>
  <c r="AM433" i="13" s="1"/>
  <c r="AL429" i="13"/>
  <c r="AK429" i="13"/>
  <c r="AM429" i="13" s="1"/>
  <c r="AL407" i="13"/>
  <c r="AK407" i="13"/>
  <c r="AM407" i="13" s="1"/>
  <c r="AL403" i="13"/>
  <c r="AK403" i="13"/>
  <c r="AM403" i="13" s="1"/>
  <c r="AL399" i="13"/>
  <c r="AK399" i="13"/>
  <c r="AM399" i="13" s="1"/>
  <c r="AL395" i="13"/>
  <c r="AK395" i="13"/>
  <c r="AM395" i="13" s="1"/>
  <c r="AL391" i="13"/>
  <c r="AK391" i="13"/>
  <c r="AM391" i="13" s="1"/>
  <c r="AL387" i="13"/>
  <c r="AK387" i="13"/>
  <c r="AM387" i="13" s="1"/>
  <c r="AL384" i="13"/>
  <c r="AK384" i="13"/>
  <c r="AM384" i="13" s="1"/>
  <c r="AL380" i="13"/>
  <c r="AK380" i="13"/>
  <c r="AM380" i="13" s="1"/>
  <c r="AL377" i="13"/>
  <c r="AK377" i="13"/>
  <c r="AM377" i="13" s="1"/>
  <c r="AL373" i="13"/>
  <c r="AK373" i="13"/>
  <c r="AM373" i="13" s="1"/>
  <c r="AL369" i="13"/>
  <c r="AK369" i="13"/>
  <c r="AM369" i="13" s="1"/>
  <c r="AL29" i="13"/>
  <c r="AK29" i="13"/>
  <c r="AM29" i="13" s="1"/>
  <c r="AL25" i="13"/>
  <c r="AK25" i="13"/>
  <c r="AM25" i="13" s="1"/>
  <c r="T545" i="13"/>
  <c r="T364" i="13"/>
  <c r="T366" i="13"/>
  <c r="T482" i="13"/>
  <c r="AO536" i="13"/>
  <c r="AO524" i="13"/>
  <c r="AO492" i="13"/>
  <c r="AO480" i="13"/>
  <c r="AO468" i="13"/>
  <c r="AO458" i="13"/>
  <c r="AO408" i="13"/>
  <c r="AO396" i="13"/>
  <c r="AO388" i="13"/>
  <c r="AO378" i="13"/>
  <c r="AO363" i="13"/>
  <c r="AO603" i="13"/>
  <c r="AO599" i="13"/>
  <c r="AO542" i="13"/>
  <c r="AO539" i="13"/>
  <c r="AO535" i="13"/>
  <c r="AO531" i="13"/>
  <c r="AO527" i="13"/>
  <c r="AO503" i="13"/>
  <c r="AO499" i="13"/>
  <c r="AO495" i="13"/>
  <c r="AO491" i="13"/>
  <c r="AO487" i="13"/>
  <c r="AO483" i="13"/>
  <c r="AO479" i="13"/>
  <c r="AO475" i="13"/>
  <c r="AO471" i="13"/>
  <c r="AO467" i="13"/>
  <c r="AO463" i="13"/>
  <c r="AO433" i="13"/>
  <c r="AO429" i="13"/>
  <c r="AO407" i="13"/>
  <c r="AO403" i="13"/>
  <c r="AO399" i="13"/>
  <c r="AO395" i="13"/>
  <c r="AO391" i="13"/>
  <c r="AO387" i="13"/>
  <c r="AO384" i="13"/>
  <c r="AO380" i="13"/>
  <c r="AO377" i="13"/>
  <c r="AO373" i="13"/>
  <c r="AO369" i="13"/>
  <c r="AO29" i="13"/>
  <c r="AO25" i="13"/>
  <c r="AO600" i="13"/>
  <c r="AO543" i="13"/>
  <c r="AO528" i="13"/>
  <c r="AO496" i="13"/>
  <c r="AO484" i="13"/>
  <c r="AO472" i="13"/>
  <c r="AO446" i="13"/>
  <c r="AO400" i="13"/>
  <c r="AO385" i="13"/>
  <c r="AO374" i="13"/>
  <c r="AO602" i="13"/>
  <c r="AO538" i="13"/>
  <c r="AO534" i="13"/>
  <c r="AO530" i="13"/>
  <c r="AO526" i="13"/>
  <c r="AO502" i="13"/>
  <c r="AO498" i="13"/>
  <c r="AO494" i="13"/>
  <c r="AO490" i="13"/>
  <c r="AO486" i="13"/>
  <c r="AO482" i="13"/>
  <c r="AO478" i="13"/>
  <c r="AO474" i="13"/>
  <c r="AO470" i="13"/>
  <c r="AO466" i="13"/>
  <c r="AO462" i="13"/>
  <c r="AO422" i="13"/>
  <c r="AO406" i="13"/>
  <c r="AO402" i="13"/>
  <c r="AO398" i="13"/>
  <c r="AO394" i="13"/>
  <c r="AO390" i="13"/>
  <c r="AO383" i="13"/>
  <c r="AO379" i="13"/>
  <c r="AO376" i="13"/>
  <c r="AO372" i="13"/>
  <c r="AO368" i="13"/>
  <c r="AO28" i="13"/>
  <c r="AO24" i="13"/>
  <c r="AO598" i="13"/>
  <c r="AO532" i="13"/>
  <c r="AO500" i="13"/>
  <c r="AO488" i="13"/>
  <c r="AO476" i="13"/>
  <c r="AO464" i="13"/>
  <c r="AO430" i="13"/>
  <c r="AO404" i="13"/>
  <c r="AO392" i="13"/>
  <c r="AO381" i="13"/>
  <c r="AO370" i="13"/>
  <c r="AO30" i="13"/>
  <c r="AO601" i="13"/>
  <c r="AO544" i="13"/>
  <c r="AO537" i="13"/>
  <c r="AO533" i="13"/>
  <c r="AO529" i="13"/>
  <c r="AO525" i="13"/>
  <c r="AO501" i="13"/>
  <c r="AO497" i="13"/>
  <c r="AO493" i="13"/>
  <c r="AO489" i="13"/>
  <c r="AO485" i="13"/>
  <c r="AO481" i="13"/>
  <c r="AO477" i="13"/>
  <c r="AO473" i="13"/>
  <c r="AO469" i="13"/>
  <c r="AO465" i="13"/>
  <c r="AO461" i="13"/>
  <c r="AO431" i="13"/>
  <c r="AO409" i="13"/>
  <c r="AO405" i="13"/>
  <c r="AO401" i="13"/>
  <c r="AO397" i="13"/>
  <c r="AO393" i="13"/>
  <c r="AO389" i="13"/>
  <c r="AO386" i="13"/>
  <c r="AO382" i="13"/>
  <c r="AO375" i="13"/>
  <c r="AO371" i="13"/>
  <c r="AO367" i="13"/>
  <c r="AO27" i="13"/>
  <c r="AO23" i="13"/>
  <c r="T538" i="13"/>
  <c r="T502" i="13"/>
  <c r="T486" i="13"/>
  <c r="T534" i="13"/>
  <c r="T498" i="13"/>
  <c r="T21" i="13"/>
  <c r="T25" i="13"/>
  <c r="T29" i="13"/>
  <c r="T369" i="13"/>
  <c r="T373" i="13"/>
  <c r="T377" i="13"/>
  <c r="T380" i="13"/>
  <c r="T384" i="13"/>
  <c r="T387" i="13"/>
  <c r="T391" i="13"/>
  <c r="T395" i="13"/>
  <c r="T399" i="13"/>
  <c r="T403" i="13"/>
  <c r="T407" i="13"/>
  <c r="T429" i="13"/>
  <c r="T433" i="13"/>
  <c r="T463" i="13"/>
  <c r="T467" i="13"/>
  <c r="T471" i="13"/>
  <c r="T475" i="13"/>
  <c r="T479" i="13"/>
  <c r="T483" i="13"/>
  <c r="T487" i="13"/>
  <c r="T491" i="13"/>
  <c r="T495" i="13"/>
  <c r="T499" i="13"/>
  <c r="T503" i="13"/>
  <c r="T527" i="13"/>
  <c r="T531" i="13"/>
  <c r="T535" i="13"/>
  <c r="T539" i="13"/>
  <c r="T542" i="13"/>
  <c r="T547" i="13"/>
  <c r="T597" i="13"/>
  <c r="T603" i="13"/>
  <c r="T22" i="13"/>
  <c r="T26" i="13"/>
  <c r="T30" i="13"/>
  <c r="T363" i="13"/>
  <c r="T370" i="13"/>
  <c r="T374" i="13"/>
  <c r="T378" i="13"/>
  <c r="T381" i="13"/>
  <c r="T385" i="13"/>
  <c r="T388" i="13"/>
  <c r="T392" i="13"/>
  <c r="T396" i="13"/>
  <c r="T400" i="13"/>
  <c r="T404" i="13"/>
  <c r="T408" i="13"/>
  <c r="T430" i="13"/>
  <c r="T446" i="13"/>
  <c r="T458" i="13"/>
  <c r="T464" i="13"/>
  <c r="T468" i="13"/>
  <c r="T472" i="13"/>
  <c r="T476" i="13"/>
  <c r="T480" i="13"/>
  <c r="T484" i="13"/>
  <c r="T488" i="13"/>
  <c r="T492" i="13"/>
  <c r="T496" i="13"/>
  <c r="T500" i="13"/>
  <c r="T524" i="13"/>
  <c r="T528" i="13"/>
  <c r="T532" i="13"/>
  <c r="T536" i="13"/>
  <c r="T543" i="13"/>
  <c r="T548" i="13"/>
  <c r="T598" i="13"/>
  <c r="T600" i="13"/>
  <c r="T6" i="13"/>
  <c r="T23" i="13"/>
  <c r="T27" i="13"/>
  <c r="T367" i="13"/>
  <c r="T371" i="13"/>
  <c r="T375" i="13"/>
  <c r="T382" i="13"/>
  <c r="T386" i="13"/>
  <c r="T389" i="13"/>
  <c r="T393" i="13"/>
  <c r="T397" i="13"/>
  <c r="T401" i="13"/>
  <c r="T405" i="13"/>
  <c r="T409" i="13"/>
  <c r="T431" i="13"/>
  <c r="T461" i="13"/>
  <c r="T465" i="13"/>
  <c r="T469" i="13"/>
  <c r="T473" i="13"/>
  <c r="T477" i="13"/>
  <c r="T481" i="13"/>
  <c r="T485" i="13"/>
  <c r="T489" i="13"/>
  <c r="T493" i="13"/>
  <c r="T497" i="13"/>
  <c r="T501" i="13"/>
  <c r="T525" i="13"/>
  <c r="T529" i="13"/>
  <c r="T533" i="13"/>
  <c r="T537" i="13"/>
  <c r="T544" i="13"/>
  <c r="T549" i="13"/>
  <c r="T601" i="13"/>
  <c r="T7" i="13"/>
  <c r="T24" i="13"/>
  <c r="T28" i="13"/>
  <c r="T368" i="13"/>
  <c r="T372" i="13"/>
  <c r="T376" i="13"/>
  <c r="T379" i="13"/>
  <c r="T383" i="13"/>
  <c r="T390" i="13"/>
  <c r="T394" i="13"/>
  <c r="T398" i="13"/>
  <c r="T402" i="13"/>
  <c r="T406" i="13"/>
  <c r="T422" i="13"/>
  <c r="T432" i="13"/>
  <c r="T462" i="13"/>
  <c r="T466" i="13"/>
  <c r="T470" i="13"/>
  <c r="T546" i="13"/>
  <c r="T530" i="13"/>
  <c r="T494" i="13"/>
  <c r="T478" i="13"/>
  <c r="T602" i="13"/>
  <c r="T526" i="13"/>
  <c r="T490" i="13"/>
  <c r="T474" i="13"/>
  <c r="DH2" i="4" l="1"/>
  <c r="DH4" i="4"/>
  <c r="DI3" i="4"/>
  <c r="AO432" i="13"/>
  <c r="AK432" i="13"/>
  <c r="AM432" i="13" s="1"/>
  <c r="AO6" i="13"/>
  <c r="AL22" i="13"/>
  <c r="AK597" i="13"/>
  <c r="AM597" i="13" s="1"/>
  <c r="AO597" i="13"/>
  <c r="AO22" i="13"/>
  <c r="AL6" i="13"/>
  <c r="AO21" i="13"/>
  <c r="AK21" i="13"/>
  <c r="AM21" i="13" s="1"/>
  <c r="AK7" i="13"/>
  <c r="AM7" i="13" s="1"/>
  <c r="AO7" i="13"/>
  <c r="AK4" i="13"/>
  <c r="AM4" i="13" s="1"/>
  <c r="AO4" i="13"/>
  <c r="AL4" i="13"/>
  <c r="AO26" i="13"/>
  <c r="AK26" i="13"/>
  <c r="AM26" i="13" s="1"/>
  <c r="AN82" i="13"/>
  <c r="AK82" i="13"/>
  <c r="AM82" i="13" s="1"/>
  <c r="AL82" i="13"/>
  <c r="AN81" i="13"/>
  <c r="AK81" i="13"/>
  <c r="AM81" i="13" s="1"/>
  <c r="AL81" i="13"/>
  <c r="AM35" i="61"/>
  <c r="B34" i="61"/>
  <c r="AM32" i="61"/>
  <c r="B31" i="61"/>
  <c r="AM29" i="61"/>
  <c r="B28" i="61"/>
  <c r="AM26" i="61"/>
  <c r="B25" i="61"/>
  <c r="AM23" i="61"/>
  <c r="B22" i="61"/>
  <c r="DI4" i="4" l="1"/>
  <c r="DI2" i="4"/>
  <c r="DJ3" i="4"/>
  <c r="AM20" i="61"/>
  <c r="B19" i="61"/>
  <c r="DK3" i="4" l="1"/>
  <c r="DJ2" i="4"/>
  <c r="DJ4" i="4"/>
  <c r="AN2" i="61"/>
  <c r="AM17" i="61"/>
  <c r="B16" i="61"/>
  <c r="AM14" i="61"/>
  <c r="B13" i="61"/>
  <c r="AM11" i="61"/>
  <c r="B10" i="61"/>
  <c r="AM8" i="61"/>
  <c r="B7" i="61"/>
  <c r="AM5" i="61"/>
  <c r="B4" i="61"/>
  <c r="B2" i="61"/>
  <c r="DK4" i="4" l="1"/>
  <c r="DL3" i="4"/>
  <c r="DK2" i="4"/>
  <c r="H41" i="6"/>
  <c r="H42" i="6"/>
  <c r="H43" i="6"/>
  <c r="DL4" i="4" l="1"/>
  <c r="DM3" i="4"/>
  <c r="DL2" i="4"/>
  <c r="E7" i="10"/>
  <c r="F7" i="10" s="1"/>
  <c r="K31" i="5"/>
  <c r="K32" i="5"/>
  <c r="K33" i="5"/>
  <c r="K34" i="5"/>
  <c r="K35" i="5"/>
  <c r="K36" i="5"/>
  <c r="K37" i="5"/>
  <c r="K38" i="5"/>
  <c r="K39" i="5"/>
  <c r="K40" i="5"/>
  <c r="L41" i="5" s="1"/>
  <c r="K41" i="5"/>
  <c r="K30" i="5"/>
  <c r="M41" i="5"/>
  <c r="DM4" i="4" l="1"/>
  <c r="DN3" i="4"/>
  <c r="DM2" i="4"/>
  <c r="L31" i="5"/>
  <c r="L40" i="5"/>
  <c r="L39" i="5"/>
  <c r="L38" i="5"/>
  <c r="L37" i="5"/>
  <c r="L32" i="5"/>
  <c r="L33" i="5"/>
  <c r="L34" i="5"/>
  <c r="L35" i="5"/>
  <c r="L36" i="5"/>
  <c r="B18" i="4"/>
  <c r="DO3" i="4" l="1"/>
  <c r="DN2" i="4"/>
  <c r="DN4" i="4"/>
  <c r="AN4" i="61"/>
  <c r="C18" i="4"/>
  <c r="B17" i="4"/>
  <c r="A18" i="4"/>
  <c r="DP3" i="4" l="1"/>
  <c r="DO2" i="4"/>
  <c r="DO4" i="4"/>
  <c r="C17" i="4"/>
  <c r="B16" i="4"/>
  <c r="A17" i="4"/>
  <c r="DP4" i="4" l="1"/>
  <c r="DP2" i="4"/>
  <c r="DQ3" i="4"/>
  <c r="AN7" i="61"/>
  <c r="B15" i="4"/>
  <c r="A16" i="4"/>
  <c r="C16" i="4"/>
  <c r="DQ2" i="4" l="1"/>
  <c r="DR3" i="4"/>
  <c r="DQ4" i="4"/>
  <c r="C15" i="4"/>
  <c r="A15" i="4"/>
  <c r="B14" i="4"/>
  <c r="DS3" i="4" l="1"/>
  <c r="DR2" i="4"/>
  <c r="DR4" i="4"/>
  <c r="A14" i="4"/>
  <c r="B13" i="4"/>
  <c r="C14" i="4"/>
  <c r="DS4" i="4" l="1"/>
  <c r="DT3" i="4"/>
  <c r="DS2" i="4"/>
  <c r="C13" i="4"/>
  <c r="A13" i="4"/>
  <c r="DU3" i="4" l="1"/>
  <c r="DT4" i="4"/>
  <c r="DT2" i="4"/>
  <c r="A341" i="60"/>
  <c r="A342" i="60"/>
  <c r="A343" i="60"/>
  <c r="A344" i="60"/>
  <c r="A345" i="60" s="1"/>
  <c r="A346" i="60" s="1"/>
  <c r="A347" i="60" s="1"/>
  <c r="A348" i="60" s="1"/>
  <c r="A349" i="60" s="1"/>
  <c r="A350" i="60" s="1"/>
  <c r="A351" i="60" s="1"/>
  <c r="A352" i="60" s="1"/>
  <c r="A353" i="60" s="1"/>
  <c r="A354" i="60" s="1"/>
  <c r="A355" i="60" s="1"/>
  <c r="A356" i="60" s="1"/>
  <c r="A357" i="60" s="1"/>
  <c r="A358" i="60" s="1"/>
  <c r="A359" i="60" s="1"/>
  <c r="A360" i="60" s="1"/>
  <c r="A361" i="60" s="1"/>
  <c r="A362" i="60" s="1"/>
  <c r="A363" i="60" s="1"/>
  <c r="A364" i="60" s="1"/>
  <c r="A365" i="60" s="1"/>
  <c r="A366" i="60" s="1"/>
  <c r="A367" i="60" s="1"/>
  <c r="A368" i="60" s="1"/>
  <c r="A369" i="60" s="1"/>
  <c r="A370" i="60" s="1"/>
  <c r="A371" i="60" s="1"/>
  <c r="A372" i="60" s="1"/>
  <c r="A373" i="60" s="1"/>
  <c r="A374" i="60" s="1"/>
  <c r="A375" i="60" s="1"/>
  <c r="DU4" i="4" l="1"/>
  <c r="DV3" i="4"/>
  <c r="DU2" i="4"/>
  <c r="O34" i="61"/>
  <c r="Q34" i="61"/>
  <c r="DW3" i="4" l="1"/>
  <c r="DV2" i="4"/>
  <c r="DV4" i="4"/>
  <c r="AC35" i="61"/>
  <c r="U35" i="61"/>
  <c r="P34" i="61"/>
  <c r="AE35" i="61"/>
  <c r="N12" i="2" s="1"/>
  <c r="AA35" i="61"/>
  <c r="N34" i="61"/>
  <c r="J35" i="61"/>
  <c r="I34" i="61"/>
  <c r="I35" i="61"/>
  <c r="DX3" i="4" l="1"/>
  <c r="DW4" i="4"/>
  <c r="DW2" i="4"/>
  <c r="N28" i="2"/>
  <c r="N27" i="2"/>
  <c r="N13" i="2"/>
  <c r="N14" i="2" s="1"/>
  <c r="N45" i="2"/>
  <c r="N46" i="2"/>
  <c r="AO34" i="61"/>
  <c r="DX4" i="4" l="1"/>
  <c r="DX2" i="4"/>
  <c r="DY3" i="4"/>
  <c r="N29" i="2"/>
  <c r="N30" i="2" s="1"/>
  <c r="M5" i="2"/>
  <c r="DZ3" i="4" l="1"/>
  <c r="DY2" i="4"/>
  <c r="DY4" i="4"/>
  <c r="M7" i="2"/>
  <c r="M36" i="2"/>
  <c r="L19" i="5"/>
  <c r="E44" i="7"/>
  <c r="E18" i="7" s="1"/>
  <c r="EA3" i="4" l="1"/>
  <c r="DZ2" i="4"/>
  <c r="DZ4" i="4"/>
  <c r="D40" i="5"/>
  <c r="J20" i="6"/>
  <c r="K19" i="5"/>
  <c r="EA4" i="4" l="1"/>
  <c r="EA2" i="4"/>
  <c r="EB3" i="4"/>
  <c r="M12" i="2"/>
  <c r="A314" i="60"/>
  <c r="A315" i="60"/>
  <c r="A316" i="60" s="1"/>
  <c r="A317" i="60" s="1"/>
  <c r="A318" i="60" s="1"/>
  <c r="A319" i="60" s="1"/>
  <c r="A320" i="60" s="1"/>
  <c r="A321" i="60" s="1"/>
  <c r="A322" i="60" s="1"/>
  <c r="A323" i="60" s="1"/>
  <c r="A324" i="60" s="1"/>
  <c r="A325" i="60" s="1"/>
  <c r="A326" i="60" s="1"/>
  <c r="A327" i="60" s="1"/>
  <c r="A328" i="60" s="1"/>
  <c r="A329" i="60" s="1"/>
  <c r="A330" i="60" s="1"/>
  <c r="A331" i="60" s="1"/>
  <c r="A332" i="60" s="1"/>
  <c r="A333" i="60" s="1"/>
  <c r="A334" i="60" s="1"/>
  <c r="A335" i="60" s="1"/>
  <c r="A336" i="60" s="1"/>
  <c r="A337" i="60" s="1"/>
  <c r="A338" i="60" s="1"/>
  <c r="A339" i="60" s="1"/>
  <c r="A340" i="60" s="1"/>
  <c r="EB4" i="4" l="1"/>
  <c r="EB2" i="4"/>
  <c r="EC3" i="4"/>
  <c r="M28" i="2"/>
  <c r="M27" i="2"/>
  <c r="M13" i="2"/>
  <c r="M14" i="2" s="1"/>
  <c r="M46" i="2"/>
  <c r="M45" i="2"/>
  <c r="N46" i="7"/>
  <c r="ED3" i="4" l="1"/>
  <c r="EC2" i="4"/>
  <c r="EC4" i="4"/>
  <c r="M29" i="2"/>
  <c r="M30" i="2" s="1"/>
  <c r="T19" i="5"/>
  <c r="M40" i="5" s="1"/>
  <c r="G44" i="7"/>
  <c r="C116" i="3"/>
  <c r="C118" i="3" s="1"/>
  <c r="M20" i="6"/>
  <c r="EE3" i="4" l="1"/>
  <c r="ED2" i="4"/>
  <c r="ED4" i="4"/>
  <c r="N41" i="5"/>
  <c r="EE2" i="4" l="1"/>
  <c r="EF3" i="4"/>
  <c r="EE4" i="4"/>
  <c r="M16" i="2"/>
  <c r="M17" i="2"/>
  <c r="EF4" i="4" l="1"/>
  <c r="EG3" i="4"/>
  <c r="EF2" i="4"/>
  <c r="D116" i="3"/>
  <c r="F44" i="7"/>
  <c r="H44" i="7" s="1"/>
  <c r="EG4" i="4" l="1"/>
  <c r="EH3" i="4"/>
  <c r="EG2" i="4"/>
  <c r="A19" i="4"/>
  <c r="A118" i="60"/>
  <c r="A117" i="60"/>
  <c r="P20" i="5"/>
  <c r="M20" i="5"/>
  <c r="D63" i="5"/>
  <c r="H63" i="5" s="1"/>
  <c r="K20" i="5"/>
  <c r="J20" i="5"/>
  <c r="I20" i="5"/>
  <c r="H20" i="5"/>
  <c r="E20" i="5"/>
  <c r="E18" i="10"/>
  <c r="F18" i="10" s="1"/>
  <c r="Q19" i="5"/>
  <c r="J40" i="5" s="1"/>
  <c r="P19" i="5"/>
  <c r="N19" i="5"/>
  <c r="H40" i="5" s="1"/>
  <c r="M19" i="5"/>
  <c r="D62" i="5"/>
  <c r="J19" i="5"/>
  <c r="I19" i="5"/>
  <c r="H19" i="5"/>
  <c r="E19" i="5"/>
  <c r="E17" i="10"/>
  <c r="F17" i="10" s="1"/>
  <c r="E16" i="10"/>
  <c r="F16" i="10" s="1"/>
  <c r="E15" i="10"/>
  <c r="F15" i="10" s="1"/>
  <c r="E14" i="10"/>
  <c r="F14" i="10" s="1"/>
  <c r="E11" i="10"/>
  <c r="F11" i="10" s="1"/>
  <c r="D9" i="5"/>
  <c r="E32" i="10"/>
  <c r="F32" i="10" s="1"/>
  <c r="H19" i="10"/>
  <c r="G19" i="10"/>
  <c r="C35" i="7"/>
  <c r="C34" i="7"/>
  <c r="F44" i="6"/>
  <c r="C43" i="6"/>
  <c r="C42" i="6"/>
  <c r="C41" i="6"/>
  <c r="H40" i="6"/>
  <c r="C40" i="6"/>
  <c r="I40" i="6" s="1"/>
  <c r="H39" i="6"/>
  <c r="C39" i="6"/>
  <c r="I39" i="6" s="1"/>
  <c r="H38" i="6"/>
  <c r="C38" i="6"/>
  <c r="I38" i="6" s="1"/>
  <c r="H37" i="6"/>
  <c r="C37" i="6"/>
  <c r="I37" i="6" s="1"/>
  <c r="G36" i="6"/>
  <c r="H36" i="6" s="1"/>
  <c r="C36" i="6"/>
  <c r="I36" i="6" s="1"/>
  <c r="G35" i="6"/>
  <c r="H35" i="6" s="1"/>
  <c r="C35" i="6"/>
  <c r="L35" i="6" s="1"/>
  <c r="G34" i="6"/>
  <c r="H34" i="6" s="1"/>
  <c r="C34" i="6"/>
  <c r="I34" i="6" s="1"/>
  <c r="G33" i="6"/>
  <c r="H33" i="6" s="1"/>
  <c r="C33" i="6"/>
  <c r="L33" i="6" s="1"/>
  <c r="G32" i="6"/>
  <c r="H32" i="6" s="1"/>
  <c r="C32" i="6"/>
  <c r="I32" i="6" s="1"/>
  <c r="L22" i="6"/>
  <c r="I22" i="6"/>
  <c r="F22" i="6"/>
  <c r="C22" i="6"/>
  <c r="N20" i="6"/>
  <c r="G63" i="5"/>
  <c r="G62" i="5"/>
  <c r="G61" i="5"/>
  <c r="G60" i="5"/>
  <c r="G59" i="5"/>
  <c r="C59" i="5"/>
  <c r="G58" i="5"/>
  <c r="C58" i="5"/>
  <c r="G57" i="5"/>
  <c r="C57" i="5"/>
  <c r="G56" i="5"/>
  <c r="C56" i="5"/>
  <c r="G55" i="5"/>
  <c r="C55" i="5"/>
  <c r="G54" i="5"/>
  <c r="C54" i="5"/>
  <c r="G53" i="5"/>
  <c r="C53" i="5"/>
  <c r="C52" i="5"/>
  <c r="C41" i="5"/>
  <c r="C40" i="5"/>
  <c r="C39" i="5"/>
  <c r="C38" i="5"/>
  <c r="C37" i="5"/>
  <c r="C36" i="5"/>
  <c r="C35" i="5"/>
  <c r="C34" i="5"/>
  <c r="C33" i="5"/>
  <c r="C32" i="5"/>
  <c r="P31" i="5"/>
  <c r="C31" i="5"/>
  <c r="C30" i="5"/>
  <c r="B20" i="4"/>
  <c r="C19" i="4"/>
  <c r="EI3" i="4" l="1"/>
  <c r="EJ3" i="4" s="1"/>
  <c r="EH2" i="4"/>
  <c r="EH4" i="4"/>
  <c r="O19" i="5"/>
  <c r="AB23" i="61"/>
  <c r="N16" i="5" s="1"/>
  <c r="H37" i="5" s="1"/>
  <c r="D61" i="5"/>
  <c r="E62" i="5" s="1"/>
  <c r="P7" i="61"/>
  <c r="J11" i="5" s="1"/>
  <c r="P10" i="61"/>
  <c r="J12" i="5" s="1"/>
  <c r="P13" i="61"/>
  <c r="J13" i="5" s="1"/>
  <c r="P22" i="61"/>
  <c r="U23" i="61"/>
  <c r="U26" i="61"/>
  <c r="J23" i="61"/>
  <c r="J26" i="61"/>
  <c r="P25" i="61"/>
  <c r="U29" i="61"/>
  <c r="I43" i="6"/>
  <c r="L43" i="6"/>
  <c r="I42" i="6"/>
  <c r="L42" i="6"/>
  <c r="L41" i="6"/>
  <c r="I41" i="6"/>
  <c r="L40" i="6"/>
  <c r="J20" i="61"/>
  <c r="U20" i="61"/>
  <c r="P19" i="61"/>
  <c r="J15" i="5" s="1"/>
  <c r="L38" i="6"/>
  <c r="U17" i="61"/>
  <c r="J11" i="61"/>
  <c r="C42" i="3" s="1"/>
  <c r="U14" i="61"/>
  <c r="Z13" i="61"/>
  <c r="G5" i="2" s="1"/>
  <c r="J8" i="61"/>
  <c r="C31" i="3" s="1"/>
  <c r="C32" i="3" s="1"/>
  <c r="P16" i="61"/>
  <c r="J5" i="61"/>
  <c r="AB5" i="61"/>
  <c r="N10" i="5" s="1"/>
  <c r="H31" i="5" s="1"/>
  <c r="U11" i="61"/>
  <c r="J14" i="61"/>
  <c r="C53" i="3" s="1"/>
  <c r="AB14" i="61"/>
  <c r="N13" i="5" s="1"/>
  <c r="H34" i="5" s="1"/>
  <c r="J17" i="61"/>
  <c r="L37" i="6"/>
  <c r="O4" i="61"/>
  <c r="P4" i="61"/>
  <c r="Z4" i="61"/>
  <c r="D5" i="2" s="1"/>
  <c r="AJ5" i="61"/>
  <c r="D16" i="2" s="1"/>
  <c r="I4" i="61"/>
  <c r="I5" i="61"/>
  <c r="AA5" i="61"/>
  <c r="I33" i="6"/>
  <c r="D15" i="6"/>
  <c r="E15" i="6" s="1"/>
  <c r="E12" i="10"/>
  <c r="F12" i="10" s="1"/>
  <c r="P2" i="61"/>
  <c r="J9" i="5" s="1"/>
  <c r="AA3" i="61"/>
  <c r="M9" i="5" s="1"/>
  <c r="J52" i="5" s="1"/>
  <c r="D13" i="6"/>
  <c r="E13" i="6" s="1"/>
  <c r="E10" i="10"/>
  <c r="F10" i="10" s="1"/>
  <c r="D16" i="6"/>
  <c r="E16" i="6" s="1"/>
  <c r="E13" i="10"/>
  <c r="F13" i="10" s="1"/>
  <c r="J3" i="61"/>
  <c r="C9" i="3" s="1"/>
  <c r="C10" i="3" s="1"/>
  <c r="AB3" i="61"/>
  <c r="N9" i="5" s="1"/>
  <c r="H30" i="5" s="1"/>
  <c r="D11" i="6"/>
  <c r="E11" i="6" s="1"/>
  <c r="E8" i="10"/>
  <c r="D11" i="5"/>
  <c r="E9" i="10"/>
  <c r="F9" i="10" s="1"/>
  <c r="J63" i="5"/>
  <c r="F41" i="5"/>
  <c r="U19" i="5"/>
  <c r="F40" i="5"/>
  <c r="J62" i="5"/>
  <c r="H62" i="5"/>
  <c r="E63" i="5"/>
  <c r="F28" i="10"/>
  <c r="F30" i="10"/>
  <c r="F31" i="10"/>
  <c r="D20" i="5"/>
  <c r="D21" i="6"/>
  <c r="E21" i="6" s="1"/>
  <c r="G45" i="7"/>
  <c r="M21" i="6"/>
  <c r="N21" i="6" s="1"/>
  <c r="D20" i="6"/>
  <c r="E20" i="6" s="1"/>
  <c r="D19" i="5"/>
  <c r="F19" i="5"/>
  <c r="C130" i="3"/>
  <c r="C132" i="3" s="1"/>
  <c r="F20" i="5"/>
  <c r="G21" i="6"/>
  <c r="S19" i="5"/>
  <c r="C127" i="3"/>
  <c r="C129" i="3" s="1"/>
  <c r="I23" i="61"/>
  <c r="C114" i="3"/>
  <c r="K20" i="6"/>
  <c r="G20" i="6"/>
  <c r="C119" i="3"/>
  <c r="AJ3" i="61"/>
  <c r="D18" i="5"/>
  <c r="D19" i="6"/>
  <c r="E19" i="6" s="1"/>
  <c r="D17" i="5"/>
  <c r="D18" i="6"/>
  <c r="E18" i="6" s="1"/>
  <c r="D12" i="5"/>
  <c r="C20" i="4"/>
  <c r="D10" i="5"/>
  <c r="D12" i="6"/>
  <c r="E12" i="6" s="1"/>
  <c r="D10" i="6"/>
  <c r="E10" i="6" s="1"/>
  <c r="D17" i="6"/>
  <c r="E17" i="6" s="1"/>
  <c r="D13" i="5"/>
  <c r="D14" i="6"/>
  <c r="E14" i="6" s="1"/>
  <c r="D14" i="5"/>
  <c r="D16" i="5"/>
  <c r="D15" i="5"/>
  <c r="A20" i="4"/>
  <c r="L34" i="6"/>
  <c r="I35" i="6"/>
  <c r="L39" i="6"/>
  <c r="B21" i="4"/>
  <c r="L32" i="6"/>
  <c r="L36" i="6"/>
  <c r="C44" i="6"/>
  <c r="G44" i="6"/>
  <c r="H44" i="6" s="1"/>
  <c r="F29" i="10"/>
  <c r="A119" i="60"/>
  <c r="EJ4" i="4" l="1"/>
  <c r="EJ2" i="4"/>
  <c r="EK3" i="4"/>
  <c r="EI4" i="4"/>
  <c r="EI2" i="4"/>
  <c r="C54" i="3"/>
  <c r="C55" i="3"/>
  <c r="M10" i="5"/>
  <c r="F31" i="5" s="1"/>
  <c r="D36" i="2"/>
  <c r="D7" i="2"/>
  <c r="D6" i="3"/>
  <c r="C16" i="2"/>
  <c r="G36" i="2"/>
  <c r="G7" i="2"/>
  <c r="C43" i="3"/>
  <c r="C44" i="3"/>
  <c r="F35" i="7"/>
  <c r="D17" i="3"/>
  <c r="C11" i="3"/>
  <c r="C64" i="3"/>
  <c r="F10" i="5"/>
  <c r="D53" i="5" s="1"/>
  <c r="H53" i="5" s="1"/>
  <c r="C20" i="3"/>
  <c r="C33" i="3"/>
  <c r="J36" i="61"/>
  <c r="I44" i="6"/>
  <c r="E9" i="7"/>
  <c r="AB20" i="61"/>
  <c r="N15" i="5" s="1"/>
  <c r="L5" i="2"/>
  <c r="I25" i="61"/>
  <c r="E17" i="5" s="1"/>
  <c r="N18" i="5"/>
  <c r="H39" i="5" s="1"/>
  <c r="AA23" i="61"/>
  <c r="M16" i="5" s="1"/>
  <c r="O16" i="5" s="1"/>
  <c r="Z22" i="61"/>
  <c r="J5" i="2" s="1"/>
  <c r="AB26" i="61"/>
  <c r="N17" i="5" s="1"/>
  <c r="H38" i="5" s="1"/>
  <c r="I38" i="5" s="1"/>
  <c r="I26" i="61"/>
  <c r="AA20" i="61"/>
  <c r="M15" i="5" s="1"/>
  <c r="J58" i="5" s="1"/>
  <c r="J18" i="5"/>
  <c r="J17" i="5"/>
  <c r="I22" i="61"/>
  <c r="E16" i="5" s="1"/>
  <c r="AB11" i="61"/>
  <c r="N12" i="5" s="1"/>
  <c r="I11" i="61"/>
  <c r="I8" i="61"/>
  <c r="AA17" i="61"/>
  <c r="M14" i="5" s="1"/>
  <c r="J57" i="5" s="1"/>
  <c r="I16" i="61"/>
  <c r="E14" i="5" s="1"/>
  <c r="K13" i="61"/>
  <c r="I14" i="61"/>
  <c r="AJ8" i="61"/>
  <c r="E16" i="2" s="1"/>
  <c r="I10" i="61"/>
  <c r="E12" i="5" s="1"/>
  <c r="I17" i="61"/>
  <c r="I13" i="61"/>
  <c r="E13" i="5" s="1"/>
  <c r="I7" i="61"/>
  <c r="E11" i="5" s="1"/>
  <c r="AB8" i="61"/>
  <c r="N11" i="5" s="1"/>
  <c r="H32" i="5" s="1"/>
  <c r="I32" i="5" s="1"/>
  <c r="E10" i="5"/>
  <c r="I10" i="5"/>
  <c r="J10" i="5"/>
  <c r="P6" i="61"/>
  <c r="P9" i="61" s="1"/>
  <c r="F8" i="10"/>
  <c r="F19" i="10" s="1"/>
  <c r="E19" i="10"/>
  <c r="E20" i="10" s="1"/>
  <c r="C131" i="3"/>
  <c r="F17" i="5"/>
  <c r="D60" i="5"/>
  <c r="K63" i="5"/>
  <c r="G41" i="5"/>
  <c r="H61" i="5"/>
  <c r="I62" i="5" s="1"/>
  <c r="I63" i="5"/>
  <c r="D43" i="6"/>
  <c r="H21" i="6"/>
  <c r="J14" i="5"/>
  <c r="E18" i="5"/>
  <c r="K4" i="61"/>
  <c r="C121" i="3"/>
  <c r="C120" i="3"/>
  <c r="D42" i="6"/>
  <c r="H20" i="6"/>
  <c r="C108" i="3"/>
  <c r="C109" i="3" s="1"/>
  <c r="G19" i="6"/>
  <c r="F18" i="5"/>
  <c r="F30" i="5"/>
  <c r="G10" i="6"/>
  <c r="D22" i="6"/>
  <c r="E22" i="6" s="1"/>
  <c r="F14" i="5"/>
  <c r="F9" i="5"/>
  <c r="D52" i="5" s="1"/>
  <c r="H52" i="5" s="1"/>
  <c r="O9" i="5"/>
  <c r="I31" i="5"/>
  <c r="G15" i="6"/>
  <c r="D57" i="5"/>
  <c r="H57" i="5" s="1"/>
  <c r="D21" i="5"/>
  <c r="G11" i="6"/>
  <c r="G18" i="6"/>
  <c r="C97" i="3"/>
  <c r="C98" i="3" s="1"/>
  <c r="G16" i="6"/>
  <c r="F15" i="5"/>
  <c r="C75" i="3"/>
  <c r="D58" i="5"/>
  <c r="H58" i="5" s="1"/>
  <c r="F12" i="5"/>
  <c r="D55" i="5" s="1"/>
  <c r="G13" i="6"/>
  <c r="F11" i="5"/>
  <c r="D54" i="5" s="1"/>
  <c r="G12" i="6"/>
  <c r="E35" i="7"/>
  <c r="L10" i="5"/>
  <c r="C15" i="3"/>
  <c r="A21" i="4"/>
  <c r="J16" i="5"/>
  <c r="G17" i="6"/>
  <c r="F16" i="5"/>
  <c r="D59" i="5"/>
  <c r="C86" i="3"/>
  <c r="Z25" i="61"/>
  <c r="K5" i="2" s="1"/>
  <c r="A120" i="60"/>
  <c r="C48" i="3"/>
  <c r="E38" i="7"/>
  <c r="E12" i="7" s="1"/>
  <c r="L13" i="5"/>
  <c r="J14" i="6" s="1"/>
  <c r="L44" i="6"/>
  <c r="C21" i="4"/>
  <c r="B22" i="4"/>
  <c r="Z10" i="61"/>
  <c r="F5" i="2" s="1"/>
  <c r="G14" i="6"/>
  <c r="F13" i="5"/>
  <c r="F34" i="7"/>
  <c r="EL3" i="4" l="1"/>
  <c r="EK4" i="4"/>
  <c r="EK2" i="4"/>
  <c r="C88" i="3"/>
  <c r="C87" i="3"/>
  <c r="C76" i="3"/>
  <c r="C77" i="3"/>
  <c r="C65" i="3"/>
  <c r="C66" i="3"/>
  <c r="J53" i="5"/>
  <c r="K53" i="5" s="1"/>
  <c r="O10" i="5"/>
  <c r="K7" i="2"/>
  <c r="K36" i="2"/>
  <c r="J36" i="2"/>
  <c r="J7" i="2"/>
  <c r="L7" i="2"/>
  <c r="L36" i="2"/>
  <c r="F7" i="2"/>
  <c r="F36" i="2"/>
  <c r="C21" i="3"/>
  <c r="C22" i="3"/>
  <c r="F36" i="7"/>
  <c r="D28" i="3"/>
  <c r="L22" i="61"/>
  <c r="AD23" i="61"/>
  <c r="Q16" i="5" s="1"/>
  <c r="J37" i="5" s="1"/>
  <c r="AD20" i="61"/>
  <c r="Q15" i="5" s="1"/>
  <c r="J36" i="5" s="1"/>
  <c r="K22" i="61"/>
  <c r="K25" i="61"/>
  <c r="AC20" i="61"/>
  <c r="P15" i="5" s="1"/>
  <c r="AC23" i="61"/>
  <c r="P16" i="5" s="1"/>
  <c r="L4" i="61"/>
  <c r="Z7" i="61"/>
  <c r="E5" i="2" s="1"/>
  <c r="U8" i="61"/>
  <c r="L13" i="61"/>
  <c r="AD17" i="61"/>
  <c r="Q14" i="5" s="1"/>
  <c r="J35" i="5" s="1"/>
  <c r="K7" i="61"/>
  <c r="P14" i="5"/>
  <c r="K10" i="61"/>
  <c r="P12" i="61"/>
  <c r="AC5" i="61"/>
  <c r="P10" i="5" s="1"/>
  <c r="J11" i="6"/>
  <c r="K11" i="6" s="1"/>
  <c r="D31" i="5"/>
  <c r="E42" i="6"/>
  <c r="M42" i="6"/>
  <c r="N42" i="6" s="1"/>
  <c r="J42" i="6"/>
  <c r="K42" i="6" s="1"/>
  <c r="E43" i="6"/>
  <c r="J43" i="6"/>
  <c r="K43" i="6" s="1"/>
  <c r="M43" i="6"/>
  <c r="N43" i="6" s="1"/>
  <c r="H33" i="5"/>
  <c r="I33" i="5" s="1"/>
  <c r="I39" i="5"/>
  <c r="I40" i="5"/>
  <c r="H36" i="5"/>
  <c r="K14" i="6"/>
  <c r="D34" i="5"/>
  <c r="H60" i="5"/>
  <c r="E60" i="5"/>
  <c r="E61" i="5"/>
  <c r="J21" i="5"/>
  <c r="F37" i="5"/>
  <c r="L16" i="5"/>
  <c r="C81" i="3"/>
  <c r="E41" i="7"/>
  <c r="E15" i="7" s="1"/>
  <c r="J59" i="5"/>
  <c r="K59" i="5" s="1"/>
  <c r="C110" i="3"/>
  <c r="H19" i="6"/>
  <c r="D41" i="6"/>
  <c r="L18" i="5"/>
  <c r="E43" i="7"/>
  <c r="E17" i="7" s="1"/>
  <c r="C103" i="3"/>
  <c r="F35" i="5"/>
  <c r="G31" i="5"/>
  <c r="O15" i="5"/>
  <c r="D32" i="6"/>
  <c r="J32" i="6" s="1"/>
  <c r="H10" i="6"/>
  <c r="G20" i="10"/>
  <c r="F36" i="5"/>
  <c r="K58" i="5"/>
  <c r="I53" i="5"/>
  <c r="E53" i="5"/>
  <c r="E58" i="5"/>
  <c r="I58" i="5"/>
  <c r="H20" i="10"/>
  <c r="F20" i="10"/>
  <c r="H15" i="6"/>
  <c r="D37" i="6"/>
  <c r="H11" i="6"/>
  <c r="D33" i="6"/>
  <c r="E54" i="5"/>
  <c r="H54" i="5"/>
  <c r="I54" i="5" s="1"/>
  <c r="H16" i="6"/>
  <c r="D38" i="6"/>
  <c r="C99" i="3"/>
  <c r="H13" i="6"/>
  <c r="D35" i="6"/>
  <c r="E55" i="5"/>
  <c r="H55" i="5"/>
  <c r="H12" i="6"/>
  <c r="D34" i="6"/>
  <c r="H18" i="6"/>
  <c r="D40" i="6"/>
  <c r="M40" i="6" s="1"/>
  <c r="A22" i="4"/>
  <c r="D36" i="6"/>
  <c r="H14" i="6"/>
  <c r="G22" i="6"/>
  <c r="H22" i="6" s="1"/>
  <c r="B23" i="4"/>
  <c r="C22" i="4"/>
  <c r="A121" i="60"/>
  <c r="H17" i="6"/>
  <c r="D39" i="6"/>
  <c r="D56" i="5"/>
  <c r="F21" i="5"/>
  <c r="E59" i="5"/>
  <c r="H59" i="5"/>
  <c r="I59" i="5" s="1"/>
  <c r="EL4" i="4" l="1"/>
  <c r="EM3" i="4"/>
  <c r="EL2" i="4"/>
  <c r="D39" i="5"/>
  <c r="E40" i="5" s="1"/>
  <c r="J19" i="6"/>
  <c r="K19" i="6" s="1"/>
  <c r="D37" i="5"/>
  <c r="J17" i="6"/>
  <c r="K17" i="6" s="1"/>
  <c r="E7" i="2"/>
  <c r="E36" i="2"/>
  <c r="L25" i="61"/>
  <c r="AO22" i="61"/>
  <c r="AE23" i="61"/>
  <c r="N22" i="61"/>
  <c r="AA14" i="61"/>
  <c r="L7" i="61"/>
  <c r="I37" i="5"/>
  <c r="AO16" i="61"/>
  <c r="AE17" i="61"/>
  <c r="H12" i="2" s="1"/>
  <c r="L10" i="61"/>
  <c r="P15" i="61"/>
  <c r="I34" i="5"/>
  <c r="E41" i="6"/>
  <c r="J41" i="6"/>
  <c r="K41" i="6" s="1"/>
  <c r="M41" i="6"/>
  <c r="N41" i="6" s="1"/>
  <c r="I60" i="5"/>
  <c r="I61" i="5"/>
  <c r="L17" i="5"/>
  <c r="S14" i="5"/>
  <c r="S15" i="5"/>
  <c r="S16" i="5"/>
  <c r="G36" i="5"/>
  <c r="K32" i="6"/>
  <c r="M32" i="6"/>
  <c r="N32" i="6" s="1"/>
  <c r="E32" i="6"/>
  <c r="G37" i="5"/>
  <c r="C26" i="3"/>
  <c r="I55" i="5"/>
  <c r="L11" i="5"/>
  <c r="J12" i="6" s="1"/>
  <c r="E36" i="7"/>
  <c r="E10" i="7" s="1"/>
  <c r="E37" i="6"/>
  <c r="J37" i="6"/>
  <c r="K37" i="6" s="1"/>
  <c r="M37" i="6"/>
  <c r="N37" i="6" s="1"/>
  <c r="C92" i="3"/>
  <c r="E42" i="7"/>
  <c r="E16" i="7" s="1"/>
  <c r="J33" i="6"/>
  <c r="K33" i="6" s="1"/>
  <c r="E33" i="6"/>
  <c r="M33" i="6"/>
  <c r="N33" i="6" s="1"/>
  <c r="J40" i="6"/>
  <c r="K40" i="6" s="1"/>
  <c r="N40" i="6"/>
  <c r="E40" i="6"/>
  <c r="J35" i="6"/>
  <c r="K35" i="6" s="1"/>
  <c r="E35" i="6"/>
  <c r="M35" i="6"/>
  <c r="N35" i="6" s="1"/>
  <c r="J34" i="6"/>
  <c r="K34" i="6" s="1"/>
  <c r="E34" i="6"/>
  <c r="M34" i="6"/>
  <c r="N34" i="6" s="1"/>
  <c r="E38" i="6"/>
  <c r="J38" i="6"/>
  <c r="K38" i="6" s="1"/>
  <c r="M38" i="6"/>
  <c r="N38" i="6" s="1"/>
  <c r="A23" i="4"/>
  <c r="AA11" i="61"/>
  <c r="E39" i="6"/>
  <c r="J39" i="6"/>
  <c r="K39" i="6" s="1"/>
  <c r="M39" i="6"/>
  <c r="N39" i="6" s="1"/>
  <c r="M36" i="6"/>
  <c r="J36" i="6"/>
  <c r="E36" i="6"/>
  <c r="D44" i="6"/>
  <c r="E44" i="6" s="1"/>
  <c r="O16" i="61"/>
  <c r="C37" i="3"/>
  <c r="E37" i="7"/>
  <c r="E11" i="7" s="1"/>
  <c r="L12" i="5"/>
  <c r="J13" i="6" s="1"/>
  <c r="E57" i="5"/>
  <c r="E56" i="5"/>
  <c r="H56" i="5"/>
  <c r="A122" i="60"/>
  <c r="B24" i="4"/>
  <c r="C23" i="4"/>
  <c r="O22" i="61"/>
  <c r="EM4" i="4" l="1"/>
  <c r="EN3" i="4"/>
  <c r="EM2" i="4"/>
  <c r="H27" i="2"/>
  <c r="H28" i="2"/>
  <c r="D38" i="5"/>
  <c r="E38" i="5" s="1"/>
  <c r="J18" i="6"/>
  <c r="K18" i="6" s="1"/>
  <c r="J12" i="2"/>
  <c r="C83" i="3"/>
  <c r="C85" i="3" s="1"/>
  <c r="M13" i="5"/>
  <c r="F34" i="5" s="1"/>
  <c r="T16" i="5"/>
  <c r="M37" i="5" s="1"/>
  <c r="O25" i="61"/>
  <c r="AA26" i="61"/>
  <c r="M17" i="5" s="1"/>
  <c r="N25" i="61"/>
  <c r="Q22" i="61"/>
  <c r="M18" i="5"/>
  <c r="AA8" i="61"/>
  <c r="Q16" i="61"/>
  <c r="AD11" i="61"/>
  <c r="Q12" i="5" s="1"/>
  <c r="J33" i="5" s="1"/>
  <c r="AC14" i="61"/>
  <c r="P13" i="5" s="1"/>
  <c r="AD14" i="61"/>
  <c r="Q13" i="5" s="1"/>
  <c r="M12" i="5"/>
  <c r="J55" i="5" s="1"/>
  <c r="P18" i="61"/>
  <c r="P21" i="61" s="1"/>
  <c r="P24" i="61" s="1"/>
  <c r="P27" i="61" s="1"/>
  <c r="P30" i="61" s="1"/>
  <c r="P33" i="61" s="1"/>
  <c r="P36" i="61" s="1"/>
  <c r="AK5" i="61"/>
  <c r="K13" i="6"/>
  <c r="D33" i="5"/>
  <c r="E34" i="5" s="1"/>
  <c r="K12" i="6"/>
  <c r="D32" i="5"/>
  <c r="E32" i="5" s="1"/>
  <c r="Q25" i="61"/>
  <c r="Q18" i="5"/>
  <c r="A24" i="4"/>
  <c r="I16" i="5"/>
  <c r="A123" i="60"/>
  <c r="K36" i="6"/>
  <c r="J44" i="6"/>
  <c r="K44" i="6" s="1"/>
  <c r="M15" i="6"/>
  <c r="N15" i="6" s="1"/>
  <c r="G39" i="7"/>
  <c r="T14" i="5"/>
  <c r="C61" i="3"/>
  <c r="C63" i="3" s="1"/>
  <c r="N36" i="6"/>
  <c r="M44" i="6"/>
  <c r="N44" i="6" s="1"/>
  <c r="H16" i="5"/>
  <c r="M17" i="6"/>
  <c r="N17" i="6" s="1"/>
  <c r="G41" i="7"/>
  <c r="C24" i="4"/>
  <c r="B25" i="4"/>
  <c r="I56" i="5"/>
  <c r="I57" i="5"/>
  <c r="EO3" i="4" l="1"/>
  <c r="EN4" i="4"/>
  <c r="EN2" i="4"/>
  <c r="H29" i="2"/>
  <c r="H30" i="2" s="1"/>
  <c r="J13" i="2"/>
  <c r="J14" i="2" s="1"/>
  <c r="J28" i="2"/>
  <c r="J27" i="2"/>
  <c r="E39" i="5"/>
  <c r="J46" i="2"/>
  <c r="J45" i="2"/>
  <c r="K16" i="5"/>
  <c r="O13" i="5"/>
  <c r="J56" i="5"/>
  <c r="K56" i="5" s="1"/>
  <c r="M11" i="5"/>
  <c r="J54" i="5" s="1"/>
  <c r="K54" i="5" s="1"/>
  <c r="H46" i="2"/>
  <c r="H13" i="2"/>
  <c r="H45" i="2"/>
  <c r="AD26" i="61"/>
  <c r="Q17" i="5" s="1"/>
  <c r="F39" i="5"/>
  <c r="G40" i="5" s="1"/>
  <c r="J61" i="5"/>
  <c r="K62" i="5" s="1"/>
  <c r="O18" i="5"/>
  <c r="L12" i="2"/>
  <c r="AC26" i="61"/>
  <c r="P17" i="5" s="1"/>
  <c r="P18" i="5"/>
  <c r="H17" i="5"/>
  <c r="K17" i="5"/>
  <c r="I17" i="5"/>
  <c r="AC8" i="61"/>
  <c r="P11" i="5" s="1"/>
  <c r="F33" i="5"/>
  <c r="G34" i="5" s="1"/>
  <c r="AO13" i="61"/>
  <c r="O12" i="5"/>
  <c r="J34" i="5"/>
  <c r="S13" i="5"/>
  <c r="AE14" i="61"/>
  <c r="AJ11" i="61"/>
  <c r="F16" i="2" s="1"/>
  <c r="AC11" i="61"/>
  <c r="P12" i="5" s="1"/>
  <c r="E33" i="5"/>
  <c r="U14" i="5"/>
  <c r="M35" i="5"/>
  <c r="O17" i="5"/>
  <c r="J60" i="5"/>
  <c r="K60" i="5" s="1"/>
  <c r="F38" i="5"/>
  <c r="G38" i="5" s="1"/>
  <c r="S18" i="5"/>
  <c r="J39" i="5"/>
  <c r="H18" i="5"/>
  <c r="I18" i="5"/>
  <c r="S12" i="5"/>
  <c r="K18" i="5"/>
  <c r="I14" i="5"/>
  <c r="K14" i="5"/>
  <c r="A25" i="4"/>
  <c r="G35" i="5"/>
  <c r="C25" i="4"/>
  <c r="B26" i="4"/>
  <c r="A124" i="60"/>
  <c r="AL11" i="61"/>
  <c r="EO2" i="4" l="1"/>
  <c r="EP3" i="4"/>
  <c r="EO4" i="4"/>
  <c r="J29" i="2"/>
  <c r="J30" i="2" s="1"/>
  <c r="C50" i="3"/>
  <c r="C52" i="3" s="1"/>
  <c r="G12" i="2"/>
  <c r="G45" i="2" s="1"/>
  <c r="L27" i="2"/>
  <c r="L28" i="2"/>
  <c r="M21" i="5"/>
  <c r="K55" i="5"/>
  <c r="O11" i="5"/>
  <c r="K57" i="5"/>
  <c r="F32" i="5"/>
  <c r="G32" i="5" s="1"/>
  <c r="L13" i="2"/>
  <c r="L46" i="2"/>
  <c r="L45" i="2"/>
  <c r="H14" i="2"/>
  <c r="D39" i="3"/>
  <c r="AE26" i="61"/>
  <c r="AO25" i="61"/>
  <c r="AE11" i="61"/>
  <c r="F12" i="2" s="1"/>
  <c r="AO10" i="61"/>
  <c r="AO11" i="61" s="1"/>
  <c r="F17" i="2" s="1"/>
  <c r="C40" i="3"/>
  <c r="G39" i="5"/>
  <c r="S17" i="5"/>
  <c r="J38" i="5"/>
  <c r="K61" i="5"/>
  <c r="A26" i="4"/>
  <c r="AK11" i="61"/>
  <c r="A125" i="60"/>
  <c r="B27" i="4"/>
  <c r="C26" i="4"/>
  <c r="M14" i="6"/>
  <c r="N14" i="6" s="1"/>
  <c r="T13" i="5"/>
  <c r="G38" i="7"/>
  <c r="F37" i="7"/>
  <c r="EQ3" i="4" l="1"/>
  <c r="EP4" i="4"/>
  <c r="EP2" i="4"/>
  <c r="G46" i="2"/>
  <c r="G13" i="2"/>
  <c r="G14" i="2" s="1"/>
  <c r="G27" i="2"/>
  <c r="G28" i="2"/>
  <c r="L29" i="2"/>
  <c r="L30" i="2" s="1"/>
  <c r="F28" i="2"/>
  <c r="F27" i="2"/>
  <c r="K12" i="2"/>
  <c r="C94" i="3"/>
  <c r="C96" i="3" s="1"/>
  <c r="G33" i="5"/>
  <c r="L14" i="2"/>
  <c r="T17" i="5"/>
  <c r="U17" i="5" s="1"/>
  <c r="U13" i="5"/>
  <c r="M34" i="5"/>
  <c r="C105" i="3"/>
  <c r="C107" i="3" s="1"/>
  <c r="M19" i="6"/>
  <c r="N19" i="6" s="1"/>
  <c r="T18" i="5"/>
  <c r="G43" i="7"/>
  <c r="A27" i="4"/>
  <c r="M18" i="6"/>
  <c r="N18" i="6" s="1"/>
  <c r="G42" i="7"/>
  <c r="U16" i="5"/>
  <c r="B28" i="4"/>
  <c r="C27" i="4"/>
  <c r="A126" i="60"/>
  <c r="M13" i="6"/>
  <c r="N13" i="6" s="1"/>
  <c r="G37" i="7"/>
  <c r="H37" i="7" s="1"/>
  <c r="T12" i="5"/>
  <c r="EQ4" i="4" l="1"/>
  <c r="ER3" i="4"/>
  <c r="EQ2" i="4"/>
  <c r="F29" i="2"/>
  <c r="F30" i="2" s="1"/>
  <c r="K46" i="2"/>
  <c r="K27" i="2"/>
  <c r="K28" i="2"/>
  <c r="G29" i="2"/>
  <c r="G30" i="2" s="1"/>
  <c r="K45" i="2"/>
  <c r="K13" i="2"/>
  <c r="K14" i="2" s="1"/>
  <c r="M38" i="5"/>
  <c r="N38" i="5" s="1"/>
  <c r="U12" i="5"/>
  <c r="M33" i="5"/>
  <c r="N35" i="5"/>
  <c r="U18" i="5"/>
  <c r="M39" i="5"/>
  <c r="A28" i="4"/>
  <c r="C28" i="4"/>
  <c r="B29" i="4"/>
  <c r="A127" i="60"/>
  <c r="ER2" i="4" l="1"/>
  <c r="ES3" i="4"/>
  <c r="ER4" i="4"/>
  <c r="K29" i="2"/>
  <c r="K30" i="2" s="1"/>
  <c r="F13" i="2"/>
  <c r="F45" i="2"/>
  <c r="F46" i="2"/>
  <c r="N34" i="5"/>
  <c r="N39" i="5"/>
  <c r="N40" i="5"/>
  <c r="A29" i="4"/>
  <c r="A128" i="60"/>
  <c r="A129" i="60" s="1"/>
  <c r="A130" i="60" s="1"/>
  <c r="A131" i="60" s="1"/>
  <c r="A132" i="60" s="1"/>
  <c r="A133" i="60" s="1"/>
  <c r="A134" i="60" s="1"/>
  <c r="A135" i="60" s="1"/>
  <c r="A136" i="60" s="1"/>
  <c r="A137" i="60" s="1"/>
  <c r="A138" i="60" s="1"/>
  <c r="A139" i="60" s="1"/>
  <c r="A140" i="60" s="1"/>
  <c r="A141" i="60" s="1"/>
  <c r="A142" i="60" s="1"/>
  <c r="A143" i="60" s="1"/>
  <c r="A144" i="60" s="1"/>
  <c r="A145" i="60" s="1"/>
  <c r="A146" i="60" s="1"/>
  <c r="A147" i="60" s="1"/>
  <c r="A148" i="60" s="1"/>
  <c r="A149" i="60" s="1"/>
  <c r="A150" i="60" s="1"/>
  <c r="A151" i="60" s="1"/>
  <c r="A152" i="60" s="1"/>
  <c r="A153" i="60" s="1"/>
  <c r="A154" i="60" s="1"/>
  <c r="A155" i="60" s="1"/>
  <c r="A156" i="60" s="1"/>
  <c r="A157" i="60" s="1"/>
  <c r="A158" i="60" s="1"/>
  <c r="A159" i="60" s="1"/>
  <c r="A160" i="60" s="1"/>
  <c r="A161" i="60" s="1"/>
  <c r="A162" i="60" s="1"/>
  <c r="A163" i="60" s="1"/>
  <c r="A164" i="60" s="1"/>
  <c r="A165" i="60" s="1"/>
  <c r="A166" i="60" s="1"/>
  <c r="A167" i="60" s="1"/>
  <c r="A168" i="60" s="1"/>
  <c r="A169" i="60" s="1"/>
  <c r="A170" i="60" s="1"/>
  <c r="A171" i="60" s="1"/>
  <c r="A172" i="60" s="1"/>
  <c r="A173" i="60" s="1"/>
  <c r="A174" i="60" s="1"/>
  <c r="A175" i="60" s="1"/>
  <c r="A176" i="60" s="1"/>
  <c r="A177" i="60" s="1"/>
  <c r="A178" i="60" s="1"/>
  <c r="A179" i="60" s="1"/>
  <c r="A180" i="60" s="1"/>
  <c r="A181" i="60" s="1"/>
  <c r="A182" i="60" s="1"/>
  <c r="A183" i="60" s="1"/>
  <c r="A184" i="60" s="1"/>
  <c r="A185" i="60" s="1"/>
  <c r="A186" i="60" s="1"/>
  <c r="A187" i="60" s="1"/>
  <c r="A188" i="60" s="1"/>
  <c r="A189" i="60" s="1"/>
  <c r="A190" i="60" s="1"/>
  <c r="A191" i="60" s="1"/>
  <c r="A192" i="60" s="1"/>
  <c r="A193" i="60" s="1"/>
  <c r="A194" i="60" s="1"/>
  <c r="A195" i="60" s="1"/>
  <c r="A196" i="60" s="1"/>
  <c r="A197" i="60" s="1"/>
  <c r="A198" i="60" s="1"/>
  <c r="A199" i="60" s="1"/>
  <c r="A200" i="60" s="1"/>
  <c r="A201" i="60" s="1"/>
  <c r="A202" i="60" s="1"/>
  <c r="A203" i="60" s="1"/>
  <c r="A204" i="60" s="1"/>
  <c r="A205" i="60" s="1"/>
  <c r="A206" i="60" s="1"/>
  <c r="A207" i="60" s="1"/>
  <c r="A208" i="60" s="1"/>
  <c r="A209" i="60" s="1"/>
  <c r="A210" i="60" s="1"/>
  <c r="A211" i="60" s="1"/>
  <c r="A212" i="60" s="1"/>
  <c r="A213" i="60" s="1"/>
  <c r="A214" i="60" s="1"/>
  <c r="A215" i="60" s="1"/>
  <c r="A216" i="60" s="1"/>
  <c r="A217" i="60" s="1"/>
  <c r="A218" i="60" s="1"/>
  <c r="A219" i="60" s="1"/>
  <c r="A220" i="60" s="1"/>
  <c r="A221" i="60" s="1"/>
  <c r="A222" i="60" s="1"/>
  <c r="A223" i="60" s="1"/>
  <c r="A224" i="60" s="1"/>
  <c r="A225" i="60" s="1"/>
  <c r="A226" i="60" s="1"/>
  <c r="A227" i="60" s="1"/>
  <c r="A228" i="60" s="1"/>
  <c r="A229" i="60" s="1"/>
  <c r="A230" i="60" s="1"/>
  <c r="A231" i="60" s="1"/>
  <c r="A232" i="60" s="1"/>
  <c r="A233" i="60" s="1"/>
  <c r="A234" i="60" s="1"/>
  <c r="A235" i="60" s="1"/>
  <c r="A236" i="60" s="1"/>
  <c r="A237" i="60" s="1"/>
  <c r="A238" i="60" s="1"/>
  <c r="A239" i="60" s="1"/>
  <c r="A240" i="60" s="1"/>
  <c r="A241" i="60" s="1"/>
  <c r="A242" i="60" s="1"/>
  <c r="A243" i="60" s="1"/>
  <c r="A244" i="60" s="1"/>
  <c r="A245" i="60" s="1"/>
  <c r="A246" i="60" s="1"/>
  <c r="A247" i="60" s="1"/>
  <c r="A248" i="60" s="1"/>
  <c r="A249" i="60" s="1"/>
  <c r="A250" i="60" s="1"/>
  <c r="A251" i="60" s="1"/>
  <c r="A252" i="60" s="1"/>
  <c r="A253" i="60" s="1"/>
  <c r="A254" i="60" s="1"/>
  <c r="A255" i="60" s="1"/>
  <c r="A256" i="60" s="1"/>
  <c r="A257" i="60" s="1"/>
  <c r="A258" i="60" s="1"/>
  <c r="A259" i="60" s="1"/>
  <c r="A260" i="60" s="1"/>
  <c r="A261" i="60" s="1"/>
  <c r="A262" i="60" s="1"/>
  <c r="A263" i="60" s="1"/>
  <c r="A264" i="60" s="1"/>
  <c r="A265" i="60" s="1"/>
  <c r="A266" i="60" s="1"/>
  <c r="A267" i="60" s="1"/>
  <c r="A268" i="60" s="1"/>
  <c r="A269" i="60" s="1"/>
  <c r="A270" i="60" s="1"/>
  <c r="A271" i="60" s="1"/>
  <c r="A272" i="60" s="1"/>
  <c r="A273" i="60" s="1"/>
  <c r="A274" i="60" s="1"/>
  <c r="A275" i="60" s="1"/>
  <c r="A276" i="60" s="1"/>
  <c r="A277" i="60" s="1"/>
  <c r="A278" i="60" s="1"/>
  <c r="A279" i="60" s="1"/>
  <c r="A280" i="60" s="1"/>
  <c r="A281" i="60" s="1"/>
  <c r="A282" i="60" s="1"/>
  <c r="A283" i="60" s="1"/>
  <c r="A284" i="60" s="1"/>
  <c r="A285" i="60" s="1"/>
  <c r="A286" i="60" s="1"/>
  <c r="A287" i="60" s="1"/>
  <c r="A288" i="60" s="1"/>
  <c r="A289" i="60" s="1"/>
  <c r="A290" i="60" s="1"/>
  <c r="A291" i="60" s="1"/>
  <c r="A292" i="60" s="1"/>
  <c r="A293" i="60" s="1"/>
  <c r="A294" i="60" s="1"/>
  <c r="A295" i="60" s="1"/>
  <c r="A296" i="60" s="1"/>
  <c r="A297" i="60" s="1"/>
  <c r="A298" i="60" s="1"/>
  <c r="A299" i="60" s="1"/>
  <c r="A300" i="60" s="1"/>
  <c r="A301" i="60" s="1"/>
  <c r="A302" i="60" s="1"/>
  <c r="A303" i="60" s="1"/>
  <c r="A304" i="60" s="1"/>
  <c r="A305" i="60" s="1"/>
  <c r="A306" i="60" s="1"/>
  <c r="A307" i="60" s="1"/>
  <c r="A308" i="60" s="1"/>
  <c r="A309" i="60" s="1"/>
  <c r="A310" i="60" s="1"/>
  <c r="A311" i="60" s="1"/>
  <c r="A312" i="60" s="1"/>
  <c r="A313" i="60" s="1"/>
  <c r="C29" i="4"/>
  <c r="B30" i="4"/>
  <c r="ES4" i="4" l="1"/>
  <c r="ES2" i="4"/>
  <c r="ET3" i="4"/>
  <c r="F14" i="2"/>
  <c r="A30" i="4"/>
  <c r="B31" i="4"/>
  <c r="C30" i="4"/>
  <c r="ET2" i="4" l="1"/>
  <c r="EU3" i="4"/>
  <c r="ET4" i="4"/>
  <c r="A31" i="4"/>
  <c r="B32" i="4"/>
  <c r="C31" i="4"/>
  <c r="EU4" i="4" l="1"/>
  <c r="EV3" i="4"/>
  <c r="EU2" i="4"/>
  <c r="AJ26" i="61"/>
  <c r="K16" i="2" s="1"/>
  <c r="AO29" i="61"/>
  <c r="L17" i="2" s="1"/>
  <c r="L16" i="2"/>
  <c r="AL23" i="61"/>
  <c r="AO23" i="61"/>
  <c r="J17" i="2" s="1"/>
  <c r="AJ23" i="61"/>
  <c r="J16" i="2" s="1"/>
  <c r="AJ20" i="61"/>
  <c r="I16" i="2" s="1"/>
  <c r="AO26" i="61"/>
  <c r="K17" i="2" s="1"/>
  <c r="AL14" i="61"/>
  <c r="C51" i="3" s="1"/>
  <c r="AO14" i="61"/>
  <c r="G17" i="2" s="1"/>
  <c r="AJ14" i="61"/>
  <c r="G16" i="2" s="1"/>
  <c r="AO17" i="61"/>
  <c r="H17" i="2" s="1"/>
  <c r="A32" i="4"/>
  <c r="C32" i="4"/>
  <c r="B33" i="4"/>
  <c r="EV2" i="4" l="1"/>
  <c r="EW3" i="4"/>
  <c r="EV4" i="4"/>
  <c r="D50" i="3"/>
  <c r="AL26" i="61"/>
  <c r="AK26" i="61"/>
  <c r="AK20" i="61"/>
  <c r="AK23" i="61"/>
  <c r="AK17" i="61"/>
  <c r="AK14" i="61"/>
  <c r="C106" i="3"/>
  <c r="D105" i="3"/>
  <c r="F43" i="7"/>
  <c r="H43" i="7" s="1"/>
  <c r="A33" i="4"/>
  <c r="F42" i="7"/>
  <c r="H42" i="7" s="1"/>
  <c r="D94" i="3"/>
  <c r="C84" i="3"/>
  <c r="F41" i="7"/>
  <c r="H41" i="7" s="1"/>
  <c r="D83" i="3"/>
  <c r="F38" i="7"/>
  <c r="C33" i="4"/>
  <c r="B34" i="4"/>
  <c r="F40" i="7"/>
  <c r="D72" i="3"/>
  <c r="EX3" i="4" l="1"/>
  <c r="EW4" i="4"/>
  <c r="EW2" i="4"/>
  <c r="C95" i="3"/>
  <c r="A34" i="4"/>
  <c r="H38" i="7"/>
  <c r="B35" i="4"/>
  <c r="C34" i="4"/>
  <c r="EX2" i="4" l="1"/>
  <c r="EX4" i="4"/>
  <c r="EY3" i="4"/>
  <c r="A35" i="4"/>
  <c r="B36" i="4"/>
  <c r="C35" i="4"/>
  <c r="EY4" i="4" l="1"/>
  <c r="EZ3" i="4"/>
  <c r="EY2" i="4"/>
  <c r="A36" i="4"/>
  <c r="C36" i="4"/>
  <c r="B37" i="4"/>
  <c r="EZ2" i="4" l="1"/>
  <c r="EZ4" i="4"/>
  <c r="FA3" i="4"/>
  <c r="A37" i="4"/>
  <c r="C37" i="4"/>
  <c r="B38" i="4"/>
  <c r="FA4" i="4" l="1"/>
  <c r="FB3" i="4"/>
  <c r="FA2" i="4"/>
  <c r="A38" i="4"/>
  <c r="B39" i="4"/>
  <c r="C38" i="4"/>
  <c r="FB4" i="4" l="1"/>
  <c r="FB2" i="4"/>
  <c r="FC3" i="4"/>
  <c r="A39" i="4"/>
  <c r="B40" i="4"/>
  <c r="C39" i="4"/>
  <c r="FD3" i="4" l="1"/>
  <c r="FC4" i="4"/>
  <c r="FC2" i="4"/>
  <c r="A40" i="4"/>
  <c r="C40" i="4"/>
  <c r="B41" i="4"/>
  <c r="FE3" i="4" l="1"/>
  <c r="FD2" i="4"/>
  <c r="FD4" i="4"/>
  <c r="A41" i="4"/>
  <c r="C41" i="4"/>
  <c r="B42" i="4"/>
  <c r="FE2" i="4" l="1"/>
  <c r="FF3" i="4"/>
  <c r="FE4" i="4"/>
  <c r="A42" i="4"/>
  <c r="B43" i="4"/>
  <c r="C42" i="4"/>
  <c r="FG3" i="4" l="1"/>
  <c r="FF2" i="4"/>
  <c r="FF4" i="4"/>
  <c r="A43" i="4"/>
  <c r="B44" i="4"/>
  <c r="C43" i="4"/>
  <c r="FH3" i="4" l="1"/>
  <c r="FG4" i="4"/>
  <c r="FG2" i="4"/>
  <c r="A44" i="4"/>
  <c r="C44" i="4"/>
  <c r="B45" i="4"/>
  <c r="FH2" i="4" l="1"/>
  <c r="FH4" i="4"/>
  <c r="A45" i="4"/>
  <c r="C45" i="4"/>
  <c r="B46" i="4"/>
  <c r="A46" i="4" l="1"/>
  <c r="B47" i="4"/>
  <c r="C46" i="4"/>
  <c r="A47" i="4" l="1"/>
  <c r="B48" i="4"/>
  <c r="C47" i="4"/>
  <c r="A48" i="4" l="1"/>
  <c r="C48" i="4"/>
  <c r="B49" i="4"/>
  <c r="A49" i="4" l="1"/>
  <c r="C49" i="4"/>
  <c r="B50" i="4"/>
  <c r="A50" i="4" l="1"/>
  <c r="B51" i="4"/>
  <c r="C50" i="4"/>
  <c r="A51" i="4" l="1"/>
  <c r="B52" i="4"/>
  <c r="C51" i="4"/>
  <c r="A52" i="4" l="1"/>
  <c r="C52" i="4"/>
  <c r="B53" i="4"/>
  <c r="A53" i="4" l="1"/>
  <c r="C53" i="4"/>
  <c r="B54" i="4"/>
  <c r="A54" i="4" l="1"/>
  <c r="B55" i="4"/>
  <c r="C54" i="4"/>
  <c r="A55" i="4" l="1"/>
  <c r="B56" i="4"/>
  <c r="C55" i="4"/>
  <c r="A56" i="4" l="1"/>
  <c r="C56" i="4"/>
  <c r="B57" i="4"/>
  <c r="A57" i="4" l="1"/>
  <c r="C57" i="4"/>
  <c r="B58" i="4"/>
  <c r="A58" i="4" l="1"/>
  <c r="B59" i="4"/>
  <c r="C58" i="4"/>
  <c r="A59" i="4" l="1"/>
  <c r="B60" i="4"/>
  <c r="C59" i="4"/>
  <c r="A60" i="4" l="1"/>
  <c r="C60" i="4"/>
  <c r="B61" i="4"/>
  <c r="A61" i="4" l="1"/>
  <c r="C61" i="4"/>
  <c r="B62" i="4"/>
  <c r="A62" i="4" l="1"/>
  <c r="B63" i="4"/>
  <c r="C62" i="4"/>
  <c r="A63" i="4" l="1"/>
  <c r="B64" i="4"/>
  <c r="C63" i="4"/>
  <c r="A64" i="4" l="1"/>
  <c r="C64" i="4"/>
  <c r="B65" i="4"/>
  <c r="B66" i="4" l="1"/>
  <c r="C65" i="4"/>
  <c r="A65" i="4"/>
  <c r="C66" i="4" l="1"/>
  <c r="B67" i="4"/>
  <c r="A66" i="4"/>
  <c r="B68" i="4" l="1"/>
  <c r="C67" i="4"/>
  <c r="A67" i="4"/>
  <c r="B69" i="4" l="1"/>
  <c r="C68" i="4"/>
  <c r="A68" i="4"/>
  <c r="B70" i="4" l="1"/>
  <c r="C69" i="4"/>
  <c r="A69" i="4"/>
  <c r="C70" i="4" l="1"/>
  <c r="B71" i="4"/>
  <c r="A70" i="4"/>
  <c r="C71" i="4" l="1"/>
  <c r="B72" i="4"/>
  <c r="A72" i="4" s="1"/>
  <c r="A71" i="4"/>
  <c r="B73" i="4" l="1"/>
  <c r="C72" i="4"/>
  <c r="B74" i="4" l="1"/>
  <c r="C73" i="4"/>
  <c r="A73" i="4"/>
  <c r="C74" i="4" l="1"/>
  <c r="B75" i="4"/>
  <c r="A74" i="4"/>
  <c r="C75" i="4" l="1"/>
  <c r="B76" i="4"/>
  <c r="A75" i="4"/>
  <c r="AC3" i="61"/>
  <c r="P9" i="5" s="1"/>
  <c r="P21" i="5" s="1"/>
  <c r="C76" i="4" l="1"/>
  <c r="B77" i="4"/>
  <c r="A76" i="4"/>
  <c r="C77" i="4" l="1"/>
  <c r="B78" i="4"/>
  <c r="A77" i="4"/>
  <c r="C78" i="4" l="1"/>
  <c r="B79" i="4"/>
  <c r="A78" i="4"/>
  <c r="B80" i="4" l="1"/>
  <c r="C79" i="4"/>
  <c r="A79" i="4"/>
  <c r="B81" i="4" l="1"/>
  <c r="C80" i="4"/>
  <c r="A80" i="4"/>
  <c r="B82" i="4" l="1"/>
  <c r="C81" i="4"/>
  <c r="A81" i="4"/>
  <c r="B83" i="4" l="1"/>
  <c r="C82" i="4"/>
  <c r="A82" i="4"/>
  <c r="U5" i="61"/>
  <c r="AD8" i="61" l="1"/>
  <c r="Q11" i="5" s="1"/>
  <c r="B84" i="4"/>
  <c r="C83" i="4"/>
  <c r="A83" i="4"/>
  <c r="AD5" i="61"/>
  <c r="Q10" i="5" s="1"/>
  <c r="S10" i="5" s="1"/>
  <c r="AE8" i="61" l="1"/>
  <c r="J32" i="5"/>
  <c r="S11" i="5"/>
  <c r="B85" i="4"/>
  <c r="C84" i="4"/>
  <c r="A84" i="4"/>
  <c r="J31" i="5"/>
  <c r="AE5" i="61"/>
  <c r="D12" i="2" s="1"/>
  <c r="AO4" i="61" l="1"/>
  <c r="AO5" i="61" s="1"/>
  <c r="D17" i="2" s="1"/>
  <c r="AO7" i="61"/>
  <c r="AO8" i="61" s="1"/>
  <c r="AK8" i="61"/>
  <c r="E12" i="2"/>
  <c r="AL8" i="61"/>
  <c r="C28" i="3"/>
  <c r="C30" i="3" s="1"/>
  <c r="G36" i="7"/>
  <c r="H36" i="7" s="1"/>
  <c r="M12" i="6"/>
  <c r="N12" i="6" s="1"/>
  <c r="C39" i="3"/>
  <c r="C41" i="3" s="1"/>
  <c r="T11" i="5"/>
  <c r="D27" i="2"/>
  <c r="D28" i="2"/>
  <c r="B86" i="4"/>
  <c r="C85" i="4"/>
  <c r="A85" i="4"/>
  <c r="G35" i="7"/>
  <c r="M11" i="6"/>
  <c r="C17" i="3"/>
  <c r="C19" i="3" s="1"/>
  <c r="T10" i="5"/>
  <c r="AL5" i="61"/>
  <c r="C18" i="3" s="1"/>
  <c r="M32" i="5" l="1"/>
  <c r="N33" i="5" s="1"/>
  <c r="U11" i="5"/>
  <c r="C29" i="3"/>
  <c r="E17" i="2"/>
  <c r="E28" i="2"/>
  <c r="E27" i="2"/>
  <c r="E29" i="2" s="1"/>
  <c r="E30" i="2" s="1"/>
  <c r="E13" i="2"/>
  <c r="E14" i="2" s="1"/>
  <c r="E46" i="2"/>
  <c r="E45" i="2"/>
  <c r="D29" i="2"/>
  <c r="D30" i="2" s="1"/>
  <c r="D13" i="2"/>
  <c r="D45" i="2"/>
  <c r="D46" i="2"/>
  <c r="B87" i="4"/>
  <c r="C86" i="4"/>
  <c r="A86" i="4"/>
  <c r="N11" i="6"/>
  <c r="M31" i="5"/>
  <c r="U10" i="5"/>
  <c r="H35" i="7"/>
  <c r="D14" i="2" l="1"/>
  <c r="B88" i="4"/>
  <c r="C87" i="4"/>
  <c r="A87" i="4"/>
  <c r="N32" i="5"/>
  <c r="B89" i="4" l="1"/>
  <c r="C88" i="4"/>
  <c r="A88" i="4"/>
  <c r="B90" i="4" l="1"/>
  <c r="C89" i="4"/>
  <c r="A89" i="4"/>
  <c r="B91" i="4" l="1"/>
  <c r="C90" i="4"/>
  <c r="A90" i="4"/>
  <c r="I2" i="61"/>
  <c r="I6" i="61" s="1"/>
  <c r="I9" i="61" s="1"/>
  <c r="I12" i="61" s="1"/>
  <c r="I15" i="61" s="1"/>
  <c r="I18" i="61" s="1"/>
  <c r="Z2" i="61"/>
  <c r="I3" i="61"/>
  <c r="E8" i="7" l="1"/>
  <c r="C5" i="2"/>
  <c r="B92" i="4"/>
  <c r="C91" i="4"/>
  <c r="A91" i="4"/>
  <c r="E9" i="5"/>
  <c r="E21" i="5" s="1"/>
  <c r="L9" i="5"/>
  <c r="Z6" i="61"/>
  <c r="Z9" i="61" s="1"/>
  <c r="Z12" i="61" s="1"/>
  <c r="Z15" i="61" s="1"/>
  <c r="C4" i="3"/>
  <c r="E34" i="7"/>
  <c r="K2" i="61"/>
  <c r="D30" i="5" l="1"/>
  <c r="E31" i="5" s="1"/>
  <c r="J10" i="6"/>
  <c r="K10" i="6" s="1"/>
  <c r="C36" i="2"/>
  <c r="C7" i="2"/>
  <c r="B93" i="4"/>
  <c r="C92" i="4"/>
  <c r="A92" i="4"/>
  <c r="L2" i="61"/>
  <c r="N2" i="61" l="1"/>
  <c r="H9" i="5" s="1"/>
  <c r="B94" i="4"/>
  <c r="A93" i="4"/>
  <c r="C93" i="4"/>
  <c r="B95" i="4" l="1"/>
  <c r="C95" i="4" s="1"/>
  <c r="B96" i="4"/>
  <c r="C94" i="4"/>
  <c r="A94" i="4"/>
  <c r="A95" i="4" l="1"/>
  <c r="C96" i="4"/>
  <c r="B97" i="4"/>
  <c r="A96" i="4"/>
  <c r="B98" i="4" l="1"/>
  <c r="A97" i="4"/>
  <c r="C97" i="4"/>
  <c r="B99" i="4" l="1"/>
  <c r="B100" i="4" s="1"/>
  <c r="A98" i="4"/>
  <c r="C98" i="4"/>
  <c r="K1714" i="11"/>
  <c r="C100" i="4" l="1"/>
  <c r="A100" i="4"/>
  <c r="B101" i="4"/>
  <c r="C99" i="4"/>
  <c r="A99" i="4"/>
  <c r="B102" i="4" l="1"/>
  <c r="C102" i="4" s="1"/>
  <c r="A101" i="4"/>
  <c r="C101" i="4"/>
  <c r="B103" i="4" l="1"/>
  <c r="A102" i="4"/>
  <c r="C103" i="4"/>
  <c r="B104" i="4"/>
  <c r="A103" i="4"/>
  <c r="B105" i="4" l="1"/>
  <c r="C104" i="4"/>
  <c r="A104" i="4"/>
  <c r="AT365" i="13"/>
  <c r="L16" i="61"/>
  <c r="K16" i="61"/>
  <c r="AT395" i="13"/>
  <c r="AT30" i="13"/>
  <c r="AT32" i="13"/>
  <c r="AT112" i="13"/>
  <c r="AT363" i="13"/>
  <c r="AT48" i="13"/>
  <c r="AT458" i="13"/>
  <c r="M7" i="61"/>
  <c r="AT368" i="13"/>
  <c r="AT6" i="13"/>
  <c r="M4" i="61"/>
  <c r="D9" i="2" s="1"/>
  <c r="M10" i="61"/>
  <c r="F9" i="2" s="1"/>
  <c r="M13" i="61"/>
  <c r="AT4" i="13"/>
  <c r="AT111" i="13"/>
  <c r="AT26" i="13"/>
  <c r="M2" i="61"/>
  <c r="C9" i="2" s="1"/>
  <c r="AT91" i="13"/>
  <c r="AL17" i="61"/>
  <c r="C62" i="3" s="1"/>
  <c r="AJ17" i="61"/>
  <c r="H16" i="2" s="1"/>
  <c r="AT393" i="13"/>
  <c r="AT611" i="13"/>
  <c r="M25" i="61"/>
  <c r="K9" i="2" s="1"/>
  <c r="M16" i="61"/>
  <c r="H9" i="2" s="1"/>
  <c r="M22" i="61"/>
  <c r="J9" i="2" s="1"/>
  <c r="J10" i="2" s="1"/>
  <c r="L9" i="2"/>
  <c r="AT460" i="13"/>
  <c r="Z16" i="61"/>
  <c r="AB17" i="61"/>
  <c r="N14" i="5" s="1"/>
  <c r="M9" i="2"/>
  <c r="M34" i="61"/>
  <c r="N9" i="2" s="1"/>
  <c r="AT559" i="13"/>
  <c r="AT555" i="13"/>
  <c r="AT581" i="13"/>
  <c r="AT592" i="13"/>
  <c r="AT560" i="13"/>
  <c r="AT587" i="13"/>
  <c r="AT519" i="13"/>
  <c r="AT600" i="13"/>
  <c r="AT616" i="13"/>
  <c r="AT576" i="13"/>
  <c r="AT535" i="13"/>
  <c r="AT610" i="13"/>
  <c r="AT571" i="13"/>
  <c r="AT549" i="13"/>
  <c r="AT530" i="13"/>
  <c r="AT605" i="13"/>
  <c r="AT565" i="13"/>
  <c r="AT544" i="13"/>
  <c r="AT525" i="13"/>
  <c r="AT514" i="13"/>
  <c r="AT493" i="13"/>
  <c r="AT456" i="13"/>
  <c r="AT414" i="13"/>
  <c r="AT609" i="13"/>
  <c r="AT580" i="13"/>
  <c r="AT548" i="13"/>
  <c r="AT529" i="13"/>
  <c r="AT507" i="13"/>
  <c r="AT485" i="13"/>
  <c r="AT444" i="13"/>
  <c r="AT394" i="13"/>
  <c r="AT618" i="13"/>
  <c r="AT579" i="13"/>
  <c r="AT557" i="13"/>
  <c r="AT538" i="13"/>
  <c r="AT509" i="13"/>
  <c r="AT503" i="13"/>
  <c r="AT498" i="13"/>
  <c r="AT487" i="13"/>
  <c r="AT477" i="13"/>
  <c r="AT468" i="13"/>
  <c r="AT445" i="13"/>
  <c r="AT436" i="13"/>
  <c r="AT424" i="13"/>
  <c r="AT402" i="13"/>
  <c r="AT620" i="13"/>
  <c r="AT614" i="13"/>
  <c r="AT604" i="13"/>
  <c r="AT596" i="13"/>
  <c r="AT585" i="13"/>
  <c r="AT575" i="13"/>
  <c r="AT569" i="13"/>
  <c r="AT564" i="13"/>
  <c r="AT552" i="13"/>
  <c r="AT543" i="13"/>
  <c r="AT539" i="13"/>
  <c r="AT534" i="13"/>
  <c r="AT523" i="13"/>
  <c r="AT518" i="13"/>
  <c r="AT513" i="13"/>
  <c r="AT502" i="13"/>
  <c r="AT497" i="13"/>
  <c r="AT491" i="13"/>
  <c r="AT476" i="13"/>
  <c r="AT464" i="13"/>
  <c r="AT453" i="13"/>
  <c r="AT432" i="13"/>
  <c r="AT422" i="13"/>
  <c r="AT413" i="13"/>
  <c r="AT375" i="13"/>
  <c r="AT81" i="13"/>
  <c r="AT613" i="13"/>
  <c r="AT608" i="13"/>
  <c r="AT602" i="13"/>
  <c r="AT595" i="13"/>
  <c r="AT589" i="13"/>
  <c r="AT584" i="13"/>
  <c r="AT573" i="13"/>
  <c r="AT568" i="13"/>
  <c r="AT563" i="13"/>
  <c r="AT547" i="13"/>
  <c r="AT541" i="13"/>
  <c r="AT533" i="13"/>
  <c r="AT527" i="13"/>
  <c r="AT522" i="13"/>
  <c r="AT506" i="13"/>
  <c r="AT484" i="13"/>
  <c r="AT440" i="13"/>
  <c r="AT390" i="13"/>
  <c r="AT606" i="13"/>
  <c r="AT588" i="13"/>
  <c r="AT567" i="13"/>
  <c r="AT545" i="13"/>
  <c r="AT526" i="13"/>
  <c r="AT505" i="13"/>
  <c r="AT480" i="13"/>
  <c r="AT417" i="13"/>
  <c r="AT603" i="13"/>
  <c r="AT570" i="13"/>
  <c r="AT508" i="13"/>
  <c r="AT398" i="13"/>
  <c r="AT517" i="13"/>
  <c r="AT511" i="13"/>
  <c r="AT501" i="13"/>
  <c r="AT495" i="13"/>
  <c r="AT490" i="13"/>
  <c r="AT472" i="13"/>
  <c r="AT452" i="13"/>
  <c r="AT429" i="13"/>
  <c r="AT421" i="13"/>
  <c r="AT409" i="13"/>
  <c r="AT371" i="13"/>
  <c r="AT338" i="13"/>
  <c r="AT49" i="13"/>
  <c r="AT617" i="13"/>
  <c r="AT612" i="13"/>
  <c r="AT601" i="13"/>
  <c r="AT598" i="13"/>
  <c r="AT593" i="13"/>
  <c r="AT583" i="13"/>
  <c r="AT577" i="13"/>
  <c r="AT572" i="13"/>
  <c r="AT556" i="13"/>
  <c r="AT540" i="13"/>
  <c r="AT537" i="13"/>
  <c r="AT531" i="13"/>
  <c r="AT521" i="13"/>
  <c r="AT515" i="13"/>
  <c r="AT510" i="13"/>
  <c r="AT499" i="13"/>
  <c r="AT494" i="13"/>
  <c r="AT489" i="13"/>
  <c r="AT469" i="13"/>
  <c r="AT448" i="13"/>
  <c r="AT437" i="13"/>
  <c r="AT428" i="13"/>
  <c r="AT406" i="13"/>
  <c r="AT386" i="13"/>
  <c r="AT113" i="13"/>
  <c r="AT68" i="13"/>
  <c r="AT619" i="13"/>
  <c r="AT615" i="13"/>
  <c r="AT607" i="13"/>
  <c r="AT599" i="13"/>
  <c r="AT594" i="13"/>
  <c r="AT586" i="13"/>
  <c r="AT554" i="13"/>
  <c r="AT524" i="13"/>
  <c r="AT492" i="13"/>
  <c r="AT465" i="13"/>
  <c r="AT433" i="13"/>
  <c r="AT366" i="13"/>
  <c r="AT590" i="13"/>
  <c r="AT582" i="13"/>
  <c r="AT578" i="13"/>
  <c r="AT574" i="13"/>
  <c r="AT566" i="13"/>
  <c r="AT562" i="13"/>
  <c r="AT550" i="13"/>
  <c r="AT546" i="13"/>
  <c r="AT542" i="13"/>
  <c r="AT536" i="13"/>
  <c r="AT532" i="13"/>
  <c r="AT528" i="13"/>
  <c r="AT520" i="13"/>
  <c r="AT516" i="13"/>
  <c r="AT512" i="13"/>
  <c r="AT504" i="13"/>
  <c r="AT500" i="13"/>
  <c r="AT496" i="13"/>
  <c r="AT488" i="13"/>
  <c r="AT481" i="13"/>
  <c r="AT473" i="13"/>
  <c r="AT457" i="13"/>
  <c r="AT449" i="13"/>
  <c r="AT441" i="13"/>
  <c r="AT425" i="13"/>
  <c r="AT418" i="13"/>
  <c r="AT410" i="13"/>
  <c r="AT382" i="13"/>
  <c r="AT367" i="13"/>
  <c r="AT63" i="13"/>
  <c r="AT22" i="13"/>
  <c r="AT381" i="13"/>
  <c r="AT21" i="13"/>
  <c r="AT471" i="13"/>
  <c r="AT463" i="13"/>
  <c r="AT447" i="13"/>
  <c r="AT431" i="13"/>
  <c r="AT405" i="13"/>
  <c r="AT401" i="13"/>
  <c r="AT389" i="13"/>
  <c r="AT385" i="13"/>
  <c r="AT378" i="13"/>
  <c r="AT374" i="13"/>
  <c r="AT370" i="13"/>
  <c r="AT362" i="13"/>
  <c r="AT337" i="13"/>
  <c r="AT90" i="13"/>
  <c r="AT83" i="13"/>
  <c r="AT80" i="13"/>
  <c r="AT67" i="13"/>
  <c r="AT62" i="13"/>
  <c r="AT33" i="13"/>
  <c r="AT29" i="13"/>
  <c r="AT25" i="13"/>
  <c r="AT483" i="13"/>
  <c r="AT479" i="13"/>
  <c r="AT475" i="13"/>
  <c r="AT467" i="13"/>
  <c r="AT455" i="13"/>
  <c r="AT451" i="13"/>
  <c r="AT443" i="13"/>
  <c r="AT439" i="13"/>
  <c r="AT435" i="13"/>
  <c r="AT427" i="13"/>
  <c r="AT423" i="13"/>
  <c r="AT408" i="13"/>
  <c r="AT392" i="13"/>
  <c r="AT377" i="13"/>
  <c r="AT420" i="13"/>
  <c r="AT416" i="13"/>
  <c r="AT412" i="13"/>
  <c r="AT404" i="13"/>
  <c r="AT400" i="13"/>
  <c r="AT388" i="13"/>
  <c r="AT384" i="13"/>
  <c r="AT380" i="13"/>
  <c r="AT369" i="13"/>
  <c r="AT336" i="13"/>
  <c r="AT7" i="13"/>
  <c r="AT474" i="13"/>
  <c r="AT454" i="13"/>
  <c r="AT438" i="13"/>
  <c r="AT407" i="13"/>
  <c r="AT383" i="13"/>
  <c r="AT335" i="13"/>
  <c r="AT85" i="13"/>
  <c r="AT50" i="13"/>
  <c r="AT27" i="13"/>
  <c r="AT117" i="13"/>
  <c r="AT71" i="13"/>
  <c r="AT66" i="13"/>
  <c r="AT61" i="13"/>
  <c r="AT28" i="13"/>
  <c r="AT24" i="13"/>
  <c r="AT486" i="13"/>
  <c r="AT482" i="13"/>
  <c r="AT478" i="13"/>
  <c r="AT470" i="13"/>
  <c r="AT466" i="13"/>
  <c r="AT462" i="13"/>
  <c r="AT450" i="13"/>
  <c r="AT446" i="13"/>
  <c r="AT442" i="13"/>
  <c r="AT434" i="13"/>
  <c r="AT430" i="13"/>
  <c r="AT426" i="13"/>
  <c r="AT419" i="13"/>
  <c r="AT415" i="13"/>
  <c r="AT411" i="13"/>
  <c r="AT403" i="13"/>
  <c r="AT391" i="13"/>
  <c r="AT387" i="13"/>
  <c r="AT379" i="13"/>
  <c r="AT376" i="13"/>
  <c r="AT372" i="13"/>
  <c r="AT364" i="13"/>
  <c r="AT116" i="13"/>
  <c r="AT82" i="13"/>
  <c r="AT69" i="13"/>
  <c r="AT60" i="13"/>
  <c r="AT23" i="13"/>
  <c r="C24" i="2" l="1"/>
  <c r="C21" i="2"/>
  <c r="C22" i="2" s="1"/>
  <c r="C31" i="2" s="1"/>
  <c r="N10" i="2"/>
  <c r="M10" i="2"/>
  <c r="M21" i="2"/>
  <c r="M24" i="2"/>
  <c r="M18" i="2"/>
  <c r="A105" i="4"/>
  <c r="B106" i="4"/>
  <c r="C105" i="4"/>
  <c r="J24" i="2"/>
  <c r="J21" i="2"/>
  <c r="J18" i="2"/>
  <c r="P8" i="61"/>
  <c r="E9" i="2"/>
  <c r="K21" i="2"/>
  <c r="K24" i="2"/>
  <c r="K10" i="2"/>
  <c r="K18" i="2"/>
  <c r="L21" i="2"/>
  <c r="L24" i="2"/>
  <c r="L10" i="2"/>
  <c r="L18" i="2"/>
  <c r="C82" i="3"/>
  <c r="P14" i="61"/>
  <c r="G9" i="2"/>
  <c r="C16" i="3"/>
  <c r="P11" i="61"/>
  <c r="Q35" i="61"/>
  <c r="N26" i="61"/>
  <c r="C5" i="3"/>
  <c r="P32" i="61"/>
  <c r="O29" i="61"/>
  <c r="D24" i="2"/>
  <c r="D10" i="2"/>
  <c r="D21" i="2"/>
  <c r="D18" i="2"/>
  <c r="Z18" i="61"/>
  <c r="H5" i="2"/>
  <c r="C10" i="2"/>
  <c r="N32" i="61"/>
  <c r="Q32" i="61"/>
  <c r="L14" i="5"/>
  <c r="AT558" i="13"/>
  <c r="H35" i="5"/>
  <c r="I36" i="5" s="1"/>
  <c r="O14" i="5"/>
  <c r="N35" i="61"/>
  <c r="P35" i="61"/>
  <c r="C115" i="3"/>
  <c r="G11" i="5"/>
  <c r="C126" i="3"/>
  <c r="G19" i="5"/>
  <c r="G16" i="5"/>
  <c r="C49" i="3"/>
  <c r="O5" i="61"/>
  <c r="AT399" i="13"/>
  <c r="G12" i="5"/>
  <c r="G13" i="5"/>
  <c r="P29" i="61"/>
  <c r="C38" i="3"/>
  <c r="P5" i="61"/>
  <c r="C27" i="3"/>
  <c r="AT561" i="13"/>
  <c r="G20" i="5"/>
  <c r="O32" i="61"/>
  <c r="P26" i="61"/>
  <c r="O2" i="61"/>
  <c r="N13" i="61"/>
  <c r="AT31" i="13"/>
  <c r="AT110" i="13"/>
  <c r="AT397" i="13"/>
  <c r="AT84" i="13"/>
  <c r="AT591" i="13"/>
  <c r="Q10" i="61"/>
  <c r="Q7" i="61"/>
  <c r="N4" i="61"/>
  <c r="AT373" i="13"/>
  <c r="AT396" i="13"/>
  <c r="Q13" i="61"/>
  <c r="AT461" i="13"/>
  <c r="O7" i="61"/>
  <c r="AT459" i="13"/>
  <c r="O13" i="61"/>
  <c r="C60" i="3"/>
  <c r="Q17" i="61"/>
  <c r="G14" i="5"/>
  <c r="P17" i="61"/>
  <c r="O17" i="61"/>
  <c r="N10" i="61"/>
  <c r="N3" i="61"/>
  <c r="P3" i="61"/>
  <c r="G9" i="5"/>
  <c r="M6" i="61"/>
  <c r="M9" i="61" s="1"/>
  <c r="M12" i="61" s="1"/>
  <c r="M15" i="61" s="1"/>
  <c r="M18" i="61" s="1"/>
  <c r="C59" i="3"/>
  <c r="Q29" i="61"/>
  <c r="N23" i="61"/>
  <c r="Q26" i="61"/>
  <c r="G17" i="5"/>
  <c r="D61" i="3"/>
  <c r="F39" i="7"/>
  <c r="N29" i="61"/>
  <c r="G18" i="5"/>
  <c r="Q23" i="61"/>
  <c r="O23" i="61"/>
  <c r="O26" i="61"/>
  <c r="E39" i="7"/>
  <c r="N16" i="61"/>
  <c r="AT597" i="13"/>
  <c r="O35" i="61"/>
  <c r="C104" i="3"/>
  <c r="P23" i="61"/>
  <c r="C93" i="3"/>
  <c r="N7" i="61"/>
  <c r="O10" i="61"/>
  <c r="G10" i="5"/>
  <c r="C33" i="2" l="1"/>
  <c r="G8" i="7"/>
  <c r="J8" i="7" s="1"/>
  <c r="C39" i="2"/>
  <c r="D35" i="5"/>
  <c r="E35" i="5" s="1"/>
  <c r="J15" i="6"/>
  <c r="K15" i="6" s="1"/>
  <c r="M22" i="2"/>
  <c r="M31" i="2" s="1"/>
  <c r="D22" i="2"/>
  <c r="D31" i="2" s="1"/>
  <c r="G9" i="7" s="1"/>
  <c r="L22" i="2"/>
  <c r="L31" i="2" s="1"/>
  <c r="G17" i="7" s="1"/>
  <c r="K22" i="2"/>
  <c r="J22" i="2"/>
  <c r="J31" i="2" s="1"/>
  <c r="G15" i="7" s="1"/>
  <c r="C23" i="2"/>
  <c r="B107" i="4"/>
  <c r="C106" i="4"/>
  <c r="A106" i="4"/>
  <c r="H21" i="2"/>
  <c r="H36" i="2"/>
  <c r="H7" i="2"/>
  <c r="E24" i="2"/>
  <c r="E10" i="2"/>
  <c r="E21" i="2"/>
  <c r="E18" i="2"/>
  <c r="G10" i="2"/>
  <c r="G21" i="2"/>
  <c r="G24" i="2"/>
  <c r="G18" i="2"/>
  <c r="H10" i="2"/>
  <c r="H24" i="2"/>
  <c r="F10" i="2"/>
  <c r="F24" i="2"/>
  <c r="F21" i="2"/>
  <c r="F18" i="2"/>
  <c r="H18" i="2"/>
  <c r="I35" i="5"/>
  <c r="N11" i="61"/>
  <c r="H12" i="5"/>
  <c r="I13" i="5"/>
  <c r="O14" i="61"/>
  <c r="I11" i="5"/>
  <c r="O8" i="61"/>
  <c r="Q11" i="61"/>
  <c r="K12" i="5"/>
  <c r="O6" i="61"/>
  <c r="O9" i="61" s="1"/>
  <c r="O12" i="61" s="1"/>
  <c r="O15" i="61" s="1"/>
  <c r="O18" i="61" s="1"/>
  <c r="I9" i="5"/>
  <c r="O3" i="61"/>
  <c r="O11" i="61"/>
  <c r="I12" i="5"/>
  <c r="N17" i="61"/>
  <c r="H14" i="5"/>
  <c r="H39" i="7"/>
  <c r="Q8" i="61"/>
  <c r="K11" i="5"/>
  <c r="N8" i="61"/>
  <c r="H11" i="5"/>
  <c r="E13" i="7"/>
  <c r="K13" i="5"/>
  <c r="Q14" i="61"/>
  <c r="H10" i="5"/>
  <c r="N6" i="61"/>
  <c r="N9" i="61" s="1"/>
  <c r="N12" i="61" s="1"/>
  <c r="N15" i="61" s="1"/>
  <c r="N18" i="61" s="1"/>
  <c r="N5" i="61"/>
  <c r="H13" i="5"/>
  <c r="N14" i="61"/>
  <c r="G19" i="7" l="1"/>
  <c r="G18" i="7"/>
  <c r="H18" i="7" s="1"/>
  <c r="L8" i="7"/>
  <c r="L20" i="7" s="1"/>
  <c r="H8" i="7"/>
  <c r="D23" i="2"/>
  <c r="K31" i="2"/>
  <c r="M23" i="2"/>
  <c r="K23" i="2"/>
  <c r="K39" i="2"/>
  <c r="K40" i="2"/>
  <c r="M39" i="2"/>
  <c r="M40" i="2"/>
  <c r="L23" i="2"/>
  <c r="L39" i="2"/>
  <c r="D40" i="2"/>
  <c r="L40" i="2"/>
  <c r="D39" i="2"/>
  <c r="J40" i="2"/>
  <c r="J23" i="2"/>
  <c r="J39" i="2"/>
  <c r="H15" i="7"/>
  <c r="J33" i="2"/>
  <c r="H17" i="7"/>
  <c r="L33" i="2"/>
  <c r="H19" i="7"/>
  <c r="M33" i="2"/>
  <c r="E22" i="2"/>
  <c r="E31" i="2" s="1"/>
  <c r="G22" i="2"/>
  <c r="H22" i="2"/>
  <c r="F22" i="2"/>
  <c r="C107" i="4"/>
  <c r="B108" i="4"/>
  <c r="B109" i="4" s="1"/>
  <c r="A107" i="4"/>
  <c r="C40" i="2"/>
  <c r="E33" i="2" l="1"/>
  <c r="G10" i="7"/>
  <c r="G16" i="7"/>
  <c r="H16" i="7" s="1"/>
  <c r="B110" i="4"/>
  <c r="C109" i="4"/>
  <c r="A109" i="4"/>
  <c r="K33" i="2"/>
  <c r="F40" i="2"/>
  <c r="F31" i="2"/>
  <c r="G11" i="7" s="1"/>
  <c r="H40" i="2"/>
  <c r="H31" i="2"/>
  <c r="G13" i="7" s="1"/>
  <c r="G40" i="2"/>
  <c r="G31" i="2"/>
  <c r="G12" i="7" s="1"/>
  <c r="F23" i="2"/>
  <c r="H39" i="2"/>
  <c r="G23" i="2"/>
  <c r="G39" i="2"/>
  <c r="E39" i="2"/>
  <c r="E40" i="2"/>
  <c r="E23" i="2"/>
  <c r="F39" i="2"/>
  <c r="H23" i="2"/>
  <c r="D33" i="2"/>
  <c r="A108" i="4"/>
  <c r="C108" i="4"/>
  <c r="B111" i="4" l="1"/>
  <c r="A110" i="4"/>
  <c r="C110" i="4"/>
  <c r="H33" i="2"/>
  <c r="L9" i="7"/>
  <c r="H9" i="7"/>
  <c r="J9" i="7"/>
  <c r="J10" i="7"/>
  <c r="H10" i="7"/>
  <c r="G33" i="2"/>
  <c r="F33" i="2"/>
  <c r="AL20" i="61"/>
  <c r="C73" i="3" s="1"/>
  <c r="AE20" i="61"/>
  <c r="I12" i="2" s="1"/>
  <c r="C111" i="4" l="1"/>
  <c r="B112" i="4"/>
  <c r="A111" i="4"/>
  <c r="I28" i="2"/>
  <c r="I27" i="2"/>
  <c r="J13" i="7"/>
  <c r="H13" i="7"/>
  <c r="H11" i="7"/>
  <c r="J11" i="7"/>
  <c r="J20" i="7" s="1"/>
  <c r="J12" i="7"/>
  <c r="H12" i="7"/>
  <c r="M16" i="6"/>
  <c r="N16" i="6" s="1"/>
  <c r="I46" i="2"/>
  <c r="I45" i="2"/>
  <c r="I13" i="2"/>
  <c r="C72" i="3"/>
  <c r="C74" i="3" s="1"/>
  <c r="T15" i="5"/>
  <c r="G40" i="7"/>
  <c r="B113" i="4" l="1"/>
  <c r="A112" i="4"/>
  <c r="C112" i="4"/>
  <c r="I29" i="2"/>
  <c r="I30" i="2" s="1"/>
  <c r="I14" i="2"/>
  <c r="H40" i="7"/>
  <c r="M36" i="5"/>
  <c r="U15" i="5"/>
  <c r="C113" i="4" l="1"/>
  <c r="A113" i="4"/>
  <c r="B114" i="4"/>
  <c r="N36" i="5"/>
  <c r="N37" i="5"/>
  <c r="I19" i="61"/>
  <c r="E15" i="5" s="1"/>
  <c r="Z758" i="13"/>
  <c r="AN758" i="13" s="1"/>
  <c r="AN19" i="61" s="1"/>
  <c r="I20" i="61"/>
  <c r="B115" i="4" l="1"/>
  <c r="C114" i="4"/>
  <c r="A114" i="4"/>
  <c r="AV758" i="13"/>
  <c r="AX758" i="13" s="1"/>
  <c r="AO758" i="13"/>
  <c r="Z19" i="61"/>
  <c r="I5" i="2" s="1"/>
  <c r="AM758" i="13"/>
  <c r="I21" i="61"/>
  <c r="I24" i="61" s="1"/>
  <c r="I27" i="61" s="1"/>
  <c r="K19" i="61"/>
  <c r="C115" i="4" l="1"/>
  <c r="A115" i="4"/>
  <c r="B116" i="4"/>
  <c r="AV880" i="13"/>
  <c r="AY758" i="13"/>
  <c r="AX880" i="13"/>
  <c r="I30" i="61"/>
  <c r="I33" i="61" s="1"/>
  <c r="I36" i="61" s="1"/>
  <c r="I7" i="2"/>
  <c r="M880" i="13"/>
  <c r="L15" i="5"/>
  <c r="C70" i="3"/>
  <c r="I36" i="2"/>
  <c r="E40" i="7"/>
  <c r="E14" i="7" s="1"/>
  <c r="AO19" i="61"/>
  <c r="AO20" i="61" s="1"/>
  <c r="I17" i="2" s="1"/>
  <c r="Z21" i="61"/>
  <c r="Z24" i="61" s="1"/>
  <c r="Z27" i="61" s="1"/>
  <c r="Z30" i="61" s="1"/>
  <c r="Z33" i="61" s="1"/>
  <c r="L19" i="61"/>
  <c r="A116" i="4" l="1"/>
  <c r="C116" i="4"/>
  <c r="B117" i="4"/>
  <c r="Q758" i="13"/>
  <c r="N758" i="13"/>
  <c r="J16" i="6"/>
  <c r="K16" i="6" s="1"/>
  <c r="M19" i="61"/>
  <c r="M21" i="61" s="1"/>
  <c r="M24" i="61" s="1"/>
  <c r="M27" i="61" s="1"/>
  <c r="M30" i="61" s="1"/>
  <c r="M33" i="61" s="1"/>
  <c r="M36" i="61" s="1"/>
  <c r="D36" i="5"/>
  <c r="E36" i="5" s="1"/>
  <c r="J881" i="13"/>
  <c r="D409" i="4"/>
  <c r="O19" i="61"/>
  <c r="B118" i="4" l="1"/>
  <c r="A117" i="4"/>
  <c r="C117" i="4"/>
  <c r="N880" i="13"/>
  <c r="F409" i="4" s="1"/>
  <c r="N19" i="61"/>
  <c r="N20" i="61" s="1"/>
  <c r="E37" i="5"/>
  <c r="P20" i="61"/>
  <c r="C71" i="3"/>
  <c r="I9" i="2"/>
  <c r="I24" i="2" s="1"/>
  <c r="G15" i="5"/>
  <c r="G21" i="5" s="1"/>
  <c r="G22" i="5" s="1"/>
  <c r="G409" i="4"/>
  <c r="I15" i="5"/>
  <c r="I21" i="5" s="1"/>
  <c r="O21" i="61"/>
  <c r="O24" i="61" s="1"/>
  <c r="O27" i="61" s="1"/>
  <c r="O30" i="61" s="1"/>
  <c r="O33" i="61" s="1"/>
  <c r="O36" i="61" s="1"/>
  <c r="O20" i="61"/>
  <c r="B119" i="4" l="1"/>
  <c r="C118" i="4"/>
  <c r="A118" i="4"/>
  <c r="H15" i="5"/>
  <c r="H21" i="5" s="1"/>
  <c r="H22" i="5" s="1"/>
  <c r="N21" i="61"/>
  <c r="N24" i="61" s="1"/>
  <c r="N27" i="61" s="1"/>
  <c r="N30" i="61" s="1"/>
  <c r="N33" i="61" s="1"/>
  <c r="N36" i="61" s="1"/>
  <c r="I21" i="2"/>
  <c r="I22" i="2" s="1"/>
  <c r="I31" i="2" s="1"/>
  <c r="G14" i="7" s="1"/>
  <c r="J22" i="5"/>
  <c r="I22" i="5"/>
  <c r="I18" i="2"/>
  <c r="I10" i="2"/>
  <c r="O10" i="2" s="1"/>
  <c r="O9" i="2"/>
  <c r="C119" i="4" l="1"/>
  <c r="B120" i="4"/>
  <c r="A119" i="4"/>
  <c r="I33" i="2"/>
  <c r="I39" i="2"/>
  <c r="I40" i="2"/>
  <c r="I23" i="2"/>
  <c r="B121" i="4" l="1"/>
  <c r="A120" i="4"/>
  <c r="C120" i="4"/>
  <c r="G20" i="7"/>
  <c r="J14" i="7"/>
  <c r="H14" i="7"/>
  <c r="H20" i="7" s="1"/>
  <c r="AT758" i="13"/>
  <c r="Q19" i="61"/>
  <c r="B122" i="4" l="1"/>
  <c r="A121" i="4"/>
  <c r="C121" i="4"/>
  <c r="Q20" i="61"/>
  <c r="K15" i="5"/>
  <c r="BB24" i="13"/>
  <c r="BB32" i="13"/>
  <c r="BB55" i="13"/>
  <c r="BB66" i="13"/>
  <c r="BB75" i="13"/>
  <c r="BB89" i="13"/>
  <c r="BB117" i="13"/>
  <c r="BB31" i="13"/>
  <c r="BB85" i="13"/>
  <c r="BB375" i="13"/>
  <c r="BB391" i="13"/>
  <c r="BB407" i="13"/>
  <c r="BB423" i="13"/>
  <c r="BB439" i="13"/>
  <c r="BB7" i="13"/>
  <c r="BB28" i="13"/>
  <c r="BB39" i="13"/>
  <c r="BB61" i="13"/>
  <c r="BB71" i="13"/>
  <c r="BB111" i="13"/>
  <c r="BB23" i="13"/>
  <c r="BB42" i="13"/>
  <c r="BB54" i="13"/>
  <c r="BB74" i="13"/>
  <c r="BB116" i="13"/>
  <c r="BB370" i="13"/>
  <c r="BB386" i="13"/>
  <c r="BB402" i="13"/>
  <c r="BB418" i="13"/>
  <c r="BB434" i="13"/>
  <c r="BB450" i="13"/>
  <c r="BB466" i="13"/>
  <c r="BB482" i="13"/>
  <c r="BB366" i="13"/>
  <c r="BB382" i="13"/>
  <c r="BB398" i="13"/>
  <c r="BB414" i="13"/>
  <c r="BB430" i="13"/>
  <c r="BB446" i="13"/>
  <c r="BB462" i="13"/>
  <c r="BB478" i="13"/>
  <c r="BB27" i="13"/>
  <c r="BB60" i="13"/>
  <c r="BB38" i="13"/>
  <c r="BB69" i="13"/>
  <c r="BB367" i="13"/>
  <c r="BB399" i="13"/>
  <c r="BB431" i="13"/>
  <c r="BB463" i="13"/>
  <c r="BB494" i="13"/>
  <c r="BB510" i="13"/>
  <c r="BB526" i="13"/>
  <c r="BB542" i="13"/>
  <c r="BB558" i="13"/>
  <c r="BB574" i="13"/>
  <c r="BB590" i="13"/>
  <c r="BB606" i="13"/>
  <c r="BB622" i="13"/>
  <c r="BB631" i="13"/>
  <c r="BB639" i="13"/>
  <c r="BB647" i="13"/>
  <c r="BB655" i="13"/>
  <c r="BB663" i="13"/>
  <c r="BB671" i="13"/>
  <c r="BB679" i="13"/>
  <c r="BB687" i="13"/>
  <c r="BB695" i="13"/>
  <c r="BB703" i="13"/>
  <c r="BB711" i="13"/>
  <c r="BB719" i="13"/>
  <c r="BB727" i="13"/>
  <c r="BB735" i="13"/>
  <c r="BB743" i="13"/>
  <c r="BB751" i="13"/>
  <c r="BB759" i="13"/>
  <c r="BB767" i="13"/>
  <c r="BB774" i="13"/>
  <c r="BB782" i="13"/>
  <c r="BB790" i="13"/>
  <c r="BB798" i="13"/>
  <c r="BB806" i="13"/>
  <c r="BB814" i="13"/>
  <c r="BB822" i="13"/>
  <c r="BB830" i="13"/>
  <c r="BB838" i="13"/>
  <c r="BB846" i="13"/>
  <c r="BB857" i="13"/>
  <c r="BB856" i="13"/>
  <c r="BB875" i="13"/>
  <c r="BB73" i="13"/>
  <c r="BB385" i="13"/>
  <c r="BB415" i="13"/>
  <c r="BB443" i="13"/>
  <c r="BB470" i="13"/>
  <c r="BB498" i="13"/>
  <c r="BB519" i="13"/>
  <c r="BB539" i="13"/>
  <c r="BB562" i="13"/>
  <c r="BB583" i="13"/>
  <c r="BB603" i="13"/>
  <c r="BB625" i="13"/>
  <c r="BB641" i="13"/>
  <c r="BB657" i="13"/>
  <c r="BB673" i="13"/>
  <c r="BB689" i="13"/>
  <c r="BB705" i="13"/>
  <c r="BB721" i="13"/>
  <c r="BB737" i="13"/>
  <c r="BB753" i="13"/>
  <c r="BB63" i="13"/>
  <c r="BB395" i="13"/>
  <c r="BB454" i="13"/>
  <c r="BB506" i="13"/>
  <c r="BB547" i="13"/>
  <c r="BB602" i="13"/>
  <c r="BB640" i="13"/>
  <c r="BB661" i="13"/>
  <c r="BB688" i="13"/>
  <c r="BB709" i="13"/>
  <c r="BB736" i="13"/>
  <c r="BB757" i="13"/>
  <c r="BB783" i="13"/>
  <c r="BB804" i="13"/>
  <c r="BB831" i="13"/>
  <c r="BB852" i="13"/>
  <c r="BB84" i="13"/>
  <c r="BB362" i="13"/>
  <c r="BB390" i="13"/>
  <c r="BB417" i="13"/>
  <c r="BB447" i="13"/>
  <c r="BB475" i="13"/>
  <c r="BB499" i="13"/>
  <c r="BB554" i="13"/>
  <c r="BB637" i="13"/>
  <c r="BB701" i="13"/>
  <c r="BB765" i="13"/>
  <c r="BB828" i="13"/>
  <c r="BB773" i="13"/>
  <c r="BB789" i="13"/>
  <c r="BB805" i="13"/>
  <c r="BB821" i="13"/>
  <c r="BB837" i="13"/>
  <c r="BB853" i="13"/>
  <c r="BB874" i="13"/>
  <c r="BB531" i="13"/>
  <c r="BB618" i="13"/>
  <c r="BB685" i="13"/>
  <c r="BB749" i="13"/>
  <c r="BB812" i="13"/>
  <c r="BB113" i="13"/>
  <c r="BB394" i="13"/>
  <c r="BB449" i="13"/>
  <c r="BB503" i="13"/>
  <c r="BB546" i="13"/>
  <c r="BB587" i="13"/>
  <c r="BB633" i="13"/>
  <c r="BB665" i="13"/>
  <c r="BB697" i="13"/>
  <c r="BB729" i="13"/>
  <c r="BB761" i="13"/>
  <c r="BB792" i="13"/>
  <c r="BB824" i="13"/>
  <c r="BB859" i="13"/>
  <c r="BB559" i="13"/>
  <c r="BB455" i="13"/>
  <c r="BB471" i="13"/>
  <c r="BB487" i="13"/>
  <c r="BB371" i="13"/>
  <c r="BB387" i="13"/>
  <c r="BB403" i="13"/>
  <c r="BB419" i="13"/>
  <c r="BB435" i="13"/>
  <c r="BB451" i="13"/>
  <c r="BB467" i="13"/>
  <c r="BB483" i="13"/>
  <c r="BB46" i="13"/>
  <c r="BB82" i="13"/>
  <c r="BB6" i="13"/>
  <c r="BB110" i="13"/>
  <c r="BB336" i="13"/>
  <c r="BB378" i="13"/>
  <c r="BB410" i="13"/>
  <c r="BB442" i="13"/>
  <c r="BB474" i="13"/>
  <c r="BB502" i="13"/>
  <c r="BB518" i="13"/>
  <c r="BB534" i="13"/>
  <c r="BB550" i="13"/>
  <c r="BB566" i="13"/>
  <c r="BB582" i="13"/>
  <c r="BB598" i="13"/>
  <c r="BB614" i="13"/>
  <c r="BB627" i="13"/>
  <c r="BB635" i="13"/>
  <c r="BB643" i="13"/>
  <c r="BB651" i="13"/>
  <c r="BB659" i="13"/>
  <c r="BB667" i="13"/>
  <c r="BB675" i="13"/>
  <c r="BB683" i="13"/>
  <c r="BB691" i="13"/>
  <c r="BB699" i="13"/>
  <c r="BB707" i="13"/>
  <c r="BB715" i="13"/>
  <c r="BB723" i="13"/>
  <c r="BB731" i="13"/>
  <c r="BB739" i="13"/>
  <c r="BB747" i="13"/>
  <c r="BB755" i="13"/>
  <c r="BB763" i="13"/>
  <c r="BB770" i="13"/>
  <c r="BB778" i="13"/>
  <c r="BB786" i="13"/>
  <c r="BB794" i="13"/>
  <c r="BB802" i="13"/>
  <c r="BB810" i="13"/>
  <c r="BB818" i="13"/>
  <c r="BB826" i="13"/>
  <c r="BB834" i="13"/>
  <c r="BB842" i="13"/>
  <c r="BB850" i="13"/>
  <c r="BB861" i="13"/>
  <c r="BB876" i="13"/>
  <c r="BB373" i="13"/>
  <c r="BB401" i="13"/>
  <c r="BB427" i="13"/>
  <c r="BB458" i="13"/>
  <c r="BB486" i="13"/>
  <c r="BB507" i="13"/>
  <c r="BB530" i="13"/>
  <c r="BB551" i="13"/>
  <c r="BB571" i="13"/>
  <c r="BB594" i="13"/>
  <c r="BB615" i="13"/>
  <c r="BB630" i="13"/>
  <c r="BB646" i="13"/>
  <c r="BB662" i="13"/>
  <c r="BB678" i="13"/>
  <c r="BB694" i="13"/>
  <c r="BB710" i="13"/>
  <c r="BB726" i="13"/>
  <c r="BB742" i="13"/>
  <c r="BB758" i="13"/>
  <c r="BB769" i="13"/>
  <c r="BB784" i="13"/>
  <c r="BB800" i="13"/>
  <c r="BB816" i="13"/>
  <c r="BB832" i="13"/>
  <c r="BB848" i="13"/>
  <c r="BB872" i="13"/>
  <c r="BB426" i="13"/>
  <c r="BB481" i="13"/>
  <c r="BB527" i="13"/>
  <c r="BB579" i="13"/>
  <c r="BB623" i="13"/>
  <c r="BB650" i="13"/>
  <c r="BB672" i="13"/>
  <c r="BB698" i="13"/>
  <c r="BB725" i="13"/>
  <c r="BB746" i="13"/>
  <c r="BB772" i="13"/>
  <c r="BB793" i="13"/>
  <c r="BB820" i="13"/>
  <c r="BB841" i="13"/>
  <c r="BB873" i="13"/>
  <c r="BB337" i="13"/>
  <c r="BB374" i="13"/>
  <c r="BB405" i="13"/>
  <c r="BB433" i="13"/>
  <c r="BB459" i="13"/>
  <c r="BB490" i="13"/>
  <c r="BB511" i="13"/>
  <c r="BB575" i="13"/>
  <c r="BB595" i="13"/>
  <c r="BB653" i="13"/>
  <c r="BB669" i="13"/>
  <c r="BB717" i="13"/>
  <c r="BB733" i="13"/>
  <c r="BB780" i="13"/>
  <c r="BB796" i="13"/>
  <c r="BB844" i="13"/>
  <c r="BB863" i="13"/>
  <c r="BB22" i="13"/>
  <c r="BB363" i="13"/>
  <c r="BB422" i="13"/>
  <c r="BB479" i="13"/>
  <c r="BB523" i="13"/>
  <c r="BB567" i="13"/>
  <c r="BB610" i="13"/>
  <c r="BB649" i="13"/>
  <c r="BB681" i="13"/>
  <c r="BB713" i="13"/>
  <c r="BB745" i="13"/>
  <c r="BB776" i="13"/>
  <c r="BB808" i="13"/>
  <c r="BB840" i="13"/>
  <c r="BB369" i="13"/>
  <c r="BB666" i="13"/>
  <c r="AY880" i="13"/>
  <c r="BB515" i="13"/>
  <c r="BB645" i="13"/>
  <c r="BB522" i="13"/>
  <c r="BB543" i="13"/>
  <c r="BB563" i="13"/>
  <c r="BB586" i="13"/>
  <c r="BB607" i="13"/>
  <c r="BB626" i="13"/>
  <c r="BB642" i="13"/>
  <c r="BB658" i="13"/>
  <c r="BB674" i="13"/>
  <c r="BB690" i="13"/>
  <c r="BB706" i="13"/>
  <c r="BB722" i="13"/>
  <c r="BB738" i="13"/>
  <c r="BB754" i="13"/>
  <c r="BB785" i="13"/>
  <c r="BB801" i="13"/>
  <c r="BB817" i="13"/>
  <c r="BB833" i="13"/>
  <c r="BB849" i="13"/>
  <c r="BB865" i="13"/>
  <c r="BB53" i="13"/>
  <c r="BB379" i="13"/>
  <c r="BB406" i="13"/>
  <c r="BB437" i="13"/>
  <c r="BB465" i="13"/>
  <c r="BB491" i="13"/>
  <c r="BB514" i="13"/>
  <c r="BB535" i="13"/>
  <c r="BB555" i="13"/>
  <c r="BB578" i="13"/>
  <c r="BB599" i="13"/>
  <c r="BB619" i="13"/>
  <c r="BB638" i="13"/>
  <c r="BB654" i="13"/>
  <c r="BB670" i="13"/>
  <c r="BB686" i="13"/>
  <c r="BB702" i="13"/>
  <c r="BB718" i="13"/>
  <c r="BB734" i="13"/>
  <c r="BB750" i="13"/>
  <c r="BB766" i="13"/>
  <c r="BB781" i="13"/>
  <c r="BB797" i="13"/>
  <c r="BB813" i="13"/>
  <c r="BB829" i="13"/>
  <c r="BB845" i="13"/>
  <c r="BB855" i="13"/>
  <c r="BB30" i="13"/>
  <c r="BB411" i="13"/>
  <c r="BB469" i="13"/>
  <c r="BB591" i="13"/>
  <c r="BB629" i="13"/>
  <c r="BB682" i="13"/>
  <c r="BB704" i="13"/>
  <c r="BB720" i="13"/>
  <c r="BB741" i="13"/>
  <c r="BB762" i="13"/>
  <c r="BB777" i="13"/>
  <c r="BB799" i="13"/>
  <c r="BB815" i="13"/>
  <c r="BB836" i="13"/>
  <c r="BB860" i="13"/>
  <c r="BB760" i="13"/>
  <c r="BB791" i="13"/>
  <c r="BB648" i="13"/>
  <c r="BB756" i="13"/>
  <c r="BB843" i="13"/>
  <c r="BB680" i="13"/>
  <c r="BB588" i="13"/>
  <c r="BB528" i="13"/>
  <c r="BB472" i="13"/>
  <c r="BB400" i="13"/>
  <c r="BB616" i="13"/>
  <c r="BB548" i="13"/>
  <c r="BB476" i="13"/>
  <c r="BB392" i="13"/>
  <c r="BB376" i="13"/>
  <c r="BB90" i="13"/>
  <c r="BB48" i="13"/>
  <c r="BB609" i="13"/>
  <c r="BB577" i="13"/>
  <c r="BB545" i="13"/>
  <c r="BB513" i="13"/>
  <c r="BB473" i="13"/>
  <c r="BB409" i="13"/>
  <c r="BB335" i="13"/>
  <c r="BB91" i="13"/>
  <c r="BB839" i="13"/>
  <c r="BB851" i="13"/>
  <c r="BB692" i="13"/>
  <c r="BB383" i="13"/>
  <c r="BB438" i="13"/>
  <c r="BB495" i="13"/>
  <c r="BB538" i="13"/>
  <c r="BB570" i="13"/>
  <c r="BB611" i="13"/>
  <c r="BB634" i="13"/>
  <c r="BB656" i="13"/>
  <c r="BB677" i="13"/>
  <c r="BB693" i="13"/>
  <c r="BB714" i="13"/>
  <c r="BB730" i="13"/>
  <c r="BB752" i="13"/>
  <c r="BB768" i="13"/>
  <c r="BB788" i="13"/>
  <c r="BB809" i="13"/>
  <c r="BB825" i="13"/>
  <c r="BB847" i="13"/>
  <c r="BB854" i="13"/>
  <c r="BB862" i="13"/>
  <c r="BB644" i="13"/>
  <c r="BB708" i="13"/>
  <c r="BB835" i="13"/>
  <c r="BB676" i="13"/>
  <c r="BB764" i="13"/>
  <c r="BB620" i="13"/>
  <c r="BB560" i="13"/>
  <c r="BB500" i="13"/>
  <c r="BB440" i="13"/>
  <c r="BB408" i="13"/>
  <c r="BB580" i="13"/>
  <c r="BB512" i="13"/>
  <c r="BB444" i="13"/>
  <c r="BB421" i="13"/>
  <c r="BB67" i="13"/>
  <c r="BB33" i="13"/>
  <c r="BB593" i="13"/>
  <c r="BB561" i="13"/>
  <c r="BB529" i="13"/>
  <c r="BB497" i="13"/>
  <c r="BB441" i="13"/>
  <c r="BB377" i="13"/>
  <c r="BB49" i="13"/>
  <c r="BB740" i="13"/>
  <c r="BB771" i="13"/>
  <c r="BB628" i="13"/>
  <c r="BB819" i="13"/>
  <c r="BB664" i="13"/>
  <c r="BB744" i="13"/>
  <c r="BB612" i="13"/>
  <c r="BB552" i="13"/>
  <c r="BB492" i="13"/>
  <c r="BB432" i="13"/>
  <c r="BB396" i="13"/>
  <c r="BB572" i="13"/>
  <c r="BB504" i="13"/>
  <c r="BB436" i="13"/>
  <c r="BB389" i="13"/>
  <c r="BB62" i="13"/>
  <c r="BB29" i="13"/>
  <c r="BB605" i="13"/>
  <c r="BB573" i="13"/>
  <c r="BB541" i="13"/>
  <c r="BB509" i="13"/>
  <c r="BB461" i="13"/>
  <c r="BB397" i="13"/>
  <c r="BB81" i="13"/>
  <c r="BB668" i="13"/>
  <c r="BB712" i="13"/>
  <c r="BB576" i="13"/>
  <c r="BB516" i="13"/>
  <c r="BB600" i="13"/>
  <c r="BB532" i="13"/>
  <c r="BB368" i="13"/>
  <c r="BB80" i="13"/>
  <c r="BB585" i="13"/>
  <c r="BB553" i="13"/>
  <c r="BB425" i="13"/>
  <c r="BB779" i="13"/>
  <c r="BB811" i="13"/>
  <c r="BB877" i="13"/>
  <c r="BB700" i="13"/>
  <c r="BB448" i="13"/>
  <c r="BB420" i="13"/>
  <c r="BB452" i="13"/>
  <c r="BB453" i="13"/>
  <c r="BB613" i="13"/>
  <c r="BB517" i="13"/>
  <c r="BB477" i="13"/>
  <c r="Z880" i="13"/>
  <c r="BB732" i="13"/>
  <c r="BB823" i="13"/>
  <c r="BB660" i="13"/>
  <c r="BB584" i="13"/>
  <c r="BB524" i="13"/>
  <c r="BB464" i="13"/>
  <c r="BB384" i="13"/>
  <c r="BB608" i="13"/>
  <c r="BB540" i="13"/>
  <c r="BB468" i="13"/>
  <c r="BB372" i="13"/>
  <c r="BB83" i="13"/>
  <c r="BB621" i="13"/>
  <c r="BB589" i="13"/>
  <c r="BB557" i="13"/>
  <c r="BB525" i="13"/>
  <c r="BB493" i="13"/>
  <c r="BB429" i="13"/>
  <c r="BB365" i="13"/>
  <c r="BB803" i="13"/>
  <c r="BB827" i="13"/>
  <c r="BB807" i="13"/>
  <c r="BB632" i="13"/>
  <c r="BB456" i="13"/>
  <c r="BB428" i="13"/>
  <c r="BB460" i="13"/>
  <c r="BB485" i="13"/>
  <c r="BB617" i="13"/>
  <c r="BB521" i="13"/>
  <c r="BB489" i="13"/>
  <c r="BB652" i="13"/>
  <c r="BB775" i="13"/>
  <c r="BB568" i="13"/>
  <c r="BB508" i="13"/>
  <c r="BB592" i="13"/>
  <c r="BB520" i="13"/>
  <c r="BB364" i="13"/>
  <c r="BB72" i="13"/>
  <c r="BB581" i="13"/>
  <c r="BB549" i="13"/>
  <c r="BB413" i="13"/>
  <c r="BB26" i="13"/>
  <c r="BB36" i="13"/>
  <c r="AL35" i="61"/>
  <c r="C128" i="3" s="1"/>
  <c r="BB45" i="13"/>
  <c r="BB716" i="13"/>
  <c r="BB748" i="13"/>
  <c r="BB795" i="13"/>
  <c r="BB636" i="13"/>
  <c r="BB724" i="13"/>
  <c r="BB604" i="13"/>
  <c r="BB544" i="13"/>
  <c r="BB484" i="13"/>
  <c r="BB416" i="13"/>
  <c r="BB388" i="13"/>
  <c r="BB564" i="13"/>
  <c r="BB496" i="13"/>
  <c r="BB424" i="13"/>
  <c r="BB56" i="13"/>
  <c r="BB25" i="13"/>
  <c r="BB601" i="13"/>
  <c r="BB569" i="13"/>
  <c r="BB537" i="13"/>
  <c r="BB505" i="13"/>
  <c r="BB457" i="13"/>
  <c r="BB393" i="13"/>
  <c r="BB68" i="13"/>
  <c r="BB684" i="13"/>
  <c r="BB728" i="13"/>
  <c r="BB858" i="13"/>
  <c r="BB696" i="13"/>
  <c r="BB787" i="13"/>
  <c r="BB596" i="13"/>
  <c r="BB536" i="13"/>
  <c r="BB480" i="13"/>
  <c r="BB412" i="13"/>
  <c r="BB624" i="13"/>
  <c r="BB556" i="13"/>
  <c r="BB488" i="13"/>
  <c r="BB404" i="13"/>
  <c r="BB380" i="13"/>
  <c r="BB338" i="13"/>
  <c r="BB112" i="13"/>
  <c r="BB52" i="13"/>
  <c r="BB21" i="13"/>
  <c r="BB597" i="13"/>
  <c r="BB565" i="13"/>
  <c r="BB533" i="13"/>
  <c r="BB501" i="13"/>
  <c r="BB445" i="13"/>
  <c r="BB381" i="13"/>
  <c r="BB57" i="13"/>
  <c r="BB5" i="13"/>
  <c r="AK35" i="61"/>
  <c r="AB880" i="13"/>
  <c r="L880" i="13"/>
  <c r="AN880" i="13"/>
  <c r="AD35" i="61"/>
  <c r="Q20" i="5" s="1"/>
  <c r="J41" i="5" s="1"/>
  <c r="AB35" i="61"/>
  <c r="N20" i="5" s="1"/>
  <c r="AJ35" i="61"/>
  <c r="F45" i="7" s="1"/>
  <c r="K34" i="61"/>
  <c r="K36" i="61" s="1"/>
  <c r="L34" i="61"/>
  <c r="L36" i="61" s="1"/>
  <c r="Z34" i="61"/>
  <c r="N5" i="2" s="1"/>
  <c r="AN34" i="61"/>
  <c r="AO35" i="61" s="1"/>
  <c r="N17" i="2" s="1"/>
  <c r="K880" i="13"/>
  <c r="L881" i="13" s="1"/>
  <c r="A122" i="4" l="1"/>
  <c r="C122" i="4"/>
  <c r="B123" i="4"/>
  <c r="N18" i="2"/>
  <c r="N21" i="5"/>
  <c r="O21" i="5" s="1"/>
  <c r="O20" i="5"/>
  <c r="H41" i="5"/>
  <c r="I41" i="5" s="1"/>
  <c r="F46" i="7"/>
  <c r="H45" i="7"/>
  <c r="J882" i="13"/>
  <c r="N7" i="2"/>
  <c r="O7" i="2" s="1"/>
  <c r="O21" i="2" s="1"/>
  <c r="O5" i="2"/>
  <c r="N36" i="2"/>
  <c r="N21" i="2"/>
  <c r="N22" i="2" s="1"/>
  <c r="N24" i="2"/>
  <c r="Z36" i="61"/>
  <c r="D127" i="3"/>
  <c r="N16" i="2"/>
  <c r="O16" i="2" s="1"/>
  <c r="L20" i="5"/>
  <c r="C125" i="3"/>
  <c r="E45" i="7"/>
  <c r="B124" i="4" l="1"/>
  <c r="A123" i="4"/>
  <c r="C123" i="4"/>
  <c r="O36" i="2"/>
  <c r="O24" i="2"/>
  <c r="N39" i="2"/>
  <c r="O39" i="2" s="1"/>
  <c r="N40" i="2"/>
  <c r="N23" i="2"/>
  <c r="N31" i="2"/>
  <c r="O23" i="2"/>
  <c r="D41" i="5"/>
  <c r="E41" i="5" s="1"/>
  <c r="L21" i="5"/>
  <c r="J21" i="6"/>
  <c r="E46" i="7"/>
  <c r="E19" i="7"/>
  <c r="E20" i="7" s="1"/>
  <c r="O22" i="2"/>
  <c r="B125" i="4" l="1"/>
  <c r="A124" i="4"/>
  <c r="C124" i="4"/>
  <c r="N33" i="2"/>
  <c r="O31" i="2"/>
  <c r="O33" i="2" s="1"/>
  <c r="J22" i="6"/>
  <c r="K22" i="6" s="1"/>
  <c r="K21" i="6"/>
  <c r="O40" i="2"/>
  <c r="B126" i="4" l="1"/>
  <c r="A125" i="4"/>
  <c r="C125" i="4"/>
  <c r="B127" i="4" l="1"/>
  <c r="C126" i="4"/>
  <c r="A126" i="4"/>
  <c r="C127" i="4" l="1"/>
  <c r="A127" i="4"/>
  <c r="B128" i="4"/>
  <c r="B129" i="4" l="1"/>
  <c r="C128" i="4"/>
  <c r="A128" i="4"/>
  <c r="B130" i="4" l="1"/>
  <c r="C129" i="4"/>
  <c r="A129" i="4"/>
  <c r="B131" i="4" l="1"/>
  <c r="A130" i="4"/>
  <c r="C130" i="4"/>
  <c r="C131" i="4" l="1"/>
  <c r="B132" i="4"/>
  <c r="A131" i="4"/>
  <c r="B133" i="4" l="1"/>
  <c r="C132" i="4"/>
  <c r="A132" i="4"/>
  <c r="B134" i="4" l="1"/>
  <c r="C133" i="4"/>
  <c r="A133" i="4"/>
  <c r="C134" i="4" l="1"/>
  <c r="B135" i="4"/>
  <c r="A134" i="4"/>
  <c r="C135" i="4" l="1"/>
  <c r="A135" i="4"/>
  <c r="B136" i="4"/>
  <c r="C136" i="4" l="1"/>
  <c r="B137" i="4"/>
  <c r="A136" i="4"/>
  <c r="B138" i="4" l="1"/>
  <c r="C137" i="4"/>
  <c r="A137" i="4"/>
  <c r="A138" i="4" l="1"/>
  <c r="B139" i="4"/>
  <c r="C138" i="4"/>
  <c r="C139" i="4" l="1"/>
  <c r="B140" i="4"/>
  <c r="A139" i="4"/>
  <c r="C140" i="4" l="1"/>
  <c r="A140" i="4"/>
  <c r="B141" i="4"/>
  <c r="C141" i="4" l="1"/>
  <c r="B142" i="4"/>
  <c r="A141" i="4"/>
  <c r="A142" i="4" l="1"/>
  <c r="C142" i="4"/>
  <c r="B143" i="4"/>
  <c r="C143" i="4" l="1"/>
  <c r="A143" i="4"/>
  <c r="B144" i="4"/>
  <c r="B145" i="4" l="1"/>
  <c r="C144" i="4"/>
  <c r="A144" i="4"/>
  <c r="A145" i="4" l="1"/>
  <c r="C145" i="4"/>
  <c r="B146" i="4"/>
  <c r="B147" i="4" l="1"/>
  <c r="A146" i="4"/>
  <c r="C146" i="4"/>
  <c r="B148" i="4" l="1"/>
  <c r="C147" i="4"/>
  <c r="A147" i="4"/>
  <c r="A148" i="4" l="1"/>
  <c r="C148" i="4"/>
  <c r="B149" i="4"/>
  <c r="A149" i="4" l="1"/>
  <c r="C149" i="4"/>
  <c r="B150" i="4"/>
  <c r="C150" i="4" l="1"/>
  <c r="B151" i="4"/>
  <c r="A150" i="4"/>
  <c r="C151" i="4" l="1"/>
  <c r="B152" i="4"/>
  <c r="A151" i="4"/>
  <c r="A152" i="4" l="1"/>
  <c r="C152" i="4"/>
  <c r="B153" i="4"/>
  <c r="B154" i="4" l="1"/>
  <c r="A153" i="4"/>
  <c r="C153" i="4"/>
  <c r="A154" i="4" l="1"/>
  <c r="C154" i="4"/>
  <c r="B155" i="4"/>
  <c r="C155" i="4" l="1"/>
  <c r="A155" i="4"/>
  <c r="B156" i="4"/>
  <c r="C156" i="4" l="1"/>
  <c r="A156" i="4"/>
  <c r="B157" i="4"/>
  <c r="B158" i="4" l="1"/>
  <c r="C157" i="4"/>
  <c r="A157" i="4"/>
  <c r="A158" i="4" l="1"/>
  <c r="C158" i="4"/>
  <c r="B159" i="4"/>
  <c r="C159" i="4" l="1"/>
  <c r="A159" i="4"/>
  <c r="B160" i="4"/>
  <c r="C160" i="4" l="1"/>
  <c r="B161" i="4"/>
  <c r="A160" i="4"/>
  <c r="A161" i="4" l="1"/>
  <c r="C161" i="4"/>
  <c r="B162" i="4"/>
  <c r="B163" i="4" l="1"/>
  <c r="C162" i="4"/>
  <c r="A162" i="4"/>
  <c r="B164" i="4" l="1"/>
  <c r="C163" i="4"/>
  <c r="A163" i="4"/>
  <c r="A164" i="4" l="1"/>
  <c r="C164" i="4"/>
  <c r="B165" i="4"/>
  <c r="B166" i="4" l="1"/>
  <c r="A165" i="4"/>
  <c r="C165" i="4"/>
  <c r="C166" i="4" l="1"/>
  <c r="B167" i="4"/>
  <c r="A166" i="4"/>
  <c r="C167" i="4" l="1"/>
  <c r="B168" i="4"/>
  <c r="A167" i="4"/>
  <c r="A168" i="4" l="1"/>
  <c r="B169" i="4"/>
  <c r="C168" i="4"/>
  <c r="B170" i="4" l="1"/>
  <c r="A169" i="4"/>
  <c r="C169" i="4"/>
  <c r="C170" i="4" l="1"/>
  <c r="B171" i="4"/>
  <c r="A170" i="4"/>
  <c r="C171" i="4" l="1"/>
  <c r="A171" i="4"/>
  <c r="B172" i="4"/>
  <c r="B173" i="4" l="1"/>
  <c r="A172" i="4"/>
  <c r="C172" i="4"/>
  <c r="B174" i="4" l="1"/>
  <c r="A173" i="4"/>
  <c r="C173" i="4"/>
  <c r="C174" i="4" l="1"/>
  <c r="B175" i="4"/>
  <c r="A174" i="4"/>
  <c r="C175" i="4" l="1"/>
  <c r="A175" i="4"/>
  <c r="B176" i="4"/>
  <c r="C176" i="4" l="1"/>
  <c r="A176" i="4"/>
  <c r="B177" i="4"/>
  <c r="C177" i="4" l="1"/>
  <c r="B178" i="4"/>
  <c r="A177" i="4"/>
  <c r="C178" i="4" l="1"/>
  <c r="B179" i="4"/>
  <c r="A178" i="4"/>
  <c r="A179" i="4" l="1"/>
  <c r="B180" i="4"/>
  <c r="C179" i="4"/>
  <c r="B181" i="4" l="1"/>
  <c r="C180" i="4"/>
  <c r="A180" i="4"/>
  <c r="B182" i="4" l="1"/>
  <c r="A181" i="4"/>
  <c r="C181" i="4"/>
  <c r="A182" i="4" l="1"/>
  <c r="C182" i="4"/>
  <c r="B183" i="4"/>
  <c r="B184" i="4" l="1"/>
  <c r="C183" i="4"/>
  <c r="A183" i="4"/>
  <c r="B185" i="4" l="1"/>
  <c r="C184" i="4"/>
  <c r="A184" i="4"/>
  <c r="B186" i="4" l="1"/>
  <c r="C185" i="4"/>
  <c r="A185" i="4"/>
  <c r="B187" i="4" l="1"/>
  <c r="A186" i="4"/>
  <c r="C186" i="4"/>
  <c r="C187" i="4" l="1"/>
  <c r="A187" i="4"/>
  <c r="B188" i="4"/>
  <c r="C188" i="4" l="1"/>
  <c r="B189" i="4"/>
  <c r="A188" i="4"/>
  <c r="C189" i="4" l="1"/>
  <c r="A189" i="4"/>
  <c r="B190" i="4"/>
  <c r="A190" i="4" l="1"/>
  <c r="C190" i="4"/>
  <c r="B191" i="4"/>
  <c r="C191" i="4" l="1"/>
  <c r="B192" i="4"/>
  <c r="A191" i="4"/>
  <c r="A192" i="4" l="1"/>
  <c r="C192" i="4"/>
  <c r="B193" i="4"/>
  <c r="C193" i="4" l="1"/>
  <c r="A193" i="4"/>
  <c r="B194" i="4"/>
  <c r="A194" i="4" l="1"/>
  <c r="C194" i="4"/>
  <c r="B195" i="4"/>
  <c r="C195" i="4" l="1"/>
  <c r="A195" i="4"/>
  <c r="B196" i="4"/>
  <c r="C196" i="4" l="1"/>
  <c r="B197" i="4"/>
  <c r="A196" i="4"/>
  <c r="B198" i="4" l="1"/>
  <c r="C197" i="4"/>
  <c r="A197" i="4"/>
  <c r="B199" i="4" l="1"/>
  <c r="A198" i="4"/>
  <c r="C198" i="4"/>
  <c r="C199" i="4" l="1"/>
  <c r="A199" i="4"/>
  <c r="B200" i="4"/>
  <c r="C200" i="4" l="1"/>
  <c r="B201" i="4"/>
  <c r="A200" i="4"/>
  <c r="C201" i="4" l="1"/>
  <c r="A201" i="4"/>
  <c r="B202" i="4"/>
  <c r="A202" i="4" l="1"/>
  <c r="B203" i="4"/>
  <c r="C202" i="4"/>
  <c r="A203" i="4" l="1"/>
  <c r="B204" i="4"/>
  <c r="C203" i="4"/>
  <c r="B205" i="4" l="1"/>
  <c r="C204" i="4"/>
  <c r="A204" i="4"/>
  <c r="C205" i="4" l="1"/>
  <c r="B206" i="4"/>
  <c r="A205" i="4"/>
  <c r="B207" i="4" l="1"/>
  <c r="C206" i="4"/>
  <c r="A206" i="4"/>
  <c r="B208" i="4" l="1"/>
  <c r="A207" i="4"/>
  <c r="C207" i="4"/>
  <c r="A208" i="4" l="1"/>
  <c r="B209" i="4"/>
  <c r="C208" i="4"/>
  <c r="B210" i="4" l="1"/>
  <c r="A209" i="4"/>
  <c r="C209" i="4"/>
  <c r="A210" i="4" l="1"/>
  <c r="C210" i="4"/>
  <c r="B211" i="4"/>
  <c r="C211" i="4" l="1"/>
  <c r="B212" i="4"/>
  <c r="A211" i="4"/>
  <c r="C212" i="4" l="1"/>
  <c r="A212" i="4"/>
  <c r="B213" i="4"/>
  <c r="C213" i="4" l="1"/>
  <c r="B214" i="4"/>
  <c r="A213" i="4"/>
  <c r="A214" i="4" l="1"/>
  <c r="B215" i="4"/>
  <c r="C214" i="4"/>
  <c r="C215" i="4" l="1"/>
  <c r="B216" i="4"/>
  <c r="A215" i="4"/>
  <c r="C216" i="4" l="1"/>
  <c r="B217" i="4"/>
  <c r="A216" i="4"/>
  <c r="C217" i="4" l="1"/>
  <c r="B218" i="4"/>
  <c r="A217" i="4"/>
  <c r="C218" i="4" l="1"/>
  <c r="A218" i="4"/>
  <c r="B219" i="4"/>
  <c r="B220" i="4" l="1"/>
  <c r="A219" i="4"/>
  <c r="C219" i="4"/>
  <c r="C220" i="4" l="1"/>
  <c r="A220" i="4"/>
  <c r="B221" i="4"/>
  <c r="B222" i="4" l="1"/>
  <c r="C221" i="4"/>
  <c r="A221" i="4"/>
  <c r="C222" i="4" l="1"/>
  <c r="B223" i="4"/>
  <c r="A222" i="4"/>
  <c r="C223" i="4" l="1"/>
  <c r="B224" i="4"/>
  <c r="A223" i="4"/>
  <c r="C224" i="4" l="1"/>
  <c r="A224" i="4"/>
  <c r="B225" i="4"/>
  <c r="A225" i="4" l="1"/>
  <c r="C225" i="4"/>
  <c r="B226" i="4"/>
  <c r="A226" i="4" l="1"/>
  <c r="C226" i="4"/>
  <c r="B227" i="4"/>
  <c r="A227" i="4" l="1"/>
  <c r="C227" i="4"/>
  <c r="B228" i="4"/>
  <c r="C228" i="4" l="1"/>
  <c r="B229" i="4"/>
  <c r="A228" i="4"/>
  <c r="C229" i="4" l="1"/>
  <c r="B230" i="4"/>
  <c r="A229" i="4"/>
  <c r="C230" i="4" l="1"/>
  <c r="A230" i="4"/>
  <c r="B231" i="4"/>
  <c r="C231" i="4" l="1"/>
  <c r="A231" i="4"/>
  <c r="B232" i="4"/>
  <c r="C232" i="4" l="1"/>
  <c r="A232" i="4"/>
  <c r="B233" i="4"/>
  <c r="B234" i="4" l="1"/>
  <c r="C233" i="4"/>
  <c r="A233" i="4"/>
  <c r="C234" i="4" l="1"/>
  <c r="B235" i="4"/>
  <c r="A234" i="4"/>
  <c r="C235" i="4" l="1"/>
  <c r="A235" i="4"/>
  <c r="B236" i="4"/>
  <c r="B237" i="4" l="1"/>
  <c r="C236" i="4"/>
  <c r="A236" i="4"/>
  <c r="B238" i="4" l="1"/>
  <c r="A237" i="4"/>
  <c r="C237" i="4"/>
  <c r="C238" i="4" l="1"/>
  <c r="A238" i="4"/>
  <c r="B239" i="4"/>
  <c r="A239" i="4" l="1"/>
  <c r="B240" i="4"/>
  <c r="C239" i="4"/>
  <c r="B241" i="4" l="1"/>
  <c r="C240" i="4"/>
  <c r="A240" i="4"/>
  <c r="C241" i="4" l="1"/>
  <c r="B242" i="4"/>
  <c r="A241" i="4"/>
  <c r="A242" i="4" l="1"/>
  <c r="B243" i="4"/>
  <c r="C242" i="4"/>
  <c r="B244" i="4" l="1"/>
  <c r="C243" i="4"/>
  <c r="A243" i="4"/>
  <c r="A244" i="4" l="1"/>
  <c r="C244" i="4"/>
  <c r="B245" i="4"/>
  <c r="B246" i="4" l="1"/>
  <c r="A245" i="4"/>
  <c r="C245" i="4"/>
  <c r="A246" i="4" l="1"/>
  <c r="B247" i="4"/>
  <c r="C246" i="4"/>
  <c r="B248" i="4" l="1"/>
  <c r="C247" i="4"/>
  <c r="A247" i="4"/>
  <c r="B249" i="4" l="1"/>
  <c r="C248" i="4"/>
  <c r="A248" i="4"/>
  <c r="B250" i="4" l="1"/>
  <c r="C249" i="4"/>
  <c r="A249" i="4"/>
  <c r="C250" i="4" l="1"/>
  <c r="B251" i="4"/>
  <c r="A250" i="4"/>
  <c r="C251" i="4" l="1"/>
  <c r="A251" i="4"/>
  <c r="B252" i="4"/>
  <c r="B253" i="4" l="1"/>
  <c r="A252" i="4"/>
  <c r="C252" i="4"/>
  <c r="B254" i="4" l="1"/>
  <c r="C253" i="4"/>
  <c r="A253" i="4"/>
  <c r="B255" i="4" l="1"/>
  <c r="C254" i="4"/>
  <c r="A254" i="4"/>
  <c r="A255" i="4" l="1"/>
  <c r="C255" i="4"/>
  <c r="B256" i="4"/>
  <c r="A256" i="4" l="1"/>
  <c r="B257" i="4"/>
  <c r="C256" i="4"/>
  <c r="B258" i="4" l="1"/>
  <c r="A257" i="4"/>
  <c r="C257" i="4"/>
  <c r="B259" i="4" l="1"/>
  <c r="A258" i="4"/>
  <c r="C258" i="4"/>
  <c r="C259" i="4" l="1"/>
  <c r="B260" i="4"/>
  <c r="A259" i="4"/>
  <c r="A260" i="4" l="1"/>
  <c r="B261" i="4"/>
  <c r="C260" i="4"/>
  <c r="B262" i="4" l="1"/>
  <c r="A261" i="4"/>
  <c r="C261" i="4"/>
  <c r="B263" i="4" l="1"/>
  <c r="A262" i="4"/>
  <c r="C262" i="4"/>
  <c r="A263" i="4" l="1"/>
  <c r="C263" i="4"/>
  <c r="B264" i="4"/>
  <c r="A264" i="4" l="1"/>
  <c r="B265" i="4"/>
  <c r="C264" i="4"/>
  <c r="A265" i="4" l="1"/>
  <c r="B266" i="4"/>
  <c r="C265" i="4"/>
  <c r="C266" i="4" l="1"/>
  <c r="A266" i="4"/>
  <c r="B267" i="4"/>
  <c r="C267" i="4" l="1"/>
  <c r="A267" i="4"/>
  <c r="B268" i="4"/>
  <c r="B269" i="4" l="1"/>
  <c r="C268" i="4"/>
  <c r="A268" i="4"/>
  <c r="C269" i="4" l="1"/>
  <c r="B270" i="4"/>
  <c r="A269" i="4"/>
  <c r="B271" i="4" l="1"/>
  <c r="C270" i="4"/>
  <c r="A270" i="4"/>
  <c r="B272" i="4" l="1"/>
  <c r="C271" i="4"/>
  <c r="A271" i="4"/>
  <c r="B273" i="4" l="1"/>
  <c r="C272" i="4"/>
  <c r="A272" i="4"/>
  <c r="C273" i="4" l="1"/>
  <c r="A273" i="4"/>
  <c r="B274" i="4"/>
  <c r="C274" i="4" l="1"/>
  <c r="B275" i="4"/>
  <c r="A274" i="4"/>
  <c r="C275" i="4" l="1"/>
  <c r="A275" i="4"/>
  <c r="B276" i="4"/>
  <c r="B277" i="4" l="1"/>
  <c r="A276" i="4"/>
  <c r="C276" i="4"/>
  <c r="B278" i="4" l="1"/>
  <c r="A277" i="4"/>
  <c r="C277" i="4"/>
  <c r="C278" i="4" l="1"/>
  <c r="A278" i="4"/>
  <c r="B279" i="4"/>
  <c r="A279" i="4" l="1"/>
  <c r="C279" i="4"/>
  <c r="B280" i="4"/>
  <c r="A280" i="4" l="1"/>
  <c r="C280" i="4"/>
  <c r="B281" i="4"/>
  <c r="C281" i="4" l="1"/>
  <c r="B282" i="4"/>
  <c r="A281" i="4"/>
  <c r="A282" i="4" l="1"/>
  <c r="C282" i="4"/>
  <c r="B283" i="4"/>
  <c r="C283" i="4" l="1"/>
  <c r="B284" i="4"/>
  <c r="A283" i="4"/>
  <c r="B285" i="4" l="1"/>
  <c r="A284" i="4"/>
  <c r="C284" i="4"/>
  <c r="A285" i="4" l="1"/>
  <c r="C285" i="4"/>
  <c r="B286" i="4"/>
  <c r="C286" i="4" l="1"/>
  <c r="A286" i="4"/>
  <c r="B287" i="4"/>
  <c r="A287" i="4" l="1"/>
  <c r="C287" i="4"/>
  <c r="B288" i="4"/>
  <c r="C288" i="4" l="1"/>
  <c r="A288" i="4"/>
  <c r="B289" i="4"/>
  <c r="C289" i="4" l="1"/>
  <c r="A289" i="4"/>
  <c r="B290" i="4"/>
  <c r="C290" i="4" l="1"/>
  <c r="B291" i="4"/>
  <c r="A290" i="4"/>
  <c r="A291" i="4" l="1"/>
  <c r="B292" i="4"/>
  <c r="C291" i="4"/>
  <c r="B293" i="4" l="1"/>
  <c r="A292" i="4"/>
  <c r="C292" i="4"/>
  <c r="A293" i="4" l="1"/>
  <c r="B294" i="4"/>
  <c r="C293" i="4"/>
  <c r="C294" i="4" l="1"/>
  <c r="B295" i="4"/>
  <c r="A294" i="4"/>
  <c r="C295" i="4" l="1"/>
  <c r="B296" i="4"/>
  <c r="A295" i="4"/>
  <c r="C296" i="4" l="1"/>
  <c r="B297" i="4"/>
  <c r="A296" i="4"/>
  <c r="A297" i="4" l="1"/>
  <c r="B298" i="4"/>
  <c r="C297" i="4"/>
  <c r="C298" i="4" l="1"/>
  <c r="B299" i="4"/>
  <c r="A298" i="4"/>
  <c r="C299" i="4" l="1"/>
  <c r="B300" i="4"/>
  <c r="A299" i="4"/>
  <c r="B301" i="4" l="1"/>
  <c r="A300" i="4"/>
  <c r="C300" i="4"/>
  <c r="A301" i="4" l="1"/>
  <c r="C301" i="4"/>
  <c r="B302" i="4"/>
  <c r="B303" i="4" l="1"/>
  <c r="A302" i="4"/>
  <c r="C302" i="4"/>
  <c r="A303" i="4" l="1"/>
  <c r="B304" i="4"/>
  <c r="C303" i="4"/>
  <c r="B305" i="4" l="1"/>
  <c r="A304" i="4"/>
  <c r="C304" i="4"/>
  <c r="B306" i="4" l="1"/>
  <c r="A305" i="4"/>
  <c r="C305" i="4"/>
  <c r="B307" i="4" l="1"/>
  <c r="C306" i="4"/>
  <c r="A306" i="4"/>
  <c r="A307" i="4" l="1"/>
  <c r="C307" i="4"/>
  <c r="B308" i="4"/>
  <c r="B309" i="4" l="1"/>
  <c r="C308" i="4"/>
  <c r="A308" i="4"/>
  <c r="B310" i="4" l="1"/>
  <c r="A309" i="4"/>
  <c r="C309" i="4"/>
  <c r="C310" i="4" l="1"/>
  <c r="A310" i="4"/>
  <c r="B311" i="4"/>
  <c r="B312" i="4" l="1"/>
  <c r="C311" i="4"/>
  <c r="A311" i="4"/>
  <c r="C312" i="4" l="1"/>
  <c r="B313" i="4"/>
  <c r="A312" i="4"/>
  <c r="A313" i="4" l="1"/>
  <c r="C313" i="4"/>
  <c r="B314" i="4"/>
  <c r="B315" i="4" l="1"/>
  <c r="C314" i="4"/>
  <c r="A314" i="4"/>
  <c r="C315" i="4" l="1"/>
  <c r="A315" i="4"/>
  <c r="B316" i="4"/>
  <c r="C316" i="4" l="1"/>
  <c r="B317" i="4"/>
  <c r="A316" i="4"/>
  <c r="A317" i="4" l="1"/>
  <c r="B318" i="4"/>
  <c r="C317" i="4"/>
  <c r="A318" i="4" l="1"/>
  <c r="B319" i="4"/>
  <c r="C318" i="4"/>
  <c r="A319" i="4" l="1"/>
  <c r="B320" i="4"/>
  <c r="C319" i="4"/>
  <c r="A320" i="4" l="1"/>
  <c r="C320" i="4"/>
  <c r="B321" i="4"/>
  <c r="B322" i="4" l="1"/>
  <c r="C321" i="4"/>
  <c r="A321" i="4"/>
  <c r="C322" i="4" l="1"/>
  <c r="B323" i="4"/>
  <c r="A322" i="4"/>
  <c r="B324" i="4" l="1"/>
  <c r="C323" i="4"/>
  <c r="A323" i="4"/>
  <c r="C324" i="4" l="1"/>
  <c r="B325" i="4"/>
  <c r="A324" i="4"/>
  <c r="B326" i="4" l="1"/>
  <c r="C325" i="4"/>
  <c r="A325" i="4"/>
  <c r="C326" i="4" l="1"/>
  <c r="B327" i="4"/>
  <c r="A326" i="4"/>
  <c r="B328" i="4" l="1"/>
  <c r="C327" i="4"/>
  <c r="A327" i="4"/>
  <c r="B329" i="4" l="1"/>
  <c r="C328" i="4"/>
  <c r="A328" i="4"/>
  <c r="B330" i="4" l="1"/>
  <c r="A329" i="4"/>
  <c r="C329" i="4"/>
  <c r="A330" i="4" l="1"/>
  <c r="B331" i="4"/>
  <c r="C330" i="4"/>
  <c r="A331" i="4" l="1"/>
  <c r="C331" i="4"/>
  <c r="B332" i="4"/>
  <c r="B333" i="4" l="1"/>
  <c r="A332" i="4"/>
  <c r="C332" i="4"/>
  <c r="B334" i="4" l="1"/>
  <c r="A333" i="4"/>
  <c r="C333" i="4"/>
  <c r="C334" i="4" l="1"/>
  <c r="A334" i="4"/>
  <c r="B335" i="4"/>
  <c r="B336" i="4" l="1"/>
  <c r="C335" i="4"/>
  <c r="A335" i="4"/>
  <c r="C336" i="4" l="1"/>
  <c r="A336" i="4"/>
  <c r="B337" i="4"/>
  <c r="C337" i="4" l="1"/>
  <c r="A337" i="4"/>
  <c r="B338" i="4"/>
  <c r="B339" i="4" l="1"/>
  <c r="A338" i="4"/>
  <c r="C338" i="4"/>
  <c r="B340" i="4" l="1"/>
  <c r="C339" i="4"/>
  <c r="A339" i="4"/>
  <c r="C340" i="4" l="1"/>
  <c r="A340" i="4"/>
  <c r="B341" i="4"/>
  <c r="A341" i="4" l="1"/>
  <c r="B342" i="4"/>
  <c r="C341" i="4"/>
  <c r="B343" i="4" l="1"/>
  <c r="A342" i="4"/>
  <c r="C342" i="4"/>
  <c r="A343" i="4" l="1"/>
  <c r="C343" i="4"/>
  <c r="B344" i="4"/>
  <c r="B345" i="4" l="1"/>
  <c r="C344" i="4"/>
  <c r="A344" i="4"/>
  <c r="B346" i="4" l="1"/>
  <c r="A345" i="4"/>
  <c r="C345" i="4"/>
  <c r="C346" i="4" l="1"/>
  <c r="A346" i="4"/>
  <c r="B347" i="4"/>
  <c r="C347" i="4" l="1"/>
  <c r="A347" i="4"/>
  <c r="B348" i="4"/>
  <c r="B349" i="4" l="1"/>
  <c r="A348" i="4"/>
  <c r="C348" i="4"/>
  <c r="A349" i="4" l="1"/>
  <c r="C349" i="4"/>
  <c r="B350" i="4"/>
  <c r="C350" i="4" l="1"/>
  <c r="B351" i="4"/>
  <c r="A350" i="4"/>
  <c r="C351" i="4" l="1"/>
  <c r="B352" i="4"/>
  <c r="A351" i="4"/>
  <c r="B353" i="4" l="1"/>
  <c r="C352" i="4"/>
  <c r="A352" i="4"/>
  <c r="B354" i="4" l="1"/>
  <c r="C353" i="4"/>
  <c r="A353" i="4"/>
  <c r="A354" i="4" l="1"/>
  <c r="C354" i="4"/>
  <c r="B355" i="4"/>
  <c r="B356" i="4" l="1"/>
  <c r="A355" i="4"/>
  <c r="C355" i="4"/>
  <c r="B357" i="4" l="1"/>
  <c r="C356" i="4"/>
  <c r="A356" i="4"/>
  <c r="B358" i="4" l="1"/>
  <c r="A357" i="4"/>
  <c r="C357" i="4"/>
  <c r="B359" i="4" l="1"/>
  <c r="C358" i="4"/>
  <c r="A358" i="4"/>
  <c r="B360" i="4" l="1"/>
  <c r="A359" i="4"/>
  <c r="C359" i="4"/>
  <c r="C360" i="4" l="1"/>
  <c r="A360" i="4"/>
  <c r="B361" i="4"/>
  <c r="A361" i="4" l="1"/>
  <c r="C361" i="4"/>
  <c r="B362" i="4"/>
  <c r="B363" i="4" l="1"/>
  <c r="C362" i="4"/>
  <c r="A362" i="4"/>
  <c r="B364" i="4" l="1"/>
  <c r="C363" i="4"/>
  <c r="A363" i="4"/>
  <c r="A364" i="4" l="1"/>
  <c r="C364" i="4"/>
  <c r="B365" i="4"/>
  <c r="A365" i="4" l="1"/>
  <c r="C365" i="4"/>
  <c r="B366" i="4"/>
  <c r="A366" i="4" l="1"/>
  <c r="C366" i="4"/>
  <c r="B367" i="4"/>
  <c r="B368" i="4" l="1"/>
  <c r="A367" i="4"/>
  <c r="C367" i="4"/>
  <c r="A368" i="4" l="1"/>
  <c r="C368" i="4"/>
  <c r="B369" i="4"/>
  <c r="C369" i="4" l="1"/>
  <c r="B370" i="4"/>
  <c r="A369" i="4"/>
  <c r="A370" i="4" l="1"/>
  <c r="B371" i="4"/>
  <c r="C370" i="4"/>
  <c r="A371" i="4" l="1"/>
  <c r="B372" i="4"/>
  <c r="C371" i="4"/>
  <c r="A372" i="4" l="1"/>
  <c r="C372" i="4"/>
  <c r="B373" i="4"/>
  <c r="C373" i="4" l="1"/>
  <c r="B374" i="4"/>
  <c r="A373" i="4"/>
  <c r="C374" i="4" l="1"/>
  <c r="B375" i="4"/>
  <c r="A374" i="4"/>
  <c r="B376" i="4" l="1"/>
  <c r="A375" i="4"/>
  <c r="C375" i="4"/>
  <c r="B377" i="4" l="1"/>
  <c r="A376" i="4"/>
  <c r="C376" i="4"/>
  <c r="A377" i="4" l="1"/>
  <c r="C377" i="4"/>
  <c r="B378" i="4"/>
  <c r="A378" i="4" l="1"/>
  <c r="B379" i="4"/>
  <c r="C378" i="4"/>
  <c r="B380" i="4" l="1"/>
  <c r="C379" i="4"/>
  <c r="A379" i="4"/>
  <c r="C380" i="4" l="1"/>
  <c r="B381" i="4"/>
  <c r="A380" i="4"/>
  <c r="A381" i="4" l="1"/>
  <c r="C381" i="4"/>
  <c r="B382" i="4"/>
  <c r="B383" i="4" l="1"/>
  <c r="C382" i="4"/>
  <c r="A382" i="4"/>
  <c r="A383" i="4" l="1"/>
  <c r="B384" i="4"/>
  <c r="C383" i="4"/>
  <c r="C384" i="4" l="1"/>
  <c r="B385" i="4"/>
  <c r="A384" i="4"/>
  <c r="B386" i="4" l="1"/>
  <c r="C385" i="4"/>
  <c r="A385" i="4"/>
  <c r="A386" i="4" l="1"/>
  <c r="C386" i="4"/>
  <c r="B387" i="4"/>
  <c r="B388" i="4" l="1"/>
  <c r="A387" i="4"/>
  <c r="C387" i="4"/>
  <c r="A388" i="4" l="1"/>
  <c r="C388" i="4"/>
  <c r="B389" i="4"/>
  <c r="B390" i="4" l="1"/>
  <c r="C389" i="4"/>
  <c r="A389" i="4"/>
  <c r="C390" i="4" l="1"/>
  <c r="B391" i="4"/>
  <c r="A390" i="4"/>
  <c r="C391" i="4" l="1"/>
  <c r="B392" i="4"/>
  <c r="A391" i="4"/>
  <c r="C392" i="4" l="1"/>
  <c r="B393" i="4"/>
  <c r="A392" i="4"/>
  <c r="A393" i="4" l="1"/>
  <c r="C393" i="4"/>
  <c r="B394" i="4"/>
  <c r="B395" i="4" l="1"/>
  <c r="C394" i="4"/>
  <c r="A394" i="4"/>
  <c r="B396" i="4" l="1"/>
  <c r="C395" i="4"/>
  <c r="A395" i="4"/>
  <c r="B397" i="4" l="1"/>
  <c r="C396" i="4"/>
  <c r="A396" i="4"/>
  <c r="C397" i="4" l="1"/>
  <c r="A397" i="4"/>
  <c r="B398" i="4"/>
  <c r="B399" i="4" l="1"/>
  <c r="A398" i="4"/>
  <c r="C398" i="4"/>
  <c r="B400" i="4" l="1"/>
  <c r="A399" i="4"/>
  <c r="C399" i="4"/>
  <c r="B401" i="4" l="1"/>
  <c r="A400" i="4"/>
  <c r="C400" i="4"/>
  <c r="C401" i="4" l="1"/>
  <c r="A401" i="4"/>
  <c r="B402" i="4"/>
  <c r="B403" i="4" l="1"/>
  <c r="C402" i="4"/>
  <c r="A402" i="4"/>
  <c r="A403" i="4" l="1"/>
  <c r="B404" i="4"/>
  <c r="C403" i="4"/>
  <c r="A404" i="4" l="1"/>
  <c r="C404" i="4"/>
  <c r="AT51" i="13" l="1"/>
  <c r="AD50" i="13"/>
  <c r="AE50" i="13" s="1"/>
  <c r="AK50" i="13" s="1"/>
  <c r="R50" i="13"/>
  <c r="AM50" i="13" l="1"/>
  <c r="AL50" i="13"/>
  <c r="AO50" i="13"/>
  <c r="BA50" i="13"/>
  <c r="BB50" i="13" s="1"/>
  <c r="U3" i="61"/>
  <c r="R51" i="13"/>
  <c r="CZ8" i="4" s="1"/>
  <c r="AD51" i="13"/>
  <c r="FB8" i="4" l="1"/>
  <c r="G46" i="4"/>
  <c r="DC8" i="4"/>
  <c r="EO8" i="4"/>
  <c r="DO8" i="4"/>
  <c r="G34" i="4"/>
  <c r="DD8" i="4"/>
  <c r="DW8" i="4"/>
  <c r="CE8" i="4"/>
  <c r="EE8" i="4"/>
  <c r="G55" i="4"/>
  <c r="DN8" i="4"/>
  <c r="EA8" i="4"/>
  <c r="G31" i="4"/>
  <c r="CI8" i="4"/>
  <c r="X8" i="4"/>
  <c r="DL8" i="4"/>
  <c r="DT8" i="4"/>
  <c r="EI8" i="4"/>
  <c r="EU8" i="4"/>
  <c r="G52" i="4"/>
  <c r="G70" i="4"/>
  <c r="G21" i="4"/>
  <c r="FF8" i="4"/>
  <c r="BD8" i="4"/>
  <c r="DU8" i="4"/>
  <c r="EK8" i="4"/>
  <c r="CF8" i="4"/>
  <c r="CJ8" i="4"/>
  <c r="DQ8" i="4"/>
  <c r="DJ8" i="4"/>
  <c r="DS8" i="4"/>
  <c r="EF8" i="4"/>
  <c r="FG8" i="4"/>
  <c r="G17" i="4"/>
  <c r="G37" i="4"/>
  <c r="G41" i="4"/>
  <c r="G16" i="4"/>
  <c r="G61" i="4"/>
  <c r="G90" i="4"/>
  <c r="G64" i="4"/>
  <c r="G35" i="4"/>
  <c r="CB8" i="4"/>
  <c r="G29" i="4"/>
  <c r="G80" i="4"/>
  <c r="G82" i="4"/>
  <c r="G123" i="4"/>
  <c r="EC8" i="4"/>
  <c r="EJ8" i="4"/>
  <c r="EN8" i="4"/>
  <c r="ET8" i="4"/>
  <c r="FA8" i="4"/>
  <c r="G60" i="4"/>
  <c r="G43" i="4"/>
  <c r="G65" i="4"/>
  <c r="G54" i="4"/>
  <c r="G28" i="4"/>
  <c r="G57" i="4"/>
  <c r="G27" i="4"/>
  <c r="G71" i="4"/>
  <c r="G96" i="4"/>
  <c r="G102" i="4"/>
  <c r="G131" i="4"/>
  <c r="G107" i="4"/>
  <c r="G137" i="4"/>
  <c r="CK8" i="4"/>
  <c r="CH8" i="4"/>
  <c r="DP8" i="4"/>
  <c r="DM8" i="4"/>
  <c r="DV8" i="4"/>
  <c r="DR8" i="4"/>
  <c r="DZ8" i="4"/>
  <c r="ED8" i="4"/>
  <c r="EY8" i="4"/>
  <c r="FE8" i="4"/>
  <c r="G40" i="4"/>
  <c r="G23" i="4"/>
  <c r="G51" i="4"/>
  <c r="G33" i="4"/>
  <c r="G69" i="4"/>
  <c r="G49" i="4"/>
  <c r="G62" i="4"/>
  <c r="G20" i="4"/>
  <c r="G87" i="4"/>
  <c r="G84" i="4"/>
  <c r="G118" i="4"/>
  <c r="G146" i="4"/>
  <c r="G160" i="4"/>
  <c r="G171" i="4"/>
  <c r="G215" i="4"/>
  <c r="DY8" i="4"/>
  <c r="EH8" i="4"/>
  <c r="EQ8" i="4"/>
  <c r="EM8" i="4"/>
  <c r="EW8" i="4"/>
  <c r="ES8" i="4"/>
  <c r="FD8" i="4"/>
  <c r="EZ8" i="4"/>
  <c r="G48" i="4"/>
  <c r="G56" i="4"/>
  <c r="G30" i="4"/>
  <c r="G39" i="4"/>
  <c r="G59" i="4"/>
  <c r="G78" i="4"/>
  <c r="G42" i="4"/>
  <c r="G50" i="4"/>
  <c r="G15" i="4"/>
  <c r="G36" i="4"/>
  <c r="G45" i="4"/>
  <c r="G63" i="4"/>
  <c r="G74" i="4"/>
  <c r="G22" i="4"/>
  <c r="G19" i="4"/>
  <c r="G92" i="4"/>
  <c r="G99" i="4"/>
  <c r="G94" i="4"/>
  <c r="BZ8" i="4"/>
  <c r="BX8" i="4"/>
  <c r="G115" i="4"/>
  <c r="G129" i="4"/>
  <c r="G144" i="4"/>
  <c r="G157" i="4"/>
  <c r="G177" i="4"/>
  <c r="G229" i="4"/>
  <c r="EB8" i="4"/>
  <c r="DX8" i="4"/>
  <c r="EG8" i="4"/>
  <c r="EP8" i="4"/>
  <c r="EL8" i="4"/>
  <c r="EV8" i="4"/>
  <c r="ER8" i="4"/>
  <c r="FC8" i="4"/>
  <c r="EX8" i="4"/>
  <c r="G44" i="4"/>
  <c r="G13" i="4"/>
  <c r="G26" i="4"/>
  <c r="G47" i="4"/>
  <c r="G66" i="4"/>
  <c r="G77" i="4"/>
  <c r="G38" i="4"/>
  <c r="G58" i="4"/>
  <c r="G25" i="4"/>
  <c r="G32" i="4"/>
  <c r="G53" i="4"/>
  <c r="G73" i="4"/>
  <c r="FH8" i="4"/>
  <c r="G76" i="4"/>
  <c r="G18" i="4"/>
  <c r="G91" i="4"/>
  <c r="G100" i="4"/>
  <c r="G104" i="4"/>
  <c r="G83" i="4"/>
  <c r="G108" i="4"/>
  <c r="G113" i="4"/>
  <c r="G140" i="4"/>
  <c r="G151" i="4"/>
  <c r="G166" i="4"/>
  <c r="G196" i="4"/>
  <c r="G232" i="4"/>
  <c r="G150" i="4"/>
  <c r="G163" i="4"/>
  <c r="G200" i="4"/>
  <c r="G238" i="4"/>
  <c r="G68" i="4"/>
  <c r="G67" i="4"/>
  <c r="G86" i="4"/>
  <c r="G14" i="4"/>
  <c r="G24" i="4"/>
  <c r="G75" i="4"/>
  <c r="G89" i="4"/>
  <c r="G79" i="4"/>
  <c r="G98" i="4"/>
  <c r="G95" i="4"/>
  <c r="CC8" i="4"/>
  <c r="CD8" i="4"/>
  <c r="G103" i="4"/>
  <c r="G110" i="4"/>
  <c r="G106" i="4"/>
  <c r="G93" i="4"/>
  <c r="G122" i="4"/>
  <c r="G127" i="4"/>
  <c r="G135" i="4"/>
  <c r="G141" i="4"/>
  <c r="G147" i="4"/>
  <c r="G155" i="4"/>
  <c r="G175" i="4"/>
  <c r="G182" i="4"/>
  <c r="G187" i="4"/>
  <c r="G206" i="4"/>
  <c r="G208" i="4"/>
  <c r="G221" i="4"/>
  <c r="G237" i="4"/>
  <c r="G244" i="4"/>
  <c r="G260" i="4"/>
  <c r="G263" i="4"/>
  <c r="G289" i="4"/>
  <c r="G88" i="4"/>
  <c r="BY8" i="4"/>
  <c r="G97" i="4"/>
  <c r="G72" i="4"/>
  <c r="G81" i="4"/>
  <c r="G85" i="4"/>
  <c r="G101" i="4"/>
  <c r="G109" i="4"/>
  <c r="CA8" i="4"/>
  <c r="G114" i="4"/>
  <c r="G119" i="4"/>
  <c r="G125" i="4"/>
  <c r="G133" i="4"/>
  <c r="G139" i="4"/>
  <c r="G161" i="4"/>
  <c r="G167" i="4"/>
  <c r="G172" i="4"/>
  <c r="G179" i="4"/>
  <c r="G185" i="4"/>
  <c r="G203" i="4"/>
  <c r="G218" i="4"/>
  <c r="G220" i="4"/>
  <c r="G234" i="4"/>
  <c r="G240" i="4"/>
  <c r="G258" i="4"/>
  <c r="G275" i="4"/>
  <c r="G284" i="4"/>
  <c r="G254" i="4"/>
  <c r="G271" i="4"/>
  <c r="G301" i="4"/>
  <c r="G170" i="4"/>
  <c r="G190" i="4"/>
  <c r="G193" i="4"/>
  <c r="G211" i="4"/>
  <c r="G212" i="4"/>
  <c r="G226" i="4"/>
  <c r="G247" i="4"/>
  <c r="G250" i="4"/>
  <c r="G266" i="4"/>
  <c r="G282" i="4"/>
  <c r="G306" i="4"/>
  <c r="G319" i="4"/>
  <c r="G332" i="4"/>
  <c r="G364" i="4"/>
  <c r="G105" i="4"/>
  <c r="CL8" i="4"/>
  <c r="G112" i="4"/>
  <c r="G121" i="4"/>
  <c r="G117" i="4"/>
  <c r="G128" i="4"/>
  <c r="G124" i="4"/>
  <c r="G136" i="4"/>
  <c r="G132" i="4"/>
  <c r="G143" i="4"/>
  <c r="G153" i="4"/>
  <c r="G149" i="4"/>
  <c r="G159" i="4"/>
  <c r="G156" i="4"/>
  <c r="G165" i="4"/>
  <c r="G162" i="4"/>
  <c r="G173" i="4"/>
  <c r="G183" i="4"/>
  <c r="G178" i="4"/>
  <c r="G189" i="4"/>
  <c r="G197" i="4"/>
  <c r="G192" i="4"/>
  <c r="G201" i="4"/>
  <c r="G209" i="4"/>
  <c r="G216" i="4"/>
  <c r="G223" i="4"/>
  <c r="G217" i="4"/>
  <c r="G225" i="4"/>
  <c r="G233" i="4"/>
  <c r="G245" i="4"/>
  <c r="G241" i="4"/>
  <c r="G249" i="4"/>
  <c r="G255" i="4"/>
  <c r="G264" i="4"/>
  <c r="G274" i="4"/>
  <c r="G280" i="4"/>
  <c r="G295" i="4"/>
  <c r="G298" i="4"/>
  <c r="G313" i="4"/>
  <c r="G330" i="4"/>
  <c r="G331" i="4"/>
  <c r="G374" i="4"/>
  <c r="G293" i="4"/>
  <c r="G296" i="4"/>
  <c r="G312" i="4"/>
  <c r="G326" i="4"/>
  <c r="G339" i="4"/>
  <c r="G382" i="4"/>
  <c r="G116" i="4"/>
  <c r="G111" i="4"/>
  <c r="G120" i="4"/>
  <c r="G130" i="4"/>
  <c r="G126" i="4"/>
  <c r="G138" i="4"/>
  <c r="G134" i="4"/>
  <c r="G145" i="4"/>
  <c r="G142" i="4"/>
  <c r="G152" i="4"/>
  <c r="G148" i="4"/>
  <c r="G158" i="4"/>
  <c r="G154" i="4"/>
  <c r="G164" i="4"/>
  <c r="G174" i="4"/>
  <c r="G169" i="4"/>
  <c r="G181" i="4"/>
  <c r="G191" i="4"/>
  <c r="G186" i="4"/>
  <c r="G195" i="4"/>
  <c r="G202" i="4"/>
  <c r="G198" i="4"/>
  <c r="G207" i="4"/>
  <c r="G213" i="4"/>
  <c r="G222" i="4"/>
  <c r="G228" i="4"/>
  <c r="G235" i="4"/>
  <c r="G230" i="4"/>
  <c r="G242" i="4"/>
  <c r="G252" i="4"/>
  <c r="G259" i="4"/>
  <c r="G268" i="4"/>
  <c r="G276" i="4"/>
  <c r="G269" i="4"/>
  <c r="G288" i="4"/>
  <c r="G303" i="4"/>
  <c r="G307" i="4"/>
  <c r="G325" i="4"/>
  <c r="G335" i="4"/>
  <c r="G359" i="4"/>
  <c r="G388" i="4"/>
  <c r="G168" i="4"/>
  <c r="G180" i="4"/>
  <c r="G176" i="4"/>
  <c r="G188" i="4"/>
  <c r="G184" i="4"/>
  <c r="G194" i="4"/>
  <c r="G204" i="4"/>
  <c r="G199" i="4"/>
  <c r="G210" i="4"/>
  <c r="G205" i="4"/>
  <c r="G214" i="4"/>
  <c r="G224" i="4"/>
  <c r="G219" i="4"/>
  <c r="G227" i="4"/>
  <c r="G236" i="4"/>
  <c r="G231" i="4"/>
  <c r="G246" i="4"/>
  <c r="G243" i="4"/>
  <c r="G253" i="4"/>
  <c r="G248" i="4"/>
  <c r="G256" i="4"/>
  <c r="G267" i="4"/>
  <c r="G262" i="4"/>
  <c r="G272" i="4"/>
  <c r="G281" i="4"/>
  <c r="G287" i="4"/>
  <c r="G291" i="4"/>
  <c r="G297" i="4"/>
  <c r="G302" i="4"/>
  <c r="G320" i="4"/>
  <c r="G324" i="4"/>
  <c r="G344" i="4"/>
  <c r="G358" i="4"/>
  <c r="G373" i="4"/>
  <c r="G387" i="4"/>
  <c r="G340" i="4"/>
  <c r="G365" i="4"/>
  <c r="G383" i="4"/>
  <c r="G393" i="4"/>
  <c r="CW8" i="4"/>
  <c r="G350" i="4"/>
  <c r="G355" i="4"/>
  <c r="G361" i="4"/>
  <c r="G370" i="4"/>
  <c r="G379" i="4"/>
  <c r="G384" i="4"/>
  <c r="G404" i="4"/>
  <c r="S8" i="4"/>
  <c r="AP8" i="4"/>
  <c r="G239" i="4"/>
  <c r="G251" i="4"/>
  <c r="G261" i="4"/>
  <c r="G257" i="4"/>
  <c r="G270" i="4"/>
  <c r="G265" i="4"/>
  <c r="G278" i="4"/>
  <c r="G273" i="4"/>
  <c r="G283" i="4"/>
  <c r="G279" i="4"/>
  <c r="G285" i="4"/>
  <c r="G292" i="4"/>
  <c r="G300" i="4"/>
  <c r="G308" i="4"/>
  <c r="G316" i="4"/>
  <c r="G323" i="4"/>
  <c r="G329" i="4"/>
  <c r="G336" i="4"/>
  <c r="G343" i="4"/>
  <c r="G349" i="4"/>
  <c r="G354" i="4"/>
  <c r="G360" i="4"/>
  <c r="G369" i="4"/>
  <c r="G378" i="4"/>
  <c r="G397" i="4"/>
  <c r="R8" i="4"/>
  <c r="AG8" i="4"/>
  <c r="BO8" i="4"/>
  <c r="M8" i="4"/>
  <c r="CP8" i="4"/>
  <c r="G392" i="4"/>
  <c r="L8" i="4"/>
  <c r="V8" i="4"/>
  <c r="G399" i="4"/>
  <c r="G304" i="4"/>
  <c r="G315" i="4"/>
  <c r="G310" i="4"/>
  <c r="G321" i="4"/>
  <c r="G317" i="4"/>
  <c r="G327" i="4"/>
  <c r="G337" i="4"/>
  <c r="G333" i="4"/>
  <c r="G345" i="4"/>
  <c r="G341" i="4"/>
  <c r="G351" i="4"/>
  <c r="G347" i="4"/>
  <c r="G356" i="4"/>
  <c r="G366" i="4"/>
  <c r="G362" i="4"/>
  <c r="G375" i="4"/>
  <c r="G371" i="4"/>
  <c r="G367" i="4"/>
  <c r="G380" i="4"/>
  <c r="G389" i="4"/>
  <c r="G385" i="4"/>
  <c r="G394" i="4"/>
  <c r="G390" i="4"/>
  <c r="CO8" i="4"/>
  <c r="AA8" i="4"/>
  <c r="DB8" i="4"/>
  <c r="AL8" i="4"/>
  <c r="BG8" i="4"/>
  <c r="BT8" i="4"/>
  <c r="G400" i="4"/>
  <c r="CM8" i="4"/>
  <c r="BC8" i="4"/>
  <c r="CY8" i="4"/>
  <c r="Z8" i="4"/>
  <c r="AX8" i="4"/>
  <c r="BS8" i="4"/>
  <c r="G403" i="4"/>
  <c r="G396" i="4"/>
  <c r="O8" i="4"/>
  <c r="K8" i="4"/>
  <c r="BE8" i="4"/>
  <c r="BR8" i="4"/>
  <c r="G277" i="4"/>
  <c r="G286" i="4"/>
  <c r="G294" i="4"/>
  <c r="G290" i="4"/>
  <c r="G299" i="4"/>
  <c r="G309" i="4"/>
  <c r="G305" i="4"/>
  <c r="G314" i="4"/>
  <c r="G311" i="4"/>
  <c r="G322" i="4"/>
  <c r="G318" i="4"/>
  <c r="G328" i="4"/>
  <c r="G338" i="4"/>
  <c r="G334" i="4"/>
  <c r="G346" i="4"/>
  <c r="G342" i="4"/>
  <c r="G352" i="4"/>
  <c r="G348" i="4"/>
  <c r="G357" i="4"/>
  <c r="G353" i="4"/>
  <c r="G363" i="4"/>
  <c r="G376" i="4"/>
  <c r="G372" i="4"/>
  <c r="G368" i="4"/>
  <c r="G381" i="4"/>
  <c r="G377" i="4"/>
  <c r="G386" i="4"/>
  <c r="G395" i="4"/>
  <c r="G391" i="4"/>
  <c r="AC8" i="4"/>
  <c r="T8" i="4"/>
  <c r="CT8" i="4"/>
  <c r="AH8" i="4"/>
  <c r="BB8" i="4"/>
  <c r="CG8" i="4"/>
  <c r="G401" i="4"/>
  <c r="U8" i="4"/>
  <c r="AM8" i="4"/>
  <c r="BF8" i="4"/>
  <c r="J8" i="4"/>
  <c r="AI8" i="4"/>
  <c r="AY8" i="4"/>
  <c r="CV8" i="4"/>
  <c r="P8" i="4"/>
  <c r="AW8" i="4"/>
  <c r="AR8" i="4"/>
  <c r="BV8" i="4"/>
  <c r="AZ8" i="4"/>
  <c r="N8" i="4"/>
  <c r="DA8" i="4"/>
  <c r="AF8" i="4"/>
  <c r="CX8" i="4"/>
  <c r="AB8" i="4"/>
  <c r="AT8" i="4"/>
  <c r="BK8" i="4"/>
  <c r="CS8" i="4"/>
  <c r="G402" i="4"/>
  <c r="G398" i="4"/>
  <c r="CU8" i="4"/>
  <c r="W8" i="4"/>
  <c r="AQ8" i="4"/>
  <c r="BH8" i="4"/>
  <c r="AN8" i="4"/>
  <c r="AE8" i="4"/>
  <c r="BN8" i="4"/>
  <c r="BI8" i="4"/>
  <c r="DZ7" i="4"/>
  <c r="Q8" i="4"/>
  <c r="AK8" i="4"/>
  <c r="AS8" i="4"/>
  <c r="BA8" i="4"/>
  <c r="BJ8" i="4"/>
  <c r="BQ8" i="4"/>
  <c r="CQ8" i="4"/>
  <c r="BM8" i="4"/>
  <c r="AJ8" i="4"/>
  <c r="CR8" i="4"/>
  <c r="CN8" i="4"/>
  <c r="AD8" i="4"/>
  <c r="AU8" i="4"/>
  <c r="BL8" i="4"/>
  <c r="AV8" i="4"/>
  <c r="AO8" i="4"/>
  <c r="BU8" i="4"/>
  <c r="BP8" i="4"/>
  <c r="Y8" i="4"/>
  <c r="F60" i="4"/>
  <c r="BW8" i="4"/>
  <c r="DE8" i="4"/>
  <c r="DF8" i="4"/>
  <c r="DG8" i="4"/>
  <c r="DH8" i="4"/>
  <c r="DI8" i="4"/>
  <c r="DK8" i="4"/>
  <c r="F16" i="4"/>
  <c r="DH7" i="4"/>
  <c r="CI7" i="4"/>
  <c r="O5" i="4"/>
  <c r="CK7" i="4"/>
  <c r="DT7" i="4"/>
  <c r="DT10" i="4" s="1"/>
  <c r="CJ7" i="4"/>
  <c r="F56" i="4"/>
  <c r="DR7" i="4"/>
  <c r="CG7" i="4"/>
  <c r="E100" i="4"/>
  <c r="BK6" i="4"/>
  <c r="K5" i="4"/>
  <c r="F77" i="4"/>
  <c r="Z5" i="4"/>
  <c r="E60" i="4"/>
  <c r="F80" i="4"/>
  <c r="D103" i="4"/>
  <c r="F40" i="4"/>
  <c r="D19" i="4"/>
  <c r="E48" i="4"/>
  <c r="E36" i="4"/>
  <c r="E33" i="4"/>
  <c r="E29" i="4"/>
  <c r="F83" i="4"/>
  <c r="D102" i="4"/>
  <c r="AG5" i="4"/>
  <c r="D69" i="4"/>
  <c r="E183" i="4"/>
  <c r="D141" i="4"/>
  <c r="F117" i="4"/>
  <c r="BP6" i="4"/>
  <c r="D111" i="4"/>
  <c r="D215" i="4"/>
  <c r="D199" i="4"/>
  <c r="F131" i="4"/>
  <c r="D62" i="4"/>
  <c r="D206" i="4"/>
  <c r="D109" i="4"/>
  <c r="F110" i="4"/>
  <c r="D229" i="4"/>
  <c r="E254" i="4"/>
  <c r="F219" i="4"/>
  <c r="F258" i="4"/>
  <c r="F213" i="4"/>
  <c r="BV5" i="4"/>
  <c r="F37" i="4"/>
  <c r="E53" i="4"/>
  <c r="F50" i="4"/>
  <c r="F30" i="4"/>
  <c r="BH6" i="4"/>
  <c r="D50" i="4"/>
  <c r="E55" i="4"/>
  <c r="D58" i="4"/>
  <c r="D155" i="4"/>
  <c r="D166" i="4"/>
  <c r="E70" i="4"/>
  <c r="F81" i="4"/>
  <c r="F162" i="4"/>
  <c r="BI6" i="4"/>
  <c r="D115" i="4"/>
  <c r="E51" i="4"/>
  <c r="E105" i="4"/>
  <c r="AQ5" i="4"/>
  <c r="AP5" i="4"/>
  <c r="AU6" i="4"/>
  <c r="BA51" i="13"/>
  <c r="BB51" i="13" s="1"/>
  <c r="BB880" i="13" s="1"/>
  <c r="AD3" i="61"/>
  <c r="Q9" i="5" s="1"/>
  <c r="BX7" i="4"/>
  <c r="K7" i="4"/>
  <c r="AE7" i="4"/>
  <c r="AT7" i="4"/>
  <c r="BV7" i="4"/>
  <c r="AS7" i="4"/>
  <c r="BH7" i="4"/>
  <c r="AR7" i="4"/>
  <c r="AH7" i="4"/>
  <c r="E13" i="4"/>
  <c r="M7" i="4"/>
  <c r="BM7" i="4"/>
  <c r="AP7" i="4"/>
  <c r="L7" i="4"/>
  <c r="L10" i="4" s="1"/>
  <c r="BJ7" i="4"/>
  <c r="EZ7" i="4"/>
  <c r="ES7" i="4"/>
  <c r="EE7" i="4"/>
  <c r="DV7" i="4"/>
  <c r="DK7" i="4"/>
  <c r="BP7" i="4"/>
  <c r="CU7" i="4"/>
  <c r="AJ7" i="4"/>
  <c r="X7" i="4"/>
  <c r="EF7" i="4"/>
  <c r="AX7" i="4"/>
  <c r="CQ7" i="4"/>
  <c r="CF7" i="4"/>
  <c r="CL7" i="4"/>
  <c r="BW7" i="4"/>
  <c r="V7" i="4"/>
  <c r="V10" i="4" s="1"/>
  <c r="CD7" i="4"/>
  <c r="BO7" i="4"/>
  <c r="D13" i="4"/>
  <c r="J6" i="4"/>
  <c r="BD7" i="4"/>
  <c r="AU7" i="4"/>
  <c r="U7" i="4"/>
  <c r="BU7" i="4"/>
  <c r="Y7" i="4"/>
  <c r="BK7" i="4"/>
  <c r="FH7" i="4"/>
  <c r="FH10" i="4" s="1"/>
  <c r="EY7" i="4"/>
  <c r="EQ7" i="4"/>
  <c r="EG7" i="4"/>
  <c r="DW7" i="4"/>
  <c r="DM7" i="4"/>
  <c r="AN7" i="4"/>
  <c r="BZ7" i="4"/>
  <c r="BZ10" i="4" s="1"/>
  <c r="BI7" i="4"/>
  <c r="BC7" i="4"/>
  <c r="FF7" i="4"/>
  <c r="EO7" i="4"/>
  <c r="EA7" i="4"/>
  <c r="CR7" i="4"/>
  <c r="CR10" i="4" s="1"/>
  <c r="O7" i="4"/>
  <c r="EV7" i="4"/>
  <c r="P7" i="4"/>
  <c r="P10" i="4" s="1"/>
  <c r="DJ7" i="4"/>
  <c r="DJ10" i="4" s="1"/>
  <c r="AK7" i="4"/>
  <c r="DQ7" i="4"/>
  <c r="DD7" i="4"/>
  <c r="AQ7" i="4"/>
  <c r="AQ10" i="4" s="1"/>
  <c r="CC7" i="4"/>
  <c r="AI7" i="4"/>
  <c r="CB7" i="4"/>
  <c r="FA7" i="4"/>
  <c r="Q7" i="4"/>
  <c r="CP7" i="4"/>
  <c r="BB7" i="4"/>
  <c r="EU7" i="4"/>
  <c r="DA7" i="4"/>
  <c r="CN7" i="4"/>
  <c r="T7" i="4"/>
  <c r="CZ7" i="4"/>
  <c r="CZ10" i="4" s="1"/>
  <c r="EH7" i="4"/>
  <c r="EB7" i="4"/>
  <c r="EB10" i="4" s="1"/>
  <c r="AW7" i="4"/>
  <c r="E392" i="4"/>
  <c r="D395" i="4"/>
  <c r="F319" i="4"/>
  <c r="F391" i="4"/>
  <c r="D382" i="4"/>
  <c r="F363" i="4"/>
  <c r="F249" i="4"/>
  <c r="E238" i="4"/>
  <c r="F366" i="4"/>
  <c r="D389" i="4"/>
  <c r="D228" i="4"/>
  <c r="D231" i="4"/>
  <c r="F369" i="4"/>
  <c r="D357" i="4"/>
  <c r="D375" i="4"/>
  <c r="W7" i="4"/>
  <c r="W10" i="4" s="1"/>
  <c r="AV7" i="4"/>
  <c r="S7" i="4"/>
  <c r="EX7" i="4"/>
  <c r="EX10" i="4" s="1"/>
  <c r="EI7" i="4"/>
  <c r="DP7" i="4"/>
  <c r="DE7" i="4"/>
  <c r="CV7" i="4"/>
  <c r="BG7" i="4"/>
  <c r="DL7" i="4"/>
  <c r="DB7" i="4"/>
  <c r="BR7" i="4"/>
  <c r="EK7" i="4"/>
  <c r="CX7" i="4"/>
  <c r="FE7" i="4"/>
  <c r="AF7" i="4"/>
  <c r="FC7" i="4"/>
  <c r="DS7" i="4"/>
  <c r="F13" i="4"/>
  <c r="CT7" i="4"/>
  <c r="CA7" i="4"/>
  <c r="R7" i="4"/>
  <c r="DX7" i="4"/>
  <c r="DF7" i="4"/>
  <c r="CS7" i="4"/>
  <c r="CS10" i="4" s="1"/>
  <c r="CH7" i="4"/>
  <c r="D404" i="4"/>
  <c r="D399" i="4"/>
  <c r="D368" i="4"/>
  <c r="F388" i="4"/>
  <c r="E360" i="4"/>
  <c r="E336" i="4"/>
  <c r="E337" i="4"/>
  <c r="D314" i="4"/>
  <c r="F322" i="4"/>
  <c r="D355" i="4"/>
  <c r="E335" i="4"/>
  <c r="E312" i="4"/>
  <c r="E383" i="4"/>
  <c r="F341" i="4"/>
  <c r="F359" i="4"/>
  <c r="F371" i="4"/>
  <c r="E348" i="4"/>
  <c r="F401" i="4"/>
  <c r="E293" i="4"/>
  <c r="E305" i="4"/>
  <c r="F266" i="4"/>
  <c r="D369" i="4"/>
  <c r="E303" i="4"/>
  <c r="E298" i="4"/>
  <c r="D260" i="4"/>
  <c r="F389" i="4"/>
  <c r="F377" i="4"/>
  <c r="F396" i="4"/>
  <c r="F381" i="4"/>
  <c r="F393" i="4"/>
  <c r="F367" i="4"/>
  <c r="F346" i="4"/>
  <c r="BT7" i="4"/>
  <c r="J5" i="4"/>
  <c r="Z7" i="4"/>
  <c r="Z10" i="4" s="1"/>
  <c r="BE7" i="4"/>
  <c r="AY7" i="4"/>
  <c r="AL7" i="4"/>
  <c r="DC7" i="4"/>
  <c r="AA7" i="4"/>
  <c r="EC7" i="4"/>
  <c r="DG7" i="4"/>
  <c r="AC7" i="4"/>
  <c r="EN7" i="4"/>
  <c r="CY7" i="4"/>
  <c r="DN7" i="4"/>
  <c r="D366" i="4"/>
  <c r="E403" i="4"/>
  <c r="D277" i="4"/>
  <c r="D392" i="4"/>
  <c r="F281" i="4"/>
  <c r="F395" i="4"/>
  <c r="F403" i="4"/>
  <c r="F400" i="4"/>
  <c r="E380" i="4"/>
  <c r="F354" i="4"/>
  <c r="E272" i="4"/>
  <c r="D335" i="4"/>
  <c r="E396" i="4"/>
  <c r="D270" i="4"/>
  <c r="E334" i="4"/>
  <c r="D402" i="4"/>
  <c r="D344" i="4"/>
  <c r="E324" i="4"/>
  <c r="D393" i="4"/>
  <c r="E341" i="4"/>
  <c r="D374" i="4"/>
  <c r="D264" i="4"/>
  <c r="D266" i="4"/>
  <c r="D381" i="4"/>
  <c r="F399" i="4"/>
  <c r="F264" i="4"/>
  <c r="E264" i="4"/>
  <c r="F379" i="4"/>
  <c r="E398" i="4"/>
  <c r="E389" i="4"/>
  <c r="F402" i="4"/>
  <c r="E386" i="4"/>
  <c r="E361" i="4"/>
  <c r="F339" i="4"/>
  <c r="D303" i="4"/>
  <c r="F315" i="4"/>
  <c r="E290" i="4"/>
  <c r="D386" i="4"/>
  <c r="E313" i="4"/>
  <c r="E314" i="4"/>
  <c r="E287" i="4"/>
  <c r="E343" i="4"/>
  <c r="E358" i="4"/>
  <c r="D332" i="4"/>
  <c r="D301" i="4"/>
  <c r="F329" i="4"/>
  <c r="E332" i="4"/>
  <c r="D362" i="4"/>
  <c r="F338" i="4"/>
  <c r="F349" i="4"/>
  <c r="F260" i="4"/>
  <c r="E323" i="4"/>
  <c r="E281" i="4"/>
  <c r="E193" i="4"/>
  <c r="F196" i="4"/>
  <c r="E253" i="4"/>
  <c r="F152" i="4"/>
  <c r="D233" i="4"/>
  <c r="E145" i="4"/>
  <c r="E150" i="4"/>
  <c r="F207" i="4"/>
  <c r="E294" i="4"/>
  <c r="D300" i="4"/>
  <c r="F211" i="4"/>
  <c r="E215" i="4"/>
  <c r="E271" i="4"/>
  <c r="D176" i="4"/>
  <c r="E309" i="4"/>
  <c r="D188" i="4"/>
  <c r="E265" i="4"/>
  <c r="D28" i="4"/>
  <c r="D101" i="4"/>
  <c r="D135" i="4"/>
  <c r="AG7" i="4"/>
  <c r="CO7" i="4"/>
  <c r="BY7" i="4"/>
  <c r="E382" i="4"/>
  <c r="D378" i="4"/>
  <c r="D321" i="4"/>
  <c r="D310" i="4"/>
  <c r="F375" i="4"/>
  <c r="F308" i="4"/>
  <c r="F336" i="4"/>
  <c r="E384" i="4"/>
  <c r="F342" i="4"/>
  <c r="E373" i="4"/>
  <c r="F380" i="4"/>
  <c r="D359" i="4"/>
  <c r="D309" i="4"/>
  <c r="D337" i="4"/>
  <c r="F357" i="4"/>
  <c r="F302" i="4"/>
  <c r="F398" i="4"/>
  <c r="D388" i="4"/>
  <c r="E374" i="4"/>
  <c r="F364" i="4"/>
  <c r="F392" i="4"/>
  <c r="D351" i="4"/>
  <c r="F352" i="4"/>
  <c r="E329" i="4"/>
  <c r="D346" i="4"/>
  <c r="F373" i="4"/>
  <c r="F351" i="4"/>
  <c r="F323" i="4"/>
  <c r="E350" i="4"/>
  <c r="E370" i="4"/>
  <c r="F361" i="4"/>
  <c r="D372" i="4"/>
  <c r="E356" i="4"/>
  <c r="E328" i="4"/>
  <c r="F390" i="4"/>
  <c r="F282" i="4"/>
  <c r="D289" i="4"/>
  <c r="D318" i="4"/>
  <c r="E351" i="4"/>
  <c r="D286" i="4"/>
  <c r="F288" i="4"/>
  <c r="F291" i="4"/>
  <c r="E365" i="4"/>
  <c r="D317" i="4"/>
  <c r="E388" i="4"/>
  <c r="D280" i="4"/>
  <c r="D308" i="4"/>
  <c r="F311" i="4"/>
  <c r="F325" i="4"/>
  <c r="E299" i="4"/>
  <c r="D327" i="4"/>
  <c r="E331" i="4"/>
  <c r="D245" i="4"/>
  <c r="BN7" i="4"/>
  <c r="CE7" i="4"/>
  <c r="E352" i="4"/>
  <c r="F347" i="4"/>
  <c r="F385" i="4"/>
  <c r="E283" i="4"/>
  <c r="F344" i="4"/>
  <c r="D276" i="4"/>
  <c r="F362" i="4"/>
  <c r="D377" i="4"/>
  <c r="D400" i="4"/>
  <c r="D398" i="4"/>
  <c r="F358" i="4"/>
  <c r="F332" i="4"/>
  <c r="F387" i="4"/>
  <c r="F378" i="4"/>
  <c r="E330" i="4"/>
  <c r="E390" i="4"/>
  <c r="F383" i="4"/>
  <c r="F348" i="4"/>
  <c r="F404" i="4"/>
  <c r="E371" i="4"/>
  <c r="E310" i="4"/>
  <c r="F326" i="4"/>
  <c r="F296" i="4"/>
  <c r="E391" i="4"/>
  <c r="D342" i="4"/>
  <c r="E319" i="4"/>
  <c r="D294" i="4"/>
  <c r="D385" i="4"/>
  <c r="F330" i="4"/>
  <c r="D403" i="4"/>
  <c r="F340" i="4"/>
  <c r="EM7" i="4"/>
  <c r="CW7" i="4"/>
  <c r="CW10" i="4" s="1"/>
  <c r="BS7" i="4"/>
  <c r="FD7" i="4"/>
  <c r="CM7" i="4"/>
  <c r="ER7" i="4"/>
  <c r="AD7" i="4"/>
  <c r="D394" i="4"/>
  <c r="F355" i="4"/>
  <c r="D298" i="4"/>
  <c r="E282" i="4"/>
  <c r="E307" i="4"/>
  <c r="E274" i="4"/>
  <c r="E354" i="4"/>
  <c r="E387" i="4"/>
  <c r="D338" i="4"/>
  <c r="D376" i="4"/>
  <c r="E315" i="4"/>
  <c r="D273" i="4"/>
  <c r="D360" i="4"/>
  <c r="E349" i="4"/>
  <c r="D271" i="4"/>
  <c r="E357" i="4"/>
  <c r="D367" i="4"/>
  <c r="F394" i="4"/>
  <c r="D363" i="4"/>
  <c r="D396" i="4"/>
  <c r="D287" i="4"/>
  <c r="F293" i="4"/>
  <c r="F220" i="4"/>
  <c r="F365" i="4"/>
  <c r="D291" i="4"/>
  <c r="D293" i="4"/>
  <c r="D333" i="4"/>
  <c r="F368" i="4"/>
  <c r="E378" i="4"/>
  <c r="D350" i="4"/>
  <c r="D383" i="4"/>
  <c r="E333" i="4"/>
  <c r="D365" i="4"/>
  <c r="E344" i="4"/>
  <c r="D347" i="4"/>
  <c r="D319" i="4"/>
  <c r="D339" i="4"/>
  <c r="E368" i="4"/>
  <c r="D341" i="4"/>
  <c r="E317" i="4"/>
  <c r="D373" i="4"/>
  <c r="E379" i="4"/>
  <c r="E363" i="4"/>
  <c r="E340" i="4"/>
  <c r="F350" i="4"/>
  <c r="E399" i="4"/>
  <c r="D258" i="4"/>
  <c r="E248" i="4"/>
  <c r="E367" i="4"/>
  <c r="D285" i="4"/>
  <c r="F278" i="4"/>
  <c r="F309" i="4"/>
  <c r="E256" i="4"/>
  <c r="D147" i="4"/>
  <c r="F119" i="4"/>
  <c r="F223" i="4"/>
  <c r="F190" i="4"/>
  <c r="E173" i="4"/>
  <c r="E180" i="4"/>
  <c r="E236" i="4"/>
  <c r="D232" i="4"/>
  <c r="D194" i="4"/>
  <c r="F229" i="4"/>
  <c r="D336" i="4"/>
  <c r="D161" i="4"/>
  <c r="D186" i="4"/>
  <c r="E85" i="4"/>
  <c r="D107" i="4"/>
  <c r="F91" i="4"/>
  <c r="F98" i="4"/>
  <c r="E400" i="4"/>
  <c r="F382" i="4"/>
  <c r="E275" i="4"/>
  <c r="D302" i="4"/>
  <c r="F306" i="4"/>
  <c r="E402" i="4"/>
  <c r="F295" i="4"/>
  <c r="D322" i="4"/>
  <c r="E326" i="4"/>
  <c r="D225" i="4"/>
  <c r="F247" i="4"/>
  <c r="E166" i="4"/>
  <c r="E169" i="4"/>
  <c r="F227" i="4"/>
  <c r="D202" i="4"/>
  <c r="E208" i="4"/>
  <c r="D210" i="4"/>
  <c r="E268" i="4"/>
  <c r="D172" i="4"/>
  <c r="E266" i="4"/>
  <c r="D274" i="4"/>
  <c r="D184" i="4"/>
  <c r="E187" i="4"/>
  <c r="F245" i="4"/>
  <c r="E130" i="4"/>
  <c r="D272" i="4"/>
  <c r="F156" i="4"/>
  <c r="D197" i="4"/>
  <c r="E106" i="4"/>
  <c r="D22" i="4"/>
  <c r="D84" i="4"/>
  <c r="E87" i="4"/>
  <c r="D32" i="4"/>
  <c r="F300" i="4"/>
  <c r="F303" i="4"/>
  <c r="D353" i="4"/>
  <c r="F316" i="4"/>
  <c r="F297" i="4"/>
  <c r="E325" i="4"/>
  <c r="F328" i="4"/>
  <c r="E385" i="4"/>
  <c r="F370" i="4"/>
  <c r="D387" i="4"/>
  <c r="D371" i="4"/>
  <c r="E401" i="4"/>
  <c r="E255" i="4"/>
  <c r="D328" i="4"/>
  <c r="D253" i="4"/>
  <c r="D284" i="4"/>
  <c r="F235" i="4"/>
  <c r="D217" i="4"/>
  <c r="E232" i="4"/>
  <c r="F280" i="4"/>
  <c r="E170" i="4"/>
  <c r="F114" i="4"/>
  <c r="E147" i="4"/>
  <c r="E322" i="4"/>
  <c r="D190" i="4"/>
  <c r="D173" i="4"/>
  <c r="F206" i="4"/>
  <c r="E277" i="4"/>
  <c r="F208" i="4"/>
  <c r="D97" i="4"/>
  <c r="E72" i="4"/>
  <c r="F130" i="4"/>
  <c r="D98" i="4"/>
  <c r="E397" i="4"/>
  <c r="D379" i="4"/>
  <c r="D361" i="4"/>
  <c r="E244" i="4"/>
  <c r="D281" i="4"/>
  <c r="D279" i="4"/>
  <c r="E381" i="4"/>
  <c r="E273" i="4"/>
  <c r="E301" i="4"/>
  <c r="E304" i="4"/>
  <c r="E318" i="4"/>
  <c r="F230" i="4"/>
  <c r="F140" i="4"/>
  <c r="F145" i="4"/>
  <c r="F202" i="4"/>
  <c r="D275" i="4"/>
  <c r="D185" i="4"/>
  <c r="D189" i="4"/>
  <c r="E247" i="4"/>
  <c r="F132" i="4"/>
  <c r="F337" i="4"/>
  <c r="D240" i="4"/>
  <c r="E163" i="4"/>
  <c r="F167" i="4"/>
  <c r="F224" i="4"/>
  <c r="D263" i="4"/>
  <c r="F241" i="4"/>
  <c r="E203" i="4"/>
  <c r="E154" i="4"/>
  <c r="E174" i="4"/>
  <c r="F168" i="4"/>
  <c r="E107" i="4"/>
  <c r="D30" i="4"/>
  <c r="E234" i="4"/>
  <c r="E278" i="4"/>
  <c r="F275" i="4"/>
  <c r="D401" i="4"/>
  <c r="D384" i="4"/>
  <c r="F276" i="4"/>
  <c r="F304" i="4"/>
  <c r="F307" i="4"/>
  <c r="E364" i="4"/>
  <c r="E345" i="4"/>
  <c r="D397" i="4"/>
  <c r="D290" i="4"/>
  <c r="F318" i="4"/>
  <c r="E321" i="4"/>
  <c r="D348" i="4"/>
  <c r="F310" i="4"/>
  <c r="E338" i="4"/>
  <c r="D243" i="4"/>
  <c r="F261" i="4"/>
  <c r="E270" i="4"/>
  <c r="D182" i="4"/>
  <c r="F185" i="4"/>
  <c r="F242" i="4"/>
  <c r="D118" i="4"/>
  <c r="E223" i="4"/>
  <c r="E132" i="4"/>
  <c r="F136" i="4"/>
  <c r="F193" i="4"/>
  <c r="E369" i="4"/>
  <c r="E395" i="4"/>
  <c r="F343" i="4"/>
  <c r="E286" i="4"/>
  <c r="F386" i="4"/>
  <c r="F305" i="4"/>
  <c r="F324" i="4"/>
  <c r="E214" i="4"/>
  <c r="F175" i="4"/>
  <c r="E209" i="4"/>
  <c r="D254" i="4"/>
  <c r="E216" i="4"/>
  <c r="F252" i="4"/>
  <c r="E218" i="4"/>
  <c r="E279" i="4"/>
  <c r="E168" i="4"/>
  <c r="D148" i="4"/>
  <c r="D144" i="4"/>
  <c r="E235" i="4"/>
  <c r="D165" i="4"/>
  <c r="L6" i="4"/>
  <c r="E189" i="4"/>
  <c r="E31" i="4"/>
  <c r="BQ6" i="4"/>
  <c r="E376" i="4"/>
  <c r="F356" i="4"/>
  <c r="D325" i="4"/>
  <c r="D345" i="4"/>
  <c r="D255" i="4"/>
  <c r="D307" i="4"/>
  <c r="F360" i="4"/>
  <c r="F239" i="4"/>
  <c r="F279" i="4"/>
  <c r="F277" i="4"/>
  <c r="D297" i="4"/>
  <c r="D208" i="4"/>
  <c r="E212" i="4"/>
  <c r="F269" i="4"/>
  <c r="F174" i="4"/>
  <c r="D244" i="4"/>
  <c r="E164" i="4"/>
  <c r="F169" i="4"/>
  <c r="F225" i="4"/>
  <c r="E197" i="4"/>
  <c r="E316" i="4"/>
  <c r="D227" i="4"/>
  <c r="D136" i="4"/>
  <c r="F141" i="4"/>
  <c r="E199" i="4"/>
  <c r="D331" i="4"/>
  <c r="F210" i="4"/>
  <c r="F160" i="4"/>
  <c r="D56" i="4"/>
  <c r="D94" i="4"/>
  <c r="E205" i="4"/>
  <c r="F125" i="4"/>
  <c r="E39" i="4"/>
  <c r="E342" i="4"/>
  <c r="F250" i="4"/>
  <c r="D295" i="4"/>
  <c r="D380" i="4"/>
  <c r="E362" i="4"/>
  <c r="D246" i="4"/>
  <c r="E257" i="4"/>
  <c r="F255" i="4"/>
  <c r="F384" i="4"/>
  <c r="D262" i="4"/>
  <c r="D364" i="4"/>
  <c r="F285" i="4"/>
  <c r="E302" i="4"/>
  <c r="F170" i="4"/>
  <c r="E152" i="4"/>
  <c r="F181" i="4"/>
  <c r="D212" i="4"/>
  <c r="F194" i="4"/>
  <c r="E231" i="4"/>
  <c r="F272" i="4"/>
  <c r="E252" i="4"/>
  <c r="F144" i="4"/>
  <c r="E250" i="4"/>
  <c r="E191" i="4"/>
  <c r="F221" i="4"/>
  <c r="F222" i="4"/>
  <c r="D195" i="4"/>
  <c r="D226" i="4"/>
  <c r="D192" i="4"/>
  <c r="BR5" i="4"/>
  <c r="D352" i="4"/>
  <c r="E404" i="4"/>
  <c r="E296" i="4"/>
  <c r="D323" i="4"/>
  <c r="F327" i="4"/>
  <c r="D354" i="4"/>
  <c r="E320" i="4"/>
  <c r="D343" i="4"/>
  <c r="F253" i="4"/>
  <c r="F301" i="4"/>
  <c r="E276" i="4"/>
  <c r="F188" i="4"/>
  <c r="D191" i="4"/>
  <c r="F248" i="4"/>
  <c r="D137" i="4"/>
  <c r="E229" i="4"/>
  <c r="E139" i="4"/>
  <c r="E143" i="4"/>
  <c r="F201" i="4"/>
  <c r="E289" i="4"/>
  <c r="E295" i="4"/>
  <c r="D171" i="4"/>
  <c r="F143" i="4"/>
  <c r="BJ5" i="4"/>
  <c r="D358" i="4"/>
  <c r="F257" i="4"/>
  <c r="D390" i="4"/>
  <c r="E377" i="4"/>
  <c r="D223" i="4"/>
  <c r="F246" i="4"/>
  <c r="F397" i="4"/>
  <c r="F265" i="4"/>
  <c r="F273" i="4"/>
  <c r="F335" i="4"/>
  <c r="D224" i="4"/>
  <c r="E207" i="4"/>
  <c r="E221" i="4"/>
  <c r="F268" i="4"/>
  <c r="E158" i="4"/>
  <c r="F262" i="4"/>
  <c r="F251" i="4"/>
  <c r="F331" i="4"/>
  <c r="E243" i="4"/>
  <c r="E157" i="4"/>
  <c r="F161" i="4"/>
  <c r="F218" i="4"/>
  <c r="F256" i="4"/>
  <c r="D230" i="4"/>
  <c r="F186" i="4"/>
  <c r="F121" i="4"/>
  <c r="F151" i="4"/>
  <c r="D142" i="4"/>
  <c r="D89" i="4"/>
  <c r="F139" i="4"/>
  <c r="E393" i="4"/>
  <c r="E285" i="4"/>
  <c r="D313" i="4"/>
  <c r="D316" i="4"/>
  <c r="D340" i="4"/>
  <c r="D305" i="4"/>
  <c r="F333" i="4"/>
  <c r="E222" i="4"/>
  <c r="F254" i="4"/>
  <c r="E263" i="4"/>
  <c r="E177" i="4"/>
  <c r="F180" i="4"/>
  <c r="E237" i="4"/>
  <c r="F243" i="4"/>
  <c r="D218" i="4"/>
  <c r="E93" i="4"/>
  <c r="D130" i="4"/>
  <c r="D187" i="4"/>
  <c r="D278" i="4"/>
  <c r="E284" i="4"/>
  <c r="E195" i="4"/>
  <c r="F198" i="4"/>
  <c r="D256" i="4"/>
  <c r="E155" i="4"/>
  <c r="E288" i="4"/>
  <c r="E167" i="4"/>
  <c r="F238" i="4"/>
  <c r="F90" i="4"/>
  <c r="F118" i="4"/>
  <c r="W5" i="4"/>
  <c r="D110" i="4"/>
  <c r="F85" i="4"/>
  <c r="F192" i="4"/>
  <c r="D249" i="4"/>
  <c r="D139" i="4"/>
  <c r="F88" i="4"/>
  <c r="BM5" i="4"/>
  <c r="BM6" i="4"/>
  <c r="D222" i="4"/>
  <c r="D129" i="4"/>
  <c r="BR6" i="4"/>
  <c r="E126" i="4"/>
  <c r="E25" i="4"/>
  <c r="D113" i="4"/>
  <c r="D167" i="4"/>
  <c r="D54" i="4"/>
  <c r="D157" i="4"/>
  <c r="E17" i="4"/>
  <c r="D219" i="4"/>
  <c r="D125" i="4"/>
  <c r="BO6" i="4"/>
  <c r="F122" i="4"/>
  <c r="F105" i="4"/>
  <c r="F97" i="4"/>
  <c r="E26" i="4"/>
  <c r="F28" i="4"/>
  <c r="E103" i="4"/>
  <c r="F68" i="4"/>
  <c r="E19" i="4"/>
  <c r="AK6" i="4"/>
  <c r="BF6" i="4"/>
  <c r="E101" i="4"/>
  <c r="F25" i="4"/>
  <c r="D41" i="4"/>
  <c r="BG5" i="4"/>
  <c r="Q5" i="4"/>
  <c r="D53" i="4"/>
  <c r="D15" i="4"/>
  <c r="E40" i="4"/>
  <c r="D51" i="4"/>
  <c r="D23" i="4"/>
  <c r="AI6" i="4"/>
  <c r="D47" i="4"/>
  <c r="F75" i="4"/>
  <c r="AC5" i="4"/>
  <c r="F95" i="4"/>
  <c r="F48" i="4"/>
  <c r="P5" i="4"/>
  <c r="F66" i="4"/>
  <c r="F45" i="4"/>
  <c r="BI5" i="4"/>
  <c r="D79" i="4"/>
  <c r="F51" i="4"/>
  <c r="D42" i="4"/>
  <c r="AL5" i="4"/>
  <c r="F22" i="4"/>
  <c r="E245" i="4"/>
  <c r="BQ5" i="4"/>
  <c r="D96" i="4"/>
  <c r="BP5" i="4"/>
  <c r="D211" i="4"/>
  <c r="F109" i="4"/>
  <c r="F89" i="4"/>
  <c r="E113" i="4"/>
  <c r="F205" i="4"/>
  <c r="E242" i="4"/>
  <c r="F157" i="4"/>
  <c r="E56" i="4"/>
  <c r="D146" i="4"/>
  <c r="D112" i="4"/>
  <c r="F209" i="4"/>
  <c r="D105" i="4"/>
  <c r="F96" i="4"/>
  <c r="E110" i="4"/>
  <c r="E74" i="4"/>
  <c r="D66" i="4"/>
  <c r="F63" i="4"/>
  <c r="D31" i="4"/>
  <c r="E88" i="4"/>
  <c r="F34" i="4"/>
  <c r="BG6" i="4"/>
  <c r="BC5" i="4"/>
  <c r="AC6" i="4"/>
  <c r="E30" i="4"/>
  <c r="AJ6" i="4"/>
  <c r="AG6" i="4"/>
  <c r="D18" i="4"/>
  <c r="D122" i="4"/>
  <c r="E59" i="4"/>
  <c r="D35" i="4"/>
  <c r="F73" i="4"/>
  <c r="E64" i="4"/>
  <c r="D326" i="4"/>
  <c r="D236" i="4"/>
  <c r="E149" i="4"/>
  <c r="E153" i="4"/>
  <c r="F212" i="4"/>
  <c r="E165" i="4"/>
  <c r="E37" i="4"/>
  <c r="F153" i="4"/>
  <c r="N6" i="4"/>
  <c r="E185" i="4"/>
  <c r="D83" i="4"/>
  <c r="E18" i="4"/>
  <c r="D92" i="4"/>
  <c r="E179" i="4"/>
  <c r="E206" i="4"/>
  <c r="D299" i="4"/>
  <c r="AQ6" i="4"/>
  <c r="F321" i="4"/>
  <c r="D330" i="4"/>
  <c r="E280" i="4"/>
  <c r="E394" i="4"/>
  <c r="E355" i="4"/>
  <c r="E339" i="4"/>
  <c r="E300" i="4"/>
  <c r="E375" i="4"/>
  <c r="E359" i="4"/>
  <c r="F320" i="4"/>
  <c r="F313" i="4"/>
  <c r="D203" i="4"/>
  <c r="D164" i="4"/>
  <c r="E196" i="4"/>
  <c r="E224" i="4"/>
  <c r="F204" i="4"/>
  <c r="E241" i="4"/>
  <c r="D175" i="4"/>
  <c r="E311" i="4"/>
  <c r="D221" i="4"/>
  <c r="F129" i="4"/>
  <c r="F134" i="4"/>
  <c r="E192" i="4"/>
  <c r="D320" i="4"/>
  <c r="D205" i="4"/>
  <c r="E140" i="4"/>
  <c r="F87" i="4"/>
  <c r="D46" i="4"/>
  <c r="F183" i="4"/>
  <c r="D235" i="4"/>
  <c r="F86" i="4"/>
  <c r="E372" i="4"/>
  <c r="D261" i="4"/>
  <c r="D292" i="4"/>
  <c r="E292" i="4"/>
  <c r="D391" i="4"/>
  <c r="F284" i="4"/>
  <c r="D311" i="4"/>
  <c r="F314" i="4"/>
  <c r="D329" i="4"/>
  <c r="F240" i="4"/>
  <c r="F154" i="4"/>
  <c r="D159" i="4"/>
  <c r="F216" i="4"/>
  <c r="F286" i="4"/>
  <c r="D196" i="4"/>
  <c r="F200" i="4"/>
  <c r="D257" i="4"/>
  <c r="F159" i="4"/>
  <c r="E251" i="4"/>
  <c r="D259" i="4"/>
  <c r="D174" i="4"/>
  <c r="D177" i="4"/>
  <c r="D234" i="4"/>
  <c r="F234" i="4"/>
  <c r="D250" i="4"/>
  <c r="D126" i="4"/>
  <c r="D121" i="4"/>
  <c r="F217" i="4"/>
  <c r="E211" i="4"/>
  <c r="D151" i="4"/>
  <c r="BU6" i="4"/>
  <c r="F79" i="4"/>
  <c r="F171" i="4"/>
  <c r="E227" i="4"/>
  <c r="D207" i="4"/>
  <c r="D78" i="4"/>
  <c r="D55" i="4"/>
  <c r="D99" i="4"/>
  <c r="D200" i="4"/>
  <c r="E104" i="4"/>
  <c r="D85" i="4"/>
  <c r="E81" i="4"/>
  <c r="F195" i="4"/>
  <c r="F232" i="4"/>
  <c r="D143" i="4"/>
  <c r="E112" i="4"/>
  <c r="F135" i="4"/>
  <c r="BK5" i="4"/>
  <c r="E198" i="4"/>
  <c r="E66" i="4"/>
  <c r="D75" i="4"/>
  <c r="E79" i="4"/>
  <c r="BN5" i="4"/>
  <c r="D88" i="4"/>
  <c r="F33" i="4"/>
  <c r="E16" i="4"/>
  <c r="D52" i="4"/>
  <c r="AS5" i="4"/>
  <c r="BF5" i="4"/>
  <c r="F65" i="4"/>
  <c r="V6" i="4"/>
  <c r="E23" i="4"/>
  <c r="R6" i="4"/>
  <c r="E24" i="4"/>
  <c r="E54" i="4"/>
  <c r="F111" i="4"/>
  <c r="U6" i="4"/>
  <c r="F62" i="4"/>
  <c r="F39" i="4"/>
  <c r="E49" i="4"/>
  <c r="F74" i="4"/>
  <c r="F53" i="4"/>
  <c r="D16" i="4"/>
  <c r="F15" i="4"/>
  <c r="Q6" i="4"/>
  <c r="W6" i="4"/>
  <c r="E67" i="4"/>
  <c r="F71" i="4"/>
  <c r="E38" i="4"/>
  <c r="D95" i="4"/>
  <c r="F44" i="4"/>
  <c r="BE6" i="4"/>
  <c r="K6" i="4"/>
  <c r="BE5" i="4"/>
  <c r="D49" i="4"/>
  <c r="E217" i="4"/>
  <c r="D170" i="4"/>
  <c r="D25" i="4"/>
  <c r="E63" i="4"/>
  <c r="P6" i="4"/>
  <c r="E190" i="4"/>
  <c r="D82" i="4"/>
  <c r="E95" i="4"/>
  <c r="D76" i="4"/>
  <c r="F184" i="4"/>
  <c r="D220" i="4"/>
  <c r="D128" i="4"/>
  <c r="E84" i="4"/>
  <c r="D124" i="4"/>
  <c r="F149" i="4"/>
  <c r="F187" i="4"/>
  <c r="F103" i="4"/>
  <c r="E86" i="4"/>
  <c r="D73" i="4"/>
  <c r="F100" i="4"/>
  <c r="AA6" i="4"/>
  <c r="AY5" i="4"/>
  <c r="E43" i="4"/>
  <c r="E45" i="4"/>
  <c r="E41" i="4"/>
  <c r="F54" i="4"/>
  <c r="F31" i="4"/>
  <c r="D14" i="4"/>
  <c r="E14" i="4"/>
  <c r="D34" i="4"/>
  <c r="E46" i="4"/>
  <c r="Z6" i="4"/>
  <c r="E80" i="4"/>
  <c r="AI5" i="4"/>
  <c r="F32" i="4"/>
  <c r="D209" i="4"/>
  <c r="D183" i="4"/>
  <c r="E82" i="4"/>
  <c r="D324" i="4"/>
  <c r="E346" i="4"/>
  <c r="D312" i="4"/>
  <c r="F374" i="4"/>
  <c r="F312" i="4"/>
  <c r="E297" i="4"/>
  <c r="F271" i="4"/>
  <c r="E353" i="4"/>
  <c r="F317" i="4"/>
  <c r="F298" i="4"/>
  <c r="F292" i="4"/>
  <c r="D160" i="4"/>
  <c r="F138" i="4"/>
  <c r="F166" i="4"/>
  <c r="E202" i="4"/>
  <c r="E184" i="4"/>
  <c r="E220" i="4"/>
  <c r="D283" i="4"/>
  <c r="F290" i="4"/>
  <c r="E201" i="4"/>
  <c r="F203" i="4"/>
  <c r="E261" i="4"/>
  <c r="F164" i="4"/>
  <c r="F294" i="4"/>
  <c r="D178" i="4"/>
  <c r="F244" i="4"/>
  <c r="F120" i="4"/>
  <c r="F142" i="4"/>
  <c r="BL5" i="4"/>
  <c r="F147" i="4"/>
  <c r="D114" i="4"/>
  <c r="E347" i="4"/>
  <c r="D356" i="4"/>
  <c r="E269" i="4"/>
  <c r="D252" i="4"/>
  <c r="D370" i="4"/>
  <c r="E258" i="4"/>
  <c r="F289" i="4"/>
  <c r="E291" i="4"/>
  <c r="E308" i="4"/>
  <c r="E219" i="4"/>
  <c r="D123" i="4"/>
  <c r="D131" i="4"/>
  <c r="E188" i="4"/>
  <c r="E262" i="4"/>
  <c r="E175" i="4"/>
  <c r="F179" i="4"/>
  <c r="F236" i="4"/>
  <c r="E240" i="4"/>
  <c r="E327" i="4"/>
  <c r="F237" i="4"/>
  <c r="E151" i="4"/>
  <c r="E156" i="4"/>
  <c r="E213" i="4"/>
  <c r="F231" i="4"/>
  <c r="F226" i="4"/>
  <c r="E181" i="4"/>
  <c r="E78" i="4"/>
  <c r="D116" i="4"/>
  <c r="D247" i="4"/>
  <c r="F124" i="4"/>
  <c r="F116" i="4"/>
  <c r="E142" i="4"/>
  <c r="F146" i="4"/>
  <c r="E204" i="4"/>
  <c r="E159" i="4"/>
  <c r="AH6" i="4"/>
  <c r="F148" i="4"/>
  <c r="E117" i="4"/>
  <c r="D179" i="4"/>
  <c r="E102" i="4"/>
  <c r="AV6" i="4"/>
  <c r="E96" i="4"/>
  <c r="F173" i="4"/>
  <c r="E210" i="4"/>
  <c r="D106" i="4"/>
  <c r="E73" i="4"/>
  <c r="F112" i="4"/>
  <c r="E134" i="4"/>
  <c r="F177" i="4"/>
  <c r="E98" i="4"/>
  <c r="E50" i="4"/>
  <c r="E90" i="4"/>
  <c r="E21" i="4"/>
  <c r="Y6" i="4"/>
  <c r="AU5" i="4"/>
  <c r="BD5" i="4"/>
  <c r="D29" i="4"/>
  <c r="D65" i="4"/>
  <c r="F24" i="4"/>
  <c r="F101" i="4"/>
  <c r="F64" i="4"/>
  <c r="BC6" i="4"/>
  <c r="AN6" i="4"/>
  <c r="F61" i="4"/>
  <c r="E32" i="4"/>
  <c r="F92" i="4"/>
  <c r="F67" i="4"/>
  <c r="T6" i="4"/>
  <c r="D91" i="4"/>
  <c r="F38" i="4"/>
  <c r="F18" i="4"/>
  <c r="E97" i="4"/>
  <c r="F52" i="4"/>
  <c r="AD5" i="4"/>
  <c r="D43" i="4"/>
  <c r="AO6" i="4"/>
  <c r="F93" i="4"/>
  <c r="AM6" i="4"/>
  <c r="AX5" i="4"/>
  <c r="E52" i="4"/>
  <c r="F128" i="4"/>
  <c r="E58" i="4"/>
  <c r="BH5" i="4"/>
  <c r="D44" i="4"/>
  <c r="D45" i="4"/>
  <c r="F191" i="4"/>
  <c r="E146" i="4"/>
  <c r="F115" i="4"/>
  <c r="E138" i="4"/>
  <c r="BS5" i="4"/>
  <c r="D168" i="4"/>
  <c r="D59" i="4"/>
  <c r="D267" i="4"/>
  <c r="E260" i="4"/>
  <c r="E171" i="4"/>
  <c r="F376" i="4"/>
  <c r="D282" i="4"/>
  <c r="F334" i="4"/>
  <c r="D349" i="4"/>
  <c r="D268" i="4"/>
  <c r="F274" i="4"/>
  <c r="F372" i="4"/>
  <c r="D288" i="4"/>
  <c r="D296" i="4"/>
  <c r="D269" i="4"/>
  <c r="F228" i="4"/>
  <c r="E133" i="4"/>
  <c r="F263" i="4"/>
  <c r="D181" i="4"/>
  <c r="D180" i="4"/>
  <c r="F163" i="4"/>
  <c r="F165" i="4"/>
  <c r="E259" i="4"/>
  <c r="E267" i="4"/>
  <c r="F178" i="4"/>
  <c r="F182" i="4"/>
  <c r="D239" i="4"/>
  <c r="D248" i="4"/>
  <c r="D265" i="4"/>
  <c r="E135" i="4"/>
  <c r="D169" i="4"/>
  <c r="D238" i="4"/>
  <c r="D104" i="4"/>
  <c r="D63" i="4"/>
  <c r="D93" i="4"/>
  <c r="E62" i="4"/>
  <c r="E306" i="4"/>
  <c r="D334" i="4"/>
  <c r="E226" i="4"/>
  <c r="E366" i="4"/>
  <c r="F345" i="4"/>
  <c r="F353" i="4"/>
  <c r="F267" i="4"/>
  <c r="D242" i="4"/>
  <c r="F287" i="4"/>
  <c r="D198" i="4"/>
  <c r="D201" i="4"/>
  <c r="F259" i="4"/>
  <c r="E160" i="4"/>
  <c r="E239" i="4"/>
  <c r="D152" i="4"/>
  <c r="D158" i="4"/>
  <c r="F214" i="4"/>
  <c r="F299" i="4"/>
  <c r="D306" i="4"/>
  <c r="D216" i="4"/>
  <c r="E116" i="4"/>
  <c r="E127" i="4"/>
  <c r="E186" i="4"/>
  <c r="D315" i="4"/>
  <c r="E200" i="4"/>
  <c r="F133" i="4"/>
  <c r="D67" i="4"/>
  <c r="BN6" i="4"/>
  <c r="D162" i="4"/>
  <c r="D214" i="4"/>
  <c r="E75" i="4"/>
  <c r="D213" i="4"/>
  <c r="F270" i="4"/>
  <c r="E176" i="4"/>
  <c r="E131" i="4"/>
  <c r="BL6" i="4"/>
  <c r="F127" i="4"/>
  <c r="O6" i="4"/>
  <c r="F158" i="4"/>
  <c r="E61" i="4"/>
  <c r="E148" i="4"/>
  <c r="F113" i="4"/>
  <c r="F150" i="4"/>
  <c r="F189" i="4"/>
  <c r="BO5" i="4"/>
  <c r="E91" i="4"/>
  <c r="D71" i="4"/>
  <c r="D241" i="4"/>
  <c r="F155" i="4"/>
  <c r="E22" i="4"/>
  <c r="D145" i="4"/>
  <c r="F107" i="4"/>
  <c r="D120" i="4"/>
  <c r="AT6" i="4"/>
  <c r="D36" i="4"/>
  <c r="F69" i="4"/>
  <c r="AN5" i="4"/>
  <c r="F29" i="4"/>
  <c r="AV5" i="4"/>
  <c r="AB6" i="4"/>
  <c r="E77" i="4"/>
  <c r="BA7" i="4"/>
  <c r="N7" i="4"/>
  <c r="AZ7" i="4"/>
  <c r="AZ10" i="4" s="1"/>
  <c r="AM7" i="4"/>
  <c r="BQ7" i="4"/>
  <c r="DO7" i="4"/>
  <c r="DY7" i="4"/>
  <c r="EJ7" i="4"/>
  <c r="EP7" i="4"/>
  <c r="EW7" i="4"/>
  <c r="FG7" i="4"/>
  <c r="FG10" i="4" s="1"/>
  <c r="AR5" i="4"/>
  <c r="F57" i="4"/>
  <c r="F78" i="4"/>
  <c r="S5" i="4"/>
  <c r="E115" i="4"/>
  <c r="D21" i="4"/>
  <c r="AW6" i="4"/>
  <c r="D64" i="4"/>
  <c r="AP6" i="4"/>
  <c r="D37" i="4"/>
  <c r="N5" i="4"/>
  <c r="AR6" i="4"/>
  <c r="F20" i="4"/>
  <c r="E42" i="4"/>
  <c r="D40" i="4"/>
  <c r="F47" i="4"/>
  <c r="BT5" i="4"/>
  <c r="F104" i="4"/>
  <c r="F84" i="4"/>
  <c r="D74" i="4"/>
  <c r="E76" i="4"/>
  <c r="D204" i="4"/>
  <c r="F82" i="4"/>
  <c r="E141" i="4"/>
  <c r="D117" i="4"/>
  <c r="D150" i="4"/>
  <c r="D237" i="4"/>
  <c r="E47" i="4"/>
  <c r="D153" i="4"/>
  <c r="E83" i="4"/>
  <c r="E228" i="4"/>
  <c r="D132" i="4"/>
  <c r="D86" i="4"/>
  <c r="D154" i="4"/>
  <c r="F123" i="4"/>
  <c r="E172" i="4"/>
  <c r="F283" i="4"/>
  <c r="F72" i="4"/>
  <c r="D39" i="4"/>
  <c r="E34" i="4"/>
  <c r="X5" i="4"/>
  <c r="F55" i="4"/>
  <c r="AJ5" i="4"/>
  <c r="D26" i="4"/>
  <c r="F35" i="4"/>
  <c r="AY6" i="4"/>
  <c r="E94" i="4"/>
  <c r="E111" i="4"/>
  <c r="E230" i="4"/>
  <c r="AF6" i="4"/>
  <c r="E178" i="4"/>
  <c r="D81" i="4"/>
  <c r="E114" i="4"/>
  <c r="E68" i="4"/>
  <c r="F23" i="4"/>
  <c r="E15" i="4"/>
  <c r="D57" i="4"/>
  <c r="AK5" i="4"/>
  <c r="E44" i="4"/>
  <c r="E99" i="4"/>
  <c r="D17" i="4"/>
  <c r="E35" i="4"/>
  <c r="AH5" i="4"/>
  <c r="F17" i="4"/>
  <c r="F42" i="4"/>
  <c r="M6" i="4"/>
  <c r="BT6" i="4"/>
  <c r="L5" i="4"/>
  <c r="E129" i="4"/>
  <c r="F106" i="4"/>
  <c r="D134" i="4"/>
  <c r="E225" i="4"/>
  <c r="AX6" i="4"/>
  <c r="AD6" i="4"/>
  <c r="E92" i="4"/>
  <c r="F172" i="4"/>
  <c r="E128" i="4"/>
  <c r="F126" i="4"/>
  <c r="D72" i="4"/>
  <c r="F137" i="4"/>
  <c r="E28" i="4"/>
  <c r="E57" i="4"/>
  <c r="E69" i="4"/>
  <c r="E182" i="4"/>
  <c r="F176" i="4"/>
  <c r="D193" i="4"/>
  <c r="D304" i="4"/>
  <c r="R5" i="4"/>
  <c r="BA5" i="4"/>
  <c r="D80" i="4"/>
  <c r="F27" i="4"/>
  <c r="M5" i="4"/>
  <c r="AB5" i="4"/>
  <c r="F59" i="4"/>
  <c r="U5" i="4"/>
  <c r="D24" i="4"/>
  <c r="AZ6" i="4"/>
  <c r="AT5" i="4"/>
  <c r="D251" i="4"/>
  <c r="D90" i="4"/>
  <c r="F199" i="4"/>
  <c r="E20" i="4"/>
  <c r="E144" i="4"/>
  <c r="E108" i="4"/>
  <c r="F46" i="4"/>
  <c r="AE6" i="4"/>
  <c r="F49" i="4"/>
  <c r="D38" i="4"/>
  <c r="D33" i="4"/>
  <c r="F14" i="4"/>
  <c r="AD880" i="13"/>
  <c r="BB6" i="4"/>
  <c r="E65" i="4"/>
  <c r="AM5" i="4"/>
  <c r="AZ5" i="4"/>
  <c r="D20" i="4"/>
  <c r="BJ6" i="4"/>
  <c r="BD6" i="4"/>
  <c r="F41" i="4"/>
  <c r="D77" i="4"/>
  <c r="BB5" i="4"/>
  <c r="AE51" i="13"/>
  <c r="BL7" i="4"/>
  <c r="AB7" i="4"/>
  <c r="BF7" i="4"/>
  <c r="AO7" i="4"/>
  <c r="DI7" i="4"/>
  <c r="DU7" i="4"/>
  <c r="DU10" i="4" s="1"/>
  <c r="ED7" i="4"/>
  <c r="EL7" i="4"/>
  <c r="ET7" i="4"/>
  <c r="FB7" i="4"/>
  <c r="J7" i="4"/>
  <c r="AS6" i="4"/>
  <c r="Y5" i="4"/>
  <c r="F21" i="4"/>
  <c r="D100" i="4"/>
  <c r="F76" i="4"/>
  <c r="D68" i="4"/>
  <c r="F36" i="4"/>
  <c r="D61" i="4"/>
  <c r="E71" i="4"/>
  <c r="AA5" i="4"/>
  <c r="AL6" i="4"/>
  <c r="F43" i="4"/>
  <c r="AF5" i="4"/>
  <c r="AE5" i="4"/>
  <c r="D27" i="4"/>
  <c r="T5" i="4"/>
  <c r="D127" i="4"/>
  <c r="D119" i="4"/>
  <c r="D149" i="4"/>
  <c r="V5" i="4"/>
  <c r="E161" i="4"/>
  <c r="E246" i="4"/>
  <c r="BV6" i="4"/>
  <c r="F99" i="4"/>
  <c r="BS6" i="4"/>
  <c r="E194" i="4"/>
  <c r="D156" i="4"/>
  <c r="F108" i="4"/>
  <c r="E109" i="4"/>
  <c r="D163" i="4"/>
  <c r="BU5" i="4"/>
  <c r="D70" i="4"/>
  <c r="D138" i="4"/>
  <c r="F233" i="4"/>
  <c r="F197" i="4"/>
  <c r="F215" i="4"/>
  <c r="E249" i="4"/>
  <c r="D48" i="4"/>
  <c r="X6" i="4"/>
  <c r="F26" i="4"/>
  <c r="AO5" i="4"/>
  <c r="D87" i="4"/>
  <c r="S6" i="4"/>
  <c r="AW5" i="4"/>
  <c r="F58" i="4"/>
  <c r="D108" i="4"/>
  <c r="D133" i="4"/>
  <c r="D140" i="4"/>
  <c r="F94" i="4"/>
  <c r="F102" i="4"/>
  <c r="E136" i="4"/>
  <c r="E137" i="4"/>
  <c r="E233" i="4"/>
  <c r="E162" i="4"/>
  <c r="E27" i="4"/>
  <c r="BA6" i="4"/>
  <c r="F70" i="4"/>
  <c r="F19" i="4"/>
  <c r="E89" i="4"/>
  <c r="D60" i="4"/>
  <c r="FB10" i="4" l="1"/>
  <c r="EF10" i="4"/>
  <c r="EH10" i="4"/>
  <c r="FF10" i="4"/>
  <c r="EP10" i="4"/>
  <c r="CH10" i="4"/>
  <c r="DK10" i="4"/>
  <c r="M10" i="4"/>
  <c r="CF10" i="4"/>
  <c r="CI10" i="4"/>
  <c r="EC10" i="4"/>
  <c r="DO10" i="4"/>
  <c r="CO10" i="4"/>
  <c r="BN10" i="4"/>
  <c r="X10" i="4"/>
  <c r="EE10" i="4"/>
  <c r="ET10" i="4"/>
  <c r="FC10" i="4"/>
  <c r="DW10" i="4"/>
  <c r="DN10" i="4"/>
  <c r="EO10" i="4"/>
  <c r="ES10" i="4"/>
  <c r="DZ10" i="4"/>
  <c r="CE10" i="4"/>
  <c r="DY10" i="4"/>
  <c r="DC10" i="4"/>
  <c r="EK10" i="4"/>
  <c r="EI10" i="4"/>
  <c r="CB10" i="4"/>
  <c r="DD10" i="4"/>
  <c r="EW10" i="4"/>
  <c r="ER10" i="4"/>
  <c r="AL10" i="4"/>
  <c r="EG10" i="4"/>
  <c r="DR10" i="4"/>
  <c r="CM10" i="4"/>
  <c r="FE10" i="4"/>
  <c r="CD10" i="4"/>
  <c r="AB10" i="4"/>
  <c r="BL10" i="4"/>
  <c r="N10" i="4"/>
  <c r="BQ10" i="4"/>
  <c r="DS10" i="4"/>
  <c r="DP10" i="4"/>
  <c r="EU10" i="4"/>
  <c r="FA10" i="4"/>
  <c r="AI10" i="4"/>
  <c r="O10" i="4"/>
  <c r="AH10" i="4"/>
  <c r="AW10" i="4"/>
  <c r="U10" i="4"/>
  <c r="AX10" i="4"/>
  <c r="AK10" i="4"/>
  <c r="BY10" i="4"/>
  <c r="CT10" i="4"/>
  <c r="BR10" i="4"/>
  <c r="DQ10" i="4"/>
  <c r="EV10" i="4"/>
  <c r="BO10" i="4"/>
  <c r="CL10" i="4"/>
  <c r="AP10" i="4"/>
  <c r="BX10" i="4"/>
  <c r="CK10" i="4"/>
  <c r="EM10" i="4"/>
  <c r="DX10" i="4"/>
  <c r="DB10" i="4"/>
  <c r="Q10" i="4"/>
  <c r="CC10" i="4"/>
  <c r="EZ10" i="4"/>
  <c r="EN10" i="4"/>
  <c r="CX10" i="4"/>
  <c r="EY10" i="4"/>
  <c r="DV10" i="4"/>
  <c r="BP10" i="4"/>
  <c r="CA10" i="4"/>
  <c r="EA10" i="4"/>
  <c r="EL10" i="4"/>
  <c r="EQ10" i="4"/>
  <c r="BD10" i="4"/>
  <c r="ED10" i="4"/>
  <c r="EJ10" i="4"/>
  <c r="FD10" i="4"/>
  <c r="DL10" i="4"/>
  <c r="DM10" i="4"/>
  <c r="CJ10" i="4"/>
  <c r="AE10" i="4"/>
  <c r="CP10" i="4"/>
  <c r="AM10" i="4"/>
  <c r="R10" i="4"/>
  <c r="BC10" i="4"/>
  <c r="BH10" i="4"/>
  <c r="BS10" i="4"/>
  <c r="AC10" i="4"/>
  <c r="BG10" i="4"/>
  <c r="BB10" i="4"/>
  <c r="K10" i="4"/>
  <c r="BF10" i="4"/>
  <c r="S10" i="4"/>
  <c r="AG10" i="4"/>
  <c r="CY10" i="4"/>
  <c r="BT10" i="4"/>
  <c r="AA10" i="4"/>
  <c r="BE10" i="4"/>
  <c r="T10" i="4"/>
  <c r="CG10" i="4"/>
  <c r="AV10" i="4"/>
  <c r="CQ10" i="4"/>
  <c r="G405" i="4"/>
  <c r="G410" i="4" s="1"/>
  <c r="BI10" i="4"/>
  <c r="AS10" i="4"/>
  <c r="AD10" i="4"/>
  <c r="AF10" i="4"/>
  <c r="CV10" i="4"/>
  <c r="CN10" i="4"/>
  <c r="BK10" i="4"/>
  <c r="BV10" i="4"/>
  <c r="CU10" i="4"/>
  <c r="AO10" i="4"/>
  <c r="BA10" i="4"/>
  <c r="AY10" i="4"/>
  <c r="DA10" i="4"/>
  <c r="AN10" i="4"/>
  <c r="Y10" i="4"/>
  <c r="BM10" i="4"/>
  <c r="AR10" i="4"/>
  <c r="AT10" i="4"/>
  <c r="BU10" i="4"/>
  <c r="AJ10" i="4"/>
  <c r="BJ10" i="4"/>
  <c r="AU10" i="4"/>
  <c r="DG10" i="4"/>
  <c r="DI10" i="4"/>
  <c r="BW10" i="4"/>
  <c r="DH10" i="4"/>
  <c r="DE10" i="4"/>
  <c r="FI8" i="4"/>
  <c r="DF10" i="4"/>
  <c r="AL51" i="13"/>
  <c r="AL880" i="13" s="1"/>
  <c r="AO51" i="13"/>
  <c r="AE3" i="61"/>
  <c r="AE880" i="13"/>
  <c r="AK51" i="13"/>
  <c r="FI6" i="4"/>
  <c r="J10" i="4"/>
  <c r="FI7" i="4"/>
  <c r="FI5" i="4"/>
  <c r="D405" i="4"/>
  <c r="D410" i="4" s="1"/>
  <c r="F405" i="4"/>
  <c r="F410" i="4" s="1"/>
  <c r="Q21" i="5"/>
  <c r="S21" i="5" s="1"/>
  <c r="J30" i="5"/>
  <c r="S9" i="5"/>
  <c r="FI10" i="4" l="1"/>
  <c r="FK5" i="4"/>
  <c r="AM51" i="13"/>
  <c r="AM880" i="13" s="1"/>
  <c r="AK3" i="61"/>
  <c r="C6" i="3"/>
  <c r="C8" i="3" s="1"/>
  <c r="G34" i="7"/>
  <c r="M10" i="6"/>
  <c r="T9" i="5"/>
  <c r="AL3" i="61"/>
  <c r="C7" i="3" s="1"/>
  <c r="C12" i="2"/>
  <c r="AO880" i="13"/>
  <c r="AO2" i="61"/>
  <c r="AO3" i="61" s="1"/>
  <c r="C17" i="2" s="1"/>
  <c r="C45" i="2" l="1"/>
  <c r="O45" i="2" s="1"/>
  <c r="C13" i="2"/>
  <c r="C14" i="2" s="1"/>
  <c r="C28" i="2"/>
  <c r="C46" i="2"/>
  <c r="C27" i="2"/>
  <c r="O12" i="2"/>
  <c r="N10" i="6"/>
  <c r="M22" i="6"/>
  <c r="N22" i="6" s="1"/>
  <c r="G46" i="7"/>
  <c r="H46" i="7" s="1"/>
  <c r="H34" i="7"/>
  <c r="O17" i="2"/>
  <c r="C18" i="2"/>
  <c r="O18" i="2" s="1"/>
  <c r="T21" i="5"/>
  <c r="U21" i="5" s="1"/>
  <c r="U9" i="5"/>
  <c r="M30" i="5"/>
  <c r="N31" i="5" s="1"/>
  <c r="C29" i="2" l="1"/>
  <c r="C30" i="2" s="1"/>
  <c r="O30" i="2" s="1"/>
  <c r="O46" i="2"/>
  <c r="O13" i="2"/>
  <c r="O14" i="2" s="1"/>
  <c r="O29" i="2" l="1"/>
  <c r="E118" i="4" l="1"/>
  <c r="AT52" i="13"/>
  <c r="E409" i="4" l="1"/>
  <c r="Q880" i="13"/>
  <c r="E119" i="4"/>
  <c r="E405" i="4"/>
  <c r="E410" i="4"/>
  <c r="K22" i="5"/>
  <c r="K21" i="5"/>
  <c r="K9" i="5"/>
  <c r="E123" i="4"/>
  <c r="Q39" i="13"/>
  <c r="AT39" i="13"/>
  <c r="AT77" i="13"/>
  <c r="Q77" i="13"/>
  <c r="Q38" i="13"/>
  <c r="AT38" i="13"/>
  <c r="Q43" i="13"/>
  <c r="AT43" i="13"/>
  <c r="AT73" i="13"/>
  <c r="Q73" i="13"/>
  <c r="AT72" i="13"/>
  <c r="Q72" i="13"/>
  <c r="E124" i="4"/>
  <c r="Q36" i="61"/>
  <c r="Q6" i="61"/>
  <c r="Q9" i="61"/>
  <c r="Q12" i="61"/>
  <c r="Q15" i="61"/>
  <c r="Q18" i="61"/>
  <c r="Q21" i="61"/>
  <c r="Q24" i="61"/>
  <c r="Q27" i="61"/>
  <c r="Q30" i="61"/>
  <c r="Q33" i="61"/>
  <c r="Q56" i="13"/>
  <c r="AT56" i="13"/>
  <c r="Q44" i="13"/>
  <c r="AT44" i="13"/>
  <c r="Q54" i="13"/>
  <c r="AT54" i="13"/>
  <c r="AT265" i="13"/>
  <c r="Q265" i="13"/>
  <c r="AT53" i="13"/>
  <c r="Q53" i="13"/>
  <c r="Q58" i="13"/>
  <c r="AT58" i="13"/>
  <c r="AT78" i="13"/>
  <c r="Q78" i="13"/>
  <c r="Q75" i="13"/>
  <c r="AT75" i="13"/>
  <c r="AT253" i="13"/>
  <c r="E120" i="4"/>
  <c r="Q2" i="61"/>
  <c r="Q3" i="61"/>
  <c r="Q74" i="13"/>
  <c r="AT74" i="13"/>
  <c r="Q57" i="13"/>
  <c r="AT57" i="13"/>
  <c r="AT55" i="13"/>
  <c r="Q55" i="13"/>
  <c r="E121" i="4"/>
  <c r="Q254" i="13"/>
  <c r="AT254" i="13"/>
  <c r="Q5" i="61"/>
  <c r="Q253" i="13"/>
  <c r="Q4" i="61"/>
  <c r="K10" i="5"/>
  <c r="Q37" i="13"/>
  <c r="AT37" i="13"/>
  <c r="AT36" i="13"/>
  <c r="Q36" i="13"/>
  <c r="E125" i="4"/>
  <c r="AT42" i="13"/>
  <c r="Q42" i="13"/>
  <c r="E122" i="4"/>
  <c r="AT40" i="13"/>
  <c r="Q40" i="13"/>
  <c r="Q59" i="13"/>
  <c r="AT59" i="13"/>
  <c r="Q41" i="13"/>
  <c r="AT41" i="13"/>
  <c r="Q79" i="13"/>
  <c r="AT79" i="13"/>
  <c r="Q76" i="13"/>
  <c r="AT76" i="13"/>
  <c r="Q89" i="13"/>
  <c r="AT89" i="13"/>
</calcChain>
</file>

<file path=xl/sharedStrings.xml><?xml version="1.0" encoding="utf-8"?>
<sst xmlns="http://schemas.openxmlformats.org/spreadsheetml/2006/main" count="7552" uniqueCount="616">
  <si>
    <t>TOTAL ACUM.</t>
  </si>
  <si>
    <t>(Unidades 50Kg)</t>
  </si>
  <si>
    <t>TOTAL TONELADAS</t>
  </si>
  <si>
    <t>VENTA BRUTA INDUSTRIA</t>
  </si>
  <si>
    <t>($ Millones)</t>
  </si>
  <si>
    <t>($USD Miles)</t>
  </si>
  <si>
    <t>PRECIO FOB CDO TUC                             BOLSA 50 KG</t>
  </si>
  <si>
    <t>(Bolsa 50kg)</t>
  </si>
  <si>
    <t>($) IVA INC</t>
  </si>
  <si>
    <t>PRECIO CACTU COMPARABLE</t>
  </si>
  <si>
    <t>GAP VS. CACTU</t>
  </si>
  <si>
    <t>%</t>
  </si>
  <si>
    <t>MARGEN IND VS CACTU</t>
  </si>
  <si>
    <t xml:space="preserve">PRECIO VENTA PROMEDIO </t>
  </si>
  <si>
    <t>PRECIO POR KG</t>
  </si>
  <si>
    <t>($)  SIN IVA</t>
  </si>
  <si>
    <t>(USD) SIN IVA</t>
  </si>
  <si>
    <t>PRECIO VENTA BRUTO BOLSA 50KG</t>
  </si>
  <si>
    <t xml:space="preserve">PRECIO BUE 30D </t>
  </si>
  <si>
    <t>PRECIO  FOB  BUE A PLAZO</t>
  </si>
  <si>
    <t>Bolsa 50 KG</t>
  </si>
  <si>
    <t>FINANCIACION A 30D</t>
  </si>
  <si>
    <t xml:space="preserve">PRECIO FOB BUE 30D </t>
  </si>
  <si>
    <t>PRECIO  FOB BUE 30D                                                 KG</t>
  </si>
  <si>
    <t>PRECIO LEDESMA COMPARABLE</t>
  </si>
  <si>
    <t>GAP VS. LEDESMA</t>
  </si>
  <si>
    <t>VARIACIÓN VOLUMEN  BOLSAS  TOTAL</t>
  </si>
  <si>
    <t>(%)</t>
  </si>
  <si>
    <t>unidades</t>
  </si>
  <si>
    <t>VARIACION PRECIO POR KG SIN IVA</t>
  </si>
  <si>
    <t xml:space="preserve">Variacion % en $ </t>
  </si>
  <si>
    <t>% ($)</t>
  </si>
  <si>
    <t>Variacion % en USD</t>
  </si>
  <si>
    <t>% (USD)</t>
  </si>
  <si>
    <t>VARIACIÓN PRECIO FOB CONTADO TUC  X BOLSA</t>
  </si>
  <si>
    <t>Promedio</t>
  </si>
  <si>
    <t>TIPO DE CAMBIO USD</t>
  </si>
  <si>
    <t>BNA of compra</t>
  </si>
  <si>
    <t>TASA FINANC ANUAL</t>
  </si>
  <si>
    <t xml:space="preserve">% </t>
  </si>
  <si>
    <t>COSTO FIN X BOLSA PLAZO 30</t>
  </si>
  <si>
    <t>FLETE EQ BOLSA A BUE</t>
  </si>
  <si>
    <t xml:space="preserve">SIN IVA </t>
  </si>
  <si>
    <t>MAYO</t>
  </si>
  <si>
    <t>TOTAL</t>
  </si>
  <si>
    <t xml:space="preserve">BOLSAS </t>
  </si>
  <si>
    <t>PESOS $</t>
  </si>
  <si>
    <t xml:space="preserve">TOTAL </t>
  </si>
  <si>
    <t>JUNIO</t>
  </si>
  <si>
    <t>JULIO</t>
  </si>
  <si>
    <t xml:space="preserve">AGOSTO </t>
  </si>
  <si>
    <t>SEPTIEMBRE</t>
  </si>
  <si>
    <t>OCTUBRE</t>
  </si>
  <si>
    <t>NOVIEMBRE</t>
  </si>
  <si>
    <t>GAP VS LEDESMA BUE30DFF</t>
  </si>
  <si>
    <t>PRECIO PROMEDIO KG (SIN IVA)</t>
  </si>
  <si>
    <t>LEDESMA COMPARABLE</t>
  </si>
  <si>
    <t>PRECIO PROMEDIO  TN USD (SIN IVA)</t>
  </si>
  <si>
    <t>DICIEMBRE</t>
  </si>
  <si>
    <t>CACTU COMPARABLE</t>
  </si>
  <si>
    <t>ENERO</t>
  </si>
  <si>
    <t>FEBRERO</t>
  </si>
  <si>
    <t xml:space="preserve">SEMANA </t>
  </si>
  <si>
    <t>FECHA INICIA</t>
  </si>
  <si>
    <t>Estado de cobranzas</t>
  </si>
  <si>
    <t>Gastos Flete</t>
  </si>
  <si>
    <t xml:space="preserve">Gastos Financieros </t>
  </si>
  <si>
    <t>Pcio Neto Bls 50 kgs - Contado y en Ingenio</t>
  </si>
  <si>
    <t>COMENTARIO</t>
  </si>
  <si>
    <t xml:space="preserve">MES </t>
  </si>
  <si>
    <t>AÑO</t>
  </si>
  <si>
    <t>EQUIPOS VENDIDOS</t>
  </si>
  <si>
    <t>TOTAL KILOS</t>
  </si>
  <si>
    <t>PCIO Bruto PROM X KG SIN IVA</t>
  </si>
  <si>
    <t>FACTURACION</t>
  </si>
  <si>
    <t>PENDIENTE DE ENTREGA</t>
  </si>
  <si>
    <t>PENDIENTE DE COBRO</t>
  </si>
  <si>
    <t>Valores en Cartera</t>
  </si>
  <si>
    <t>VALORES COBRADOS</t>
  </si>
  <si>
    <t>Cantidad de Bolsas</t>
  </si>
  <si>
    <t xml:space="preserve">Pcio Bruto Bls 50 kgs </t>
  </si>
  <si>
    <t>AR$ por Bolsa</t>
  </si>
  <si>
    <t>% Flete sobre Bolsa 50 kgs</t>
  </si>
  <si>
    <t>Pcio FOB INDUSTRIA  FINANCIADO Bls 50 kgs (Pcio bls - Gtos Flete x bls)</t>
  </si>
  <si>
    <t>Gtos Financieros AR$ por Bolsa 50 kgs</t>
  </si>
  <si>
    <t xml:space="preserve">Tasa Anual </t>
  </si>
  <si>
    <t>% Gtos Financieros  sobre Bolsa 50 Kgs</t>
  </si>
  <si>
    <t>% sobre Precio Bruto</t>
  </si>
  <si>
    <t>% Gto Financiero ANUAL</t>
  </si>
  <si>
    <t xml:space="preserve">JUNIO </t>
  </si>
  <si>
    <t>AGOSTO</t>
  </si>
  <si>
    <t xml:space="preserve">ENERO </t>
  </si>
  <si>
    <t xml:space="preserve">FEBRERO </t>
  </si>
  <si>
    <t xml:space="preserve">MARZO </t>
  </si>
  <si>
    <t>ABRIL</t>
  </si>
  <si>
    <t>TOTALES CONSOLIDADOS</t>
  </si>
  <si>
    <t xml:space="preserve">Nota: El cuadro anterior muestra el resumen de las operaciones mensuales </t>
  </si>
  <si>
    <t>COMPARATIVO MENSUAL</t>
  </si>
  <si>
    <t>Variación Mensual Cantidad Bolsas</t>
  </si>
  <si>
    <t>Variación Mensual Pcio BRuto Prom Bls 50 kgs</t>
  </si>
  <si>
    <t>Gtos Flete Prom</t>
  </si>
  <si>
    <t>Variación Mensual Gto Flete x Bls</t>
  </si>
  <si>
    <t>Gtos Financieros Anual</t>
  </si>
  <si>
    <t>Variación Mensual Gtos Financieros x Bls</t>
  </si>
  <si>
    <t>Neto Corona Ctdo y en Ingenio</t>
  </si>
  <si>
    <t>% Precio Neto sobre Pcio Prom Bolsa 50 kgs</t>
  </si>
  <si>
    <t>Plazo Promedio de Pago (Dias)</t>
  </si>
  <si>
    <t>Variación Plazo Promedio de Pago (Dias)</t>
  </si>
  <si>
    <t>Nota: El cuadro anterior muestra el comparativo mes a mes de las operaciones realizadas. Por ejemplo: en el mes de Julio 2021  se vendio un 2% menos de bolsas que en el mes de Junio 2021, etc.</t>
  </si>
  <si>
    <t xml:space="preserve">CUADRO DOLARES X TN -  Precio Buenos Aires a Plazo 30 días </t>
  </si>
  <si>
    <t>TONELADA</t>
  </si>
  <si>
    <t>BOLSA 50 KGS</t>
  </si>
  <si>
    <t>Pcio Bruto Prom x Kg.</t>
  </si>
  <si>
    <t>Variación Mensual Pcio Bruto</t>
  </si>
  <si>
    <t xml:space="preserve">TIPO DE CAMBIO </t>
  </si>
  <si>
    <t>Variación Mensual TIPO DE CAMBIO</t>
  </si>
  <si>
    <t>USD x TONELADA</t>
  </si>
  <si>
    <t>Variación Mensual USD x Tn.</t>
  </si>
  <si>
    <t>USD x BLS (Pcio BrutoProm Bls 50 Kgs)</t>
  </si>
  <si>
    <t>Variación Mensual USD x Bls</t>
  </si>
  <si>
    <t>Los valores en USD por Tonelada y por Bls de 50 Kgs., se calculan tomando el precio promedio facturado a los clientes por el tipo de cambio promedio del mes. (Incluye Costo de Flete + Plazo)</t>
  </si>
  <si>
    <t xml:space="preserve">TIPO DE CAMBIO: Se toma el Promedio Mensual del tipo de cambio VENDEDOR del BCRA. </t>
  </si>
  <si>
    <t>FUENTE:</t>
  </si>
  <si>
    <t>http://www.bcra.gov.ar/PublicacionesEstadisticas/Planilla_cierre_de_cotizaciones.asp</t>
  </si>
  <si>
    <t>PRECIO VENTA PROM X KG (sin IVA)</t>
  </si>
  <si>
    <t>PCIO FOB CONTADO POR BOLSA  50 kgs</t>
  </si>
  <si>
    <t>USD x Bls</t>
  </si>
  <si>
    <t>COMPARATIVO PRECIOS DE REFERENCIA</t>
  </si>
  <si>
    <t>BOLSAS VENDIDAS INDUSTRIA</t>
  </si>
  <si>
    <t>PRECIO REF LEDESMA x KG BUE</t>
  </si>
  <si>
    <t>PRECIO INDUSTRIA x KG BUE</t>
  </si>
  <si>
    <t>DIF x KG INDUSTRIA vs LEDESMA %</t>
  </si>
  <si>
    <t xml:space="preserve">PRECIO REF BUDEGUER (LEACH) x KG Bs As </t>
  </si>
  <si>
    <t>DIF INDUSTRIA vs LEACH %</t>
  </si>
  <si>
    <t xml:space="preserve">PRECIO REF ARCOR (PROVIDENCIA) x KG Bs As </t>
  </si>
  <si>
    <t>DIF INDUSTRIA vs PROVIDENCIA %</t>
  </si>
  <si>
    <t>OBJETIVO</t>
  </si>
  <si>
    <t>MARZO</t>
  </si>
  <si>
    <t>TOTALES</t>
  </si>
  <si>
    <t>Comentarios:</t>
  </si>
  <si>
    <t xml:space="preserve"> Los precios por Kg.  Son SIN IVA</t>
  </si>
  <si>
    <t>Los precios por Bolsa, se refiere a la Bolsa de 50 Kgs. y tienen INCLUIDO el IVA</t>
  </si>
  <si>
    <t>En este cuadro se compara el Precio de Ledesma vs INDUSTRIA LA CORONA ambos como si se entregaran en Bs As y con un plazo de cobro de 40 días. Para este análisis se toma de cada operación realizada el Precio Bruto (Incluido Flete y Gtos Financieros), generalizando que todos los fletes fuesen a Bs As.</t>
  </si>
  <si>
    <t xml:space="preserve">TUCUMAN  VS INDUSTRIA- PRECIO FOB X BOLSA 50 KGS CONTADO </t>
  </si>
  <si>
    <t>PRECIO REF TUCUMAN Ctro Agric Cañeros Tucumán (CACTU)</t>
  </si>
  <si>
    <t>PRECIO NETO CDO INDUSTRIA LA CORONA EN INGENIO</t>
  </si>
  <si>
    <t>DIF INDUSTRIA vs INGENIO LC  AR$</t>
  </si>
  <si>
    <t>1) Los precios por Bolsa, se refiere a la Bolsa de 50 Kgs. y tienen INCLUIDO el IVA</t>
  </si>
  <si>
    <r>
      <rPr>
        <b/>
        <i/>
        <sz val="14"/>
        <color theme="1"/>
        <rFont val="Calibri"/>
        <family val="2"/>
      </rPr>
      <t xml:space="preserve">2) </t>
    </r>
    <r>
      <rPr>
        <b/>
        <i/>
        <u/>
        <sz val="14"/>
        <color theme="1"/>
        <rFont val="Calibri"/>
        <family val="2"/>
      </rPr>
      <t>PRECIO TUCUMAN, se toma el precio del día en que se recibió la OC del cliente INDUSTRIA,  publicado por el Centro de Agricultores Cañeros de Tucumán (CACTU), es más representativo ya que publican los precios por día</t>
    </r>
  </si>
  <si>
    <r>
      <rPr>
        <b/>
        <i/>
        <sz val="14"/>
        <color theme="1"/>
        <rFont val="Calibri"/>
        <family val="2"/>
      </rPr>
      <t xml:space="preserve">3) </t>
    </r>
    <r>
      <rPr>
        <b/>
        <i/>
        <u/>
        <sz val="14"/>
        <color theme="1"/>
        <rFont val="Calibri"/>
        <family val="2"/>
      </rPr>
      <t>PRECIO NETO INDUSTRIA LA CORONA EN INGENIO</t>
    </r>
    <r>
      <rPr>
        <b/>
        <i/>
        <sz val="14"/>
        <color theme="1"/>
        <rFont val="Calibri"/>
        <family val="2"/>
      </rPr>
      <t xml:space="preserve">: Pcio bruto por Bolsa - Gasto de Flete  - Gastos Financieros </t>
    </r>
  </si>
  <si>
    <t>FECHA:</t>
  </si>
  <si>
    <t>CLIENTE</t>
  </si>
  <si>
    <t>LOCALIDAD</t>
  </si>
  <si>
    <t>PROVINCIA</t>
  </si>
  <si>
    <t>MES</t>
  </si>
  <si>
    <t>RECLAMOS CLIENTES INDUSTRIA ZAFRA 2024</t>
  </si>
  <si>
    <t>EQUIPOS ENTREGADOS</t>
  </si>
  <si>
    <t>EQUIPOS OK</t>
  </si>
  <si>
    <t xml:space="preserve">EQUIPOS RECHAZADOS/ DEVOL PARCIAL </t>
  </si>
  <si>
    <t>EQUIPOS CON RECLAMOS</t>
  </si>
  <si>
    <t xml:space="preserve">El mes indica la fecha en que se ha entregado el equipo </t>
  </si>
  <si>
    <t>Una NO CONFORMIDAD  puede hacer referencia a más de 1 equipo</t>
  </si>
  <si>
    <t>CUADRO RESUMEN MOTIVOS NO CONFORMIDADES</t>
  </si>
  <si>
    <t xml:space="preserve">MOTIVOS PRINCIPALES </t>
  </si>
  <si>
    <t>CANTIDAD</t>
  </si>
  <si>
    <t>% sobre total reclamos</t>
  </si>
  <si>
    <t>CALIDAD (Humedad, sedimento, material extraño)</t>
  </si>
  <si>
    <t>EMPAQUE/ sellado</t>
  </si>
  <si>
    <t>DIFERENCIA KILOS</t>
  </si>
  <si>
    <t>ENTREGA/ PALETIZADO</t>
  </si>
  <si>
    <t xml:space="preserve">ECHEQS EN  CARTERA OFICINA BUENOS AIRES </t>
  </si>
  <si>
    <t>LUGAR FIS+B8:O9ICO</t>
  </si>
  <si>
    <t>MEDIO PAGO</t>
  </si>
  <si>
    <t>PROVEEDOR</t>
  </si>
  <si>
    <t>FACTURA</t>
  </si>
  <si>
    <t>LIBRADOR DEL CHEQUE</t>
  </si>
  <si>
    <t xml:space="preserve">CUIT LIBRADOR </t>
  </si>
  <si>
    <t xml:space="preserve">CHEQUE NUMERO </t>
  </si>
  <si>
    <t>BANCO</t>
  </si>
  <si>
    <t>INGRESO</t>
  </si>
  <si>
    <t>EGRESO</t>
  </si>
  <si>
    <t xml:space="preserve">VENCIMIENTO </t>
  </si>
  <si>
    <t>DIAS PARA EL VENCIMIENTO</t>
  </si>
  <si>
    <t xml:space="preserve">SEMANA ACREDITACION PAGO </t>
  </si>
  <si>
    <t>GALICIA SAS</t>
  </si>
  <si>
    <t>SALDO CHEQUE EN CARTERA</t>
  </si>
  <si>
    <t>CANTIDAD EQUIPOS</t>
  </si>
  <si>
    <t>FECHA FC</t>
  </si>
  <si>
    <t>FC SUCRO</t>
  </si>
  <si>
    <t>PRODUCTO</t>
  </si>
  <si>
    <t>ESTADO ENTREGA</t>
  </si>
  <si>
    <t>FECHA Entrega</t>
  </si>
  <si>
    <t>KGS</t>
  </si>
  <si>
    <t>SUBTOTAL</t>
  </si>
  <si>
    <t>IVA</t>
  </si>
  <si>
    <t>FECHA RETIRO VALORES</t>
  </si>
  <si>
    <t>FECHA VTO VALORES</t>
  </si>
  <si>
    <t>Dias Vto</t>
  </si>
  <si>
    <t>PLAZO PAGO DIAS</t>
  </si>
  <si>
    <t>Banco</t>
  </si>
  <si>
    <t>OC</t>
  </si>
  <si>
    <t>FECHA OC</t>
  </si>
  <si>
    <t>Q Bolsas</t>
  </si>
  <si>
    <t xml:space="preserve">Pcio Bls 50 kgs </t>
  </si>
  <si>
    <t>Gtos Flete</t>
  </si>
  <si>
    <t>Pcio FOB Bls 50 kgs (Pcio bls - Gtos Flete x bls)</t>
  </si>
  <si>
    <t xml:space="preserve">Gtos Financ </t>
  </si>
  <si>
    <t>Pcio Neto Bls 50 kgs - Corona Ctdo y en Ingenio</t>
  </si>
  <si>
    <t>ENVASE</t>
  </si>
  <si>
    <t>Columna1</t>
  </si>
  <si>
    <t>DIF Pcio Neto INDUSTRIA vs Neto TUCUMAN ARS</t>
  </si>
  <si>
    <t>DIF Neto INDUSTRIA vs  Neto TUCUMAN ARS</t>
  </si>
  <si>
    <t xml:space="preserve">Ganancia Industria vs. Tucuman </t>
  </si>
  <si>
    <t>VENTA EQUIVALENTE CACTU</t>
  </si>
  <si>
    <t>VENTA FOB TUC</t>
  </si>
  <si>
    <t>PROMEDIOS</t>
  </si>
  <si>
    <t>PENDIENTE</t>
  </si>
  <si>
    <t>Fecha</t>
  </si>
  <si>
    <t>50Kg</t>
  </si>
  <si>
    <t>FECHA FIN</t>
  </si>
  <si>
    <t>TOTAL A PERCIBIR SEMANA</t>
  </si>
  <si>
    <t>REFERENCIAS</t>
  </si>
  <si>
    <t xml:space="preserve">PRECIO FOB CDO </t>
  </si>
  <si>
    <t>OBJETIVO MES</t>
  </si>
  <si>
    <t>CONTROL</t>
  </si>
  <si>
    <t>CONSOLIDADO VENTAS</t>
  </si>
  <si>
    <t>TOTAL VENDIDO</t>
  </si>
  <si>
    <t>COBRADO</t>
  </si>
  <si>
    <t xml:space="preserve">VENTA TOTAL  </t>
  </si>
  <si>
    <t>VALORES EN CARTERA</t>
  </si>
  <si>
    <t>TIPO OPERACIÓN</t>
  </si>
  <si>
    <t>TASA FINANCIACION MENSUAL</t>
  </si>
  <si>
    <t>TIPO DE CAMBIO PROMEDIO</t>
  </si>
  <si>
    <t>ZAFRA 25  KPI´S MES</t>
  </si>
  <si>
    <t>Z-2025</t>
  </si>
  <si>
    <t>Q Bolsas Equivalentes 50kg</t>
  </si>
  <si>
    <t>VENTA PENDIENTE DE ENTREGA NE-NC</t>
  </si>
  <si>
    <t>TOTAL VENTA ACUMULADA Z25</t>
  </si>
  <si>
    <t>ENTREGADO COBRADO + VENTA COBRO ANTICIPADO</t>
  </si>
  <si>
    <t>SALDO DEUDORES ENTREGADO FACTURADO</t>
  </si>
  <si>
    <t>PLAZO ENTREGA VALORES</t>
  </si>
  <si>
    <t>ZAFRA</t>
  </si>
  <si>
    <t xml:space="preserve"> COBRANZA SEMANA </t>
  </si>
  <si>
    <t>Total general</t>
  </si>
  <si>
    <t>Suma de CANTIDAD EQUIPOS</t>
  </si>
  <si>
    <t>Suma de Q Bolsas Equivalentes 50kg</t>
  </si>
  <si>
    <t>(Todas)</t>
  </si>
  <si>
    <t>TOTAL BOLSAS Z25</t>
  </si>
  <si>
    <t>COMPARACION Z25 - Z24</t>
  </si>
  <si>
    <t>Total BOLSAS Z24</t>
  </si>
  <si>
    <t>Precio x KG  Z24</t>
  </si>
  <si>
    <t>Precio FOB CONTADO Z24</t>
  </si>
  <si>
    <t>PR KG SIN IVA</t>
  </si>
  <si>
    <t>PR KG IVA INCL</t>
  </si>
  <si>
    <t>LA CORONA   FOB BUE 30D                                        KG</t>
  </si>
  <si>
    <t xml:space="preserve">Apreciacion TC  variacion mensual </t>
  </si>
  <si>
    <r>
      <t xml:space="preserve">PRECIO FOB CDO TUC                                       </t>
    </r>
    <r>
      <rPr>
        <b/>
        <sz val="8"/>
        <color theme="0"/>
        <rFont val="Calibri"/>
        <family val="2"/>
      </rPr>
      <t xml:space="preserve">     </t>
    </r>
    <r>
      <rPr>
        <b/>
        <sz val="11"/>
        <color theme="0"/>
        <rFont val="Calibri"/>
        <family val="2"/>
      </rPr>
      <t xml:space="preserve">   KG</t>
    </r>
  </si>
  <si>
    <t>($USD) IVA INC</t>
  </si>
  <si>
    <t>INDUSTRIA</t>
  </si>
  <si>
    <t>EXPO CHILE</t>
  </si>
  <si>
    <t>TUC CTADO 2</t>
  </si>
  <si>
    <t>GDES CUENTAS</t>
  </si>
  <si>
    <t>Precio x TN  Z24</t>
  </si>
  <si>
    <t>% EQUIPOS DESTINO</t>
  </si>
  <si>
    <t>SEMANA</t>
  </si>
  <si>
    <t>(en blanco)</t>
  </si>
  <si>
    <t>CTRL</t>
  </si>
  <si>
    <t>Tipo de Cambio de Referencia - en Pesos - por Dólar</t>
  </si>
  <si>
    <t>Tipo de Cambio Nominal Promedio Mensual</t>
  </si>
  <si>
    <t>TIPO DE CAMBIO</t>
  </si>
  <si>
    <t>Promedio de PRECIO POR TN en CLIENTE Sin IVA a Plazo</t>
  </si>
  <si>
    <t>ZAFRA 25</t>
  </si>
  <si>
    <t>ZAFRA 24</t>
  </si>
  <si>
    <t>Total Promedio de PRECIO POR TN en CLIENTE Sin IVA a Plazo</t>
  </si>
  <si>
    <t>Total Suma de KGS</t>
  </si>
  <si>
    <t>Suma de KGS</t>
  </si>
  <si>
    <t>%  PART. VOLUMEN</t>
  </si>
  <si>
    <t>PRECIO PROMEDIO PONEDRADO POR TN</t>
  </si>
  <si>
    <t xml:space="preserve">NOVIEMBRE </t>
  </si>
  <si>
    <t>Etiquetas de fila</t>
  </si>
  <si>
    <t>Suma de INGRESO</t>
  </si>
  <si>
    <t>Etiquetas de columna</t>
  </si>
  <si>
    <t>2026</t>
  </si>
  <si>
    <t>Total 2026</t>
  </si>
  <si>
    <t>Trim.2</t>
  </si>
  <si>
    <t>Total Trim.2</t>
  </si>
  <si>
    <t>Trim.3</t>
  </si>
  <si>
    <t>Total Trim.3</t>
  </si>
  <si>
    <t>may</t>
  </si>
  <si>
    <t>jun</t>
  </si>
  <si>
    <t>jul</t>
  </si>
  <si>
    <t>Años</t>
  </si>
  <si>
    <t>Trimestres</t>
  </si>
  <si>
    <t>Suma de Q Bolsas Equivalentes 50kg2</t>
  </si>
  <si>
    <t>Suma de CANTIDAD EQUIPOS2</t>
  </si>
  <si>
    <t>% EQUIPOS POR DESTINO</t>
  </si>
  <si>
    <t>TOTAL  CANTIDAD EQUIPOS DESPACHADOS</t>
  </si>
  <si>
    <t>DESTINO</t>
  </si>
  <si>
    <t>TOTAL  CANTIDAD EQUIPOS DESP.</t>
  </si>
  <si>
    <t>BOLSAS  50KG EQUIVALENTES</t>
  </si>
  <si>
    <t>TIER</t>
  </si>
  <si>
    <t>PRECIO  USD TON FOB CORONA</t>
  </si>
  <si>
    <t>incidencia IVA según mix de venta</t>
  </si>
  <si>
    <t>incidencia FLETE según mix de venta</t>
  </si>
  <si>
    <t>TOTAL CANTIDAD EQUIPOS</t>
  </si>
  <si>
    <t>TOTAL BOLSAS EQUIVALENTES 50 KG</t>
  </si>
  <si>
    <t>VENTA TOTAL USD A PLAZO EN CLIENTE  (SIN IVA)</t>
  </si>
  <si>
    <t>PRECIO POR TN USD EN CLIENTE A PLAZO (SIN IVA)</t>
  </si>
  <si>
    <t>PRECIO $/ KG A PLAZO EN CLIENTE ( SIN IVA)</t>
  </si>
  <si>
    <t xml:space="preserve">VENTA TOTAL $ (IVA INC) </t>
  </si>
  <si>
    <t xml:space="preserve">PRECIO $ BOLSA 50 KG (IVA INC) </t>
  </si>
  <si>
    <t>COSTO FLETE $ BOLSA 50 KG (IVA INC)</t>
  </si>
  <si>
    <t>PRECIO $ BOLSA50 KG  FOB TUCUMAN A PLAZO (IVA INC)</t>
  </si>
  <si>
    <t>GASTOS FINANCIEROS $ BOLSA 50 KG (IVA INC)</t>
  </si>
  <si>
    <t>PRECIO $ BOLSA 50KG  FOB CDO TUC (IVA INC)</t>
  </si>
  <si>
    <t>PRECIO REF $ BOLSA 50 KG CACTU (IVA INC)</t>
  </si>
  <si>
    <t>DIF $ PRECIO NETO INDUSTRIA vs Neto TUCUMAN (IVA INC)</t>
  </si>
  <si>
    <t>DIF % PRECIO NETO INDUSTRIA vs Neto TUCUMAN (IVA INC)</t>
  </si>
  <si>
    <t>TOTAL GANANCIA $ POR OPERACIÓN  VS. CACTU (IVA INC)</t>
  </si>
  <si>
    <t>VENTA EQUIVALENTE $ CACTU (IVA INC)</t>
  </si>
  <si>
    <t>VENTA EQU $  LA CORONA FOB TUC (IVA INC)</t>
  </si>
  <si>
    <t>COSTO FLETE $ POR BOLSA 5O KG (SIN IVA)</t>
  </si>
  <si>
    <t>PLAZO PAGO (DIAS)</t>
  </si>
  <si>
    <t>COSTO USD FLETE /TN (SIN IVA)</t>
  </si>
  <si>
    <t>COSTO FINANCIERO USD POR BOLSA 50KG (IVA INC)</t>
  </si>
  <si>
    <t xml:space="preserve">% IVA </t>
  </si>
  <si>
    <t>VENTA TOTAL USD A PLAZO EN CLIENTE  (IVA INC)</t>
  </si>
  <si>
    <t>TOTAL  TONELADAS</t>
  </si>
  <si>
    <t>% PART. BOLSAS EQ.</t>
  </si>
  <si>
    <t>VENTA TOTAL  USD A PLAZO EN CLIENTE  (IVA INC)</t>
  </si>
  <si>
    <t xml:space="preserve"> VENTA TOTAL $ A PLAZO EN CLIENTE  (IVA INC) </t>
  </si>
  <si>
    <t>PRECIO $ / KG A PLAZO EN CLIENTE ( SIN IVA)</t>
  </si>
  <si>
    <t xml:space="preserve">PRECIO $ BOLSA 50 KG  (IVA INC) </t>
  </si>
  <si>
    <t>PRECIO $ BOLSA 50KG  FOB CDO TUC  (IVA INC)</t>
  </si>
  <si>
    <t xml:space="preserve"> % DIF PRECIO NETO INDUSTRIA vs  TUCUMAN (IVA INC)</t>
  </si>
  <si>
    <t xml:space="preserve"> PRECIO USD/TON A PLAZO EN CLIENTE (SIN IVA)</t>
  </si>
  <si>
    <t>PRECIO  USD/ TON CDO FOB CORONA (SIN IVA)</t>
  </si>
  <si>
    <t xml:space="preserve"> TOTAL BOLSAS PROMEDIO MES</t>
  </si>
  <si>
    <t>TIPO DE CLIENTE</t>
  </si>
  <si>
    <t>TOTAL KGS</t>
  </si>
  <si>
    <t>PRECIO  PROMEDIO USD POR  TON  CDO FOB CORONA (SIN IVA)</t>
  </si>
  <si>
    <t>VENTA TOTAL USD A PLAZO EN CLIENTE  ( IVA INC)</t>
  </si>
  <si>
    <t xml:space="preserve">VENTA TOTAL $  A PLAZO EN CLIENTE (IVA INC) </t>
  </si>
  <si>
    <t>PRECIO POR TN USD EN CLIENTE A  PLAZO (SIN IVA)</t>
  </si>
  <si>
    <t>KG  A PLAZO EN CLIENTE</t>
  </si>
  <si>
    <t>PRECIO POR KG  A PLAZO EN CLIENTE</t>
  </si>
  <si>
    <t>PRECIO POR TN A PLAZO EN CLIENTE</t>
  </si>
  <si>
    <t>Total (en blanco)</t>
  </si>
  <si>
    <t>Z2026</t>
  </si>
  <si>
    <t>CUADRO RESUMEN OPERACIONES VENTA AZUCAR INDUSTRIA ZAFRA 2026</t>
  </si>
  <si>
    <t>COMPARATIVO ANUAL 2025 VS 2026 - VENTA AZUCAR INDUSTRIA</t>
  </si>
  <si>
    <t>Z-2026</t>
  </si>
  <si>
    <t>Z 2026 VS 2025</t>
  </si>
  <si>
    <t>COMPARATIVO DOLARES X TN -  Precio Buenos Aires a Plazo 30 días  - ZAFRA 2026 VS 2025</t>
  </si>
  <si>
    <t>VENTA REALIZADA  +  PREVISION COBRANZA SEMANAL ZAFRA 26</t>
  </si>
  <si>
    <t>TOTAL VENTA ACUMULADA Z26</t>
  </si>
  <si>
    <t>AZUCAR GRADO 4</t>
  </si>
  <si>
    <t>ENTREGADO</t>
  </si>
  <si>
    <t>AZÚCAR CRUDO</t>
  </si>
  <si>
    <t>BOLSA 50 Kgs</t>
  </si>
  <si>
    <t>BOLSA 25 Kgs</t>
  </si>
  <si>
    <t>CORDOBA</t>
  </si>
  <si>
    <t>TRES ARROYOS</t>
  </si>
  <si>
    <t>SPEGAZZINI</t>
  </si>
  <si>
    <t>PILAR</t>
  </si>
  <si>
    <t>RETIRA DE INGENIO</t>
  </si>
  <si>
    <t>PACHECO</t>
  </si>
  <si>
    <t>LAS HERAS</t>
  </si>
  <si>
    <t>CABA</t>
  </si>
  <si>
    <t>RIO PRIMERO</t>
  </si>
  <si>
    <t>LOMAS DEL MIRADOR</t>
  </si>
  <si>
    <t>EZEIZA</t>
  </si>
  <si>
    <t>FERREYRA</t>
  </si>
  <si>
    <t>JOSE MÁRMOL</t>
  </si>
  <si>
    <t>JOSE LEÓN SUÁREZ</t>
  </si>
  <si>
    <t>ROSARIO</t>
  </si>
  <si>
    <t>MATADEROS</t>
  </si>
  <si>
    <t>SAN FERNANDO</t>
  </si>
  <si>
    <t>ESCOBAR</t>
  </si>
  <si>
    <t>MUNRO</t>
  </si>
  <si>
    <t>LANUS</t>
  </si>
  <si>
    <t>SAN MIGUEL</t>
  </si>
  <si>
    <t>SAUCE VIEJO</t>
  </si>
  <si>
    <t>CRESPO</t>
  </si>
  <si>
    <t>ORDOÑEZ</t>
  </si>
  <si>
    <t>SANTIAGO</t>
  </si>
  <si>
    <t>BUENOS AIRES</t>
  </si>
  <si>
    <t>TUCUMAN</t>
  </si>
  <si>
    <t>CHILE</t>
  </si>
  <si>
    <t>ENTRE RIOS</t>
  </si>
  <si>
    <t>SANTA FE</t>
  </si>
  <si>
    <t>TUC CTADO 1</t>
  </si>
  <si>
    <t>BIG BAG 1000</t>
  </si>
  <si>
    <t>BIG BAG 1250</t>
  </si>
  <si>
    <t>BIG BAG 1273</t>
  </si>
  <si>
    <t xml:space="preserve">TOTAL ACUMULADO ZAFRA 26, MAYO   -JUNIO 26 </t>
  </si>
  <si>
    <t>TOTAL ACUMULADO ZAFRA 26  A JULIO 26</t>
  </si>
  <si>
    <t>TOTAL ACUMULADO ZAFRA 26  A AGOSTO 26</t>
  </si>
  <si>
    <t>TOTAL ACUMULADO ZAFRA 26  A SEPTIEMBRE 26</t>
  </si>
  <si>
    <t>TOTAL ACUMULADO ZAFRA 26  A OCTUBRE  26</t>
  </si>
  <si>
    <t>TOTAL ACUMULADO ZAFRA 26  A NOVIEMBRE  26</t>
  </si>
  <si>
    <t>TOTAL ACUMULADO ZAFRA 26  A DICIEMBRE  26</t>
  </si>
  <si>
    <t>TOTAL ACUMULADO ZAFRA 26  A ENERO 27</t>
  </si>
  <si>
    <t>TOTAL ACUMULADO ZAFRA 26  A FEBRERO  27</t>
  </si>
  <si>
    <t>TOTAL ACUMULADO ZAFRA 26  A MARZO  27</t>
  </si>
  <si>
    <t>CIERRE ZAFRA 26 TOTAL ACUMULADO A ABRIL  27</t>
  </si>
  <si>
    <t>LEDESMA SAAI</t>
  </si>
  <si>
    <t>AGROCOMMERCE SPA (CHILE)</t>
  </si>
  <si>
    <t>INSUMED SPA (CHILE)</t>
  </si>
  <si>
    <t>HELACOR GRIDO</t>
  </si>
  <si>
    <t>TOSTEX S.A.</t>
  </si>
  <si>
    <t>LA BLANCA</t>
  </si>
  <si>
    <t>PARNOR S.A.</t>
  </si>
  <si>
    <t>PILARES CIA ALIMENTICIA S.A.</t>
  </si>
  <si>
    <t xml:space="preserve">BON MASE S.A. </t>
  </si>
  <si>
    <t>HUGO GONZALEZ</t>
  </si>
  <si>
    <t>DI BELLO</t>
  </si>
  <si>
    <t>CEREALES SAN VICENTE S.R.L</t>
  </si>
  <si>
    <t>DISTRIBUIDORA LOS REYES. (CHILE)</t>
  </si>
  <si>
    <t>LA DOLCE S.R.L.</t>
  </si>
  <si>
    <t>CHOCOLATE COLONIAL</t>
  </si>
  <si>
    <t>RUBEN CARAQUE FRACCIONADOR</t>
  </si>
  <si>
    <t>EDRA S.R.L.</t>
  </si>
  <si>
    <t>LEDEVIT SA</t>
  </si>
  <si>
    <t>SOCIEDAD COMERCIAL ECJR SPA (CHILE)</t>
  </si>
  <si>
    <t>VERAMOR DE MARMOL S.R.L.</t>
  </si>
  <si>
    <t>HELADOS CR -BARONI ESTEBAN</t>
  </si>
  <si>
    <t>ICE CREAM</t>
  </si>
  <si>
    <t>SAGEMULLER</t>
  </si>
  <si>
    <t>LA VIRGINIA S.A.</t>
  </si>
  <si>
    <t>RUTA PUNTO 5</t>
  </si>
  <si>
    <t>SUGARFRIENDS LTDA (CHILE)</t>
  </si>
  <si>
    <t xml:space="preserve">BODEGAS CUVILLIER </t>
  </si>
  <si>
    <t xml:space="preserve">TELIAN S.A. </t>
  </si>
  <si>
    <t xml:space="preserve">NORDESTE S.R.L. </t>
  </si>
  <si>
    <t>GUGAX S.A.</t>
  </si>
  <si>
    <t>ARUS INTERNACIONAL - SCHIETTO</t>
  </si>
  <si>
    <t>COMPAÑIA ARGENTINA DE LEVADURAS SAIC</t>
  </si>
  <si>
    <t>COMPAÑÍA INVERSORA IND BUDEGUER</t>
  </si>
  <si>
    <t>DI BELLO MTM 25 SRL</t>
  </si>
  <si>
    <t>FIRENZE SRL</t>
  </si>
  <si>
    <t>ESTABLECIMIENTO SAN IGNACIO</t>
  </si>
  <si>
    <t>PEHUENIA ALIMENTARIA</t>
  </si>
  <si>
    <t>USINA LACTEA EL PUENTE SA</t>
  </si>
  <si>
    <t>POLYCRIM QUIMICA SRL</t>
  </si>
  <si>
    <t>DUARTE FORMOSA</t>
  </si>
  <si>
    <t>SUCDEN (CHILE)</t>
  </si>
  <si>
    <t>ALIMENTOS 4M  (CHILE)</t>
  </si>
  <si>
    <t>AZUCAR COMUN TIPO A</t>
  </si>
  <si>
    <t>BON MASE</t>
  </si>
  <si>
    <t>CIELO AZUL SRL</t>
  </si>
  <si>
    <t>CUELLO PABLO ALBERTO</t>
  </si>
  <si>
    <t>D&amp;G S.H.</t>
  </si>
  <si>
    <t>GORDILLO MIGUEL ANGEL</t>
  </si>
  <si>
    <t>VARIACION PRECIO KG  ZAFRA 26 VS 25</t>
  </si>
  <si>
    <t>PRECIO MAY 25</t>
  </si>
  <si>
    <t>PRECIO JUN 25</t>
  </si>
  <si>
    <t>PRECIO JUL 25</t>
  </si>
  <si>
    <t>PRECIO AGO 25</t>
  </si>
  <si>
    <t>PRECIO SEP 25</t>
  </si>
  <si>
    <t>PRECIO OCT 25</t>
  </si>
  <si>
    <t>PRECIO NOV 25</t>
  </si>
  <si>
    <t>PRECIO DIC 25</t>
  </si>
  <si>
    <t>PRECIO ENE 26</t>
  </si>
  <si>
    <t>PRECIO FEB 26</t>
  </si>
  <si>
    <t>PRECIO MAR 26</t>
  </si>
  <si>
    <t>PRECIO ABR 26</t>
  </si>
  <si>
    <t>HUGO GONZALEZ SRL</t>
  </si>
  <si>
    <t>AZÚCAR BAJA CALIDAD Z26</t>
  </si>
  <si>
    <t>AZÚCAR BAJA CALIDAD Z25</t>
  </si>
  <si>
    <t>LA DOLCE</t>
  </si>
  <si>
    <t>MOYCO SRL</t>
  </si>
  <si>
    <t>PEREYRA JAVIER</t>
  </si>
  <si>
    <t>TIERRAS COLORADAS  SPA, (CHILE)</t>
  </si>
  <si>
    <t>RESUMEN AVANCE ZAFRA 2026 POR MES</t>
  </si>
  <si>
    <t>CONCEPCION</t>
  </si>
  <si>
    <t>GRANEL</t>
  </si>
  <si>
    <t>SANTIAGO DE CHILE</t>
  </si>
  <si>
    <t>PAIS  / PROVINCIA</t>
  </si>
  <si>
    <t>PAIS / PROVINCIA</t>
  </si>
  <si>
    <t>PROFORMA 17</t>
  </si>
  <si>
    <t> 300187051</t>
  </si>
  <si>
    <t> 300187052</t>
  </si>
  <si>
    <t>APICOLA SANTA ROSA SRL</t>
  </si>
  <si>
    <t>48825 </t>
  </si>
  <si>
    <t>PREVENTA ZAFRA 26</t>
  </si>
  <si>
    <t>PREVENTA  BC ZAFRA 26</t>
  </si>
  <si>
    <t>WS 14.03.26</t>
  </si>
  <si>
    <t>M 15.05.26</t>
  </si>
  <si>
    <t>WS 29.01.26</t>
  </si>
  <si>
    <t>PROFORMA 19</t>
  </si>
  <si>
    <t>INDUSTRIA + EXPO + TUCU</t>
  </si>
  <si>
    <t>Total HELACOR GRIDO</t>
  </si>
  <si>
    <t>Total LA BLANCA</t>
  </si>
  <si>
    <t>Total SAGEMULLER</t>
  </si>
  <si>
    <t>Total TOSTEX S.A.</t>
  </si>
  <si>
    <t>Total LEDESMA SAAI</t>
  </si>
  <si>
    <t>Total CEREALES SAN VICENTE S.R.L</t>
  </si>
  <si>
    <t>Total PEHUENIA ALIMENTARIA</t>
  </si>
  <si>
    <t>Total BON MASE</t>
  </si>
  <si>
    <t>Total AGROCOMMERCE SPA (CHILE)</t>
  </si>
  <si>
    <t>Total D&amp;G S.H.</t>
  </si>
  <si>
    <t>Total HUGO GONZALEZ SRL</t>
  </si>
  <si>
    <t>Total APICOLA SANTA ROSA SRL</t>
  </si>
  <si>
    <t>Total LA DOLCE</t>
  </si>
  <si>
    <t>Total MOYCO SRL</t>
  </si>
  <si>
    <t>Total PEREYRA JAVIER</t>
  </si>
  <si>
    <t>Total TIERRAS COLORADAS  SPA, (CHILE)</t>
  </si>
  <si>
    <t>Total CIELO AZUL SRL</t>
  </si>
  <si>
    <t>Total CUELLO PABLO ALBERTO</t>
  </si>
  <si>
    <t>Total GORDILLO MIGUEL ANGEL</t>
  </si>
  <si>
    <t>Total INSUMED SPA (CHILE)</t>
  </si>
  <si>
    <t>Total 13035</t>
  </si>
  <si>
    <t>Total may</t>
  </si>
  <si>
    <t>Total INDUSTRIA</t>
  </si>
  <si>
    <t>Total TUC CTADO 1</t>
  </si>
  <si>
    <t>Total EXPO CHILE</t>
  </si>
  <si>
    <t>Total GDES CUENTAS</t>
  </si>
  <si>
    <t xml:space="preserve"> </t>
  </si>
  <si>
    <t>Promedio de DIF % PRECIO NETO INDUSTRIA vs Neto TUCUMAN (IVA INC)</t>
  </si>
  <si>
    <t>WS 07.05.26</t>
  </si>
  <si>
    <t>Total VERAMOR DE MARMOL S.R.L.</t>
  </si>
  <si>
    <t>WS 22.05.26</t>
  </si>
  <si>
    <t>00999-00008305</t>
  </si>
  <si>
    <t>Total FIRENZE SRL</t>
  </si>
  <si>
    <t>FULL SERVICE</t>
  </si>
  <si>
    <t>WS 28.05.26</t>
  </si>
  <si>
    <t>Total TUC CTADO 2</t>
  </si>
  <si>
    <t>Total FULL SERVICE</t>
  </si>
  <si>
    <t>GERMAN LUCI</t>
  </si>
  <si>
    <t>TOMASI</t>
  </si>
  <si>
    <t>STURTZ ERNESTO</t>
  </si>
  <si>
    <t>DE LAS HERAS</t>
  </si>
  <si>
    <t>Total COMPAÑIA ARGENTINA DE LEVADURAS SAIC</t>
  </si>
  <si>
    <t>Total TOMASI</t>
  </si>
  <si>
    <t>Total GERMAN LUCI</t>
  </si>
  <si>
    <t>Total STURTZ ERNESTO</t>
  </si>
  <si>
    <t>Total DE LAS HERAS</t>
  </si>
  <si>
    <t>WS 13.03.26</t>
  </si>
  <si>
    <t>WS 14.04.26</t>
  </si>
  <si>
    <t>COMBUSTIBLE</t>
  </si>
  <si>
    <t>EL ROSQUINENSE</t>
  </si>
  <si>
    <t>CAÑADA ROSQUIN</t>
  </si>
  <si>
    <t>WS 04.06.26</t>
  </si>
  <si>
    <t>Total CHOCOLATE COLONIAL</t>
  </si>
  <si>
    <t>Total EL ROSQUINENSE</t>
  </si>
  <si>
    <t>BC ZAFRA 25</t>
  </si>
  <si>
    <t>BC ZAFRA 26</t>
  </si>
  <si>
    <t>WS 13.05.26</t>
  </si>
  <si>
    <t>WS.04.06.26</t>
  </si>
  <si>
    <t>Total EDRA S.R.L.</t>
  </si>
  <si>
    <t>RECIBE RECHAZO 3 BB DE CALSA</t>
  </si>
  <si>
    <t>COMENTARIOS2</t>
  </si>
  <si>
    <t>REMITO</t>
  </si>
  <si>
    <t>0008-00005532/0008-00005565</t>
  </si>
  <si>
    <t>0008-00005590</t>
  </si>
  <si>
    <t>0008-00005591</t>
  </si>
  <si>
    <t>0008-00005571</t>
  </si>
  <si>
    <t>0008-00005577</t>
  </si>
  <si>
    <t>D&amp;G SOCIEDAD DE HECHO</t>
  </si>
  <si>
    <t>0008-00005537</t>
  </si>
  <si>
    <t>0008-00005559</t>
  </si>
  <si>
    <t>0008-00005584</t>
  </si>
  <si>
    <t>0008-00005589</t>
  </si>
  <si>
    <t>14.05.26</t>
  </si>
  <si>
    <t>04.06.26</t>
  </si>
  <si>
    <t>DE LAS HERAS NORBERTO MIGUEL</t>
  </si>
  <si>
    <t>0008-00005583</t>
  </si>
  <si>
    <t>0099-00001979</t>
  </si>
  <si>
    <t>0099-00001980</t>
  </si>
  <si>
    <t>0099-00001981</t>
  </si>
  <si>
    <t>0099-00001983</t>
  </si>
  <si>
    <t>0099-00001984</t>
  </si>
  <si>
    <t>0008-00005587</t>
  </si>
  <si>
    <t>0008-00005592</t>
  </si>
  <si>
    <t>0008-00005593</t>
  </si>
  <si>
    <t>0008-00005566</t>
  </si>
  <si>
    <t>0002-00001253</t>
  </si>
  <si>
    <t>0008-00005536</t>
  </si>
  <si>
    <t>0008-00005540</t>
  </si>
  <si>
    <t>0008-00005542</t>
  </si>
  <si>
    <t>0008-00005544</t>
  </si>
  <si>
    <t>0008-00005546</t>
  </si>
  <si>
    <t>0008-00005549</t>
  </si>
  <si>
    <t>0008-00005550</t>
  </si>
  <si>
    <t>0008-00005551</t>
  </si>
  <si>
    <t>0008-00005561</t>
  </si>
  <si>
    <t>0008-00005562</t>
  </si>
  <si>
    <t>0008-00005563</t>
  </si>
  <si>
    <t>0008-00005575</t>
  </si>
  <si>
    <t>0008-00005578</t>
  </si>
  <si>
    <t>0008-00005581</t>
  </si>
  <si>
    <t>LUCI GERMAN</t>
  </si>
  <si>
    <t>0008-00005529</t>
  </si>
  <si>
    <t>0008-00005530</t>
  </si>
  <si>
    <t>0008-00005572</t>
  </si>
  <si>
    <t>0008-00005573</t>
  </si>
  <si>
    <t>0008-00005531</t>
  </si>
  <si>
    <t>0008-00005533</t>
  </si>
  <si>
    <t>0008-00005539</t>
  </si>
  <si>
    <t>0008-00005543</t>
  </si>
  <si>
    <t>0008-00005545</t>
  </si>
  <si>
    <t>0008-00005547</t>
  </si>
  <si>
    <t>0008-00005552</t>
  </si>
  <si>
    <t>0008-00005555</t>
  </si>
  <si>
    <t>0008-00005556</t>
  </si>
  <si>
    <t>0008-00005560</t>
  </si>
  <si>
    <t>0008-00005564</t>
  </si>
  <si>
    <t>0008-00005570</t>
  </si>
  <si>
    <t>0008-00005574</t>
  </si>
  <si>
    <t>0008-00005585</t>
  </si>
  <si>
    <t>0008-00005568</t>
  </si>
  <si>
    <t>0008-00005553</t>
  </si>
  <si>
    <t>0008-00005557</t>
  </si>
  <si>
    <t>0008-00005586</t>
  </si>
  <si>
    <t>0008-00005594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</si>
</sst>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2">
    <numFmt numFmtId="44" formatCode="_-&quot;$&quot;\ * #,##0.00_-;\-&quot;$&quot;\ * #,##0.00_-;_-&quot;$&quot;\ * &quot;-&quot;??_-;_-@_-"/>
    <numFmt numFmtId="164" formatCode="_-&quot;$&quot;\ * #,##0_-;\-&quot;$&quot;\ * #,##0_-;_-&quot;$&quot;\ * &quot;-&quot;??_-;_-@"/>
    <numFmt numFmtId="165" formatCode="_-[$USD]\ * #,##0_-;\-[$USD]\ * #,##0_-;_-[$USD]\ * &quot;-&quot;??_-;_-@"/>
    <numFmt numFmtId="166" formatCode="_-&quot;$&quot;\ * #,##0.00_-;\-&quot;$&quot;\ * #,##0.00_-;_-&quot;$&quot;\ * &quot;-&quot;??_-;_-@"/>
    <numFmt numFmtId="167" formatCode="_-[$USD]\ * #,##0.00_-;\-[$USD]\ * #,##0.00_-;_-[$USD]\ * &quot;-&quot;??_-;_-@"/>
    <numFmt numFmtId="168" formatCode="0.0%"/>
    <numFmt numFmtId="169" formatCode="[$USD]\ #,##0.00"/>
    <numFmt numFmtId="170" formatCode="&quot;$&quot;\ #,##0"/>
    <numFmt numFmtId="171" formatCode="_ &quot;$ &quot;* #,##0_ ;_ &quot;$ &quot;* \-#,##0_ ;_ &quot;$ &quot;* \-??_ ;_ @_ "/>
    <numFmt numFmtId="172" formatCode="#,##0_ ;\-#,##0\ "/>
    <numFmt numFmtId="173" formatCode="_-* #,##0_-;\-* #,##0_-;_-* &quot;-&quot;??_-;_-@"/>
    <numFmt numFmtId="174" formatCode="_ &quot;$ &quot;* #,##0.0_ ;_ &quot;$ &quot;* \-#,##0.0_ ;_ &quot;$ &quot;* \-??_ ;_ @_ "/>
    <numFmt numFmtId="175" formatCode="[$USD]\ #,##0"/>
    <numFmt numFmtId="176" formatCode="[$USD]\ #,##0.0"/>
    <numFmt numFmtId="177" formatCode="0_ ;\-0\ "/>
    <numFmt numFmtId="178" formatCode="dd/mm/yyyy"/>
    <numFmt numFmtId="179" formatCode="_ &quot;$ &quot;* #,##0.00_ ;_ &quot;$ &quot;* \-#,##0.00_ ;_ &quot;$ &quot;* \-??_ ;_ @_ "/>
    <numFmt numFmtId="180" formatCode="_-&quot;$&quot;\ * #,##0_-;\-&quot;$&quot;\ * #,##0_-;_-&quot;$&quot;\ * &quot;-&quot;??_-;_-@_-"/>
    <numFmt numFmtId="181" formatCode="_-[$USD]\ * #,##0_-;\-[$USD]\ * #,##0_-;_-[$USD]\ * &quot;-&quot;??_-;_-@_-"/>
    <numFmt numFmtId="182" formatCode="_-&quot;$&quot;\ * #,##0.0_-;\-&quot;$&quot;\ * #,##0.0_-;_-&quot;$&quot;\ * &quot;-&quot;??_-;_-@_-"/>
    <numFmt numFmtId="183" formatCode="&quot;$&quot;\ #,##0.0"/>
    <numFmt numFmtId="184" formatCode="_-&quot;$&quot;\ * #,##0.0000_-;\-&quot;$&quot;\ * #,##0.0000_-;_-&quot;$&quot;\ * &quot;-&quot;??_-;_-@"/>
    <numFmt numFmtId="185" formatCode="dd\-mm\-yy"/>
    <numFmt numFmtId="186" formatCode="0.0000"/>
    <numFmt numFmtId="187" formatCode="mmmm\-yy"/>
    <numFmt numFmtId="188" formatCode="0.00000"/>
    <numFmt numFmtId="189" formatCode="0.000%"/>
    <numFmt numFmtId="190" formatCode="dd\-mm\-yy;@"/>
    <numFmt numFmtId="191" formatCode="&quot;$&quot;\ #,##0.00"/>
    <numFmt numFmtId="192" formatCode="_-[$USD]\ * #,##0_-;\-[$USD]\ * #,##0_-;_-[$USD]\ * &quot;-&quot;_-;_-@_-"/>
    <numFmt numFmtId="193" formatCode="_-&quot;$&quot;\ * #,##0.0_-;\-&quot;$&quot;\ * #,##0.0_-;_-&quot;$&quot;\ * &quot;-&quot;??_-;_-@"/>
    <numFmt numFmtId="194" formatCode="_-[$USD]\ * #,##0.0_-;\-[$USD]\ * #,##0.0_-;_-[$USD]\ * &quot;-&quot;_-;_-@_-"/>
  </numFmts>
  <fonts count="99">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6"/>
      <color rgb="FF820000"/>
      <name val="Calibri"/>
      <family val="2"/>
    </font>
    <font>
      <b/>
      <sz val="11"/>
      <color theme="0"/>
      <name val="Calibri"/>
      <family val="2"/>
    </font>
    <font>
      <sz val="10"/>
      <color theme="1"/>
      <name val="Calibri"/>
      <family val="2"/>
    </font>
    <font>
      <b/>
      <sz val="11"/>
      <color theme="1"/>
      <name val="Calibri"/>
      <family val="2"/>
    </font>
    <font>
      <b/>
      <sz val="11"/>
      <color rgb="FF820000"/>
      <name val="Calibri"/>
      <family val="2"/>
    </font>
    <font>
      <b/>
      <sz val="11"/>
      <color rgb="FFC00000"/>
      <name val="Calibri"/>
      <family val="2"/>
    </font>
    <font>
      <sz val="11"/>
      <color rgb="FF7F7F7F"/>
      <name val="Calibri"/>
      <family val="2"/>
    </font>
    <font>
      <sz val="10"/>
      <color rgb="FF7F7F7F"/>
      <name val="Calibri"/>
      <family val="2"/>
    </font>
    <font>
      <sz val="9"/>
      <color theme="1"/>
      <name val="Calibri"/>
      <family val="2"/>
    </font>
    <font>
      <b/>
      <sz val="9"/>
      <color theme="1"/>
      <name val="Calibri"/>
      <family val="2"/>
    </font>
    <font>
      <sz val="9"/>
      <color rgb="FF820000"/>
      <name val="Calibri"/>
      <family val="2"/>
    </font>
    <font>
      <b/>
      <sz val="14"/>
      <color theme="1"/>
      <name val="Calibri"/>
      <family val="2"/>
    </font>
    <font>
      <sz val="11"/>
      <color theme="0"/>
      <name val="Calibri"/>
      <family val="2"/>
    </font>
    <font>
      <sz val="11"/>
      <color rgb="FF205867"/>
      <name val="Calibri"/>
      <family val="2"/>
    </font>
    <font>
      <sz val="11"/>
      <color theme="1"/>
      <name val="Calibri"/>
      <family val="2"/>
      <scheme val="minor"/>
    </font>
    <font>
      <b/>
      <sz val="30"/>
      <color rgb="FFC00000"/>
      <name val="Calibri"/>
      <family val="2"/>
    </font>
    <font>
      <b/>
      <sz val="14"/>
      <color rgb="FFFFFFFF"/>
      <name val="Calibri"/>
      <family val="2"/>
    </font>
    <font>
      <sz val="11"/>
      <name val="Calibri"/>
      <family val="2"/>
    </font>
    <font>
      <b/>
      <sz val="12"/>
      <color rgb="FFFFFFFF"/>
      <name val="Calibri"/>
      <family val="2"/>
    </font>
    <font>
      <b/>
      <sz val="16"/>
      <color rgb="FFFFFFFF"/>
      <name val="Calibri"/>
      <family val="2"/>
    </font>
    <font>
      <sz val="14"/>
      <color theme="1"/>
      <name val="Calibri"/>
      <family val="2"/>
    </font>
    <font>
      <i/>
      <sz val="14"/>
      <color theme="1"/>
      <name val="Calibri"/>
      <family val="2"/>
    </font>
    <font>
      <b/>
      <i/>
      <sz val="16"/>
      <color theme="1"/>
      <name val="Calibri"/>
      <family val="2"/>
    </font>
    <font>
      <sz val="15"/>
      <color theme="1"/>
      <name val="Calibri"/>
      <family val="2"/>
    </font>
    <font>
      <b/>
      <sz val="14"/>
      <color theme="5"/>
      <name val="Calibri"/>
      <family val="2"/>
    </font>
    <font>
      <b/>
      <sz val="24"/>
      <color rgb="FFC00000"/>
      <name val="Calibri"/>
      <family val="2"/>
    </font>
    <font>
      <b/>
      <i/>
      <sz val="14"/>
      <color theme="1"/>
      <name val="Calibri"/>
      <family val="2"/>
    </font>
    <font>
      <b/>
      <sz val="15"/>
      <color theme="1"/>
      <name val="Calibri"/>
      <family val="2"/>
    </font>
    <font>
      <b/>
      <sz val="14"/>
      <color rgb="FFFF0000"/>
      <name val="Calibri"/>
      <family val="2"/>
    </font>
    <font>
      <b/>
      <sz val="24"/>
      <color theme="1"/>
      <name val="Calibri"/>
      <family val="2"/>
    </font>
    <font>
      <sz val="16"/>
      <color theme="1"/>
      <name val="Calibri"/>
      <family val="2"/>
    </font>
    <font>
      <i/>
      <sz val="16"/>
      <color theme="1"/>
      <name val="Calibri"/>
      <family val="2"/>
    </font>
    <font>
      <u/>
      <sz val="18"/>
      <color theme="10"/>
      <name val="Calibri"/>
      <family val="2"/>
    </font>
    <font>
      <sz val="11"/>
      <color rgb="FFFF0000"/>
      <name val="Calibri"/>
      <family val="2"/>
    </font>
    <font>
      <b/>
      <sz val="26"/>
      <color theme="1"/>
      <name val="Calibri"/>
      <family val="2"/>
    </font>
    <font>
      <b/>
      <sz val="20"/>
      <color rgb="FF820000"/>
      <name val="Calibri"/>
      <family val="2"/>
    </font>
    <font>
      <b/>
      <sz val="30"/>
      <color theme="1"/>
      <name val="Calibri"/>
      <family val="2"/>
    </font>
    <font>
      <b/>
      <sz val="16"/>
      <color theme="1"/>
      <name val="Calibri"/>
      <family val="2"/>
    </font>
    <font>
      <b/>
      <i/>
      <sz val="13"/>
      <color rgb="FFFF0000"/>
      <name val="Calibri"/>
      <family val="2"/>
    </font>
    <font>
      <b/>
      <sz val="20"/>
      <color theme="1"/>
      <name val="Calibri"/>
      <family val="2"/>
    </font>
    <font>
      <b/>
      <sz val="14"/>
      <color theme="1"/>
      <name val="Arial"/>
      <family val="2"/>
    </font>
    <font>
      <sz val="12"/>
      <color theme="1"/>
      <name val="Calibri"/>
      <family val="2"/>
    </font>
    <font>
      <b/>
      <sz val="12"/>
      <color theme="1"/>
      <name val="Calibri"/>
      <family val="2"/>
    </font>
    <font>
      <u/>
      <sz val="11"/>
      <color theme="10"/>
      <name val="Calibri"/>
      <family val="2"/>
    </font>
    <font>
      <sz val="12"/>
      <color rgb="FFFFFFFF"/>
      <name val="Calibri"/>
      <family val="2"/>
    </font>
    <font>
      <sz val="11"/>
      <color rgb="FF000000"/>
      <name val="Calibri"/>
      <family val="2"/>
    </font>
    <font>
      <i/>
      <sz val="12"/>
      <color theme="1"/>
      <name val="Calibri"/>
      <family val="2"/>
    </font>
    <font>
      <b/>
      <sz val="11"/>
      <color rgb="FF000000"/>
      <name val="Arial"/>
      <family val="2"/>
    </font>
    <font>
      <sz val="10"/>
      <color rgb="FF000000"/>
      <name val="Arial"/>
      <family val="2"/>
    </font>
    <font>
      <b/>
      <sz val="10"/>
      <color rgb="FF000000"/>
      <name val="Calibri"/>
      <family val="2"/>
    </font>
    <font>
      <b/>
      <sz val="8"/>
      <color theme="0"/>
      <name val="Calibri"/>
      <family val="2"/>
    </font>
    <font>
      <b/>
      <i/>
      <u/>
      <sz val="14"/>
      <color theme="1"/>
      <name val="Calibri"/>
      <family val="2"/>
    </font>
    <font>
      <b/>
      <sz val="12"/>
      <color theme="1"/>
      <name val="Calibri"/>
      <family val="2"/>
      <scheme val="minor"/>
    </font>
    <font>
      <b/>
      <sz val="11"/>
      <color theme="1"/>
      <name val="Calibri"/>
      <family val="2"/>
    </font>
    <font>
      <b/>
      <sz val="11"/>
      <color theme="0"/>
      <name val="Calibri"/>
      <family val="2"/>
      <scheme val="minor"/>
    </font>
    <font>
      <b/>
      <sz val="11"/>
      <color theme="1"/>
      <name val="Calibri"/>
      <family val="2"/>
      <scheme val="minor"/>
    </font>
    <font>
      <sz val="10"/>
      <name val="Arial"/>
      <family val="2"/>
    </font>
    <font>
      <sz val="11"/>
      <color theme="1"/>
      <name val="Calibri"/>
      <family val="2"/>
      <scheme val="minor"/>
    </font>
    <font>
      <sz val="12"/>
      <name val="Calibri"/>
      <family val="2"/>
    </font>
    <font>
      <b/>
      <sz val="11"/>
      <name val="Calibri"/>
      <family val="2"/>
    </font>
    <font>
      <b/>
      <sz val="14"/>
      <color theme="0"/>
      <name val="Calibri"/>
      <family val="2"/>
    </font>
    <font>
      <b/>
      <sz val="11"/>
      <color rgb="FFFFFFFF"/>
      <name val="Calibri"/>
      <family val="2"/>
    </font>
    <font>
      <b/>
      <i/>
      <sz val="11"/>
      <color theme="1"/>
      <name val="Calibri"/>
      <family val="2"/>
    </font>
    <font>
      <sz val="8"/>
      <name val="Calibri"/>
      <family val="2"/>
      <scheme val="minor"/>
    </font>
    <font>
      <b/>
      <sz val="14"/>
      <color rgb="FF820000"/>
      <name val="Calibri"/>
      <family val="2"/>
    </font>
    <font>
      <sz val="14"/>
      <color theme="1"/>
      <name val="Calibri"/>
      <family val="2"/>
      <scheme val="minor"/>
    </font>
    <font>
      <sz val="12"/>
      <color theme="1"/>
      <name val="Calibri"/>
      <family val="2"/>
      <scheme val="minor"/>
    </font>
    <font>
      <sz val="9"/>
      <name val="Calibri"/>
      <family val="2"/>
    </font>
    <font>
      <sz val="10"/>
      <color theme="2" tint="-0.499984740745262"/>
      <name val="Calibri"/>
      <family val="2"/>
    </font>
    <font>
      <b/>
      <sz val="10"/>
      <color theme="3" tint="0.499984740745262"/>
      <name val="Calibri"/>
      <family val="2"/>
    </font>
    <font>
      <sz val="9"/>
      <color theme="3" tint="0.499984740745262"/>
      <name val="Calibri"/>
      <family val="2"/>
    </font>
    <font>
      <sz val="11"/>
      <color theme="1"/>
      <name val="Calibri"/>
      <family val="2"/>
      <scheme val="minor"/>
    </font>
    <font>
      <b/>
      <sz val="10"/>
      <color theme="1"/>
      <name val="Aptos Display"/>
      <family val="2"/>
    </font>
    <font>
      <sz val="14"/>
      <color theme="1"/>
      <name val="Arial"/>
      <family val="2"/>
    </font>
    <font>
      <b/>
      <sz val="8"/>
      <color theme="1"/>
      <name val="Calibri"/>
      <family val="2"/>
    </font>
    <font>
      <b/>
      <sz val="12"/>
      <color indexed="9"/>
      <name val="Verdana"/>
      <family val="2"/>
    </font>
    <font>
      <sz val="12"/>
      <name val="Verdana"/>
      <family val="2"/>
    </font>
    <font>
      <sz val="11"/>
      <name val="Calibri"/>
      <family val="2"/>
      <scheme val="minor"/>
    </font>
    <font>
      <b/>
      <sz val="12"/>
      <name val="Verdana"/>
      <family val="2"/>
    </font>
    <font>
      <b/>
      <sz val="14"/>
      <color theme="1"/>
      <name val="Calibri"/>
      <family val="2"/>
      <scheme val="minor"/>
    </font>
    <font>
      <sz val="11"/>
      <color theme="0"/>
      <name val="Calibri"/>
      <family val="2"/>
      <scheme val="minor"/>
    </font>
    <font>
      <sz val="9.85"/>
      <color indexed="8"/>
      <name val="Times New Roman"/>
      <family val="1"/>
    </font>
  </fonts>
  <fills count="38">
    <fill>
      <patternFill patternType="none"/>
    </fill>
    <fill>
      <patternFill patternType="gray125"/>
    </fill>
    <fill>
      <patternFill patternType="solid">
        <fgColor theme="0"/>
        <bgColor theme="0"/>
      </patternFill>
    </fill>
    <fill>
      <patternFill patternType="solid">
        <fgColor rgb="FF820000"/>
        <bgColor rgb="FF820000"/>
      </patternFill>
    </fill>
    <fill>
      <patternFill patternType="solid">
        <fgColor rgb="FFDBE5F1"/>
        <bgColor rgb="FFDBE5F1"/>
      </patternFill>
    </fill>
    <fill>
      <patternFill patternType="solid">
        <fgColor rgb="FF953734"/>
        <bgColor rgb="FF953734"/>
      </patternFill>
    </fill>
    <fill>
      <patternFill patternType="solid">
        <fgColor rgb="FFFFFFFF"/>
        <bgColor rgb="FFFFFFFF"/>
      </patternFill>
    </fill>
    <fill>
      <patternFill patternType="solid">
        <fgColor rgb="FFBFBFBF"/>
        <bgColor rgb="FFBFBFBF"/>
      </patternFill>
    </fill>
    <fill>
      <patternFill patternType="solid">
        <fgColor rgb="FFD8D8D8"/>
        <bgColor rgb="FFD8D8D8"/>
      </patternFill>
    </fill>
    <fill>
      <patternFill patternType="solid">
        <fgColor rgb="FFFFFF00"/>
        <bgColor rgb="FFFFFF00"/>
      </patternFill>
    </fill>
    <fill>
      <patternFill patternType="solid">
        <fgColor rgb="FF92D050"/>
        <bgColor rgb="FF92D050"/>
      </patternFill>
    </fill>
    <fill>
      <patternFill patternType="solid">
        <fgColor rgb="FFFFC000"/>
        <bgColor rgb="FFFFC000"/>
      </patternFill>
    </fill>
    <fill>
      <patternFill patternType="solid">
        <fgColor rgb="FF00B0F0"/>
        <bgColor rgb="FF00B0F0"/>
      </patternFill>
    </fill>
    <fill>
      <patternFill patternType="solid">
        <fgColor rgb="FF366092"/>
        <bgColor rgb="FF366092"/>
      </patternFill>
    </fill>
    <fill>
      <patternFill patternType="solid">
        <fgColor rgb="FFF2F2F2"/>
        <bgColor rgb="FFF2F2F2"/>
      </patternFill>
    </fill>
    <fill>
      <patternFill patternType="solid">
        <fgColor rgb="FF002060"/>
        <bgColor indexed="64"/>
      </patternFill>
    </fill>
    <fill>
      <patternFill patternType="solid">
        <fgColor theme="4" tint="-0.499984740745262"/>
        <bgColor indexed="64"/>
      </patternFill>
    </fill>
    <fill>
      <patternFill patternType="solid">
        <fgColor theme="0"/>
        <bgColor indexed="64"/>
      </patternFill>
    </fill>
    <fill>
      <patternFill patternType="solid">
        <fgColor theme="0" tint="-4.9989318521683403E-2"/>
        <bgColor theme="0"/>
      </patternFill>
    </fill>
    <fill>
      <patternFill patternType="solid">
        <fgColor theme="0"/>
        <bgColor rgb="FF002060"/>
      </patternFill>
    </fill>
    <fill>
      <patternFill patternType="solid">
        <fgColor rgb="FF002060"/>
        <bgColor rgb="FFFFFF99"/>
      </patternFill>
    </fill>
    <fill>
      <patternFill patternType="solid">
        <fgColor rgb="FFFFFF00"/>
        <bgColor indexed="64"/>
      </patternFill>
    </fill>
    <fill>
      <patternFill patternType="solid">
        <fgColor theme="4"/>
        <bgColor theme="4"/>
      </patternFill>
    </fill>
    <fill>
      <patternFill patternType="solid">
        <fgColor rgb="FFFFFF00"/>
        <bgColor rgb="FFFFFFFF"/>
      </patternFill>
    </fill>
    <fill>
      <patternFill patternType="solid">
        <fgColor rgb="FFFFFF99"/>
        <bgColor indexed="64"/>
      </patternFill>
    </fill>
    <fill>
      <patternFill patternType="solid">
        <fgColor rgb="FFFFFF00"/>
        <bgColor rgb="FFD8D8D8"/>
      </patternFill>
    </fill>
    <fill>
      <patternFill patternType="solid">
        <fgColor rgb="FFFFFFCC"/>
        <bgColor theme="0"/>
      </patternFill>
    </fill>
    <fill>
      <patternFill patternType="solid">
        <fgColor rgb="FFFFFFCC"/>
        <bgColor rgb="FFFFFFFF"/>
      </patternFill>
    </fill>
    <fill>
      <patternFill patternType="solid">
        <fgColor theme="5" tint="0.79998168889431442"/>
        <bgColor theme="0"/>
      </patternFill>
    </fill>
    <fill>
      <patternFill patternType="solid">
        <fgColor rgb="FFFFC000"/>
        <bgColor rgb="FFFFFFFF"/>
      </patternFill>
    </fill>
    <fill>
      <patternFill patternType="solid">
        <fgColor theme="0"/>
        <bgColor rgb="FFFFFFFF"/>
      </patternFill>
    </fill>
    <fill>
      <patternFill patternType="solid">
        <fgColor rgb="FFFFC000"/>
        <bgColor indexed="64"/>
      </patternFill>
    </fill>
    <fill>
      <patternFill patternType="solid">
        <fgColor indexed="18"/>
        <bgColor indexed="64"/>
      </patternFill>
    </fill>
    <fill>
      <patternFill patternType="solid">
        <fgColor indexed="65"/>
        <bgColor indexed="64"/>
      </patternFill>
    </fill>
    <fill>
      <patternFill patternType="solid">
        <fgColor indexed="22"/>
        <bgColor indexed="64"/>
      </patternFill>
    </fill>
    <fill>
      <patternFill patternType="solid">
        <fgColor theme="4" tint="0.59999389629810485"/>
        <bgColor indexed="64"/>
      </patternFill>
    </fill>
    <fill>
      <patternFill patternType="solid">
        <fgColor theme="4" tint="0.59999389629810485"/>
        <bgColor theme="4" tint="0.59999389629810485"/>
      </patternFill>
    </fill>
    <fill>
      <patternFill patternType="solid">
        <fgColor theme="8" tint="0.79998168889431442"/>
        <bgColor indexed="64"/>
      </patternFill>
    </fill>
  </fills>
  <borders count="166">
    <border>
      <left/>
      <right/>
      <top/>
      <bottom/>
      <diagonal/>
    </border>
    <border>
      <left/>
      <right/>
      <top/>
      <bottom/>
      <diagonal/>
    </border>
    <border>
      <left/>
      <right/>
      <top/>
      <bottom style="thin">
        <color rgb="FF82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rgb="FF820000"/>
      </bottom>
      <diagonal/>
    </border>
    <border>
      <left style="thin">
        <color theme="0"/>
      </left>
      <right style="thin">
        <color theme="0"/>
      </right>
      <top style="thin">
        <color theme="0"/>
      </top>
      <bottom/>
      <diagonal/>
    </border>
    <border>
      <left style="thin">
        <color theme="0"/>
      </left>
      <right style="thin">
        <color theme="0"/>
      </right>
      <top/>
      <bottom style="thin">
        <color rgb="FF820000"/>
      </bottom>
      <diagonal/>
    </border>
    <border>
      <left style="thin">
        <color theme="0"/>
      </left>
      <right/>
      <top/>
      <bottom style="thin">
        <color rgb="FFBFBFBF"/>
      </bottom>
      <diagonal/>
    </border>
    <border>
      <left/>
      <right/>
      <top/>
      <bottom style="thin">
        <color rgb="FFBFBFBF"/>
      </bottom>
      <diagonal/>
    </border>
    <border>
      <left style="thin">
        <color theme="0"/>
      </left>
      <right style="thin">
        <color theme="0"/>
      </right>
      <top/>
      <bottom style="thin">
        <color theme="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diagonal/>
    </border>
    <border>
      <left style="thin">
        <color rgb="FF000000"/>
      </left>
      <right style="thin">
        <color rgb="FF000000"/>
      </right>
      <top style="thin">
        <color rgb="FF000000"/>
      </top>
      <bottom style="thin">
        <color rgb="FF000000"/>
      </bottom>
      <diagonal/>
    </border>
    <border>
      <left style="thin">
        <color rgb="FF244061"/>
      </left>
      <right style="thin">
        <color rgb="FF244061"/>
      </right>
      <top style="thin">
        <color rgb="FF244061"/>
      </top>
      <bottom style="thin">
        <color rgb="FF244061"/>
      </bottom>
      <diagonal/>
    </border>
    <border>
      <left/>
      <right/>
      <top/>
      <bottom style="thin">
        <color rgb="FF95B3D7"/>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953734"/>
      </left>
      <right/>
      <top style="medium">
        <color rgb="FF953734"/>
      </top>
      <bottom style="medium">
        <color theme="0"/>
      </bottom>
      <diagonal/>
    </border>
    <border>
      <left/>
      <right style="medium">
        <color rgb="FF953734"/>
      </right>
      <top style="medium">
        <color rgb="FF953734"/>
      </top>
      <bottom style="medium">
        <color theme="0"/>
      </bottom>
      <diagonal/>
    </border>
    <border>
      <left/>
      <right/>
      <top style="medium">
        <color rgb="FF953734"/>
      </top>
      <bottom style="medium">
        <color theme="0"/>
      </bottom>
      <diagonal/>
    </border>
    <border>
      <left/>
      <right style="medium">
        <color rgb="FF000000"/>
      </right>
      <top style="medium">
        <color rgb="FF953734"/>
      </top>
      <bottom style="medium">
        <color theme="0"/>
      </bottom>
      <diagonal/>
    </border>
    <border>
      <left style="medium">
        <color rgb="FF000000"/>
      </left>
      <right style="medium">
        <color rgb="FF000000"/>
      </right>
      <top style="medium">
        <color rgb="FF000000"/>
      </top>
      <bottom style="medium">
        <color rgb="FF000000"/>
      </bottom>
      <diagonal/>
    </border>
    <border>
      <left style="medium">
        <color theme="0"/>
      </left>
      <right style="medium">
        <color theme="0"/>
      </right>
      <top style="medium">
        <color theme="0"/>
      </top>
      <bottom/>
      <diagonal/>
    </border>
    <border>
      <left/>
      <right/>
      <top style="medium">
        <color rgb="FF000000"/>
      </top>
      <bottom/>
      <diagonal/>
    </border>
    <border>
      <left/>
      <right/>
      <top style="hair">
        <color rgb="FFC00000"/>
      </top>
      <bottom style="hair">
        <color rgb="FFC00000"/>
      </bottom>
      <diagonal/>
    </border>
    <border>
      <left style="medium">
        <color rgb="FFC00000"/>
      </left>
      <right/>
      <top style="medium">
        <color rgb="FFC00000"/>
      </top>
      <bottom style="medium">
        <color rgb="FFC00000"/>
      </bottom>
      <diagonal/>
    </border>
    <border>
      <left/>
      <right style="medium">
        <color rgb="FFC00000"/>
      </right>
      <top style="medium">
        <color rgb="FFC00000"/>
      </top>
      <bottom style="medium">
        <color rgb="FFC00000"/>
      </bottom>
      <diagonal/>
    </border>
    <border>
      <left style="medium">
        <color rgb="FFC00000"/>
      </left>
      <right style="medium">
        <color rgb="FFC00000"/>
      </right>
      <top style="medium">
        <color rgb="FFC00000"/>
      </top>
      <bottom style="medium">
        <color rgb="FFC00000"/>
      </bottom>
      <diagonal/>
    </border>
    <border>
      <left style="medium">
        <color rgb="FF000000"/>
      </left>
      <right style="thin">
        <color rgb="FF000000"/>
      </right>
      <top style="hair">
        <color rgb="FF000000"/>
      </top>
      <bottom style="hair">
        <color rgb="FF000000"/>
      </bottom>
      <diagonal/>
    </border>
    <border>
      <left/>
      <right style="medium">
        <color rgb="FF000000"/>
      </right>
      <top style="medium">
        <color rgb="FF000000"/>
      </top>
      <bottom style="hair">
        <color rgb="FF000000"/>
      </bottom>
      <diagonal/>
    </border>
    <border>
      <left style="medium">
        <color rgb="FF000000"/>
      </left>
      <right style="thin">
        <color rgb="FF000000"/>
      </right>
      <top style="medium">
        <color rgb="FF000000"/>
      </top>
      <bottom style="hair">
        <color rgb="FF000000"/>
      </bottom>
      <diagonal/>
    </border>
    <border>
      <left/>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right style="medium">
        <color rgb="FF000000"/>
      </right>
      <top style="hair">
        <color rgb="FF000000"/>
      </top>
      <bottom/>
      <diagonal/>
    </border>
    <border>
      <left style="medium">
        <color rgb="FF000000"/>
      </left>
      <right style="thin">
        <color rgb="FF000000"/>
      </right>
      <top style="hair">
        <color rgb="FF000000"/>
      </top>
      <bottom/>
      <diagonal/>
    </border>
    <border>
      <left/>
      <right/>
      <top style="hair">
        <color rgb="FF000000"/>
      </top>
      <bottom/>
      <diagonal/>
    </border>
    <border>
      <left style="medium">
        <color rgb="FF000000"/>
      </left>
      <right style="thin">
        <color rgb="FF000000"/>
      </right>
      <top style="hair">
        <color rgb="FF000000"/>
      </top>
      <bottom style="medium">
        <color rgb="FF000000"/>
      </bottom>
      <diagonal/>
    </border>
    <border>
      <left/>
      <right style="medium">
        <color rgb="FF000000"/>
      </right>
      <top style="hair">
        <color rgb="FF000000"/>
      </top>
      <bottom style="medium">
        <color rgb="FF000000"/>
      </bottom>
      <diagonal/>
    </border>
    <border>
      <left/>
      <right/>
      <top style="hair">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hair">
        <color rgb="FF000000"/>
      </bottom>
      <diagonal/>
    </border>
    <border>
      <left/>
      <right style="medium">
        <color rgb="FF000000"/>
      </right>
      <top/>
      <bottom style="hair">
        <color rgb="FF000000"/>
      </bottom>
      <diagonal/>
    </border>
    <border>
      <left/>
      <right/>
      <top/>
      <bottom style="hair">
        <color rgb="FF000000"/>
      </bottom>
      <diagonal/>
    </border>
    <border>
      <left/>
      <right/>
      <top style="hair">
        <color rgb="FF000000"/>
      </top>
      <bottom style="hair">
        <color rgb="FF000000"/>
      </bottom>
      <diagonal/>
    </border>
    <border>
      <left/>
      <right style="medium">
        <color rgb="FF000000"/>
      </right>
      <top style="hair">
        <color rgb="FF000000"/>
      </top>
      <bottom style="hair">
        <color rgb="FF000000"/>
      </bottom>
      <diagonal/>
    </border>
    <border>
      <left style="medium">
        <color theme="0"/>
      </left>
      <right style="medium">
        <color theme="0"/>
      </right>
      <top style="medium">
        <color theme="0"/>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style="medium">
        <color theme="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right style="thin">
        <color rgb="FF000000"/>
      </right>
      <top style="hair">
        <color rgb="FF000000"/>
      </top>
      <bottom/>
      <diagonal/>
    </border>
    <border>
      <left style="medium">
        <color rgb="FF000000"/>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rgb="FFC00000"/>
      </top>
      <bottom style="thin">
        <color rgb="FFC00000"/>
      </bottom>
      <diagonal/>
    </border>
    <border>
      <left/>
      <right/>
      <top style="thin">
        <color rgb="FFC00000"/>
      </top>
      <bottom/>
      <diagonal/>
    </border>
    <border>
      <left/>
      <right/>
      <top style="hair">
        <color rgb="FFC00000"/>
      </top>
      <bottom style="medium">
        <color rgb="FFC00000"/>
      </bottom>
      <diagonal/>
    </border>
    <border>
      <left/>
      <right/>
      <top style="medium">
        <color rgb="FFC00000"/>
      </top>
      <bottom style="medium">
        <color rgb="FFC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top/>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diagonal/>
    </border>
    <border>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style="medium">
        <color rgb="FF000000"/>
      </left>
      <right style="medium">
        <color rgb="FF000000"/>
      </right>
      <top style="hair">
        <color rgb="FF000000"/>
      </top>
      <bottom/>
      <diagonal/>
    </border>
    <border>
      <left style="thin">
        <color rgb="FF000000"/>
      </left>
      <right style="medium">
        <color rgb="FF000000"/>
      </right>
      <top style="hair">
        <color rgb="FF000000"/>
      </top>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right/>
      <top style="thin">
        <color rgb="FFEAF1DD"/>
      </top>
      <bottom style="thin">
        <color rgb="FFEAF1DD"/>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thin">
        <color rgb="FF000000"/>
      </right>
      <top/>
      <bottom/>
      <diagonal/>
    </border>
    <border>
      <left/>
      <right/>
      <top style="medium">
        <color rgb="FF000000"/>
      </top>
      <bottom/>
      <diagonal/>
    </border>
    <border>
      <left style="thin">
        <color auto="1"/>
      </left>
      <right style="thin">
        <color auto="1"/>
      </right>
      <top style="thin">
        <color auto="1"/>
      </top>
      <bottom style="thin">
        <color auto="1"/>
      </bottom>
      <diagonal/>
    </border>
    <border>
      <left style="medium">
        <color rgb="FF002060"/>
      </left>
      <right style="medium">
        <color rgb="FF002060"/>
      </right>
      <top style="medium">
        <color rgb="FF002060"/>
      </top>
      <bottom style="medium">
        <color rgb="FF002060"/>
      </bottom>
      <diagonal/>
    </border>
    <border>
      <left/>
      <right style="thin">
        <color rgb="FF002060"/>
      </right>
      <top style="thin">
        <color rgb="FF002060"/>
      </top>
      <bottom style="thin">
        <color rgb="FF002060"/>
      </bottom>
      <diagonal/>
    </border>
    <border>
      <left style="thin">
        <color rgb="FF000000"/>
      </left>
      <right style="thin">
        <color rgb="FF000000"/>
      </right>
      <top style="hair">
        <color rgb="FF000000"/>
      </top>
      <bottom/>
      <diagonal/>
    </border>
    <border>
      <left/>
      <right/>
      <top/>
      <bottom style="thin">
        <color auto="1"/>
      </bottom>
      <diagonal/>
    </border>
    <border>
      <left/>
      <right/>
      <top style="thin">
        <color auto="1"/>
      </top>
      <bottom/>
      <diagonal/>
    </border>
    <border>
      <left style="medium">
        <color rgb="FF000000"/>
      </left>
      <right style="medium">
        <color rgb="FF000000"/>
      </right>
      <top/>
      <bottom style="hair">
        <color rgb="FF000000"/>
      </bottom>
      <diagonal/>
    </border>
    <border>
      <left style="medium">
        <color rgb="FF000000"/>
      </left>
      <right/>
      <top style="hair">
        <color rgb="FF000000"/>
      </top>
      <bottom style="hair">
        <color rgb="FF000000"/>
      </bottom>
      <diagonal/>
    </border>
    <border>
      <left style="medium">
        <color auto="1"/>
      </left>
      <right/>
      <top/>
      <bottom/>
      <diagonal/>
    </border>
    <border>
      <left style="thin">
        <color rgb="FF000000"/>
      </left>
      <right/>
      <top style="thin">
        <color rgb="FF000000"/>
      </top>
      <bottom style="thin">
        <color rgb="FF000000"/>
      </bottom>
      <diagonal/>
    </border>
    <border>
      <left style="thin">
        <color rgb="FF000000"/>
      </left>
      <right style="medium">
        <color rgb="FF000000"/>
      </right>
      <top style="hair">
        <color rgb="FF000000"/>
      </top>
      <bottom style="thin">
        <color theme="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right/>
      <top style="thin">
        <color rgb="FF999999"/>
      </top>
      <bottom/>
      <diagonal/>
    </border>
    <border>
      <left style="thin">
        <color rgb="FF999999"/>
      </left>
      <right style="thin">
        <color rgb="FF999999"/>
      </right>
      <top style="thin">
        <color rgb="FF999999"/>
      </top>
      <bottom/>
      <diagonal/>
    </border>
    <border>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theme="8" tint="-0.24994659260841701"/>
      </top>
      <bottom style="medium">
        <color theme="4" tint="-0.24994659260841701"/>
      </bottom>
      <diagonal/>
    </border>
    <border>
      <left/>
      <right/>
      <top style="thin">
        <color theme="8" tint="-0.24994659260841701"/>
      </top>
      <bottom style="medium">
        <color theme="4" tint="-0.24994659260841701"/>
      </bottom>
      <diagonal/>
    </border>
    <border>
      <left style="thin">
        <color rgb="FF999999"/>
      </left>
      <right style="thin">
        <color rgb="FF999999"/>
      </right>
      <top style="thin">
        <color theme="8" tint="-0.24994659260841701"/>
      </top>
      <bottom style="medium">
        <color theme="4" tint="-0.24994659260841701"/>
      </bottom>
      <diagonal/>
    </border>
    <border>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s>
  <cellStyleXfs count="10">
    <xf numFmtId="0" fontId="0" fillId="0" borderId="0"/>
    <xf numFmtId="44" fontId="31" fillId="0" borderId="0" applyFont="0" applyFill="0" applyBorder="0" applyAlignment="0" applyProtection="0"/>
    <xf numFmtId="9" fontId="74" fillId="0" borderId="0" applyFont="0" applyFill="0" applyBorder="0" applyAlignment="0" applyProtection="0"/>
    <xf numFmtId="0" fontId="75" fillId="0" borderId="82"/>
    <xf numFmtId="0" fontId="88" fillId="0" borderId="82"/>
    <xf numFmtId="44" fontId="11" fillId="0" borderId="82" applyFont="0" applyFill="0" applyBorder="0" applyAlignment="0" applyProtection="0"/>
    <xf numFmtId="9" fontId="11" fillId="0" borderId="82" applyFont="0" applyFill="0" applyBorder="0" applyAlignment="0" applyProtection="0"/>
    <xf numFmtId="0" fontId="88" fillId="0" borderId="82"/>
    <xf numFmtId="0" fontId="10" fillId="0" borderId="82"/>
    <xf numFmtId="0" fontId="75" fillId="0" borderId="82"/>
  </cellStyleXfs>
  <cellXfs count="990">
    <xf numFmtId="0" fontId="0" fillId="0" borderId="0" xfId="0" applyFont="1" applyAlignment="1"/>
    <xf numFmtId="0" fontId="17" fillId="2" borderId="1" xfId="0" applyFont="1" applyFill="1" applyBorder="1"/>
    <xf numFmtId="0" fontId="16" fillId="2" borderId="1" xfId="0" applyFont="1" applyFill="1" applyBorder="1" applyAlignment="1">
      <alignment horizontal="center"/>
    </xf>
    <xf numFmtId="0" fontId="16" fillId="2" borderId="1" xfId="0" applyFont="1" applyFill="1" applyBorder="1"/>
    <xf numFmtId="164" fontId="16" fillId="2" borderId="1" xfId="0" applyNumberFormat="1" applyFont="1" applyFill="1" applyBorder="1" applyAlignment="1">
      <alignment horizontal="center"/>
    </xf>
    <xf numFmtId="0" fontId="16" fillId="2" borderId="2" xfId="0" applyFont="1" applyFill="1" applyBorder="1" applyAlignment="1">
      <alignment vertical="center"/>
    </xf>
    <xf numFmtId="0" fontId="16" fillId="2" borderId="2" xfId="0" applyFont="1" applyFill="1" applyBorder="1" applyAlignment="1">
      <alignment horizontal="center" vertical="center"/>
    </xf>
    <xf numFmtId="17" fontId="18" fillId="3" borderId="2" xfId="0" applyNumberFormat="1" applyFont="1" applyFill="1" applyBorder="1" applyAlignment="1">
      <alignment horizontal="center" vertical="center"/>
    </xf>
    <xf numFmtId="0" fontId="18" fillId="3" borderId="2" xfId="0" applyFont="1" applyFill="1" applyBorder="1" applyAlignment="1">
      <alignment horizontal="center" vertical="center"/>
    </xf>
    <xf numFmtId="0" fontId="16" fillId="2" borderId="1" xfId="0" applyFont="1" applyFill="1" applyBorder="1" applyAlignment="1">
      <alignment vertical="center"/>
    </xf>
    <xf numFmtId="0" fontId="18" fillId="3" borderId="3" xfId="0" applyFont="1" applyFill="1" applyBorder="1"/>
    <xf numFmtId="0" fontId="19" fillId="2" borderId="1" xfId="0" applyFont="1" applyFill="1" applyBorder="1" applyAlignment="1">
      <alignment horizontal="center"/>
    </xf>
    <xf numFmtId="3" fontId="16" fillId="2" borderId="1" xfId="0" applyNumberFormat="1" applyFont="1" applyFill="1" applyBorder="1" applyAlignment="1">
      <alignment horizontal="right"/>
    </xf>
    <xf numFmtId="0" fontId="16" fillId="2" borderId="1" xfId="0" applyFont="1" applyFill="1" applyBorder="1" applyAlignment="1">
      <alignment horizontal="right"/>
    </xf>
    <xf numFmtId="3" fontId="20" fillId="2" borderId="1" xfId="0" applyNumberFormat="1" applyFont="1" applyFill="1" applyBorder="1"/>
    <xf numFmtId="0" fontId="18" fillId="2" borderId="3" xfId="0" applyFont="1" applyFill="1" applyBorder="1"/>
    <xf numFmtId="0" fontId="18" fillId="3" borderId="4" xfId="0" applyFont="1" applyFill="1" applyBorder="1"/>
    <xf numFmtId="0" fontId="19" fillId="2" borderId="2" xfId="0" applyFont="1" applyFill="1" applyBorder="1" applyAlignment="1">
      <alignment horizontal="center"/>
    </xf>
    <xf numFmtId="3" fontId="16" fillId="2" borderId="2" xfId="0" applyNumberFormat="1" applyFont="1" applyFill="1" applyBorder="1" applyAlignment="1">
      <alignment horizontal="right"/>
    </xf>
    <xf numFmtId="0" fontId="18" fillId="3" borderId="5" xfId="0" applyFont="1" applyFill="1" applyBorder="1"/>
    <xf numFmtId="164" fontId="16" fillId="2" borderId="1" xfId="0" applyNumberFormat="1" applyFont="1" applyFill="1" applyBorder="1" applyAlignment="1">
      <alignment horizontal="right"/>
    </xf>
    <xf numFmtId="0" fontId="18" fillId="3" borderId="6" xfId="0" applyFont="1" applyFill="1" applyBorder="1"/>
    <xf numFmtId="0" fontId="19" fillId="2" borderId="7" xfId="0" applyFont="1" applyFill="1" applyBorder="1" applyAlignment="1">
      <alignment horizontal="center"/>
    </xf>
    <xf numFmtId="164" fontId="16" fillId="2" borderId="8" xfId="0" applyNumberFormat="1" applyFont="1" applyFill="1" applyBorder="1" applyAlignment="1">
      <alignment horizontal="right"/>
    </xf>
    <xf numFmtId="165" fontId="20" fillId="2" borderId="8" xfId="0" applyNumberFormat="1" applyFont="1" applyFill="1" applyBorder="1"/>
    <xf numFmtId="164" fontId="16" fillId="2" borderId="2" xfId="0" applyNumberFormat="1" applyFont="1" applyFill="1" applyBorder="1" applyAlignment="1">
      <alignment horizontal="right"/>
    </xf>
    <xf numFmtId="0" fontId="18" fillId="2" borderId="9" xfId="0" applyFont="1" applyFill="1" applyBorder="1"/>
    <xf numFmtId="164" fontId="20" fillId="2" borderId="1" xfId="0" applyNumberFormat="1" applyFont="1" applyFill="1" applyBorder="1"/>
    <xf numFmtId="166" fontId="16" fillId="2" borderId="2" xfId="0" applyNumberFormat="1" applyFont="1" applyFill="1" applyBorder="1" applyAlignment="1">
      <alignment horizontal="right"/>
    </xf>
    <xf numFmtId="167" fontId="20" fillId="2" borderId="2" xfId="0" applyNumberFormat="1" applyFont="1" applyFill="1" applyBorder="1"/>
    <xf numFmtId="0" fontId="21" fillId="2" borderId="3" xfId="0" applyFont="1" applyFill="1" applyBorder="1" applyAlignment="1">
      <alignment horizontal="right"/>
    </xf>
    <xf numFmtId="9" fontId="16" fillId="2" borderId="1" xfId="0" applyNumberFormat="1" applyFont="1" applyFill="1" applyBorder="1" applyAlignment="1">
      <alignment horizontal="right"/>
    </xf>
    <xf numFmtId="168" fontId="20" fillId="2" borderId="1" xfId="0" applyNumberFormat="1" applyFont="1" applyFill="1" applyBorder="1"/>
    <xf numFmtId="9" fontId="16" fillId="2" borderId="1" xfId="0" applyNumberFormat="1" applyFont="1" applyFill="1" applyBorder="1"/>
    <xf numFmtId="0" fontId="16" fillId="2" borderId="2" xfId="0" applyFont="1" applyFill="1" applyBorder="1" applyAlignment="1">
      <alignment horizontal="center"/>
    </xf>
    <xf numFmtId="9" fontId="20" fillId="2" borderId="2" xfId="0" applyNumberFormat="1" applyFont="1" applyFill="1" applyBorder="1" applyAlignment="1">
      <alignment horizontal="right"/>
    </xf>
    <xf numFmtId="9" fontId="16" fillId="2" borderId="1" xfId="0" applyNumberFormat="1" applyFont="1" applyFill="1" applyBorder="1" applyAlignment="1">
      <alignment horizontal="center"/>
    </xf>
    <xf numFmtId="168" fontId="20" fillId="2" borderId="1" xfId="0" applyNumberFormat="1" applyFont="1" applyFill="1" applyBorder="1" applyAlignment="1">
      <alignment horizontal="right"/>
    </xf>
    <xf numFmtId="0" fontId="23" fillId="2" borderId="2" xfId="0" applyFont="1" applyFill="1" applyBorder="1" applyAlignment="1">
      <alignment horizontal="right"/>
    </xf>
    <xf numFmtId="0" fontId="23" fillId="2" borderId="2" xfId="0" applyFont="1" applyFill="1" applyBorder="1" applyAlignment="1">
      <alignment horizontal="center"/>
    </xf>
    <xf numFmtId="0" fontId="21" fillId="2" borderId="9" xfId="0" applyFont="1" applyFill="1" applyBorder="1" applyAlignment="1">
      <alignment horizontal="right"/>
    </xf>
    <xf numFmtId="0" fontId="23" fillId="2" borderId="1" xfId="0" applyFont="1" applyFill="1" applyBorder="1" applyAlignment="1">
      <alignment horizontal="center"/>
    </xf>
    <xf numFmtId="0" fontId="24" fillId="2" borderId="1" xfId="0" applyFont="1" applyFill="1" applyBorder="1" applyAlignment="1">
      <alignment horizontal="center" vertical="center"/>
    </xf>
    <xf numFmtId="0" fontId="21" fillId="2" borderId="1" xfId="0" applyFont="1" applyFill="1" applyBorder="1" applyAlignment="1">
      <alignment horizontal="right"/>
    </xf>
    <xf numFmtId="0" fontId="22" fillId="2" borderId="1" xfId="0" applyFont="1" applyFill="1" applyBorder="1" applyAlignment="1">
      <alignment horizontal="right"/>
    </xf>
    <xf numFmtId="0" fontId="23" fillId="2" borderId="1" xfId="0" applyFont="1" applyFill="1" applyBorder="1" applyAlignment="1">
      <alignment horizontal="right"/>
    </xf>
    <xf numFmtId="164" fontId="24" fillId="2" borderId="1" xfId="0" applyNumberFormat="1" applyFont="1" applyFill="1" applyBorder="1" applyAlignment="1">
      <alignment horizontal="center"/>
    </xf>
    <xf numFmtId="0" fontId="24" fillId="2" borderId="2" xfId="0" applyFont="1" applyFill="1" applyBorder="1" applyAlignment="1">
      <alignment horizontal="center" vertical="center"/>
    </xf>
    <xf numFmtId="0" fontId="22" fillId="2" borderId="9" xfId="0" applyFont="1" applyFill="1" applyBorder="1" applyAlignment="1">
      <alignment horizontal="right"/>
    </xf>
    <xf numFmtId="9" fontId="20" fillId="2" borderId="1" xfId="0" applyNumberFormat="1" applyFont="1" applyFill="1" applyBorder="1" applyAlignment="1">
      <alignment horizontal="right"/>
    </xf>
    <xf numFmtId="0" fontId="20" fillId="2" borderId="1" xfId="0" applyFont="1" applyFill="1" applyBorder="1"/>
    <xf numFmtId="17" fontId="20" fillId="2" borderId="1" xfId="0" applyNumberFormat="1" applyFont="1" applyFill="1" applyBorder="1" applyAlignment="1">
      <alignment horizontal="center"/>
    </xf>
    <xf numFmtId="0" fontId="20" fillId="2" borderId="1" xfId="0" applyFont="1" applyFill="1" applyBorder="1" applyAlignment="1">
      <alignment horizontal="right"/>
    </xf>
    <xf numFmtId="0" fontId="25" fillId="2" borderId="1" xfId="0" applyFont="1" applyFill="1" applyBorder="1"/>
    <xf numFmtId="0" fontId="25" fillId="2" borderId="1" xfId="0" applyFont="1" applyFill="1" applyBorder="1" applyAlignment="1">
      <alignment horizontal="center"/>
    </xf>
    <xf numFmtId="0" fontId="27" fillId="2" borderId="1" xfId="0" applyFont="1" applyFill="1" applyBorder="1"/>
    <xf numFmtId="0" fontId="28" fillId="0" borderId="0" xfId="0" applyFont="1"/>
    <xf numFmtId="0" fontId="29" fillId="0" borderId="0" xfId="0" applyFont="1"/>
    <xf numFmtId="0" fontId="16" fillId="0" borderId="0" xfId="0" applyFont="1"/>
    <xf numFmtId="0" fontId="16" fillId="0" borderId="12" xfId="0" applyFont="1" applyBorder="1"/>
    <xf numFmtId="3" fontId="16" fillId="0" borderId="0" xfId="0" applyNumberFormat="1" applyFont="1"/>
    <xf numFmtId="0" fontId="30" fillId="2" borderId="1" xfId="0" applyFont="1" applyFill="1" applyBorder="1"/>
    <xf numFmtId="1" fontId="16" fillId="0" borderId="12" xfId="0" applyNumberFormat="1" applyFont="1" applyBorder="1" applyAlignment="1">
      <alignment horizontal="center"/>
    </xf>
    <xf numFmtId="14" fontId="16" fillId="0" borderId="12" xfId="0" applyNumberFormat="1" applyFont="1" applyBorder="1" applyAlignment="1">
      <alignment horizontal="center"/>
    </xf>
    <xf numFmtId="9" fontId="16" fillId="0" borderId="0" xfId="0" applyNumberFormat="1" applyFont="1"/>
    <xf numFmtId="14" fontId="33" fillId="5" borderId="24" xfId="0" applyNumberFormat="1" applyFont="1" applyFill="1" applyBorder="1" applyAlignment="1">
      <alignment horizontal="center" vertical="center" wrapText="1"/>
    </xf>
    <xf numFmtId="14" fontId="33" fillId="5" borderId="25" xfId="0" applyNumberFormat="1" applyFont="1" applyFill="1" applyBorder="1" applyAlignment="1">
      <alignment horizontal="center" vertical="center" wrapText="1"/>
    </xf>
    <xf numFmtId="1" fontId="33" fillId="5" borderId="25" xfId="0" applyNumberFormat="1" applyFont="1" applyFill="1" applyBorder="1" applyAlignment="1">
      <alignment horizontal="center" vertical="center" wrapText="1"/>
    </xf>
    <xf numFmtId="2" fontId="33" fillId="5" borderId="25" xfId="0" applyNumberFormat="1" applyFont="1" applyFill="1" applyBorder="1" applyAlignment="1">
      <alignment horizontal="center" vertical="center" wrapText="1"/>
    </xf>
    <xf numFmtId="14" fontId="36" fillId="5" borderId="25" xfId="0" applyNumberFormat="1" applyFont="1" applyFill="1" applyBorder="1" applyAlignment="1">
      <alignment horizontal="center" vertical="center" wrapText="1"/>
    </xf>
    <xf numFmtId="1" fontId="33" fillId="5" borderId="26" xfId="0" applyNumberFormat="1" applyFont="1" applyFill="1" applyBorder="1" applyAlignment="1">
      <alignment horizontal="center" vertical="center" wrapText="1"/>
    </xf>
    <xf numFmtId="14" fontId="37" fillId="2" borderId="27" xfId="0" applyNumberFormat="1" applyFont="1" applyFill="1" applyBorder="1" applyAlignment="1">
      <alignment horizontal="left" vertical="center"/>
    </xf>
    <xf numFmtId="1" fontId="37" fillId="2" borderId="27" xfId="0" applyNumberFormat="1" applyFont="1" applyFill="1" applyBorder="1" applyAlignment="1">
      <alignment horizontal="center" vertical="center"/>
    </xf>
    <xf numFmtId="3" fontId="37" fillId="2" borderId="27" xfId="0" applyNumberFormat="1" applyFont="1" applyFill="1" applyBorder="1" applyAlignment="1">
      <alignment horizontal="center" vertical="center"/>
    </xf>
    <xf numFmtId="164" fontId="37" fillId="2" borderId="27" xfId="0" applyNumberFormat="1" applyFont="1" applyFill="1" applyBorder="1" applyAlignment="1">
      <alignment horizontal="center" vertical="center"/>
    </xf>
    <xf numFmtId="164" fontId="38" fillId="2" borderId="27" xfId="0" applyNumberFormat="1" applyFont="1" applyFill="1" applyBorder="1" applyAlignment="1">
      <alignment horizontal="center" vertical="center"/>
    </xf>
    <xf numFmtId="171" fontId="37" fillId="2" borderId="27" xfId="0" applyNumberFormat="1" applyFont="1" applyFill="1" applyBorder="1" applyAlignment="1">
      <alignment horizontal="left" vertical="center"/>
    </xf>
    <xf numFmtId="9" fontId="37" fillId="2" borderId="27" xfId="0" applyNumberFormat="1" applyFont="1" applyFill="1" applyBorder="1" applyAlignment="1">
      <alignment horizontal="center" vertical="center"/>
    </xf>
    <xf numFmtId="171" fontId="38" fillId="2" borderId="27" xfId="0" applyNumberFormat="1" applyFont="1" applyFill="1" applyBorder="1" applyAlignment="1">
      <alignment horizontal="left" vertical="center"/>
    </xf>
    <xf numFmtId="0" fontId="16" fillId="2" borderId="27" xfId="0" applyFont="1" applyFill="1" applyBorder="1"/>
    <xf numFmtId="9" fontId="28" fillId="2" borderId="27" xfId="0" applyNumberFormat="1" applyFont="1" applyFill="1" applyBorder="1" applyAlignment="1">
      <alignment horizontal="center" vertical="center"/>
    </xf>
    <xf numFmtId="14" fontId="37" fillId="2" borderId="1" xfId="0" applyNumberFormat="1" applyFont="1" applyFill="1" applyBorder="1" applyAlignment="1">
      <alignment horizontal="left" vertical="center"/>
    </xf>
    <xf numFmtId="1" fontId="37" fillId="2" borderId="1" xfId="0" applyNumberFormat="1" applyFont="1" applyFill="1" applyBorder="1" applyAlignment="1">
      <alignment horizontal="center" vertical="center"/>
    </xf>
    <xf numFmtId="3" fontId="37" fillId="2" borderId="1" xfId="0" applyNumberFormat="1" applyFont="1" applyFill="1" applyBorder="1" applyAlignment="1">
      <alignment horizontal="center" vertical="center"/>
    </xf>
    <xf numFmtId="164" fontId="37" fillId="2" borderId="1" xfId="0" applyNumberFormat="1" applyFont="1" applyFill="1" applyBorder="1" applyAlignment="1">
      <alignment horizontal="center" vertical="center"/>
    </xf>
    <xf numFmtId="164" fontId="38" fillId="2" borderId="1" xfId="0" applyNumberFormat="1" applyFont="1" applyFill="1" applyBorder="1" applyAlignment="1">
      <alignment horizontal="center" vertical="center"/>
    </xf>
    <xf numFmtId="171" fontId="37" fillId="2" borderId="1" xfId="0" applyNumberFormat="1" applyFont="1" applyFill="1" applyBorder="1" applyAlignment="1">
      <alignment horizontal="left" vertical="center"/>
    </xf>
    <xf numFmtId="9" fontId="37" fillId="2" borderId="1" xfId="0" applyNumberFormat="1" applyFont="1" applyFill="1" applyBorder="1" applyAlignment="1">
      <alignment horizontal="center" vertical="center"/>
    </xf>
    <xf numFmtId="171" fontId="38" fillId="2" borderId="1" xfId="0" applyNumberFormat="1" applyFont="1" applyFill="1" applyBorder="1" applyAlignment="1">
      <alignment horizontal="left" vertical="center"/>
    </xf>
    <xf numFmtId="9" fontId="28" fillId="2" borderId="1" xfId="0" applyNumberFormat="1" applyFont="1" applyFill="1" applyBorder="1" applyAlignment="1">
      <alignment horizontal="center" vertical="center"/>
    </xf>
    <xf numFmtId="1" fontId="39" fillId="6" borderId="30" xfId="0" applyNumberFormat="1" applyFont="1" applyFill="1" applyBorder="1" applyAlignment="1">
      <alignment horizontal="center" vertical="center"/>
    </xf>
    <xf numFmtId="3" fontId="39" fillId="6" borderId="30" xfId="0" applyNumberFormat="1" applyFont="1" applyFill="1" applyBorder="1" applyAlignment="1">
      <alignment horizontal="center" vertical="center"/>
    </xf>
    <xf numFmtId="164" fontId="39" fillId="6" borderId="30" xfId="0" applyNumberFormat="1" applyFont="1" applyFill="1" applyBorder="1" applyAlignment="1">
      <alignment horizontal="center" vertical="center"/>
    </xf>
    <xf numFmtId="164" fontId="39" fillId="7" borderId="30" xfId="0" applyNumberFormat="1" applyFont="1" applyFill="1" applyBorder="1" applyAlignment="1">
      <alignment horizontal="center" vertical="center"/>
    </xf>
    <xf numFmtId="172" fontId="39" fillId="6" borderId="30" xfId="0" applyNumberFormat="1" applyFont="1" applyFill="1" applyBorder="1" applyAlignment="1">
      <alignment horizontal="center" vertical="center"/>
    </xf>
    <xf numFmtId="9" fontId="39" fillId="6" borderId="30" xfId="0" applyNumberFormat="1" applyFont="1" applyFill="1" applyBorder="1" applyAlignment="1">
      <alignment horizontal="center" vertical="center"/>
    </xf>
    <xf numFmtId="164" fontId="39" fillId="8" borderId="30" xfId="0" applyNumberFormat="1" applyFont="1" applyFill="1" applyBorder="1" applyAlignment="1">
      <alignment horizontal="center" vertical="center"/>
    </xf>
    <xf numFmtId="9" fontId="39" fillId="8" borderId="30" xfId="0" applyNumberFormat="1" applyFont="1" applyFill="1" applyBorder="1" applyAlignment="1">
      <alignment horizontal="center" vertical="center"/>
    </xf>
    <xf numFmtId="0" fontId="37" fillId="2" borderId="1" xfId="0" applyFont="1" applyFill="1" applyBorder="1"/>
    <xf numFmtId="9" fontId="37" fillId="2" borderId="1" xfId="0" applyNumberFormat="1" applyFont="1" applyFill="1" applyBorder="1" applyAlignment="1">
      <alignment horizontal="center"/>
    </xf>
    <xf numFmtId="0" fontId="40" fillId="0" borderId="0" xfId="0" applyFont="1"/>
    <xf numFmtId="10" fontId="16" fillId="0" borderId="0" xfId="0" applyNumberFormat="1" applyFont="1"/>
    <xf numFmtId="0" fontId="41" fillId="0" borderId="0" xfId="0" applyFont="1"/>
    <xf numFmtId="164" fontId="16" fillId="0" borderId="0" xfId="0" applyNumberFormat="1" applyFont="1"/>
    <xf numFmtId="172" fontId="16" fillId="0" borderId="0" xfId="0" applyNumberFormat="1" applyFont="1"/>
    <xf numFmtId="166" fontId="16" fillId="0" borderId="0" xfId="0" applyNumberFormat="1" applyFont="1"/>
    <xf numFmtId="0" fontId="42" fillId="0" borderId="0" xfId="0" applyFont="1"/>
    <xf numFmtId="14" fontId="37" fillId="6" borderId="31" xfId="0" applyNumberFormat="1" applyFont="1" applyFill="1" applyBorder="1" applyAlignment="1">
      <alignment horizontal="left" vertical="center"/>
    </xf>
    <xf numFmtId="1" fontId="37" fillId="6" borderId="32" xfId="0" applyNumberFormat="1" applyFont="1" applyFill="1" applyBorder="1" applyAlignment="1">
      <alignment horizontal="center" vertical="center"/>
    </xf>
    <xf numFmtId="173" fontId="37" fillId="6" borderId="33" xfId="0" applyNumberFormat="1" applyFont="1" applyFill="1" applyBorder="1" applyAlignment="1">
      <alignment horizontal="left" vertical="center"/>
    </xf>
    <xf numFmtId="171" fontId="28" fillId="6" borderId="34" xfId="0" applyNumberFormat="1" applyFont="1" applyFill="1" applyBorder="1" applyAlignment="1">
      <alignment horizontal="center" vertical="center"/>
    </xf>
    <xf numFmtId="171" fontId="37" fillId="6" borderId="33" xfId="0" applyNumberFormat="1" applyFont="1" applyFill="1" applyBorder="1" applyAlignment="1">
      <alignment horizontal="left" vertical="center"/>
    </xf>
    <xf numFmtId="171" fontId="38" fillId="6" borderId="34" xfId="0" applyNumberFormat="1" applyFont="1" applyFill="1" applyBorder="1" applyAlignment="1">
      <alignment horizontal="center" vertical="center"/>
    </xf>
    <xf numFmtId="9" fontId="37" fillId="6" borderId="35" xfId="0" applyNumberFormat="1" applyFont="1" applyFill="1" applyBorder="1" applyAlignment="1">
      <alignment horizontal="center" vertical="center"/>
    </xf>
    <xf numFmtId="171" fontId="37" fillId="8" borderId="33" xfId="0" applyNumberFormat="1" applyFont="1" applyFill="1" applyBorder="1" applyAlignment="1">
      <alignment horizontal="left" vertical="center"/>
    </xf>
    <xf numFmtId="171" fontId="38" fillId="8" borderId="32" xfId="0" applyNumberFormat="1" applyFont="1" applyFill="1" applyBorder="1" applyAlignment="1">
      <alignment horizontal="center" vertical="center"/>
    </xf>
    <xf numFmtId="171" fontId="38" fillId="6" borderId="32" xfId="0" applyNumberFormat="1" applyFont="1" applyFill="1" applyBorder="1" applyAlignment="1">
      <alignment horizontal="center" vertical="center"/>
    </xf>
    <xf numFmtId="1" fontId="37" fillId="6" borderId="36" xfId="0" applyNumberFormat="1" applyFont="1" applyFill="1" applyBorder="1" applyAlignment="1">
      <alignment horizontal="center" vertical="center"/>
    </xf>
    <xf numFmtId="173" fontId="37" fillId="6" borderId="37" xfId="0" applyNumberFormat="1" applyFont="1" applyFill="1" applyBorder="1" applyAlignment="1">
      <alignment horizontal="left" vertical="center"/>
    </xf>
    <xf numFmtId="9" fontId="28" fillId="6" borderId="38" xfId="0" applyNumberFormat="1" applyFont="1" applyFill="1" applyBorder="1" applyAlignment="1">
      <alignment horizontal="center" vertical="center"/>
    </xf>
    <xf numFmtId="171" fontId="37" fillId="6" borderId="37" xfId="0" applyNumberFormat="1" applyFont="1" applyFill="1" applyBorder="1" applyAlignment="1">
      <alignment horizontal="left" vertical="center"/>
    </xf>
    <xf numFmtId="9" fontId="43" fillId="6" borderId="38" xfId="0" applyNumberFormat="1" applyFont="1" applyFill="1" applyBorder="1" applyAlignment="1">
      <alignment horizontal="center" vertical="center"/>
    </xf>
    <xf numFmtId="9" fontId="43" fillId="8" borderId="36" xfId="0" applyNumberFormat="1" applyFont="1" applyFill="1" applyBorder="1" applyAlignment="1">
      <alignment horizontal="center" vertical="center"/>
    </xf>
    <xf numFmtId="9" fontId="43" fillId="6" borderId="36" xfId="0" applyNumberFormat="1" applyFont="1" applyFill="1" applyBorder="1" applyAlignment="1">
      <alignment horizontal="center" vertical="center"/>
    </xf>
    <xf numFmtId="14" fontId="37" fillId="6" borderId="37" xfId="0" applyNumberFormat="1" applyFont="1" applyFill="1" applyBorder="1" applyAlignment="1">
      <alignment horizontal="left" vertical="center"/>
    </xf>
    <xf numFmtId="14" fontId="37" fillId="6" borderId="39" xfId="0" applyNumberFormat="1" applyFont="1" applyFill="1" applyBorder="1" applyAlignment="1">
      <alignment horizontal="left" vertical="center"/>
    </xf>
    <xf numFmtId="1" fontId="37" fillId="6" borderId="40" xfId="0" applyNumberFormat="1" applyFont="1" applyFill="1" applyBorder="1" applyAlignment="1">
      <alignment horizontal="center" vertical="center"/>
    </xf>
    <xf numFmtId="171" fontId="37" fillId="6" borderId="39" xfId="0" applyNumberFormat="1" applyFont="1" applyFill="1" applyBorder="1" applyAlignment="1">
      <alignment horizontal="left" vertical="center"/>
    </xf>
    <xf numFmtId="171" fontId="28" fillId="6" borderId="41" xfId="0" applyNumberFormat="1" applyFont="1" applyFill="1" applyBorder="1" applyAlignment="1">
      <alignment horizontal="center" vertical="center"/>
    </xf>
    <xf numFmtId="171" fontId="38" fillId="6" borderId="41" xfId="0" applyNumberFormat="1" applyFont="1" applyFill="1" applyBorder="1" applyAlignment="1">
      <alignment horizontal="center" vertical="center"/>
    </xf>
    <xf numFmtId="171" fontId="37" fillId="6" borderId="41" xfId="0" applyNumberFormat="1" applyFont="1" applyFill="1" applyBorder="1" applyAlignment="1">
      <alignment horizontal="left" vertical="center"/>
    </xf>
    <xf numFmtId="171" fontId="37" fillId="8" borderId="39" xfId="0" applyNumberFormat="1" applyFont="1" applyFill="1" applyBorder="1" applyAlignment="1">
      <alignment horizontal="left" vertical="center"/>
    </xf>
    <xf numFmtId="171" fontId="38" fillId="8" borderId="40" xfId="0" applyNumberFormat="1" applyFont="1" applyFill="1" applyBorder="1" applyAlignment="1">
      <alignment horizontal="center" vertical="center"/>
    </xf>
    <xf numFmtId="171" fontId="38" fillId="6" borderId="40" xfId="0" applyNumberFormat="1" applyFont="1" applyFill="1" applyBorder="1" applyAlignment="1">
      <alignment horizontal="center" vertical="center"/>
    </xf>
    <xf numFmtId="0" fontId="44" fillId="0" borderId="0" xfId="0" applyFont="1" applyAlignment="1">
      <alignment horizontal="left" wrapText="1"/>
    </xf>
    <xf numFmtId="0" fontId="45" fillId="0" borderId="0" xfId="0" applyFont="1"/>
    <xf numFmtId="0" fontId="46" fillId="0" borderId="0" xfId="0" applyFont="1"/>
    <xf numFmtId="14" fontId="37" fillId="6" borderId="44" xfId="0" applyNumberFormat="1" applyFont="1" applyFill="1" applyBorder="1" applyAlignment="1">
      <alignment horizontal="left" vertical="center"/>
    </xf>
    <xf numFmtId="1" fontId="47" fillId="6" borderId="45" xfId="0" applyNumberFormat="1" applyFont="1" applyFill="1" applyBorder="1" applyAlignment="1">
      <alignment horizontal="center" vertical="center"/>
    </xf>
    <xf numFmtId="164" fontId="47" fillId="6" borderId="44" xfId="0" applyNumberFormat="1" applyFont="1" applyFill="1" applyBorder="1" applyAlignment="1">
      <alignment horizontal="left" vertical="center"/>
    </xf>
    <xf numFmtId="171" fontId="48" fillId="6" borderId="46" xfId="0" applyNumberFormat="1" applyFont="1" applyFill="1" applyBorder="1" applyAlignment="1">
      <alignment horizontal="center" vertical="center"/>
    </xf>
    <xf numFmtId="175" fontId="47" fillId="6" borderId="44" xfId="0" applyNumberFormat="1" applyFont="1" applyFill="1" applyBorder="1" applyAlignment="1">
      <alignment horizontal="center" vertical="center"/>
    </xf>
    <xf numFmtId="176" fontId="48" fillId="6" borderId="45" xfId="0" applyNumberFormat="1" applyFont="1" applyFill="1" applyBorder="1" applyAlignment="1">
      <alignment horizontal="center" vertical="center"/>
    </xf>
    <xf numFmtId="176" fontId="47" fillId="6" borderId="44" xfId="0" applyNumberFormat="1" applyFont="1" applyFill="1" applyBorder="1" applyAlignment="1">
      <alignment horizontal="center" vertical="center"/>
    </xf>
    <xf numFmtId="171" fontId="48" fillId="6" borderId="45" xfId="0" applyNumberFormat="1" applyFont="1" applyFill="1" applyBorder="1" applyAlignment="1">
      <alignment horizontal="center" vertical="center"/>
    </xf>
    <xf numFmtId="9" fontId="39" fillId="6" borderId="47" xfId="0" applyNumberFormat="1" applyFont="1" applyFill="1" applyBorder="1" applyAlignment="1">
      <alignment horizontal="center" vertical="center"/>
    </xf>
    <xf numFmtId="176" fontId="39" fillId="6" borderId="48" xfId="0" applyNumberFormat="1" applyFont="1" applyFill="1" applyBorder="1" applyAlignment="1">
      <alignment horizontal="center" vertical="center"/>
    </xf>
    <xf numFmtId="9" fontId="39" fillId="6" borderId="48" xfId="0" applyNumberFormat="1" applyFont="1" applyFill="1" applyBorder="1" applyAlignment="1">
      <alignment horizontal="center" vertical="center"/>
    </xf>
    <xf numFmtId="14" fontId="47" fillId="6" borderId="39" xfId="0" applyNumberFormat="1" applyFont="1" applyFill="1" applyBorder="1" applyAlignment="1">
      <alignment horizontal="left" vertical="center"/>
    </xf>
    <xf numFmtId="1" fontId="47" fillId="6" borderId="40" xfId="0" applyNumberFormat="1" applyFont="1" applyFill="1" applyBorder="1" applyAlignment="1">
      <alignment horizontal="center" vertical="center"/>
    </xf>
    <xf numFmtId="164" fontId="47" fillId="6" borderId="39" xfId="0" applyNumberFormat="1" applyFont="1" applyFill="1" applyBorder="1" applyAlignment="1">
      <alignment horizontal="left" vertical="center"/>
    </xf>
    <xf numFmtId="171" fontId="47" fillId="6" borderId="39" xfId="0" applyNumberFormat="1" applyFont="1" applyFill="1" applyBorder="1" applyAlignment="1">
      <alignment horizontal="left" vertical="center"/>
    </xf>
    <xf numFmtId="171" fontId="47" fillId="6" borderId="39" xfId="0" applyNumberFormat="1" applyFont="1" applyFill="1" applyBorder="1" applyAlignment="1">
      <alignment horizontal="center" vertical="center"/>
    </xf>
    <xf numFmtId="0" fontId="44" fillId="0" borderId="0" xfId="0" applyFont="1"/>
    <xf numFmtId="0" fontId="49" fillId="0" borderId="0" xfId="0" applyFont="1"/>
    <xf numFmtId="0" fontId="50" fillId="0" borderId="0" xfId="0" applyFont="1"/>
    <xf numFmtId="0" fontId="51" fillId="0" borderId="0" xfId="0" applyFont="1"/>
    <xf numFmtId="0" fontId="53" fillId="0" borderId="0" xfId="0" applyFont="1"/>
    <xf numFmtId="14" fontId="33" fillId="3" borderId="25" xfId="0" applyNumberFormat="1" applyFont="1" applyFill="1" applyBorder="1" applyAlignment="1">
      <alignment horizontal="center" vertical="center" wrapText="1"/>
    </xf>
    <xf numFmtId="14" fontId="37" fillId="2" borderId="66" xfId="0" applyNumberFormat="1" applyFont="1" applyFill="1" applyBorder="1" applyAlignment="1">
      <alignment horizontal="left" vertical="center"/>
    </xf>
    <xf numFmtId="1" fontId="37" fillId="2" borderId="66" xfId="0" applyNumberFormat="1" applyFont="1" applyFill="1" applyBorder="1" applyAlignment="1">
      <alignment horizontal="center" vertical="center"/>
    </xf>
    <xf numFmtId="164" fontId="37" fillId="2" borderId="66" xfId="0" applyNumberFormat="1" applyFont="1" applyFill="1" applyBorder="1" applyAlignment="1">
      <alignment horizontal="center" vertical="center"/>
    </xf>
    <xf numFmtId="9" fontId="37" fillId="2" borderId="66" xfId="0" applyNumberFormat="1" applyFont="1" applyFill="1" applyBorder="1" applyAlignment="1">
      <alignment horizontal="center" vertical="center"/>
    </xf>
    <xf numFmtId="0" fontId="16" fillId="2" borderId="66" xfId="0" applyFont="1" applyFill="1" applyBorder="1"/>
    <xf numFmtId="166" fontId="37" fillId="2" borderId="66" xfId="0" applyNumberFormat="1" applyFont="1" applyFill="1" applyBorder="1" applyAlignment="1">
      <alignment horizontal="center" vertical="center"/>
    </xf>
    <xf numFmtId="168" fontId="37" fillId="2" borderId="66" xfId="0" applyNumberFormat="1" applyFont="1" applyFill="1" applyBorder="1" applyAlignment="1">
      <alignment horizontal="center" vertical="center"/>
    </xf>
    <xf numFmtId="14" fontId="37" fillId="2" borderId="67" xfId="0" applyNumberFormat="1" applyFont="1" applyFill="1" applyBorder="1" applyAlignment="1">
      <alignment horizontal="left" vertical="center"/>
    </xf>
    <xf numFmtId="1" fontId="37" fillId="2" borderId="67" xfId="0" applyNumberFormat="1" applyFont="1" applyFill="1" applyBorder="1" applyAlignment="1">
      <alignment horizontal="center" vertical="center"/>
    </xf>
    <xf numFmtId="166" fontId="37" fillId="2" borderId="67" xfId="0" applyNumberFormat="1" applyFont="1" applyFill="1" applyBorder="1" applyAlignment="1">
      <alignment horizontal="center" vertical="center"/>
    </xf>
    <xf numFmtId="168" fontId="37" fillId="2" borderId="67" xfId="0" applyNumberFormat="1" applyFont="1" applyFill="1" applyBorder="1" applyAlignment="1">
      <alignment horizontal="center" vertical="center"/>
    </xf>
    <xf numFmtId="0" fontId="16" fillId="2" borderId="67" xfId="0" applyFont="1" applyFill="1" applyBorder="1"/>
    <xf numFmtId="0" fontId="54" fillId="0" borderId="30" xfId="0" applyFont="1" applyBorder="1"/>
    <xf numFmtId="3" fontId="54" fillId="0" borderId="30" xfId="0" applyNumberFormat="1" applyFont="1" applyBorder="1" applyAlignment="1">
      <alignment horizontal="center"/>
    </xf>
    <xf numFmtId="9" fontId="54" fillId="0" borderId="30" xfId="0" applyNumberFormat="1" applyFont="1" applyBorder="1" applyAlignment="1">
      <alignment horizontal="center"/>
    </xf>
    <xf numFmtId="164" fontId="54" fillId="0" borderId="30" xfId="0" applyNumberFormat="1" applyFont="1" applyBorder="1" applyAlignment="1">
      <alignment horizontal="center"/>
    </xf>
    <xf numFmtId="0" fontId="43" fillId="0" borderId="0" xfId="0" applyFont="1"/>
    <xf numFmtId="0" fontId="37" fillId="0" borderId="0" xfId="0" applyFont="1"/>
    <xf numFmtId="166" fontId="37" fillId="0" borderId="0" xfId="0" applyNumberFormat="1" applyFont="1"/>
    <xf numFmtId="0" fontId="55" fillId="0" borderId="0" xfId="0" applyFont="1"/>
    <xf numFmtId="0" fontId="56" fillId="0" borderId="0" xfId="0" applyFont="1" applyAlignment="1">
      <alignment wrapText="1"/>
    </xf>
    <xf numFmtId="0" fontId="56" fillId="0" borderId="0" xfId="0" applyFont="1" applyAlignment="1">
      <alignment horizontal="center" wrapText="1"/>
    </xf>
    <xf numFmtId="14" fontId="37" fillId="2" borderId="68" xfId="0" applyNumberFormat="1" applyFont="1" applyFill="1" applyBorder="1" applyAlignment="1">
      <alignment horizontal="left" vertical="center"/>
    </xf>
    <xf numFmtId="164" fontId="37" fillId="2" borderId="68" xfId="0" applyNumberFormat="1" applyFont="1" applyFill="1" applyBorder="1" applyAlignment="1">
      <alignment horizontal="center" vertical="center"/>
    </xf>
    <xf numFmtId="0" fontId="54" fillId="0" borderId="28" xfId="0" applyFont="1" applyBorder="1"/>
    <xf numFmtId="0" fontId="54" fillId="0" borderId="69" xfId="0" applyFont="1" applyBorder="1"/>
    <xf numFmtId="164" fontId="54" fillId="0" borderId="30" xfId="0" applyNumberFormat="1" applyFont="1" applyBorder="1"/>
    <xf numFmtId="0" fontId="57" fillId="0" borderId="0" xfId="0" applyFont="1"/>
    <xf numFmtId="0" fontId="58" fillId="0" borderId="0" xfId="0" applyFont="1"/>
    <xf numFmtId="0" fontId="16" fillId="0" borderId="14" xfId="0" applyFont="1" applyBorder="1"/>
    <xf numFmtId="0" fontId="20" fillId="0" borderId="0" xfId="0" applyFont="1"/>
    <xf numFmtId="0" fontId="20" fillId="0" borderId="71" xfId="0" applyFont="1" applyBorder="1"/>
    <xf numFmtId="0" fontId="20" fillId="0" borderId="65" xfId="0" applyFont="1" applyBorder="1" applyAlignment="1">
      <alignment horizontal="center" vertical="center" wrapText="1"/>
    </xf>
    <xf numFmtId="0" fontId="16" fillId="0" borderId="85" xfId="0" applyFont="1" applyBorder="1"/>
    <xf numFmtId="9" fontId="16" fillId="0" borderId="78" xfId="0" applyNumberFormat="1" applyFont="1" applyBorder="1"/>
    <xf numFmtId="0" fontId="16" fillId="0" borderId="77" xfId="0" applyFont="1" applyBorder="1"/>
    <xf numFmtId="9" fontId="16" fillId="0" borderId="76" xfId="0" applyNumberFormat="1" applyFont="1" applyBorder="1"/>
    <xf numFmtId="0" fontId="16" fillId="0" borderId="91" xfId="0" applyFont="1" applyBorder="1"/>
    <xf numFmtId="9" fontId="16" fillId="0" borderId="81" xfId="0" applyNumberFormat="1" applyFont="1" applyBorder="1"/>
    <xf numFmtId="9" fontId="20" fillId="0" borderId="65" xfId="0" applyNumberFormat="1" applyFont="1" applyBorder="1"/>
    <xf numFmtId="1" fontId="16" fillId="0" borderId="0" xfId="0" applyNumberFormat="1" applyFont="1" applyAlignment="1">
      <alignment horizontal="right"/>
    </xf>
    <xf numFmtId="16" fontId="16" fillId="0" borderId="0" xfId="0" applyNumberFormat="1" applyFont="1" applyAlignment="1">
      <alignment horizontal="center"/>
    </xf>
    <xf numFmtId="14" fontId="57" fillId="0" borderId="0" xfId="0" applyNumberFormat="1" applyFont="1" applyAlignment="1">
      <alignment horizontal="center"/>
    </xf>
    <xf numFmtId="1" fontId="57" fillId="0" borderId="0" xfId="0" applyNumberFormat="1" applyFont="1" applyAlignment="1">
      <alignment horizontal="right"/>
    </xf>
    <xf numFmtId="2" fontId="35" fillId="13" borderId="104" xfId="0" applyNumberFormat="1" applyFont="1" applyFill="1" applyBorder="1" applyAlignment="1">
      <alignment horizontal="center" vertical="center" wrapText="1"/>
    </xf>
    <xf numFmtId="0" fontId="16" fillId="0" borderId="75" xfId="0" applyFont="1" applyBorder="1"/>
    <xf numFmtId="0" fontId="16" fillId="2" borderId="14" xfId="0" applyFont="1" applyFill="1" applyBorder="1"/>
    <xf numFmtId="1" fontId="16" fillId="0" borderId="14" xfId="0" applyNumberFormat="1" applyFont="1" applyBorder="1" applyAlignment="1">
      <alignment horizontal="right"/>
    </xf>
    <xf numFmtId="0" fontId="16" fillId="0" borderId="14" xfId="0" applyFont="1" applyBorder="1" applyAlignment="1">
      <alignment horizontal="right"/>
    </xf>
    <xf numFmtId="0" fontId="16" fillId="0" borderId="90" xfId="0" applyFont="1" applyBorder="1"/>
    <xf numFmtId="164" fontId="16" fillId="0" borderId="14" xfId="0" applyNumberFormat="1" applyFont="1" applyBorder="1"/>
    <xf numFmtId="14" fontId="16" fillId="0" borderId="14" xfId="0" applyNumberFormat="1" applyFont="1" applyBorder="1" applyAlignment="1">
      <alignment horizontal="center"/>
    </xf>
    <xf numFmtId="1" fontId="16" fillId="0" borderId="76" xfId="0" applyNumberFormat="1" applyFont="1" applyBorder="1" applyAlignment="1">
      <alignment horizontal="center"/>
    </xf>
    <xf numFmtId="0" fontId="16" fillId="0" borderId="86" xfId="0" applyFont="1" applyBorder="1"/>
    <xf numFmtId="14" fontId="16" fillId="0" borderId="89" xfId="0" applyNumberFormat="1" applyFont="1" applyBorder="1" applyAlignment="1">
      <alignment horizontal="center"/>
    </xf>
    <xf numFmtId="0" fontId="16" fillId="2" borderId="14" xfId="0" applyFont="1" applyFill="1" applyBorder="1" applyAlignment="1">
      <alignment horizontal="right"/>
    </xf>
    <xf numFmtId="0" fontId="62" fillId="0" borderId="89" xfId="0" applyFont="1" applyBorder="1"/>
    <xf numFmtId="0" fontId="16" fillId="2" borderId="11" xfId="0" applyFont="1" applyFill="1" applyBorder="1"/>
    <xf numFmtId="14" fontId="16" fillId="0" borderId="98" xfId="0" applyNumberFormat="1" applyFont="1" applyBorder="1" applyAlignment="1">
      <alignment horizontal="center"/>
    </xf>
    <xf numFmtId="1" fontId="16" fillId="0" borderId="90" xfId="0" applyNumberFormat="1" applyFont="1" applyBorder="1" applyAlignment="1">
      <alignment horizontal="right"/>
    </xf>
    <xf numFmtId="0" fontId="16" fillId="2" borderId="11" xfId="0" applyFont="1" applyFill="1" applyBorder="1" applyAlignment="1">
      <alignment horizontal="right"/>
    </xf>
    <xf numFmtId="0" fontId="16" fillId="2" borderId="106" xfId="0" applyFont="1" applyFill="1" applyBorder="1"/>
    <xf numFmtId="166" fontId="16" fillId="0" borderId="0" xfId="0" applyNumberFormat="1" applyFont="1" applyAlignment="1">
      <alignment horizontal="center"/>
    </xf>
    <xf numFmtId="2" fontId="35" fillId="13" borderId="105" xfId="0" applyNumberFormat="1" applyFont="1" applyFill="1" applyBorder="1" applyAlignment="1">
      <alignment horizontal="center" vertical="center" wrapText="1"/>
    </xf>
    <xf numFmtId="0" fontId="16" fillId="0" borderId="0" xfId="0" applyFont="1"/>
    <xf numFmtId="0" fontId="16" fillId="0" borderId="0" xfId="0" applyFont="1" applyAlignment="1">
      <alignment horizontal="right"/>
    </xf>
    <xf numFmtId="166" fontId="16" fillId="0" borderId="0" xfId="0" applyNumberFormat="1" applyFont="1"/>
    <xf numFmtId="168" fontId="16" fillId="0" borderId="0" xfId="0" applyNumberFormat="1" applyFont="1"/>
    <xf numFmtId="0" fontId="16" fillId="0" borderId="0" xfId="0" applyFont="1" applyAlignment="1">
      <alignment horizontal="center"/>
    </xf>
    <xf numFmtId="14" fontId="64" fillId="2" borderId="55" xfId="0" applyNumberFormat="1" applyFont="1" applyFill="1" applyBorder="1" applyAlignment="1">
      <alignment horizontal="center" wrapText="1"/>
    </xf>
    <xf numFmtId="0" fontId="62" fillId="14" borderId="87" xfId="0" applyFont="1" applyFill="1" applyBorder="1" applyAlignment="1">
      <alignment horizontal="center"/>
    </xf>
    <xf numFmtId="166" fontId="66" fillId="14" borderId="88" xfId="0" applyNumberFormat="1" applyFont="1" applyFill="1" applyBorder="1" applyAlignment="1">
      <alignment horizontal="center"/>
    </xf>
    <xf numFmtId="166" fontId="65" fillId="2" borderId="115" xfId="0" applyNumberFormat="1" applyFont="1" applyFill="1" applyBorder="1" applyAlignment="1">
      <alignment horizontal="center"/>
    </xf>
    <xf numFmtId="0" fontId="65" fillId="2" borderId="115" xfId="0" applyFont="1" applyFill="1" applyBorder="1" applyAlignment="1">
      <alignment horizontal="center"/>
    </xf>
    <xf numFmtId="166" fontId="50" fillId="0" borderId="0" xfId="0" applyNumberFormat="1" applyFont="1"/>
    <xf numFmtId="0" fontId="0" fillId="0" borderId="0" xfId="0" applyFont="1" applyAlignment="1"/>
    <xf numFmtId="0" fontId="0" fillId="0" borderId="0" xfId="0" applyFont="1" applyAlignment="1">
      <alignment horizontal="center"/>
    </xf>
    <xf numFmtId="0" fontId="69" fillId="0" borderId="0" xfId="0" applyFont="1"/>
    <xf numFmtId="180" fontId="0" fillId="0" borderId="0" xfId="0" applyNumberFormat="1" applyFont="1" applyAlignment="1"/>
    <xf numFmtId="14" fontId="20" fillId="4" borderId="82" xfId="0" applyNumberFormat="1" applyFont="1" applyFill="1" applyBorder="1" applyAlignment="1">
      <alignment horizontal="center" vertical="center" wrapText="1"/>
    </xf>
    <xf numFmtId="180" fontId="16" fillId="0" borderId="12" xfId="1" applyNumberFormat="1" applyFont="1" applyBorder="1" applyAlignment="1">
      <alignment horizontal="center" wrapText="1"/>
    </xf>
    <xf numFmtId="180" fontId="0" fillId="0" borderId="0" xfId="1" applyNumberFormat="1" applyFont="1" applyAlignment="1"/>
    <xf numFmtId="0" fontId="0" fillId="0" borderId="117" xfId="0" applyFont="1" applyBorder="1" applyAlignment="1">
      <alignment horizontal="right"/>
    </xf>
    <xf numFmtId="14" fontId="0" fillId="0" borderId="117" xfId="0" applyNumberFormat="1" applyFont="1" applyBorder="1" applyAlignment="1"/>
    <xf numFmtId="0" fontId="71" fillId="15" borderId="0" xfId="0" applyFont="1" applyFill="1" applyAlignment="1"/>
    <xf numFmtId="0" fontId="71" fillId="16" borderId="117" xfId="0" applyFont="1" applyFill="1" applyBorder="1" applyAlignment="1">
      <alignment horizontal="right"/>
    </xf>
    <xf numFmtId="0" fontId="71" fillId="16" borderId="117" xfId="0" applyFont="1" applyFill="1" applyBorder="1" applyAlignment="1"/>
    <xf numFmtId="0" fontId="71" fillId="16" borderId="117" xfId="0" applyFont="1" applyFill="1" applyBorder="1" applyAlignment="1">
      <alignment horizontal="center"/>
    </xf>
    <xf numFmtId="14" fontId="0" fillId="0" borderId="117" xfId="0" applyNumberFormat="1" applyFont="1" applyBorder="1" applyAlignment="1">
      <alignment horizontal="center"/>
    </xf>
    <xf numFmtId="0" fontId="72" fillId="0" borderId="0" xfId="0" applyFont="1" applyAlignment="1"/>
    <xf numFmtId="17" fontId="72" fillId="0" borderId="0" xfId="0" applyNumberFormat="1" applyFont="1" applyAlignment="1"/>
    <xf numFmtId="0" fontId="72" fillId="0" borderId="0" xfId="0" applyFont="1" applyAlignment="1">
      <alignment horizontal="center"/>
    </xf>
    <xf numFmtId="17" fontId="72" fillId="0" borderId="0" xfId="0" applyNumberFormat="1" applyFont="1" applyAlignment="1">
      <alignment horizontal="center"/>
    </xf>
    <xf numFmtId="0" fontId="0" fillId="0" borderId="0" xfId="0" applyFont="1" applyAlignment="1"/>
    <xf numFmtId="3" fontId="0" fillId="0" borderId="0" xfId="0" applyNumberFormat="1" applyFont="1" applyAlignment="1"/>
    <xf numFmtId="14" fontId="20" fillId="4" borderId="82" xfId="0" applyNumberFormat="1" applyFont="1" applyFill="1" applyBorder="1" applyAlignment="1">
      <alignment horizontal="right" vertical="center" wrapText="1"/>
    </xf>
    <xf numFmtId="0" fontId="0" fillId="0" borderId="0" xfId="0" applyFont="1" applyAlignment="1">
      <alignment horizontal="right"/>
    </xf>
    <xf numFmtId="0" fontId="69" fillId="17" borderId="0" xfId="0" applyFont="1" applyFill="1"/>
    <xf numFmtId="0" fontId="0" fillId="17" borderId="0" xfId="0" applyFont="1" applyFill="1" applyAlignment="1"/>
    <xf numFmtId="0" fontId="0" fillId="17" borderId="0" xfId="0" applyFont="1" applyFill="1" applyAlignment="1">
      <alignment horizontal="center"/>
    </xf>
    <xf numFmtId="0" fontId="71" fillId="17" borderId="0" xfId="0" applyFont="1" applyFill="1" applyAlignment="1"/>
    <xf numFmtId="180" fontId="20" fillId="17" borderId="82" xfId="1" applyNumberFormat="1" applyFont="1" applyFill="1" applyBorder="1" applyAlignment="1">
      <alignment horizontal="center" wrapText="1"/>
    </xf>
    <xf numFmtId="180" fontId="16" fillId="0" borderId="13" xfId="1" applyNumberFormat="1" applyFont="1" applyBorder="1" applyAlignment="1">
      <alignment horizontal="center" wrapText="1"/>
    </xf>
    <xf numFmtId="180" fontId="20" fillId="0" borderId="118" xfId="1" applyNumberFormat="1" applyFont="1" applyBorder="1" applyAlignment="1">
      <alignment horizontal="center" wrapText="1"/>
    </xf>
    <xf numFmtId="0" fontId="0" fillId="0" borderId="0" xfId="0" applyFont="1" applyAlignment="1"/>
    <xf numFmtId="0" fontId="0" fillId="0" borderId="0" xfId="0" applyFont="1" applyAlignment="1"/>
    <xf numFmtId="0" fontId="0" fillId="0" borderId="0" xfId="0" applyFont="1" applyAlignment="1"/>
    <xf numFmtId="166" fontId="73" fillId="2" borderId="115" xfId="0" applyNumberFormat="1" applyFont="1" applyFill="1" applyBorder="1" applyAlignment="1">
      <alignment horizontal="center"/>
    </xf>
    <xf numFmtId="0" fontId="62" fillId="0" borderId="106" xfId="0" applyFont="1" applyBorder="1"/>
    <xf numFmtId="0" fontId="16" fillId="2" borderId="14" xfId="0" applyNumberFormat="1" applyFont="1" applyFill="1" applyBorder="1" applyAlignment="1">
      <alignment horizontal="right"/>
    </xf>
    <xf numFmtId="0" fontId="16" fillId="0" borderId="0" xfId="0" applyFont="1" applyBorder="1"/>
    <xf numFmtId="178" fontId="16" fillId="0" borderId="0" xfId="0" applyNumberFormat="1" applyFont="1" applyBorder="1" applyAlignment="1">
      <alignment horizontal="center"/>
    </xf>
    <xf numFmtId="3" fontId="23" fillId="2" borderId="2" xfId="0" applyNumberFormat="1" applyFont="1" applyFill="1" applyBorder="1" applyAlignment="1">
      <alignment horizontal="right"/>
    </xf>
    <xf numFmtId="9" fontId="16" fillId="2" borderId="1" xfId="2" applyFont="1" applyFill="1" applyBorder="1"/>
    <xf numFmtId="168" fontId="37" fillId="2" borderId="27" xfId="0" applyNumberFormat="1" applyFont="1" applyFill="1" applyBorder="1" applyAlignment="1">
      <alignment horizontal="center" vertical="center"/>
    </xf>
    <xf numFmtId="0" fontId="0" fillId="0" borderId="0" xfId="0" applyFont="1" applyAlignment="1"/>
    <xf numFmtId="0" fontId="16" fillId="0" borderId="0" xfId="0" applyFont="1" applyAlignment="1">
      <alignment horizontal="left" indent="1"/>
    </xf>
    <xf numFmtId="0" fontId="16" fillId="2" borderId="14" xfId="0" applyNumberFormat="1" applyFont="1" applyFill="1" applyBorder="1" applyAlignment="1">
      <alignment horizontal="left"/>
    </xf>
    <xf numFmtId="0" fontId="0" fillId="0" borderId="0" xfId="0" applyFont="1" applyAlignment="1"/>
    <xf numFmtId="0" fontId="0" fillId="0" borderId="0" xfId="0" applyFont="1" applyAlignment="1"/>
    <xf numFmtId="0" fontId="0" fillId="0" borderId="0" xfId="0" applyFont="1" applyAlignment="1"/>
    <xf numFmtId="0" fontId="0" fillId="0" borderId="0" xfId="0" applyFont="1" applyAlignment="1"/>
    <xf numFmtId="0" fontId="16" fillId="2" borderId="82" xfId="0" applyFont="1" applyFill="1" applyBorder="1"/>
    <xf numFmtId="170" fontId="16" fillId="2" borderId="119" xfId="0" applyNumberFormat="1" applyFont="1" applyFill="1" applyBorder="1" applyAlignment="1">
      <alignment horizontal="center" vertical="center"/>
    </xf>
    <xf numFmtId="0" fontId="77" fillId="20" borderId="15" xfId="0" applyFont="1" applyFill="1" applyBorder="1"/>
    <xf numFmtId="3" fontId="16" fillId="2" borderId="12" xfId="0" applyNumberFormat="1" applyFont="1" applyFill="1" applyBorder="1" applyAlignment="1">
      <alignment horizontal="center"/>
    </xf>
    <xf numFmtId="0" fontId="76" fillId="19" borderId="12" xfId="0" applyFont="1" applyFill="1" applyBorder="1" applyAlignment="1">
      <alignment horizontal="left" indent="1"/>
    </xf>
    <xf numFmtId="0" fontId="76" fillId="2" borderId="12" xfId="0" applyFont="1" applyFill="1" applyBorder="1" applyAlignment="1">
      <alignment horizontal="left" indent="1"/>
    </xf>
    <xf numFmtId="44" fontId="0" fillId="0" borderId="0" xfId="1" applyFont="1" applyAlignment="1"/>
    <xf numFmtId="0" fontId="0" fillId="0" borderId="0" xfId="0" applyFont="1" applyAlignment="1"/>
    <xf numFmtId="0" fontId="0" fillId="0" borderId="0" xfId="0" applyFont="1" applyAlignment="1"/>
    <xf numFmtId="0" fontId="0" fillId="0" borderId="0" xfId="0" applyFont="1" applyAlignment="1"/>
    <xf numFmtId="180" fontId="0" fillId="0" borderId="0" xfId="0" applyNumberFormat="1" applyFont="1" applyAlignment="1">
      <alignment horizontal="center"/>
    </xf>
    <xf numFmtId="0" fontId="0" fillId="0" borderId="0" xfId="0" applyFont="1" applyAlignment="1"/>
    <xf numFmtId="0" fontId="16" fillId="0" borderId="0" xfId="0" applyFont="1" applyAlignment="1"/>
    <xf numFmtId="16" fontId="77" fillId="20" borderId="15" xfId="0" applyNumberFormat="1" applyFont="1" applyFill="1" applyBorder="1" applyAlignment="1"/>
    <xf numFmtId="170" fontId="76" fillId="19" borderId="12" xfId="0" applyNumberFormat="1" applyFont="1" applyFill="1" applyBorder="1" applyAlignment="1">
      <alignment vertical="center"/>
    </xf>
    <xf numFmtId="9" fontId="16" fillId="0" borderId="12" xfId="0" applyNumberFormat="1" applyFont="1" applyBorder="1" applyAlignment="1">
      <alignment vertical="center"/>
    </xf>
    <xf numFmtId="9" fontId="76" fillId="19" borderId="12" xfId="0" applyNumberFormat="1" applyFont="1" applyFill="1" applyBorder="1" applyAlignment="1">
      <alignment vertical="center"/>
    </xf>
    <xf numFmtId="170" fontId="76" fillId="19" borderId="12" xfId="1" applyNumberFormat="1" applyFont="1" applyFill="1" applyBorder="1" applyAlignment="1">
      <alignment vertical="center"/>
    </xf>
    <xf numFmtId="0" fontId="69" fillId="0" borderId="0" xfId="0" applyFont="1" applyAlignment="1"/>
    <xf numFmtId="0" fontId="19" fillId="0" borderId="1" xfId="0" applyFont="1" applyFill="1" applyBorder="1" applyAlignment="1">
      <alignment horizontal="center"/>
    </xf>
    <xf numFmtId="164" fontId="16" fillId="0" borderId="1" xfId="0" applyNumberFormat="1" applyFont="1" applyFill="1" applyBorder="1" applyAlignment="1">
      <alignment horizontal="right"/>
    </xf>
    <xf numFmtId="0" fontId="0" fillId="0" borderId="0" xfId="0" applyFont="1" applyFill="1" applyAlignment="1"/>
    <xf numFmtId="171" fontId="37" fillId="6" borderId="102" xfId="0" applyNumberFormat="1" applyFont="1" applyFill="1" applyBorder="1" applyAlignment="1">
      <alignment horizontal="left" vertical="center"/>
    </xf>
    <xf numFmtId="173" fontId="37" fillId="6" borderId="31" xfId="0" applyNumberFormat="1" applyFont="1" applyFill="1" applyBorder="1" applyAlignment="1">
      <alignment horizontal="left" vertical="center"/>
    </xf>
    <xf numFmtId="171" fontId="37" fillId="6" borderId="31" xfId="0" applyNumberFormat="1" applyFont="1" applyFill="1" applyBorder="1" applyAlignment="1">
      <alignment horizontal="left" vertical="center"/>
    </xf>
    <xf numFmtId="171" fontId="37" fillId="8" borderId="31" xfId="0" applyNumberFormat="1" applyFont="1" applyFill="1" applyBorder="1" applyAlignment="1">
      <alignment horizontal="left" vertical="center"/>
    </xf>
    <xf numFmtId="9" fontId="37" fillId="6" borderId="83" xfId="0" applyNumberFormat="1" applyFont="1" applyFill="1" applyBorder="1" applyAlignment="1">
      <alignment horizontal="center" vertical="center"/>
    </xf>
    <xf numFmtId="0" fontId="16" fillId="9" borderId="82" xfId="0" applyFont="1" applyFill="1" applyBorder="1"/>
    <xf numFmtId="3" fontId="20" fillId="9" borderId="82" xfId="0" applyNumberFormat="1" applyFont="1" applyFill="1" applyBorder="1" applyAlignment="1">
      <alignment horizontal="center"/>
    </xf>
    <xf numFmtId="164" fontId="20" fillId="11" borderId="82" xfId="0" applyNumberFormat="1" applyFont="1" applyFill="1" applyBorder="1"/>
    <xf numFmtId="164" fontId="20" fillId="9" borderId="82" xfId="0" applyNumberFormat="1" applyFont="1" applyFill="1" applyBorder="1"/>
    <xf numFmtId="164" fontId="20" fillId="10" borderId="82" xfId="0" applyNumberFormat="1" applyFont="1" applyFill="1" applyBorder="1"/>
    <xf numFmtId="170" fontId="16" fillId="2" borderId="82" xfId="0" applyNumberFormat="1" applyFont="1" applyFill="1" applyBorder="1" applyAlignment="1">
      <alignment horizontal="center" vertical="center"/>
    </xf>
    <xf numFmtId="0" fontId="16" fillId="0" borderId="82" xfId="0" applyFont="1" applyBorder="1"/>
    <xf numFmtId="9" fontId="0" fillId="0" borderId="0" xfId="2" applyFont="1" applyAlignment="1"/>
    <xf numFmtId="0" fontId="15" fillId="0" borderId="0" xfId="0" applyFont="1" applyAlignment="1"/>
    <xf numFmtId="0" fontId="15" fillId="0" borderId="0" xfId="0" applyFont="1" applyAlignment="1">
      <alignment horizontal="right"/>
    </xf>
    <xf numFmtId="17" fontId="0" fillId="0" borderId="0" xfId="0" applyNumberFormat="1" applyFont="1" applyAlignment="1">
      <alignment horizontal="right"/>
    </xf>
    <xf numFmtId="168" fontId="0" fillId="0" borderId="0" xfId="2" applyNumberFormat="1" applyFont="1" applyAlignment="1"/>
    <xf numFmtId="0" fontId="72" fillId="0" borderId="0" xfId="0" applyFont="1" applyAlignment="1">
      <alignment horizontal="right"/>
    </xf>
    <xf numFmtId="0" fontId="69" fillId="0" borderId="0" xfId="0" applyFont="1" applyAlignment="1">
      <alignment horizontal="right"/>
    </xf>
    <xf numFmtId="0" fontId="15" fillId="0" borderId="0" xfId="0" applyFont="1" applyAlignment="1">
      <alignment horizontal="left"/>
    </xf>
    <xf numFmtId="181" fontId="0" fillId="0" borderId="0" xfId="0" applyNumberFormat="1" applyFont="1" applyAlignment="1"/>
    <xf numFmtId="9" fontId="72" fillId="0" borderId="0" xfId="2" applyFont="1" applyAlignment="1"/>
    <xf numFmtId="177" fontId="78" fillId="3" borderId="54" xfId="0" applyNumberFormat="1" applyFont="1" applyFill="1" applyBorder="1" applyAlignment="1">
      <alignment horizontal="center" vertical="center" wrapText="1"/>
    </xf>
    <xf numFmtId="17" fontId="16" fillId="6" borderId="44" xfId="0" applyNumberFormat="1" applyFont="1" applyFill="1" applyBorder="1" applyAlignment="1">
      <alignment horizontal="left" vertical="center"/>
    </xf>
    <xf numFmtId="1" fontId="16" fillId="6" borderId="56" xfId="0" applyNumberFormat="1" applyFont="1" applyFill="1" applyBorder="1" applyAlignment="1">
      <alignment horizontal="center" vertical="center"/>
    </xf>
    <xf numFmtId="9" fontId="16" fillId="6" borderId="57" xfId="0" applyNumberFormat="1" applyFont="1" applyFill="1" applyBorder="1" applyAlignment="1">
      <alignment horizontal="center" vertical="center"/>
    </xf>
    <xf numFmtId="164" fontId="16" fillId="6" borderId="55" xfId="0" applyNumberFormat="1" applyFont="1" applyFill="1" applyBorder="1" applyAlignment="1">
      <alignment horizontal="center" vertical="center"/>
    </xf>
    <xf numFmtId="164" fontId="16" fillId="6" borderId="56" xfId="0" applyNumberFormat="1" applyFont="1" applyFill="1" applyBorder="1" applyAlignment="1">
      <alignment horizontal="center" vertical="center"/>
    </xf>
    <xf numFmtId="3" fontId="16" fillId="6" borderId="56" xfId="0" applyNumberFormat="1" applyFont="1" applyFill="1" applyBorder="1" applyAlignment="1">
      <alignment horizontal="center" vertical="center"/>
    </xf>
    <xf numFmtId="1" fontId="16" fillId="6" borderId="58" xfId="0" applyNumberFormat="1" applyFont="1" applyFill="1" applyBorder="1" applyAlignment="1">
      <alignment horizontal="center" vertical="center"/>
    </xf>
    <xf numFmtId="9" fontId="16" fillId="6" borderId="36" xfId="0" applyNumberFormat="1" applyFont="1" applyFill="1" applyBorder="1" applyAlignment="1">
      <alignment horizontal="center" vertical="center"/>
    </xf>
    <xf numFmtId="164" fontId="16" fillId="6" borderId="37" xfId="0" applyNumberFormat="1" applyFont="1" applyFill="1" applyBorder="1" applyAlignment="1">
      <alignment horizontal="center" vertical="center"/>
    </xf>
    <xf numFmtId="164" fontId="16" fillId="6" borderId="58" xfId="0" applyNumberFormat="1" applyFont="1" applyFill="1" applyBorder="1" applyAlignment="1">
      <alignment horizontal="center" vertical="center"/>
    </xf>
    <xf numFmtId="3" fontId="16" fillId="6" borderId="37" xfId="0" applyNumberFormat="1" applyFont="1" applyFill="1" applyBorder="1" applyAlignment="1">
      <alignment horizontal="center" vertical="center"/>
    </xf>
    <xf numFmtId="3" fontId="16" fillId="6" borderId="58" xfId="0" applyNumberFormat="1" applyFont="1" applyFill="1" applyBorder="1" applyAlignment="1">
      <alignment horizontal="center" vertical="center"/>
    </xf>
    <xf numFmtId="166" fontId="16" fillId="6" borderId="58" xfId="0" applyNumberFormat="1" applyFont="1" applyFill="1" applyBorder="1" applyAlignment="1">
      <alignment horizontal="center" vertical="center"/>
    </xf>
    <xf numFmtId="14" fontId="79" fillId="6" borderId="59" xfId="0" applyNumberFormat="1" applyFont="1" applyFill="1" applyBorder="1" applyAlignment="1">
      <alignment horizontal="center" vertical="center" wrapText="1"/>
    </xf>
    <xf numFmtId="1" fontId="79" fillId="6" borderId="60" xfId="0" applyNumberFormat="1" applyFont="1" applyFill="1" applyBorder="1" applyAlignment="1">
      <alignment horizontal="center" vertical="center"/>
    </xf>
    <xf numFmtId="1" fontId="79" fillId="6" borderId="61" xfId="0" applyNumberFormat="1" applyFont="1" applyFill="1" applyBorder="1" applyAlignment="1">
      <alignment horizontal="center" vertical="center"/>
    </xf>
    <xf numFmtId="9" fontId="79" fillId="6" borderId="62" xfId="0" applyNumberFormat="1" applyFont="1" applyFill="1" applyBorder="1" applyAlignment="1">
      <alignment horizontal="center" vertical="center"/>
    </xf>
    <xf numFmtId="9" fontId="79" fillId="6" borderId="64" xfId="0" applyNumberFormat="1" applyFont="1" applyFill="1" applyBorder="1" applyAlignment="1">
      <alignment horizontal="center" vertical="center"/>
    </xf>
    <xf numFmtId="3" fontId="79" fillId="6" borderId="60" xfId="0" applyNumberFormat="1" applyFont="1" applyFill="1" applyBorder="1" applyAlignment="1">
      <alignment horizontal="center" vertical="center"/>
    </xf>
    <xf numFmtId="3" fontId="79" fillId="6" borderId="61" xfId="0" applyNumberFormat="1" applyFont="1" applyFill="1" applyBorder="1" applyAlignment="1">
      <alignment horizontal="center" vertical="center"/>
    </xf>
    <xf numFmtId="164" fontId="16" fillId="6" borderId="60" xfId="0" applyNumberFormat="1" applyFont="1" applyFill="1" applyBorder="1" applyAlignment="1">
      <alignment horizontal="center" vertical="center"/>
    </xf>
    <xf numFmtId="164" fontId="16" fillId="6" borderId="63" xfId="0" applyNumberFormat="1" applyFont="1" applyFill="1" applyBorder="1" applyAlignment="1">
      <alignment horizontal="center" vertical="center"/>
    </xf>
    <xf numFmtId="9" fontId="16" fillId="6" borderId="65" xfId="0" applyNumberFormat="1" applyFont="1" applyFill="1" applyBorder="1" applyAlignment="1">
      <alignment horizontal="center" vertical="center"/>
    </xf>
    <xf numFmtId="0" fontId="21" fillId="0" borderId="0" xfId="0" applyFont="1"/>
    <xf numFmtId="0" fontId="20" fillId="0" borderId="0" xfId="0" applyFont="1" applyAlignment="1">
      <alignment horizontal="left" wrapText="1"/>
    </xf>
    <xf numFmtId="175" fontId="16" fillId="6" borderId="56" xfId="0" applyNumberFormat="1" applyFont="1" applyFill="1" applyBorder="1" applyAlignment="1">
      <alignment horizontal="center" vertical="center"/>
    </xf>
    <xf numFmtId="175" fontId="16" fillId="6" borderId="58" xfId="0" applyNumberFormat="1" applyFont="1" applyFill="1" applyBorder="1" applyAlignment="1">
      <alignment horizontal="center" vertical="center"/>
    </xf>
    <xf numFmtId="169" fontId="16" fillId="6" borderId="58" xfId="0" applyNumberFormat="1" applyFont="1" applyFill="1" applyBorder="1" applyAlignment="1">
      <alignment horizontal="center" vertical="center"/>
    </xf>
    <xf numFmtId="164" fontId="79" fillId="6" borderId="60" xfId="0" applyNumberFormat="1" applyFont="1" applyFill="1" applyBorder="1" applyAlignment="1">
      <alignment horizontal="center" vertical="center"/>
    </xf>
    <xf numFmtId="164" fontId="79" fillId="6" borderId="63" xfId="0" applyNumberFormat="1" applyFont="1" applyFill="1" applyBorder="1" applyAlignment="1">
      <alignment horizontal="center" vertical="center"/>
    </xf>
    <xf numFmtId="165" fontId="79" fillId="6" borderId="61" xfId="0" applyNumberFormat="1" applyFont="1" applyFill="1" applyBorder="1" applyAlignment="1">
      <alignment horizontal="center" vertical="center"/>
    </xf>
    <xf numFmtId="165" fontId="79" fillId="6" borderId="63" xfId="0" applyNumberFormat="1" applyFont="1" applyFill="1" applyBorder="1" applyAlignment="1">
      <alignment horizontal="center" vertical="center"/>
    </xf>
    <xf numFmtId="9" fontId="79" fillId="6" borderId="61" xfId="0" applyNumberFormat="1" applyFont="1" applyFill="1" applyBorder="1" applyAlignment="1">
      <alignment horizontal="center" vertical="center"/>
    </xf>
    <xf numFmtId="0" fontId="60" fillId="0" borderId="0" xfId="0" applyFont="1"/>
    <xf numFmtId="14" fontId="78" fillId="3" borderId="25" xfId="0" applyNumberFormat="1" applyFont="1" applyFill="1" applyBorder="1" applyAlignment="1">
      <alignment horizontal="center" vertical="center" wrapText="1"/>
    </xf>
    <xf numFmtId="14" fontId="16" fillId="6" borderId="33" xfId="0" applyNumberFormat="1" applyFont="1" applyFill="1" applyBorder="1" applyAlignment="1">
      <alignment horizontal="left" vertical="center"/>
    </xf>
    <xf numFmtId="3" fontId="16" fillId="6" borderId="93" xfId="0" applyNumberFormat="1" applyFont="1" applyFill="1" applyBorder="1" applyAlignment="1">
      <alignment horizontal="center" vertical="center"/>
    </xf>
    <xf numFmtId="3" fontId="16" fillId="6" borderId="94" xfId="0" applyNumberFormat="1" applyFont="1" applyFill="1" applyBorder="1" applyAlignment="1">
      <alignment horizontal="center" vertical="center"/>
    </xf>
    <xf numFmtId="3" fontId="16" fillId="6" borderId="95" xfId="0" applyNumberFormat="1" applyFont="1" applyFill="1" applyBorder="1" applyAlignment="1">
      <alignment horizontal="center" vertical="center"/>
    </xf>
    <xf numFmtId="14" fontId="16" fillId="6" borderId="37" xfId="0" applyNumberFormat="1" applyFont="1" applyFill="1" applyBorder="1" applyAlignment="1">
      <alignment horizontal="left" vertical="center"/>
    </xf>
    <xf numFmtId="1" fontId="16" fillId="6" borderId="38" xfId="0" applyNumberFormat="1" applyFont="1" applyFill="1" applyBorder="1" applyAlignment="1">
      <alignment horizontal="center" vertical="center"/>
    </xf>
    <xf numFmtId="1" fontId="16" fillId="6" borderId="96" xfId="0" applyNumberFormat="1" applyFont="1" applyFill="1" applyBorder="1" applyAlignment="1">
      <alignment horizontal="center" vertical="center"/>
    </xf>
    <xf numFmtId="3" fontId="16" fillId="6" borderId="84" xfId="0" applyNumberFormat="1" applyFont="1" applyFill="1" applyBorder="1" applyAlignment="1">
      <alignment horizontal="center" vertical="center"/>
    </xf>
    <xf numFmtId="3" fontId="16" fillId="6" borderId="97" xfId="0" applyNumberFormat="1" applyFont="1" applyFill="1" applyBorder="1" applyAlignment="1">
      <alignment horizontal="center" vertical="center"/>
    </xf>
    <xf numFmtId="1" fontId="79" fillId="6" borderId="24" xfId="0" applyNumberFormat="1" applyFont="1" applyFill="1" applyBorder="1" applyAlignment="1">
      <alignment horizontal="center" vertical="center"/>
    </xf>
    <xf numFmtId="9" fontId="79" fillId="6" borderId="24" xfId="0" applyNumberFormat="1" applyFont="1" applyFill="1" applyBorder="1" applyAlignment="1">
      <alignment horizontal="center" vertical="center"/>
    </xf>
    <xf numFmtId="9" fontId="79" fillId="6" borderId="60" xfId="0" applyNumberFormat="1" applyFont="1" applyFill="1" applyBorder="1" applyAlignment="1">
      <alignment horizontal="center" vertical="center"/>
    </xf>
    <xf numFmtId="9" fontId="79" fillId="6" borderId="65" xfId="0" applyNumberFormat="1" applyFont="1" applyFill="1" applyBorder="1" applyAlignment="1">
      <alignment horizontal="center" vertical="center"/>
    </xf>
    <xf numFmtId="0" fontId="0" fillId="0" borderId="0" xfId="0" applyFont="1" applyAlignment="1"/>
    <xf numFmtId="14" fontId="0" fillId="0" borderId="0" xfId="0" applyNumberFormat="1" applyFont="1" applyAlignment="1"/>
    <xf numFmtId="0" fontId="14" fillId="0" borderId="0" xfId="0" applyFont="1" applyAlignment="1">
      <alignment horizontal="left"/>
    </xf>
    <xf numFmtId="0" fontId="13" fillId="0" borderId="117" xfId="0" applyFont="1" applyBorder="1" applyAlignment="1">
      <alignment horizontal="center" vertical="center" wrapText="1"/>
    </xf>
    <xf numFmtId="180" fontId="72" fillId="21" borderId="117" xfId="0" applyNumberFormat="1" applyFont="1" applyFill="1" applyBorder="1" applyAlignment="1">
      <alignment horizontal="center"/>
    </xf>
    <xf numFmtId="180" fontId="0" fillId="24" borderId="117" xfId="0" applyNumberFormat="1" applyFont="1" applyFill="1" applyBorder="1" applyAlignment="1"/>
    <xf numFmtId="180" fontId="72" fillId="21" borderId="117" xfId="0" applyNumberFormat="1" applyFont="1" applyFill="1" applyBorder="1" applyAlignment="1"/>
    <xf numFmtId="180" fontId="72" fillId="24" borderId="117" xfId="0" applyNumberFormat="1" applyFont="1" applyFill="1" applyBorder="1" applyAlignment="1"/>
    <xf numFmtId="14" fontId="0" fillId="0" borderId="117" xfId="0" applyNumberFormat="1" applyFont="1" applyBorder="1" applyAlignment="1">
      <alignment horizontal="right"/>
    </xf>
    <xf numFmtId="0" fontId="0" fillId="0" borderId="0" xfId="0" applyFont="1" applyAlignment="1"/>
    <xf numFmtId="0" fontId="0" fillId="0" borderId="0" xfId="0"/>
    <xf numFmtId="9" fontId="0" fillId="0" borderId="0" xfId="2" applyNumberFormat="1" applyFont="1" applyAlignment="1">
      <alignment horizontal="center"/>
    </xf>
    <xf numFmtId="14" fontId="78" fillId="13" borderId="82" xfId="0" applyNumberFormat="1" applyFont="1" applyFill="1" applyBorder="1" applyAlignment="1">
      <alignment horizontal="center" vertical="center" wrapText="1"/>
    </xf>
    <xf numFmtId="0" fontId="20" fillId="9" borderId="82" xfId="0" applyFont="1" applyFill="1" applyBorder="1"/>
    <xf numFmtId="1" fontId="78" fillId="13" borderId="82" xfId="0" applyNumberFormat="1" applyFont="1" applyFill="1" applyBorder="1" applyAlignment="1">
      <alignment horizontal="center" vertical="center" wrapText="1"/>
    </xf>
    <xf numFmtId="2" fontId="78" fillId="13" borderId="82" xfId="0" applyNumberFormat="1" applyFont="1" applyFill="1" applyBorder="1" applyAlignment="1">
      <alignment horizontal="center" vertical="center" wrapText="1"/>
    </xf>
    <xf numFmtId="3" fontId="78" fillId="13" borderId="82" xfId="0" applyNumberFormat="1" applyFont="1" applyFill="1" applyBorder="1" applyAlignment="1">
      <alignment horizontal="center" vertical="center" wrapText="1"/>
    </xf>
    <xf numFmtId="0" fontId="16" fillId="22" borderId="82" xfId="0" applyFont="1" applyFill="1" applyBorder="1"/>
    <xf numFmtId="164" fontId="78" fillId="13" borderId="82" xfId="0" applyNumberFormat="1" applyFont="1" applyFill="1" applyBorder="1" applyAlignment="1">
      <alignment horizontal="center" vertical="center" wrapText="1"/>
    </xf>
    <xf numFmtId="0" fontId="12" fillId="0" borderId="82" xfId="0" applyFont="1" applyBorder="1" applyAlignment="1"/>
    <xf numFmtId="164" fontId="16" fillId="0" borderId="82" xfId="0" applyNumberFormat="1" applyFont="1" applyBorder="1"/>
    <xf numFmtId="0" fontId="12" fillId="0" borderId="82" xfId="0" applyFont="1" applyFill="1" applyBorder="1" applyAlignment="1"/>
    <xf numFmtId="0" fontId="16" fillId="0" borderId="82" xfId="0" applyFont="1" applyFill="1" applyBorder="1"/>
    <xf numFmtId="171" fontId="16" fillId="0" borderId="82" xfId="0" applyNumberFormat="1" applyFont="1" applyFill="1" applyBorder="1" applyAlignment="1">
      <alignment horizontal="left" vertical="center"/>
    </xf>
    <xf numFmtId="0" fontId="72" fillId="0" borderId="82" xfId="0" applyFont="1" applyBorder="1" applyAlignment="1"/>
    <xf numFmtId="170" fontId="16" fillId="21" borderId="82" xfId="0" applyNumberFormat="1" applyFont="1" applyFill="1" applyBorder="1"/>
    <xf numFmtId="0" fontId="16" fillId="21" borderId="82" xfId="0" applyFont="1" applyFill="1" applyBorder="1"/>
    <xf numFmtId="164" fontId="16" fillId="21" borderId="82" xfId="0" applyNumberFormat="1" applyFont="1" applyFill="1" applyBorder="1"/>
    <xf numFmtId="14" fontId="16" fillId="0" borderId="82" xfId="0" applyNumberFormat="1" applyFont="1" applyBorder="1"/>
    <xf numFmtId="171" fontId="20" fillId="0" borderId="82" xfId="0" applyNumberFormat="1" applyFont="1" applyBorder="1"/>
    <xf numFmtId="179" fontId="16" fillId="0" borderId="82" xfId="0" applyNumberFormat="1" applyFont="1" applyBorder="1"/>
    <xf numFmtId="9" fontId="16" fillId="0" borderId="82" xfId="0" applyNumberFormat="1" applyFont="1" applyBorder="1"/>
    <xf numFmtId="0" fontId="16" fillId="0" borderId="82" xfId="0" applyFont="1" applyBorder="1" applyAlignment="1">
      <alignment horizontal="right"/>
    </xf>
    <xf numFmtId="168" fontId="20" fillId="0" borderId="82" xfId="0" applyNumberFormat="1" applyFont="1" applyBorder="1" applyAlignment="1">
      <alignment horizontal="center"/>
    </xf>
    <xf numFmtId="171" fontId="20" fillId="0" borderId="82" xfId="0" applyNumberFormat="1" applyFont="1" applyBorder="1" applyAlignment="1">
      <alignment horizontal="center"/>
    </xf>
    <xf numFmtId="164" fontId="12" fillId="0" borderId="82" xfId="0" applyNumberFormat="1" applyFont="1" applyBorder="1" applyAlignment="1"/>
    <xf numFmtId="0" fontId="59" fillId="9" borderId="82" xfId="0" applyFont="1" applyFill="1" applyBorder="1"/>
    <xf numFmtId="0" fontId="83" fillId="0" borderId="82" xfId="0" applyFont="1" applyBorder="1" applyAlignment="1"/>
    <xf numFmtId="0" fontId="12" fillId="0" borderId="121" xfId="0" applyFont="1" applyFill="1" applyBorder="1" applyAlignment="1"/>
    <xf numFmtId="0" fontId="16" fillId="0" borderId="121" xfId="0" applyFont="1" applyFill="1" applyBorder="1"/>
    <xf numFmtId="14" fontId="16" fillId="0" borderId="121" xfId="0" applyNumberFormat="1" applyFont="1" applyFill="1" applyBorder="1" applyAlignment="1">
      <alignment horizontal="left" vertical="center"/>
    </xf>
    <xf numFmtId="3" fontId="16" fillId="0" borderId="121" xfId="0" applyNumberFormat="1" applyFont="1" applyFill="1" applyBorder="1" applyAlignment="1">
      <alignment horizontal="center" vertical="center"/>
    </xf>
    <xf numFmtId="170" fontId="16" fillId="0" borderId="121" xfId="0" applyNumberFormat="1" applyFont="1" applyFill="1" applyBorder="1" applyAlignment="1">
      <alignment horizontal="center" vertical="center"/>
    </xf>
    <xf numFmtId="9" fontId="16" fillId="0" borderId="121" xfId="0" applyNumberFormat="1" applyFont="1" applyFill="1" applyBorder="1" applyAlignment="1">
      <alignment horizontal="center"/>
    </xf>
    <xf numFmtId="14" fontId="16" fillId="0" borderId="121" xfId="0" applyNumberFormat="1" applyFont="1" applyFill="1" applyBorder="1"/>
    <xf numFmtId="1" fontId="16" fillId="0" borderId="121" xfId="0" applyNumberFormat="1" applyFont="1" applyFill="1" applyBorder="1" applyAlignment="1">
      <alignment horizontal="center" vertical="center"/>
    </xf>
    <xf numFmtId="171" fontId="16" fillId="0" borderId="121" xfId="0" applyNumberFormat="1" applyFont="1" applyFill="1" applyBorder="1" applyAlignment="1">
      <alignment horizontal="left" vertical="center"/>
    </xf>
    <xf numFmtId="171" fontId="16" fillId="0" borderId="121" xfId="0" applyNumberFormat="1" applyFont="1" applyFill="1" applyBorder="1"/>
    <xf numFmtId="164" fontId="16" fillId="0" borderId="121" xfId="0" applyNumberFormat="1" applyFont="1" applyFill="1" applyBorder="1" applyAlignment="1">
      <alignment horizontal="center" vertical="center"/>
    </xf>
    <xf numFmtId="9" fontId="16" fillId="0" borderId="121" xfId="0" applyNumberFormat="1" applyFont="1" applyFill="1" applyBorder="1" applyAlignment="1">
      <alignment horizontal="center" vertical="center"/>
    </xf>
    <xf numFmtId="9" fontId="16" fillId="0" borderId="121" xfId="2" applyFont="1" applyFill="1" applyBorder="1"/>
    <xf numFmtId="17" fontId="72" fillId="0" borderId="122" xfId="0" applyNumberFormat="1" applyFont="1" applyFill="1" applyBorder="1" applyAlignment="1"/>
    <xf numFmtId="1" fontId="20" fillId="0" borderId="122" xfId="0" applyNumberFormat="1" applyFont="1" applyFill="1" applyBorder="1" applyAlignment="1">
      <alignment horizontal="center"/>
    </xf>
    <xf numFmtId="0" fontId="20" fillId="0" borderId="122" xfId="0" applyFont="1" applyFill="1" applyBorder="1"/>
    <xf numFmtId="0" fontId="16" fillId="0" borderId="122" xfId="0" applyFont="1" applyFill="1" applyBorder="1"/>
    <xf numFmtId="3" fontId="20" fillId="0" borderId="122" xfId="0" applyNumberFormat="1" applyFont="1" applyFill="1" applyBorder="1" applyAlignment="1">
      <alignment horizontal="center"/>
    </xf>
    <xf numFmtId="170" fontId="20" fillId="0" borderId="122" xfId="0" applyNumberFormat="1" applyFont="1" applyFill="1" applyBorder="1"/>
    <xf numFmtId="164" fontId="20" fillId="0" borderId="122" xfId="0" applyNumberFormat="1" applyFont="1" applyFill="1" applyBorder="1" applyAlignment="1">
      <alignment horizontal="center"/>
    </xf>
    <xf numFmtId="14" fontId="20" fillId="0" borderId="122" xfId="0" applyNumberFormat="1" applyFont="1" applyFill="1" applyBorder="1"/>
    <xf numFmtId="166" fontId="20" fillId="0" borderId="122" xfId="0" applyNumberFormat="1" applyFont="1" applyFill="1" applyBorder="1"/>
    <xf numFmtId="14" fontId="16" fillId="0" borderId="122" xfId="0" applyNumberFormat="1" applyFont="1" applyFill="1" applyBorder="1" applyAlignment="1">
      <alignment horizontal="left" vertical="center"/>
    </xf>
    <xf numFmtId="3" fontId="20" fillId="0" borderId="122" xfId="0" applyNumberFormat="1" applyFont="1" applyFill="1" applyBorder="1" applyAlignment="1">
      <alignment horizontal="center" vertical="center"/>
    </xf>
    <xf numFmtId="171" fontId="16" fillId="0" borderId="122" xfId="0" applyNumberFormat="1" applyFont="1" applyFill="1" applyBorder="1" applyAlignment="1">
      <alignment horizontal="left" vertical="center"/>
    </xf>
    <xf numFmtId="171" fontId="20" fillId="0" borderId="122" xfId="0" applyNumberFormat="1" applyFont="1" applyFill="1" applyBorder="1" applyAlignment="1">
      <alignment horizontal="left" vertical="center"/>
    </xf>
    <xf numFmtId="1" fontId="16" fillId="0" borderId="122" xfId="0" applyNumberFormat="1" applyFont="1" applyFill="1" applyBorder="1" applyAlignment="1">
      <alignment horizontal="center" vertical="center"/>
    </xf>
    <xf numFmtId="164" fontId="20" fillId="0" borderId="122" xfId="0" applyNumberFormat="1" applyFont="1" applyFill="1" applyBorder="1"/>
    <xf numFmtId="164" fontId="20" fillId="21" borderId="82" xfId="0" applyNumberFormat="1" applyFont="1" applyFill="1" applyBorder="1"/>
    <xf numFmtId="170" fontId="20" fillId="21" borderId="82" xfId="0" applyNumberFormat="1" applyFont="1" applyFill="1" applyBorder="1" applyAlignment="1">
      <alignment horizontal="center"/>
    </xf>
    <xf numFmtId="164" fontId="20" fillId="0" borderId="122" xfId="0" applyNumberFormat="1" applyFont="1" applyFill="1" applyBorder="1" applyAlignment="1">
      <alignment horizontal="right"/>
    </xf>
    <xf numFmtId="164" fontId="16" fillId="0" borderId="121" xfId="0" applyNumberFormat="1" applyFont="1" applyFill="1" applyBorder="1" applyAlignment="1">
      <alignment horizontal="right"/>
    </xf>
    <xf numFmtId="0" fontId="12" fillId="0" borderId="82" xfId="0" applyFont="1" applyBorder="1" applyAlignment="1">
      <alignment horizontal="right"/>
    </xf>
    <xf numFmtId="164" fontId="79" fillId="6" borderId="61" xfId="0" applyNumberFormat="1" applyFont="1" applyFill="1" applyBorder="1" applyAlignment="1">
      <alignment horizontal="center" vertical="center"/>
    </xf>
    <xf numFmtId="164" fontId="76" fillId="2" borderId="12" xfId="0" applyNumberFormat="1" applyFont="1" applyFill="1" applyBorder="1" applyAlignment="1">
      <alignment vertical="center"/>
    </xf>
    <xf numFmtId="3" fontId="20" fillId="2" borderId="12" xfId="0" applyNumberFormat="1" applyFont="1" applyFill="1" applyBorder="1" applyAlignment="1"/>
    <xf numFmtId="0" fontId="84" fillId="2" borderId="12" xfId="0" applyFont="1" applyFill="1" applyBorder="1" applyAlignment="1">
      <alignment horizontal="right" indent="1"/>
    </xf>
    <xf numFmtId="169" fontId="84" fillId="2" borderId="12" xfId="0" applyNumberFormat="1" applyFont="1" applyFill="1" applyBorder="1" applyAlignment="1">
      <alignment horizontal="right" vertical="center"/>
    </xf>
    <xf numFmtId="180" fontId="85" fillId="2" borderId="1" xfId="1" applyNumberFormat="1" applyFont="1" applyFill="1" applyBorder="1" applyAlignment="1">
      <alignment horizontal="right"/>
    </xf>
    <xf numFmtId="164" fontId="86" fillId="2" borderId="1" xfId="0" applyNumberFormat="1" applyFont="1" applyFill="1" applyBorder="1"/>
    <xf numFmtId="0" fontId="87" fillId="2" borderId="1" xfId="0" applyFont="1" applyFill="1" applyBorder="1" applyAlignment="1">
      <alignment horizontal="center"/>
    </xf>
    <xf numFmtId="3" fontId="24" fillId="2" borderId="2" xfId="0" applyNumberFormat="1" applyFont="1" applyFill="1" applyBorder="1" applyAlignment="1">
      <alignment horizontal="center"/>
    </xf>
    <xf numFmtId="0" fontId="29" fillId="3" borderId="1" xfId="0" applyFont="1" applyFill="1" applyBorder="1"/>
    <xf numFmtId="164" fontId="16" fillId="27" borderId="55" xfId="0" applyNumberFormat="1" applyFont="1" applyFill="1" applyBorder="1" applyAlignment="1">
      <alignment horizontal="center" vertical="center"/>
    </xf>
    <xf numFmtId="164" fontId="16" fillId="27" borderId="37" xfId="0" applyNumberFormat="1" applyFont="1" applyFill="1" applyBorder="1" applyAlignment="1">
      <alignment horizontal="center" vertical="center"/>
    </xf>
    <xf numFmtId="164" fontId="37" fillId="26" borderId="66" xfId="0" applyNumberFormat="1" applyFont="1" applyFill="1" applyBorder="1" applyAlignment="1">
      <alignment vertical="center"/>
    </xf>
    <xf numFmtId="3" fontId="37" fillId="28" borderId="66" xfId="0" applyNumberFormat="1" applyFont="1" applyFill="1" applyBorder="1" applyAlignment="1">
      <alignment horizontal="center" vertical="center"/>
    </xf>
    <xf numFmtId="164" fontId="37" fillId="28" borderId="66" xfId="0" applyNumberFormat="1" applyFont="1" applyFill="1" applyBorder="1" applyAlignment="1">
      <alignment horizontal="center" vertical="center"/>
    </xf>
    <xf numFmtId="181" fontId="76" fillId="19" borderId="12" xfId="0" applyNumberFormat="1" applyFont="1" applyFill="1" applyBorder="1" applyAlignment="1">
      <alignment vertical="center"/>
    </xf>
    <xf numFmtId="171" fontId="16" fillId="0" borderId="121" xfId="0" applyNumberFormat="1" applyFont="1" applyFill="1" applyBorder="1" applyAlignment="1">
      <alignment horizontal="center" vertical="center"/>
    </xf>
    <xf numFmtId="0" fontId="12" fillId="0" borderId="82" xfId="0" applyFont="1" applyBorder="1" applyAlignment="1">
      <alignment horizontal="center"/>
    </xf>
    <xf numFmtId="1" fontId="0" fillId="0" borderId="0" xfId="0" applyNumberFormat="1" applyFont="1" applyAlignment="1"/>
    <xf numFmtId="0" fontId="0" fillId="0" borderId="0" xfId="0" applyFont="1" applyAlignment="1"/>
    <xf numFmtId="2" fontId="35" fillId="13" borderId="116" xfId="0" applyNumberFormat="1" applyFont="1" applyFill="1" applyBorder="1" applyAlignment="1">
      <alignment horizontal="center" vertical="center" wrapText="1"/>
    </xf>
    <xf numFmtId="1" fontId="35" fillId="13" borderId="116" xfId="0" applyNumberFormat="1" applyFont="1" applyFill="1" applyBorder="1" applyAlignment="1">
      <alignment horizontal="right" vertical="center" wrapText="1"/>
    </xf>
    <xf numFmtId="2" fontId="35" fillId="13" borderId="116" xfId="0" applyNumberFormat="1" applyFont="1" applyFill="1" applyBorder="1" applyAlignment="1">
      <alignment horizontal="right" vertical="center" wrapText="1"/>
    </xf>
    <xf numFmtId="0" fontId="89" fillId="0" borderId="117" xfId="0" applyFont="1" applyBorder="1" applyAlignment="1">
      <alignment horizontal="center"/>
    </xf>
    <xf numFmtId="0" fontId="0" fillId="0" borderId="0" xfId="0" applyFont="1" applyAlignment="1"/>
    <xf numFmtId="0" fontId="20" fillId="4" borderId="16" xfId="0" applyFont="1" applyFill="1" applyBorder="1" applyAlignment="1">
      <alignment horizontal="center" vertical="center" wrapText="1"/>
    </xf>
    <xf numFmtId="14" fontId="20" fillId="4" borderId="16" xfId="0" applyNumberFormat="1" applyFont="1" applyFill="1" applyBorder="1" applyAlignment="1">
      <alignment horizontal="center" vertical="center" wrapText="1"/>
    </xf>
    <xf numFmtId="14" fontId="70" fillId="4" borderId="16" xfId="0" applyNumberFormat="1" applyFont="1" applyFill="1" applyBorder="1" applyAlignment="1">
      <alignment horizontal="center" vertical="center" wrapText="1"/>
    </xf>
    <xf numFmtId="0" fontId="0" fillId="0" borderId="0" xfId="0" pivotButton="1" applyFont="1" applyAlignment="1"/>
    <xf numFmtId="0" fontId="0" fillId="0" borderId="0" xfId="0" pivotButton="1" applyFont="1" applyAlignment="1">
      <alignment wrapText="1"/>
    </xf>
    <xf numFmtId="0" fontId="0" fillId="0" borderId="0" xfId="0" applyFont="1" applyAlignment="1">
      <alignment wrapText="1"/>
    </xf>
    <xf numFmtId="180" fontId="0" fillId="0" borderId="0" xfId="1" applyNumberFormat="1" applyFont="1" applyAlignment="1">
      <alignment horizontal="center"/>
    </xf>
    <xf numFmtId="3" fontId="0" fillId="0" borderId="0" xfId="0" applyNumberFormat="1" applyFont="1" applyAlignment="1">
      <alignment horizontal="center"/>
    </xf>
    <xf numFmtId="3" fontId="0" fillId="0" borderId="0" xfId="0" applyNumberFormat="1" applyFont="1" applyAlignment="1">
      <alignment horizontal="center" wrapText="1"/>
    </xf>
    <xf numFmtId="9" fontId="0" fillId="0" borderId="0" xfId="2" applyFont="1" applyAlignment="1">
      <alignment horizontal="center" vertical="center"/>
    </xf>
    <xf numFmtId="0" fontId="0" fillId="0" borderId="0" xfId="0" applyFont="1" applyAlignment="1"/>
    <xf numFmtId="0" fontId="0" fillId="0" borderId="0" xfId="0" applyFont="1" applyAlignment="1"/>
    <xf numFmtId="164" fontId="20" fillId="2" borderId="1" xfId="0" applyNumberFormat="1" applyFont="1" applyFill="1" applyBorder="1" applyAlignment="1">
      <alignment horizontal="right"/>
    </xf>
    <xf numFmtId="166" fontId="34" fillId="0" borderId="0" xfId="0" applyNumberFormat="1" applyFont="1"/>
    <xf numFmtId="182" fontId="0" fillId="0" borderId="0" xfId="1" applyNumberFormat="1" applyFont="1" applyAlignment="1">
      <alignment horizontal="center"/>
    </xf>
    <xf numFmtId="182" fontId="0" fillId="0" borderId="0" xfId="0" applyNumberFormat="1" applyFont="1" applyAlignment="1"/>
    <xf numFmtId="2" fontId="16" fillId="0" borderId="14" xfId="0" applyNumberFormat="1" applyFont="1" applyBorder="1" applyAlignment="1">
      <alignment horizontal="right"/>
    </xf>
    <xf numFmtId="44" fontId="16" fillId="0" borderId="0" xfId="1" applyFont="1"/>
    <xf numFmtId="44" fontId="16" fillId="0" borderId="0" xfId="1" applyFont="1" applyAlignment="1">
      <alignment horizontal="right"/>
    </xf>
    <xf numFmtId="0" fontId="0" fillId="0" borderId="0" xfId="0" applyFont="1" applyAlignment="1"/>
    <xf numFmtId="180" fontId="16" fillId="0" borderId="82" xfId="1" applyNumberFormat="1" applyFont="1" applyBorder="1" applyAlignment="1">
      <alignment horizontal="center" wrapText="1"/>
    </xf>
    <xf numFmtId="175" fontId="84" fillId="2" borderId="12" xfId="0" applyNumberFormat="1" applyFont="1" applyFill="1" applyBorder="1" applyAlignment="1">
      <alignment horizontal="right" vertical="center"/>
    </xf>
    <xf numFmtId="0" fontId="0" fillId="0" borderId="0" xfId="0" applyFont="1" applyAlignment="1"/>
    <xf numFmtId="4" fontId="16" fillId="2" borderId="1" xfId="0" applyNumberFormat="1" applyFont="1" applyFill="1" applyBorder="1" applyAlignment="1">
      <alignment horizontal="right"/>
    </xf>
    <xf numFmtId="0" fontId="16" fillId="0" borderId="75" xfId="0" applyFont="1" applyBorder="1" applyAlignment="1">
      <alignment horizontal="right"/>
    </xf>
    <xf numFmtId="9" fontId="16" fillId="0" borderId="0" xfId="2" applyFont="1"/>
    <xf numFmtId="165" fontId="16" fillId="2" borderId="1" xfId="0" applyNumberFormat="1" applyFont="1" applyFill="1" applyBorder="1" applyAlignment="1">
      <alignment horizontal="right"/>
    </xf>
    <xf numFmtId="0" fontId="0" fillId="0" borderId="0" xfId="0" applyFont="1" applyAlignment="1"/>
    <xf numFmtId="0" fontId="16" fillId="0" borderId="0" xfId="0" applyFont="1" applyAlignment="1">
      <alignment horizontal="left"/>
    </xf>
    <xf numFmtId="2" fontId="35" fillId="13" borderId="116" xfId="0" applyNumberFormat="1" applyFont="1" applyFill="1" applyBorder="1" applyAlignment="1">
      <alignment horizontal="left" vertical="center" wrapText="1"/>
    </xf>
    <xf numFmtId="0" fontId="16" fillId="2" borderId="90" xfId="0" applyFont="1" applyFill="1" applyBorder="1" applyAlignment="1">
      <alignment horizontal="left"/>
    </xf>
    <xf numFmtId="0" fontId="16" fillId="0" borderId="90" xfId="0" applyFont="1" applyBorder="1" applyAlignment="1">
      <alignment horizontal="left"/>
    </xf>
    <xf numFmtId="0" fontId="16" fillId="0" borderId="14" xfId="0" applyFont="1" applyBorder="1" applyAlignment="1">
      <alignment horizontal="left"/>
    </xf>
    <xf numFmtId="0" fontId="16" fillId="2" borderId="11" xfId="0" applyFont="1" applyFill="1" applyBorder="1" applyAlignment="1">
      <alignment horizontal="left"/>
    </xf>
    <xf numFmtId="0" fontId="20" fillId="2" borderId="60" xfId="0" applyFont="1" applyFill="1" applyBorder="1" applyAlignment="1">
      <alignment horizontal="left"/>
    </xf>
    <xf numFmtId="0" fontId="28" fillId="10" borderId="107" xfId="0" applyFont="1" applyFill="1" applyBorder="1" applyAlignment="1">
      <alignment horizontal="left"/>
    </xf>
    <xf numFmtId="0" fontId="0" fillId="0" borderId="0" xfId="0" applyFont="1" applyAlignment="1">
      <alignment horizontal="left"/>
    </xf>
    <xf numFmtId="14" fontId="58" fillId="6" borderId="14" xfId="0" applyNumberFormat="1" applyFont="1" applyFill="1" applyBorder="1" applyAlignment="1">
      <alignment horizontal="left" vertical="center"/>
    </xf>
    <xf numFmtId="0" fontId="0" fillId="0" borderId="0" xfId="0" applyFont="1" applyAlignment="1"/>
    <xf numFmtId="164" fontId="20" fillId="2" borderId="2" xfId="0" applyNumberFormat="1" applyFont="1" applyFill="1" applyBorder="1" applyAlignment="1">
      <alignment horizontal="center"/>
    </xf>
    <xf numFmtId="3" fontId="0" fillId="0" borderId="0" xfId="0" applyNumberFormat="1" applyFont="1" applyAlignment="1">
      <alignment horizontal="center" vertical="center" wrapText="1"/>
    </xf>
    <xf numFmtId="9" fontId="0" fillId="0" borderId="0" xfId="0" applyNumberFormat="1" applyFont="1" applyAlignment="1">
      <alignment horizontal="center"/>
    </xf>
    <xf numFmtId="0" fontId="25" fillId="2" borderId="82" xfId="0" applyFont="1" applyFill="1" applyBorder="1" applyAlignment="1">
      <alignment horizontal="right"/>
    </xf>
    <xf numFmtId="0" fontId="0" fillId="0" borderId="0" xfId="0" applyFont="1" applyAlignment="1"/>
    <xf numFmtId="14" fontId="90" fillId="0" borderId="0" xfId="0" applyNumberFormat="1" applyFont="1"/>
    <xf numFmtId="0" fontId="8" fillId="0" borderId="0" xfId="0" applyFont="1" applyAlignment="1"/>
    <xf numFmtId="0" fontId="29" fillId="0" borderId="0" xfId="0" applyFont="1" applyAlignment="1">
      <alignment horizontal="right"/>
    </xf>
    <xf numFmtId="0" fontId="16" fillId="2" borderId="90" xfId="0" applyFont="1" applyFill="1" applyBorder="1"/>
    <xf numFmtId="0" fontId="0" fillId="0" borderId="0" xfId="0" applyFont="1" applyAlignment="1"/>
    <xf numFmtId="9" fontId="0" fillId="0" borderId="0" xfId="0" applyNumberFormat="1" applyFont="1" applyAlignment="1"/>
    <xf numFmtId="180" fontId="0" fillId="0" borderId="0" xfId="1" applyNumberFormat="1" applyFont="1" applyAlignment="1">
      <alignment wrapText="1"/>
    </xf>
    <xf numFmtId="0" fontId="0" fillId="0" borderId="0" xfId="0" applyFont="1" applyAlignment="1"/>
    <xf numFmtId="3" fontId="16" fillId="2" borderId="1" xfId="0" applyNumberFormat="1" applyFont="1" applyFill="1" applyBorder="1"/>
    <xf numFmtId="9" fontId="16" fillId="2" borderId="1" xfId="2" applyFont="1" applyFill="1" applyBorder="1" applyAlignment="1">
      <alignment horizontal="center"/>
    </xf>
    <xf numFmtId="0" fontId="0" fillId="0" borderId="0" xfId="0" applyFont="1" applyAlignment="1">
      <alignment horizontal="center" vertical="center" wrapText="1"/>
    </xf>
    <xf numFmtId="0" fontId="0" fillId="0" borderId="0" xfId="0" applyFont="1" applyAlignment="1"/>
    <xf numFmtId="2" fontId="35" fillId="13" borderId="104" xfId="0" applyNumberFormat="1" applyFont="1" applyFill="1" applyBorder="1" applyAlignment="1">
      <alignment horizontal="left" vertical="center" wrapText="1"/>
    </xf>
    <xf numFmtId="0" fontId="16" fillId="0" borderId="75" xfId="0" applyFont="1" applyBorder="1" applyAlignment="1">
      <alignment horizontal="left"/>
    </xf>
    <xf numFmtId="0" fontId="16" fillId="0" borderId="0" xfId="0" applyFont="1" applyAlignment="1">
      <alignment horizontal="left" vertical="center"/>
    </xf>
    <xf numFmtId="0" fontId="16" fillId="0" borderId="72" xfId="0" applyFont="1" applyBorder="1" applyAlignment="1">
      <alignment horizontal="left"/>
    </xf>
    <xf numFmtId="0" fontId="16" fillId="0" borderId="75" xfId="0" applyFont="1" applyBorder="1" applyAlignment="1">
      <alignment horizontal="left" vertical="center"/>
    </xf>
    <xf numFmtId="0" fontId="16" fillId="2" borderId="14" xfId="0" applyFont="1" applyFill="1" applyBorder="1" applyAlignment="1">
      <alignment horizontal="left" vertical="center"/>
    </xf>
    <xf numFmtId="0" fontId="16" fillId="0" borderId="80" xfId="0" applyFont="1" applyBorder="1" applyAlignment="1">
      <alignment horizontal="left"/>
    </xf>
    <xf numFmtId="0" fontId="0" fillId="0" borderId="0" xfId="0" applyFont="1" applyAlignment="1">
      <alignment horizontal="left" vertical="center"/>
    </xf>
    <xf numFmtId="0" fontId="0" fillId="0" borderId="0" xfId="0" applyFont="1" applyAlignment="1"/>
    <xf numFmtId="0" fontId="91" fillId="2" borderId="82" xfId="0" applyFont="1" applyFill="1" applyBorder="1" applyAlignment="1">
      <alignment horizontal="left"/>
    </xf>
    <xf numFmtId="0" fontId="16" fillId="0" borderId="14" xfId="0" applyFont="1" applyFill="1" applyBorder="1" applyAlignment="1">
      <alignment horizontal="left"/>
    </xf>
    <xf numFmtId="9" fontId="16" fillId="2" borderId="82" xfId="2" applyFont="1" applyFill="1" applyBorder="1"/>
    <xf numFmtId="0" fontId="34" fillId="0" borderId="0" xfId="0" applyFont="1"/>
    <xf numFmtId="0" fontId="0" fillId="0" borderId="0" xfId="0" applyFont="1" applyAlignment="1"/>
    <xf numFmtId="2" fontId="16" fillId="2" borderId="14" xfId="0" applyNumberFormat="1" applyFont="1" applyFill="1" applyBorder="1" applyAlignment="1">
      <alignment horizontal="right"/>
    </xf>
    <xf numFmtId="0" fontId="0" fillId="0" borderId="0" xfId="0" applyFont="1" applyAlignment="1"/>
    <xf numFmtId="0" fontId="0" fillId="0" borderId="0" xfId="0" applyFont="1" applyAlignment="1"/>
    <xf numFmtId="2" fontId="35" fillId="13" borderId="82" xfId="0" applyNumberFormat="1" applyFont="1" applyFill="1" applyBorder="1" applyAlignment="1">
      <alignment horizontal="center" vertical="center" wrapText="1"/>
    </xf>
    <xf numFmtId="16" fontId="16" fillId="0" borderId="0" xfId="0" applyNumberFormat="1" applyFont="1"/>
    <xf numFmtId="17" fontId="0" fillId="0" borderId="0" xfId="0" applyNumberFormat="1" applyFont="1" applyAlignment="1"/>
    <xf numFmtId="0" fontId="0" fillId="0" borderId="0" xfId="0" pivotButton="1" applyFont="1" applyAlignment="1">
      <alignment horizontal="center"/>
    </xf>
    <xf numFmtId="180" fontId="16" fillId="0" borderId="0" xfId="1" applyNumberFormat="1" applyFont="1"/>
    <xf numFmtId="180" fontId="58" fillId="0" borderId="103" xfId="1" applyNumberFormat="1" applyFont="1" applyBorder="1"/>
    <xf numFmtId="180" fontId="61" fillId="13" borderId="116" xfId="1" applyNumberFormat="1" applyFont="1" applyFill="1" applyBorder="1" applyAlignment="1">
      <alignment horizontal="center" vertical="center" wrapText="1"/>
    </xf>
    <xf numFmtId="180" fontId="35" fillId="13" borderId="116" xfId="1" applyNumberFormat="1" applyFont="1" applyFill="1" applyBorder="1" applyAlignment="1">
      <alignment horizontal="center" vertical="center" wrapText="1"/>
    </xf>
    <xf numFmtId="180" fontId="16" fillId="0" borderId="14" xfId="1" applyNumberFormat="1" applyFont="1" applyBorder="1" applyAlignment="1">
      <alignment horizontal="center"/>
    </xf>
    <xf numFmtId="180" fontId="20" fillId="2" borderId="14" xfId="1" applyNumberFormat="1" applyFont="1" applyFill="1" applyBorder="1"/>
    <xf numFmtId="180" fontId="16" fillId="0" borderId="14" xfId="1" applyNumberFormat="1" applyFont="1" applyBorder="1"/>
    <xf numFmtId="180" fontId="16" fillId="0" borderId="89" xfId="1" applyNumberFormat="1" applyFont="1" applyBorder="1"/>
    <xf numFmtId="180" fontId="16" fillId="0" borderId="106" xfId="1" applyNumberFormat="1" applyFont="1" applyBorder="1"/>
    <xf numFmtId="180" fontId="20" fillId="2" borderId="62" xfId="1" applyNumberFormat="1" applyFont="1" applyFill="1" applyBorder="1"/>
    <xf numFmtId="180" fontId="28" fillId="10" borderId="108" xfId="1" applyNumberFormat="1" applyFont="1" applyFill="1" applyBorder="1"/>
    <xf numFmtId="180" fontId="28" fillId="10" borderId="109" xfId="1" applyNumberFormat="1" applyFont="1" applyFill="1" applyBorder="1"/>
    <xf numFmtId="180" fontId="16" fillId="0" borderId="0" xfId="1" applyNumberFormat="1" applyFont="1" applyAlignment="1">
      <alignment horizontal="center"/>
    </xf>
    <xf numFmtId="180" fontId="16" fillId="2" borderId="14" xfId="1" applyNumberFormat="1" applyFont="1" applyFill="1" applyBorder="1"/>
    <xf numFmtId="180" fontId="16" fillId="0" borderId="0" xfId="0" applyNumberFormat="1" applyFont="1"/>
    <xf numFmtId="0" fontId="0" fillId="0" borderId="0" xfId="0" applyFont="1" applyAlignment="1"/>
    <xf numFmtId="0" fontId="0" fillId="0" borderId="0" xfId="0" applyFont="1" applyAlignment="1"/>
    <xf numFmtId="0" fontId="16" fillId="2" borderId="82" xfId="0" applyFont="1" applyFill="1" applyBorder="1" applyAlignment="1">
      <alignment horizontal="center"/>
    </xf>
    <xf numFmtId="3" fontId="16" fillId="2" borderId="82" xfId="0" applyNumberFormat="1" applyFont="1" applyFill="1" applyBorder="1" applyAlignment="1">
      <alignment horizontal="right"/>
    </xf>
    <xf numFmtId="0" fontId="16" fillId="2" borderId="82" xfId="0" applyFont="1" applyFill="1" applyBorder="1" applyAlignment="1">
      <alignment horizontal="right"/>
    </xf>
    <xf numFmtId="164" fontId="16" fillId="2" borderId="82" xfId="0" applyNumberFormat="1" applyFont="1" applyFill="1" applyBorder="1" applyAlignment="1">
      <alignment horizontal="right"/>
    </xf>
    <xf numFmtId="180" fontId="85" fillId="2" borderId="82" xfId="1" applyNumberFormat="1" applyFont="1" applyFill="1" applyBorder="1" applyAlignment="1">
      <alignment horizontal="right"/>
    </xf>
    <xf numFmtId="9" fontId="16" fillId="2" borderId="82" xfId="0" applyNumberFormat="1" applyFont="1" applyFill="1" applyBorder="1" applyAlignment="1">
      <alignment horizontal="right"/>
    </xf>
    <xf numFmtId="9" fontId="16" fillId="2" borderId="82" xfId="0" applyNumberFormat="1" applyFont="1" applyFill="1" applyBorder="1" applyAlignment="1">
      <alignment horizontal="center"/>
    </xf>
    <xf numFmtId="164" fontId="24" fillId="2" borderId="82" xfId="0" applyNumberFormat="1" applyFont="1" applyFill="1" applyBorder="1" applyAlignment="1">
      <alignment horizontal="center"/>
    </xf>
    <xf numFmtId="17" fontId="20" fillId="2" borderId="82" xfId="0" applyNumberFormat="1" applyFont="1" applyFill="1" applyBorder="1" applyAlignment="1">
      <alignment horizontal="center"/>
    </xf>
    <xf numFmtId="184" fontId="16" fillId="2" borderId="1" xfId="0" applyNumberFormat="1" applyFont="1" applyFill="1" applyBorder="1"/>
    <xf numFmtId="164" fontId="24" fillId="2" borderId="10" xfId="0" applyNumberFormat="1" applyFont="1" applyFill="1" applyBorder="1" applyAlignment="1">
      <alignment horizontal="right"/>
    </xf>
    <xf numFmtId="164" fontId="16" fillId="2" borderId="1" xfId="0" applyNumberFormat="1" applyFont="1" applyFill="1" applyBorder="1" applyAlignment="1">
      <alignment horizontal="right" vertical="center"/>
    </xf>
    <xf numFmtId="164" fontId="87" fillId="2" borderId="1" xfId="0" applyNumberFormat="1" applyFont="1" applyFill="1" applyBorder="1" applyAlignment="1">
      <alignment horizontal="right" vertical="center"/>
    </xf>
    <xf numFmtId="9" fontId="16" fillId="2" borderId="2" xfId="0" applyNumberFormat="1" applyFont="1" applyFill="1" applyBorder="1" applyAlignment="1">
      <alignment horizontal="right" vertical="center"/>
    </xf>
    <xf numFmtId="3" fontId="20" fillId="2" borderId="2" xfId="0" applyNumberFormat="1" applyFont="1" applyFill="1" applyBorder="1" applyAlignment="1">
      <alignment horizontal="right"/>
    </xf>
    <xf numFmtId="164" fontId="24" fillId="2" borderId="1" xfId="0" applyNumberFormat="1" applyFont="1" applyFill="1" applyBorder="1" applyAlignment="1">
      <alignment horizontal="right"/>
    </xf>
    <xf numFmtId="164" fontId="24" fillId="2" borderId="82" xfId="0" applyNumberFormat="1" applyFont="1" applyFill="1" applyBorder="1" applyAlignment="1">
      <alignment horizontal="right"/>
    </xf>
    <xf numFmtId="165" fontId="24" fillId="2" borderId="2" xfId="0" applyNumberFormat="1" applyFont="1" applyFill="1" applyBorder="1" applyAlignment="1">
      <alignment horizontal="right"/>
    </xf>
    <xf numFmtId="164" fontId="25" fillId="26" borderId="1" xfId="0" applyNumberFormat="1" applyFont="1" applyFill="1" applyBorder="1" applyAlignment="1"/>
    <xf numFmtId="164" fontId="25" fillId="26" borderId="82" xfId="0" applyNumberFormat="1" applyFont="1" applyFill="1" applyBorder="1" applyAlignment="1"/>
    <xf numFmtId="164" fontId="26" fillId="2" borderId="1" xfId="0" applyNumberFormat="1" applyFont="1" applyFill="1" applyBorder="1" applyAlignment="1"/>
    <xf numFmtId="9" fontId="25" fillId="2" borderId="1" xfId="0" applyNumberFormat="1" applyFont="1" applyFill="1" applyBorder="1" applyAlignment="1"/>
    <xf numFmtId="0" fontId="16" fillId="2" borderId="1" xfId="0" applyFont="1" applyFill="1" applyBorder="1" applyAlignment="1"/>
    <xf numFmtId="168" fontId="25" fillId="2" borderId="1" xfId="0" applyNumberFormat="1" applyFont="1" applyFill="1" applyBorder="1" applyAlignment="1"/>
    <xf numFmtId="164" fontId="25" fillId="2" borderId="1" xfId="0" applyNumberFormat="1" applyFont="1" applyFill="1" applyBorder="1" applyAlignment="1"/>
    <xf numFmtId="0" fontId="0" fillId="0" borderId="0" xfId="0" applyFont="1" applyAlignment="1"/>
    <xf numFmtId="180" fontId="0" fillId="0" borderId="0" xfId="1" applyNumberFormat="1" applyFont="1" applyAlignment="1"/>
    <xf numFmtId="185" fontId="92" fillId="32" borderId="128" xfId="0" applyNumberFormat="1" applyFont="1" applyFill="1" applyBorder="1" applyAlignment="1">
      <alignment horizontal="center" vertical="center" wrapText="1"/>
    </xf>
    <xf numFmtId="186" fontId="92" fillId="32" borderId="128" xfId="0" applyNumberFormat="1" applyFont="1" applyFill="1" applyBorder="1" applyAlignment="1">
      <alignment horizontal="center" vertical="center" wrapText="1"/>
    </xf>
    <xf numFmtId="0" fontId="93" fillId="33" borderId="0" xfId="0" applyFont="1" applyFill="1" applyAlignment="1">
      <alignment horizontal="center"/>
    </xf>
    <xf numFmtId="0" fontId="94" fillId="0" borderId="0" xfId="0" applyFont="1"/>
    <xf numFmtId="185" fontId="93" fillId="33" borderId="129" xfId="0" applyNumberFormat="1" applyFont="1" applyFill="1" applyBorder="1" applyAlignment="1">
      <alignment horizontal="center"/>
    </xf>
    <xf numFmtId="186" fontId="93" fillId="33" borderId="130" xfId="0" applyNumberFormat="1" applyFont="1" applyFill="1" applyBorder="1" applyAlignment="1">
      <alignment horizontal="center"/>
    </xf>
    <xf numFmtId="186" fontId="93" fillId="33" borderId="0" xfId="0" applyNumberFormat="1" applyFont="1" applyFill="1"/>
    <xf numFmtId="0" fontId="93" fillId="33" borderId="0" xfId="0" applyFont="1" applyFill="1"/>
    <xf numFmtId="185" fontId="93" fillId="33" borderId="131" xfId="0" applyNumberFormat="1" applyFont="1" applyFill="1" applyBorder="1" applyAlignment="1">
      <alignment horizontal="center"/>
    </xf>
    <xf numFmtId="186" fontId="93" fillId="33" borderId="132" xfId="0" applyNumberFormat="1" applyFont="1" applyFill="1" applyBorder="1" applyAlignment="1">
      <alignment horizontal="center"/>
    </xf>
    <xf numFmtId="187" fontId="93" fillId="33" borderId="0" xfId="0" applyNumberFormat="1" applyFont="1" applyFill="1" applyAlignment="1">
      <alignment horizontal="center"/>
    </xf>
    <xf numFmtId="185" fontId="93" fillId="33" borderId="133" xfId="0" applyNumberFormat="1" applyFont="1" applyFill="1" applyBorder="1" applyAlignment="1">
      <alignment horizontal="center"/>
    </xf>
    <xf numFmtId="186" fontId="93" fillId="33" borderId="134" xfId="0" applyNumberFormat="1" applyFont="1" applyFill="1" applyBorder="1" applyAlignment="1">
      <alignment horizontal="center"/>
    </xf>
    <xf numFmtId="186" fontId="93" fillId="34" borderId="132" xfId="0" applyNumberFormat="1" applyFont="1" applyFill="1" applyBorder="1" applyAlignment="1">
      <alignment horizontal="center"/>
    </xf>
    <xf numFmtId="185" fontId="93" fillId="33" borderId="135" xfId="0" applyNumberFormat="1" applyFont="1" applyFill="1" applyBorder="1" applyAlignment="1">
      <alignment horizontal="center"/>
    </xf>
    <xf numFmtId="186" fontId="93" fillId="33" borderId="136" xfId="0" applyNumberFormat="1" applyFont="1" applyFill="1" applyBorder="1" applyAlignment="1">
      <alignment horizontal="center"/>
    </xf>
    <xf numFmtId="185" fontId="93" fillId="33" borderId="137" xfId="0" applyNumberFormat="1" applyFont="1" applyFill="1" applyBorder="1" applyAlignment="1">
      <alignment horizontal="center"/>
    </xf>
    <xf numFmtId="186" fontId="93" fillId="33" borderId="138" xfId="0" applyNumberFormat="1" applyFont="1" applyFill="1" applyBorder="1" applyAlignment="1">
      <alignment horizontal="center"/>
    </xf>
    <xf numFmtId="185" fontId="93" fillId="33" borderId="139" xfId="0" applyNumberFormat="1" applyFont="1" applyFill="1" applyBorder="1" applyAlignment="1">
      <alignment horizontal="center"/>
    </xf>
    <xf numFmtId="186" fontId="93" fillId="33" borderId="140" xfId="0" applyNumberFormat="1" applyFont="1" applyFill="1" applyBorder="1" applyAlignment="1">
      <alignment horizontal="center"/>
    </xf>
    <xf numFmtId="186" fontId="93" fillId="33" borderId="141" xfId="0" applyNumberFormat="1" applyFont="1" applyFill="1" applyBorder="1" applyAlignment="1">
      <alignment horizontal="center"/>
    </xf>
    <xf numFmtId="186" fontId="93" fillId="33" borderId="142" xfId="0" applyNumberFormat="1" applyFont="1" applyFill="1" applyBorder="1" applyAlignment="1">
      <alignment horizontal="center"/>
    </xf>
    <xf numFmtId="17" fontId="93" fillId="33" borderId="0" xfId="0" applyNumberFormat="1" applyFont="1" applyFill="1" applyAlignment="1">
      <alignment horizontal="center"/>
    </xf>
    <xf numFmtId="185" fontId="93" fillId="33" borderId="143" xfId="0" applyNumberFormat="1" applyFont="1" applyFill="1" applyBorder="1" applyAlignment="1">
      <alignment horizontal="center"/>
    </xf>
    <xf numFmtId="185" fontId="93" fillId="33" borderId="144" xfId="0" applyNumberFormat="1" applyFont="1" applyFill="1" applyBorder="1" applyAlignment="1">
      <alignment horizontal="center"/>
    </xf>
    <xf numFmtId="186" fontId="93" fillId="33" borderId="145" xfId="0" applyNumberFormat="1" applyFont="1" applyFill="1" applyBorder="1" applyAlignment="1">
      <alignment horizontal="center"/>
    </xf>
    <xf numFmtId="185" fontId="93" fillId="33" borderId="146" xfId="0" applyNumberFormat="1" applyFont="1" applyFill="1" applyBorder="1" applyAlignment="1">
      <alignment horizontal="center"/>
    </xf>
    <xf numFmtId="186" fontId="93" fillId="33" borderId="146" xfId="0" applyNumberFormat="1" applyFont="1" applyFill="1" applyBorder="1" applyAlignment="1">
      <alignment horizontal="center"/>
    </xf>
    <xf numFmtId="185" fontId="93" fillId="33" borderId="117" xfId="0" applyNumberFormat="1" applyFont="1" applyFill="1" applyBorder="1" applyAlignment="1">
      <alignment horizontal="center"/>
    </xf>
    <xf numFmtId="186" fontId="93" fillId="33" borderId="117" xfId="0" applyNumberFormat="1" applyFont="1" applyFill="1" applyBorder="1" applyAlignment="1">
      <alignment horizontal="center"/>
    </xf>
    <xf numFmtId="185" fontId="93" fillId="33" borderId="147" xfId="0" applyNumberFormat="1" applyFont="1" applyFill="1" applyBorder="1" applyAlignment="1">
      <alignment horizontal="center"/>
    </xf>
    <xf numFmtId="186" fontId="93" fillId="33" borderId="147" xfId="0" applyNumberFormat="1" applyFont="1" applyFill="1" applyBorder="1" applyAlignment="1">
      <alignment horizontal="center"/>
    </xf>
    <xf numFmtId="186" fontId="93" fillId="33" borderId="148" xfId="0" applyNumberFormat="1" applyFont="1" applyFill="1" applyBorder="1" applyAlignment="1">
      <alignment horizontal="center"/>
    </xf>
    <xf numFmtId="1" fontId="93" fillId="33" borderId="0" xfId="0" applyNumberFormat="1" applyFont="1" applyFill="1" applyAlignment="1">
      <alignment horizontal="center"/>
    </xf>
    <xf numFmtId="185" fontId="93" fillId="33" borderId="149" xfId="0" applyNumberFormat="1" applyFont="1" applyFill="1" applyBorder="1" applyAlignment="1">
      <alignment horizontal="center"/>
    </xf>
    <xf numFmtId="186" fontId="93" fillId="33" borderId="149" xfId="0" applyNumberFormat="1" applyFont="1" applyFill="1" applyBorder="1" applyAlignment="1">
      <alignment horizontal="center"/>
    </xf>
    <xf numFmtId="185" fontId="93" fillId="33" borderId="150" xfId="0" applyNumberFormat="1" applyFont="1" applyFill="1" applyBorder="1" applyAlignment="1">
      <alignment horizontal="center"/>
    </xf>
    <xf numFmtId="186" fontId="93" fillId="33" borderId="150" xfId="0" applyNumberFormat="1" applyFont="1" applyFill="1" applyBorder="1" applyAlignment="1">
      <alignment horizontal="center"/>
    </xf>
    <xf numFmtId="185" fontId="93" fillId="33" borderId="151" xfId="0" applyNumberFormat="1" applyFont="1" applyFill="1" applyBorder="1" applyAlignment="1">
      <alignment horizontal="center"/>
    </xf>
    <xf numFmtId="186" fontId="93" fillId="33" borderId="151" xfId="0" applyNumberFormat="1" applyFont="1" applyFill="1" applyBorder="1" applyAlignment="1">
      <alignment horizontal="center"/>
    </xf>
    <xf numFmtId="188" fontId="93" fillId="33" borderId="0" xfId="0" applyNumberFormat="1" applyFont="1" applyFill="1"/>
    <xf numFmtId="10" fontId="93" fillId="33" borderId="0" xfId="2" applyNumberFormat="1" applyFont="1" applyFill="1"/>
    <xf numFmtId="189" fontId="93" fillId="33" borderId="0" xfId="2" applyNumberFormat="1" applyFont="1" applyFill="1"/>
    <xf numFmtId="10" fontId="95" fillId="33" borderId="0" xfId="2" applyNumberFormat="1" applyFont="1" applyFill="1"/>
    <xf numFmtId="9" fontId="93" fillId="33" borderId="0" xfId="2" applyFont="1" applyFill="1"/>
    <xf numFmtId="190" fontId="93" fillId="33" borderId="0" xfId="0" applyNumberFormat="1" applyFont="1" applyFill="1"/>
    <xf numFmtId="191" fontId="94" fillId="0" borderId="0" xfId="1" applyNumberFormat="1" applyFont="1" applyAlignment="1">
      <alignment horizontal="center"/>
    </xf>
    <xf numFmtId="185" fontId="93" fillId="33" borderId="0" xfId="0" applyNumberFormat="1" applyFont="1" applyFill="1" applyAlignment="1">
      <alignment horizontal="center"/>
    </xf>
    <xf numFmtId="186" fontId="93" fillId="33" borderId="0" xfId="0" applyNumberFormat="1" applyFont="1" applyFill="1" applyAlignment="1">
      <alignment horizontal="center"/>
    </xf>
    <xf numFmtId="192" fontId="0" fillId="0" borderId="0" xfId="0" applyNumberFormat="1" applyFont="1" applyAlignment="1"/>
    <xf numFmtId="192" fontId="72" fillId="35" borderId="160" xfId="0" applyNumberFormat="1" applyFont="1" applyFill="1" applyBorder="1" applyAlignment="1">
      <alignment horizontal="right"/>
    </xf>
    <xf numFmtId="0" fontId="72" fillId="35" borderId="152" xfId="0" applyFont="1" applyFill="1" applyBorder="1" applyAlignment="1">
      <alignment vertical="center"/>
    </xf>
    <xf numFmtId="0" fontId="0" fillId="0" borderId="152" xfId="0" applyFont="1" applyBorder="1" applyAlignment="1">
      <alignment horizontal="left"/>
    </xf>
    <xf numFmtId="0" fontId="0" fillId="0" borderId="155" xfId="0" applyFont="1" applyBorder="1" applyAlignment="1">
      <alignment horizontal="left"/>
    </xf>
    <xf numFmtId="192" fontId="0" fillId="0" borderId="152" xfId="0" applyNumberFormat="1" applyFont="1" applyBorder="1" applyAlignment="1">
      <alignment horizontal="right"/>
    </xf>
    <xf numFmtId="192" fontId="0" fillId="0" borderId="155" xfId="0" applyNumberFormat="1" applyFont="1" applyBorder="1" applyAlignment="1">
      <alignment horizontal="right"/>
    </xf>
    <xf numFmtId="0" fontId="96" fillId="0" borderId="0" xfId="0" applyFont="1" applyAlignment="1"/>
    <xf numFmtId="0" fontId="0" fillId="0" borderId="0" xfId="0" applyFont="1" applyAlignment="1"/>
    <xf numFmtId="180" fontId="0" fillId="0" borderId="0" xfId="1" applyNumberFormat="1" applyFont="1" applyAlignment="1"/>
    <xf numFmtId="0" fontId="0" fillId="0" borderId="0" xfId="0" applyFont="1" applyAlignment="1">
      <alignment horizontal="center" wrapText="1"/>
    </xf>
    <xf numFmtId="0" fontId="72" fillId="37" borderId="152" xfId="0" applyFont="1" applyFill="1" applyBorder="1" applyAlignment="1">
      <alignment horizontal="center" vertical="center" wrapText="1"/>
    </xf>
    <xf numFmtId="0" fontId="72" fillId="35" borderId="155" xfId="0" applyFont="1" applyFill="1" applyBorder="1" applyAlignment="1"/>
    <xf numFmtId="17" fontId="72" fillId="35" borderId="152" xfId="0" applyNumberFormat="1" applyFont="1" applyFill="1" applyBorder="1" applyAlignment="1">
      <alignment horizontal="center" wrapText="1"/>
    </xf>
    <xf numFmtId="192" fontId="0" fillId="21" borderId="152" xfId="0" applyNumberFormat="1" applyFont="1" applyFill="1" applyBorder="1" applyAlignment="1">
      <alignment horizontal="center"/>
    </xf>
    <xf numFmtId="3" fontId="0" fillId="21" borderId="157" xfId="0" applyNumberFormat="1" applyFont="1" applyFill="1" applyBorder="1" applyAlignment="1">
      <alignment horizontal="center"/>
    </xf>
    <xf numFmtId="192" fontId="0" fillId="21" borderId="155" xfId="0" applyNumberFormat="1" applyFont="1" applyFill="1" applyBorder="1" applyAlignment="1">
      <alignment horizontal="center"/>
    </xf>
    <xf numFmtId="3" fontId="0" fillId="21" borderId="159" xfId="0" applyNumberFormat="1" applyFont="1" applyFill="1" applyBorder="1" applyAlignment="1">
      <alignment horizontal="center"/>
    </xf>
    <xf numFmtId="192" fontId="72" fillId="35" borderId="160" xfId="0" applyNumberFormat="1" applyFont="1" applyFill="1" applyBorder="1" applyAlignment="1">
      <alignment horizontal="center"/>
    </xf>
    <xf numFmtId="3" fontId="72" fillId="35" borderId="162" xfId="0" applyNumberFormat="1" applyFont="1" applyFill="1" applyBorder="1" applyAlignment="1">
      <alignment horizontal="center"/>
    </xf>
    <xf numFmtId="0" fontId="6" fillId="35" borderId="160" xfId="0" applyFont="1" applyFill="1" applyBorder="1" applyAlignment="1">
      <alignment horizontal="left"/>
    </xf>
    <xf numFmtId="3" fontId="0" fillId="0" borderId="156" xfId="0" applyNumberFormat="1" applyFont="1" applyBorder="1" applyAlignment="1">
      <alignment horizontal="right"/>
    </xf>
    <xf numFmtId="3" fontId="0" fillId="0" borderId="158" xfId="0" applyNumberFormat="1" applyFont="1" applyBorder="1" applyAlignment="1">
      <alignment horizontal="right"/>
    </xf>
    <xf numFmtId="3" fontId="72" fillId="35" borderId="161" xfId="0" applyNumberFormat="1" applyFont="1" applyFill="1" applyBorder="1" applyAlignment="1">
      <alignment horizontal="right"/>
    </xf>
    <xf numFmtId="0" fontId="72" fillId="35" borderId="155" xfId="0" applyFont="1" applyFill="1" applyBorder="1" applyAlignment="1">
      <alignment horizontal="right" wrapText="1"/>
    </xf>
    <xf numFmtId="0" fontId="72" fillId="35" borderId="153" xfId="0" applyFont="1" applyFill="1" applyBorder="1" applyAlignment="1">
      <alignment horizontal="center" vertical="center"/>
    </xf>
    <xf numFmtId="17" fontId="72" fillId="35" borderId="152" xfId="0" applyNumberFormat="1" applyFont="1" applyFill="1" applyBorder="1" applyAlignment="1">
      <alignment horizontal="center" vertical="center"/>
    </xf>
    <xf numFmtId="17" fontId="72" fillId="36" borderId="152" xfId="0" applyNumberFormat="1" applyFont="1" applyFill="1" applyBorder="1" applyAlignment="1">
      <alignment horizontal="center" vertical="center"/>
    </xf>
    <xf numFmtId="0" fontId="72" fillId="36" borderId="153" xfId="0" applyFont="1" applyFill="1" applyBorder="1" applyAlignment="1">
      <alignment horizontal="center" vertical="center"/>
    </xf>
    <xf numFmtId="3" fontId="0" fillId="0" borderId="0" xfId="0" applyNumberFormat="1" applyFont="1" applyAlignment="1">
      <alignment horizontal="right"/>
    </xf>
    <xf numFmtId="0" fontId="72" fillId="35" borderId="159" xfId="0" applyFont="1" applyFill="1" applyBorder="1" applyAlignment="1">
      <alignment horizontal="center" vertical="center" wrapText="1"/>
    </xf>
    <xf numFmtId="0" fontId="72" fillId="35" borderId="159" xfId="0" applyFont="1" applyFill="1" applyBorder="1" applyAlignment="1">
      <alignment horizontal="center" vertical="center"/>
    </xf>
    <xf numFmtId="17" fontId="72" fillId="35" borderId="157" xfId="0" applyNumberFormat="1" applyFont="1" applyFill="1" applyBorder="1" applyAlignment="1">
      <alignment horizontal="center" vertical="center" wrapText="1"/>
    </xf>
    <xf numFmtId="2" fontId="97" fillId="0" borderId="0" xfId="0" applyNumberFormat="1" applyFont="1" applyAlignment="1"/>
    <xf numFmtId="0" fontId="0" fillId="0" borderId="0" xfId="0" applyFont="1" applyAlignment="1">
      <alignment vertical="center"/>
    </xf>
    <xf numFmtId="0" fontId="0" fillId="35" borderId="154" xfId="0" applyFont="1" applyFill="1" applyBorder="1" applyAlignment="1">
      <alignment vertical="center"/>
    </xf>
    <xf numFmtId="0" fontId="0" fillId="0" borderId="0" xfId="0" applyFont="1" applyAlignment="1">
      <alignment horizontal="center" vertical="center"/>
    </xf>
    <xf numFmtId="10" fontId="0" fillId="0" borderId="0" xfId="2" applyNumberFormat="1" applyFont="1" applyAlignment="1">
      <alignment horizontal="center"/>
    </xf>
    <xf numFmtId="0" fontId="0" fillId="35" borderId="153" xfId="0" applyFont="1" applyFill="1" applyBorder="1" applyAlignment="1">
      <alignment vertical="center"/>
    </xf>
    <xf numFmtId="0" fontId="0" fillId="0" borderId="0" xfId="0" applyFont="1" applyAlignment="1"/>
    <xf numFmtId="192" fontId="0" fillId="0" borderId="0" xfId="0" applyNumberFormat="1" applyFont="1" applyAlignment="1">
      <alignment horizontal="center" vertical="center" wrapText="1"/>
    </xf>
    <xf numFmtId="0" fontId="72" fillId="35" borderId="0" xfId="0" applyFont="1" applyFill="1" applyAlignment="1">
      <alignment vertical="center"/>
    </xf>
    <xf numFmtId="0" fontId="0" fillId="35" borderId="0" xfId="0" applyFont="1" applyFill="1" applyAlignment="1">
      <alignment vertical="center"/>
    </xf>
    <xf numFmtId="14" fontId="16" fillId="0" borderId="98" xfId="0" applyNumberFormat="1" applyFont="1" applyBorder="1" applyAlignment="1">
      <alignment horizontal="right"/>
    </xf>
    <xf numFmtId="0" fontId="51" fillId="0" borderId="0" xfId="0" applyFont="1" applyAlignment="1">
      <alignment horizontal="right"/>
    </xf>
    <xf numFmtId="0" fontId="0" fillId="0" borderId="0" xfId="0" applyFont="1" applyAlignment="1"/>
    <xf numFmtId="0" fontId="0" fillId="0" borderId="0" xfId="0" applyFont="1" applyAlignment="1">
      <alignment vertical="center" wrapText="1"/>
    </xf>
    <xf numFmtId="0" fontId="0" fillId="0" borderId="0" xfId="0" pivotButton="1" applyFont="1" applyAlignment="1">
      <alignment vertical="center" wrapText="1"/>
    </xf>
    <xf numFmtId="9" fontId="16" fillId="0" borderId="12" xfId="2" applyFont="1" applyBorder="1" applyAlignment="1">
      <alignment vertical="center"/>
    </xf>
    <xf numFmtId="1" fontId="0" fillId="0" borderId="0" xfId="0" applyNumberFormat="1" applyFont="1" applyAlignment="1">
      <alignment horizontal="right"/>
    </xf>
    <xf numFmtId="0" fontId="0" fillId="0" borderId="0" xfId="0" applyFont="1" applyAlignment="1"/>
    <xf numFmtId="180" fontId="0" fillId="0" borderId="0" xfId="1" applyNumberFormat="1" applyFont="1" applyAlignment="1"/>
    <xf numFmtId="3" fontId="0" fillId="0" borderId="0" xfId="0" applyNumberFormat="1" applyFont="1" applyAlignment="1">
      <alignment horizontal="right" vertical="center" wrapText="1"/>
    </xf>
    <xf numFmtId="0" fontId="0" fillId="0" borderId="0" xfId="0" applyFont="1" applyAlignment="1"/>
    <xf numFmtId="180" fontId="0" fillId="0" borderId="0" xfId="1" applyNumberFormat="1" applyFont="1" applyAlignment="1"/>
    <xf numFmtId="3" fontId="5" fillId="0" borderId="0" xfId="0" applyNumberFormat="1" applyFont="1" applyAlignment="1"/>
    <xf numFmtId="0" fontId="16" fillId="2" borderId="14" xfId="0" applyFont="1" applyFill="1" applyBorder="1" applyAlignment="1">
      <alignment horizontal="left"/>
    </xf>
    <xf numFmtId="0" fontId="62" fillId="0" borderId="106" xfId="0" applyFont="1" applyBorder="1" applyAlignment="1">
      <alignment horizontal="left"/>
    </xf>
    <xf numFmtId="3" fontId="0" fillId="17" borderId="0" xfId="0" applyNumberFormat="1" applyFont="1" applyFill="1" applyAlignment="1">
      <alignment horizontal="center"/>
    </xf>
    <xf numFmtId="0" fontId="0" fillId="0" borderId="0" xfId="0" applyFont="1" applyAlignment="1"/>
    <xf numFmtId="0" fontId="16" fillId="2" borderId="14" xfId="0" applyFont="1" applyFill="1" applyBorder="1" applyAlignment="1">
      <alignment horizontal="right" vertical="center"/>
    </xf>
    <xf numFmtId="44" fontId="0" fillId="0" borderId="0" xfId="0" applyNumberFormat="1" applyFont="1" applyAlignment="1"/>
    <xf numFmtId="193" fontId="25" fillId="26" borderId="1" xfId="0" applyNumberFormat="1" applyFont="1" applyFill="1" applyBorder="1" applyAlignment="1"/>
    <xf numFmtId="176" fontId="84" fillId="2" borderId="12" xfId="0" applyNumberFormat="1" applyFont="1" applyFill="1" applyBorder="1" applyAlignment="1">
      <alignment horizontal="right" vertical="center"/>
    </xf>
    <xf numFmtId="0" fontId="16" fillId="0" borderId="0" xfId="0" applyFont="1" applyAlignment="1">
      <alignment horizontal="center" vertical="center"/>
    </xf>
    <xf numFmtId="14" fontId="57" fillId="0" borderId="0" xfId="0" applyNumberFormat="1" applyFont="1" applyAlignment="1">
      <alignment horizontal="center" vertical="center"/>
    </xf>
    <xf numFmtId="0" fontId="16" fillId="0" borderId="14" xfId="0" applyFont="1" applyBorder="1" applyAlignment="1">
      <alignment horizontal="center" vertical="center"/>
    </xf>
    <xf numFmtId="2" fontId="16" fillId="0" borderId="14" xfId="0" applyNumberFormat="1" applyFont="1" applyBorder="1" applyAlignment="1">
      <alignment horizontal="center" vertical="center"/>
    </xf>
    <xf numFmtId="1" fontId="16" fillId="0" borderId="14" xfId="0" applyNumberFormat="1" applyFont="1" applyBorder="1" applyAlignment="1">
      <alignment horizontal="center" vertical="center"/>
    </xf>
    <xf numFmtId="0" fontId="16" fillId="0" borderId="126" xfId="0" applyFont="1" applyBorder="1" applyAlignment="1">
      <alignment horizontal="center" vertical="center"/>
    </xf>
    <xf numFmtId="0" fontId="16" fillId="0" borderId="90" xfId="0" applyFont="1" applyBorder="1" applyAlignment="1">
      <alignment horizontal="center" vertical="center"/>
    </xf>
    <xf numFmtId="0" fontId="16" fillId="2" borderId="75" xfId="0" applyFont="1" applyFill="1" applyBorder="1" applyAlignment="1">
      <alignment horizontal="left"/>
    </xf>
    <xf numFmtId="0" fontId="62" fillId="2" borderId="106" xfId="0" applyFont="1" applyFill="1" applyBorder="1"/>
    <xf numFmtId="0" fontId="62" fillId="0" borderId="106" xfId="0" applyFont="1" applyBorder="1" applyAlignment="1">
      <alignment horizontal="center"/>
    </xf>
    <xf numFmtId="0" fontId="62" fillId="2" borderId="106" xfId="0" applyFont="1" applyFill="1" applyBorder="1" applyAlignment="1">
      <alignment horizontal="left"/>
    </xf>
    <xf numFmtId="180" fontId="16" fillId="2" borderId="106" xfId="1" applyNumberFormat="1" applyFont="1" applyFill="1" applyBorder="1"/>
    <xf numFmtId="180" fontId="16" fillId="18" borderId="106" xfId="1" applyNumberFormat="1" applyFont="1" applyFill="1" applyBorder="1"/>
    <xf numFmtId="0" fontId="62" fillId="0" borderId="163" xfId="0" applyFont="1" applyBorder="1"/>
    <xf numFmtId="0" fontId="16" fillId="2" borderId="90" xfId="0" applyFont="1" applyFill="1" applyBorder="1" applyAlignment="1">
      <alignment horizontal="right"/>
    </xf>
    <xf numFmtId="180" fontId="16" fillId="2" borderId="163" xfId="1" applyNumberFormat="1" applyFont="1" applyFill="1" applyBorder="1"/>
    <xf numFmtId="14" fontId="16" fillId="0" borderId="164" xfId="0" applyNumberFormat="1" applyFont="1" applyBorder="1" applyAlignment="1">
      <alignment horizontal="center"/>
    </xf>
    <xf numFmtId="0" fontId="16" fillId="0" borderId="165" xfId="0" applyFont="1" applyBorder="1"/>
    <xf numFmtId="16" fontId="16" fillId="0" borderId="82" xfId="0" applyNumberFormat="1" applyFont="1" applyBorder="1"/>
    <xf numFmtId="180" fontId="16" fillId="0" borderId="82" xfId="0" applyNumberFormat="1" applyFont="1" applyBorder="1"/>
    <xf numFmtId="0" fontId="16" fillId="0" borderId="14" xfId="0" applyNumberFormat="1" applyFont="1" applyBorder="1" applyAlignment="1">
      <alignment horizontal="right"/>
    </xf>
    <xf numFmtId="0" fontId="0" fillId="0" borderId="0" xfId="0" applyFont="1" applyAlignment="1"/>
    <xf numFmtId="44" fontId="0" fillId="17" borderId="0" xfId="0" applyNumberFormat="1" applyFont="1" applyFill="1" applyAlignment="1"/>
    <xf numFmtId="0" fontId="0" fillId="35" borderId="153" xfId="0" applyFont="1" applyFill="1" applyBorder="1" applyAlignment="1">
      <alignment horizontal="center" vertical="center"/>
    </xf>
    <xf numFmtId="0" fontId="0" fillId="0" borderId="0" xfId="0" pivotButton="1" applyFont="1" applyAlignment="1">
      <alignment horizontal="right" vertical="center"/>
    </xf>
    <xf numFmtId="0" fontId="0" fillId="0" borderId="0" xfId="0" applyFont="1" applyAlignment="1">
      <alignment horizontal="right" vertical="center"/>
    </xf>
    <xf numFmtId="3" fontId="0" fillId="0" borderId="0" xfId="0" applyNumberFormat="1" applyFont="1" applyAlignment="1">
      <alignment horizontal="right" vertical="center"/>
    </xf>
    <xf numFmtId="0" fontId="0" fillId="0" borderId="0" xfId="0" applyFont="1" applyAlignment="1"/>
    <xf numFmtId="180" fontId="0" fillId="0" borderId="0" xfId="0" applyNumberFormat="1" applyFont="1" applyAlignment="1">
      <alignment horizontal="right"/>
    </xf>
    <xf numFmtId="1" fontId="0" fillId="0" borderId="0" xfId="0" applyNumberFormat="1" applyFont="1" applyAlignment="1">
      <alignment horizontal="right" vertical="center" wrapText="1"/>
    </xf>
    <xf numFmtId="0" fontId="0" fillId="0" borderId="0" xfId="0" applyFont="1" applyAlignment="1">
      <alignment horizontal="right" vertical="center" wrapText="1"/>
    </xf>
    <xf numFmtId="168" fontId="0" fillId="0" borderId="0" xfId="0" applyNumberFormat="1" applyFont="1" applyAlignment="1"/>
    <xf numFmtId="168" fontId="0" fillId="0" borderId="0" xfId="0" applyNumberFormat="1" applyFont="1" applyAlignment="1">
      <alignment horizontal="right" vertical="center" wrapText="1"/>
    </xf>
    <xf numFmtId="168" fontId="0" fillId="0" borderId="0" xfId="0" applyNumberFormat="1" applyFont="1" applyAlignment="1">
      <alignment horizontal="right"/>
    </xf>
    <xf numFmtId="169" fontId="0" fillId="0" borderId="0" xfId="0" applyNumberFormat="1" applyFont="1" applyAlignment="1"/>
    <xf numFmtId="0" fontId="0" fillId="0" borderId="0" xfId="0" applyFont="1" applyAlignment="1"/>
    <xf numFmtId="1" fontId="16" fillId="0" borderId="0" xfId="0" applyNumberFormat="1" applyFont="1" applyAlignment="1">
      <alignment horizontal="center"/>
    </xf>
    <xf numFmtId="1" fontId="35" fillId="13" borderId="105" xfId="0" applyNumberFormat="1" applyFont="1" applyFill="1" applyBorder="1" applyAlignment="1">
      <alignment horizontal="center" vertical="center" wrapText="1"/>
    </xf>
    <xf numFmtId="1" fontId="0" fillId="0" borderId="0" xfId="0" applyNumberFormat="1" applyFont="1" applyAlignment="1">
      <alignment horizontal="center"/>
    </xf>
    <xf numFmtId="0" fontId="0" fillId="0" borderId="0" xfId="0" applyFont="1" applyAlignment="1"/>
    <xf numFmtId="180" fontId="0" fillId="0" borderId="0" xfId="1" applyNumberFormat="1" applyFont="1" applyAlignment="1"/>
    <xf numFmtId="1" fontId="16" fillId="2" borderId="1" xfId="0" applyNumberFormat="1" applyFont="1" applyFill="1" applyBorder="1"/>
    <xf numFmtId="180" fontId="16" fillId="2" borderId="1" xfId="1" applyNumberFormat="1" applyFont="1" applyFill="1" applyBorder="1"/>
    <xf numFmtId="164" fontId="16" fillId="2" borderId="1" xfId="0" applyNumberFormat="1" applyFont="1" applyFill="1" applyBorder="1"/>
    <xf numFmtId="0" fontId="0" fillId="0" borderId="0" xfId="0" applyFont="1" applyAlignment="1"/>
    <xf numFmtId="180" fontId="0" fillId="0" borderId="0" xfId="1" applyNumberFormat="1" applyFont="1" applyAlignment="1"/>
    <xf numFmtId="170" fontId="20" fillId="2" borderId="1" xfId="0" applyNumberFormat="1" applyFont="1" applyFill="1" applyBorder="1" applyAlignment="1">
      <alignment horizontal="right"/>
    </xf>
    <xf numFmtId="165" fontId="20" fillId="2" borderId="1" xfId="0" applyNumberFormat="1" applyFont="1" applyFill="1" applyBorder="1" applyAlignment="1">
      <alignment horizontal="right"/>
    </xf>
    <xf numFmtId="10" fontId="25" fillId="2" borderId="1" xfId="0" applyNumberFormat="1" applyFont="1" applyFill="1" applyBorder="1" applyAlignment="1"/>
    <xf numFmtId="0" fontId="0" fillId="0" borderId="0" xfId="0" applyFont="1" applyAlignment="1"/>
    <xf numFmtId="180" fontId="0" fillId="0" borderId="0" xfId="1" applyNumberFormat="1" applyFont="1" applyAlignment="1"/>
    <xf numFmtId="180" fontId="0" fillId="0" borderId="0" xfId="0" applyNumberFormat="1" applyFont="1" applyAlignment="1">
      <alignment horizontal="center" vertical="center"/>
    </xf>
    <xf numFmtId="192" fontId="0" fillId="0" borderId="152" xfId="0" applyNumberFormat="1" applyFont="1" applyBorder="1" applyAlignment="1">
      <alignment horizontal="center" vertical="center"/>
    </xf>
    <xf numFmtId="192" fontId="0" fillId="0" borderId="155" xfId="0" applyNumberFormat="1" applyFont="1" applyBorder="1" applyAlignment="1">
      <alignment horizontal="center" vertical="center"/>
    </xf>
    <xf numFmtId="192" fontId="72" fillId="35" borderId="160" xfId="0" applyNumberFormat="1" applyFont="1" applyFill="1" applyBorder="1" applyAlignment="1">
      <alignment horizontal="center" vertical="center"/>
    </xf>
    <xf numFmtId="192" fontId="0" fillId="0" borderId="0" xfId="0" applyNumberFormat="1" applyFont="1" applyAlignment="1">
      <alignment horizontal="center" vertical="center"/>
    </xf>
    <xf numFmtId="0" fontId="0" fillId="0" borderId="0" xfId="0" pivotButton="1" applyFont="1" applyAlignment="1">
      <alignment horizontal="center" vertical="center"/>
    </xf>
    <xf numFmtId="180" fontId="0" fillId="0" borderId="0" xfId="1" applyNumberFormat="1" applyFont="1" applyAlignment="1">
      <alignment horizontal="center" vertical="center"/>
    </xf>
    <xf numFmtId="182" fontId="0" fillId="0" borderId="0" xfId="1" applyNumberFormat="1" applyFont="1" applyAlignment="1">
      <alignment horizontal="center" vertical="center"/>
    </xf>
    <xf numFmtId="182" fontId="0" fillId="0" borderId="0" xfId="0" applyNumberFormat="1" applyFont="1" applyAlignment="1">
      <alignment horizontal="center" vertical="center"/>
    </xf>
    <xf numFmtId="3" fontId="0" fillId="0" borderId="156" xfId="0" applyNumberFormat="1" applyFont="1" applyBorder="1" applyAlignment="1">
      <alignment horizontal="center" vertical="center"/>
    </xf>
    <xf numFmtId="3" fontId="0" fillId="0" borderId="158" xfId="0" applyNumberFormat="1" applyFont="1" applyBorder="1" applyAlignment="1">
      <alignment horizontal="center" vertical="center"/>
    </xf>
    <xf numFmtId="3" fontId="72" fillId="35" borderId="161" xfId="0" applyNumberFormat="1" applyFont="1" applyFill="1" applyBorder="1" applyAlignment="1">
      <alignment horizontal="center" vertical="center"/>
    </xf>
    <xf numFmtId="0" fontId="0" fillId="0" borderId="0" xfId="0" pivotButton="1" applyFont="1" applyAlignment="1">
      <alignment horizontal="right" vertical="center" wrapText="1"/>
    </xf>
    <xf numFmtId="180" fontId="0" fillId="0" borderId="0" xfId="1" applyNumberFormat="1" applyFont="1" applyAlignment="1">
      <alignment vertical="center" wrapText="1"/>
    </xf>
    <xf numFmtId="0" fontId="0" fillId="0" borderId="0" xfId="0" applyFont="1" applyAlignment="1"/>
    <xf numFmtId="0" fontId="16" fillId="0" borderId="14" xfId="0" applyFont="1" applyBorder="1" applyAlignment="1">
      <alignment horizontal="center"/>
    </xf>
    <xf numFmtId="166" fontId="16" fillId="0" borderId="14" xfId="0" applyNumberFormat="1" applyFont="1" applyBorder="1" applyAlignment="1">
      <alignment horizontal="center"/>
    </xf>
    <xf numFmtId="0" fontId="0" fillId="0" borderId="0" xfId="0" pivotButton="1" applyFont="1" applyAlignment="1">
      <alignment vertical="center"/>
    </xf>
    <xf numFmtId="3" fontId="0" fillId="17" borderId="0" xfId="0" applyNumberFormat="1" applyFont="1" applyFill="1" applyAlignment="1"/>
    <xf numFmtId="180" fontId="0" fillId="17" borderId="0" xfId="0" applyNumberFormat="1" applyFont="1" applyFill="1" applyAlignment="1"/>
    <xf numFmtId="0" fontId="0" fillId="0" borderId="0" xfId="0" pivotButton="1" applyFont="1" applyAlignment="1">
      <alignment horizontal="left" vertical="center"/>
    </xf>
    <xf numFmtId="175" fontId="0" fillId="0" borderId="0" xfId="0" applyNumberFormat="1" applyFont="1" applyAlignment="1"/>
    <xf numFmtId="175" fontId="0" fillId="17" borderId="0" xfId="0" applyNumberFormat="1" applyFont="1" applyFill="1" applyAlignment="1"/>
    <xf numFmtId="0" fontId="0" fillId="0" borderId="0" xfId="0" applyFont="1" applyAlignment="1">
      <alignment horizontal="right" wrapText="1"/>
    </xf>
    <xf numFmtId="192" fontId="0" fillId="0" borderId="0" xfId="0" applyNumberFormat="1" applyFont="1" applyAlignment="1">
      <alignment horizontal="right" vertical="center" wrapText="1"/>
    </xf>
    <xf numFmtId="0" fontId="0" fillId="0" borderId="0" xfId="0" applyFont="1" applyAlignment="1"/>
    <xf numFmtId="192" fontId="0" fillId="17" borderId="0" xfId="0" applyNumberFormat="1" applyFont="1" applyFill="1" applyAlignment="1">
      <alignment horizontal="center" vertical="center"/>
    </xf>
    <xf numFmtId="44" fontId="16" fillId="2" borderId="1" xfId="1" applyFont="1" applyFill="1" applyBorder="1"/>
    <xf numFmtId="1" fontId="16" fillId="27" borderId="55" xfId="0" applyNumberFormat="1" applyFont="1" applyFill="1" applyBorder="1" applyAlignment="1">
      <alignment horizontal="center" vertical="center"/>
    </xf>
    <xf numFmtId="1" fontId="16" fillId="27" borderId="37" xfId="0" applyNumberFormat="1" applyFont="1" applyFill="1" applyBorder="1" applyAlignment="1">
      <alignment horizontal="center" vertical="center"/>
    </xf>
    <xf numFmtId="3" fontId="16" fillId="27" borderId="55" xfId="0" applyNumberFormat="1" applyFont="1" applyFill="1" applyBorder="1" applyAlignment="1">
      <alignment horizontal="center" vertical="center"/>
    </xf>
    <xf numFmtId="3" fontId="16" fillId="27" borderId="37" xfId="0" applyNumberFormat="1" applyFont="1" applyFill="1" applyBorder="1" applyAlignment="1">
      <alignment horizontal="center" vertical="center"/>
    </xf>
    <xf numFmtId="164" fontId="16" fillId="27" borderId="56" xfId="0" applyNumberFormat="1" applyFont="1" applyFill="1" applyBorder="1" applyAlignment="1">
      <alignment horizontal="center" vertical="center"/>
    </xf>
    <xf numFmtId="164" fontId="16" fillId="27" borderId="31" xfId="0" applyNumberFormat="1" applyFont="1" applyFill="1" applyBorder="1" applyAlignment="1">
      <alignment horizontal="left" vertical="center"/>
    </xf>
    <xf numFmtId="174" fontId="47" fillId="27" borderId="44" xfId="0" applyNumberFormat="1" applyFont="1" applyFill="1" applyBorder="1" applyAlignment="1">
      <alignment horizontal="left" vertical="center"/>
    </xf>
    <xf numFmtId="0" fontId="0" fillId="0" borderId="0" xfId="0" applyFont="1" applyAlignment="1"/>
    <xf numFmtId="14" fontId="35" fillId="13" borderId="104" xfId="0" applyNumberFormat="1" applyFont="1" applyFill="1" applyBorder="1" applyAlignment="1" applyProtection="1">
      <alignment horizontal="center" vertical="center" wrapText="1"/>
      <protection locked="0"/>
    </xf>
    <xf numFmtId="14" fontId="59" fillId="6" borderId="31" xfId="0" applyNumberFormat="1" applyFont="1" applyFill="1" applyBorder="1" applyAlignment="1" applyProtection="1">
      <alignment horizontal="left" vertical="center"/>
      <protection locked="0"/>
    </xf>
    <xf numFmtId="0" fontId="0" fillId="0" borderId="0" xfId="0" applyFont="1" applyAlignment="1" applyProtection="1">
      <protection locked="0"/>
    </xf>
    <xf numFmtId="0" fontId="0" fillId="0" borderId="0" xfId="0" applyFont="1" applyAlignment="1" applyProtection="1">
      <alignment horizontal="center"/>
      <protection locked="0"/>
    </xf>
    <xf numFmtId="170" fontId="0" fillId="0" borderId="0" xfId="0" applyNumberFormat="1" applyFont="1" applyAlignment="1" applyProtection="1">
      <protection locked="0"/>
    </xf>
    <xf numFmtId="0" fontId="9" fillId="0" borderId="0" xfId="0" applyFont="1" applyAlignment="1" applyProtection="1">
      <protection locked="0"/>
    </xf>
    <xf numFmtId="0" fontId="72" fillId="0" borderId="0" xfId="0" applyFont="1" applyAlignment="1" applyProtection="1">
      <protection locked="0"/>
    </xf>
    <xf numFmtId="14" fontId="16" fillId="0" borderId="0" xfId="0" applyNumberFormat="1" applyFont="1" applyProtection="1">
      <protection locked="0"/>
    </xf>
    <xf numFmtId="3" fontId="16" fillId="0" borderId="0" xfId="0" applyNumberFormat="1" applyFont="1" applyProtection="1">
      <protection locked="0"/>
    </xf>
    <xf numFmtId="164" fontId="16" fillId="0" borderId="0" xfId="0" applyNumberFormat="1" applyFont="1" applyProtection="1">
      <protection locked="0"/>
    </xf>
    <xf numFmtId="1" fontId="0" fillId="0" borderId="0" xfId="0" applyNumberFormat="1" applyFont="1" applyAlignment="1" applyProtection="1">
      <protection locked="0"/>
    </xf>
    <xf numFmtId="44" fontId="0" fillId="0" borderId="0" xfId="1" applyFont="1" applyAlignment="1" applyProtection="1">
      <protection locked="0"/>
    </xf>
    <xf numFmtId="192" fontId="0" fillId="0" borderId="0" xfId="0" applyNumberFormat="1" applyFont="1" applyAlignment="1" applyProtection="1">
      <protection locked="0"/>
    </xf>
    <xf numFmtId="180" fontId="0" fillId="0" borderId="0" xfId="1" applyNumberFormat="1" applyFont="1" applyAlignment="1" applyProtection="1">
      <protection locked="0"/>
    </xf>
    <xf numFmtId="13" fontId="12" fillId="0" borderId="0" xfId="1" applyNumberFormat="1" applyFont="1" applyAlignment="1" applyProtection="1">
      <protection locked="0"/>
    </xf>
    <xf numFmtId="183" fontId="0" fillId="0" borderId="0" xfId="0" applyNumberFormat="1" applyFont="1" applyAlignment="1" applyProtection="1">
      <protection locked="0"/>
    </xf>
    <xf numFmtId="0" fontId="0" fillId="31" borderId="0" xfId="0" applyFont="1" applyFill="1" applyAlignment="1" applyProtection="1">
      <protection locked="0"/>
    </xf>
    <xf numFmtId="164" fontId="9" fillId="0" borderId="0" xfId="0" applyNumberFormat="1" applyFont="1" applyAlignment="1" applyProtection="1">
      <protection locked="0"/>
    </xf>
    <xf numFmtId="164" fontId="72" fillId="0" borderId="0" xfId="0" applyNumberFormat="1" applyFont="1" applyAlignment="1" applyProtection="1">
      <protection locked="0"/>
    </xf>
    <xf numFmtId="14" fontId="0" fillId="0" borderId="0" xfId="0" applyNumberFormat="1" applyFont="1" applyAlignment="1" applyProtection="1">
      <protection locked="0"/>
    </xf>
    <xf numFmtId="14" fontId="35" fillId="13" borderId="116" xfId="0" applyNumberFormat="1" applyFont="1" applyFill="1" applyBorder="1" applyAlignment="1" applyProtection="1">
      <alignment horizontal="center" vertical="center" wrapText="1"/>
      <protection locked="0"/>
    </xf>
    <xf numFmtId="14" fontId="35" fillId="13" borderId="26" xfId="0" applyNumberFormat="1" applyFont="1" applyFill="1" applyBorder="1" applyAlignment="1" applyProtection="1">
      <alignment horizontal="center" vertical="center" wrapText="1"/>
      <protection locked="0"/>
    </xf>
    <xf numFmtId="1" fontId="35" fillId="13" borderId="26" xfId="0" applyNumberFormat="1" applyFont="1" applyFill="1" applyBorder="1" applyAlignment="1" applyProtection="1">
      <alignment horizontal="center" vertical="center" wrapText="1"/>
      <protection locked="0"/>
    </xf>
    <xf numFmtId="170" fontId="35" fillId="13" borderId="26" xfId="0" applyNumberFormat="1" applyFont="1" applyFill="1" applyBorder="1" applyAlignment="1" applyProtection="1">
      <alignment horizontal="center" vertical="center" wrapText="1"/>
      <protection locked="0"/>
    </xf>
    <xf numFmtId="2" fontId="35" fillId="13" borderId="105" xfId="0" applyNumberFormat="1" applyFont="1" applyFill="1" applyBorder="1" applyAlignment="1" applyProtection="1">
      <alignment horizontal="center" vertical="center" wrapText="1"/>
      <protection locked="0"/>
    </xf>
    <xf numFmtId="2" fontId="61" fillId="13" borderId="26" xfId="0" applyNumberFormat="1" applyFont="1" applyFill="1" applyBorder="1" applyAlignment="1" applyProtection="1">
      <alignment horizontal="center" vertical="center" wrapText="1"/>
      <protection locked="0"/>
    </xf>
    <xf numFmtId="2" fontId="35" fillId="13" borderId="26" xfId="0" applyNumberFormat="1" applyFont="1" applyFill="1" applyBorder="1" applyAlignment="1" applyProtection="1">
      <alignment horizontal="center" vertical="center" wrapText="1"/>
      <protection locked="0"/>
    </xf>
    <xf numFmtId="1" fontId="35" fillId="13" borderId="59" xfId="0" applyNumberFormat="1" applyFont="1" applyFill="1" applyBorder="1" applyAlignment="1" applyProtection="1">
      <alignment horizontal="center" vertical="center" wrapText="1"/>
      <protection locked="0"/>
    </xf>
    <xf numFmtId="1" fontId="35" fillId="13" borderId="64" xfId="0" applyNumberFormat="1" applyFont="1" applyFill="1" applyBorder="1" applyAlignment="1" applyProtection="1">
      <alignment horizontal="center" vertical="center" wrapText="1"/>
      <protection locked="0"/>
    </xf>
    <xf numFmtId="3" fontId="35" fillId="13" borderId="64" xfId="0" applyNumberFormat="1" applyFont="1" applyFill="1" applyBorder="1" applyAlignment="1" applyProtection="1">
      <alignment horizontal="center" vertical="center" wrapText="1"/>
      <protection locked="0"/>
    </xf>
    <xf numFmtId="1" fontId="35" fillId="13" borderId="24" xfId="0" applyNumberFormat="1" applyFont="1" applyFill="1" applyBorder="1" applyAlignment="1" applyProtection="1">
      <alignment horizontal="center" vertical="center" wrapText="1"/>
      <protection locked="0"/>
    </xf>
    <xf numFmtId="14" fontId="35" fillId="13" borderId="64" xfId="0" applyNumberFormat="1" applyFont="1" applyFill="1" applyBorder="1" applyAlignment="1" applyProtection="1">
      <alignment horizontal="center" vertical="center" wrapText="1"/>
      <protection locked="0"/>
    </xf>
    <xf numFmtId="1" fontId="35" fillId="13" borderId="62" xfId="0" applyNumberFormat="1" applyFont="1" applyFill="1" applyBorder="1" applyAlignment="1" applyProtection="1">
      <alignment horizontal="center" vertical="center" wrapText="1"/>
      <protection locked="0"/>
    </xf>
    <xf numFmtId="14" fontId="35" fillId="13" borderId="62" xfId="0" applyNumberFormat="1" applyFont="1" applyFill="1" applyBorder="1" applyAlignment="1" applyProtection="1">
      <alignment horizontal="center" vertical="center" wrapText="1"/>
      <protection locked="0"/>
    </xf>
    <xf numFmtId="14" fontId="33" fillId="13" borderId="59" xfId="0" applyNumberFormat="1" applyFont="1" applyFill="1" applyBorder="1" applyAlignment="1" applyProtection="1">
      <alignment horizontal="center" vertical="center" wrapText="1"/>
      <protection locked="0"/>
    </xf>
    <xf numFmtId="164" fontId="35" fillId="13" borderId="24" xfId="0" applyNumberFormat="1" applyFont="1" applyFill="1" applyBorder="1" applyAlignment="1" applyProtection="1">
      <alignment horizontal="center" vertical="center" wrapText="1"/>
      <protection locked="0"/>
    </xf>
    <xf numFmtId="44" fontId="35" fillId="13" borderId="24" xfId="1" applyFont="1" applyFill="1" applyBorder="1" applyAlignment="1" applyProtection="1">
      <alignment horizontal="center" vertical="center" wrapText="1"/>
      <protection locked="0"/>
    </xf>
    <xf numFmtId="1" fontId="58" fillId="6" borderId="111" xfId="0" applyNumberFormat="1" applyFont="1" applyFill="1" applyBorder="1" applyAlignment="1" applyProtection="1">
      <alignment horizontal="center" vertical="center"/>
      <protection locked="0"/>
    </xf>
    <xf numFmtId="14" fontId="58" fillId="6" borderId="112" xfId="0" applyNumberFormat="1" applyFont="1" applyFill="1" applyBorder="1" applyAlignment="1" applyProtection="1">
      <alignment horizontal="center" vertical="center"/>
      <protection locked="0"/>
    </xf>
    <xf numFmtId="1" fontId="58" fillId="30" borderId="83" xfId="0" applyNumberFormat="1" applyFont="1" applyFill="1" applyBorder="1" applyAlignment="1" applyProtection="1">
      <alignment horizontal="center" vertical="center"/>
      <protection locked="0"/>
    </xf>
    <xf numFmtId="1" fontId="58" fillId="6" borderId="83" xfId="0" applyNumberFormat="1" applyFont="1" applyFill="1" applyBorder="1" applyAlignment="1" applyProtection="1">
      <alignment horizontal="center" vertical="center"/>
      <protection locked="0"/>
    </xf>
    <xf numFmtId="1" fontId="58" fillId="6" borderId="83" xfId="4" applyNumberFormat="1" applyFont="1" applyFill="1" applyBorder="1" applyAlignment="1" applyProtection="1">
      <alignment horizontal="center" vertical="center"/>
      <protection locked="0"/>
    </xf>
    <xf numFmtId="14" fontId="59" fillId="6" borderId="83" xfId="4" applyNumberFormat="1" applyFont="1" applyFill="1" applyBorder="1" applyAlignment="1" applyProtection="1">
      <alignment horizontal="center" vertical="center"/>
      <protection locked="0"/>
    </xf>
    <xf numFmtId="3" fontId="58" fillId="6" borderId="83" xfId="0" applyNumberFormat="1" applyFont="1" applyFill="1" applyBorder="1" applyAlignment="1" applyProtection="1">
      <alignment horizontal="center" vertical="center"/>
      <protection locked="0"/>
    </xf>
    <xf numFmtId="170" fontId="58" fillId="30" borderId="83" xfId="0" applyNumberFormat="1" applyFont="1" applyFill="1" applyBorder="1" applyAlignment="1" applyProtection="1">
      <alignment horizontal="center" vertical="center"/>
      <protection locked="0"/>
    </xf>
    <xf numFmtId="164" fontId="58" fillId="6" borderId="83" xfId="0" applyNumberFormat="1" applyFont="1" applyFill="1" applyBorder="1" applyAlignment="1" applyProtection="1">
      <alignment horizontal="center" vertical="center"/>
      <protection locked="0"/>
    </xf>
    <xf numFmtId="164" fontId="59" fillId="30" borderId="113" xfId="0" applyNumberFormat="1" applyFont="1" applyFill="1" applyBorder="1" applyAlignment="1" applyProtection="1">
      <alignment horizontal="center" vertical="center"/>
      <protection locked="0"/>
    </xf>
    <xf numFmtId="164" fontId="58" fillId="6" borderId="114" xfId="0" applyNumberFormat="1" applyFont="1" applyFill="1" applyBorder="1" applyAlignment="1" applyProtection="1">
      <alignment horizontal="center" vertical="center"/>
      <protection locked="0"/>
    </xf>
    <xf numFmtId="164" fontId="59" fillId="6" borderId="114" xfId="0" applyNumberFormat="1" applyFont="1" applyFill="1" applyBorder="1" applyAlignment="1" applyProtection="1">
      <alignment horizontal="center" vertical="center"/>
      <protection locked="0"/>
    </xf>
    <xf numFmtId="14" fontId="58" fillId="6" borderId="83" xfId="0" applyNumberFormat="1" applyFont="1" applyFill="1" applyBorder="1" applyAlignment="1" applyProtection="1">
      <alignment horizontal="center" vertical="center"/>
      <protection locked="0"/>
    </xf>
    <xf numFmtId="14" fontId="63" fillId="6" borderId="83" xfId="0" applyNumberFormat="1" applyFont="1" applyFill="1" applyBorder="1" applyAlignment="1" applyProtection="1">
      <alignment horizontal="center" vertical="center"/>
      <protection locked="0"/>
    </xf>
    <xf numFmtId="3" fontId="58" fillId="0" borderId="83" xfId="0" applyNumberFormat="1" applyFont="1" applyFill="1" applyBorder="1" applyAlignment="1" applyProtection="1">
      <alignment horizontal="center" vertical="center"/>
      <protection locked="0"/>
    </xf>
    <xf numFmtId="164" fontId="63" fillId="6" borderId="83" xfId="0" applyNumberFormat="1" applyFont="1" applyFill="1" applyBorder="1" applyAlignment="1" applyProtection="1">
      <alignment horizontal="center" vertical="center"/>
      <protection locked="0"/>
    </xf>
    <xf numFmtId="171" fontId="58" fillId="6" borderId="83" xfId="0" applyNumberFormat="1" applyFont="1" applyFill="1" applyBorder="1" applyAlignment="1" applyProtection="1">
      <alignment horizontal="left" vertical="center"/>
      <protection locked="0"/>
    </xf>
    <xf numFmtId="171" fontId="59" fillId="8" borderId="111" xfId="0" applyNumberFormat="1" applyFont="1" applyFill="1" applyBorder="1" applyAlignment="1" applyProtection="1">
      <alignment horizontal="left" vertical="center"/>
      <protection locked="0"/>
    </xf>
    <xf numFmtId="164" fontId="58" fillId="6" borderId="111" xfId="0" applyNumberFormat="1" applyFont="1" applyFill="1" applyBorder="1" applyAlignment="1" applyProtection="1">
      <alignment horizontal="center" vertical="center"/>
      <protection locked="0"/>
    </xf>
    <xf numFmtId="9" fontId="58" fillId="6" borderId="111" xfId="0" applyNumberFormat="1" applyFont="1" applyFill="1" applyBorder="1" applyAlignment="1" applyProtection="1">
      <alignment horizontal="center" vertical="center"/>
      <protection locked="0"/>
    </xf>
    <xf numFmtId="1" fontId="58" fillId="6" borderId="123" xfId="0" applyNumberFormat="1" applyFont="1" applyFill="1" applyBorder="1" applyAlignment="1" applyProtection="1">
      <alignment horizontal="center" vertical="center"/>
      <protection locked="0"/>
    </xf>
    <xf numFmtId="1" fontId="58" fillId="30" borderId="111" xfId="0" applyNumberFormat="1" applyFont="1" applyFill="1" applyBorder="1" applyAlignment="1" applyProtection="1">
      <alignment horizontal="center" vertical="center"/>
      <protection locked="0"/>
    </xf>
    <xf numFmtId="192" fontId="58" fillId="6" borderId="0" xfId="0" applyNumberFormat="1" applyFont="1" applyFill="1" applyAlignment="1" applyProtection="1">
      <alignment horizontal="center" vertical="center"/>
      <protection locked="0"/>
    </xf>
    <xf numFmtId="9" fontId="58" fillId="6" borderId="0" xfId="2" applyFont="1" applyFill="1" applyAlignment="1" applyProtection="1">
      <alignment horizontal="center" vertical="center"/>
      <protection locked="0"/>
    </xf>
    <xf numFmtId="14" fontId="59" fillId="6" borderId="83" xfId="0" applyNumberFormat="1" applyFont="1" applyFill="1" applyBorder="1" applyAlignment="1" applyProtection="1">
      <alignment horizontal="center" vertical="center"/>
      <protection locked="0"/>
    </xf>
    <xf numFmtId="1" fontId="58" fillId="6" borderId="96" xfId="0" applyNumberFormat="1" applyFont="1" applyFill="1" applyBorder="1" applyAlignment="1" applyProtection="1">
      <alignment horizontal="center" vertical="center"/>
      <protection locked="0"/>
    </xf>
    <xf numFmtId="164" fontId="59" fillId="30" borderId="114" xfId="0" applyNumberFormat="1" applyFont="1" applyFill="1" applyBorder="1" applyAlignment="1" applyProtection="1">
      <alignment horizontal="center" vertical="center"/>
      <protection locked="0"/>
    </xf>
    <xf numFmtId="164" fontId="58" fillId="2" borderId="114" xfId="0" applyNumberFormat="1" applyFont="1" applyFill="1" applyBorder="1" applyAlignment="1" applyProtection="1">
      <alignment horizontal="center" vertical="center"/>
      <protection locked="0"/>
    </xf>
    <xf numFmtId="1" fontId="58" fillId="6" borderId="111" xfId="1" applyNumberFormat="1" applyFont="1" applyFill="1" applyBorder="1" applyAlignment="1" applyProtection="1">
      <alignment horizontal="center" vertical="center"/>
      <protection locked="0"/>
    </xf>
    <xf numFmtId="164" fontId="58" fillId="30" borderId="114" xfId="0" applyNumberFormat="1" applyFont="1" applyFill="1" applyBorder="1" applyAlignment="1" applyProtection="1">
      <alignment horizontal="center" vertical="center"/>
      <protection locked="0"/>
    </xf>
    <xf numFmtId="183" fontId="58" fillId="30" borderId="83" xfId="0" applyNumberFormat="1" applyFont="1" applyFill="1" applyBorder="1" applyAlignment="1" applyProtection="1">
      <alignment horizontal="center" vertical="center"/>
      <protection locked="0"/>
    </xf>
    <xf numFmtId="14" fontId="58" fillId="30" borderId="83" xfId="0" applyNumberFormat="1" applyFont="1" applyFill="1" applyBorder="1" applyAlignment="1" applyProtection="1">
      <alignment horizontal="center" vertical="center"/>
      <protection locked="0"/>
    </xf>
    <xf numFmtId="3" fontId="58" fillId="17" borderId="83" xfId="0" applyNumberFormat="1" applyFont="1" applyFill="1" applyBorder="1" applyAlignment="1" applyProtection="1">
      <alignment horizontal="center" vertical="center"/>
      <protection locked="0"/>
    </xf>
    <xf numFmtId="164" fontId="63" fillId="30" borderId="83" xfId="0" applyNumberFormat="1" applyFont="1" applyFill="1" applyBorder="1" applyAlignment="1" applyProtection="1">
      <alignment horizontal="center" vertical="center"/>
      <protection locked="0"/>
    </xf>
    <xf numFmtId="14" fontId="59" fillId="0" borderId="31" xfId="0" applyNumberFormat="1" applyFont="1" applyFill="1" applyBorder="1" applyAlignment="1" applyProtection="1">
      <alignment horizontal="left" vertical="center"/>
      <protection locked="0"/>
    </xf>
    <xf numFmtId="1" fontId="58" fillId="2" borderId="96" xfId="0" applyNumberFormat="1" applyFont="1" applyFill="1" applyBorder="1" applyAlignment="1" applyProtection="1">
      <alignment horizontal="center" vertical="center"/>
      <protection locked="0"/>
    </xf>
    <xf numFmtId="1" fontId="75" fillId="30" borderId="83" xfId="0" applyNumberFormat="1" applyFont="1" applyFill="1" applyBorder="1" applyAlignment="1" applyProtection="1">
      <alignment horizontal="center" vertical="center"/>
      <protection locked="0"/>
    </xf>
    <xf numFmtId="164" fontId="59" fillId="6" borderId="47" xfId="0" applyNumberFormat="1" applyFont="1" applyFill="1" applyBorder="1" applyAlignment="1" applyProtection="1">
      <alignment horizontal="center" vertical="center"/>
      <protection locked="0"/>
    </xf>
    <xf numFmtId="194" fontId="58" fillId="6" borderId="0" xfId="0" applyNumberFormat="1" applyFont="1" applyFill="1" applyAlignment="1" applyProtection="1">
      <alignment horizontal="center" vertical="center"/>
      <protection locked="0"/>
    </xf>
    <xf numFmtId="2" fontId="0" fillId="0" borderId="0" xfId="0" applyNumberFormat="1" applyFont="1" applyAlignment="1" applyProtection="1">
      <protection locked="0"/>
    </xf>
    <xf numFmtId="1" fontId="58" fillId="23" borderId="96" xfId="0" applyNumberFormat="1" applyFont="1" applyFill="1" applyBorder="1" applyAlignment="1" applyProtection="1">
      <alignment horizontal="center" vertical="center"/>
      <protection locked="0"/>
    </xf>
    <xf numFmtId="14" fontId="59" fillId="6" borderId="37" xfId="0" applyNumberFormat="1" applyFont="1" applyFill="1" applyBorder="1" applyAlignment="1" applyProtection="1">
      <alignment horizontal="left" vertical="center"/>
      <protection locked="0"/>
    </xf>
    <xf numFmtId="14" fontId="58" fillId="6" borderId="84" xfId="0" applyNumberFormat="1" applyFont="1" applyFill="1" applyBorder="1" applyAlignment="1" applyProtection="1">
      <alignment horizontal="center" vertical="center"/>
      <protection locked="0"/>
    </xf>
    <xf numFmtId="1" fontId="58" fillId="6" borderId="120" xfId="0" applyNumberFormat="1" applyFont="1" applyFill="1" applyBorder="1" applyAlignment="1" applyProtection="1">
      <alignment horizontal="center" vertical="center"/>
      <protection locked="0"/>
    </xf>
    <xf numFmtId="14" fontId="59" fillId="6" borderId="120" xfId="0" applyNumberFormat="1" applyFont="1" applyFill="1" applyBorder="1" applyAlignment="1" applyProtection="1">
      <alignment horizontal="center" vertical="center"/>
      <protection locked="0"/>
    </xf>
    <xf numFmtId="3" fontId="58" fillId="6" borderId="120" xfId="0" applyNumberFormat="1" applyFont="1" applyFill="1" applyBorder="1" applyAlignment="1" applyProtection="1">
      <alignment horizontal="center" vertical="center"/>
      <protection locked="0"/>
    </xf>
    <xf numFmtId="170" fontId="58" fillId="23" borderId="120" xfId="0" applyNumberFormat="1" applyFont="1" applyFill="1" applyBorder="1" applyAlignment="1" applyProtection="1">
      <alignment horizontal="center" vertical="center"/>
      <protection locked="0"/>
    </xf>
    <xf numFmtId="164" fontId="58" fillId="23" borderId="120" xfId="0" applyNumberFormat="1" applyFont="1" applyFill="1" applyBorder="1" applyAlignment="1" applyProtection="1">
      <alignment horizontal="center" vertical="center"/>
      <protection locked="0"/>
    </xf>
    <xf numFmtId="164" fontId="58" fillId="6" borderId="120" xfId="0" applyNumberFormat="1" applyFont="1" applyFill="1" applyBorder="1" applyAlignment="1" applyProtection="1">
      <alignment horizontal="center" vertical="center"/>
      <protection locked="0"/>
    </xf>
    <xf numFmtId="164" fontId="59" fillId="23" borderId="97" xfId="0" applyNumberFormat="1" applyFont="1" applyFill="1" applyBorder="1" applyAlignment="1" applyProtection="1">
      <alignment horizontal="center" vertical="center"/>
      <protection locked="0"/>
    </xf>
    <xf numFmtId="164" fontId="58" fillId="30" borderId="97" xfId="0" applyNumberFormat="1" applyFont="1" applyFill="1" applyBorder="1" applyAlignment="1" applyProtection="1">
      <alignment horizontal="center" vertical="center"/>
      <protection locked="0"/>
    </xf>
    <xf numFmtId="164" fontId="58" fillId="29" borderId="97" xfId="0" applyNumberFormat="1" applyFont="1" applyFill="1" applyBorder="1" applyAlignment="1" applyProtection="1">
      <alignment horizontal="center" vertical="center"/>
      <protection locked="0"/>
    </xf>
    <xf numFmtId="164" fontId="58" fillId="6" borderId="97" xfId="0" applyNumberFormat="1" applyFont="1" applyFill="1" applyBorder="1" applyAlignment="1" applyProtection="1">
      <alignment horizontal="center" vertical="center"/>
      <protection locked="0"/>
    </xf>
    <xf numFmtId="164" fontId="59" fillId="6" borderId="97" xfId="0" applyNumberFormat="1" applyFont="1" applyFill="1" applyBorder="1" applyAlignment="1" applyProtection="1">
      <alignment horizontal="center" vertical="center"/>
      <protection locked="0"/>
    </xf>
    <xf numFmtId="14" fontId="58" fillId="6" borderId="120" xfId="0" applyNumberFormat="1" applyFont="1" applyFill="1" applyBorder="1" applyAlignment="1" applyProtection="1">
      <alignment horizontal="center" vertical="center"/>
      <protection locked="0"/>
    </xf>
    <xf numFmtId="14" fontId="63" fillId="6" borderId="120" xfId="0" applyNumberFormat="1" applyFont="1" applyFill="1" applyBorder="1" applyAlignment="1" applyProtection="1">
      <alignment horizontal="center" vertical="center"/>
      <protection locked="0"/>
    </xf>
    <xf numFmtId="3" fontId="58" fillId="9" borderId="120" xfId="0" applyNumberFormat="1" applyFont="1" applyFill="1" applyBorder="1" applyAlignment="1" applyProtection="1">
      <alignment horizontal="center" vertical="center"/>
      <protection locked="0"/>
    </xf>
    <xf numFmtId="164" fontId="63" fillId="23" borderId="120" xfId="0" applyNumberFormat="1" applyFont="1" applyFill="1" applyBorder="1" applyAlignment="1" applyProtection="1">
      <alignment horizontal="center" vertical="center"/>
      <protection locked="0"/>
    </xf>
    <xf numFmtId="171" fontId="58" fillId="6" borderId="120" xfId="0" applyNumberFormat="1" applyFont="1" applyFill="1" applyBorder="1" applyAlignment="1" applyProtection="1">
      <alignment horizontal="left" vertical="center"/>
      <protection locked="0"/>
    </xf>
    <xf numFmtId="171" fontId="59" fillId="25" borderId="96" xfId="0" applyNumberFormat="1" applyFont="1" applyFill="1" applyBorder="1" applyAlignment="1" applyProtection="1">
      <alignment horizontal="left" vertical="center"/>
      <protection locked="0"/>
    </xf>
    <xf numFmtId="171" fontId="16" fillId="0" borderId="110" xfId="0" applyNumberFormat="1" applyFont="1" applyBorder="1" applyAlignment="1" applyProtection="1">
      <protection locked="0"/>
    </xf>
    <xf numFmtId="164" fontId="58" fillId="6" borderId="96" xfId="0" applyNumberFormat="1" applyFont="1" applyFill="1" applyBorder="1" applyAlignment="1" applyProtection="1">
      <alignment horizontal="center" vertical="center"/>
      <protection locked="0"/>
    </xf>
    <xf numFmtId="9" fontId="58" fillId="23" borderId="96" xfId="0" applyNumberFormat="1" applyFont="1" applyFill="1" applyBorder="1" applyAlignment="1" applyProtection="1">
      <alignment horizontal="center" vertical="center"/>
      <protection locked="0"/>
    </xf>
    <xf numFmtId="164" fontId="58" fillId="23" borderId="96" xfId="0" applyNumberFormat="1" applyFont="1" applyFill="1" applyBorder="1" applyAlignment="1" applyProtection="1">
      <alignment horizontal="center" vertical="center"/>
      <protection locked="0"/>
    </xf>
    <xf numFmtId="9" fontId="58" fillId="6" borderId="96" xfId="0" applyNumberFormat="1" applyFont="1" applyFill="1" applyBorder="1" applyAlignment="1" applyProtection="1">
      <alignment horizontal="center" vertical="center"/>
      <protection locked="0"/>
    </xf>
    <xf numFmtId="192" fontId="83" fillId="0" borderId="0" xfId="0" applyNumberFormat="1" applyFont="1" applyAlignment="1" applyProtection="1">
      <protection locked="0"/>
    </xf>
    <xf numFmtId="16" fontId="0" fillId="0" borderId="0" xfId="0" applyNumberFormat="1" applyFont="1" applyAlignment="1" applyProtection="1">
      <protection locked="0"/>
    </xf>
    <xf numFmtId="180" fontId="72" fillId="0" borderId="0" xfId="1" applyNumberFormat="1" applyFont="1" applyAlignment="1" applyProtection="1">
      <protection locked="0"/>
    </xf>
    <xf numFmtId="168" fontId="72" fillId="0" borderId="0" xfId="2" applyNumberFormat="1" applyFont="1" applyAlignment="1" applyProtection="1">
      <protection locked="0"/>
    </xf>
    <xf numFmtId="164" fontId="0" fillId="0" borderId="0" xfId="0" applyNumberFormat="1" applyFont="1" applyAlignment="1" applyProtection="1">
      <protection locked="0"/>
    </xf>
    <xf numFmtId="0" fontId="7" fillId="0" borderId="0" xfId="0" applyFont="1" applyAlignment="1" applyProtection="1">
      <protection locked="0"/>
    </xf>
    <xf numFmtId="164" fontId="59" fillId="6" borderId="127" xfId="0" applyNumberFormat="1" applyFont="1" applyFill="1" applyBorder="1" applyAlignment="1" applyProtection="1">
      <alignment horizontal="center" vertical="center"/>
      <protection locked="0"/>
    </xf>
    <xf numFmtId="171" fontId="0" fillId="0" borderId="0" xfId="0" applyNumberFormat="1" applyFont="1" applyAlignment="1" applyProtection="1">
      <protection locked="0"/>
    </xf>
    <xf numFmtId="10" fontId="0" fillId="0" borderId="0" xfId="2" applyNumberFormat="1" applyFont="1" applyAlignment="1" applyProtection="1">
      <protection locked="0"/>
    </xf>
    <xf numFmtId="9" fontId="0" fillId="0" borderId="0" xfId="2" applyFont="1" applyAlignment="1" applyProtection="1">
      <protection locked="0"/>
    </xf>
    <xf numFmtId="168" fontId="0" fillId="0" borderId="0" xfId="2" applyNumberFormat="1" applyFont="1" applyAlignment="1" applyProtection="1">
      <protection locked="0"/>
    </xf>
    <xf numFmtId="44" fontId="72" fillId="0" borderId="0" xfId="1" applyFont="1" applyAlignment="1" applyProtection="1">
      <protection locked="0"/>
    </xf>
    <xf numFmtId="0" fontId="4" fillId="0" borderId="0" xfId="0" applyFont="1" applyAlignment="1" applyProtection="1">
      <protection locked="0"/>
    </xf>
    <xf numFmtId="14" fontId="0" fillId="0" borderId="0" xfId="0" applyNumberFormat="1" applyFont="1" applyAlignment="1" applyProtection="1">
      <alignment horizontal="right"/>
      <protection locked="0"/>
    </xf>
    <xf numFmtId="0" fontId="3" fillId="0" borderId="0" xfId="0" applyFont="1"/>
    <xf numFmtId="0" fontId="3" fillId="0" borderId="0" xfId="0" applyFont="1" applyAlignment="1">
      <alignment horizontal="right"/>
    </xf>
    <xf numFmtId="0" fontId="3" fillId="0" borderId="0" xfId="0" applyFont="1" applyAlignment="1"/>
    <xf numFmtId="0" fontId="2" fillId="0" borderId="0" xfId="0" applyFont="1" applyAlignment="1"/>
    <xf numFmtId="14" fontId="59" fillId="6" borderId="31" xfId="0" applyNumberFormat="1" applyFont="1" applyFill="1" applyBorder="1" applyAlignment="1">
      <alignment horizontal="left" vertical="center"/>
    </xf>
    <xf numFmtId="17" fontId="20" fillId="0" borderId="0" xfId="0" applyNumberFormat="1" applyFont="1" applyAlignment="1" applyProtection="1">
      <alignment horizontal="center"/>
      <protection locked="0"/>
    </xf>
    <xf numFmtId="17" fontId="20" fillId="0" borderId="82" xfId="0" applyNumberFormat="1" applyFont="1" applyBorder="1" applyAlignment="1" applyProtection="1">
      <alignment horizontal="center"/>
      <protection locked="0"/>
    </xf>
    <xf numFmtId="0" fontId="2" fillId="0" borderId="0" xfId="0" applyFont="1"/>
    <xf numFmtId="0" fontId="0" fillId="0" borderId="0" xfId="0" applyFont="1"/>
    <xf numFmtId="14" fontId="0" fillId="0" borderId="0" xfId="0" applyNumberFormat="1" applyFont="1" applyAlignment="1" applyProtection="1">
      <alignment horizontal="center"/>
      <protection locked="0"/>
    </xf>
    <xf numFmtId="14" fontId="0" fillId="0" borderId="0" xfId="1" applyNumberFormat="1" applyFont="1" applyAlignment="1" applyProtection="1">
      <alignment horizontal="center"/>
      <protection locked="0"/>
    </xf>
    <xf numFmtId="3" fontId="31" fillId="0" borderId="0" xfId="0" applyNumberFormat="1" applyFont="1" applyProtection="1">
      <protection locked="0"/>
    </xf>
    <xf numFmtId="3" fontId="14" fillId="0" borderId="0" xfId="0" applyNumberFormat="1" applyFont="1" applyAlignment="1" applyProtection="1">
      <protection locked="0"/>
    </xf>
    <xf numFmtId="3" fontId="35" fillId="13" borderId="26" xfId="0" applyNumberFormat="1" applyFont="1" applyFill="1" applyBorder="1" applyAlignment="1" applyProtection="1">
      <alignment horizontal="center" vertical="center" wrapText="1"/>
      <protection locked="0"/>
    </xf>
    <xf numFmtId="3" fontId="0" fillId="0" borderId="0" xfId="0" applyNumberFormat="1" applyFont="1" applyAlignment="1" applyProtection="1">
      <protection locked="0"/>
    </xf>
    <xf numFmtId="180" fontId="35" fillId="13" borderId="24" xfId="1" applyNumberFormat="1" applyFont="1" applyFill="1" applyBorder="1" applyAlignment="1" applyProtection="1">
      <alignment horizontal="center" vertical="center" wrapText="1"/>
      <protection locked="0"/>
    </xf>
    <xf numFmtId="180" fontId="58" fillId="6" borderId="0" xfId="1" applyNumberFormat="1" applyFont="1" applyFill="1" applyAlignment="1" applyProtection="1">
      <alignment horizontal="center" vertical="center"/>
      <protection locked="0"/>
    </xf>
    <xf numFmtId="180" fontId="58" fillId="6" borderId="0" xfId="1" applyNumberFormat="1" applyFont="1" applyFill="1" applyBorder="1" applyAlignment="1" applyProtection="1">
      <alignment horizontal="center" vertical="center"/>
      <protection locked="0"/>
    </xf>
    <xf numFmtId="180" fontId="58" fillId="6" borderId="125" xfId="1" applyNumberFormat="1" applyFont="1" applyFill="1" applyBorder="1" applyAlignment="1" applyProtection="1">
      <alignment horizontal="center" vertical="center"/>
      <protection locked="0"/>
    </xf>
    <xf numFmtId="1" fontId="58" fillId="0" borderId="83" xfId="0" applyNumberFormat="1" applyFont="1" applyFill="1" applyBorder="1" applyAlignment="1" applyProtection="1">
      <alignment horizontal="center" vertical="center"/>
      <protection locked="0"/>
    </xf>
    <xf numFmtId="1" fontId="58" fillId="6" borderId="111" xfId="0" applyNumberFormat="1" applyFont="1" applyFill="1" applyBorder="1" applyAlignment="1">
      <alignment horizontal="center" vertical="center"/>
    </xf>
    <xf numFmtId="3" fontId="16" fillId="2" borderId="1" xfId="0" applyNumberFormat="1" applyFont="1" applyFill="1" applyBorder="1" applyAlignment="1">
      <alignment horizontal="center"/>
    </xf>
    <xf numFmtId="3" fontId="0" fillId="21" borderId="0" xfId="0" applyNumberFormat="1" applyFont="1" applyFill="1" applyAlignment="1">
      <alignment horizontal="right"/>
    </xf>
    <xf numFmtId="0" fontId="0" fillId="0" borderId="156" xfId="0" applyFont="1" applyBorder="1" applyAlignment="1">
      <alignment vertical="center"/>
    </xf>
    <xf numFmtId="0" fontId="0" fillId="0" borderId="0" xfId="0" applyFont="1" applyAlignment="1">
      <alignment horizontal="left" indent="1"/>
    </xf>
    <xf numFmtId="10" fontId="0" fillId="0" borderId="0" xfId="0" applyNumberFormat="1" applyFont="1" applyAlignment="1">
      <alignment horizontal="right"/>
    </xf>
    <xf numFmtId="9" fontId="0" fillId="17" borderId="0" xfId="0" applyNumberFormat="1" applyFont="1" applyFill="1" applyAlignment="1"/>
    <xf numFmtId="17" fontId="0" fillId="0" borderId="0" xfId="0" applyNumberFormat="1" applyFont="1" applyAlignment="1">
      <alignment horizontal="right" vertical="center"/>
    </xf>
    <xf numFmtId="9" fontId="0" fillId="0" borderId="0" xfId="0" applyNumberFormat="1" applyFont="1" applyAlignment="1">
      <alignment horizontal="right"/>
    </xf>
    <xf numFmtId="14" fontId="59" fillId="6" borderId="124" xfId="0" applyNumberFormat="1" applyFont="1" applyFill="1" applyBorder="1" applyAlignment="1" applyProtection="1">
      <alignment horizontal="left" vertical="center"/>
      <protection locked="0"/>
    </xf>
    <xf numFmtId="180" fontId="0" fillId="0" borderId="0" xfId="0" applyNumberFormat="1" applyFont="1" applyAlignment="1">
      <alignment horizontal="right" vertical="center" wrapText="1"/>
    </xf>
    <xf numFmtId="0" fontId="0" fillId="0" borderId="0" xfId="0" applyFont="1" applyAlignment="1"/>
    <xf numFmtId="164" fontId="58" fillId="29" borderId="114" xfId="0" applyNumberFormat="1" applyFont="1" applyFill="1" applyBorder="1" applyAlignment="1" applyProtection="1">
      <alignment horizontal="center" vertical="center"/>
      <protection locked="0"/>
    </xf>
    <xf numFmtId="180" fontId="1" fillId="0" borderId="0" xfId="0" applyNumberFormat="1" applyFont="1" applyAlignment="1" applyProtection="1">
      <protection locked="0"/>
    </xf>
    <xf numFmtId="192" fontId="1" fillId="0" borderId="0" xfId="0" applyNumberFormat="1" applyFont="1" applyAlignment="1" applyProtection="1">
      <protection locked="0"/>
    </xf>
    <xf numFmtId="0" fontId="1" fillId="0" borderId="0" xfId="0" applyFont="1" applyAlignment="1"/>
    <xf numFmtId="3" fontId="58" fillId="30" borderId="83" xfId="0" applyNumberFormat="1" applyFont="1" applyFill="1" applyBorder="1" applyAlignment="1" applyProtection="1">
      <alignment horizontal="center" vertical="center"/>
      <protection locked="0"/>
    </xf>
    <xf numFmtId="192" fontId="58" fillId="6" borderId="111" xfId="0" applyNumberFormat="1" applyFont="1" applyFill="1" applyBorder="1" applyAlignment="1" applyProtection="1">
      <alignment horizontal="center" vertical="center"/>
      <protection locked="0"/>
    </xf>
    <xf numFmtId="0" fontId="98" fillId="0" borderId="0" xfId="0" applyFont="1" applyAlignment="1">
      <alignment vertical="center"/>
    </xf>
    <xf numFmtId="0" fontId="1" fillId="0" borderId="0" xfId="0" applyFont="1" applyAlignment="1" applyProtection="1">
      <protection locked="0"/>
    </xf>
    <xf numFmtId="0" fontId="51" fillId="0" borderId="0" xfId="0" applyFont="1" applyAlignment="1">
      <alignment horizontal="center"/>
    </xf>
    <xf numFmtId="0" fontId="0" fillId="0" borderId="0" xfId="0" applyFont="1" applyAlignment="1"/>
    <xf numFmtId="180" fontId="0" fillId="0" borderId="0" xfId="1" applyNumberFormat="1" applyFont="1" applyAlignment="1"/>
    <xf numFmtId="0" fontId="28" fillId="0" borderId="42" xfId="0" applyFont="1" applyBorder="1" applyAlignment="1">
      <alignment horizontal="center"/>
    </xf>
    <xf numFmtId="0" fontId="34" fillId="0" borderId="43" xfId="0" applyFont="1" applyBorder="1"/>
    <xf numFmtId="0" fontId="44" fillId="0" borderId="0" xfId="0" applyFont="1" applyAlignment="1">
      <alignment horizontal="left" wrapText="1"/>
    </xf>
    <xf numFmtId="0" fontId="32" fillId="0" borderId="0" xfId="0" applyFont="1" applyAlignment="1">
      <alignment horizontal="center"/>
    </xf>
    <xf numFmtId="14" fontId="33" fillId="5" borderId="17" xfId="0" applyNumberFormat="1" applyFont="1" applyFill="1" applyBorder="1" applyAlignment="1">
      <alignment horizontal="center" vertical="center" wrapText="1"/>
    </xf>
    <xf numFmtId="0" fontId="34" fillId="0" borderId="18" xfId="0" applyFont="1" applyBorder="1"/>
    <xf numFmtId="0" fontId="34" fillId="0" borderId="19" xfId="0" applyFont="1" applyBorder="1"/>
    <xf numFmtId="14" fontId="33" fillId="5" borderId="20" xfId="0" applyNumberFormat="1" applyFont="1" applyFill="1" applyBorder="1" applyAlignment="1">
      <alignment horizontal="center" vertical="center" wrapText="1"/>
    </xf>
    <xf numFmtId="0" fontId="34" fillId="0" borderId="21" xfId="0" applyFont="1" applyBorder="1"/>
    <xf numFmtId="0" fontId="34" fillId="0" borderId="22" xfId="0" applyFont="1" applyBorder="1"/>
    <xf numFmtId="0" fontId="34" fillId="0" borderId="23" xfId="0" applyFont="1" applyBorder="1"/>
    <xf numFmtId="14" fontId="39" fillId="6" borderId="28" xfId="0" applyNumberFormat="1" applyFont="1" applyFill="1" applyBorder="1" applyAlignment="1">
      <alignment horizontal="center" vertical="center"/>
    </xf>
    <xf numFmtId="0" fontId="34" fillId="0" borderId="29" xfId="0" applyFont="1" applyBorder="1"/>
    <xf numFmtId="0" fontId="20" fillId="0" borderId="0" xfId="0" applyFont="1" applyAlignment="1">
      <alignment horizontal="left" wrapText="1"/>
    </xf>
    <xf numFmtId="0" fontId="15" fillId="0" borderId="0" xfId="0" applyFont="1" applyAlignment="1"/>
    <xf numFmtId="0" fontId="81" fillId="0" borderId="0" xfId="0" applyFont="1" applyAlignment="1">
      <alignment horizontal="center"/>
    </xf>
    <xf numFmtId="0" fontId="82" fillId="0" borderId="0" xfId="0" applyFont="1" applyAlignment="1"/>
    <xf numFmtId="14" fontId="78" fillId="3" borderId="49" xfId="0" applyNumberFormat="1" applyFont="1" applyFill="1" applyBorder="1" applyAlignment="1">
      <alignment horizontal="center" vertical="center" wrapText="1"/>
    </xf>
    <xf numFmtId="0" fontId="34" fillId="0" borderId="53" xfId="0" applyFont="1" applyBorder="1"/>
    <xf numFmtId="14" fontId="78" fillId="3" borderId="50" xfId="0" applyNumberFormat="1" applyFont="1" applyFill="1" applyBorder="1" applyAlignment="1">
      <alignment horizontal="center" vertical="center" wrapText="1"/>
    </xf>
    <xf numFmtId="0" fontId="34" fillId="0" borderId="51" xfId="0" applyFont="1" applyBorder="1"/>
    <xf numFmtId="0" fontId="34" fillId="0" borderId="52" xfId="0" applyFont="1" applyBorder="1"/>
    <xf numFmtId="2" fontId="78" fillId="3" borderId="50" xfId="0" applyNumberFormat="1" applyFont="1" applyFill="1" applyBorder="1" applyAlignment="1">
      <alignment horizontal="center" vertical="center" wrapText="1"/>
    </xf>
    <xf numFmtId="0" fontId="21" fillId="0" borderId="0" xfId="0" applyFont="1" applyAlignment="1">
      <alignment horizontal="center"/>
    </xf>
    <xf numFmtId="1" fontId="78" fillId="3" borderId="50" xfId="0" applyNumberFormat="1" applyFont="1" applyFill="1" applyBorder="1" applyAlignment="1">
      <alignment horizontal="center" vertical="center" wrapText="1"/>
    </xf>
    <xf numFmtId="0" fontId="52" fillId="0" borderId="0" xfId="0" applyFont="1" applyAlignment="1">
      <alignment horizontal="center" vertical="center" wrapText="1"/>
    </xf>
    <xf numFmtId="0" fontId="43" fillId="0" borderId="0" xfId="0" applyFont="1" applyAlignment="1">
      <alignment horizontal="left" wrapText="1"/>
    </xf>
    <xf numFmtId="0" fontId="16" fillId="12" borderId="79" xfId="0" applyFont="1" applyFill="1" applyBorder="1" applyAlignment="1">
      <alignment horizontal="center"/>
    </xf>
    <xf numFmtId="0" fontId="34" fillId="0" borderId="99" xfId="0" applyFont="1" applyBorder="1"/>
    <xf numFmtId="0" fontId="20" fillId="0" borderId="100" xfId="0" applyFont="1" applyBorder="1" applyAlignment="1">
      <alignment horizontal="center"/>
    </xf>
    <xf numFmtId="0" fontId="34" fillId="0" borderId="101" xfId="0" applyFont="1" applyBorder="1"/>
    <xf numFmtId="0" fontId="16" fillId="10" borderId="72" xfId="0" applyFont="1" applyFill="1" applyBorder="1" applyAlignment="1">
      <alignment horizontal="center"/>
    </xf>
    <xf numFmtId="0" fontId="34" fillId="0" borderId="98" xfId="0" applyFont="1" applyBorder="1"/>
    <xf numFmtId="0" fontId="16" fillId="11" borderId="72" xfId="0" applyFont="1" applyFill="1" applyBorder="1" applyAlignment="1">
      <alignment horizontal="center"/>
    </xf>
    <xf numFmtId="0" fontId="20" fillId="0" borderId="0" xfId="0" applyFont="1" applyAlignment="1">
      <alignment horizontal="center"/>
    </xf>
    <xf numFmtId="14" fontId="79" fillId="6" borderId="70" xfId="0" applyNumberFormat="1" applyFont="1" applyFill="1" applyBorder="1" applyAlignment="1">
      <alignment horizontal="center" vertical="center"/>
    </xf>
    <xf numFmtId="0" fontId="34" fillId="0" borderId="92" xfId="0" applyFont="1" applyBorder="1"/>
    <xf numFmtId="0" fontId="20" fillId="0" borderId="42" xfId="0" applyFont="1" applyBorder="1" applyAlignment="1">
      <alignment horizontal="center"/>
    </xf>
    <xf numFmtId="0" fontId="16" fillId="9" borderId="73" xfId="0" applyFont="1" applyFill="1" applyBorder="1" applyAlignment="1">
      <alignment horizontal="center"/>
    </xf>
    <xf numFmtId="0" fontId="34" fillId="0" borderId="74" xfId="0" applyFont="1" applyBorder="1"/>
  </cellXfs>
  <cellStyles count="10">
    <cellStyle name="Moneda" xfId="1" builtinId="4"/>
    <cellStyle name="Moneda 2" xfId="5" xr:uid="{E4B9FA79-ADAE-4863-BD60-D1AA846E9844}"/>
    <cellStyle name="Normal" xfId="0" builtinId="0"/>
    <cellStyle name="Normal 2" xfId="3" xr:uid="{85CB70D2-1EB0-4883-A687-3E1F72E1CA2D}"/>
    <cellStyle name="Normal 2 2" xfId="9" xr:uid="{022B2CD8-BB06-4099-AE67-E01D7994E0C9}"/>
    <cellStyle name="Normal 3" xfId="4" xr:uid="{52639850-B2E4-4D96-8011-3F55BB62ABD1}"/>
    <cellStyle name="Normal 4" xfId="7" xr:uid="{B6D9B0D0-26B7-4A2C-8D59-61EE119189E1}"/>
    <cellStyle name="Normal 5" xfId="8" xr:uid="{B90C5DD0-282B-4973-AC58-DC40961DFD27}"/>
    <cellStyle name="Porcentaje" xfId="2" builtinId="5"/>
    <cellStyle name="Porcentaje 2" xfId="6" xr:uid="{45B46D19-D7B8-446C-8B06-0989EBB9311C}"/>
  </cellStyles>
  <dxfs count="636">
    <dxf>
      <numFmt numFmtId="168" formatCode="0.0%"/>
    </dxf>
    <dxf>
      <alignment vertical="center"/>
    </dxf>
    <dxf>
      <numFmt numFmtId="1" formatCode="0"/>
      <alignment horizontal="right" wrapText="1"/>
    </dxf>
    <dxf>
      <numFmt numFmtId="14" formatCode="0.00%"/>
    </dxf>
    <dxf>
      <alignment horizontal="right"/>
    </dxf>
    <dxf>
      <alignment horizontal="right"/>
    </dxf>
    <dxf>
      <alignment wrapText="1"/>
    </dxf>
    <dxf>
      <alignment horizontal="right"/>
    </dxf>
    <dxf>
      <alignment horizontal="right"/>
    </dxf>
    <dxf>
      <alignment wrapText="1"/>
    </dxf>
    <dxf>
      <numFmt numFmtId="1" formatCode="0"/>
    </dxf>
    <dxf>
      <numFmt numFmtId="1" formatCode="0"/>
    </dxf>
    <dxf>
      <numFmt numFmtId="180" formatCode="_-&quot;$&quot;\ * #,##0_-;\-&quot;$&quot;\ * #,##0_-;_-&quot;$&quot;\ * &quot;-&quot;??_-;_-@_-"/>
    </dxf>
    <dxf>
      <numFmt numFmtId="180" formatCode="_-&quot;$&quot;\ * #,##0_-;\-&quot;$&quot;\ * #,##0_-;_-&quot;$&quot;\ * &quot;-&quot;??_-;_-@_-"/>
    </dxf>
    <dxf>
      <numFmt numFmtId="168" formatCode="0.0%"/>
    </dxf>
    <dxf>
      <numFmt numFmtId="168" formatCode="0.0%"/>
    </dxf>
    <dxf>
      <numFmt numFmtId="3" formatCode="#,##0"/>
    </dxf>
    <dxf>
      <numFmt numFmtId="3" formatCode="#,##0"/>
    </dxf>
    <dxf>
      <alignment vertical="center"/>
    </dxf>
    <dxf>
      <numFmt numFmtId="1" formatCode="0"/>
      <alignment horizontal="right" wrapText="1"/>
    </dxf>
    <dxf>
      <numFmt numFmtId="14" formatCode="0.00%"/>
    </dxf>
    <dxf>
      <alignment horizontal="right"/>
    </dxf>
    <dxf>
      <alignment horizontal="right"/>
    </dxf>
    <dxf>
      <alignment wrapText="1"/>
    </dxf>
    <dxf>
      <alignment horizontal="right"/>
    </dxf>
    <dxf>
      <alignment horizontal="right"/>
    </dxf>
    <dxf>
      <alignment wrapText="1"/>
    </dxf>
    <dxf>
      <numFmt numFmtId="1" formatCode="0"/>
    </dxf>
    <dxf>
      <numFmt numFmtId="1" formatCode="0"/>
    </dxf>
    <dxf>
      <numFmt numFmtId="180" formatCode="_-&quot;$&quot;\ * #,##0_-;\-&quot;$&quot;\ * #,##0_-;_-&quot;$&quot;\ * &quot;-&quot;??_-;_-@_-"/>
    </dxf>
    <dxf>
      <numFmt numFmtId="180" formatCode="_-&quot;$&quot;\ * #,##0_-;\-&quot;$&quot;\ * #,##0_-;_-&quot;$&quot;\ *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3" formatCode="#,##0"/>
    </dxf>
    <dxf>
      <numFmt numFmtId="3" formatCode="#,##0"/>
    </dxf>
    <dxf>
      <alignment horizontal="center"/>
    </dxf>
    <dxf>
      <alignment horizontal="center"/>
    </dxf>
    <dxf>
      <alignment horizontal="center"/>
    </dxf>
    <dxf>
      <alignment horizontal="center"/>
    </dxf>
    <dxf>
      <alignment wrapText="1"/>
    </dxf>
    <dxf>
      <alignment wrapText="1"/>
    </dxf>
    <dxf>
      <numFmt numFmtId="3" formatCode="#,##0"/>
    </dxf>
    <dxf>
      <numFmt numFmtId="3" formatCode="#,##0"/>
    </dxf>
    <dxf>
      <fill>
        <patternFill>
          <bgColor theme="0"/>
        </patternFill>
      </fill>
    </dxf>
    <dxf>
      <fill>
        <patternFill>
          <bgColor theme="0"/>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34" formatCode="_-&quot;$&quot;\ * #,##0.00_-;\-&quot;$&quot;\ * #,##0.00_-;_-&quot;$&quot;\ * &quot;-&quot;??_-;_-@_-"/>
    </dxf>
    <dxf>
      <font>
        <b val="0"/>
        <i val="0"/>
        <strike val="0"/>
        <condense val="0"/>
        <extend val="0"/>
        <outline val="0"/>
        <shadow val="0"/>
        <u val="none"/>
        <vertAlign val="baseline"/>
        <sz val="11"/>
        <color theme="1"/>
        <name val="Calibri"/>
        <family val="2"/>
        <scheme val="none"/>
      </font>
      <numFmt numFmtId="180" formatCode="_-&quot;$&quot;\ * #,##0_-;\-&quot;$&quot;\ * #,##0_-;_-&quot;$&quot;\ * &quot;-&quot;??_-;_-@_-"/>
    </dxf>
    <dxf>
      <font>
        <b val="0"/>
        <i val="0"/>
        <strike val="0"/>
        <condense val="0"/>
        <extend val="0"/>
        <outline val="0"/>
        <shadow val="0"/>
        <u val="none"/>
        <vertAlign val="baseline"/>
        <sz val="11"/>
        <color theme="1"/>
        <name val="Calibri"/>
        <family val="2"/>
        <scheme val="none"/>
      </font>
      <numFmt numFmtId="21" formatCode="d\-mmm"/>
    </dxf>
    <dxf>
      <font>
        <b val="0"/>
        <i val="0"/>
        <strike val="0"/>
        <condense val="0"/>
        <extend val="0"/>
        <outline val="0"/>
        <shadow val="0"/>
        <u val="none"/>
        <vertAlign val="baseline"/>
        <sz val="11"/>
        <color theme="1"/>
        <name val="Calibri"/>
        <family val="2"/>
        <scheme val="none"/>
      </font>
      <border diagonalUp="0" diagonalDown="0">
        <left style="medium">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9" formatCode="d/m/yyyy"/>
      <alignment horizontal="right" vertical="bottom" textRotation="0" wrapText="0" indent="0" justifyLastLine="0" shrinkToFit="0" readingOrder="0"/>
      <border diagonalUp="0" diagonalDown="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 formatCode="0"/>
      <alignment horizontal="center" vertical="bottom" textRotation="0" wrapText="0" indent="0" justifyLastLine="0" shrinkToFit="0" readingOrder="0"/>
      <border diagonalUp="0" diagonalDown="0" outline="0">
        <left style="thin">
          <color rgb="FF000000"/>
        </left>
        <right style="medium">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numFmt numFmtId="19" formatCode="d/m/yyyy"/>
      <alignment horizontal="center" vertical="bottom" textRotation="0" wrapText="0" indent="0" justifyLastLine="0" shrinkToFit="0" readingOrder="0"/>
      <border diagonalUp="0" diagonalDown="0">
        <left/>
        <right style="medium">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none"/>
      </font>
      <numFmt numFmtId="180" formatCode="_-&quot;$&quot;\ * #,##0_-;\-&quot;$&quot;\ * #,##0_-;_-&quot;$&quot;\ * &quot;-&quot;??_-;_-@_-"/>
      <fill>
        <patternFill patternType="solid">
          <fgColor theme="0"/>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80" formatCode="_-&quot;$&quot;\ * #,##0_-;\-&quot;$&quot;\ * #,##0_-;_-&quot;$&quot;\ * &quot;-&quot;??_-;_-@_-"/>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family val="2"/>
        <scheme val="none"/>
      </font>
      <fill>
        <patternFill patternType="solid">
          <fgColor theme="0"/>
          <bgColor theme="0"/>
        </patternFill>
      </fill>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 formatCode="0"/>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medium">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theme="1"/>
        <name val="Aptos Display"/>
        <family val="2"/>
        <scheme val="none"/>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2"/>
        <color rgb="FFFFFFFF"/>
        <name val="Calibri"/>
        <family val="2"/>
        <scheme val="none"/>
      </font>
      <numFmt numFmtId="2" formatCode="0.00"/>
      <fill>
        <patternFill patternType="solid">
          <fgColor rgb="FF366092"/>
          <bgColor rgb="FF366092"/>
        </patternFill>
      </fill>
      <alignment horizontal="center" vertical="center" textRotation="0" wrapText="1" indent="0" justifyLastLine="0" shrinkToFit="0" readingOrder="0"/>
    </dxf>
    <dxf>
      <fill>
        <patternFill>
          <bgColor theme="0"/>
        </patternFill>
      </fill>
    </dxf>
    <dxf>
      <fill>
        <patternFill patternType="solid">
          <bgColor rgb="FFFFC000"/>
        </patternFill>
      </fill>
    </dxf>
    <dxf>
      <fill>
        <patternFill patternType="solid">
          <bgColor rgb="FFFFC000"/>
        </patternFill>
      </fill>
    </dxf>
    <dxf>
      <alignment horizontal="center"/>
    </dxf>
    <dxf>
      <alignment wrapText="1"/>
    </dxf>
    <dxf>
      <alignment horizontal="right"/>
    </dxf>
    <dxf>
      <alignment horizontal="right"/>
    </dxf>
    <dxf>
      <alignment horizontal="right"/>
    </dxf>
    <dxf>
      <alignment horizontal="right"/>
    </dxf>
    <dxf>
      <alignment horizontal="right"/>
    </dxf>
    <dxf>
      <alignment horizontal="right"/>
    </dxf>
    <dxf>
      <alignment horizontal="right"/>
    </dxf>
    <dxf>
      <alignment vertical="center"/>
    </dxf>
    <dxf>
      <alignment vertical="center"/>
    </dxf>
    <dxf>
      <alignment vertical="center"/>
    </dxf>
    <dxf>
      <alignment vertical="center"/>
    </dxf>
    <dxf>
      <alignment vertical="center"/>
    </dxf>
    <dxf>
      <alignment vertical="center"/>
    </dxf>
    <dxf>
      <numFmt numFmtId="3" formatCode="#,##0"/>
    </dxf>
    <dxf>
      <alignment horizontal="right"/>
    </dxf>
    <dxf>
      <alignment horizontal="right"/>
    </dxf>
    <dxf>
      <numFmt numFmtId="13" formatCode="0%"/>
    </dxf>
    <dxf>
      <alignment wrapText="1"/>
    </dxf>
    <dxf>
      <numFmt numFmtId="14" formatCode="0.00%"/>
    </dxf>
    <dxf>
      <numFmt numFmtId="13" formatCode="0%"/>
    </dxf>
    <dxf>
      <numFmt numFmtId="14" formatCode="0.00%"/>
    </dxf>
    <dxf>
      <numFmt numFmtId="3" formatCode="#,##0"/>
    </dxf>
    <dxf>
      <alignment vertical="center"/>
    </dxf>
    <dxf>
      <alignment vertical="center"/>
    </dxf>
    <dxf>
      <alignment horizontal="center"/>
    </dxf>
    <dxf>
      <alignment horizontal="center"/>
    </dxf>
    <dxf>
      <numFmt numFmtId="13" formatCode="0%"/>
    </dxf>
    <dxf>
      <alignment wrapText="1"/>
    </dxf>
    <dxf>
      <numFmt numFmtId="14" formatCode="0.00%"/>
    </dxf>
    <dxf>
      <numFmt numFmtId="3" formatCode="#,##0"/>
    </dxf>
    <dxf>
      <numFmt numFmtId="3" formatCode="#,##0"/>
    </dxf>
    <dxf>
      <alignment horizontal="center"/>
    </dxf>
    <dxf>
      <alignment horizontal="center"/>
    </dxf>
    <dxf>
      <alignment horizontal="center"/>
    </dxf>
    <dxf>
      <alignment horizontal="center"/>
    </dxf>
    <dxf>
      <alignment horizontal="center"/>
    </dxf>
    <dxf>
      <alignment wrapText="1"/>
    </dxf>
    <dxf>
      <alignment wrapText="1"/>
    </dxf>
    <dxf>
      <numFmt numFmtId="3" formatCode="#,##0"/>
    </dxf>
    <dxf>
      <numFmt numFmtId="3" formatCode="#,##0"/>
    </dxf>
    <dxf>
      <alignment vertical="center"/>
    </dxf>
    <dxf>
      <fill>
        <patternFill>
          <bgColor theme="4" tint="0.79998168889431442"/>
        </patternFill>
      </fill>
    </dxf>
    <dxf>
      <font>
        <b/>
        <family val="2"/>
      </font>
      <fill>
        <patternFill patternType="solid">
          <fgColor indexed="64"/>
          <bgColor theme="4" tint="0.59999389629810485"/>
        </patternFill>
      </fill>
    </dxf>
    <dxf>
      <alignment vertical="center"/>
    </dxf>
    <dxf>
      <alignment vertical="center"/>
    </dxf>
    <dxf>
      <alignment vertical="center"/>
    </dxf>
    <dxf>
      <alignment vertical="center"/>
    </dxf>
    <dxf>
      <border>
        <top style="thin">
          <color rgb="FF999999"/>
        </top>
      </border>
    </dxf>
    <dxf>
      <border>
        <top style="thin">
          <color rgb="FF999999"/>
        </top>
      </border>
    </dxf>
    <dxf>
      <fill>
        <patternFill patternType="solid">
          <bgColor theme="4" tint="0.59999389629810485"/>
        </patternFill>
      </fill>
    </dxf>
    <dxf>
      <font>
        <b/>
        <family val="2"/>
      </font>
      <fill>
        <patternFill patternType="solid">
          <fgColor indexed="64"/>
          <bgColor theme="4" tint="0.59999389629810485"/>
        </patternFill>
      </fill>
    </dxf>
    <dxf>
      <fill>
        <patternFill patternType="solid">
          <fgColor indexed="64"/>
          <bgColor theme="4" tint="0.59999389629810485"/>
        </patternFill>
      </fill>
    </dxf>
    <dxf>
      <font>
        <b/>
        <family val="2"/>
      </font>
      <fill>
        <patternFill patternType="solid">
          <fgColor indexed="64"/>
          <bgColor theme="4" tint="0.59999389629810485"/>
        </patternFill>
      </fill>
    </dxf>
    <dxf>
      <alignment horizontal="center" vertical="center" wrapText="1"/>
    </dxf>
    <dxf>
      <numFmt numFmtId="3" formatCode="#,##0"/>
    </dxf>
    <dxf>
      <fill>
        <patternFill patternType="solid">
          <bgColor rgb="FFFFFF00"/>
        </patternFill>
      </fill>
    </dxf>
    <dxf>
      <alignment horizontal="right"/>
    </dxf>
    <dxf>
      <alignment horizontal="right"/>
    </dxf>
    <dxf>
      <alignment horizontal="right"/>
    </dxf>
    <dxf>
      <alignment vertical="center"/>
    </dxf>
    <dxf>
      <alignment wrapText="1"/>
    </dxf>
    <dxf>
      <alignment vertical="center"/>
    </dxf>
    <dxf>
      <alignment horizontal="right"/>
    </dxf>
    <dxf>
      <numFmt numFmtId="192" formatCode="_-[$USD]\ * #,##0_-;\-[$USD]\ * #,##0_-;_-[$USD]\ * &quot;-&quot;_-;_-@_-"/>
      <alignment horizontal="right"/>
    </dxf>
    <dxf>
      <numFmt numFmtId="192" formatCode="_-[$USD]\ * #,##0_-;\-[$USD]\ * #,##0_-;_-[$USD]\ * &quot;-&quot;_-;_-@_-"/>
      <alignment horizontal="right" vertical="center" wrapText="1"/>
    </dxf>
    <dxf>
      <numFmt numFmtId="13" formatCode="0%"/>
    </dxf>
    <dxf>
      <numFmt numFmtId="192" formatCode="_-[$USD]\ * #,##0_-;\-[$USD]\ * #,##0_-;_-[$USD]\ * &quot;-&quot;_-;_-@_-"/>
      <alignment horizontal="center" vertical="center"/>
    </dxf>
    <dxf>
      <numFmt numFmtId="175" formatCode="[$USD]\ #,##0"/>
    </dxf>
    <dxf>
      <numFmt numFmtId="192" formatCode="_-[$USD]\ * #,##0_-;\-[$USD]\ * #,##0_-;_-[$USD]\ * &quot;-&quot;_-;_-@_-"/>
      <alignment horizontal="right"/>
    </dxf>
    <dxf>
      <alignment horizontal="right"/>
    </dxf>
    <dxf>
      <alignment horizontal="right"/>
    </dxf>
    <dxf>
      <alignment horizontal="right"/>
    </dxf>
    <dxf>
      <numFmt numFmtId="192" formatCode="_-[$USD]\ * #,##0_-;\-[$USD]\ * #,##0_-;_-[$USD]\ * &quot;-&quot;_-;_-@_-"/>
      <alignment vertical="center" wrapText="1"/>
    </dxf>
    <dxf>
      <numFmt numFmtId="3" formatCode="#,##0"/>
      <alignment vertical="center" wrapText="1"/>
    </dxf>
    <dxf>
      <numFmt numFmtId="3" formatCode="#,##0"/>
      <alignment vertical="center" wrapText="1"/>
    </dxf>
    <dxf>
      <numFmt numFmtId="180" formatCode="_-&quot;$&quot;\ * #,##0_-;\-&quot;$&quot;\ * #,##0_-;_-&quot;$&quot;\ * &quot;-&quot;??_-;_-@_-"/>
    </dxf>
    <dxf>
      <numFmt numFmtId="175" formatCode="[$USD]\ #,##0"/>
    </dxf>
    <dxf>
      <alignment vertical="center"/>
    </dxf>
    <dxf>
      <alignment vertical="center"/>
    </dxf>
    <dxf>
      <alignment horizontal="general"/>
    </dxf>
    <dxf>
      <alignment horizontal="general"/>
    </dxf>
    <dxf>
      <alignment wrapText="1"/>
    </dxf>
    <dxf>
      <numFmt numFmtId="180" formatCode="_-&quot;$&quot;\ * #,##0_-;\-&quot;$&quot;\ * #,##0_-;_-&quot;$&quot;\ * &quot;-&quot;??_-;_-@_-"/>
    </dxf>
    <dxf>
      <numFmt numFmtId="180" formatCode="_-&quot;$&quot;\ * #,##0_-;\-&quot;$&quot;\ * #,##0_-;_-&quot;$&quot;\ * &quot;-&quot;??_-;_-@_-"/>
    </dxf>
    <dxf>
      <numFmt numFmtId="3" formatCode="#,##0"/>
    </dxf>
    <dxf>
      <numFmt numFmtId="3" formatCode="#,##0"/>
    </dxf>
    <dxf>
      <alignment horizontal="center"/>
    </dxf>
    <dxf>
      <alignment vertical="center"/>
    </dxf>
    <dxf>
      <alignment vertical="center"/>
    </dxf>
    <dxf>
      <numFmt numFmtId="192" formatCode="_-[$USD]\ * #,##0_-;\-[$USD]\ * #,##0_-;_-[$USD]\ * &quot;-&quot;_-;_-@_-"/>
    </dxf>
    <dxf>
      <numFmt numFmtId="192" formatCode="_-[$USD]\ * #,##0_-;\-[$USD]\ * #,##0_-;_-[$USD]\ * &quot;-&quot;_-;_-@_-"/>
      <alignment horizontal="center" vertical="center" wrapText="1"/>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vertical="center"/>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3" formatCode="#,##0"/>
    </dxf>
    <dxf>
      <numFmt numFmtId="3" formatCode="#,##0"/>
    </dxf>
    <dxf>
      <alignment horizontal="center"/>
    </dxf>
    <dxf>
      <alignment horizontal="center"/>
    </dxf>
    <dxf>
      <alignment horizontal="center"/>
    </dxf>
    <dxf>
      <alignment horizontal="center"/>
    </dxf>
    <dxf>
      <alignment horizontal="center"/>
    </dxf>
    <dxf>
      <alignment wrapText="1"/>
    </dxf>
    <dxf>
      <alignment wrapText="1"/>
    </dxf>
    <dxf>
      <numFmt numFmtId="3" formatCode="#,##0"/>
    </dxf>
    <dxf>
      <numFmt numFmtId="3" formatCode="#,##0"/>
    </dxf>
    <dxf>
      <alignment horizontal="right"/>
    </dxf>
    <dxf>
      <alignment wrapText="1"/>
    </dxf>
    <dxf>
      <alignment vertical="center"/>
    </dxf>
    <dxf>
      <alignment vertical="center"/>
    </dxf>
    <dxf>
      <alignment vertic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wrapText="1"/>
    </dxf>
    <dxf>
      <alignment wrapText="1"/>
    </dxf>
    <dxf>
      <alignment wrapText="1"/>
    </dxf>
    <dxf>
      <alignment vertical="center"/>
    </dxf>
    <dxf>
      <alignment vertical="center"/>
    </dxf>
    <dxf>
      <alignment horizontal="center"/>
    </dxf>
    <dxf>
      <alignment horizontal="center"/>
    </dxf>
    <dxf>
      <alignment horizontal="center"/>
    </dxf>
    <dxf>
      <numFmt numFmtId="3" formatCode="#,##0"/>
    </dxf>
    <dxf>
      <numFmt numFmtId="3" formatCode="#,##0"/>
    </dxf>
    <dxf>
      <numFmt numFmtId="13" formatCode="0%"/>
    </dxf>
    <dxf>
      <alignment horizontal="left"/>
    </dxf>
    <dxf>
      <alignment horizontal="center"/>
    </dxf>
    <dxf>
      <numFmt numFmtId="3" formatCode="#,##0"/>
      <alignment horizontal="center" vertical="center" wrapText="1"/>
    </dxf>
    <dxf>
      <alignment horizontal="center"/>
    </dxf>
    <dxf>
      <alignment wrapText="1"/>
    </dxf>
    <dxf>
      <numFmt numFmtId="3" formatCode="#,##0"/>
      <alignment horizontal="center" vertical="center" wrapText="1"/>
    </dxf>
    <dxf>
      <numFmt numFmtId="192" formatCode="_-[$USD]\ * #,##0_-;\-[$USD]\ * #,##0_-;_-[$USD]\ * &quot;-&quot;_-;_-@_-"/>
    </dxf>
    <dxf>
      <numFmt numFmtId="192" formatCode="_-[$USD]\ * #,##0_-;\-[$USD]\ * #,##0_-;_-[$USD]\ * &quot;-&quot;_-;_-@_-"/>
    </dxf>
    <dxf>
      <numFmt numFmtId="3" formatCode="#,##0"/>
      <alignment horizontal="center" vertical="center" wrapText="1"/>
    </dxf>
    <dxf>
      <alignment horizontal="center"/>
    </dxf>
    <dxf>
      <numFmt numFmtId="192" formatCode="_-[$USD]\ * #,##0_-;\-[$USD]\ * #,##0_-;_-[$USD]\ * &quot;-&quot;_-;_-@_-"/>
    </dxf>
    <dxf>
      <numFmt numFmtId="3" formatCode="#,##0"/>
      <alignment horizontal="center" vertical="center" wrapText="1"/>
    </dxf>
    <dxf>
      <numFmt numFmtId="3" formatCode="#,##0"/>
      <alignment horizontal="center" vertical="center" wrapText="1"/>
    </dxf>
    <dxf>
      <numFmt numFmtId="180" formatCode="_-&quot;$&quot;\ * #,##0_-;\-&quot;$&quot;\ * #,##0_-;_-&quot;$&quot;\ * &quot;-&quot;??_-;_-@_-"/>
    </dxf>
    <dxf>
      <numFmt numFmtId="3" formatCode="#,##0"/>
      <alignment horizontal="center" vertical="center" wrapText="1"/>
    </dxf>
    <dxf>
      <numFmt numFmtId="13" formatCode="0%"/>
    </dxf>
    <dxf>
      <numFmt numFmtId="3" formatCode="#,##0"/>
      <alignment horizontal="center" vertical="center" wrapText="1"/>
    </dxf>
    <dxf>
      <numFmt numFmtId="3" formatCode="#,##0"/>
    </dxf>
    <dxf>
      <numFmt numFmtId="180" formatCode="_-&quot;$&quot;\ * #,##0_-;\-&quot;$&quot;\ * #,##0_-;_-&quot;$&quot;\ * &quot;-&quot;??_-;_-@_-"/>
    </dxf>
    <dxf>
      <numFmt numFmtId="180" formatCode="_-&quot;$&quot;\ * #,##0_-;\-&quot;$&quot;\ * #,##0_-;_-&quot;$&quot;\ * &quot;-&quot;??_-;_-@_-"/>
    </dxf>
    <dxf>
      <numFmt numFmtId="3" formatCode="#,##0"/>
      <alignment horizontal="center" vertical="center" wrapText="1"/>
    </dxf>
    <dxf>
      <numFmt numFmtId="3" formatCode="#,##0"/>
      <alignment horizontal="center" vertical="center" wrapText="1"/>
    </dxf>
    <dxf>
      <numFmt numFmtId="180" formatCode="_-&quot;$&quot;\ * #,##0_-;\-&quot;$&quot;\ * #,##0_-;_-&quot;$&quot;\ * &quot;-&quot;??_-;_-@_-"/>
    </dxf>
    <dxf>
      <numFmt numFmtId="13" formatCode="0%"/>
    </dxf>
    <dxf>
      <alignment horizontal="center"/>
    </dxf>
    <dxf>
      <numFmt numFmtId="3" formatCode="#,##0"/>
      <alignment horizontal="center" vertical="center" wrapText="1"/>
    </dxf>
    <dxf>
      <numFmt numFmtId="14" formatCode="0.00%"/>
    </dxf>
    <dxf>
      <alignment vertical="center"/>
    </dxf>
    <dxf>
      <alignment vertical="center"/>
    </dxf>
    <dxf>
      <alignment vertical="center"/>
    </dxf>
    <dxf>
      <alignment horizontal="center"/>
    </dxf>
    <dxf>
      <numFmt numFmtId="3" formatCode="#,##0"/>
    </dxf>
    <dxf>
      <numFmt numFmtId="3" formatCode="#,##0"/>
    </dxf>
    <dxf>
      <alignment horizontal="center"/>
    </dxf>
    <dxf>
      <alignment vertical="center"/>
    </dxf>
    <dxf>
      <alignment horizontal="center"/>
    </dxf>
    <dxf>
      <alignment horizontal="center"/>
    </dxf>
    <dxf>
      <alignment horizontal="center"/>
    </dxf>
    <dxf>
      <alignment wrapText="1"/>
    </dxf>
    <dxf>
      <alignment wrapText="1"/>
    </dxf>
    <dxf>
      <numFmt numFmtId="3" formatCode="#,##0"/>
    </dxf>
    <dxf>
      <numFmt numFmtId="3" formatCode="#,##0"/>
    </dxf>
    <dxf>
      <alignment vertical="center"/>
    </dxf>
    <dxf>
      <alignment vertical="center"/>
    </dxf>
    <dxf>
      <alignment vertical="center"/>
    </dxf>
    <dxf>
      <alignment vertical="center"/>
    </dxf>
    <dxf>
      <alignment horizontal="center"/>
    </dxf>
    <dxf>
      <alignment horizontal="center"/>
    </dxf>
    <dxf>
      <font>
        <b val="0"/>
        <i val="0"/>
        <strike val="0"/>
        <condense val="0"/>
        <extend val="0"/>
        <outline val="0"/>
        <shadow val="0"/>
        <u val="none"/>
        <vertAlign val="baseline"/>
        <sz val="11"/>
        <color theme="1"/>
        <name val="Calibri"/>
        <scheme val="minor"/>
      </font>
      <alignment horizontal="center"/>
    </dxf>
    <dxf>
      <font>
        <b val="0"/>
        <i val="0"/>
        <strike val="0"/>
        <condense val="0"/>
        <extend val="0"/>
        <outline val="0"/>
        <shadow val="0"/>
        <u val="none"/>
        <vertAlign val="baseline"/>
        <sz val="11"/>
        <color theme="1"/>
        <name val="Calibri"/>
        <scheme val="minor"/>
      </font>
      <alignment horizontal="center"/>
    </dxf>
    <dxf>
      <font>
        <b val="0"/>
        <i val="0"/>
        <strike val="0"/>
        <condense val="0"/>
        <extend val="0"/>
        <outline val="0"/>
        <shadow val="0"/>
        <u val="none"/>
        <vertAlign val="baseline"/>
        <sz val="11"/>
        <color theme="1"/>
        <name val="Calibri"/>
        <scheme val="minor"/>
      </font>
      <alignment horizontal="center"/>
    </dxf>
    <dxf>
      <font>
        <b val="0"/>
        <i val="0"/>
        <strike val="0"/>
        <condense val="0"/>
        <extend val="0"/>
        <outline val="0"/>
        <shadow val="0"/>
        <u val="none"/>
        <vertAlign val="baseline"/>
        <sz val="11"/>
        <color theme="1"/>
        <name val="Calibri"/>
        <scheme val="minor"/>
      </font>
      <alignment horizontal="center"/>
    </dxf>
    <dxf>
      <font>
        <b val="0"/>
        <i val="0"/>
        <strike val="0"/>
        <condense val="0"/>
        <extend val="0"/>
        <outline val="0"/>
        <shadow val="0"/>
        <u val="none"/>
        <vertAlign val="baseline"/>
        <sz val="11"/>
        <color theme="1"/>
        <name val="Calibri"/>
        <scheme val="minor"/>
      </font>
      <alignment horizontal="center"/>
    </dxf>
    <dxf>
      <font>
        <b val="0"/>
        <i val="0"/>
        <strike val="0"/>
        <condense val="0"/>
        <extend val="0"/>
        <outline val="0"/>
        <shadow val="0"/>
        <u val="none"/>
        <vertAlign val="baseline"/>
        <sz val="11"/>
        <color theme="1"/>
        <name val="Calibri"/>
        <scheme val="minor"/>
      </font>
      <alignment horizontal="center"/>
    </dxf>
    <dxf>
      <alignment vertical="center"/>
    </dxf>
    <dxf>
      <alignment vertical="center"/>
    </dxf>
    <dxf>
      <font>
        <b/>
        <family val="2"/>
      </font>
      <fill>
        <patternFill patternType="solid">
          <fgColor indexed="64"/>
          <bgColor theme="4" tint="0.59999389629810485"/>
        </patternFill>
      </fill>
    </dxf>
    <dxf>
      <alignment horizontal="center" vertical="center"/>
    </dxf>
    <dxf>
      <alignment vertical="center"/>
    </dxf>
    <dxf>
      <font>
        <b/>
        <family val="2"/>
      </font>
      <fill>
        <patternFill patternType="solid">
          <fgColor indexed="64"/>
          <bgColor theme="8" tint="0.79998168889431442"/>
        </patternFill>
      </fill>
      <alignment horizontal="center" vertical="center" wrapText="1"/>
    </dxf>
    <dxf>
      <font>
        <b/>
        <family val="2"/>
      </font>
      <fill>
        <patternFill patternType="solid">
          <fgColor indexed="64"/>
          <bgColor theme="8" tint="0.79998168889431442"/>
        </patternFill>
      </fill>
      <alignment horizontal="center" vertical="center" wrapText="1"/>
    </dxf>
    <dxf>
      <font>
        <b/>
        <family val="2"/>
      </font>
      <fill>
        <patternFill patternType="solid">
          <fgColor indexed="64"/>
          <bgColor theme="8" tint="0.79998168889431442"/>
        </patternFill>
      </fill>
      <alignment horizontal="center" vertical="center" wrapText="1"/>
    </dxf>
    <dxf>
      <font>
        <b/>
        <family val="2"/>
      </font>
      <fill>
        <patternFill patternType="solid">
          <fgColor indexed="64"/>
          <bgColor theme="8" tint="0.79998168889431442"/>
        </patternFill>
      </fill>
      <alignment horizontal="center" vertical="center" wrapText="1"/>
    </dxf>
    <dxf>
      <font>
        <b/>
        <family val="2"/>
      </font>
      <fill>
        <patternFill patternType="solid">
          <fgColor indexed="64"/>
          <bgColor theme="8" tint="0.79998168889431442"/>
        </patternFill>
      </fill>
      <alignment horizontal="center" vertical="center" wrapText="1"/>
    </dxf>
    <dxf>
      <font>
        <b/>
        <family val="2"/>
      </font>
      <fill>
        <patternFill patternType="solid">
          <fgColor indexed="64"/>
          <bgColor theme="8" tint="0.79998168889431442"/>
        </patternFill>
      </fill>
      <alignment horizontal="center" vertical="center" wrapText="1"/>
    </dxf>
    <dxf>
      <font>
        <b/>
        <family val="2"/>
      </font>
      <fill>
        <patternFill patternType="solid">
          <fgColor indexed="64"/>
          <bgColor theme="8" tint="0.79998168889431442"/>
        </patternFill>
      </fill>
      <alignment horizontal="center" vertical="center" wrapText="1"/>
    </dxf>
    <dxf>
      <font>
        <b/>
        <family val="2"/>
      </font>
      <fill>
        <patternFill patternType="solid">
          <fgColor indexed="64"/>
          <bgColor theme="8" tint="0.79998168889431442"/>
        </patternFill>
      </fill>
      <alignment horizontal="center" vertical="center" wrapText="1"/>
    </dxf>
    <dxf>
      <font>
        <b/>
        <family val="2"/>
      </font>
      <fill>
        <patternFill patternType="solid">
          <fgColor indexed="64"/>
          <bgColor theme="8" tint="0.79998168889431442"/>
        </patternFill>
      </fill>
      <alignment horizontal="center" vertical="center" wrapText="1"/>
    </dxf>
    <dxf>
      <font>
        <b/>
        <family val="2"/>
      </font>
      <fill>
        <patternFill patternType="solid">
          <fgColor indexed="64"/>
          <bgColor theme="8" tint="0.79998168889431442"/>
        </patternFill>
      </fill>
      <alignment horizontal="center" vertical="center" wrapText="1"/>
    </dxf>
    <dxf>
      <font>
        <b/>
        <family val="2"/>
      </font>
      <fill>
        <patternFill patternType="solid">
          <fgColor indexed="64"/>
          <bgColor theme="8" tint="0.79998168889431442"/>
        </patternFill>
      </fill>
      <alignment horizontal="center" vertical="center" wrapText="1"/>
    </dxf>
    <dxf>
      <font>
        <b/>
        <family val="2"/>
      </font>
      <fill>
        <patternFill patternType="solid">
          <fgColor indexed="64"/>
          <bgColor theme="8" tint="0.79998168889431442"/>
        </patternFill>
      </fill>
      <alignment horizontal="center" vertical="center" wrapText="1"/>
    </dxf>
    <dxf>
      <font>
        <b/>
        <family val="2"/>
      </font>
      <fill>
        <patternFill patternType="solid">
          <fgColor indexed="64"/>
          <bgColor theme="8" tint="0.79998168889431442"/>
        </patternFill>
      </fill>
      <alignment horizontal="center" vertical="center" wrapText="1"/>
    </dxf>
    <dxf>
      <font>
        <b/>
        <family val="2"/>
      </font>
      <fill>
        <patternFill patternType="solid">
          <fgColor indexed="64"/>
          <bgColor theme="8" tint="0.79998168889431442"/>
        </patternFill>
      </fill>
      <alignment horizontal="center" vertical="center" wrapText="1"/>
    </dxf>
    <dxf>
      <numFmt numFmtId="3" formatCode="#,##0"/>
    </dxf>
    <dxf>
      <alignment horizontal="center"/>
    </dxf>
    <dxf>
      <alignment wrapText="1"/>
    </dxf>
    <dxf>
      <alignment wrapText="1"/>
    </dxf>
    <dxf>
      <numFmt numFmtId="3" formatCode="#,##0"/>
    </dxf>
    <dxf>
      <fill>
        <patternFill patternType="solid">
          <bgColor rgb="FFFFFF00"/>
        </patternFill>
      </fill>
    </dxf>
    <dxf>
      <alignment horizontal="right"/>
    </dxf>
    <dxf>
      <fill>
        <patternFill>
          <bgColor theme="4" tint="0.59999389629810485"/>
        </patternFill>
      </fill>
    </dxf>
    <dxf>
      <alignment horizontal="right"/>
    </dxf>
    <dxf>
      <font>
        <b/>
        <family val="2"/>
      </font>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bgColor theme="4" tint="0.59999389629810485"/>
        </patternFill>
      </fill>
    </dxf>
    <dxf>
      <fill>
        <patternFill>
          <fgColor theme="4" tint="0.59999389629810485"/>
        </patternFill>
      </fill>
    </dxf>
    <dxf>
      <fill>
        <patternFill patternType="solid">
          <bgColor theme="4" tint="0.59999389629810485"/>
        </patternFill>
      </fill>
    </dxf>
    <dxf>
      <fill>
        <patternFill patternType="none">
          <fgColor indexed="64"/>
          <bgColor indexed="65"/>
        </patternFill>
      </fill>
    </dxf>
    <dxf>
      <fill>
        <patternFill>
          <bgColor theme="4" tint="0.59999389629810485"/>
        </patternFill>
      </fill>
    </dxf>
    <dxf>
      <fill>
        <patternFill>
          <bgColor theme="4" tint="0.5999938962981048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solid">
          <bgColor theme="8" tint="0.39997558519241921"/>
        </patternFill>
      </fill>
    </dxf>
    <dxf>
      <fill>
        <patternFill patternType="solid">
          <bgColor theme="8" tint="0.39997558519241921"/>
        </patternFill>
      </fill>
    </dxf>
    <dxf>
      <font>
        <b/>
        <family val="2"/>
      </font>
    </dxf>
    <dxf>
      <font>
        <b val="0"/>
        <i val="0"/>
        <strike val="0"/>
        <condense val="0"/>
        <extend val="0"/>
        <outline val="0"/>
        <shadow val="0"/>
        <u val="none"/>
        <vertAlign val="baseline"/>
        <sz val="11"/>
        <color theme="1"/>
        <name val="Calibri"/>
        <scheme val="minor"/>
      </font>
      <numFmt numFmtId="192" formatCode="_-[$USD]\ * #,##0_-;\-[$USD]\ * #,##0_-;_-[$USD]\ * &quot;-&quot;_-;_-@_-"/>
    </dxf>
    <dxf>
      <numFmt numFmtId="192" formatCode="_-[$USD]\ * #,##0_-;\-[$USD]\ * #,##0_-;_-[$USD]\ * &quot;-&quot;_-;_-@_-"/>
    </dxf>
    <dxf>
      <font>
        <b/>
        <family val="2"/>
      </font>
      <fill>
        <patternFill patternType="solid">
          <fgColor indexed="64"/>
          <bgColor theme="8" tint="0.79998168889431442"/>
        </patternFill>
      </fill>
      <alignment horizontal="center" vertical="center" wrapText="1"/>
    </dxf>
    <dxf>
      <alignment vertical="center"/>
    </dxf>
    <dxf>
      <font>
        <b/>
        <family val="2"/>
      </font>
    </dxf>
    <dxf>
      <fill>
        <patternFill patternType="solid">
          <bgColor theme="8" tint="0.79998168889431442"/>
        </patternFill>
      </fill>
    </dxf>
    <dxf>
      <border>
        <top style="thin">
          <color theme="8" tint="-0.24994659260841701"/>
        </top>
      </border>
    </dxf>
    <dxf>
      <border>
        <top style="thin">
          <color theme="8" tint="-0.24994659260841701"/>
        </top>
      </border>
    </dxf>
    <dxf>
      <border>
        <bottom style="medium">
          <color theme="4" tint="-0.24994659260841701"/>
        </bottom>
      </border>
    </dxf>
    <dxf>
      <border>
        <bottom style="medium">
          <color theme="4" tint="-0.24994659260841701"/>
        </bottom>
      </border>
    </dxf>
    <dxf>
      <fill>
        <patternFill patternType="solid">
          <bgColor theme="8" tint="0.79998168889431442"/>
        </patternFill>
      </fill>
    </dxf>
    <dxf>
      <fill>
        <patternFill patternType="solid">
          <bgColor theme="8" tint="0.79998168889431442"/>
        </patternFill>
      </fill>
    </dxf>
    <dxf>
      <font>
        <b/>
        <family val="2"/>
      </font>
    </dxf>
    <dxf>
      <font>
        <b/>
        <family val="2"/>
      </font>
    </dxf>
    <dxf>
      <alignment wrapText="1"/>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numFmt numFmtId="192" formatCode="_-[$USD]\ * #,##0_-;\-[$USD]\ * #,##0_-;_-[$USD]\ * &quot;-&quot;_-;_-@_-"/>
      <fill>
        <patternFill patternType="solid">
          <fgColor rgb="FFFFFFFF"/>
          <bgColor rgb="FFFFFFFF"/>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minor"/>
      </font>
      <numFmt numFmtId="192" formatCode="_-[$USD]\ * #,##0_-;\-[$USD]\ * #,##0_-;_-[$USD]\ * &quot;-&quot;_-;_-@_-"/>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numFmt numFmtId="192" formatCode="_-[$USD]\ * #,##0_-;\-[$USD]\ * #,##0_-;_-[$USD]\ * &quot;-&quot;_-;_-@_-"/>
      <fill>
        <patternFill patternType="solid">
          <fgColor rgb="FFFFFFFF"/>
          <bgColor rgb="FFFFFFFF"/>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92" formatCode="_-[$USD]\ * #,##0_-;\-[$USD]\ * #,##0_-;_-[$USD]\ * &quot;-&quot;_-;_-@_-"/>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numFmt numFmtId="192" formatCode="_-[$USD]\ * #,##0_-;\-[$USD]\ * #,##0_-;_-[$USD]\ * &quot;-&quot;_-;_-@_-"/>
      <fill>
        <patternFill patternType="solid">
          <fgColor rgb="FFFFFFFF"/>
          <bgColor rgb="FFFFFFFF"/>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92" formatCode="_-[$USD]\ * #,##0_-;\-[$USD]\ * #,##0_-;_-[$USD]\ * &quot;-&quot;_-;_-@_-"/>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numFmt numFmtId="192" formatCode="_-[$USD]\ * #,##0_-;\-[$USD]\ * #,##0_-;_-[$USD]\ * &quot;-&quot;_-;_-@_-"/>
      <fill>
        <patternFill patternType="solid">
          <fgColor rgb="FFFFFFFF"/>
          <bgColor rgb="FFFFFFFF"/>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92" formatCode="_-[$USD]\ * #,##0_-;\-[$USD]\ * #,##0_-;_-[$USD]\ * &quot;-&quot;_-;_-@_-"/>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numFmt numFmtId="194" formatCode="_-[$USD]\ * #,##0.0_-;\-[$USD]\ * #,##0.0_-;_-[$USD]\ * &quot;-&quot;_-;_-@_-"/>
      <fill>
        <patternFill patternType="solid">
          <fgColor rgb="FFFFFFFF"/>
          <bgColor rgb="FFFFFFFF"/>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92" formatCode="_-[$USD]\ * #,##0_-;\-[$USD]\ * #,##0_-;_-[$USD]\ * &quot;-&quot;_-;_-@_-"/>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numFmt numFmtId="192" formatCode="_-[$USD]\ * #,##0_-;\-[$USD]\ * #,##0_-;_-[$USD]\ * &quot;-&quot;_-;_-@_-"/>
      <fill>
        <patternFill patternType="solid">
          <fgColor rgb="FFFFFFFF"/>
          <bgColor rgb="FFFFFFFF"/>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92" formatCode="_-[$USD]\ * #,##0_-;\-[$USD]\ * #,##0_-;_-[$USD]\ * &quot;-&quot;_-;_-@_-"/>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numFmt numFmtId="192" formatCode="_-[$USD]\ * #,##0_-;\-[$USD]\ * #,##0_-;_-[$USD]\ * &quot;-&quot;_-;_-@_-"/>
      <fill>
        <patternFill patternType="solid">
          <fgColor rgb="FFFFFFFF"/>
          <bgColor rgb="FFFFFFFF"/>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92" formatCode="_-[$USD]\ * #,##0_-;\-[$USD]\ * #,##0_-;_-[$USD]\ * &quot;-&quot;_-;_-@_-"/>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numFmt numFmtId="192" formatCode="_-[$USD]\ * #,##0_-;\-[$USD]\ * #,##0_-;_-[$USD]\ * &quot;-&quot;_-;_-@_-"/>
      <fill>
        <patternFill patternType="solid">
          <fgColor rgb="FFFFFFFF"/>
          <bgColor rgb="FFFFFFFF"/>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92" formatCode="_-[$USD]\ * #,##0_-;\-[$USD]\ * #,##0_-;_-[$USD]\ * &quot;-&quot;_-;_-@_-"/>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numFmt numFmtId="192" formatCode="_-[$USD]\ * #,##0_-;\-[$USD]\ * #,##0_-;_-[$USD]\ * &quot;-&quot;_-;_-@_-"/>
      <fill>
        <patternFill patternType="solid">
          <fgColor rgb="FFFFFFFF"/>
          <bgColor rgb="FFFFFFFF"/>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80" formatCode="_-&quot;$&quot;\ * #,##0_-;\-&quot;$&quot;\ * #,##0_-;_-&quot;$&quot;\ * &quot;-&quot;??_-;_-@_-"/>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numFmt numFmtId="180" formatCode="_-&quot;$&quot;\ * #,##0_-;\-&quot;$&quot;\ * #,##0_-;_-&quot;$&quot;\ * &quot;-&quot;??_-;_-@_-"/>
      <fill>
        <patternFill patternType="solid">
          <fgColor rgb="FFFFFFFF"/>
          <bgColor rgb="FFFFFFFF"/>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theme="0"/>
        </patternFill>
      </fill>
      <alignment horizontal="center"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3" formatCode="0%"/>
      <fill>
        <patternFill patternType="solid">
          <fgColor rgb="FFFFFFFF"/>
          <bgColor rgb="FFFFFFFF"/>
        </patternFill>
      </fill>
      <alignment horizontal="center"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3" formatCode="0%"/>
      <fill>
        <patternFill patternType="solid">
          <fgColor rgb="FFFFFFFF"/>
          <bgColor rgb="FFFFFFFF"/>
        </patternFill>
      </fill>
      <alignment horizontal="center"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00"/>
        </patternFill>
      </fill>
      <alignment horizontal="center"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3" formatCode="0%"/>
      <fill>
        <patternFill patternType="solid">
          <fgColor rgb="FFFFFFFF"/>
          <bgColor rgb="FFFFFF00"/>
        </patternFill>
      </fill>
      <alignment horizontal="center"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1"/>
        <color theme="1"/>
        <name val="Calibri"/>
        <family val="2"/>
        <scheme val="none"/>
      </font>
      <numFmt numFmtId="171" formatCode="_ &quot;$ &quot;* #,##0_ ;_ &quot;$ &quot;* \-#,##0_ ;_ &quot;$ &quot;* \-??_ ;_ @_ "/>
      <alignment horizontal="general" vertical="bottom" textRotation="0" wrapText="0" indent="0" justifyLastLine="0" shrinkToFit="0" readingOrder="0"/>
      <border diagonalUp="0" diagonalDown="0" outline="0">
        <left style="medium">
          <color rgb="FF000000"/>
        </left>
        <right style="medium">
          <color rgb="FF000000"/>
        </right>
        <top/>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vertical/>
        <horizontal/>
      </border>
      <protection locked="0" hidden="0"/>
    </dxf>
    <dxf>
      <font>
        <b/>
        <i val="0"/>
        <strike val="0"/>
        <condense val="0"/>
        <extend val="0"/>
        <outline val="0"/>
        <shadow val="0"/>
        <u val="none"/>
        <vertAlign val="baseline"/>
        <sz val="12"/>
        <color theme="1"/>
        <name val="Calibri"/>
        <family val="2"/>
        <scheme val="none"/>
      </font>
      <numFmt numFmtId="171" formatCode="_ &quot;$ &quot;* #,##0_ ;_ &quot;$ &quot;* \-#,##0_ ;_ &quot;$ &quot;* \-??_ ;_ @_ "/>
      <fill>
        <patternFill patternType="solid">
          <fgColor rgb="FFD8D8D8"/>
          <bgColor rgb="FFFFFF00"/>
        </patternFill>
      </fill>
      <alignment horizontal="left"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font>
        <b/>
        <i val="0"/>
        <strike val="0"/>
        <condense val="0"/>
        <extend val="0"/>
        <outline val="0"/>
        <shadow val="0"/>
        <u val="none"/>
        <vertAlign val="baseline"/>
        <sz val="12"/>
        <color theme="1"/>
        <name val="Calibri"/>
        <family val="2"/>
        <scheme val="none"/>
      </font>
      <numFmt numFmtId="171" formatCode="_ &quot;$ &quot;* #,##0_ ;_ &quot;$ &quot;* \-#,##0_ ;_ &quot;$ &quot;* \-??_ ;_ @_ "/>
      <fill>
        <patternFill patternType="solid">
          <fgColor rgb="FFD8D8D8"/>
          <bgColor rgb="FFD8D8D8"/>
        </patternFill>
      </fill>
      <alignment horizontal="left"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71" formatCode="_ &quot;$ &quot;* #,##0_ ;_ &quot;$ &quot;* \-#,##0_ ;_ &quot;$ &quot;* \-??_ ;_ @_ "/>
      <fill>
        <patternFill patternType="solid">
          <fgColor rgb="FFFFFFFF"/>
          <bgColor rgb="FFFFFFFF"/>
        </patternFill>
      </fill>
      <alignment horizontal="left"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71" formatCode="_ &quot;$ &quot;* #,##0_ ;_ &quot;$ &quot;* \-#,##0_ ;_ &quot;$ &quot;* \-??_ ;_ @_ "/>
      <fill>
        <patternFill patternType="solid">
          <fgColor rgb="FFFFFFFF"/>
          <bgColor rgb="FFFFFFFF"/>
        </patternFill>
      </fill>
      <alignment horizontal="left"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vertical/>
        <horizontal/>
      </border>
      <protection locked="0" hidden="0"/>
    </dxf>
    <dxf>
      <font>
        <b val="0"/>
        <i/>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00"/>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i val="0"/>
        <strike val="0"/>
        <condense val="0"/>
        <extend val="0"/>
        <outline val="0"/>
        <shadow val="0"/>
        <u val="none"/>
        <vertAlign val="baseline"/>
        <sz val="12"/>
        <color theme="1"/>
        <name val="Calibri"/>
        <family val="2"/>
        <scheme val="none"/>
      </font>
      <numFmt numFmtId="171" formatCode="_ &quot;$ &quot;* #,##0_ ;_ &quot;$ &quot;* \-#,##0_ ;_ &quot;$ &quot;* \-??_ ;_ @_ "/>
      <fill>
        <patternFill patternType="solid">
          <fgColor rgb="FFD8D8D8"/>
          <bgColor rgb="FFD8D8D8"/>
        </patternFill>
      </fill>
      <alignment horizontal="left" vertical="center" textRotation="0" wrapText="0" indent="0" justifyLastLine="0" shrinkToFit="0" readingOrder="0"/>
      <border diagonalUp="0" diagonalDown="0">
        <left style="medium">
          <color rgb="FF000000"/>
        </left>
        <right style="medium">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71" formatCode="_ &quot;$ &quot;* #,##0_ ;_ &quot;$ &quot;* \-#,##0_ ;_ &quot;$ &quot;* \-??_ ;_ @_ "/>
      <fill>
        <patternFill patternType="solid">
          <fgColor rgb="FFFFFFFF"/>
          <bgColor rgb="FFFFFFFF"/>
        </patternFill>
      </fill>
      <alignment horizontal="left"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71" formatCode="_ &quot;$ &quot;* #,##0_ ;_ &quot;$ &quot;* \-#,##0_ ;_ &quot;$ &quot;* \-??_ ;_ @_ "/>
      <fill>
        <patternFill patternType="solid">
          <fgColor rgb="FFFFFFFF"/>
          <bgColor rgb="FFFFFFFF"/>
        </patternFill>
      </fill>
      <alignment horizontal="left"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vertical/>
        <horizontal/>
      </border>
      <protection locked="0" hidden="0"/>
    </dxf>
    <dxf>
      <font>
        <b val="0"/>
        <i/>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00"/>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3" formatCode="#,##0"/>
      <fill>
        <patternFill patternType="solid">
          <fgColor rgb="FFFFFF00"/>
          <bgColor rgb="FFFFFF00"/>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19" formatCode="d/m/yyyy"/>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9" formatCode="d/m/yyyy"/>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vertical/>
        <horizontal/>
      </border>
      <protection locked="0" hidden="0"/>
    </dxf>
    <dxf>
      <font>
        <b val="0"/>
        <i/>
        <strike val="0"/>
        <condense val="0"/>
        <extend val="0"/>
        <outline val="0"/>
        <shadow val="0"/>
        <u val="none"/>
        <vertAlign val="baseline"/>
        <sz val="12"/>
        <color theme="1"/>
        <name val="Calibri"/>
        <family val="2"/>
        <scheme val="none"/>
      </font>
      <numFmt numFmtId="19" formatCode="d/m/yyyy"/>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strike val="0"/>
        <condense val="0"/>
        <extend val="0"/>
        <outline val="0"/>
        <shadow val="0"/>
        <u val="none"/>
        <vertAlign val="baseline"/>
        <sz val="12"/>
        <color theme="1"/>
        <name val="Calibri"/>
        <family val="2"/>
        <scheme val="none"/>
      </font>
      <numFmt numFmtId="19" formatCode="d/m/yyyy"/>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3" formatCode="#,##0"/>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19" formatCode="d/m/yyyy"/>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9" formatCode="d/m/yyyy"/>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9" formatCode="d/m/yyyy"/>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9" formatCode="d/m/yyyy"/>
      <fill>
        <patternFill patternType="solid">
          <fgColor rgb="FFFFFFFF"/>
          <bgColor rgb="FFFFFFFF"/>
        </patternFill>
      </fill>
      <alignment horizontal="center" vertical="center" textRotation="0" wrapText="0" indent="0" justifyLastLine="0" shrinkToFit="0" readingOrder="0"/>
      <border diagonalUp="0" diagonalDown="0">
        <left/>
        <right style="thin">
          <color rgb="FF000000"/>
        </right>
        <top style="hair">
          <color rgb="FF000000"/>
        </top>
        <bottom style="hair">
          <color rgb="FF000000"/>
        </bottom>
      </border>
      <protection locked="0" hidden="0"/>
    </dxf>
    <dxf>
      <font>
        <b/>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medium">
          <color rgb="FF000000"/>
        </right>
        <top style="hair">
          <color rgb="FF000000"/>
        </top>
        <bottom/>
      </border>
      <protection locked="0" hidden="0"/>
    </dxf>
    <dxf>
      <font>
        <b/>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left/>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theme="0"/>
          <bgColor theme="0"/>
        </patternFill>
      </fill>
      <alignment horizontal="center" vertical="center" textRotation="0" wrapText="0" indent="0" justifyLastLine="0" shrinkToFit="0" readingOrder="0"/>
      <border diagonalUp="0" diagonalDown="0">
        <left/>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C000"/>
        </patternFill>
      </fill>
      <alignment horizontal="center" vertical="center" textRotation="0" wrapText="0" indent="0" justifyLastLine="0" shrinkToFit="0" readingOrder="0"/>
      <border diagonalUp="0" diagonalDown="0" outline="0">
        <left style="thin">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left/>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theme="0"/>
        </patternFill>
      </fill>
      <alignment horizontal="center" vertical="center" textRotation="0" wrapText="0" indent="0" justifyLastLine="0" shrinkToFit="0" readingOrder="0"/>
      <border diagonalUp="0" diagonalDown="0" outline="0">
        <left style="thin">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top style="hair">
          <color rgb="FF000000"/>
        </top>
        <bottom style="hair">
          <color rgb="FF000000"/>
        </bottom>
      </border>
      <protection locked="0" hidden="0"/>
    </dxf>
    <dxf>
      <font>
        <b/>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00"/>
        </patternFill>
      </fill>
      <alignment horizontal="center" vertical="center" textRotation="0" wrapText="0" indent="0" justifyLastLine="0" shrinkToFit="0" readingOrder="0"/>
      <border diagonalUp="0" diagonalDown="0" outline="0">
        <left style="thin">
          <color rgb="FF000000"/>
        </left>
        <right style="medium">
          <color rgb="FF000000"/>
        </right>
        <top style="hair">
          <color rgb="FF000000"/>
        </top>
        <bottom/>
      </border>
      <protection locked="0" hidden="0"/>
    </dxf>
    <dxf>
      <font>
        <b/>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theme="0"/>
        </patternFill>
      </fill>
      <alignment horizontal="center" vertical="center" textRotation="0" wrapText="0" indent="0" justifyLastLine="0" shrinkToFit="0" readingOrder="0"/>
      <border diagonalUp="0" diagonalDown="0">
        <left style="thin">
          <color rgb="FF000000"/>
        </left>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00"/>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64" formatCode="_-&quot;$&quot;\ * #,##0_-;\-&quot;$&quot;\ * #,##0_-;_-&quot;$&quot;\ * &quot;-&quot;??_-;_-@"/>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170" formatCode="&quot;$&quot;\ #,##0"/>
      <fill>
        <patternFill patternType="solid">
          <fgColor rgb="FFFFFFFF"/>
          <bgColor rgb="FFFFFF00"/>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70" formatCode="&quot;$&quot;\ #,##0"/>
      <fill>
        <patternFill patternType="solid">
          <fgColor rgb="FFFFFFFF"/>
          <bgColor theme="0"/>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3" formatCode="#,##0"/>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border>
      <protection locked="0" hidden="0"/>
    </dxf>
    <dxf>
      <font>
        <b/>
        <i val="0"/>
        <strike val="0"/>
        <condense val="0"/>
        <extend val="0"/>
        <outline val="0"/>
        <shadow val="0"/>
        <u val="none"/>
        <vertAlign val="baseline"/>
        <sz val="12"/>
        <color theme="1"/>
        <name val="Calibri"/>
        <family val="2"/>
        <scheme val="none"/>
      </font>
      <numFmt numFmtId="19" formatCode="d/m/yyyy"/>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i val="0"/>
        <strike val="0"/>
        <condense val="0"/>
        <extend val="0"/>
        <outline val="0"/>
        <shadow val="0"/>
        <u val="none"/>
        <vertAlign val="baseline"/>
        <sz val="12"/>
        <color theme="1"/>
        <name val="Calibri"/>
        <family val="2"/>
        <scheme val="none"/>
      </font>
      <numFmt numFmtId="19" formatCode="d/m/yyyy"/>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vertical/>
        <horizontal/>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theme="0"/>
        </patternFill>
      </fill>
      <alignment horizontal="center" vertical="center" textRotation="0" wrapText="0" indent="0" justifyLastLine="0" shrinkToFit="0" readingOrder="0"/>
      <border diagonalUp="0" diagonalDown="0">
        <left style="thin">
          <color rgb="FF000000"/>
        </left>
        <right style="thin">
          <color rgb="FF000000"/>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19" formatCode="d/m/yyyy"/>
      <fill>
        <patternFill patternType="solid">
          <fgColor rgb="FFFFFFFF"/>
          <bgColor rgb="FFFFFFFF"/>
        </patternFill>
      </fill>
      <alignment horizontal="center" vertical="center" textRotation="0" wrapText="0" indent="0" justifyLastLine="0" shrinkToFit="0" readingOrder="0"/>
      <border diagonalUp="0" diagonalDown="0" outline="0">
        <left/>
        <right style="thin">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9" formatCode="d/m/yyyy"/>
      <fill>
        <patternFill patternType="solid">
          <fgColor rgb="FFFFFFFF"/>
          <bgColor rgb="FFFFFFFF"/>
        </patternFill>
      </fill>
      <alignment horizontal="center" vertical="center" textRotation="0" wrapText="0" indent="0" justifyLastLine="0" shrinkToFit="0" readingOrder="0"/>
      <border diagonalUp="0" diagonalDown="0" outline="0">
        <left/>
        <right style="thin">
          <color rgb="FF000000"/>
        </right>
        <top style="hair">
          <color rgb="FF000000"/>
        </top>
        <bottom style="hair">
          <color rgb="FF000000"/>
        </bottom>
      </border>
      <protection locked="0" hidden="0"/>
    </dxf>
    <dxf>
      <font>
        <b/>
        <i val="0"/>
        <strike val="0"/>
        <condense val="0"/>
        <extend val="0"/>
        <outline val="0"/>
        <shadow val="0"/>
        <u val="none"/>
        <vertAlign val="baseline"/>
        <sz val="12"/>
        <color theme="1"/>
        <name val="Calibri"/>
        <family val="2"/>
        <scheme val="none"/>
      </font>
      <numFmt numFmtId="19" formatCode="d/m/yyyy"/>
      <fill>
        <patternFill patternType="solid">
          <fgColor rgb="FFFFFFFF"/>
          <bgColor rgb="FFFFFFFF"/>
        </patternFill>
      </fill>
      <alignment horizontal="left" vertical="center" textRotation="0" wrapText="0" indent="0" justifyLastLine="0" shrinkToFit="0" readingOrder="0"/>
      <border diagonalUp="0" diagonalDown="0" outline="0">
        <left style="medium">
          <color rgb="FF000000"/>
        </left>
        <right style="thin">
          <color rgb="FF000000"/>
        </right>
        <top style="hair">
          <color rgb="FF000000"/>
        </top>
        <bottom/>
      </border>
      <protection locked="0" hidden="0"/>
    </dxf>
    <dxf>
      <font>
        <b/>
        <i val="0"/>
        <strike val="0"/>
        <condense val="0"/>
        <extend val="0"/>
        <outline val="0"/>
        <shadow val="0"/>
        <u val="none"/>
        <vertAlign val="baseline"/>
        <sz val="12"/>
        <color theme="1"/>
        <name val="Calibri"/>
        <family val="2"/>
        <scheme val="none"/>
      </font>
      <numFmt numFmtId="19" formatCode="d/m/yyyy"/>
      <fill>
        <patternFill patternType="solid">
          <fgColor rgb="FFFFFFFF"/>
          <bgColor rgb="FFFFFFFF"/>
        </patternFill>
      </fill>
      <alignment horizontal="left" vertical="center" textRotation="0" wrapText="0" indent="0" justifyLastLine="0" shrinkToFit="0" readingOrder="0"/>
      <border diagonalUp="0" diagonalDown="0" outline="0">
        <left style="medium">
          <color rgb="FF000000"/>
        </left>
        <right/>
        <top style="hair">
          <color rgb="FF000000"/>
        </top>
        <bottom style="hair">
          <color rgb="FF000000"/>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00"/>
        </patternFill>
      </fill>
      <alignment horizontal="center" vertical="center" textRotation="0" wrapText="0" indent="0" justifyLastLine="0" shrinkToFit="0" readingOrder="0"/>
      <border diagonalUp="0" diagonalDown="0" outline="0">
        <left style="medium">
          <color rgb="FF000000"/>
        </left>
        <right style="medium">
          <color rgb="FF000000"/>
        </right>
        <top style="hair">
          <color rgb="FF000000"/>
        </top>
        <bottom/>
      </border>
      <protection locked="0" hidden="0"/>
    </dxf>
    <dxf>
      <font>
        <b val="0"/>
        <i val="0"/>
        <strike val="0"/>
        <condense val="0"/>
        <extend val="0"/>
        <outline val="0"/>
        <shadow val="0"/>
        <u val="none"/>
        <vertAlign val="baseline"/>
        <sz val="12"/>
        <color theme="1"/>
        <name val="Calibri"/>
        <family val="2"/>
        <scheme val="none"/>
      </font>
      <numFmt numFmtId="1" formatCode="0"/>
      <fill>
        <patternFill patternType="solid">
          <fgColor rgb="FFFFFFFF"/>
          <bgColor rgb="FFFFFFFF"/>
        </patternFill>
      </fill>
      <alignment horizontal="center" vertical="center" textRotation="0" wrapText="0" indent="0" justifyLastLine="0" shrinkToFit="0" readingOrder="0"/>
      <border diagonalUp="0" diagonalDown="0" outline="0">
        <left/>
        <right style="medium">
          <color rgb="FF000000"/>
        </right>
        <top style="hair">
          <color rgb="FF000000"/>
        </top>
        <bottom/>
      </border>
      <protection locked="0" hidden="0"/>
    </dxf>
    <dxf>
      <font>
        <b/>
        <i val="0"/>
        <strike val="0"/>
        <condense val="0"/>
        <extend val="0"/>
        <outline val="0"/>
        <shadow val="0"/>
        <u val="none"/>
        <vertAlign val="baseline"/>
        <sz val="11"/>
        <color theme="1"/>
        <name val="Calibri"/>
        <family val="2"/>
        <scheme val="none"/>
      </font>
      <numFmt numFmtId="22" formatCode="mmm\-yy"/>
      <alignment horizontal="center" vertical="bottom" textRotation="0" wrapText="0" indent="0" justifyLastLine="0" shrinkToFit="0" readingOrder="0"/>
      <border diagonalUp="0" diagonalDown="0" outline="0">
        <left/>
        <right/>
        <top/>
        <bottom/>
      </border>
      <protection locked="0" hidden="0"/>
    </dxf>
    <dxf>
      <font>
        <b/>
        <i val="0"/>
        <strike val="0"/>
        <condense val="0"/>
        <extend val="0"/>
        <outline val="0"/>
        <shadow val="0"/>
        <u val="none"/>
        <vertAlign val="baseline"/>
        <sz val="11"/>
        <color theme="1"/>
        <name val="Calibri"/>
        <family val="2"/>
        <scheme val="none"/>
      </font>
      <numFmt numFmtId="22" formatCode="mmm\-yy"/>
      <alignment horizontal="center" textRotation="0" indent="0" justifyLastLine="0" shrinkToFit="0" readingOrder="0"/>
      <protection locked="0" hidden="0"/>
    </dxf>
    <dxf>
      <protection locked="0" hidden="0"/>
    </dxf>
    <dxf>
      <font>
        <b val="0"/>
        <i val="0"/>
        <strike val="0"/>
        <condense val="0"/>
        <extend val="0"/>
        <outline val="0"/>
        <shadow val="0"/>
        <u val="none"/>
        <vertAlign val="baseline"/>
        <sz val="12"/>
        <color theme="1"/>
        <name val="Calibri"/>
        <family val="2"/>
        <scheme val="none"/>
      </font>
      <fill>
        <patternFill patternType="solid">
          <fgColor rgb="FFFFFFFF"/>
          <bgColor rgb="FFFFFFFF"/>
        </patternFill>
      </fill>
      <alignment horizontal="center" vertical="center" textRotation="0" wrapText="0" indent="0" justifyLastLine="0" shrinkToFit="0" readingOrder="0"/>
      <protection locked="0" hidden="0"/>
    </dxf>
    <dxf>
      <protection locked="0" hidden="0"/>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31859B"/>
          <bgColor rgb="FF31859B"/>
        </patternFill>
      </fill>
    </dxf>
    <dxf>
      <fill>
        <patternFill patternType="solid">
          <fgColor rgb="FF92D050"/>
          <bgColor rgb="FF92D050"/>
        </patternFill>
      </fill>
    </dxf>
    <dxf>
      <fill>
        <patternFill patternType="solid">
          <fgColor rgb="FFFFFF00"/>
          <bgColor rgb="FFFFFF00"/>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 defaultTableStyle="TableStyleMedium2" defaultPivotStyle="PivotStyleLight16">
    <tableStyle name="CONSOLIDADO VTAS-style" pivot="0" count="3" xr9:uid="{00000000-0011-0000-FFFF-FFFF00000000}">
      <tableStyleElement type="headerRow" dxfId="635"/>
      <tableStyleElement type="firstRowStripe" dxfId="634"/>
      <tableStyleElement type="secondRowStripe" dxfId="633"/>
    </tableStyle>
  </tableStyles>
  <colors>
    <mruColors>
      <color rgb="FFFFFFCC"/>
      <color rgb="FFFFFF99"/>
      <color rgb="FFBCE292"/>
      <color rgb="FFFFFF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Otros%20ordenadores/LA%20CORONA%20COMPARTIDOS/AZUCAR%20INGENIO%20LA%20CORONA/2024%20-%20ARCHIVOS%20GESTION%20INDUSTRIA%20ZAFRA%202024/ARCHIVO%20GESTION%20AZUCAR%20INDUSTRIA%20CIERRE%20%20ZAFRA%202024%20CONSOLIDADO%20CON%20PRECIO%20TN%20AJUSTADO.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5965.67588923611" createdVersion="7" refreshedVersion="7" minRefreshableVersion="3" recordCount="603" xr:uid="{CF17448C-11AF-47C2-8181-ADFC9B2A8118}">
  <cacheSource type="worksheet">
    <worksheetSource name="Tabla1" r:id="rId2"/>
  </cacheSource>
  <cacheFields count="49">
    <cacheField name="MES" numFmtId="17">
      <sharedItems containsSemiMixedTypes="0" containsNonDate="0" containsDate="1" containsString="0" minDate="2024-04-01T00:00:00" maxDate="2025-05-02T00:00:00" count="14">
        <d v="2025-04-01T00:00:00"/>
        <d v="2025-05-01T00:00:00"/>
        <d v="2025-03-01T00:00:00"/>
        <d v="2024-05-01T00:00:00"/>
        <d v="2024-04-01T00:00:00"/>
        <d v="2024-06-01T00:00:00"/>
        <d v="2024-07-01T00:00:00"/>
        <d v="2024-08-01T00:00:00"/>
        <d v="2024-09-01T00:00:00"/>
        <d v="2024-10-01T00:00:00"/>
        <d v="2024-11-01T00:00:00"/>
        <d v="2024-12-01T00:00:00"/>
        <d v="2025-01-01T00:00:00"/>
        <d v="2025-02-01T00:00:00"/>
      </sharedItems>
    </cacheField>
    <cacheField name="CANTIDAD EQUIPOS" numFmtId="0">
      <sharedItems containsString="0" containsBlank="1" containsNumber="1" minValue="0.5" maxValue="27.651999999999997" count="28">
        <n v="1"/>
        <n v="0.5"/>
        <n v="9.8759999999999994"/>
        <n v="3.9810000000000003"/>
        <n v="5.6665000000000001"/>
        <n v="24.921500000000002"/>
        <n v="27.651999999999997"/>
        <n v="22.42625"/>
        <n v="8.3390000000000004"/>
        <n v="7.7529999999999992"/>
        <n v="15.734000000000002"/>
        <n v="11.571249999999999"/>
        <m/>
        <n v="5.5747499999999999"/>
        <n v="9.0179999999999989"/>
        <n v="13.422499999999999"/>
        <n v="11.2075"/>
        <n v="18.75"/>
        <n v="12.5"/>
        <n v="1.4285714285714286"/>
        <n v="19.939"/>
        <n v="2.92225"/>
        <n v="10.230499999999999"/>
        <n v="15.149749999999999"/>
        <n v="7.5"/>
        <n v="6.75"/>
        <n v="9"/>
        <n v="1.75"/>
      </sharedItems>
    </cacheField>
    <cacheField name="CLIENTE" numFmtId="14">
      <sharedItems count="37">
        <s v="VERAMOR DE MARMOL S.R.L."/>
        <s v="TOSTEX S.A."/>
        <s v="SUGARFRIENDS LTDA CHILE"/>
        <s v="SAGEMULLER S.A. "/>
        <s v="RUBEN CARAQUE FRACCIONADOR"/>
        <s v="PILARES CIA ALIMENTICIA S.A."/>
        <s v="LEDEVIT SA"/>
        <s v="RPB S.A."/>
        <s v="ENSOLPIGS S.A."/>
        <s v="ESTABLECIMIENTO SAN IGNACIO "/>
        <s v="NORDESTE S.R.L. "/>
        <s v="LEDESMA SAAI"/>
        <s v="COMPAÑÍA INVERSORA IND BUDEGUER"/>
        <s v="BON MASE S.A. "/>
        <s v="PUNTO RUTA 5 S.A."/>
        <s v="EDRA S.R.L."/>
        <s v="LA DOLCE S.R.L."/>
        <s v="COMPAÑIA ARGENTINA DE LEVADURAS SAIC"/>
        <s v="LA BLANCA S.A."/>
        <s v="CHOCOLATE COLONIAL SA."/>
        <s v="MOLINOS CAÑUELAS S.A. "/>
        <s v="SERVICIOS SALTUC EZEQUIEL DANNA"/>
        <s v="GRUPO ALMAR S.R.L."/>
        <s v="AZUCARERA LA PERLA SRL ANDREU"/>
        <s v="BODEGAS CUVILLIER S.A. "/>
        <s v="HELADOS CR -BARONI ESTEBAN"/>
        <s v="CABAÑA MICO S.A."/>
        <s v="PRODUCTOS EDULI S.R.L."/>
        <s v="PARNOR S.A."/>
        <s v="ARUS INTERNACIONAL - SCHIETTO"/>
        <s v="HELACOR GRIDO"/>
        <s v="ICE CREAM SRL"/>
        <s v="GEORGALOS, GENERAL CEREALS S.A"/>
        <s v="GEORGALOS  S.A"/>
        <s v="TELIAN S.A. "/>
        <s v="FIRENZE SRL"/>
        <s v="FRIO FOOD SA" u="1"/>
      </sharedItems>
    </cacheField>
    <cacheField name="FECHA FC" numFmtId="14">
      <sharedItems containsSemiMixedTypes="0" containsNonDate="0" containsDate="1" containsString="0" minDate="2024-05-16T00:00:00" maxDate="2025-07-09T00:00:00"/>
    </cacheField>
    <cacheField name="FC SUCRO" numFmtId="1">
      <sharedItems containsMixedTypes="1" containsNumber="1" containsInteger="1" minValue="0" maxValue="2432"/>
    </cacheField>
    <cacheField name="PRODUCTO" numFmtId="1">
      <sharedItems count="1">
        <s v="AZUCAR COMUN TIPO A"/>
      </sharedItems>
    </cacheField>
    <cacheField name="ESTADO ENTREGA" numFmtId="1">
      <sharedItems count="1">
        <s v="ENTREGADO"/>
      </sharedItems>
    </cacheField>
    <cacheField name="FECHA Entrega" numFmtId="14">
      <sharedItems containsSemiMixedTypes="0" containsNonDate="0" containsDate="1" containsString="0" minDate="2024-01-10T00:00:00" maxDate="2025-06-14T00:00:00"/>
    </cacheField>
    <cacheField name="KGS" numFmtId="3">
      <sharedItems containsSemiMixedTypes="0" containsString="0" containsNumber="1" minValue="-2500" maxValue="1106080"/>
    </cacheField>
    <cacheField name="PRECIO POR KG" numFmtId="170">
      <sharedItems containsSemiMixedTypes="0" containsString="0" containsNumber="1" minValue="330" maxValue="546"/>
    </cacheField>
    <cacheField name="SUBTOTAL" numFmtId="164">
      <sharedItems containsSemiMixedTypes="0" containsString="0" containsNumber="1" minValue="-1255000" maxValue="438450112"/>
    </cacheField>
    <cacheField name="IVA" numFmtId="164">
      <sharedItems containsString="0" containsBlank="1" containsNumber="1" minValue="-263550" maxValue="92074523.519999996"/>
    </cacheField>
    <cacheField name="TOTAL " numFmtId="164">
      <sharedItems containsSemiMixedTypes="0" containsString="0" containsNumber="1" minValue="-1518550" maxValue="530524635.51999998"/>
    </cacheField>
    <cacheField name="PENDIENTE DE ENTREGA" numFmtId="164">
      <sharedItems containsBlank="1" containsMixedTypes="1" containsNumber="1" containsInteger="1" minValue="0" maxValue="0" count="3">
        <n v="0"/>
        <m/>
        <s v="p"/>
      </sharedItems>
    </cacheField>
    <cacheField name="PENDIENTE DE COBRO" numFmtId="164">
      <sharedItems containsString="0" containsBlank="1" containsNumber="1" minValue="-1627463.31" maxValue="14568400" count="6">
        <n v="0"/>
        <m/>
        <n v="-1627463.31"/>
        <n v="14399000"/>
        <n v="875800"/>
        <n v="14568400"/>
      </sharedItems>
    </cacheField>
    <cacheField name="VALORES EN CARTERA" numFmtId="164">
      <sharedItems containsSemiMixedTypes="0" containsString="0" containsNumber="1" containsInteger="1" minValue="0" maxValue="0" count="1">
        <n v="0"/>
      </sharedItems>
    </cacheField>
    <cacheField name="VALORES COBRADOS" numFmtId="164">
      <sharedItems containsString="0" containsBlank="1" containsNumber="1" minValue="-1518550" maxValue="530524635.51999998"/>
    </cacheField>
    <cacheField name="FECHA RETIRO VALORES" numFmtId="14">
      <sharedItems containsSemiMixedTypes="0" containsNonDate="0" containsDate="1" containsString="0" minDate="2024-05-17T00:00:00" maxDate="2025-07-09T00:00:00"/>
    </cacheField>
    <cacheField name="FECHA VTO VALORES" numFmtId="14">
      <sharedItems containsSemiMixedTypes="0" containsNonDate="0" containsDate="1" containsString="0" minDate="2024-05-16T00:00:00" maxDate="2025-07-29T00:00:00"/>
    </cacheField>
    <cacheField name="Dias Vto" numFmtId="1">
      <sharedItems containsSemiMixedTypes="0" containsString="0" containsNumber="1" minValue="-537" maxValue="49"/>
    </cacheField>
    <cacheField name="PLAZO ENTREGA VALORES" numFmtId="1">
      <sharedItems containsSemiMixedTypes="0" containsString="0" containsNumber="1" containsInteger="1" minValue="0" maxValue="60" count="11">
        <n v="0"/>
        <n v="3"/>
        <n v="30"/>
        <n v="7"/>
        <n v="15"/>
        <n v="45"/>
        <n v="60"/>
        <n v="2"/>
        <n v="25"/>
        <n v="20"/>
        <n v="5"/>
      </sharedItems>
    </cacheField>
    <cacheField name="Banco" numFmtId="1">
      <sharedItems containsMixedTypes="1" containsNumber="1" containsInteger="1" minValue="0" maxValue="0" count="8">
        <s v="ECHEQ"/>
        <s v="SWIFT"/>
        <s v="EFVO"/>
        <s v="CHEQUE"/>
        <s v="DEPOSITOS "/>
        <n v="0"/>
        <s v="TRANS"/>
        <s v="E-CHEQ"/>
      </sharedItems>
    </cacheField>
    <cacheField name="SEMANA ACREDITACION PAGO " numFmtId="14">
      <sharedItems containsSemiMixedTypes="0" containsNonDate="0" containsDate="1" containsString="0" minDate="2024-05-23T00:00:00" maxDate="2025-08-08T00:00:00"/>
    </cacheField>
    <cacheField name="OC" numFmtId="1">
      <sharedItems containsBlank="1" containsMixedTypes="1" containsNumber="1" containsInteger="1" minValue="0" maxValue="5500001118"/>
    </cacheField>
    <cacheField name="FECHA OC" numFmtId="14">
      <sharedItems containsSemiMixedTypes="0" containsNonDate="0" containsDate="1" containsString="0" minDate="2024-04-29T00:00:00" maxDate="2025-05-15T00:00:00"/>
    </cacheField>
    <cacheField name="Q Bolsas" numFmtId="0">
      <sharedItems containsSemiMixedTypes="0" containsString="0" containsNumber="1" minValue="-50" maxValue="22121.599999999999"/>
    </cacheField>
    <cacheField name="Pcio Bls 50 kgs " numFmtId="164">
      <sharedItems containsSemiMixedTypes="0" containsString="0" containsNumber="1" minValue="18500" maxValue="31036.5"/>
    </cacheField>
    <cacheField name="Gtos Flete" numFmtId="171">
      <sharedItems containsString="0" containsBlank="1" containsNumber="1" minValue="-3977.27" maxValue="0"/>
    </cacheField>
    <cacheField name="Pcio FOB Bls 50 kgs (Pcio bls - Gtos Flete x bls)" numFmtId="171">
      <sharedItems containsSemiMixedTypes="0" containsString="0" containsNumber="1" minValue="18500" maxValue="30371"/>
    </cacheField>
    <cacheField name="Gtos Financ " numFmtId="171">
      <sharedItems containsSemiMixedTypes="0" containsString="0" containsNumber="1" minValue="-2171" maxValue="693.15068493150682"/>
    </cacheField>
    <cacheField name="Pcio FOB CDO TUC Bls 50 kgs" numFmtId="171">
      <sharedItems containsSemiMixedTypes="0" containsString="0" containsNumber="1" minValue="18244.022967123285" maxValue="30371"/>
    </cacheField>
    <cacheField name="ENVASE" numFmtId="1">
      <sharedItems count="5">
        <s v="BOLSA 50 Kgs"/>
        <s v="BOLSA 25 KGS"/>
        <s v="BIG BAG"/>
        <s v="25 KGS"/>
        <s v="25 KG"/>
      </sharedItems>
    </cacheField>
    <cacheField name="LOCALIDAD" numFmtId="1">
      <sharedItems count="24">
        <s v="FERREYRA"/>
        <s v="JOSE MARMOL"/>
        <s v="TRES ARROYOS"/>
        <s v="RETIRA DE INGENIO"/>
        <s v="PILAR "/>
        <s v="EZEIZA"/>
        <s v="PILAR"/>
        <s v="SAUCE VIEJO"/>
        <s v="LOMAS DEL MIRADOR "/>
        <s v="PACHECO"/>
        <s v="LAS HERAS"/>
        <s v="LANUS"/>
        <s v="RIO PRIMERO"/>
        <s v="CABA"/>
        <s v="DON TORCUATO "/>
        <s v="SAN FERNANDO"/>
        <s v="JOSE LEÓN SUÁREZ"/>
        <s v="ITUZAINGÓ"/>
        <s v="SPEGAZZINI - EZEIZA"/>
        <s v="MATADEROS - CABA"/>
        <s v="MUNRO "/>
        <s v="CORDOBA"/>
        <s v="LUJÁN"/>
        <s v="LA RIOJA"/>
      </sharedItems>
    </cacheField>
    <cacheField name="PROVINCIA" numFmtId="1">
      <sharedItems count="7">
        <s v="CORDOBA"/>
        <s v="BUENOS AIRES"/>
        <s v="RETIRA DE INGENIO"/>
        <s v="TUCUMAN"/>
        <s v="SANTA FE"/>
        <s v="CABA"/>
        <s v="LA RIOJA"/>
      </sharedItems>
    </cacheField>
    <cacheField name="TIPO OPERACIÓN" numFmtId="1">
      <sharedItems containsMixedTypes="1" containsNumber="1" containsInteger="1" minValue="0" maxValue="0" count="5">
        <s v="INDUSTRIA"/>
        <s v="EXPO CHILE"/>
        <s v="TUC CTADO 2"/>
        <s v="GDES CUENTAS"/>
        <n v="0" u="1"/>
      </sharedItems>
    </cacheField>
    <cacheField name="PRECIO REF TUCUMAN Ctro Agric Cañeros Tucumán (CACTU)" numFmtId="164">
      <sharedItems containsSemiMixedTypes="0" containsString="0" containsNumber="1" minValue="16066.115702479339" maxValue="26230"/>
    </cacheField>
    <cacheField name="DIF Pcio Neto INDUSTRIA vs Neto TUCUMAN ARS" numFmtId="164">
      <sharedItems containsSemiMixedTypes="0" containsString="0" containsNumber="1" minValue="-1220.9045000000006" maxValue="10282.5"/>
    </cacheField>
    <cacheField name="DIF Neto INDUSTRIA vs  Neto TUCUMAN ARS" numFmtId="9">
      <sharedItems containsSemiMixedTypes="0" containsString="0" containsNumber="1" minValue="-5.6668926208723658E-2" maxValue="0.53948058761804818"/>
    </cacheField>
    <cacheField name="Ganancia Industria vs. Tucuman " numFmtId="164">
      <sharedItems containsSemiMixedTypes="0" containsString="0" containsNumber="1" minValue="-1499354.9999999776" maxValue="69842315.520000011"/>
    </cacheField>
    <cacheField name="VENTA EQUIVALENTE CACTU" numFmtId="164">
      <sharedItems containsSemiMixedTypes="0" containsString="0" containsNumber="1" minValue="-1265750" maxValue="460682319.99999994"/>
    </cacheField>
    <cacheField name="VENTA FOB TUC" numFmtId="164">
      <sharedItems containsSemiMixedTypes="0" containsString="0" containsNumber="1" minValue="-1518550" maxValue="530524635.51999998"/>
    </cacheField>
    <cacheField name="TASA FINANCIACION MENSUAL" numFmtId="9">
      <sharedItems containsSemiMixedTypes="0" containsString="0" containsNumber="1" minValue="0.33" maxValue="0.6" count="4">
        <n v="0.55000000000000004"/>
        <n v="0.6"/>
        <n v="0.33"/>
        <n v="0.45"/>
      </sharedItems>
    </cacheField>
    <cacheField name="PRECIO FLETE POR BOLSA SIN IVA" numFmtId="0">
      <sharedItems containsString="0" containsBlank="1" containsNumber="1" containsInteger="1" minValue="1507" maxValue="3125" count="4">
        <m/>
        <n v="1550"/>
        <n v="3125"/>
        <n v="1507"/>
      </sharedItems>
    </cacheField>
    <cacheField name="PLAZO PAGO " numFmtId="164">
      <sharedItems containsString="0" containsBlank="1" containsNumber="1" containsInteger="1" minValue="0" maxValue="60" count="7">
        <m/>
        <n v="7"/>
        <n v="0"/>
        <n v="30"/>
        <n v="60"/>
        <n v="45"/>
        <n v="20"/>
      </sharedItems>
    </cacheField>
    <cacheField name="REMITO" numFmtId="164">
      <sharedItems containsString="0" containsBlank="1" containsNumber="1" containsInteger="1" minValue="2562" maxValue="2582" count="4">
        <m/>
        <n v="2562"/>
        <n v="2577"/>
        <n v="2582"/>
      </sharedItems>
    </cacheField>
    <cacheField name="CONTROL" numFmtId="164">
      <sharedItems containsString="0" containsBlank="1" containsNumber="1" containsInteger="1" minValue="0" maxValue="0" count="2">
        <n v="0"/>
        <m/>
      </sharedItems>
    </cacheField>
    <cacheField name="TIPO DE CAMBIO" numFmtId="164">
      <sharedItems containsSemiMixedTypes="0" containsString="0" containsNumber="1" minValue="876.41669999999999" maxValue="1176.4167"/>
    </cacheField>
    <cacheField name="VENTA USD" numFmtId="164">
      <sharedItems containsSemiMixedTypes="0" containsString="0" containsNumber="1" minValue="-1323.1418028465998" maxValue="496686.61795525346"/>
    </cacheField>
    <cacheField name="PRECIO POR TN" numFmtId="164">
      <sharedItems containsSemiMixedTypes="0" containsString="0" containsNumber="1" minValue="358.01464605370222" maxValue="552.234557358383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148.739392939817" createdVersion="7" refreshedVersion="7" minRefreshableVersion="3" recordCount="1704" xr:uid="{D5F6B807-845D-4D9D-9557-378A26271BE3}">
  <cacheSource type="worksheet">
    <worksheetSource name="Tabla2"/>
  </cacheSource>
  <cacheFields count="17">
    <cacheField name="ZAFRA" numFmtId="0">
      <sharedItems containsBlank="1" count="4">
        <s v="Z2026"/>
        <m u="1"/>
        <s v="Z2024" u="1"/>
        <s v="Z2025" u="1"/>
      </sharedItems>
    </cacheField>
    <cacheField name="LUGAR FIS+B8:O9ICO" numFmtId="0">
      <sharedItems/>
    </cacheField>
    <cacheField name="MEDIO PAGO" numFmtId="0">
      <sharedItems containsNonDate="0" containsString="0" containsBlank="1"/>
    </cacheField>
    <cacheField name="PROVEEDOR" numFmtId="0">
      <sharedItems containsNonDate="0" containsBlank="1" count="60">
        <m/>
        <s v="TELIAN " u="1"/>
        <s v="PUNTO RUTA 5 S.A." u="1"/>
        <s v="BON MASE SA" u="1"/>
        <s v="SUCDEN (CHILE)" u="1"/>
        <s v="CAFES LA VIRGINIA S A" u="1"/>
        <s v="LEDEVIT SA" u="1"/>
        <s v="COMPANIA INVERSORA INDUSTRIAL SA" u="1"/>
        <s v="ICE CREAM SRL" u="1"/>
        <s v="CHOCOLATE COLONIAL SA" u="1"/>
        <s v="BON MASE" u="1"/>
        <s v="GUGAX S.A." u="1"/>
        <s v="RUBEN CARAQUE FRACCIONADOR" u="1"/>
        <s v="ALIMENTOS 4M (CHILE)" u="1"/>
        <s v="LA BLANCA S.A." u="1"/>
        <s v="VERAMOR  (REPOS. VALORES)" u="1"/>
        <s v="FIRENZE SRL " u="1"/>
        <s v="FIRENZE SRL" u="1"/>
        <s v="SUGARFRIENDS (CHILE)" u="1"/>
        <s v="HUGO GONZALEZ " u="1"/>
        <s v="VERAMOR DE MARMOL SRL" u="1"/>
        <s v="TIERRAS COLORADAS (EXP- CL)" u="1"/>
        <s v="USINA LACTEA EL PUENTE SA" u="1"/>
        <s v="PILARES COMPAÑIA ALIMENTICIA S" u="1"/>
        <s v="MTM 25 S.R.L." u="1"/>
        <s v="ARUS INTERNACIONAL " u="1"/>
        <s v="VERAMOR DE MARMOL SRL (VERIF)" u="1"/>
        <s v="HUGO GONZALEZ LAS HATHOR S. A." u="1"/>
        <s v="COMPANIA ARGEN DE LEVADURAS SA" u="1"/>
        <s v="CEREALES SAN VICENTE S.R.L" u="1"/>
        <s v="TIERRAS COLORADAS (CHILE)" u="1"/>
        <s v="ESTABLECIMIENTO SAN IGNACIO SOC ANON" u="1"/>
        <s v="LA DOLCE SRL" u="1"/>
        <s v="SAGEMULLER SA                           " u="1"/>
        <s v="EDRA SRL" u="1"/>
        <s v="HUGO GONZALEZ COOP" u="1"/>
        <s v="HUGO GONZALLEZ " u="1"/>
        <s v="PEHUENIA ALIMENTARIA SRL" u="1"/>
        <s v="TOSTEX SA" u="1"/>
        <s v="VERAMOR  " u="1"/>
        <s v="CHOCOLATE COLONIAL" u="1"/>
        <s v="HELACOR S.A." u="1"/>
        <s v="LEDESMA SAAI" u="1"/>
        <s v="PILARES COMPAÑIA ALIMENTICIA SA" u="1"/>
        <s v="NORDESTE S.R.L." u="1"/>
        <s v="SOCIEDAD COMERCIAL ECJR SPA (CHILE)" u="1"/>
        <s v="HUGO GONZALEZ" u="1"/>
        <s v="MONESTEROLO" u="1"/>
        <s v="DUARTE GUILLERMO" u="1"/>
        <s v="HELADOS CR -BARONI ESTEBAN" u="1"/>
        <s v="BARONI ESTEBAN " u="1"/>
        <s v="LEDESMA S.A.A.I." u="1"/>
        <s v="Bodegas Cuvillier Sa" u="1"/>
        <s v="DISTRIBUIDORA LOS REYES SPA (EXP)" u="1"/>
        <s v="DI BELLO SANTIAGO " u="1"/>
        <s v="PARNOR SA                               " u="1"/>
        <s v="POLYKIM SRL " u="1"/>
        <s v="EDRA SRL " u="1"/>
        <s v="TOSTEX S.A." u="1"/>
        <s v="BODEGAS CUVILLIER SA " u="1"/>
      </sharedItems>
    </cacheField>
    <cacheField name="FACTURA" numFmtId="0">
      <sharedItems containsNonDate="0" containsString="0" containsBlank="1" containsNumber="1" containsInteger="1" minValue="576" maxValue="7000000581" count="315">
        <m/>
        <n v="582" u="1"/>
        <n v="2723" u="1"/>
        <n v="2593" u="1"/>
        <n v="2463" u="1"/>
        <n v="2790" u="1"/>
        <n v="2660" u="1"/>
        <n v="2530" u="1"/>
        <n v="2727" u="1"/>
        <n v="2597" u="1"/>
        <n v="2794" u="1"/>
        <n v="2664" u="1"/>
        <n v="2534" u="1"/>
        <n v="584" u="1"/>
        <n v="2601" u="1"/>
        <n v="2471" u="1"/>
        <n v="2798" u="1"/>
        <n v="2668" u="1"/>
        <n v="2538" u="1"/>
        <n v="2475" u="1"/>
        <n v="2802" u="1"/>
        <n v="586" u="1"/>
        <n v="2806" u="1"/>
        <n v="2676" u="1"/>
        <n v="587" u="1"/>
        <n v="2613" u="1"/>
        <n v="2483" u="1"/>
        <n v="2680" u="1"/>
        <n v="2550" u="1"/>
        <n v="2617" u="1"/>
        <n v="2487" u="1"/>
        <n v="2554" u="1"/>
        <n v="2751" u="1"/>
        <n v="2621" u="1"/>
        <n v="2688" u="1"/>
        <n v="590" u="1"/>
        <n v="2755" u="1"/>
        <n v="2495" u="1"/>
        <n v="2692" u="1"/>
        <n v="2562" u="1"/>
        <n v="591" u="1"/>
        <n v="2759" u="1"/>
        <n v="2629" u="1"/>
        <n v="2499" u="1"/>
        <n v="2696" u="1"/>
        <n v="2566" u="1"/>
        <n v="2306" u="1"/>
        <n v="2763" u="1"/>
        <n v="2633" u="1"/>
        <n v="2503" u="1"/>
        <n v="2700" u="1"/>
        <n v="2570" u="1"/>
        <n v="2440" u="1"/>
        <n v="2507" u="1"/>
        <n v="2704" u="1"/>
        <n v="2574" u="1"/>
        <n v="2444" u="1"/>
        <n v="2771" u="1"/>
        <n v="2641" u="1"/>
        <n v="2511" u="1"/>
        <n v="2578" u="1"/>
        <n v="2448" u="1"/>
        <n v="2775" u="1"/>
        <n v="2645" u="1"/>
        <n v="2515" u="1"/>
        <n v="2582" u="1"/>
        <n v="2452" u="1"/>
        <n v="2779" u="1"/>
        <n v="2649" u="1"/>
        <n v="2519" u="1"/>
        <n v="2716" u="1"/>
        <n v="597" u="1"/>
        <n v="2783" u="1"/>
        <n v="2653" u="1"/>
        <n v="2720" u="1"/>
        <n v="2460" u="1"/>
        <n v="7000000581" u="1"/>
        <n v="2787" u="1"/>
        <n v="2657" u="1"/>
        <n v="2527" u="1"/>
        <n v="2594" u="1"/>
        <n v="2464" u="1"/>
        <n v="599" u="1"/>
        <n v="2791" u="1"/>
        <n v="2661" u="1"/>
        <n v="2531" u="1"/>
        <n v="2728" u="1"/>
        <n v="2468" u="1"/>
        <n v="2665" u="1"/>
        <n v="2535" u="1"/>
        <n v="2732" u="1"/>
        <n v="2602" u="1"/>
        <n v="601" u="1"/>
        <n v="2669" u="1"/>
        <n v="2539" u="1"/>
        <n v="700000595" u="1"/>
        <n v="2476" u="1"/>
        <n v="2803" u="1"/>
        <n v="2673" u="1"/>
        <n v="2543" u="1"/>
        <n v="2740" u="1"/>
        <n v="2610" u="1"/>
        <n v="2480" u="1"/>
        <n v="2807" u="1"/>
        <n v="2677" u="1"/>
        <n v="2547" u="1"/>
        <n v="2614" u="1"/>
        <n v="2484" u="1"/>
        <n v="2681" u="1"/>
        <n v="2551" u="1"/>
        <n v="2618" u="1"/>
        <n v="2488" u="1"/>
        <n v="2685" u="1"/>
        <n v="2622" u="1"/>
        <n v="2689" u="1"/>
        <n v="2756" u="1"/>
        <n v="2626" u="1"/>
        <n v="2496" u="1"/>
        <n v="2693" u="1"/>
        <n v="2563" u="1"/>
        <n v="700000593" u="1"/>
        <n v="2760" u="1"/>
        <n v="2500" u="1"/>
        <n v="2697" u="1"/>
        <n v="2437" u="1"/>
        <n v="2764" u="1"/>
        <n v="2634" u="1"/>
        <n v="2504" u="1"/>
        <n v="2701" u="1"/>
        <n v="2571" u="1"/>
        <n v="2441" u="1"/>
        <n v="2508" u="1"/>
        <n v="2445" u="1"/>
        <n v="2772" u="1"/>
        <n v="700000592" u="1"/>
        <n v="2642" u="1"/>
        <n v="2512" u="1"/>
        <n v="2709" u="1"/>
        <n v="2579" u="1"/>
        <n v="2449" u="1"/>
        <n v="2776" u="1"/>
        <n v="2646" u="1"/>
        <n v="2516" u="1"/>
        <n v="2713" u="1"/>
        <n v="2583" u="1"/>
        <n v="2453" u="1"/>
        <n v="2650" u="1"/>
        <n v="2717" u="1"/>
        <n v="2587" u="1"/>
        <n v="2457" u="1"/>
        <n v="2784" u="1"/>
        <n v="2654" u="1"/>
        <n v="2524" u="1"/>
        <n v="2721" u="1"/>
        <n v="2461" u="1"/>
        <n v="2788" u="1"/>
        <n v="2658" u="1"/>
        <n v="2528" u="1"/>
        <n v="2595" u="1"/>
        <n v="2792" u="1"/>
        <n v="2662" u="1"/>
        <n v="2532" u="1"/>
        <n v="2729" u="1"/>
        <n v="2599" u="1"/>
        <n v="2469" u="1"/>
        <n v="2796" u="1"/>
        <n v="2666" u="1"/>
        <n v="2536" u="1"/>
        <n v="2733" u="1"/>
        <n v="2603" u="1"/>
        <n v="2473" u="1"/>
        <n v="2800" u="1"/>
        <n v="2540" u="1"/>
        <n v="2607" u="1"/>
        <n v="2477" u="1"/>
        <n v="2674" u="1"/>
        <n v="2544" u="1"/>
        <n v="2611" u="1"/>
        <n v="2481" u="1"/>
        <n v="2808" u="1"/>
        <n v="2678" u="1"/>
        <n v="2548" u="1"/>
        <n v="700000589" u="1"/>
        <n v="2745" u="1"/>
        <n v="2615" u="1"/>
        <n v="2485" u="1"/>
        <n v="2552" u="1"/>
        <n v="2749" u="1"/>
        <n v="2619" u="1"/>
        <n v="2489" u="1"/>
        <n v="2686" u="1"/>
        <n v="2556" u="1"/>
        <n v="2753" u="1"/>
        <n v="2493" u="1"/>
        <n v="2690" u="1"/>
        <n v="2560" u="1"/>
        <n v="700000588" u="1"/>
        <n v="2757" u="1"/>
        <n v="2627" u="1"/>
        <n v="2497" u="1"/>
        <n v="2694" u="1"/>
        <n v="2564" u="1"/>
        <n v="2761" u="1"/>
        <n v="2631" u="1"/>
        <n v="2501" u="1"/>
        <n v="2438" u="1"/>
        <n v="26702" u="1"/>
        <n v="2635" u="1"/>
        <n v="2505" u="1"/>
        <n v="2702" u="1"/>
        <n v="2572" u="1"/>
        <n v="2442" u="1"/>
        <n v="2769" u="1"/>
        <n v="2639" u="1"/>
        <n v="2509" u="1"/>
        <n v="2706" u="1"/>
        <n v="2576" u="1"/>
        <n v="2446" u="1"/>
        <n v="2773" u="1"/>
        <n v="2643" u="1"/>
        <n v="2513" u="1"/>
        <n v="2710" u="1"/>
        <n v="2580" u="1"/>
        <n v="2647" u="1"/>
        <n v="2517" u="1"/>
        <n v="2714" u="1"/>
        <n v="2584" u="1"/>
        <n v="2454" u="1"/>
        <n v="2781" u="1"/>
        <n v="2718" u="1"/>
        <n v="2588" u="1"/>
        <n v="2458" u="1"/>
        <n v="2785" u="1"/>
        <n v="2655" u="1"/>
        <n v="2722" u="1"/>
        <n v="2592" u="1"/>
        <n v="2462" u="1"/>
        <n v="2789" u="1"/>
        <n v="2659" u="1"/>
        <n v="2529" u="1"/>
        <n v="2726" u="1"/>
        <n v="2596" u="1"/>
        <n v="700000585" u="1"/>
        <n v="2793" u="1"/>
        <n v="2663" u="1"/>
        <n v="2533" u="1"/>
        <n v="2730" u="1"/>
        <n v="2600" u="1"/>
        <n v="2667" u="1"/>
        <n v="2537" u="1"/>
        <n v="2734" u="1"/>
        <n v="2604" u="1"/>
        <n v="2671" u="1"/>
        <n v="2541" u="1"/>
        <n v="2738" u="1"/>
        <n v="2608" u="1"/>
        <n v="2478" u="1"/>
        <n v="2545" u="1"/>
        <n v="2742" u="1"/>
        <n v="2612" u="1"/>
        <n v="2482" u="1"/>
        <n v="2679" u="1"/>
        <n v="2549" u="1"/>
        <n v="2746" u="1"/>
        <n v="2616" u="1"/>
        <n v="2486" u="1"/>
        <n v="2553" u="1"/>
        <n v="2750" u="1"/>
        <n v="2620" u="1"/>
        <n v="2687" u="1"/>
        <n v="2624" u="1"/>
        <n v="2494" u="1"/>
        <n v="2691" u="1"/>
        <n v="2561" u="1"/>
        <n v="2758" u="1"/>
        <n v="2498" u="1"/>
        <n v="2695" u="1"/>
        <n v="2435" u="1"/>
        <n v="2762" u="1"/>
        <n v="2632" u="1"/>
        <n v="2502" u="1"/>
        <n v="576" u="1"/>
        <n v="2439" u="1"/>
        <n v="2309" u="1"/>
        <n v="2506" u="1"/>
        <n v="577" u="1"/>
        <n v="700000603" u="1"/>
        <n v="2703" u="1"/>
        <n v="2443" u="1"/>
        <n v="2770" u="1"/>
        <n v="2640" u="1"/>
        <n v="2510" u="1"/>
        <n v="578" u="1"/>
        <n v="2707" u="1"/>
        <n v="2577" u="1"/>
        <n v="2447" u="1"/>
        <n v="2774" u="1"/>
        <n v="2514" u="1"/>
        <n v="579" u="1"/>
        <n v="2711" u="1"/>
        <n v="2581" u="1"/>
        <n v="2778" u="1"/>
        <n v="2648" u="1"/>
        <n v="2518" u="1"/>
        <n v="700000602" u="1"/>
        <n v="2585" u="1"/>
        <n v="2455" u="1"/>
        <n v="2782" u="1"/>
        <n v="2652" u="1"/>
        <n v="2522" u="1"/>
        <n v="2719" u="1"/>
        <n v="2589" u="1"/>
        <n v="2459" u="1"/>
        <n v="2786" u="1"/>
        <n v="2656" u="1"/>
      </sharedItems>
    </cacheField>
    <cacheField name="LIBRADOR DEL CHEQUE" numFmtId="0">
      <sharedItems containsNonDate="0" containsString="0" containsBlank="1"/>
    </cacheField>
    <cacheField name="CUIT LIBRADOR " numFmtId="0">
      <sharedItems containsNonDate="0" containsString="0" containsBlank="1"/>
    </cacheField>
    <cacheField name="CHEQUE NUMERO " numFmtId="0">
      <sharedItems containsNonDate="0" containsString="0" containsBlank="1"/>
    </cacheField>
    <cacheField name="BANCO" numFmtId="0">
      <sharedItems containsNonDate="0" containsString="0" containsBlank="1"/>
    </cacheField>
    <cacheField name="INGRESO" numFmtId="0">
      <sharedItems containsNonDate="0" containsString="0" containsBlank="1"/>
    </cacheField>
    <cacheField name="EGRESO" numFmtId="180">
      <sharedItems containsSemiMixedTypes="0" containsString="0" containsNumber="1" containsInteger="1" minValue="0" maxValue="0"/>
    </cacheField>
    <cacheField name="VENCIMIENTO " numFmtId="0">
      <sharedItems containsNonDate="0" containsString="0" containsBlank="1"/>
    </cacheField>
    <cacheField name="DIAS PARA EL VENCIMIENTO" numFmtId="1">
      <sharedItems containsSemiMixedTypes="0" containsString="0" containsNumber="1" containsInteger="1" minValue="-46136" maxValue="-46136"/>
    </cacheField>
    <cacheField name="SEMANA ACREDITACION PAGO " numFmtId="14">
      <sharedItems containsSemiMixedTypes="0" containsNonDate="0" containsDate="1" containsString="0" minDate="1900-01-06T00:00:00" maxDate="1900-01-07T00:00:00"/>
    </cacheField>
    <cacheField name="COMENTARIO" numFmtId="0">
      <sharedItems containsNonDate="0" containsString="0" containsBlank="1"/>
    </cacheField>
    <cacheField name="SEMANA" numFmtId="0">
      <sharedItems containsNonDate="0" containsString="0" containsBlank="1"/>
    </cacheField>
    <cacheField name="CTRL" numFmtId="18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180.638409143517" createdVersion="7" refreshedVersion="7" minRefreshableVersion="3" recordCount="874" xr:uid="{4C9E24A7-22CE-4372-8C3C-2997ECB9037D}">
  <cacheSource type="worksheet">
    <worksheetSource name="Tabla1"/>
  </cacheSource>
  <cacheFields count="59">
    <cacheField name="MES" numFmtId="17">
      <sharedItems containsSemiMixedTypes="0" containsNonDate="0" containsDate="1" containsString="0" minDate="2026-05-01T00:00:00" maxDate="2027-04-02T00:00:00" count="12">
        <d v="2026-05-01T00:00:00"/>
        <d v="2026-06-01T00:00:00"/>
        <d v="2026-07-01T00:00:00"/>
        <d v="2026-08-01T00:00:00"/>
        <d v="2026-09-01T00:00:00"/>
        <d v="2026-10-01T00:00:00"/>
        <d v="2026-11-01T00:00:00"/>
        <d v="2026-12-01T00:00:00"/>
        <d v="2027-01-01T00:00:00"/>
        <d v="2027-02-01T00:00:00"/>
        <d v="2027-03-01T00:00:00"/>
        <d v="2027-04-01T00:00:00"/>
      </sharedItems>
      <fieldGroup par="56" base="0">
        <rangePr groupBy="months" startDate="2026-05-01T00:00:00" endDate="2027-04-02T00:00:00"/>
        <groupItems count="14">
          <s v="&lt;1/5/2026"/>
          <s v="ene"/>
          <s v="feb"/>
          <s v="mar"/>
          <s v="abr"/>
          <s v="may"/>
          <s v="jun"/>
          <s v="jul"/>
          <s v="ago"/>
          <s v="sept"/>
          <s v="oct"/>
          <s v="nov"/>
          <s v="dic"/>
          <s v="&gt;2/4/2027"/>
        </groupItems>
      </fieldGroup>
    </cacheField>
    <cacheField name="CANTIDAD EQUIPOS" numFmtId="1">
      <sharedItems containsString="0" containsBlank="1" containsNumber="1" containsInteger="1" minValue="1" maxValue="1"/>
    </cacheField>
    <cacheField name="CLIENTE" numFmtId="14">
      <sharedItems containsBlank="1" count="69">
        <s v="LEDESMA SAAI"/>
        <s v="AGROCOMMERCE SPA (CHILE)"/>
        <s v="VERAMOR DE MARMOL S.R.L."/>
        <s v="EDRA S.R.L."/>
        <s v="BON MASE"/>
        <s v="COMPAÑIA ARGENTINA DE LEVADURAS SAIC"/>
        <s v="CEREALES SAN VICENTE S.R.L"/>
        <s v="D&amp;G S.H."/>
        <s v="HELACOR GRIDO"/>
        <s v="FIRENZE SRL"/>
        <s v="TOMASI"/>
        <s v="GERMAN LUCI"/>
        <s v="APICOLA SANTA ROSA SRL"/>
        <s v="STURTZ ERNESTO"/>
        <s v="DE LAS HERAS"/>
        <s v="LA BLANCA"/>
        <s v="LA DOLCE"/>
        <s v="MOYCO SRL"/>
        <s v="PEHUENIA ALIMENTARIA"/>
        <s v="PEREYRA JAVIER"/>
        <s v="SAGEMULLER"/>
        <s v="FULL SERVICE"/>
        <s v="TIERRAS COLORADAS  SPA, (CHILE)"/>
        <s v="CIELO AZUL SRL"/>
        <s v="CUELLO PABLO ALBERTO"/>
        <s v="GORDILLO MIGUEL ANGEL"/>
        <s v="HUGO GONZALEZ SRL"/>
        <s v="INSUMED SPA (CHILE)"/>
        <s v="CHOCOLATE COLONIAL"/>
        <s v="EL ROSQUINENSE"/>
        <m/>
        <s v="TOSTEX S.A."/>
        <s v="SUCDEN (CHILE)" u="1"/>
        <s v="TELIAN S.A. " u="1"/>
        <s v="SOCIEDAD COMERCIAL ECJR SPA (CHILE)" u="1"/>
        <s v="ESTABLECIMIENTO SAN IGNACIO" u="1"/>
        <s v="GUGAX S.A." u="1"/>
        <s v="BODEGAS CUVILLIER " u="1"/>
        <s v="ARUS INTERNACIONAL - SCHIETTO" u="1"/>
        <s v="CALSA" u="1"/>
        <s v="ALIMENTOS 4M  (CHILE)" u="1"/>
        <s v="LA DOLCE S.R.L." u="1"/>
        <s v="RUTA PUNTO 5" u="1"/>
        <s v="COMPAÑÍA INVERSORA IND BUDEGUER" u="1"/>
        <s v=" SUGARFRIENDS" u="1"/>
        <s v="LEDEVIT SA" u="1"/>
        <s v="RUBEN CARAQUE" u="1"/>
        <s v="DISTRIBUIDORA LOS REYES. (CHILE)" u="1"/>
        <s v="BARONI" u="1"/>
        <s v="DUARTE FORMOSA" u="1"/>
        <s v="DI BELLO MTM 25 SRL" u="1"/>
        <s v="HUGO GONZALEZ" u="1"/>
        <s v="USINA LACTEA EL PUENTE SA" u="1"/>
        <s v="PILARES CIA ALIMENTICIA S.A." u="1"/>
        <s v="DI BELLO" u="1"/>
        <s v="MONESTEROLO" u="1"/>
        <s v="PARNOR S.A." u="1"/>
        <s v="DI BELLO " u="1"/>
        <s v="LA VIRGINIA S.A." u="1"/>
        <s v="SUGARFRIENDS LTDA (CHILE)" u="1"/>
        <s v="BON MASE S.A. " u="1"/>
        <s v="RUBEN CARAQUE FRACCIONADOR" u="1"/>
        <s v="NORDESTE S.R.L. " u="1"/>
        <s v="TIERRAS COLORADAS  SPA, CHILE" u="1"/>
        <s v="HELADOS CR -BARONI ESTEBAN" u="1"/>
        <s v="POLYCRIM QUIMICA SRL" u="1"/>
        <s v="BLUE LOGISTICS SPA (CHILE)" u="1"/>
        <s v="ALIMENTOS 4M" u="1"/>
        <s v="ICE CREAM" u="1"/>
      </sharedItems>
    </cacheField>
    <cacheField name="FECHA FC" numFmtId="14">
      <sharedItems containsSemiMixedTypes="0" containsNonDate="0" containsDate="1" containsString="0" minDate="1899-12-30T00:00:00" maxDate="2026-07-30T00:00:00"/>
    </cacheField>
    <cacheField name="FC SUCRO" numFmtId="1">
      <sharedItems containsBlank="1" containsMixedTypes="1" containsNumber="1" containsInteger="1" minValue="575" maxValue="700000869" count="429">
        <n v="700000869"/>
        <s v="PROFORMA 17"/>
        <m/>
        <n v="2849"/>
        <n v="2846"/>
        <n v="2843"/>
        <s v="COMBUSTIBLE"/>
        <n v="2850"/>
        <n v="581" u="1"/>
        <n v="2488" u="1"/>
        <n v="2559" u="1"/>
        <n v="2630" u="1"/>
        <n v="2701" u="1"/>
        <n v="2772" u="1"/>
        <n v="2436" u="1"/>
        <n v="2507" u="1"/>
        <n v="2578" u="1"/>
        <n v="2649" u="1"/>
        <n v="2720" u="1"/>
        <n v="2791" u="1"/>
        <n v="2455" u="1"/>
        <n v="2597" u="1"/>
        <n v="2668" u="1"/>
        <n v="2739" u="1"/>
        <n v="2810" u="1"/>
        <n v="2545" u="1"/>
        <n v="2616" u="1"/>
        <n v="2687" u="1"/>
        <n v="2758" u="1"/>
        <n v="2829" u="1"/>
        <n v="600" u="1"/>
        <n v="2422" u="1"/>
        <n v="2493" u="1"/>
        <n v="2564" u="1"/>
        <n v="2635" u="1"/>
        <n v="2706" u="1"/>
        <n v="2777" u="1"/>
        <n v="587" u="1"/>
        <n v="2441" u="1"/>
        <n v="2512" u="1"/>
        <n v="2583" u="1"/>
        <n v="2654" u="1"/>
        <n v="2725" u="1"/>
        <n v="2796" u="1"/>
        <n v="2460" u="1"/>
        <n v="2531" u="1"/>
        <n v="2602" u="1"/>
        <n v="2673" u="1"/>
        <n v="2744" u="1"/>
        <n v="2815" u="1"/>
        <n v="2550" u="1"/>
        <n v="2621" u="1"/>
        <n v="2692" u="1"/>
        <n v="2763" u="1"/>
        <n v="2834" u="1"/>
        <n v="2427" u="1"/>
        <n v="2498" u="1"/>
        <n v="2640" u="1"/>
        <n v="2711" u="1"/>
        <n v="2782" u="1"/>
        <n v="606" u="1"/>
        <n v="2446" u="1"/>
        <n v="2517" u="1"/>
        <n v="2588" u="1"/>
        <n v="2659" u="1"/>
        <n v="2730" u="1"/>
        <n v="2801" u="1"/>
        <n v="593" u="1"/>
        <n v="2536" u="1"/>
        <n v="2607" u="1"/>
        <n v="2678" u="1"/>
        <n v="2749" u="1"/>
        <n v="2820" u="1"/>
        <n v="580" u="1"/>
        <n v="2484" u="1"/>
        <n v="2555" u="1"/>
        <n v="2626" u="1"/>
        <n v="2697" u="1"/>
        <n v="2768" u="1"/>
        <n v="2432" u="1"/>
        <n v="2503" u="1"/>
        <n v="2574" u="1"/>
        <n v="2645" u="1"/>
        <n v="2716" u="1"/>
        <n v="2787" u="1"/>
        <n v="2522" u="1"/>
        <n v="2593" u="1"/>
        <n v="2664" u="1"/>
        <n v="2735" u="1"/>
        <n v="2806" u="1"/>
        <n v="754" u="1"/>
        <n v="2470" u="1"/>
        <n v="2541" u="1"/>
        <n v="2612" u="1"/>
        <n v="2683" u="1"/>
        <n v="2754" u="1"/>
        <n v="2825" u="1"/>
        <n v="599" u="1"/>
        <n v="2489" u="1"/>
        <n v="2560" u="1"/>
        <n v="2631" u="1"/>
        <n v="2702" u="1"/>
        <n v="2773" u="1"/>
        <n v="586" u="1"/>
        <n v="2437" u="1"/>
        <n v="2508" u="1"/>
        <n v="2579" u="1"/>
        <n v="2650" u="1"/>
        <n v="2721" u="1"/>
        <n v="2792" u="1"/>
        <n v="2527" u="1"/>
        <n v="2598" u="1"/>
        <n v="2669" u="1"/>
        <n v="2740" u="1"/>
        <n v="2475" u="1"/>
        <n v="2546" u="1"/>
        <n v="2617" u="1"/>
        <n v="2688" u="1"/>
        <n v="2759" u="1"/>
        <n v="2830" u="1"/>
        <n v="2494" u="1"/>
        <n v="2565" u="1"/>
        <n v="2636" u="1"/>
        <n v="2707" u="1"/>
        <n v="2778" u="1"/>
        <n v="605" u="1"/>
        <n v="2442" u="1"/>
        <n v="2513" u="1"/>
        <n v="2584" u="1"/>
        <n v="2655" u="1"/>
        <n v="2726" u="1"/>
        <n v="2797" u="1"/>
        <n v="592" u="1"/>
        <n v="2461" u="1"/>
        <n v="2532" u="1"/>
        <n v="2603" u="1"/>
        <n v="2674" u="1"/>
        <n v="2745" u="1"/>
        <n v="2816" u="1"/>
        <n v="579" u="1"/>
        <n v="2480" u="1"/>
        <n v="2551" u="1"/>
        <n v="2622" u="1"/>
        <n v="2693" u="1"/>
        <n v="2764" u="1"/>
        <n v="2835" u="1"/>
        <n v="2428" u="1"/>
        <n v="2499" u="1"/>
        <n v="2570" u="1"/>
        <n v="2641" u="1"/>
        <n v="2712" u="1"/>
        <n v="2783" u="1"/>
        <n v="2447" u="1"/>
        <n v="2518" u="1"/>
        <n v="2589" u="1"/>
        <n v="2660" u="1"/>
        <n v="2731" u="1"/>
        <n v="2802" u="1"/>
        <n v="2537" u="1"/>
        <n v="2608" u="1"/>
        <n v="2679" u="1"/>
        <n v="2821" u="1"/>
        <n v="598" u="1"/>
        <n v="2485" u="1"/>
        <n v="2556" u="1"/>
        <n v="2627" u="1"/>
        <n v="2769" u="1"/>
        <n v="585" u="1"/>
        <n v="2433" u="1"/>
        <n v="2504" u="1"/>
        <n v="2575" u="1"/>
        <n v="2646" u="1"/>
        <n v="2717" u="1"/>
        <n v="2788" u="1"/>
        <n v="2452" u="1"/>
        <n v="2594" u="1"/>
        <n v="2665" u="1"/>
        <n v="2736" u="1"/>
        <n v="2807" u="1"/>
        <n v="2471" u="1"/>
        <n v="2542" u="1"/>
        <n v="2613" u="1"/>
        <n v="2684" u="1"/>
        <n v="2755" u="1"/>
        <n v="2826" u="1"/>
        <n v="2561" u="1"/>
        <n v="2632" u="1"/>
        <n v="2703" u="1"/>
        <n v="2774" u="1"/>
        <n v="604" u="1"/>
        <n v="2438" u="1"/>
        <n v="2509" u="1"/>
        <n v="2580" u="1"/>
        <n v="2651" u="1"/>
        <n v="2722" u="1"/>
        <n v="591" u="1"/>
        <n v="2457" u="1"/>
        <n v="2528" u="1"/>
        <n v="2599" u="1"/>
        <n v="2670" u="1"/>
        <n v="2741" u="1"/>
        <n v="578" u="1"/>
        <n v="2476" u="1"/>
        <n v="2547" u="1"/>
        <n v="2618" u="1"/>
        <n v="2689" u="1"/>
        <n v="2760" u="1"/>
        <n v="2831" u="1"/>
        <n v="2495" u="1"/>
        <n v="2566" u="1"/>
        <n v="2637" u="1"/>
        <n v="2708" u="1"/>
        <n v="2779" u="1"/>
        <n v="2443" u="1"/>
        <n v="2514" u="1"/>
        <n v="2585" u="1"/>
        <n v="2656" u="1"/>
        <n v="2727" u="1"/>
        <n v="2798" u="1"/>
        <n v="2462" u="1"/>
        <n v="2533" u="1"/>
        <n v="2604" u="1"/>
        <n v="2675" u="1"/>
        <n v="2746" u="1"/>
        <n v="2817" u="1"/>
        <n v="2410" u="1"/>
        <n v="2481" u="1"/>
        <n v="2552" u="1"/>
        <n v="2623" u="1"/>
        <n v="2694" u="1"/>
        <n v="2836" u="1"/>
        <n v="584" u="1"/>
        <n v="2429" u="1"/>
        <n v="2500" u="1"/>
        <n v="2571" u="1"/>
        <n v="2642" u="1"/>
        <n v="2713" u="1"/>
        <n v="2784" u="1"/>
        <n v="2448" u="1"/>
        <n v="2519" u="1"/>
        <n v="2590" u="1"/>
        <n v="2661" u="1"/>
        <n v="2732" u="1"/>
        <n v="2803" u="1"/>
        <n v="2467" u="1"/>
        <n v="2538" u="1"/>
        <n v="2609" u="1"/>
        <n v="2680" u="1"/>
        <n v="2751" u="1"/>
        <n v="2822" u="1"/>
        <n v="2344" u="1"/>
        <n v="2486" u="1"/>
        <n v="2557" u="1"/>
        <n v="2628" u="1"/>
        <n v="2699" u="1"/>
        <n v="2770" u="1"/>
        <n v="603" u="1"/>
        <n v="2434" u="1"/>
        <n v="2505" u="1"/>
        <n v="2576" u="1"/>
        <n v="2718" u="1"/>
        <n v="2789" u="1"/>
        <n v="590" u="1"/>
        <n v="2453" u="1"/>
        <n v="2524" u="1"/>
        <n v="2595" u="1"/>
        <n v="2666" u="1"/>
        <n v="2737" u="1"/>
        <n v="2808" u="1"/>
        <n v="577" u="1"/>
        <n v="2472" u="1"/>
        <n v="2543" u="1"/>
        <n v="2614" u="1"/>
        <n v="2685" u="1"/>
        <n v="2756" u="1"/>
        <n v="2827" u="1"/>
        <n v="2562" u="1"/>
        <n v="2633" u="1"/>
        <n v="2704" u="1"/>
        <n v="2775" u="1"/>
        <n v="2439" u="1"/>
        <n v="2510" u="1"/>
        <n v="2581" u="1"/>
        <n v="2652" u="1"/>
        <n v="2723" u="1"/>
        <n v="2794" u="1"/>
        <n v="609" u="1"/>
        <n v="2458" u="1"/>
        <n v="2529" u="1"/>
        <n v="2600" u="1"/>
        <n v="2671" u="1"/>
        <n v="2742" u="1"/>
        <n v="2813" u="1"/>
        <n v="2477" u="1"/>
        <n v="2548" u="1"/>
        <n v="2619" u="1"/>
        <n v="2690" u="1"/>
        <n v="2761" u="1"/>
        <n v="2832" u="1"/>
        <n v="2496" u="1"/>
        <n v="2567" u="1"/>
        <n v="2638" u="1"/>
        <n v="2709" u="1"/>
        <n v="2780" u="1"/>
        <n v="2444" u="1"/>
        <n v="2515" u="1"/>
        <n v="2586" u="1"/>
        <n v="2657" u="1"/>
        <n v="2728" u="1"/>
        <n v="2799" u="1"/>
        <n v="2463" u="1"/>
        <n v="2534" u="1"/>
        <n v="2605" u="1"/>
        <n v="2676" u="1"/>
        <n v="2747" u="1"/>
        <n v="2818" u="1"/>
        <n v="2482" u="1"/>
        <n v="2553" u="1"/>
        <n v="2624" u="1"/>
        <n v="2695" u="1"/>
        <n v="2766" u="1"/>
        <n v="2837" u="1"/>
        <n v="602" u="1"/>
        <n v="2430" u="1"/>
        <n v="2501" u="1"/>
        <n v="2572" u="1"/>
        <n v="2643" u="1"/>
        <n v="2714" u="1"/>
        <n v="2785" u="1"/>
        <n v="589" u="1"/>
        <n v="2449" u="1"/>
        <n v="2591" u="1"/>
        <n v="2662" u="1"/>
        <n v="2733" u="1"/>
        <n v="2804" u="1"/>
        <n v="576" u="1"/>
        <n v="2539" u="1"/>
        <n v="2610" u="1"/>
        <n v="2681" u="1"/>
        <n v="2752" u="1"/>
        <n v="2823" u="1"/>
        <n v="2487" u="1"/>
        <n v="2558" u="1"/>
        <n v="2629" u="1"/>
        <n v="2700" u="1"/>
        <n v="2771" u="1"/>
        <n v="2435" u="1"/>
        <n v="2506" u="1"/>
        <n v="2577" u="1"/>
        <n v="2648" u="1"/>
        <n v="2719" u="1"/>
        <n v="2790" u="1"/>
        <n v="608" u="1"/>
        <n v="2454" u="1"/>
        <n v="2596" u="1"/>
        <n v="2667" u="1"/>
        <n v="2738" u="1"/>
        <n v="2809" u="1"/>
        <n v="595" u="1"/>
        <n v="2473" u="1"/>
        <n v="2544" u="1"/>
        <n v="2615" u="1"/>
        <n v="2686" u="1"/>
        <n v="2757" u="1"/>
        <n v="2828" u="1"/>
        <n v="582" u="1"/>
        <n v="2563" u="1"/>
        <n v="2634" u="1"/>
        <n v="2705" u="1"/>
        <n v="2776" u="1"/>
        <n v="2440" u="1"/>
        <n v="2511" u="1"/>
        <n v="2582" u="1"/>
        <n v="2653" u="1"/>
        <n v="2724" u="1"/>
        <n v="2795" u="1"/>
        <n v="2459" u="1"/>
        <n v="2530" u="1"/>
        <n v="2601" u="1"/>
        <n v="2672" u="1"/>
        <n v="2814" u="1"/>
        <n v="2478" u="1"/>
        <n v="2549" u="1"/>
        <n v="2620" u="1"/>
        <n v="2691" u="1"/>
        <n v="2762" u="1"/>
        <n v="2833" u="1"/>
        <n v="601" u="1"/>
        <n v="2497" u="1"/>
        <n v="2639" u="1"/>
        <n v="2710" u="1"/>
        <n v="2781" u="1"/>
        <n v="588" u="1"/>
        <n v="2445" u="1"/>
        <n v="2516" u="1"/>
        <n v="2587" u="1"/>
        <n v="2658" u="1"/>
        <n v="2729" u="1"/>
        <n v="2800" u="1"/>
        <n v="575" u="1"/>
        <n v="2464" u="1"/>
        <n v="2535" u="1"/>
        <n v="2606" u="1"/>
        <n v="2677" u="1"/>
        <n v="2748" u="1"/>
        <n v="2819" u="1"/>
        <n v="2483" u="1"/>
        <n v="2554" u="1"/>
        <n v="2625" u="1"/>
        <n v="2696" u="1"/>
        <n v="2767" u="1"/>
        <n v="2838" u="1"/>
        <n v="2502" u="1"/>
        <n v="2573" u="1"/>
        <n v="2644" u="1"/>
        <n v="2715" u="1"/>
        <n v="2786" u="1"/>
        <n v="607" u="1"/>
        <n v="2592" u="1"/>
        <n v="2663" u="1"/>
        <n v="2734" u="1"/>
        <n v="2805" u="1"/>
        <n v="594" u="1"/>
        <n v="2469" u="1"/>
        <n v="2540" u="1"/>
        <n v="2611" u="1"/>
        <n v="2682" u="1"/>
        <n v="2753" u="1"/>
        <n v="2824" u="1"/>
      </sharedItems>
    </cacheField>
    <cacheField name="PRODUCTO" numFmtId="1">
      <sharedItems containsBlank="1"/>
    </cacheField>
    <cacheField name="ESTADO ENTREGA" numFmtId="1">
      <sharedItems containsBlank="1" count="5">
        <s v="ENTREGADO"/>
        <s v="PENDIENTE"/>
        <m/>
        <s v="ANULADA" u="1"/>
        <s v="BAJA OC" u="1"/>
      </sharedItems>
    </cacheField>
    <cacheField name="FECHA Entrega" numFmtId="14">
      <sharedItems containsNonDate="0" containsDate="1" containsString="0" containsBlank="1" minDate="2026-02-06T00:00:00" maxDate="2026-07-30T00:00:00"/>
    </cacheField>
    <cacheField name="KGS" numFmtId="3">
      <sharedItems containsString="0" containsBlank="1" containsNumber="1" containsInteger="1" minValue="13150" maxValue="74200"/>
    </cacheField>
    <cacheField name="PRECIO $/ KG A PLAZO EN CLIENTE ( SIN IVA)" numFmtId="0">
      <sharedItems containsString="0" containsBlank="1" containsNumber="1" minValue="455.58481499999999" maxValue="748"/>
    </cacheField>
    <cacheField name="SUBTOTAL" numFmtId="164">
      <sharedItems containsSemiMixedTypes="0" containsString="0" containsNumber="1" minValue="0" maxValue="33804393.273000002"/>
    </cacheField>
    <cacheField name="IVA" numFmtId="164">
      <sharedItems containsMixedTypes="1" containsNumber="1" minValue="0" maxValue="7098922.5873300005"/>
    </cacheField>
    <cacheField name="VENTA TOTAL $ (IVA INC) " numFmtId="164">
      <sharedItems containsSemiMixedTypes="0" containsString="0" containsNumber="1" minValue="0" maxValue="40903315.860330001"/>
    </cacheField>
    <cacheField name="PENDIENTE DE ENTREGA" numFmtId="164">
      <sharedItems containsString="0" containsBlank="1" containsNumber="1" minValue="0" maxValue="25071200"/>
    </cacheField>
    <cacheField name="PENDIENTE DE COBRO" numFmtId="164">
      <sharedItems containsSemiMixedTypes="0" containsString="0" containsNumber="1" containsInteger="1" minValue="0" maxValue="24556950"/>
    </cacheField>
    <cacheField name="VALORES EN CARTERA" numFmtId="164">
      <sharedItems containsString="0" containsBlank="1" containsNumber="1" containsInteger="1" minValue="0" maxValue="0"/>
    </cacheField>
    <cacheField name="VALORES COBRADOS" numFmtId="164">
      <sharedItems containsSemiMixedTypes="0" containsString="0" containsNumber="1" minValue="0" maxValue="40903315.860330001"/>
    </cacheField>
    <cacheField name="FECHA RETIRO VALORES" numFmtId="14">
      <sharedItems containsSemiMixedTypes="0" containsNonDate="0" containsDate="1" containsString="0" minDate="1899-12-30T00:00:00" maxDate="2026-07-06T00:00:00"/>
    </cacheField>
    <cacheField name="FECHA VTO VALORES" numFmtId="14">
      <sharedItems containsSemiMixedTypes="0" containsNonDate="0" containsDate="1" containsString="0" minDate="1899-12-30T00:00:00" maxDate="2027-02-16T00:00:00" count="391">
        <d v="2026-05-26T19:02:00"/>
        <d v="2026-05-26T22:31:00"/>
        <d v="2026-05-26T22:49:00"/>
        <d v="2026-05-28T15:38:00"/>
        <d v="2026-05-28T15:43:00"/>
        <d v="2026-05-28T18:11:00"/>
        <d v="2026-05-28T19:24:00"/>
        <d v="2026-05-30T08:40:00"/>
        <d v="2026-05-30T09:27:00"/>
        <d v="2026-05-31T09:19:00"/>
        <d v="2026-05-31T20:19:00"/>
        <d v="2026-05-31T21:50:00"/>
        <d v="2026-05-31T22:15:00"/>
        <d v="2026-06-02T00:00:00"/>
        <d v="2026-06-03T00:00:00"/>
        <d v="2026-06-04T00:00:00"/>
        <d v="2026-06-05T00:00:00"/>
        <d v="2026-02-06T00:00:00"/>
        <d v="2026-06-07T00:00:00"/>
        <d v="2026-06-01T00:00:00"/>
        <d v="2026-06-08T00:00:00"/>
        <d v="2026-06-12T00:00:00"/>
        <d v="2026-06-30T00:00:00"/>
        <d v="2026-06-22T00:00:00"/>
        <d v="2026-07-02T00:00:00"/>
        <d v="2026-07-05T00:00:00"/>
        <d v="2026-07-31T00:00:00"/>
        <d v="2026-08-01T00:00:00"/>
        <d v="2026-08-02T00:00:00"/>
        <d v="2026-07-28T00:00:00"/>
        <d v="2026-08-03T00:00:00"/>
        <d v="2026-07-04T00:00:00"/>
        <d v="2026-05-29T00:00:00"/>
        <d v="2026-05-30T00:00:00"/>
        <d v="2026-06-11T00:00:00"/>
        <d v="2026-06-15T00:00:00"/>
        <d v="2026-07-03T00:00:00"/>
        <d v="2026-07-06T00:00:00"/>
        <d v="2026-07-01T00:00:00"/>
        <d v="2026-07-07T00:00:00"/>
        <d v="2026-07-08T00:00:00"/>
        <d v="2026-07-09T00:00:00"/>
        <d v="2026-05-23T00:00:00"/>
        <d v="2026-06-10T00:00:00"/>
        <d v="2026-05-28T00:00:00"/>
        <d v="2026-07-29T00:00:00"/>
        <d v="2026-08-04T00:00:00"/>
        <d v="2026-08-05T00:00:00"/>
        <d v="2026-06-26T00:00:00"/>
        <d v="2026-06-28T00:00:00"/>
        <d v="2026-05-26T00:00:00"/>
        <d v="2026-05-27T00:00:00"/>
        <d v="2026-05-31T00:00:00"/>
        <d v="2026-06-17T00:00:00"/>
        <d v="2026-07-11T00:00:00"/>
        <d v="2026-07-16T00:00:00"/>
        <d v="2026-07-18T00:00:00"/>
        <d v="2026-07-22T00:00:00"/>
        <d v="2026-07-24T00:00:00"/>
        <d v="2026-05-24T00:00:00"/>
        <d v="2026-06-06T00:00:00"/>
        <d v="2026-06-09T00:00:00"/>
        <d v="2026-06-13T00:00:00"/>
        <d v="2026-06-16T00:00:00"/>
        <d v="2026-06-18T00:00:00"/>
        <d v="2026-06-19T00:00:00"/>
        <d v="2026-06-21T00:00:00"/>
        <d v="2026-06-23T00:00:00"/>
        <d v="2026-06-24T00:00:00"/>
        <d v="2026-06-25T00:00:00"/>
        <d v="2026-06-27T00:00:00"/>
        <d v="2026-06-29T00:00:00"/>
        <d v="2026-07-15T00:00:00"/>
        <d v="2026-06-14T00:00:00"/>
        <d v="2026-06-20T00:00:00"/>
        <d v="2026-07-12T00:00:00"/>
        <d v="2026-07-19T00:00:00"/>
        <d v="1899-12-30T00:00:00"/>
        <d v="2026-07-27T00:00:00"/>
        <d v="2026-07-10T00:00:00"/>
        <d v="2026-07-13T00:00:00"/>
        <d v="2026-07-14T00:00:00"/>
        <d v="2026-07-17T00:00:00"/>
        <d v="2026-07-20T00:00:00"/>
        <d v="2026-07-21T00:00:00"/>
        <d v="2025-08-03T00:00:00" u="1"/>
        <d v="2025-11-25T00:00:00" u="1"/>
        <d v="2026-01-25T00:00:00" u="1"/>
        <d v="2025-02-04T00:00:00" u="1"/>
        <d v="2025-05-26T00:00:00" u="1"/>
        <d v="2025-07-17T00:00:00" u="1"/>
        <d v="2025-12-30T00:00:00" u="1"/>
        <d v="2025-08-22T00:00:00" u="1"/>
        <d v="2025-10-13T00:00:00" u="1"/>
        <d v="2025-12-04T00:00:00" u="1"/>
        <d v="2026-02-04T00:00:00" u="1"/>
        <d v="2025-06-05T00:00:00" u="1"/>
        <d v="2025-09-27T00:00:00" u="1"/>
        <d v="2025-11-18T00:00:00" u="1"/>
        <d v="2026-01-18T00:00:00" u="1"/>
        <d v="2026-03-09T00:00:00" u="1"/>
        <d v="2025-09-01T00:00:00" u="1"/>
        <d v="2025-12-23T00:00:00" u="1"/>
        <d v="2026-02-23T00:00:00" u="1"/>
        <d v="2026-04-14T00:00:00" u="1"/>
        <d v="2026-11-18T00:00:00" u="1"/>
        <d v="2025-08-15T00:00:00" u="1"/>
        <d v="2025-10-06T00:00:00" u="1"/>
        <d v="2026-03-28T00:00:00" u="1"/>
        <d v="2025-07-29T00:00:00" u="1"/>
        <d v="2025-09-20T00:00:00" u="1"/>
        <d v="2025-11-11T00:00:00" u="1"/>
        <d v="2026-01-11T00:00:00" u="1"/>
        <d v="2026-03-02T00:00:00" u="1"/>
        <d v="2025-07-03T00:00:00" u="1"/>
        <d v="2025-10-25T00:00:00" u="1"/>
        <d v="2025-12-16T00:00:00" u="1"/>
        <d v="2026-02-16T00:00:00" u="1"/>
        <d v="2026-04-07T00:00:00" u="1"/>
        <d v="2025-08-08T00:00:00" u="1"/>
        <d v="2025-11-30T00:00:00" u="1"/>
        <d v="2026-01-30T00:00:00" u="1"/>
        <d v="2026-03-21T00:00:00" u="1"/>
        <d v="2026-05-12T00:00:00" u="1"/>
        <d v="2025-09-13T00:00:00" u="1"/>
        <d v="2025-11-04T00:00:00" u="1"/>
        <d v="2026-01-04T00:00:00" u="1"/>
        <d v="2026-04-26T00:00:00" u="1"/>
        <d v="2025-08-27T00:00:00" u="1"/>
        <d v="2025-10-18T00:00:00" u="1"/>
        <d v="2025-12-09T00:00:00" u="1"/>
        <d v="2026-02-09T00:00:00" u="1"/>
        <d v="2025-08-01T00:00:00" u="1"/>
        <d v="2025-11-23T00:00:00" u="1"/>
        <d v="2026-03-14T00:00:00" u="1"/>
        <d v="2025-05-24T00:00:00" u="1"/>
        <d v="2025-07-15T00:00:00" u="1"/>
        <d v="2025-09-06T00:00:00" u="1"/>
        <d v="2025-12-28T00:00:00" u="1"/>
        <d v="2026-02-28T00:00:00" u="1"/>
        <d v="2026-11-23T00:00:00" u="1"/>
        <d v="2025-06-29T00:00:00" u="1"/>
        <d v="2025-10-11T00:00:00" u="1"/>
        <d v="2025-12-02T00:00:00" u="1"/>
        <d v="2026-02-02T00:00:00" u="1"/>
        <d v="2025-06-03T00:00:00" u="1"/>
        <d v="2025-09-25T00:00:00" u="1"/>
        <d v="2025-11-16T00:00:00" u="1"/>
        <d v="2026-01-16T00:00:00" u="1"/>
        <d v="2026-03-07T00:00:00" u="1"/>
        <d v="2027-02-02T00:00:00" u="1"/>
        <d v="2025-05-17T00:00:00" u="1"/>
        <d v="2025-07-08T00:00:00" u="1"/>
        <d v="2025-12-21T00:00:00" u="1"/>
        <d v="2026-04-12T00:00:00" u="1"/>
        <d v="2025-08-13T00:00:00" u="1"/>
        <d v="2025-10-04T00:00:00" u="1"/>
        <d v="2026-03-26T00:00:00" u="1"/>
        <d v="2025-07-27T00:00:00" u="1"/>
        <d v="2025-09-18T00:00:00" u="1"/>
        <d v="2025-11-09T00:00:00" u="1"/>
        <d v="2026-01-09T00:00:00" u="1"/>
        <d v="2025-07-01T00:00:00" u="1"/>
        <d v="2025-10-23T00:00:00" u="1"/>
        <d v="2025-12-14T00:00:00" u="1"/>
        <d v="2026-02-14T00:00:00" u="1"/>
        <d v="2026-04-05T00:00:00" u="1"/>
        <d v="2025-06-15T00:00:00" u="1"/>
        <d v="2025-11-28T00:00:00" u="1"/>
        <d v="2026-01-28T00:00:00" u="1"/>
        <d v="2026-03-19T00:00:00" u="1"/>
        <d v="2025-05-29T00:00:00" u="1"/>
        <d v="2025-09-11T00:00:00" u="1"/>
        <d v="2025-11-02T00:00:00" u="1"/>
        <d v="2026-01-02T00:00:00" u="1"/>
        <d v="2026-04-24T00:00:00" u="1"/>
        <d v="2025-08-25T00:00:00" u="1"/>
        <d v="2025-10-16T00:00:00" u="1"/>
        <d v="2025-12-07T00:00:00" u="1"/>
        <d v="2026-02-07T00:00:00" u="1"/>
        <d v="2025-06-08T00:00:00" u="1"/>
        <d v="2025-09-30T00:00:00" u="1"/>
        <d v="2025-11-21T00:00:00" u="1"/>
        <d v="2026-03-12T00:00:00" u="1"/>
        <d v="2026-05-03T00:00:00" u="1"/>
        <d v="2026-10-16T00:00:00" u="1"/>
        <d v="2025-05-22T00:00:00" u="1"/>
        <d v="2025-07-13T00:00:00" u="1"/>
        <d v="2025-09-04T00:00:00" u="1"/>
        <d v="2025-12-26T00:00:00" u="1"/>
        <d v="2026-02-26T00:00:00" u="1"/>
        <d v="1900-01-29T00:00:00" u="1"/>
        <d v="2025-01-14T00:00:00" u="1"/>
        <d v="2025-06-27T00:00:00" u="1"/>
        <d v="2025-08-18T00:00:00" u="1"/>
        <d v="2025-10-09T00:00:00" u="1"/>
        <d v="2026-03-31T00:00:00" u="1"/>
        <d v="2025-02-19T00:00:00" u="1"/>
        <d v="2025-06-01T00:00:00" u="1"/>
        <d v="2025-09-23T00:00:00" u="1"/>
        <d v="2025-11-14T00:00:00" u="1"/>
        <d v="2026-01-14T00:00:00" u="1"/>
        <d v="2026-03-05T00:00:00" u="1"/>
        <d v="2025-07-06T00:00:00" u="1"/>
        <d v="2025-10-28T00:00:00" u="1"/>
        <d v="2025-12-19T00:00:00" u="1"/>
        <d v="2026-02-19T00:00:00" u="1"/>
        <d v="2025-06-20T00:00:00" u="1"/>
        <d v="2025-08-11T00:00:00" u="1"/>
        <d v="2025-10-02T00:00:00" u="1"/>
        <d v="2026-03-24T00:00:00" u="1"/>
        <d v="2026-12-19T00:00:00" u="1"/>
        <d v="2025-07-25T00:00:00" u="1"/>
        <d v="2025-09-16T00:00:00" u="1"/>
        <d v="2025-11-07T00:00:00" u="1"/>
        <d v="2026-01-07T00:00:00" u="1"/>
        <d v="2026-04-29T00:00:00" u="1"/>
        <d v="2025-08-30T00:00:00" u="1"/>
        <d v="2025-10-21T00:00:00" u="1"/>
        <d v="2025-12-12T00:00:00" u="1"/>
        <d v="2026-02-12T00:00:00" u="1"/>
        <d v="2026-07-25T00:00:00" u="1"/>
        <d v="2025-06-13T00:00:00" u="1"/>
        <d v="2025-08-04T00:00:00" u="1"/>
        <d v="2025-11-26T00:00:00" u="1"/>
        <d v="2026-01-26T00:00:00" u="1"/>
        <d v="2026-03-17T00:00:00" u="1"/>
        <d v="2025-07-18T00:00:00" u="1"/>
        <d v="2025-09-09T00:00:00" u="1"/>
        <d v="2025-12-31T00:00:00" u="1"/>
        <d v="2026-04-22T00:00:00" u="1"/>
        <d v="2025-08-23T00:00:00" u="1"/>
        <d v="2025-10-14T00:00:00" u="1"/>
        <d v="2025-12-05T00:00:00" u="1"/>
        <d v="2026-02-05T00:00:00" u="1"/>
        <d v="2025-06-06T00:00:00" u="1"/>
        <d v="2025-09-28T00:00:00" u="1"/>
        <d v="2025-11-19T00:00:00" u="1"/>
        <d v="2026-01-19T00:00:00" u="1"/>
        <d v="2025-07-11T00:00:00" u="1"/>
        <d v="2026-04-15T00:00:00" u="1"/>
        <d v="2026-11-19T00:00:00" u="1"/>
        <d v="2025-01-12T00:00:00" u="1"/>
        <d v="2025-06-25T00:00:00" u="1"/>
        <d v="2025-08-16T00:00:00" u="1"/>
        <d v="2025-10-07T00:00:00" u="1"/>
        <d v="2026-03-29T00:00:00" u="1"/>
        <d v="2025-07-30T00:00:00" u="1"/>
        <d v="2025-09-21T00:00:00" u="1"/>
        <d v="2025-11-12T00:00:00" u="1"/>
        <d v="2026-01-12T00:00:00" u="1"/>
        <d v="2026-03-03T00:00:00" u="1"/>
        <d v="2025-07-04T00:00:00" u="1"/>
        <d v="2025-10-26T00:00:00" u="1"/>
        <d v="2025-12-17T00:00:00" u="1"/>
        <d v="2026-04-08T00:00:00" u="1"/>
        <d v="2026-11-12T00:00:00" u="1"/>
        <d v="2025-08-09T00:00:00" u="1"/>
        <d v="2026-01-31T00:00:00" u="1"/>
        <d v="2026-12-17T00:00:00" u="1"/>
        <d v="2025-07-23T00:00:00" u="1"/>
        <d v="2025-11-05T00:00:00" u="1"/>
        <d v="2026-01-05T00:00:00" u="1"/>
        <d v="2026-04-27T00:00:00" u="1"/>
        <d v="2025-08-28T00:00:00" u="1"/>
        <d v="2025-10-19T00:00:00" u="1"/>
        <d v="2025-12-10T00:00:00" u="1"/>
        <d v="2026-02-10T00:00:00" u="1"/>
        <d v="2026-04-01T00:00:00" u="1"/>
        <d v="2026-07-23T00:00:00" u="1"/>
        <d v="2025-06-11T00:00:00" u="1"/>
        <d v="2025-08-02T00:00:00" u="1"/>
        <d v="2025-11-24T00:00:00" u="1"/>
        <d v="2026-01-24T00:00:00" u="1"/>
        <d v="2025-05-25T00:00:00" u="1"/>
        <d v="2025-12-29T00:00:00" u="1"/>
        <d v="2025-08-21T00:00:00" u="1"/>
        <d v="2025-10-12T00:00:00" u="1"/>
        <d v="2025-12-03T00:00:00" u="1"/>
        <d v="2026-02-03T00:00:00" u="1"/>
        <d v="2026-05-25T00:00:00" u="1"/>
        <d v="2025-06-04T00:00:00" u="1"/>
        <d v="2025-09-26T00:00:00" u="1"/>
        <d v="2025-11-17T00:00:00" u="1"/>
        <d v="2026-01-17T00:00:00" u="1"/>
        <d v="2025-05-18T00:00:00" u="1"/>
        <d v="2025-07-09T00:00:00" u="1"/>
        <d v="2025-10-31T00:00:00" u="1"/>
        <d v="2025-12-22T00:00:00" u="1"/>
        <d v="2026-04-13T00:00:00" u="1"/>
        <d v="2025-06-23T00:00:00" u="1"/>
        <d v="2025-08-14T00:00:00" u="1"/>
        <d v="2025-10-05T00:00:00" u="1"/>
        <d v="2026-03-27T00:00:00" u="1"/>
        <d v="2025-09-19T00:00:00" u="1"/>
        <d v="2025-11-10T00:00:00" u="1"/>
        <d v="2026-01-10T00:00:00" u="1"/>
        <d v="2026-03-01T00:00:00" u="1"/>
        <d v="2025-07-02T00:00:00" u="1"/>
        <d v="2025-10-24T00:00:00" u="1"/>
        <d v="2025-12-15T00:00:00" u="1"/>
        <d v="2026-02-15T00:00:00" u="1"/>
        <d v="2026-04-06T00:00:00" u="1"/>
        <d v="2025-08-07T00:00:00" u="1"/>
        <d v="2025-11-29T00:00:00" u="1"/>
        <d v="2026-01-29T00:00:00" u="1"/>
        <d v="2026-03-20T00:00:00" u="1"/>
        <d v="2026-05-11T00:00:00" u="1"/>
        <d v="2027-02-15T00:00:00" u="1"/>
        <d v="2025-07-21T00:00:00" u="1"/>
        <d v="2025-11-03T00:00:00" u="1"/>
        <d v="2026-01-03T00:00:00" u="1"/>
        <d v="2025-08-26T00:00:00" u="1"/>
        <d v="2025-10-17T00:00:00" u="1"/>
        <d v="2025-12-08T00:00:00" u="1"/>
        <d v="2026-02-08T00:00:00" u="1"/>
        <d v="2025-11-22T00:00:00" u="1"/>
        <d v="2026-03-13T00:00:00" u="1"/>
        <d v="2026-05-04T00:00:00" u="1"/>
        <d v="2025-05-23T00:00:00" u="1"/>
        <d v="2025-12-27T00:00:00" u="1"/>
        <d v="2026-02-27T00:00:00" u="1"/>
        <d v="2026-11-22T00:00:00" u="1"/>
        <d v="2025-06-28T00:00:00" u="1"/>
        <d v="2025-10-10T00:00:00" u="1"/>
        <d v="2025-12-01T00:00:00" u="1"/>
        <d v="2026-02-01T00:00:00" u="1"/>
        <d v="2025-06-02T00:00:00" u="1"/>
        <d v="2025-09-24T00:00:00" u="1"/>
        <d v="2025-11-15T00:00:00" u="1"/>
        <d v="2026-01-15T00:00:00" u="1"/>
        <d v="2026-03-06T00:00:00" u="1"/>
        <d v="2025-05-16T00:00:00" u="1"/>
        <d v="2025-07-07T00:00:00" u="1"/>
        <d v="2025-10-29T00:00:00" u="1"/>
        <d v="2025-12-20T00:00:00" u="1"/>
        <d v="2025-06-21T00:00:00" u="1"/>
        <d v="2025-08-12T00:00:00" u="1"/>
        <d v="2025-10-03T00:00:00" u="1"/>
        <d v="2025-09-17T00:00:00" u="1"/>
        <d v="2025-11-08T00:00:00" u="1"/>
        <d v="2026-01-08T00:00:00" u="1"/>
        <d v="2025-10-22T00:00:00" u="1"/>
        <d v="2025-12-13T00:00:00" u="1"/>
        <d v="2026-02-13T00:00:00" u="1"/>
        <d v="2026-04-04T00:00:00" u="1"/>
        <d v="2025-08-05T00:00:00" u="1"/>
        <d v="2025-11-27T00:00:00" u="1"/>
        <d v="2026-01-27T00:00:00" u="1"/>
        <d v="2026-12-13T00:00:00" u="1"/>
        <d v="2025-05-28T00:00:00" u="1"/>
        <d v="2025-07-19T00:00:00" u="1"/>
        <d v="2025-09-10T00:00:00" u="1"/>
        <d v="2025-11-01T00:00:00" u="1"/>
        <d v="2026-01-01T00:00:00" u="1"/>
        <d v="2026-04-23T00:00:00" u="1"/>
        <d v="2025-08-24T00:00:00" u="1"/>
        <d v="2025-10-15T00:00:00" u="1"/>
        <d v="2025-12-06T00:00:00" u="1"/>
        <d v="2025-06-07T00:00:00" u="1"/>
        <d v="2025-09-29T00:00:00" u="1"/>
        <d v="2025-11-20T00:00:00" u="1"/>
        <d v="2026-01-20T00:00:00" u="1"/>
        <d v="2026-03-11T00:00:00" u="1"/>
        <d v="2026-12-06T00:00:00" u="1"/>
        <d v="2025-07-12T00:00:00" u="1"/>
        <d v="2025-09-03T00:00:00" u="1"/>
        <d v="2025-12-25T00:00:00" u="1"/>
        <d v="2026-02-25T00:00:00" u="1"/>
        <d v="2026-04-16T00:00:00" u="1"/>
        <d v="2025-06-26T00:00:00" u="1"/>
        <d v="2025-10-08T00:00:00" u="1"/>
        <d v="2026-03-30T00:00:00" u="1"/>
        <d v="2025-07-31T00:00:00" u="1"/>
        <d v="2025-09-22T00:00:00" u="1"/>
        <d v="2025-11-13T00:00:00" u="1"/>
        <d v="2025-10-27T00:00:00" u="1"/>
        <d v="2025-12-18T00:00:00" u="1"/>
        <d v="2026-02-18T00:00:00" u="1"/>
        <d v="2025-08-10T00:00:00" u="1"/>
        <d v="2025-10-01T00:00:00" u="1"/>
        <d v="2026-03-23T00:00:00" u="1"/>
        <d v="2025-07-24T00:00:00" u="1"/>
        <d v="2025-09-15T00:00:00" u="1"/>
        <d v="2025-11-06T00:00:00" u="1"/>
        <d v="2026-01-06T00:00:00" u="1"/>
        <d v="2026-04-28T00:00:00" u="1"/>
        <d v="2026-08-10T00:00:00" u="1"/>
        <d v="2025-08-29T00:00:00" u="1"/>
        <d v="2025-10-20T00:00:00" u="1"/>
        <d v="2025-12-11T00:00:00" u="1"/>
      </sharedItems>
    </cacheField>
    <cacheField name="Dias Vto" numFmtId="3">
      <sharedItems containsSemiMixedTypes="0" containsString="0" containsNumber="1" minValue="-46180" maxValue="59"/>
    </cacheField>
    <cacheField name="PLAZO ENTREGA VALORES" numFmtId="1">
      <sharedItems containsString="0" containsBlank="1" containsNumber="1" minValue="-181" maxValue="30"/>
    </cacheField>
    <cacheField name="Banco" numFmtId="1">
      <sharedItems containsNonDate="0" containsString="0" containsBlank="1"/>
    </cacheField>
    <cacheField name="SEMANA ACREDITACION PAGO " numFmtId="14">
      <sharedItems containsSemiMixedTypes="0" containsNonDate="0" containsDate="1" containsString="0" minDate="1900-01-06T00:00:00" maxDate="2026-08-13T00:00:00"/>
    </cacheField>
    <cacheField name="OC" numFmtId="1">
      <sharedItems containsBlank="1" containsMixedTypes="1" containsNumber="1" containsInteger="1" minValue="471" maxValue="45000393310" count="190">
        <m/>
        <s v="PROFORMA 17"/>
        <s v="WS 07.05.26"/>
        <s v="WS 13.05.26"/>
        <s v="48825 "/>
        <n v="48858"/>
        <s v=" 300187051"/>
        <s v=" 300187052"/>
        <s v="WS 13.03.26"/>
        <n v="5500001336"/>
        <s v="00999-00008305"/>
        <s v="WS 14.03.26"/>
        <n v="13035"/>
        <n v="2033"/>
        <n v="2034"/>
        <n v="2036"/>
        <n v="2037"/>
        <n v="18758"/>
        <n v="18759"/>
        <n v="18760"/>
        <n v="18761"/>
        <n v="2381"/>
        <s v="COMBUSTIBLE"/>
        <n v="15951"/>
        <n v="19157"/>
        <s v="WS 22.05.26"/>
        <s v="WS 28.05.26"/>
        <s v="PROFORMA 19"/>
        <s v="WS 29.01.26"/>
        <s v="M 15.05.26"/>
        <n v="6396"/>
        <s v="WS 04.06.26"/>
        <s v="WS.04.06.26"/>
        <s v="WS 14.04.26"/>
        <n v="2399"/>
        <n v="7341" u="1"/>
        <n v="7696" u="1"/>
        <n v="12312" u="1"/>
        <n v="16547" u="1"/>
        <n v="13081588" u="1"/>
        <n v="7630" u="1"/>
        <n v="15446" u="1"/>
        <n v="15588" u="1"/>
        <n v="29347" u="1"/>
        <n v="6570" u="1"/>
        <n v="17723" u="1"/>
        <n v="7673" u="1"/>
        <n v="12337" u="1"/>
        <n v="12550" u="1"/>
        <n v="15674" u="1"/>
        <n v="16952" u="1"/>
        <n v="1118" u="1"/>
        <n v="6646" u="1"/>
        <n v="15821" u="1"/>
        <n v="18098" u="1"/>
        <n v="16546" u="1"/>
        <n v="45000393310" u="1"/>
        <n v="12565" u="1"/>
        <n v="15618" u="1"/>
        <n v="16850" u="1"/>
        <n v="7508" u="1"/>
        <n v="12291" u="1"/>
        <n v="17722" u="1"/>
        <n v="6661" u="1"/>
        <n v="6803" u="1"/>
        <n v="21022516" u="1"/>
        <n v="4500283775" u="1"/>
        <n v="18097" u="1"/>
        <n v="18310" u="1"/>
        <n v="5500001118" u="1"/>
        <n v="16074" u="1"/>
        <n v="16545" u="1"/>
        <n v="18036" u="1"/>
        <n v="4500287022" u="1"/>
        <n v="7627" u="1"/>
        <n v="12742" u="1"/>
        <n v="12108" u="1"/>
        <n v="12250" u="1"/>
        <n v="18111518" u="1"/>
        <n v="14390" u="1"/>
        <n v="15739" u="1"/>
        <n v="18005" u="1"/>
        <n v="6714" u="1"/>
        <n v="15673" u="1"/>
        <n v="18096" u="1"/>
        <n v="19091602" u="1"/>
        <n v="7358" u="1"/>
        <n v="15328" u="1"/>
        <n v="17893" u="1"/>
        <n v="1483" u="1"/>
        <n v="4500282145" u="1"/>
        <n v="6582" u="1"/>
        <n v="18004" u="1"/>
        <n v="6696" u="1"/>
        <n v="18095" u="1"/>
        <n v="47797" u="1"/>
        <n v="471" u="1"/>
        <n v="12381" u="1"/>
        <n v="15221" u="1"/>
        <n v="18034" u="1"/>
        <n v="16149" u="1"/>
        <n v="17050" u="1"/>
        <n v="17983" u="1"/>
        <n v="40280" u="1"/>
        <n v="47877" u="1"/>
        <n v="7634" u="1"/>
        <n v="12259" u="1"/>
        <n v="16725" u="1"/>
        <n v="7885" u="1"/>
        <n v="16311" u="1"/>
        <n v="7639" u="1"/>
        <n v="14470" u="1"/>
        <n v="5011455" u="1"/>
        <n v="7890" u="1"/>
        <n v="12345" u="1"/>
        <n v="15824" u="1"/>
        <n v="7101537" u="1"/>
        <n v="6792" u="1"/>
        <n v="18540" u="1"/>
        <n v="16633" u="1"/>
        <n v="6726" u="1"/>
        <n v="18418" u="1"/>
        <n v="6551" u="1"/>
        <n v="16724" u="1"/>
        <n v="18651" u="1"/>
        <n v="23347" u="1"/>
        <n v="6736" u="1"/>
        <n v="18032" u="1"/>
        <n v="18103" u="1"/>
        <n v="29101013" u="1"/>
        <n v="7413" u="1"/>
        <n v="12172" u="1"/>
        <n v="16148" u="1"/>
        <n v="7011746" u="1"/>
        <n v="15585" u="1"/>
        <n v="16632" u="1"/>
        <n v="45246" u="1"/>
        <n v="26021144" u="1"/>
        <n v="6855" u="1"/>
        <n v="15458" u="1"/>
        <n v="6822" u="1"/>
        <n v="15889" u="1"/>
        <n v="1081630" u="1"/>
        <n v="4500389045" u="1"/>
        <n v="18102" u="1"/>
        <n v="26003915" u="1"/>
        <n v="7395" u="1"/>
        <n v="16834" u="1"/>
        <n v="250109" u="1"/>
        <n v="15341" u="1"/>
        <n v="15980" u="1"/>
        <n v="16854" u="1"/>
        <n v="15706" u="1"/>
        <n v="15919" u="1"/>
        <n v="17726" u="1"/>
        <n v="18933" u="1"/>
        <n v="4529425" u="1"/>
        <n v="7798" u="1"/>
        <n v="18091" u="1"/>
        <n v="12237" u="1"/>
        <n v="14438" u="1"/>
        <n v="18101" u="1"/>
        <n v="16147" u="1"/>
        <n v="15584" u="1"/>
        <n v="48346" u="1"/>
        <n v="1515" u="1"/>
        <n v="16370" u="1"/>
        <n v="16853" u="1"/>
        <n v="47798" u="1"/>
        <n v="6781" u="1"/>
        <n v="14458" u="1"/>
        <n v="7529" u="1"/>
        <n v="12049" u="1"/>
        <n v="16025" u="1"/>
        <n v="17725" u="1"/>
        <n v="6682" u="1"/>
        <n v="18100" u="1"/>
        <n v="16832" u="1"/>
        <n v="6616" u="1"/>
        <n v="7752" u="1"/>
        <n v="12074" u="1"/>
        <n v="12216" u="1"/>
        <n v="15979" u="1"/>
        <n v="16852" u="1"/>
        <n v="6763" u="1"/>
        <n v="17724" u="1"/>
        <n v="12160" u="1"/>
        <n v="18099" u="1"/>
        <n v="4500287850" u="1"/>
        <n v="4500361091" u="1"/>
      </sharedItems>
    </cacheField>
    <cacheField name="FECHA OC" numFmtId="14">
      <sharedItems containsNonDate="0" containsDate="1" containsString="0" containsBlank="1" minDate="2026-01-05T00:00:00" maxDate="2026-06-06T00:00:00"/>
    </cacheField>
    <cacheField name="Q Bolsas Equivalentes 50kg" numFmtId="3">
      <sharedItems containsSemiMixedTypes="0" containsString="0" containsNumber="1" minValue="0" maxValue="1484"/>
    </cacheField>
    <cacheField name="PRECIO $ BOLSA 50 KG (IVA INC) " numFmtId="164">
      <sharedItems containsMixedTypes="1" containsNumber="1" minValue="0" maxValue="45254"/>
    </cacheField>
    <cacheField name="COSTO FLETE $ BOLSA 50 KG (IVA INC)" numFmtId="171">
      <sharedItems containsSemiMixedTypes="0" containsString="0" containsNumber="1" minValue="-6627" maxValue="3.1700000000000017"/>
    </cacheField>
    <cacheField name="PRECIO $ BOLSA50 KG  FOB TUCUMAN A PLAZO (IVA INC)" numFmtId="171">
      <sharedItems containsMixedTypes="1" containsNumber="1" minValue="-3932.5" maxValue="42289.681499999999"/>
    </cacheField>
    <cacheField name="GASTOS FINANCIEROS $ BOLSA 50 KG (IVA INC)" numFmtId="171">
      <sharedItems containsMixedTypes="1" containsNumber="1" minValue="-105.12579452054794" maxValue="396.37688762484248"/>
    </cacheField>
    <cacheField name="PRECIO $ BOLSA 50KG  FOB CDO TUC (IVA INC)" numFmtId="171">
      <sharedItems containsMixedTypes="1" containsNumber="1" minValue="-3932.5" maxValue="42188.881869863013"/>
    </cacheField>
    <cacheField name="ENVASE" numFmtId="1">
      <sharedItems containsBlank="1" count="8">
        <s v="GRANEL"/>
        <s v="BIG BAG 1273"/>
        <s v="BOLSA 50 Kgs"/>
        <s v="BIG BAG 1250"/>
        <s v="BOLSA 25 Kgs"/>
        <m/>
        <s v="BOLSA 5O KG" u="1"/>
        <s v="BIG BAG" u="1"/>
      </sharedItems>
    </cacheField>
    <cacheField name="LOCALIDAD" numFmtId="1">
      <sharedItems containsBlank="1" count="29">
        <s v="RETIRA DE INGENIO"/>
        <s v="SANTIAGO DE CHILE"/>
        <s v="CORDOBA"/>
        <s v="LOMAS DEL MIRADOR"/>
        <s v="PILAR"/>
        <s v="LANUS"/>
        <s v="RIO PRIMERO"/>
        <s v="PACHECO"/>
        <s v="LAS HERAS"/>
        <s v="MATADEROS"/>
        <s v="CABA"/>
        <s v="CAÑADA ROSQUIN"/>
        <m/>
        <s v="TRES ARROYOS"/>
        <s v="SPEGAZZINI" u="1"/>
        <s v="SAN FERNANDO" u="1"/>
        <s v="JOSE MÁRMOL" u="1"/>
        <s v="SAN MIGUEL" u="1"/>
        <s v="TUCUMAN" u="1"/>
        <s v="ROSARIO" u="1"/>
        <s v="EZEIZA" u="1"/>
        <s v="ESCOBAR" u="1"/>
        <s v="FERREYRA" u="1"/>
        <s v="MUNRO" u="1"/>
        <s v="SAUCE VIEJO" u="1"/>
        <s v="JOSE LEÓN SUÁREZ" u="1"/>
        <s v="CRESPO" u="1"/>
        <s v="SANTIAGO" u="1"/>
        <s v="ORDOÑEZ" u="1"/>
      </sharedItems>
    </cacheField>
    <cacheField name="PAIS / PROVINCIA" numFmtId="1">
      <sharedItems containsBlank="1"/>
    </cacheField>
    <cacheField name="TIPO OPERACIÓN" numFmtId="1">
      <sharedItems containsBlank="1" count="10">
        <s v="GDES CUENTAS"/>
        <s v="EXPO CHILE"/>
        <s v="INDUSTRIA"/>
        <s v="TUC CTADO 1"/>
        <s v="TUC CTADO 2"/>
        <m/>
        <s v="EX" u="1"/>
        <s v="V2" u="1"/>
        <s v="IN" u="1"/>
        <s v="V1" u="1"/>
      </sharedItems>
    </cacheField>
    <cacheField name="PRECIO REF $ BOLSA 50 KG CACTU (IVA INC)" numFmtId="164">
      <sharedItems containsMixedTypes="1" containsNumber="1" minValue="25502.479338842975" maxValue="37115"/>
    </cacheField>
    <cacheField name="DIF $ PRECIO NETO INDUSTRIA vs Neto TUCUMAN (IVA INC)" numFmtId="164">
      <sharedItems containsMixedTypes="1" containsNumber="1" minValue="-41041.5" maxValue="5081.881869863013"/>
    </cacheField>
    <cacheField name="DIF % PRECIO NETO INDUSTRIA vs Neto TUCUMAN (IVA INC)" numFmtId="9">
      <sharedItems containsMixedTypes="1" containsNumber="1" minValue="-1.1059715971866664" maxValue="0.13695210795437562"/>
    </cacheField>
    <cacheField name="TOTAL GANANCIA $ POR OPERACIÓN  VS. CACTU (IVA INC)" numFmtId="164">
      <sharedItems containsMixedTypes="1" containsNumber="1" minValue="-9183983.8980821948" maxValue="2845853.8471232872"/>
    </cacheField>
    <cacheField name="VENTA EQUIVALENTE $ CACTU (IVA INC)" numFmtId="164">
      <sharedItems containsMixedTypes="1" containsNumber="1" minValue="0" maxValue="48252260"/>
    </cacheField>
    <cacheField name="VENTA EQU $  LA CORONA FOB TUC (IVA INC)" numFmtId="164">
      <sharedItems containsMixedTypes="1" containsNumber="1" minValue="0" maxValue="41490932.733984277"/>
    </cacheField>
    <cacheField name="TASA FINANCIACION MENSUAL" numFmtId="9">
      <sharedItems containsString="0" containsBlank="1" containsNumber="1" minValue="2.9000000000000001E-2" maxValue="0.03"/>
    </cacheField>
    <cacheField name="COSTO FLETE $ POR BOLSA 5O KG (SIN IVA)" numFmtId="164">
      <sharedItems containsSemiMixedTypes="0" containsString="0" containsNumber="1" minValue="-105" maxValue="6627.3065999999999"/>
    </cacheField>
    <cacheField name="PLAZO PAGO (DIAS)" numFmtId="1">
      <sharedItems containsString="0" containsBlank="1" containsNumber="1" containsInteger="1" minValue="-7" maxValue="60"/>
    </cacheField>
    <cacheField name="COMENTARIOS" numFmtId="1">
      <sharedItems containsBlank="1"/>
    </cacheField>
    <cacheField name="CONTROL" numFmtId="180">
      <sharedItems containsSemiMixedTypes="0" containsString="0" containsNumber="1" containsInteger="1" minValue="-20440000" maxValue="0"/>
    </cacheField>
    <cacheField name="TIPO DE CAMBIO" numFmtId="192">
      <sharedItems containsMixedTypes="1" containsNumber="1" minValue="1358.5219999999999" maxValue="1472.7348"/>
    </cacheField>
    <cacheField name="VENTA TOTAL USD A PLAZO EN CLIENTE  (SIN IVA)" numFmtId="192">
      <sharedItems containsMixedTypes="1" containsNumber="1" minValue="0" maxValue="23373.000000000004"/>
    </cacheField>
    <cacheField name="% IVA " numFmtId="9">
      <sharedItems containsNonDate="0" containsString="0" containsBlank="1"/>
    </cacheField>
    <cacheField name="VENTA TOTAL USD A PLAZO EN CLIENTE  (IVA INC)" numFmtId="192">
      <sharedItems containsMixedTypes="1" containsNumber="1" minValue="0" maxValue="23373.000000000004"/>
    </cacheField>
    <cacheField name="PRECIO POR TN USD EN CLIENTE A PLAZO (SIN IVA)" numFmtId="0">
      <sharedItems containsMixedTypes="1" containsNumber="1" minValue="315" maxValue="536.53794729188928"/>
    </cacheField>
    <cacheField name="COSTO USD FLETE /TN (SIN IVA)" numFmtId="192">
      <sharedItems containsMixedTypes="1" containsNumber="1" minValue="-89.999999999999986" maxValue="1.5011623285458169"/>
    </cacheField>
    <cacheField name="COSTO FINANCIERO USD POR BOLSA 50KG (IVA INC)" numFmtId="192">
      <sharedItems containsMixedTypes="1" containsNumber="1" minValue="-1.5029607856447127" maxValue="5.481250273972603"/>
    </cacheField>
    <cacheField name="PRECIO  USD TON FOB CORONA" numFmtId="192">
      <sharedItems containsMixedTypes="1" containsNumber="1" minValue="315.24226520547944" maxValue="499.73265542552969"/>
    </cacheField>
    <cacheField name="TIER" numFmtId="1">
      <sharedItems containsString="0" containsBlank="1" containsNumber="1" containsInteger="1" minValue="1" maxValue="5" count="6">
        <n v="5"/>
        <n v="1"/>
        <n v="3"/>
        <n v="2"/>
        <n v="4"/>
        <m/>
      </sharedItems>
    </cacheField>
    <cacheField name="Trimestres" numFmtId="0" databaseField="0">
      <fieldGroup base="0">
        <rangePr groupBy="quarters" startDate="2026-05-01T00:00:00" endDate="2027-04-02T00:00:00"/>
        <groupItems count="6">
          <s v="&lt;1/5/2026"/>
          <s v="Trim.1"/>
          <s v="Trim.2"/>
          <s v="Trim.3"/>
          <s v="Trim.4"/>
          <s v="&gt;2/4/2027"/>
        </groupItems>
      </fieldGroup>
    </cacheField>
    <cacheField name="Años" numFmtId="0" databaseField="0">
      <fieldGroup base="0">
        <rangePr groupBy="years" startDate="2026-05-01T00:00:00" endDate="2027-04-02T00:00:00"/>
        <groupItems count="4">
          <s v="&lt;1/5/2026"/>
          <s v="2026"/>
          <s v="2027"/>
          <s v="&gt;2/4/2027"/>
        </groupItems>
      </fieldGroup>
    </cacheField>
    <cacheField name="TONELADAS" numFmtId="0" formula="KGS/1000" databaseField="0"/>
    <cacheField name="TOTAL BOLSAS PROMEDIO MES" numFmtId="0" formula="'Q Bolsas Equivalentes 50kg'/12"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3">
  <r>
    <x v="0"/>
    <x v="0"/>
    <x v="0"/>
    <d v="2025-04-04T00:00:00"/>
    <n v="2373"/>
    <x v="0"/>
    <x v="0"/>
    <d v="2025-04-04T00:00:00"/>
    <n v="28000"/>
    <n v="435"/>
    <n v="12180000"/>
    <n v="2557800"/>
    <n v="14737800"/>
    <x v="0"/>
    <x v="0"/>
    <x v="0"/>
    <n v="14737800"/>
    <d v="2025-04-04T00:00:00"/>
    <d v="2025-05-04T00:00:00"/>
    <n v="-184"/>
    <x v="0"/>
    <x v="0"/>
    <d v="2025-05-11T00:00:00"/>
    <s v="WS 01/04"/>
    <d v="2025-04-01T00:00:00"/>
    <n v="560"/>
    <n v="26317.5"/>
    <n v="-1954.4524999999999"/>
    <n v="24363.047500000001"/>
    <n v="0"/>
    <n v="24363.047500000001"/>
    <x v="0"/>
    <x v="0"/>
    <x v="0"/>
    <x v="0"/>
    <n v="23773"/>
    <n v="590.04750000000058"/>
    <n v="2.4820068985824228E-2"/>
    <n v="330426.60000000033"/>
    <n v="13312880"/>
    <n v="13643306.6"/>
    <x v="0"/>
    <x v="0"/>
    <x v="0"/>
    <x v="0"/>
    <x v="0"/>
    <n v="1074.5417"/>
    <n v="11335.064986309977"/>
    <n v="404.82374951107062"/>
  </r>
  <r>
    <x v="0"/>
    <x v="0"/>
    <x v="0"/>
    <d v="2025-04-10T00:00:00"/>
    <n v="2382"/>
    <x v="0"/>
    <x v="0"/>
    <d v="2025-04-10T00:00:00"/>
    <n v="28000"/>
    <n v="435"/>
    <n v="12180000"/>
    <n v="2557800"/>
    <n v="14737800"/>
    <x v="0"/>
    <x v="0"/>
    <x v="0"/>
    <n v="14737800"/>
    <d v="2025-04-10T00:00:00"/>
    <d v="2025-05-10T00:00:00"/>
    <n v="-178"/>
    <x v="0"/>
    <x v="0"/>
    <d v="2025-05-17T00:00:00"/>
    <s v="WS 01/04"/>
    <d v="2025-04-01T00:00:00"/>
    <n v="560"/>
    <n v="26317.5"/>
    <n v="-1954.4524999999999"/>
    <n v="24363.047500000001"/>
    <n v="0"/>
    <n v="24363.047500000001"/>
    <x v="0"/>
    <x v="0"/>
    <x v="0"/>
    <x v="0"/>
    <n v="23773"/>
    <n v="590.04750000000058"/>
    <n v="2.4820068985824228E-2"/>
    <n v="330426.60000000033"/>
    <n v="13312880"/>
    <n v="13643306.6"/>
    <x v="0"/>
    <x v="0"/>
    <x v="0"/>
    <x v="0"/>
    <x v="0"/>
    <n v="1074.5417"/>
    <n v="11335.064986309977"/>
    <n v="404.82374951107062"/>
  </r>
  <r>
    <x v="0"/>
    <x v="0"/>
    <x v="0"/>
    <d v="2025-04-21T00:00:00"/>
    <n v="2399"/>
    <x v="0"/>
    <x v="0"/>
    <d v="2025-04-21T00:00:00"/>
    <n v="30000"/>
    <n v="435"/>
    <n v="13050000"/>
    <n v="2740500"/>
    <n v="15790500"/>
    <x v="0"/>
    <x v="0"/>
    <x v="0"/>
    <n v="15790500"/>
    <d v="2025-04-21T00:00:00"/>
    <d v="2025-05-21T00:00:00"/>
    <n v="-167"/>
    <x v="0"/>
    <x v="0"/>
    <d v="2025-05-28T00:00:00"/>
    <s v="WS 01/04"/>
    <d v="2025-04-01T00:00:00"/>
    <n v="600"/>
    <n v="26317.5"/>
    <n v="-1954.4524999999999"/>
    <n v="24363.047500000001"/>
    <n v="0"/>
    <n v="24363.047500000001"/>
    <x v="0"/>
    <x v="0"/>
    <x v="0"/>
    <x v="0"/>
    <n v="23773"/>
    <n v="590.04750000000058"/>
    <n v="2.4820068985824228E-2"/>
    <n v="354028.50000000035"/>
    <n v="14263800"/>
    <n v="14617828.5"/>
    <x v="0"/>
    <x v="0"/>
    <x v="0"/>
    <x v="0"/>
    <x v="0"/>
    <n v="1074.5417"/>
    <n v="12144.712485332118"/>
    <n v="404.82374951107062"/>
  </r>
  <r>
    <x v="0"/>
    <x v="0"/>
    <x v="0"/>
    <d v="2025-04-23T00:00:00"/>
    <n v="2408"/>
    <x v="0"/>
    <x v="0"/>
    <d v="2025-04-29T00:00:00"/>
    <n v="30000"/>
    <n v="435"/>
    <n v="13050000"/>
    <n v="2740500"/>
    <n v="15790500"/>
    <x v="0"/>
    <x v="0"/>
    <x v="0"/>
    <n v="15790500"/>
    <d v="2025-04-23T00:00:00"/>
    <d v="2025-05-23T00:00:00"/>
    <n v="-165"/>
    <x v="0"/>
    <x v="0"/>
    <d v="2025-05-30T00:00:00"/>
    <s v="WS 01/04"/>
    <d v="2025-04-01T00:00:00"/>
    <n v="600"/>
    <n v="26317.5"/>
    <n v="-1954.4524999999999"/>
    <n v="24363.047500000001"/>
    <n v="0"/>
    <n v="24363.047500000001"/>
    <x v="0"/>
    <x v="0"/>
    <x v="0"/>
    <x v="0"/>
    <n v="23773"/>
    <n v="590.04750000000058"/>
    <n v="2.4820068985824228E-2"/>
    <n v="354028.50000000035"/>
    <n v="14263800"/>
    <n v="14617828.5"/>
    <x v="0"/>
    <x v="0"/>
    <x v="0"/>
    <x v="0"/>
    <x v="0"/>
    <n v="1074.5417"/>
    <n v="12144.712485332118"/>
    <n v="404.82374951107062"/>
  </r>
  <r>
    <x v="0"/>
    <x v="0"/>
    <x v="0"/>
    <d v="2025-04-29T00:00:00"/>
    <n v="2409"/>
    <x v="0"/>
    <x v="0"/>
    <d v="2025-05-01T00:00:00"/>
    <n v="30000"/>
    <n v="435"/>
    <n v="13050000"/>
    <n v="2740500"/>
    <n v="15790500"/>
    <x v="0"/>
    <x v="0"/>
    <x v="0"/>
    <n v="15790500"/>
    <d v="2025-04-29T00:00:00"/>
    <d v="2025-05-29T00:00:00"/>
    <n v="-159"/>
    <x v="0"/>
    <x v="0"/>
    <d v="2025-06-05T00:00:00"/>
    <s v="WS 01/04"/>
    <d v="2025-04-01T00:00:00"/>
    <n v="600"/>
    <n v="26317.5"/>
    <n v="-1954.4524999999999"/>
    <n v="24363.047500000001"/>
    <n v="0"/>
    <n v="24363.047500000001"/>
    <x v="0"/>
    <x v="0"/>
    <x v="0"/>
    <x v="0"/>
    <n v="23773"/>
    <n v="590.04750000000058"/>
    <n v="2.4820068985824228E-2"/>
    <n v="354028.50000000035"/>
    <n v="14263800"/>
    <n v="14617828.5"/>
    <x v="0"/>
    <x v="0"/>
    <x v="0"/>
    <x v="0"/>
    <x v="0"/>
    <n v="1074.5417"/>
    <n v="12144.712485332118"/>
    <n v="404.82374951107062"/>
  </r>
  <r>
    <x v="0"/>
    <x v="1"/>
    <x v="0"/>
    <d v="2025-04-28T00:00:00"/>
    <n v="2407"/>
    <x v="0"/>
    <x v="0"/>
    <d v="2025-04-29T00:00:00"/>
    <n v="14000"/>
    <n v="488"/>
    <n v="6832000"/>
    <n v="1434720"/>
    <n v="8266720"/>
    <x v="0"/>
    <x v="1"/>
    <x v="0"/>
    <n v="8266720"/>
    <d v="2025-04-28T00:00:00"/>
    <d v="2025-05-28T00:00:00"/>
    <n v="-160"/>
    <x v="0"/>
    <x v="0"/>
    <d v="2025-06-04T00:00:00"/>
    <s v="WS 17/04"/>
    <d v="2025-04-01T00:00:00"/>
    <n v="280"/>
    <n v="29524"/>
    <n v="-1746.2719999999999"/>
    <n v="27777.727999999999"/>
    <n v="0"/>
    <n v="27777.727999999999"/>
    <x v="0"/>
    <x v="1"/>
    <x v="1"/>
    <x v="0"/>
    <n v="23773"/>
    <n v="4004.7279999999992"/>
    <n v="0.16845698902115847"/>
    <n v="1121323.8399999999"/>
    <n v="6656440"/>
    <n v="7777763.8399999999"/>
    <x v="0"/>
    <x v="0"/>
    <x v="0"/>
    <x v="0"/>
    <x v="0"/>
    <n v="1074.5417"/>
    <n v="6358.0594405968614"/>
    <n v="454.1471028997758"/>
  </r>
  <r>
    <x v="1"/>
    <x v="0"/>
    <x v="0"/>
    <d v="2025-05-12T00:00:00"/>
    <n v="2425"/>
    <x v="0"/>
    <x v="0"/>
    <d v="2025-05-12T00:00:00"/>
    <n v="30000"/>
    <n v="469"/>
    <n v="14070000"/>
    <n v="2954700"/>
    <n v="17024700"/>
    <x v="0"/>
    <x v="0"/>
    <x v="0"/>
    <n v="17024700"/>
    <d v="2025-05-15T00:00:00"/>
    <d v="2025-05-12T00:00:00"/>
    <n v="49"/>
    <x v="1"/>
    <x v="0"/>
    <d v="2025-08-05T00:00:00"/>
    <s v="WS 28.04"/>
    <d v="2025-04-28T00:00:00"/>
    <n v="600"/>
    <n v="28374.5"/>
    <n v="-1550"/>
    <n v="26824.5"/>
    <n v="0"/>
    <n v="26824.5"/>
    <x v="0"/>
    <x v="0"/>
    <x v="0"/>
    <x v="0"/>
    <n v="25085"/>
    <n v="1405.4876499999991"/>
    <n v="5.6029007374925222E-2"/>
    <n v="787073.08399999957"/>
    <n v="14047600"/>
    <n v="14834673.083999999"/>
    <x v="0"/>
    <x v="1"/>
    <x v="0"/>
    <x v="0"/>
    <x v="0"/>
    <n v="1163.1667"/>
    <n v="12096.288519951611"/>
    <n v="403.20961733172038"/>
  </r>
  <r>
    <x v="1"/>
    <x v="0"/>
    <x v="0"/>
    <d v="2025-05-14T00:00:00"/>
    <n v="2429"/>
    <x v="0"/>
    <x v="0"/>
    <d v="2025-05-14T00:00:00"/>
    <n v="30000"/>
    <n v="469"/>
    <n v="14070000"/>
    <n v="2954700"/>
    <n v="17024700"/>
    <x v="0"/>
    <x v="0"/>
    <x v="0"/>
    <n v="17024700"/>
    <d v="2025-05-17T00:00:00"/>
    <d v="2025-05-14T00:00:00"/>
    <n v="49"/>
    <x v="1"/>
    <x v="0"/>
    <d v="2025-08-06T00:00:00"/>
    <s v="WS 28.04"/>
    <d v="2025-04-28T00:00:00"/>
    <n v="600"/>
    <n v="28374.5"/>
    <n v="-1550"/>
    <n v="26824.5"/>
    <n v="0"/>
    <n v="26824.5"/>
    <x v="0"/>
    <x v="0"/>
    <x v="0"/>
    <x v="0"/>
    <n v="25085"/>
    <n v="1405.4876499999991"/>
    <n v="5.6029007374925222E-2"/>
    <n v="843292.5899999995"/>
    <n v="15051000"/>
    <n v="15894292.59"/>
    <x v="0"/>
    <x v="1"/>
    <x v="0"/>
    <x v="0"/>
    <x v="0"/>
    <n v="1163.1667"/>
    <n v="12096.288519951611"/>
    <n v="403.20961733172038"/>
  </r>
  <r>
    <x v="1"/>
    <x v="0"/>
    <x v="0"/>
    <d v="2025-05-16T00:00:00"/>
    <n v="2431"/>
    <x v="0"/>
    <x v="0"/>
    <d v="2025-05-16T00:00:00"/>
    <n v="28000"/>
    <n v="469"/>
    <n v="13132000"/>
    <n v="2757720"/>
    <n v="15889720"/>
    <x v="0"/>
    <x v="0"/>
    <x v="0"/>
    <n v="15889720"/>
    <d v="2025-05-19T00:00:00"/>
    <d v="2025-05-16T00:00:00"/>
    <n v="49"/>
    <x v="1"/>
    <x v="0"/>
    <d v="2025-08-07T00:00:00"/>
    <s v="WS 28.04"/>
    <d v="2025-04-28T00:00:00"/>
    <n v="560"/>
    <n v="28374.5"/>
    <n v="-1550"/>
    <n v="26824.5"/>
    <n v="0"/>
    <n v="26824.5"/>
    <x v="0"/>
    <x v="0"/>
    <x v="0"/>
    <x v="0"/>
    <n v="25085"/>
    <n v="1405.4876499999991"/>
    <n v="5.6029007374925222E-2"/>
    <n v="843292.5899999995"/>
    <n v="15051000"/>
    <n v="15894292.59"/>
    <x v="0"/>
    <x v="1"/>
    <x v="0"/>
    <x v="0"/>
    <x v="0"/>
    <n v="1163.1667"/>
    <n v="11289.86928528817"/>
    <n v="403.20961733172038"/>
  </r>
  <r>
    <x v="2"/>
    <x v="0"/>
    <x v="1"/>
    <d v="2025-04-14T00:00:00"/>
    <n v="2387"/>
    <x v="0"/>
    <x v="0"/>
    <d v="2025-04-14T00:00:00"/>
    <n v="28000"/>
    <n v="485"/>
    <n v="13580000"/>
    <n v="2851800"/>
    <n v="16431800"/>
    <x v="0"/>
    <x v="0"/>
    <x v="0"/>
    <n v="16431800"/>
    <d v="2025-04-14T00:00:00"/>
    <d v="2025-05-29T00:00:00"/>
    <n v="-159"/>
    <x v="0"/>
    <x v="0"/>
    <d v="2025-06-05T00:00:00"/>
    <s v="WS 28/03"/>
    <d v="2025-03-28T00:00:00"/>
    <n v="560"/>
    <n v="29342.5"/>
    <n v="-3869.2775000000001"/>
    <n v="25473.2225"/>
    <n v="0"/>
    <n v="25473.2225"/>
    <x v="0"/>
    <x v="2"/>
    <x v="1"/>
    <x v="0"/>
    <n v="23777"/>
    <n v="1696.2224999999999"/>
    <n v="7.1338793792320221E-2"/>
    <n v="949884.59999999986"/>
    <n v="13315120"/>
    <n v="14265004.6"/>
    <x v="0"/>
    <x v="0"/>
    <x v="0"/>
    <x v="0"/>
    <x v="0"/>
    <n v="1073.375"/>
    <n v="12651.682776289741"/>
    <n v="451.84581343891932"/>
  </r>
  <r>
    <x v="0"/>
    <x v="0"/>
    <x v="1"/>
    <d v="2025-05-26T00:00:00"/>
    <n v="2410"/>
    <x v="0"/>
    <x v="0"/>
    <d v="2025-05-26T00:00:00"/>
    <n v="28000"/>
    <n v="493"/>
    <n v="13804000"/>
    <n v="2898840"/>
    <n v="16702840"/>
    <x v="0"/>
    <x v="0"/>
    <x v="0"/>
    <n v="16702840"/>
    <d v="2025-05-26T00:00:00"/>
    <d v="2025-07-10T00:00:00"/>
    <n v="31"/>
    <x v="0"/>
    <x v="0"/>
    <d v="2025-07-17T00:00:00"/>
    <n v="30041517"/>
    <d v="2025-04-24T00:00:00"/>
    <n v="560"/>
    <n v="29826.5"/>
    <n v="-3790.1979500000002"/>
    <n v="26036.302049999998"/>
    <n v="0"/>
    <n v="26036.302049999998"/>
    <x v="1"/>
    <x v="2"/>
    <x v="1"/>
    <x v="0"/>
    <n v="24855"/>
    <n v="1181.3020499999984"/>
    <n v="4.7527742908871407E-2"/>
    <n v="661529.14799999911"/>
    <n v="13918800"/>
    <n v="14580329.147999998"/>
    <x v="0"/>
    <x v="2"/>
    <x v="0"/>
    <x v="0"/>
    <x v="0"/>
    <n v="1176.4167"/>
    <n v="11733.937473005952"/>
    <n v="419.06919546449825"/>
  </r>
  <r>
    <x v="0"/>
    <x v="0"/>
    <x v="1"/>
    <d v="2025-06-13T00:00:00"/>
    <n v="2430"/>
    <x v="0"/>
    <x v="0"/>
    <d v="2025-06-13T00:00:00"/>
    <n v="28000"/>
    <n v="507"/>
    <n v="14196000"/>
    <n v="2981160"/>
    <n v="17177160"/>
    <x v="0"/>
    <x v="0"/>
    <x v="0"/>
    <n v="17177160"/>
    <d v="2025-06-13T00:00:00"/>
    <d v="2025-07-28T00:00:00"/>
    <n v="49"/>
    <x v="0"/>
    <x v="0"/>
    <d v="2025-08-04T00:00:00"/>
    <n v="14050955"/>
    <d v="2025-05-14T00:00:00"/>
    <n v="560"/>
    <n v="30673.5"/>
    <n v="-3790.4520499999999"/>
    <n v="26883.04795"/>
    <n v="0"/>
    <n v="26883.04795"/>
    <x v="1"/>
    <x v="2"/>
    <x v="1"/>
    <x v="0"/>
    <n v="26230"/>
    <n v="653.04795000000013"/>
    <n v="2.4896986275257271E-2"/>
    <n v="365706.85200000007"/>
    <n v="14688800"/>
    <n v="15054506.852"/>
    <x v="0"/>
    <x v="2"/>
    <x v="0"/>
    <x v="0"/>
    <x v="0"/>
    <n v="1129.8333"/>
    <n v="12564.6854274874"/>
    <n v="448.73876526740713"/>
  </r>
  <r>
    <x v="2"/>
    <x v="0"/>
    <x v="2"/>
    <d v="2025-04-08T00:00:00"/>
    <s v="00014-00000002"/>
    <x v="0"/>
    <x v="0"/>
    <d v="2025-04-25T00:00:00"/>
    <n v="27500"/>
    <n v="546"/>
    <n v="15015000"/>
    <m/>
    <n v="15015000"/>
    <x v="0"/>
    <x v="0"/>
    <x v="0"/>
    <n v="15015000"/>
    <d v="2025-04-11T00:00:00"/>
    <d v="2025-04-11T00:00:00"/>
    <n v="-207"/>
    <x v="0"/>
    <x v="1"/>
    <d v="2025-04-18T00:00:00"/>
    <n v="0"/>
    <d v="2025-03-28T00:00:00"/>
    <n v="550"/>
    <n v="27300"/>
    <n v="0"/>
    <n v="27300"/>
    <n v="0"/>
    <n v="27300"/>
    <x v="2"/>
    <x v="3"/>
    <x v="2"/>
    <x v="1"/>
    <n v="19650.413223140495"/>
    <n v="7649.5867768595053"/>
    <n v="0.38928376161837086"/>
    <n v="4207272.7272727275"/>
    <n v="10807727.272727272"/>
    <n v="15015000"/>
    <x v="0"/>
    <x v="0"/>
    <x v="0"/>
    <x v="0"/>
    <x v="0"/>
    <n v="1073.375"/>
    <n v="13988.587399557471"/>
    <n v="508.67590543845347"/>
  </r>
  <r>
    <x v="0"/>
    <x v="0"/>
    <x v="3"/>
    <d v="2025-04-12T00:00:00"/>
    <n v="0"/>
    <x v="0"/>
    <x v="0"/>
    <d v="2025-04-12T00:00:00"/>
    <n v="28000"/>
    <n v="475"/>
    <n v="13300000"/>
    <n v="2793000"/>
    <n v="16093000"/>
    <x v="0"/>
    <x v="0"/>
    <x v="0"/>
    <n v="16093000"/>
    <d v="2025-05-12T00:00:00"/>
    <d v="2025-05-12T00:00:00"/>
    <n v="-176"/>
    <x v="2"/>
    <x v="0"/>
    <d v="2025-05-19T00:00:00"/>
    <s v="WS 08/04/25"/>
    <d v="2025-01-03T00:00:00"/>
    <n v="560"/>
    <n v="28737.5"/>
    <n v="0"/>
    <n v="28737.5"/>
    <n v="-1299.0924657534247"/>
    <n v="27438.407534246577"/>
    <x v="0"/>
    <x v="3"/>
    <x v="2"/>
    <x v="0"/>
    <n v="23265"/>
    <n v="4173.4075342465767"/>
    <n v="0.17938566663428235"/>
    <n v="2337108.2191780829"/>
    <n v="13028400"/>
    <n v="15365508.219178082"/>
    <x v="0"/>
    <x v="0"/>
    <x v="0"/>
    <x v="0"/>
    <x v="0"/>
    <n v="1034.75"/>
    <n v="12853.346218893452"/>
    <n v="459.04807924619473"/>
  </r>
  <r>
    <x v="2"/>
    <x v="0"/>
    <x v="4"/>
    <d v="2025-03-10T00:00:00"/>
    <s v="V51"/>
    <x v="0"/>
    <x v="0"/>
    <d v="2025-03-10T00:00:00"/>
    <n v="40000"/>
    <n v="454"/>
    <n v="18160000"/>
    <m/>
    <n v="18160000"/>
    <x v="0"/>
    <x v="0"/>
    <x v="0"/>
    <n v="18160000"/>
    <d v="2025-03-10T00:00:00"/>
    <d v="2025-03-10T00:00:00"/>
    <n v="-239"/>
    <x v="0"/>
    <x v="2"/>
    <d v="2025-03-17T00:00:00"/>
    <s v="SOC 27"/>
    <d v="2025-03-07T00:00:00"/>
    <n v="800"/>
    <n v="22700"/>
    <n v="0"/>
    <n v="22700"/>
    <n v="0"/>
    <n v="22700"/>
    <x v="0"/>
    <x v="3"/>
    <x v="3"/>
    <x v="2"/>
    <n v="19590.909090909092"/>
    <n v="3109.0909090909081"/>
    <n v="0.15870069605568449"/>
    <n v="2487272.7272727266"/>
    <n v="15672727.272727273"/>
    <n v="18160000"/>
    <x v="0"/>
    <x v="0"/>
    <x v="0"/>
    <x v="0"/>
    <x v="0"/>
    <n v="1066.0417"/>
    <n v="17034.980901778985"/>
    <n v="425.87452254447464"/>
  </r>
  <r>
    <x v="2"/>
    <x v="0"/>
    <x v="4"/>
    <d v="2025-03-13T00:00:00"/>
    <s v="V52"/>
    <x v="0"/>
    <x v="0"/>
    <d v="2025-03-13T00:00:00"/>
    <n v="40000"/>
    <n v="454"/>
    <n v="18160000"/>
    <m/>
    <n v="18160000"/>
    <x v="0"/>
    <x v="0"/>
    <x v="0"/>
    <n v="18160000"/>
    <d v="2025-03-13T00:00:00"/>
    <d v="2025-03-13T00:00:00"/>
    <n v="-236"/>
    <x v="0"/>
    <x v="2"/>
    <d v="2025-03-20T00:00:00"/>
    <s v="SOC 27"/>
    <d v="2025-03-07T00:00:00"/>
    <n v="800"/>
    <n v="22700"/>
    <n v="0"/>
    <n v="22700"/>
    <n v="0"/>
    <n v="22700"/>
    <x v="0"/>
    <x v="3"/>
    <x v="3"/>
    <x v="2"/>
    <n v="19590.909090909092"/>
    <n v="3109.0909090909081"/>
    <n v="0.15870069605568449"/>
    <n v="2487272.7272727266"/>
    <n v="15672727.272727273"/>
    <n v="18160000"/>
    <x v="0"/>
    <x v="0"/>
    <x v="0"/>
    <x v="0"/>
    <x v="0"/>
    <n v="1066.0417"/>
    <n v="17034.980901778985"/>
    <n v="425.87452254447464"/>
  </r>
  <r>
    <x v="2"/>
    <x v="0"/>
    <x v="4"/>
    <d v="2025-03-17T00:00:00"/>
    <s v="V53"/>
    <x v="0"/>
    <x v="0"/>
    <d v="2025-03-17T00:00:00"/>
    <n v="40000"/>
    <n v="447"/>
    <n v="17880000"/>
    <m/>
    <n v="17880000"/>
    <x v="0"/>
    <x v="0"/>
    <x v="0"/>
    <n v="17880000"/>
    <d v="2025-03-17T00:00:00"/>
    <d v="2025-03-17T00:00:00"/>
    <n v="-232"/>
    <x v="0"/>
    <x v="2"/>
    <d v="2025-03-24T00:00:00"/>
    <s v="SOC 28"/>
    <d v="2025-03-13T00:00:00"/>
    <n v="800"/>
    <n v="22350"/>
    <n v="0"/>
    <n v="22350"/>
    <n v="0"/>
    <n v="22350"/>
    <x v="0"/>
    <x v="3"/>
    <x v="3"/>
    <x v="2"/>
    <n v="19611.570247933883"/>
    <n v="2738.4297520661166"/>
    <n v="0.1396333754740835"/>
    <n v="2190743.8016528934"/>
    <n v="15689256.198347107"/>
    <n v="17880000"/>
    <x v="0"/>
    <x v="0"/>
    <x v="0"/>
    <x v="0"/>
    <x v="0"/>
    <n v="1067.125"/>
    <n v="16755.300456834953"/>
    <n v="418.88251142087381"/>
  </r>
  <r>
    <x v="2"/>
    <x v="0"/>
    <x v="4"/>
    <d v="2025-03-21T00:00:00"/>
    <s v="V54"/>
    <x v="0"/>
    <x v="0"/>
    <d v="2025-03-21T00:00:00"/>
    <n v="40000"/>
    <n v="447"/>
    <n v="17880000"/>
    <m/>
    <n v="17880000"/>
    <x v="0"/>
    <x v="0"/>
    <x v="0"/>
    <n v="17880000"/>
    <d v="2025-03-21T00:00:00"/>
    <d v="2025-03-21T00:00:00"/>
    <n v="-228"/>
    <x v="0"/>
    <x v="2"/>
    <d v="2025-03-28T00:00:00"/>
    <s v="SOC 28"/>
    <d v="2025-03-13T00:00:00"/>
    <n v="800"/>
    <n v="22350"/>
    <n v="0"/>
    <n v="22350"/>
    <n v="0"/>
    <n v="22350"/>
    <x v="0"/>
    <x v="3"/>
    <x v="3"/>
    <x v="2"/>
    <n v="19611.570247933883"/>
    <n v="2738.4297520661166"/>
    <n v="0.1396333754740835"/>
    <n v="2190743.8016528934"/>
    <n v="15689256.198347107"/>
    <n v="17880000"/>
    <x v="0"/>
    <x v="0"/>
    <x v="0"/>
    <x v="0"/>
    <x v="0"/>
    <n v="1067.125"/>
    <n v="16755.300456834953"/>
    <n v="418.88251142087381"/>
  </r>
  <r>
    <x v="2"/>
    <x v="0"/>
    <x v="4"/>
    <d v="2025-03-27T00:00:00"/>
    <s v="V55"/>
    <x v="0"/>
    <x v="0"/>
    <d v="2025-03-27T00:00:00"/>
    <n v="40000"/>
    <n v="447"/>
    <n v="17880000"/>
    <m/>
    <n v="17880000"/>
    <x v="0"/>
    <x v="0"/>
    <x v="0"/>
    <n v="17880000"/>
    <d v="2025-03-27T00:00:00"/>
    <d v="2025-03-27T00:00:00"/>
    <n v="-222"/>
    <x v="0"/>
    <x v="2"/>
    <d v="2025-04-03T00:00:00"/>
    <s v="SOC 29"/>
    <d v="2025-03-20T00:00:00"/>
    <n v="800"/>
    <n v="22350"/>
    <n v="0"/>
    <n v="22350"/>
    <n v="0"/>
    <n v="22350"/>
    <x v="0"/>
    <x v="3"/>
    <x v="3"/>
    <x v="2"/>
    <n v="19634.710743801654"/>
    <n v="2715.2892561983463"/>
    <n v="0.13829026012290591"/>
    <n v="2172231.404958677"/>
    <n v="15707768.595041323"/>
    <n v="17880000"/>
    <x v="0"/>
    <x v="0"/>
    <x v="0"/>
    <x v="0"/>
    <x v="0"/>
    <n v="1069.8333"/>
    <n v="16712.884147464843"/>
    <n v="417.82210368662106"/>
  </r>
  <r>
    <x v="2"/>
    <x v="0"/>
    <x v="4"/>
    <d v="2025-03-29T00:00:00"/>
    <s v="V55"/>
    <x v="0"/>
    <x v="0"/>
    <d v="2025-03-29T00:00:00"/>
    <n v="40000"/>
    <n v="447"/>
    <n v="17880000"/>
    <m/>
    <n v="17880000"/>
    <x v="0"/>
    <x v="0"/>
    <x v="0"/>
    <n v="17880000"/>
    <d v="2025-03-29T00:00:00"/>
    <d v="2025-03-29T00:00:00"/>
    <n v="-220"/>
    <x v="0"/>
    <x v="2"/>
    <d v="2025-04-05T00:00:00"/>
    <s v="SOC 29"/>
    <d v="2025-03-20T00:00:00"/>
    <n v="800"/>
    <n v="22350"/>
    <n v="0"/>
    <n v="22350"/>
    <n v="0"/>
    <n v="22350"/>
    <x v="0"/>
    <x v="3"/>
    <x v="3"/>
    <x v="2"/>
    <n v="19634.710743801654"/>
    <n v="2715.2892561983463"/>
    <n v="0.13829026012290591"/>
    <n v="2172231.404958677"/>
    <n v="15707768.595041323"/>
    <n v="17880000"/>
    <x v="0"/>
    <x v="0"/>
    <x v="0"/>
    <x v="0"/>
    <x v="1"/>
    <n v="1069.8333"/>
    <n v="16712.884147464843"/>
    <n v="417.82210368662106"/>
  </r>
  <r>
    <x v="2"/>
    <x v="0"/>
    <x v="4"/>
    <d v="2025-04-01T00:00:00"/>
    <s v="V56"/>
    <x v="0"/>
    <x v="0"/>
    <d v="2025-04-01T00:00:00"/>
    <n v="40000"/>
    <n v="447"/>
    <n v="17880000"/>
    <m/>
    <n v="17880000"/>
    <x v="0"/>
    <x v="0"/>
    <x v="0"/>
    <n v="17880000"/>
    <d v="2025-04-01T00:00:00"/>
    <d v="2025-04-01T00:00:00"/>
    <n v="-217"/>
    <x v="0"/>
    <x v="2"/>
    <d v="2025-04-08T00:00:00"/>
    <s v="SOC 30"/>
    <d v="2025-03-27T00:00:00"/>
    <n v="800"/>
    <n v="22350"/>
    <n v="0"/>
    <n v="22350"/>
    <n v="0"/>
    <n v="22350"/>
    <x v="0"/>
    <x v="3"/>
    <x v="3"/>
    <x v="2"/>
    <n v="19651.239669421488"/>
    <n v="2698.7603305785124"/>
    <n v="0.13733282866515273"/>
    <n v="2159008.26446281"/>
    <n v="15720991.73553719"/>
    <n v="17880000"/>
    <x v="0"/>
    <x v="0"/>
    <x v="0"/>
    <x v="0"/>
    <x v="1"/>
    <n v="1072.2917"/>
    <n v="16674.567190998496"/>
    <n v="416.86417977496239"/>
  </r>
  <r>
    <x v="2"/>
    <x v="0"/>
    <x v="4"/>
    <d v="2025-04-04T00:00:00"/>
    <s v="V57"/>
    <x v="0"/>
    <x v="0"/>
    <d v="2025-04-04T00:00:00"/>
    <n v="40000"/>
    <n v="447"/>
    <n v="17880000"/>
    <m/>
    <n v="17880000"/>
    <x v="0"/>
    <x v="0"/>
    <x v="0"/>
    <n v="17880000"/>
    <d v="2025-04-04T00:00:00"/>
    <d v="2025-04-04T00:00:00"/>
    <n v="-214"/>
    <x v="0"/>
    <x v="2"/>
    <d v="2025-04-11T00:00:00"/>
    <s v="SOC 30"/>
    <d v="2025-03-27T00:00:00"/>
    <n v="800"/>
    <n v="22350"/>
    <n v="0"/>
    <n v="22350"/>
    <n v="0"/>
    <n v="22350"/>
    <x v="0"/>
    <x v="3"/>
    <x v="3"/>
    <x v="2"/>
    <n v="19651.239669421488"/>
    <n v="2698.7603305785124"/>
    <n v="0.13733282866515273"/>
    <n v="2159008.26446281"/>
    <n v="15720991.73553719"/>
    <n v="17880000"/>
    <x v="0"/>
    <x v="0"/>
    <x v="1"/>
    <x v="0"/>
    <x v="1"/>
    <n v="1072.2917"/>
    <n v="16674.567190998496"/>
    <n v="416.86417977496239"/>
  </r>
  <r>
    <x v="0"/>
    <x v="0"/>
    <x v="4"/>
    <d v="2025-04-09T00:00:00"/>
    <s v="V58"/>
    <x v="0"/>
    <x v="0"/>
    <d v="2025-04-09T00:00:00"/>
    <n v="40000"/>
    <n v="447"/>
    <n v="17880000"/>
    <m/>
    <n v="17880000"/>
    <x v="0"/>
    <x v="0"/>
    <x v="0"/>
    <n v="17880000"/>
    <d v="2025-04-09T00:00:00"/>
    <d v="2025-04-09T00:00:00"/>
    <n v="-209"/>
    <x v="0"/>
    <x v="2"/>
    <d v="2025-04-16T00:00:00"/>
    <s v="SOC 31"/>
    <d v="2025-04-01T00:00:00"/>
    <n v="800"/>
    <n v="22350"/>
    <n v="0"/>
    <n v="22350"/>
    <n v="0"/>
    <n v="22350"/>
    <x v="0"/>
    <x v="3"/>
    <x v="3"/>
    <x v="2"/>
    <n v="19647.10743801653"/>
    <n v="2702.8925619834699"/>
    <n v="0.13757203550246078"/>
    <n v="2162314.0495867757"/>
    <n v="15717685.950413223"/>
    <n v="17880000"/>
    <x v="0"/>
    <x v="0"/>
    <x v="1"/>
    <x v="0"/>
    <x v="1"/>
    <n v="1074.5417"/>
    <n v="16639.652048868833"/>
    <n v="415.99130122172085"/>
  </r>
  <r>
    <x v="0"/>
    <x v="0"/>
    <x v="4"/>
    <d v="2025-04-11T00:00:00"/>
    <s v="V59"/>
    <x v="0"/>
    <x v="0"/>
    <d v="2025-04-11T00:00:00"/>
    <n v="40000"/>
    <n v="447"/>
    <n v="17880000"/>
    <m/>
    <n v="17880000"/>
    <x v="0"/>
    <x v="0"/>
    <x v="0"/>
    <n v="17880000"/>
    <d v="2025-04-11T00:00:00"/>
    <d v="2025-04-11T00:00:00"/>
    <n v="-207"/>
    <x v="0"/>
    <x v="2"/>
    <d v="2025-04-18T00:00:00"/>
    <s v="SOC 31"/>
    <d v="2025-04-01T00:00:00"/>
    <n v="800"/>
    <n v="22350"/>
    <n v="0"/>
    <n v="22350"/>
    <n v="0"/>
    <n v="22350"/>
    <x v="0"/>
    <x v="3"/>
    <x v="3"/>
    <x v="2"/>
    <n v="19647.10743801653"/>
    <n v="2702.8925619834699"/>
    <n v="0.13757203550246078"/>
    <n v="2162314.0495867757"/>
    <n v="15717685.950413223"/>
    <n v="17880000"/>
    <x v="0"/>
    <x v="0"/>
    <x v="1"/>
    <x v="0"/>
    <x v="1"/>
    <n v="1074.5417"/>
    <n v="16639.652048868833"/>
    <n v="415.99130122172085"/>
  </r>
  <r>
    <x v="0"/>
    <x v="0"/>
    <x v="4"/>
    <d v="2025-04-11T00:00:00"/>
    <s v="V60"/>
    <x v="0"/>
    <x v="0"/>
    <d v="2025-04-11T00:00:00"/>
    <n v="40000"/>
    <n v="454"/>
    <n v="18160000"/>
    <m/>
    <n v="18160000"/>
    <x v="0"/>
    <x v="0"/>
    <x v="0"/>
    <n v="18160000"/>
    <d v="2025-04-11T00:00:00"/>
    <d v="2025-04-11T00:00:00"/>
    <n v="-207"/>
    <x v="0"/>
    <x v="2"/>
    <d v="2025-04-18T00:00:00"/>
    <s v="SOC 31"/>
    <d v="2025-04-01T00:00:00"/>
    <n v="800"/>
    <n v="22700"/>
    <n v="0"/>
    <n v="22700"/>
    <n v="0"/>
    <n v="22700"/>
    <x v="0"/>
    <x v="3"/>
    <x v="3"/>
    <x v="2"/>
    <n v="19647.10743801653"/>
    <n v="3052.8925619834699"/>
    <n v="0.15538636268035155"/>
    <n v="2442314.0495867757"/>
    <n v="15717685.950413223"/>
    <n v="18160000"/>
    <x v="0"/>
    <x v="0"/>
    <x v="2"/>
    <x v="0"/>
    <x v="1"/>
    <n v="1074.5417"/>
    <n v="16900.228255450671"/>
    <n v="422.50570638626675"/>
  </r>
  <r>
    <x v="0"/>
    <x v="0"/>
    <x v="4"/>
    <d v="2025-04-16T00:00:00"/>
    <s v="V61"/>
    <x v="0"/>
    <x v="0"/>
    <d v="2025-04-16T00:00:00"/>
    <n v="40000"/>
    <n v="454"/>
    <n v="18160000"/>
    <m/>
    <n v="18160000"/>
    <x v="0"/>
    <x v="0"/>
    <x v="0"/>
    <n v="18160000"/>
    <d v="2025-04-16T00:00:00"/>
    <d v="2025-04-16T00:00:00"/>
    <n v="-202"/>
    <x v="0"/>
    <x v="2"/>
    <d v="2025-04-23T00:00:00"/>
    <s v="SOC 31"/>
    <d v="2025-04-01T00:00:00"/>
    <n v="800"/>
    <n v="22700"/>
    <n v="0"/>
    <n v="22700"/>
    <n v="0"/>
    <n v="22700"/>
    <x v="0"/>
    <x v="3"/>
    <x v="3"/>
    <x v="2"/>
    <n v="19647.10743801653"/>
    <n v="3052.8925619834699"/>
    <n v="0.15538636268035155"/>
    <n v="2442314.0495867757"/>
    <n v="15717685.950413223"/>
    <n v="18160000"/>
    <x v="0"/>
    <x v="0"/>
    <x v="2"/>
    <x v="0"/>
    <x v="1"/>
    <n v="1074.5417"/>
    <n v="16900.228255450671"/>
    <n v="422.50570638626675"/>
  </r>
  <r>
    <x v="0"/>
    <x v="0"/>
    <x v="4"/>
    <d v="2025-04-16T00:00:00"/>
    <s v="V62"/>
    <x v="0"/>
    <x v="0"/>
    <d v="2025-04-16T00:00:00"/>
    <n v="40000"/>
    <n v="454"/>
    <n v="18160000"/>
    <m/>
    <n v="18160000"/>
    <x v="0"/>
    <x v="0"/>
    <x v="0"/>
    <n v="18160000"/>
    <d v="2025-04-16T00:00:00"/>
    <d v="2025-04-16T00:00:00"/>
    <n v="-202"/>
    <x v="0"/>
    <x v="2"/>
    <d v="2025-04-23T00:00:00"/>
    <s v="SOC 31"/>
    <d v="2025-04-01T00:00:00"/>
    <n v="800"/>
    <n v="22700"/>
    <n v="0"/>
    <n v="22700"/>
    <n v="0"/>
    <n v="22700"/>
    <x v="0"/>
    <x v="3"/>
    <x v="3"/>
    <x v="2"/>
    <n v="19647.10743801653"/>
    <n v="3052.8925619834699"/>
    <n v="0.15538636268035155"/>
    <n v="2442314.0495867757"/>
    <n v="15717685.950413223"/>
    <n v="18160000"/>
    <x v="0"/>
    <x v="0"/>
    <x v="2"/>
    <x v="0"/>
    <x v="1"/>
    <n v="1074.5417"/>
    <n v="16900.228255450671"/>
    <n v="422.50570638626675"/>
  </r>
  <r>
    <x v="0"/>
    <x v="0"/>
    <x v="4"/>
    <d v="2025-04-23T00:00:00"/>
    <s v="V63"/>
    <x v="0"/>
    <x v="0"/>
    <d v="2025-04-23T00:00:00"/>
    <n v="40000"/>
    <n v="454"/>
    <n v="18160000"/>
    <m/>
    <n v="18160000"/>
    <x v="0"/>
    <x v="0"/>
    <x v="0"/>
    <n v="18160000"/>
    <d v="2025-04-23T00:00:00"/>
    <d v="2025-04-23T00:00:00"/>
    <n v="-195"/>
    <x v="0"/>
    <x v="2"/>
    <d v="2025-04-30T00:00:00"/>
    <s v="SOC 31"/>
    <d v="2025-04-01T00:00:00"/>
    <n v="800"/>
    <n v="22700"/>
    <n v="0"/>
    <n v="22700"/>
    <n v="0"/>
    <n v="22700"/>
    <x v="0"/>
    <x v="3"/>
    <x v="3"/>
    <x v="2"/>
    <n v="19647.10743801653"/>
    <n v="3052.8925619834699"/>
    <n v="0.15538636268035155"/>
    <n v="2442314.0495867757"/>
    <n v="15717685.950413223"/>
    <n v="18160000"/>
    <x v="0"/>
    <x v="0"/>
    <x v="3"/>
    <x v="1"/>
    <x v="0"/>
    <n v="1074.5417"/>
    <n v="16900.228255450671"/>
    <n v="422.50570638626675"/>
  </r>
  <r>
    <x v="0"/>
    <x v="0"/>
    <x v="4"/>
    <d v="2025-04-25T00:00:00"/>
    <s v="V64"/>
    <x v="0"/>
    <x v="0"/>
    <d v="2025-04-25T00:00:00"/>
    <n v="40000"/>
    <n v="454"/>
    <n v="18160000"/>
    <m/>
    <n v="18160000"/>
    <x v="0"/>
    <x v="0"/>
    <x v="0"/>
    <n v="18160000"/>
    <d v="2025-04-25T00:00:00"/>
    <d v="2025-04-25T00:00:00"/>
    <n v="-193"/>
    <x v="0"/>
    <x v="2"/>
    <d v="2025-05-02T00:00:00"/>
    <s v="SOC 32"/>
    <d v="2025-04-02T00:00:00"/>
    <n v="800"/>
    <n v="22700"/>
    <n v="0"/>
    <n v="22700"/>
    <n v="0"/>
    <n v="22700"/>
    <x v="0"/>
    <x v="3"/>
    <x v="3"/>
    <x v="2"/>
    <n v="19646.280991735537"/>
    <n v="3053.7190082644629"/>
    <n v="0.15543496550563685"/>
    <n v="2442975.2066115704"/>
    <n v="15717024.79338843"/>
    <n v="18160000"/>
    <x v="0"/>
    <x v="0"/>
    <x v="3"/>
    <x v="2"/>
    <x v="0"/>
    <n v="1074.6199999999999"/>
    <n v="16898.996854702127"/>
    <n v="422.47492136755318"/>
  </r>
  <r>
    <x v="2"/>
    <x v="0"/>
    <x v="5"/>
    <d v="2025-03-28T00:00:00"/>
    <n v="2350"/>
    <x v="0"/>
    <x v="0"/>
    <d v="2025-03-28T00:00:00"/>
    <n v="28000"/>
    <n v="475"/>
    <n v="13300000"/>
    <n v="2793000"/>
    <n v="16093000"/>
    <x v="0"/>
    <x v="1"/>
    <x v="0"/>
    <n v="16093000"/>
    <d v="2025-04-04T00:00:00"/>
    <d v="2025-05-27T00:00:00"/>
    <n v="-161"/>
    <x v="3"/>
    <x v="0"/>
    <d v="2025-06-03T00:00:00"/>
    <n v="14361"/>
    <d v="2025-03-07T00:00:00"/>
    <n v="560"/>
    <n v="28737.5"/>
    <n v="-2742.1624999999999"/>
    <n v="25995.337500000001"/>
    <n v="-303.12157534246575"/>
    <n v="25692.215924657536"/>
    <x v="0"/>
    <x v="4"/>
    <x v="1"/>
    <x v="0"/>
    <n v="23705"/>
    <n v="1987.2159246575357"/>
    <n v="8.3831087308902541E-2"/>
    <n v="1112840.91780822"/>
    <n v="13274800"/>
    <n v="14387640.91780822"/>
    <x v="0"/>
    <x v="0"/>
    <x v="3"/>
    <x v="3"/>
    <x v="0"/>
    <n v="1066.0417"/>
    <n v="12476.059801413021"/>
    <n v="445.57356433617934"/>
  </r>
  <r>
    <x v="2"/>
    <x v="0"/>
    <x v="5"/>
    <d v="2025-03-31T00:00:00"/>
    <n v="2361"/>
    <x v="0"/>
    <x v="0"/>
    <d v="2025-03-31T00:00:00"/>
    <n v="28000"/>
    <n v="475"/>
    <n v="13300000"/>
    <n v="2793000"/>
    <n v="16093000"/>
    <x v="0"/>
    <x v="1"/>
    <x v="0"/>
    <n v="16093000"/>
    <d v="2025-04-07T00:00:00"/>
    <d v="2025-05-30T00:00:00"/>
    <n v="-158"/>
    <x v="3"/>
    <x v="0"/>
    <d v="2025-06-06T00:00:00"/>
    <n v="14470"/>
    <d v="2025-03-25T00:00:00"/>
    <n v="560"/>
    <n v="28737.5"/>
    <n v="-2742.1624999999999"/>
    <n v="25995.337500000001"/>
    <n v="-303.12157534246575"/>
    <n v="25692.215924657536"/>
    <x v="0"/>
    <x v="4"/>
    <x v="1"/>
    <x v="0"/>
    <n v="23778"/>
    <n v="1914.2159246575357"/>
    <n v="8.0503655675731256E-2"/>
    <n v="1071960.91780822"/>
    <n v="13315680"/>
    <n v="14387640.91780822"/>
    <x v="0"/>
    <x v="0"/>
    <x v="0"/>
    <x v="0"/>
    <x v="0"/>
    <n v="1071.5833"/>
    <n v="12411.540941334191"/>
    <n v="443.26931933336397"/>
  </r>
  <r>
    <x v="2"/>
    <x v="0"/>
    <x v="5"/>
    <d v="2025-04-21T00:00:00"/>
    <n v="2396"/>
    <x v="0"/>
    <x v="0"/>
    <d v="2025-04-21T00:00:00"/>
    <n v="28000"/>
    <n v="475"/>
    <n v="13300000"/>
    <n v="2793000"/>
    <n v="16093000"/>
    <x v="0"/>
    <x v="1"/>
    <x v="0"/>
    <n v="16093000"/>
    <d v="2025-04-28T00:00:00"/>
    <d v="2025-06-20T00:00:00"/>
    <n v="-137"/>
    <x v="3"/>
    <x v="0"/>
    <d v="2025-06-27T00:00:00"/>
    <n v="14470"/>
    <d v="2025-03-25T00:00:00"/>
    <n v="560"/>
    <n v="28737.5"/>
    <n v="-2742.1624999999999"/>
    <n v="25995.337500000001"/>
    <n v="-303.12157534246575"/>
    <n v="25692.215924657536"/>
    <x v="0"/>
    <x v="4"/>
    <x v="1"/>
    <x v="0"/>
    <n v="23778"/>
    <n v="1914.2159246575357"/>
    <n v="8.0503655675731256E-2"/>
    <n v="1071960.91780822"/>
    <n v="13315680"/>
    <n v="14387640.91780822"/>
    <x v="0"/>
    <x v="0"/>
    <x v="0"/>
    <x v="0"/>
    <x v="0"/>
    <n v="1071.5833"/>
    <n v="12411.540941334191"/>
    <n v="443.26931933336397"/>
  </r>
  <r>
    <x v="2"/>
    <x v="0"/>
    <x v="5"/>
    <d v="2025-04-28T00:00:00"/>
    <n v="2403"/>
    <x v="0"/>
    <x v="0"/>
    <d v="2025-04-28T00:00:00"/>
    <n v="28000"/>
    <n v="475"/>
    <n v="13300000"/>
    <n v="2793000"/>
    <n v="16093000"/>
    <x v="0"/>
    <x v="1"/>
    <x v="0"/>
    <n v="16093000"/>
    <d v="2025-05-05T00:00:00"/>
    <d v="2025-06-27T00:00:00"/>
    <n v="-130"/>
    <x v="3"/>
    <x v="0"/>
    <d v="2025-07-04T00:00:00"/>
    <n v="14470"/>
    <d v="2025-03-25T00:00:00"/>
    <n v="560"/>
    <n v="28737.5"/>
    <n v="-2742.1624999999999"/>
    <n v="25995.337500000001"/>
    <n v="-303.12157534246575"/>
    <n v="25692.215924657536"/>
    <x v="0"/>
    <x v="4"/>
    <x v="1"/>
    <x v="0"/>
    <n v="23778"/>
    <n v="1914.2159246575357"/>
    <n v="8.0503655675731256E-2"/>
    <n v="1071960.91780822"/>
    <n v="13315680"/>
    <n v="14387640.91780822"/>
    <x v="0"/>
    <x v="0"/>
    <x v="0"/>
    <x v="0"/>
    <x v="0"/>
    <n v="1071.5833"/>
    <n v="12411.540941334191"/>
    <n v="443.26931933336397"/>
  </r>
  <r>
    <x v="0"/>
    <x v="0"/>
    <x v="5"/>
    <d v="2025-05-07T00:00:00"/>
    <n v="2422"/>
    <x v="0"/>
    <x v="0"/>
    <d v="2025-05-07T00:00:00"/>
    <n v="25200"/>
    <n v="475"/>
    <n v="11970000"/>
    <n v="2513700"/>
    <n v="14483700"/>
    <x v="1"/>
    <x v="1"/>
    <x v="0"/>
    <n v="14483700"/>
    <d v="2025-05-12T00:00:00"/>
    <d v="2025-07-06T00:00:00"/>
    <n v="-121"/>
    <x v="3"/>
    <x v="0"/>
    <d v="2025-07-13T00:00:00"/>
    <n v="14458"/>
    <d v="2025-04-01T00:00:00"/>
    <n v="504"/>
    <n v="28737.5"/>
    <n v="-2742.1624999999999"/>
    <n v="25995.337500000001"/>
    <n v="-303.12157534246575"/>
    <n v="25692.215924657536"/>
    <x v="0"/>
    <x v="4"/>
    <x v="1"/>
    <x v="0"/>
    <n v="23773"/>
    <n v="1919.2159246575357"/>
    <n v="8.0730910051635796E-2"/>
    <n v="967284.826027398"/>
    <n v="11981592"/>
    <n v="12948876.826027397"/>
    <x v="0"/>
    <x v="0"/>
    <x v="1"/>
    <x v="0"/>
    <x v="1"/>
    <n v="1074.5417"/>
    <n v="11139.632831373599"/>
    <n v="442.04892187990475"/>
  </r>
  <r>
    <x v="2"/>
    <x v="0"/>
    <x v="6"/>
    <d v="2025-03-26T00:00:00"/>
    <n v="2362"/>
    <x v="0"/>
    <x v="0"/>
    <d v="2025-03-26T00:00:00"/>
    <n v="28000"/>
    <n v="485"/>
    <n v="13580000"/>
    <n v="2851800"/>
    <n v="16431800"/>
    <x v="0"/>
    <x v="0"/>
    <x v="0"/>
    <n v="16431800"/>
    <d v="2025-03-26T00:00:00"/>
    <d v="2025-04-25T00:00:00"/>
    <n v="-193"/>
    <x v="0"/>
    <x v="0"/>
    <d v="2025-05-02T00:00:00"/>
    <n v="14204"/>
    <d v="2025-03-13T00:00:00"/>
    <n v="560"/>
    <n v="29342.5"/>
    <n v="-3500.7719999999999"/>
    <n v="25841.727999999999"/>
    <n v="0"/>
    <n v="25841.727999999999"/>
    <x v="0"/>
    <x v="5"/>
    <x v="1"/>
    <x v="0"/>
    <n v="23730"/>
    <n v="2111.7279999999992"/>
    <n v="8.89898019384745E-2"/>
    <n v="1182567.6799999995"/>
    <n v="13288800"/>
    <n v="14471367.68"/>
    <x v="0"/>
    <x v="0"/>
    <x v="1"/>
    <x v="0"/>
    <x v="1"/>
    <n v="1067.125"/>
    <n v="12725.781890593886"/>
    <n v="454.49221037835304"/>
  </r>
  <r>
    <x v="3"/>
    <x v="0"/>
    <x v="7"/>
    <d v="2024-06-26T00:00:00"/>
    <n v="508"/>
    <x v="0"/>
    <x v="0"/>
    <d v="2024-06-24T00:00:00"/>
    <n v="27500"/>
    <n v="400"/>
    <n v="11000000"/>
    <n v="2310000"/>
    <n v="13310000"/>
    <x v="0"/>
    <x v="0"/>
    <x v="0"/>
    <n v="13310000"/>
    <d v="2024-07-09T00:00:00"/>
    <d v="2024-07-11T00:00:00"/>
    <n v="-481"/>
    <x v="4"/>
    <x v="0"/>
    <d v="2024-07-18T00:00:00"/>
    <n v="5000046401"/>
    <d v="2024-05-08T00:00:00"/>
    <n v="550"/>
    <n v="24200"/>
    <n v="0"/>
    <n v="24200"/>
    <n v="-596.71232876712327"/>
    <n v="23603.287671232876"/>
    <x v="2"/>
    <x v="3"/>
    <x v="2"/>
    <x v="0"/>
    <n v="21005"/>
    <n v="2598.2876712328762"/>
    <n v="0.12369853231291961"/>
    <n v="1429058.219178082"/>
    <n v="11552750"/>
    <n v="12981808.219178082"/>
    <x v="1"/>
    <x v="0"/>
    <x v="1"/>
    <x v="0"/>
    <x v="1"/>
    <n v="881.75"/>
    <n v="12475.191380776863"/>
    <n v="453.64332293734049"/>
  </r>
  <r>
    <x v="3"/>
    <x v="0"/>
    <x v="7"/>
    <d v="2024-06-27T00:00:00"/>
    <n v="509"/>
    <x v="0"/>
    <x v="0"/>
    <d v="2024-06-25T00:00:00"/>
    <n v="27500"/>
    <n v="400"/>
    <n v="11000000"/>
    <n v="2310000"/>
    <n v="13310000"/>
    <x v="0"/>
    <x v="0"/>
    <x v="0"/>
    <n v="13310000"/>
    <d v="2024-07-10T00:00:00"/>
    <d v="2024-07-12T00:00:00"/>
    <n v="-480"/>
    <x v="4"/>
    <x v="0"/>
    <d v="2024-07-19T00:00:00"/>
    <n v="5000046401"/>
    <d v="2024-05-08T00:00:00"/>
    <n v="550"/>
    <n v="24200"/>
    <n v="0"/>
    <n v="24200"/>
    <n v="-596.71232876712327"/>
    <n v="23603.287671232876"/>
    <x v="2"/>
    <x v="3"/>
    <x v="2"/>
    <x v="0"/>
    <n v="21005"/>
    <n v="2598.2876712328762"/>
    <n v="0.12369853231291961"/>
    <n v="1429058.219178082"/>
    <n v="11552750"/>
    <n v="12981808.219178082"/>
    <x v="1"/>
    <x v="0"/>
    <x v="1"/>
    <x v="0"/>
    <x v="1"/>
    <n v="881.75"/>
    <n v="12475.191380776863"/>
    <n v="453.64332293734049"/>
  </r>
  <r>
    <x v="3"/>
    <x v="0"/>
    <x v="7"/>
    <d v="2024-06-27T00:00:00"/>
    <n v="510"/>
    <x v="0"/>
    <x v="0"/>
    <d v="2024-06-25T00:00:00"/>
    <n v="25000"/>
    <n v="400"/>
    <n v="10000000"/>
    <n v="2100000"/>
    <n v="12100000"/>
    <x v="0"/>
    <x v="0"/>
    <x v="0"/>
    <n v="12100000"/>
    <d v="2024-07-10T00:00:00"/>
    <d v="2024-07-12T00:00:00"/>
    <n v="-480"/>
    <x v="4"/>
    <x v="0"/>
    <d v="2024-07-19T00:00:00"/>
    <n v="5000046401"/>
    <d v="2024-05-08T00:00:00"/>
    <n v="500"/>
    <n v="24200"/>
    <n v="0"/>
    <n v="24200"/>
    <n v="-596.71232876712327"/>
    <n v="23603.287671232876"/>
    <x v="2"/>
    <x v="3"/>
    <x v="2"/>
    <x v="0"/>
    <n v="21005"/>
    <n v="2598.2876712328762"/>
    <n v="0.12369853231291961"/>
    <n v="1299143.8356164382"/>
    <n v="10502500"/>
    <n v="11801643.835616438"/>
    <x v="1"/>
    <x v="0"/>
    <x v="0"/>
    <x v="0"/>
    <x v="0"/>
    <n v="881.75"/>
    <n v="11341.083073433512"/>
    <n v="453.64332293734049"/>
  </r>
  <r>
    <x v="3"/>
    <x v="0"/>
    <x v="7"/>
    <d v="2024-07-01T00:00:00"/>
    <n v="512"/>
    <x v="0"/>
    <x v="0"/>
    <d v="2024-06-27T00:00:00"/>
    <n v="27500"/>
    <n v="400"/>
    <n v="11000000"/>
    <n v="2310000"/>
    <n v="13310000"/>
    <x v="0"/>
    <x v="0"/>
    <x v="0"/>
    <n v="13310000"/>
    <d v="2024-07-12T00:00:00"/>
    <d v="2024-07-16T00:00:00"/>
    <n v="-476"/>
    <x v="4"/>
    <x v="0"/>
    <d v="2024-07-23T00:00:00"/>
    <n v="5000046401"/>
    <d v="2024-05-08T00:00:00"/>
    <n v="550"/>
    <n v="24200"/>
    <n v="0"/>
    <n v="24200"/>
    <n v="-596.71232876712327"/>
    <n v="23603.287671232876"/>
    <x v="2"/>
    <x v="3"/>
    <x v="2"/>
    <x v="0"/>
    <n v="21005"/>
    <n v="2598.2876712328762"/>
    <n v="0.12369853231291961"/>
    <n v="1429058.219178082"/>
    <n v="11552750"/>
    <n v="12981808.219178082"/>
    <x v="1"/>
    <x v="0"/>
    <x v="0"/>
    <x v="0"/>
    <x v="0"/>
    <n v="881.75"/>
    <n v="12475.191380776863"/>
    <n v="453.64332293734049"/>
  </r>
  <r>
    <x v="3"/>
    <x v="0"/>
    <x v="7"/>
    <d v="2024-07-03T00:00:00"/>
    <n v="513"/>
    <x v="0"/>
    <x v="0"/>
    <d v="2024-07-01T00:00:00"/>
    <n v="25000"/>
    <n v="400"/>
    <n v="10000000"/>
    <n v="2100000"/>
    <n v="12100000"/>
    <x v="0"/>
    <x v="0"/>
    <x v="0"/>
    <n v="12100000"/>
    <d v="2024-07-16T00:00:00"/>
    <d v="2024-07-18T00:00:00"/>
    <n v="-474"/>
    <x v="4"/>
    <x v="0"/>
    <d v="2024-07-25T00:00:00"/>
    <n v="5000046401"/>
    <d v="2024-05-08T00:00:00"/>
    <n v="500"/>
    <n v="24200"/>
    <n v="0"/>
    <n v="24200"/>
    <n v="-596.71232876712327"/>
    <n v="23603.287671232876"/>
    <x v="2"/>
    <x v="3"/>
    <x v="2"/>
    <x v="0"/>
    <n v="21005"/>
    <n v="2598.2876712328762"/>
    <n v="0.12369853231291961"/>
    <n v="1299143.8356164382"/>
    <n v="10502500"/>
    <n v="11801643.835616438"/>
    <x v="1"/>
    <x v="0"/>
    <x v="0"/>
    <x v="0"/>
    <x v="0"/>
    <n v="881.75"/>
    <n v="11341.083073433512"/>
    <n v="453.64332293734049"/>
  </r>
  <r>
    <x v="3"/>
    <x v="0"/>
    <x v="7"/>
    <d v="2024-07-20T00:00:00"/>
    <n v="520"/>
    <x v="0"/>
    <x v="0"/>
    <d v="2024-07-19T00:00:00"/>
    <n v="25000"/>
    <n v="400"/>
    <n v="10000000"/>
    <n v="2100000"/>
    <n v="12100000"/>
    <x v="0"/>
    <x v="0"/>
    <x v="0"/>
    <n v="12100000"/>
    <d v="2024-08-03T00:00:00"/>
    <d v="2024-08-04T00:00:00"/>
    <n v="-457"/>
    <x v="4"/>
    <x v="0"/>
    <d v="2024-08-11T00:00:00"/>
    <n v="5000046401"/>
    <d v="2024-05-08T00:00:00"/>
    <n v="500"/>
    <n v="24200"/>
    <n v="0"/>
    <n v="24200"/>
    <n v="-596.71232876712327"/>
    <n v="23603.287671232876"/>
    <x v="2"/>
    <x v="3"/>
    <x v="2"/>
    <x v="0"/>
    <n v="21005"/>
    <n v="2598.2876712328762"/>
    <n v="0.12369853231291961"/>
    <n v="1299143.8356164382"/>
    <n v="10502500"/>
    <n v="11801643.835616438"/>
    <x v="1"/>
    <x v="0"/>
    <x v="0"/>
    <x v="0"/>
    <x v="0"/>
    <n v="881.75"/>
    <n v="11341.083073433512"/>
    <n v="453.64332293734049"/>
  </r>
  <r>
    <x v="3"/>
    <x v="0"/>
    <x v="7"/>
    <d v="2024-07-26T00:00:00"/>
    <n v="522"/>
    <x v="0"/>
    <x v="0"/>
    <d v="2024-07-25T00:00:00"/>
    <n v="25000"/>
    <n v="400"/>
    <n v="10000000"/>
    <n v="2100000"/>
    <n v="12100000"/>
    <x v="0"/>
    <x v="0"/>
    <x v="0"/>
    <n v="12100000"/>
    <d v="2024-08-09T00:00:00"/>
    <d v="2024-08-10T00:00:00"/>
    <n v="-451"/>
    <x v="4"/>
    <x v="0"/>
    <d v="2024-08-17T00:00:00"/>
    <n v="5000046401"/>
    <d v="2024-05-08T00:00:00"/>
    <n v="500"/>
    <n v="24200"/>
    <n v="0"/>
    <n v="24200"/>
    <n v="-596.71232876712327"/>
    <n v="23603.287671232876"/>
    <x v="2"/>
    <x v="3"/>
    <x v="2"/>
    <x v="0"/>
    <n v="21005"/>
    <n v="2598.2876712328762"/>
    <n v="0.12369853231291961"/>
    <n v="1299143.8356164382"/>
    <n v="10502500"/>
    <n v="11801643.835616438"/>
    <x v="1"/>
    <x v="0"/>
    <x v="0"/>
    <x v="0"/>
    <x v="0"/>
    <n v="881.75"/>
    <n v="11341.083073433512"/>
    <n v="453.64332293734049"/>
  </r>
  <r>
    <x v="3"/>
    <x v="0"/>
    <x v="7"/>
    <d v="2024-08-01T00:00:00"/>
    <n v="523"/>
    <x v="0"/>
    <x v="0"/>
    <d v="2024-07-31T00:00:00"/>
    <n v="25000"/>
    <n v="400"/>
    <n v="10000000"/>
    <n v="2100000"/>
    <n v="12100000"/>
    <x v="0"/>
    <x v="0"/>
    <x v="0"/>
    <n v="12100000"/>
    <d v="2024-08-15T00:00:00"/>
    <d v="2024-08-16T00:00:00"/>
    <n v="-445"/>
    <x v="4"/>
    <x v="0"/>
    <d v="2024-08-23T00:00:00"/>
    <n v="5000046401"/>
    <d v="2024-05-08T00:00:00"/>
    <n v="500"/>
    <n v="24200"/>
    <n v="0"/>
    <n v="24200"/>
    <n v="-596.71232876712327"/>
    <n v="23603.287671232876"/>
    <x v="2"/>
    <x v="3"/>
    <x v="2"/>
    <x v="0"/>
    <n v="21005"/>
    <n v="2598.2876712328762"/>
    <n v="0.12369853231291961"/>
    <n v="1299143.8356164382"/>
    <n v="10502500"/>
    <n v="11801643.835616438"/>
    <x v="1"/>
    <x v="0"/>
    <x v="0"/>
    <x v="0"/>
    <x v="0"/>
    <n v="881.75"/>
    <n v="11341.083073433512"/>
    <n v="453.64332293734049"/>
  </r>
  <r>
    <x v="3"/>
    <x v="0"/>
    <x v="7"/>
    <d v="2024-08-09T00:00:00"/>
    <n v="530"/>
    <x v="0"/>
    <x v="0"/>
    <d v="2024-07-31T00:00:00"/>
    <n v="25000"/>
    <n v="400"/>
    <n v="10000000"/>
    <n v="2100000"/>
    <n v="12100000"/>
    <x v="0"/>
    <x v="0"/>
    <x v="0"/>
    <n v="12100000"/>
    <d v="2024-08-15T00:00:00"/>
    <d v="2024-08-24T00:00:00"/>
    <n v="-437"/>
    <x v="4"/>
    <x v="0"/>
    <d v="2024-08-31T00:00:00"/>
    <n v="5000046401"/>
    <d v="2024-05-08T00:00:00"/>
    <n v="500"/>
    <n v="24200"/>
    <n v="0"/>
    <n v="24200"/>
    <n v="-596.71232876712327"/>
    <n v="23603.287671232876"/>
    <x v="2"/>
    <x v="3"/>
    <x v="2"/>
    <x v="0"/>
    <n v="21005"/>
    <n v="2598.2876712328762"/>
    <n v="0.12369853231291961"/>
    <n v="1299143.8356164382"/>
    <n v="10502500"/>
    <n v="11801643.835616438"/>
    <x v="1"/>
    <x v="0"/>
    <x v="0"/>
    <x v="0"/>
    <x v="0"/>
    <n v="881.75"/>
    <n v="11341.083073433512"/>
    <n v="453.64332293734049"/>
  </r>
  <r>
    <x v="3"/>
    <x v="0"/>
    <x v="7"/>
    <d v="2024-08-09T00:00:00"/>
    <n v="531"/>
    <x v="0"/>
    <x v="0"/>
    <d v="2024-08-01T00:00:00"/>
    <n v="25000"/>
    <n v="400"/>
    <n v="10000000"/>
    <n v="2100000"/>
    <n v="12100000"/>
    <x v="0"/>
    <x v="0"/>
    <x v="0"/>
    <n v="12100000"/>
    <d v="2024-08-16T00:00:00"/>
    <d v="2024-08-24T00:00:00"/>
    <n v="-437"/>
    <x v="4"/>
    <x v="0"/>
    <d v="2024-08-31T00:00:00"/>
    <n v="5000046401"/>
    <d v="2024-05-08T00:00:00"/>
    <n v="500"/>
    <n v="24200"/>
    <n v="0"/>
    <n v="24200"/>
    <n v="-596.71232876712327"/>
    <n v="23603.287671232876"/>
    <x v="2"/>
    <x v="3"/>
    <x v="2"/>
    <x v="0"/>
    <n v="21005"/>
    <n v="2598.2876712328762"/>
    <n v="0.12369853231291961"/>
    <n v="1299143.8356164382"/>
    <n v="10502500"/>
    <n v="11801643.835616438"/>
    <x v="1"/>
    <x v="0"/>
    <x v="0"/>
    <x v="0"/>
    <x v="0"/>
    <n v="881.75"/>
    <n v="11341.083073433512"/>
    <n v="453.64332293734049"/>
  </r>
  <r>
    <x v="3"/>
    <x v="0"/>
    <x v="7"/>
    <d v="2024-08-05T00:00:00"/>
    <n v="527"/>
    <x v="0"/>
    <x v="0"/>
    <d v="2024-08-01T00:00:00"/>
    <n v="25000"/>
    <n v="400"/>
    <n v="10000000"/>
    <n v="2100000"/>
    <n v="12100000"/>
    <x v="0"/>
    <x v="0"/>
    <x v="0"/>
    <n v="12100000"/>
    <d v="2024-08-16T00:00:00"/>
    <d v="2024-08-20T00:00:00"/>
    <n v="-441"/>
    <x v="4"/>
    <x v="0"/>
    <d v="2024-08-27T00:00:00"/>
    <n v="5000046401"/>
    <d v="2024-05-08T00:00:00"/>
    <n v="500"/>
    <n v="24200"/>
    <n v="0"/>
    <n v="24200"/>
    <n v="-596.71232876712327"/>
    <n v="23603.287671232876"/>
    <x v="2"/>
    <x v="3"/>
    <x v="2"/>
    <x v="0"/>
    <n v="21005"/>
    <n v="2598.2876712328762"/>
    <n v="0.12369853231291961"/>
    <n v="1299143.8356164382"/>
    <n v="10502500"/>
    <n v="11801643.835616438"/>
    <x v="1"/>
    <x v="0"/>
    <x v="0"/>
    <x v="0"/>
    <x v="0"/>
    <n v="881.75"/>
    <n v="11341.083073433512"/>
    <n v="453.64332293734049"/>
  </r>
  <r>
    <x v="3"/>
    <x v="0"/>
    <x v="7"/>
    <d v="2024-08-05T00:00:00"/>
    <n v="528"/>
    <x v="0"/>
    <x v="0"/>
    <d v="2024-08-07T00:00:00"/>
    <n v="25000"/>
    <n v="400"/>
    <n v="10000000"/>
    <n v="2100000"/>
    <n v="12100000"/>
    <x v="0"/>
    <x v="0"/>
    <x v="0"/>
    <n v="12100000"/>
    <d v="2024-08-22T00:00:00"/>
    <d v="2024-08-20T00:00:00"/>
    <n v="-441"/>
    <x v="4"/>
    <x v="0"/>
    <d v="2024-08-27T00:00:00"/>
    <n v="5000046401"/>
    <d v="2024-05-08T00:00:00"/>
    <n v="500"/>
    <n v="24200"/>
    <n v="0"/>
    <n v="24200"/>
    <n v="-596.71232876712327"/>
    <n v="23603.287671232876"/>
    <x v="2"/>
    <x v="3"/>
    <x v="2"/>
    <x v="0"/>
    <n v="21005"/>
    <n v="2598.2876712328762"/>
    <n v="0.12369853231291961"/>
    <n v="1299143.8356164382"/>
    <n v="10502500"/>
    <n v="11801643.835616438"/>
    <x v="1"/>
    <x v="0"/>
    <x v="0"/>
    <x v="0"/>
    <x v="0"/>
    <n v="881.75"/>
    <n v="11341.083073433512"/>
    <n v="453.64332293734049"/>
  </r>
  <r>
    <x v="3"/>
    <x v="0"/>
    <x v="7"/>
    <d v="2024-08-05T00:00:00"/>
    <n v="529"/>
    <x v="0"/>
    <x v="0"/>
    <d v="2024-08-08T00:00:00"/>
    <n v="25000"/>
    <n v="400"/>
    <n v="10000000"/>
    <n v="2100000"/>
    <n v="12100000"/>
    <x v="0"/>
    <x v="0"/>
    <x v="0"/>
    <n v="12100000"/>
    <d v="2024-08-23T00:00:00"/>
    <d v="2024-08-20T00:00:00"/>
    <n v="-441"/>
    <x v="4"/>
    <x v="0"/>
    <d v="2024-08-27T00:00:00"/>
    <n v="5000046401"/>
    <d v="2024-05-08T00:00:00"/>
    <n v="500"/>
    <n v="24200"/>
    <n v="0"/>
    <n v="24200"/>
    <n v="-596.71232876712327"/>
    <n v="23603.287671232876"/>
    <x v="2"/>
    <x v="3"/>
    <x v="2"/>
    <x v="0"/>
    <n v="21005"/>
    <n v="2598.2876712328762"/>
    <n v="0.12369853231291961"/>
    <n v="1299143.8356164382"/>
    <n v="10502500"/>
    <n v="11801643.835616438"/>
    <x v="1"/>
    <x v="0"/>
    <x v="0"/>
    <x v="0"/>
    <x v="0"/>
    <n v="881.75"/>
    <n v="11341.083073433512"/>
    <n v="453.64332293734049"/>
  </r>
  <r>
    <x v="3"/>
    <x v="0"/>
    <x v="7"/>
    <d v="2024-08-16T00:00:00"/>
    <n v="532"/>
    <x v="0"/>
    <x v="0"/>
    <d v="2024-08-15T00:00:00"/>
    <n v="25000"/>
    <n v="400"/>
    <n v="10000000"/>
    <n v="2100000"/>
    <n v="12100000"/>
    <x v="0"/>
    <x v="0"/>
    <x v="0"/>
    <n v="12100000"/>
    <d v="2024-08-30T00:00:00"/>
    <d v="2024-08-31T00:00:00"/>
    <n v="-430"/>
    <x v="4"/>
    <x v="0"/>
    <d v="2024-09-07T00:00:00"/>
    <n v="5000046401"/>
    <d v="2024-05-08T00:00:00"/>
    <n v="500"/>
    <n v="24200"/>
    <n v="0"/>
    <n v="24200"/>
    <n v="-596.71232876712327"/>
    <n v="23603.287671232876"/>
    <x v="2"/>
    <x v="3"/>
    <x v="2"/>
    <x v="0"/>
    <n v="21005"/>
    <n v="2598.2876712328762"/>
    <n v="0.12369853231291961"/>
    <n v="1299143.8356164382"/>
    <n v="10502500"/>
    <n v="11801643.835616438"/>
    <x v="1"/>
    <x v="0"/>
    <x v="0"/>
    <x v="0"/>
    <x v="0"/>
    <n v="881.75"/>
    <n v="11341.083073433512"/>
    <n v="453.64332293734049"/>
  </r>
  <r>
    <x v="3"/>
    <x v="0"/>
    <x v="7"/>
    <d v="2024-08-16T00:00:00"/>
    <n v="533"/>
    <x v="0"/>
    <x v="0"/>
    <d v="2024-08-15T00:00:00"/>
    <n v="25000"/>
    <n v="400"/>
    <n v="10000000"/>
    <n v="2100000"/>
    <n v="12100000"/>
    <x v="0"/>
    <x v="0"/>
    <x v="0"/>
    <n v="12100000"/>
    <d v="2024-08-30T00:00:00"/>
    <d v="2024-08-31T00:00:00"/>
    <n v="-430"/>
    <x v="4"/>
    <x v="0"/>
    <d v="2024-09-07T00:00:00"/>
    <n v="5000046401"/>
    <d v="2024-05-08T00:00:00"/>
    <n v="500"/>
    <n v="24200"/>
    <n v="0"/>
    <n v="24200"/>
    <n v="-596.71232876712327"/>
    <n v="23603.287671232876"/>
    <x v="2"/>
    <x v="3"/>
    <x v="2"/>
    <x v="0"/>
    <n v="21005"/>
    <n v="2598.2876712328762"/>
    <n v="0.12369853231291961"/>
    <n v="1299143.8356164382"/>
    <n v="10502500"/>
    <n v="11801643.835616438"/>
    <x v="1"/>
    <x v="0"/>
    <x v="1"/>
    <x v="0"/>
    <x v="1"/>
    <n v="881.75"/>
    <n v="11341.083073433512"/>
    <n v="453.64332293734049"/>
  </r>
  <r>
    <x v="3"/>
    <x v="0"/>
    <x v="7"/>
    <d v="2024-08-15T00:00:00"/>
    <n v="534"/>
    <x v="0"/>
    <x v="0"/>
    <d v="2024-08-15T00:00:00"/>
    <n v="25000"/>
    <n v="400"/>
    <n v="10000000"/>
    <n v="2100000"/>
    <n v="12100000"/>
    <x v="0"/>
    <x v="0"/>
    <x v="0"/>
    <n v="12100000"/>
    <d v="2024-08-30T00:00:00"/>
    <d v="2024-08-30T00:00:00"/>
    <n v="-431"/>
    <x v="4"/>
    <x v="0"/>
    <d v="2024-09-06T00:00:00"/>
    <n v="5000046401"/>
    <d v="2024-05-08T00:00:00"/>
    <n v="500"/>
    <n v="24200"/>
    <n v="0"/>
    <n v="24200"/>
    <n v="-596.71232876712327"/>
    <n v="23603.287671232876"/>
    <x v="2"/>
    <x v="3"/>
    <x v="2"/>
    <x v="0"/>
    <n v="21005"/>
    <n v="2598.2876712328762"/>
    <n v="0.12369853231291961"/>
    <n v="1299143.8356164382"/>
    <n v="10502500"/>
    <n v="11801643.835616438"/>
    <x v="1"/>
    <x v="0"/>
    <x v="1"/>
    <x v="0"/>
    <x v="1"/>
    <n v="881.75"/>
    <n v="11341.083073433512"/>
    <n v="453.64332293734049"/>
  </r>
  <r>
    <x v="3"/>
    <x v="0"/>
    <x v="7"/>
    <d v="2024-08-16T00:00:00"/>
    <n v="535"/>
    <x v="0"/>
    <x v="0"/>
    <d v="2024-08-16T00:00:00"/>
    <n v="25000"/>
    <n v="400"/>
    <n v="10000000"/>
    <n v="2100000"/>
    <n v="12100000"/>
    <x v="0"/>
    <x v="0"/>
    <x v="0"/>
    <n v="12100000"/>
    <d v="2024-08-31T00:00:00"/>
    <d v="2024-08-31T00:00:00"/>
    <n v="-430"/>
    <x v="4"/>
    <x v="0"/>
    <d v="2024-09-07T00:00:00"/>
    <n v="5000046401"/>
    <d v="2024-05-08T00:00:00"/>
    <n v="500"/>
    <n v="24200"/>
    <n v="0"/>
    <n v="24200"/>
    <n v="-596.71232876712327"/>
    <n v="23603.287671232876"/>
    <x v="2"/>
    <x v="3"/>
    <x v="2"/>
    <x v="0"/>
    <n v="21005"/>
    <n v="2598.2876712328762"/>
    <n v="0.12369853231291961"/>
    <n v="1299143.8356164382"/>
    <n v="10502500"/>
    <n v="11801643.835616438"/>
    <x v="1"/>
    <x v="0"/>
    <x v="1"/>
    <x v="0"/>
    <x v="1"/>
    <n v="881.75"/>
    <n v="11341.083073433512"/>
    <n v="453.64332293734049"/>
  </r>
  <r>
    <x v="3"/>
    <x v="0"/>
    <x v="7"/>
    <d v="2024-08-21T00:00:00"/>
    <n v="536"/>
    <x v="0"/>
    <x v="0"/>
    <d v="2024-08-22T00:00:00"/>
    <n v="27500"/>
    <n v="400"/>
    <n v="11000000"/>
    <n v="2310000"/>
    <n v="13310000"/>
    <x v="0"/>
    <x v="0"/>
    <x v="0"/>
    <n v="13310000"/>
    <d v="2024-09-06T00:00:00"/>
    <d v="2024-09-05T00:00:00"/>
    <n v="-425"/>
    <x v="4"/>
    <x v="0"/>
    <d v="2024-09-12T00:00:00"/>
    <n v="5000046401"/>
    <d v="2024-05-08T00:00:00"/>
    <n v="550"/>
    <n v="24200"/>
    <n v="0"/>
    <n v="24200"/>
    <n v="-596.71232876712327"/>
    <n v="23603.287671232876"/>
    <x v="2"/>
    <x v="3"/>
    <x v="2"/>
    <x v="0"/>
    <n v="21005"/>
    <n v="2598.2876712328762"/>
    <n v="0.12369853231291961"/>
    <n v="1429058.219178082"/>
    <n v="11552750"/>
    <n v="12981808.219178082"/>
    <x v="1"/>
    <x v="0"/>
    <x v="1"/>
    <x v="0"/>
    <x v="1"/>
    <n v="881.75"/>
    <n v="12475.191380776863"/>
    <n v="453.64332293734049"/>
  </r>
  <r>
    <x v="4"/>
    <x v="0"/>
    <x v="8"/>
    <d v="2025-05-20T00:00:00"/>
    <n v="536"/>
    <x v="0"/>
    <x v="0"/>
    <d v="2025-05-20T00:00:00"/>
    <n v="27500"/>
    <n v="435"/>
    <n v="11962500"/>
    <n v="2512125"/>
    <n v="14474625"/>
    <x v="0"/>
    <x v="0"/>
    <x v="0"/>
    <n v="14474625"/>
    <d v="2024-09-06T00:00:00"/>
    <d v="2024-09-05T00:00:00"/>
    <n v="-425"/>
    <x v="4"/>
    <x v="0"/>
    <d v="2024-09-12T00:00:00"/>
    <n v="5621"/>
    <d v="2024-05-08T00:00:00"/>
    <n v="550"/>
    <n v="26317.5"/>
    <n v="0"/>
    <n v="26317.5"/>
    <n v="-596.71232876712327"/>
    <n v="25720.787671232876"/>
    <x v="2"/>
    <x v="6"/>
    <x v="1"/>
    <x v="0"/>
    <n v="21005"/>
    <n v="4715.7876712328762"/>
    <n v="0.22450786342455964"/>
    <n v="2593683.219178082"/>
    <n v="11552750"/>
    <n v="14146433.219178082"/>
    <x v="1"/>
    <x v="0"/>
    <x v="3"/>
    <x v="0"/>
    <x v="0"/>
    <n v="881.75"/>
    <n v="13566.77062659484"/>
    <n v="493.33711369435781"/>
  </r>
  <r>
    <x v="4"/>
    <x v="0"/>
    <x v="9"/>
    <d v="2025-05-14T00:00:00"/>
    <n v="1907"/>
    <x v="0"/>
    <x v="0"/>
    <d v="2025-05-14T00:00:00"/>
    <n v="28000"/>
    <n v="485"/>
    <n v="13580000"/>
    <n v="2851800"/>
    <n v="16431800"/>
    <x v="0"/>
    <x v="0"/>
    <x v="0"/>
    <n v="16431800"/>
    <d v="2025-06-28T00:00:00"/>
    <d v="2024-06-28T00:00:00"/>
    <n v="-425"/>
    <x v="5"/>
    <x v="3"/>
    <d v="2024-07-05T00:00:00"/>
    <n v="4500023447"/>
    <d v="2024-05-02T00:00:00"/>
    <n v="560"/>
    <n v="29342.5"/>
    <n v="-1782"/>
    <n v="27560.5"/>
    <n v="-2171"/>
    <n v="25389.5"/>
    <x v="0"/>
    <x v="7"/>
    <x v="4"/>
    <x v="0"/>
    <n v="21275"/>
    <n v="4114.5"/>
    <n v="0.19339600470035245"/>
    <n v="2304120"/>
    <n v="11914000"/>
    <n v="14218120"/>
    <x v="1"/>
    <x v="0"/>
    <x v="0"/>
    <x v="0"/>
    <x v="0"/>
    <n v="878.25"/>
    <n v="15462.567606034729"/>
    <n v="552.2345573583832"/>
  </r>
  <r>
    <x v="4"/>
    <x v="0"/>
    <x v="10"/>
    <d v="2025-05-20T00:00:00"/>
    <n v="1905"/>
    <x v="0"/>
    <x v="0"/>
    <d v="2025-05-20T00:00:00"/>
    <n v="28000"/>
    <n v="410"/>
    <n v="11480000"/>
    <n v="2410800"/>
    <n v="13890800"/>
    <x v="0"/>
    <x v="0"/>
    <x v="0"/>
    <n v="13890800"/>
    <d v="2025-05-20T00:00:00"/>
    <d v="2024-05-16T00:00:00"/>
    <n v="-537"/>
    <x v="0"/>
    <x v="0"/>
    <d v="2024-05-23T00:00:00"/>
    <s v="WP 10/5"/>
    <d v="2024-05-10T00:00:00"/>
    <n v="560"/>
    <n v="24805"/>
    <n v="0"/>
    <n v="24805"/>
    <n v="0"/>
    <n v="24805"/>
    <x v="0"/>
    <x v="3"/>
    <x v="2"/>
    <x v="0"/>
    <n v="20825"/>
    <n v="3980"/>
    <n v="0.19111644657863147"/>
    <n v="2228800"/>
    <n v="11662000"/>
    <n v="13890800"/>
    <x v="1"/>
    <x v="0"/>
    <x v="0"/>
    <x v="0"/>
    <x v="0"/>
    <n v="882.75"/>
    <n v="13004.814500141603"/>
    <n v="464.45766071934298"/>
  </r>
  <r>
    <x v="3"/>
    <x v="2"/>
    <x v="11"/>
    <d v="2024-05-17T00:00:00"/>
    <n v="502"/>
    <x v="0"/>
    <x v="0"/>
    <d v="2024-05-17T00:00:00"/>
    <n v="395040"/>
    <n v="369.35000744772361"/>
    <n v="145908026.94214875"/>
    <n v="30640685.657851234"/>
    <n v="176548712.59999996"/>
    <x v="0"/>
    <x v="0"/>
    <x v="0"/>
    <n v="176548712.59999996"/>
    <d v="2024-05-24T00:00:00"/>
    <d v="2024-05-17T00:00:00"/>
    <n v="-536"/>
    <x v="3"/>
    <x v="0"/>
    <d v="2024-05-24T00:00:00"/>
    <m/>
    <d v="2024-05-10T00:00:00"/>
    <n v="7900.8"/>
    <n v="22345.675450587278"/>
    <m/>
    <n v="22345.675450587278"/>
    <n v="-320.35164383561647"/>
    <n v="22025.323806751661"/>
    <x v="0"/>
    <x v="3"/>
    <x v="3"/>
    <x v="3"/>
    <n v="20825"/>
    <n v="1200.3238067516613"/>
    <n v="5.7638598163345156E-2"/>
    <n v="9483518.3323835265"/>
    <n v="164534160"/>
    <n v="174017678.33238354"/>
    <x v="1"/>
    <x v="0"/>
    <x v="0"/>
    <x v="0"/>
    <x v="0"/>
    <n v="882.75"/>
    <n v="165288.05091152506"/>
    <n v="418.40839133132101"/>
  </r>
  <r>
    <x v="3"/>
    <x v="3"/>
    <x v="11"/>
    <d v="2024-05-24T00:00:00"/>
    <n v="503"/>
    <x v="0"/>
    <x v="0"/>
    <d v="2024-05-24T00:00:00"/>
    <n v="159240"/>
    <n v="370.80251857480056"/>
    <n v="59046593.05785124"/>
    <n v="12399784.54214876"/>
    <n v="71446377.599999994"/>
    <x v="0"/>
    <x v="0"/>
    <x v="0"/>
    <n v="71446377.599999994"/>
    <d v="2024-05-31T00:00:00"/>
    <d v="2024-05-24T00:00:00"/>
    <n v="-529"/>
    <x v="3"/>
    <x v="0"/>
    <d v="2024-05-31T00:00:00"/>
    <m/>
    <d v="2024-05-10T00:00:00"/>
    <n v="3184.8"/>
    <n v="22433.552373775434"/>
    <m/>
    <n v="22433.552373775434"/>
    <n v="-320.35164383561647"/>
    <n v="22113.200729939817"/>
    <x v="0"/>
    <x v="3"/>
    <x v="3"/>
    <x v="3"/>
    <n v="20825"/>
    <n v="1288.2007299398174"/>
    <n v="6.1858378388466528E-2"/>
    <n v="4102661.6847123308"/>
    <n v="66323460.000000007"/>
    <n v="70426121.684712335"/>
    <x v="1"/>
    <x v="0"/>
    <x v="0"/>
    <x v="0"/>
    <x v="0"/>
    <n v="882.75"/>
    <n v="66889.371914869713"/>
    <n v="420.0538301612014"/>
  </r>
  <r>
    <x v="3"/>
    <x v="4"/>
    <x v="11"/>
    <d v="2024-05-31T00:00:00"/>
    <n v="504"/>
    <x v="0"/>
    <x v="0"/>
    <d v="2024-05-31T00:00:00"/>
    <n v="226660"/>
    <n v="372.6699705314619"/>
    <n v="84469375.52066116"/>
    <n v="17738568.859338842"/>
    <n v="102207944.38"/>
    <x v="0"/>
    <x v="0"/>
    <x v="0"/>
    <n v="102207944.38"/>
    <d v="2024-06-07T00:00:00"/>
    <d v="2024-05-31T00:00:00"/>
    <n v="-522"/>
    <x v="3"/>
    <x v="0"/>
    <d v="2024-06-07T00:00:00"/>
    <m/>
    <d v="2024-05-10T00:00:00"/>
    <n v="4533.2"/>
    <n v="22546.533217153443"/>
    <m/>
    <n v="22546.533217153443"/>
    <n v="-320.35164383561647"/>
    <n v="22226.181573317826"/>
    <x v="0"/>
    <x v="3"/>
    <x v="3"/>
    <x v="3"/>
    <n v="20825"/>
    <n v="1401.1815733178264"/>
    <n v="6.7283628970844056E-2"/>
    <n v="6351836.3081643702"/>
    <n v="94403890"/>
    <n v="100755726.30816437"/>
    <x v="1"/>
    <x v="0"/>
    <x v="0"/>
    <x v="0"/>
    <x v="0"/>
    <n v="882.75"/>
    <n v="95688.898918902472"/>
    <n v="422.16932373997383"/>
  </r>
  <r>
    <x v="3"/>
    <x v="5"/>
    <x v="12"/>
    <d v="2024-05-17T00:00:00"/>
    <n v="2022"/>
    <x v="0"/>
    <x v="0"/>
    <d v="2024-05-17T00:00:00"/>
    <n v="996860"/>
    <n v="392.8"/>
    <n v="391566608"/>
    <n v="82228987.679999992"/>
    <n v="473795595.68000001"/>
    <x v="0"/>
    <x v="0"/>
    <x v="0"/>
    <n v="473795595.68000001"/>
    <d v="2024-05-17T00:00:00"/>
    <d v="2024-07-16T00:00:00"/>
    <n v="-476"/>
    <x v="0"/>
    <x v="0"/>
    <d v="2024-07-23T00:00:00"/>
    <m/>
    <d v="2024-05-10T00:00:00"/>
    <n v="19937.2"/>
    <n v="23764.399999999998"/>
    <m/>
    <n v="23764.399999999998"/>
    <n v="0"/>
    <n v="23764.399999999998"/>
    <x v="0"/>
    <x v="3"/>
    <x v="3"/>
    <x v="3"/>
    <n v="20825"/>
    <n v="2939.3999999999978"/>
    <n v="0.14114765906362536"/>
    <n v="58603405.679999955"/>
    <n v="415192190"/>
    <n v="473795595.67999995"/>
    <x v="1"/>
    <x v="0"/>
    <x v="4"/>
    <x v="0"/>
    <x v="0"/>
    <n v="882.75"/>
    <n v="443575.87992070237"/>
    <n v="444.97309544038518"/>
  </r>
  <r>
    <x v="3"/>
    <x v="6"/>
    <x v="12"/>
    <d v="2024-05-24T00:00:00"/>
    <n v="2043"/>
    <x v="0"/>
    <x v="0"/>
    <d v="2024-05-24T00:00:00"/>
    <n v="1106080"/>
    <n v="396.4"/>
    <n v="438450112"/>
    <n v="92074523.519999996"/>
    <n v="530524635.51999998"/>
    <x v="0"/>
    <x v="0"/>
    <x v="0"/>
    <n v="530524635.51999998"/>
    <d v="2024-05-24T00:00:00"/>
    <d v="2024-07-23T00:00:00"/>
    <n v="-469"/>
    <x v="0"/>
    <x v="0"/>
    <d v="2024-07-30T00:00:00"/>
    <m/>
    <d v="2024-05-10T00:00:00"/>
    <n v="22121.599999999999"/>
    <n v="23982.2"/>
    <m/>
    <n v="23982.2"/>
    <n v="0"/>
    <n v="23982.2"/>
    <x v="0"/>
    <x v="3"/>
    <x v="3"/>
    <x v="3"/>
    <n v="20825"/>
    <n v="3157.2000000000007"/>
    <n v="0.15160624249699883"/>
    <n v="69842315.520000011"/>
    <n v="460682319.99999994"/>
    <n v="530524635.51999998"/>
    <x v="1"/>
    <x v="0"/>
    <x v="4"/>
    <x v="0"/>
    <x v="0"/>
    <n v="882.75"/>
    <n v="496686.61795525346"/>
    <n v="449.05126026621355"/>
  </r>
  <r>
    <x v="3"/>
    <x v="7"/>
    <x v="12"/>
    <d v="2024-05-31T00:00:00"/>
    <n v="2062"/>
    <x v="0"/>
    <x v="0"/>
    <d v="2024-05-31T00:00:00"/>
    <n v="897050"/>
    <n v="396.4"/>
    <n v="355590620"/>
    <n v="74674030.200000003"/>
    <n v="430264650.19999999"/>
    <x v="0"/>
    <x v="0"/>
    <x v="0"/>
    <n v="430264650.19999999"/>
    <d v="2024-05-31T00:00:00"/>
    <d v="2024-05-31T00:00:00"/>
    <n v="-522"/>
    <x v="0"/>
    <x v="0"/>
    <d v="2024-06-07T00:00:00"/>
    <m/>
    <d v="2024-05-10T00:00:00"/>
    <n v="17941"/>
    <n v="23982.2"/>
    <m/>
    <n v="23982.2"/>
    <n v="0"/>
    <n v="23982.2"/>
    <x v="0"/>
    <x v="3"/>
    <x v="3"/>
    <x v="3"/>
    <n v="20825"/>
    <n v="3157.2000000000007"/>
    <n v="0.15160624249699883"/>
    <n v="56643325.20000001"/>
    <n v="373621325"/>
    <n v="430264650.19999999"/>
    <x v="1"/>
    <x v="0"/>
    <x v="2"/>
    <x v="0"/>
    <x v="0"/>
    <n v="882.75"/>
    <n v="402821.43302180688"/>
    <n v="449.0512602662136"/>
  </r>
  <r>
    <x v="3"/>
    <x v="0"/>
    <x v="13"/>
    <d v="2024-05-16T00:00:00"/>
    <n v="1908"/>
    <x v="0"/>
    <x v="0"/>
    <d v="2024-05-16T00:00:00"/>
    <n v="27500"/>
    <n v="420"/>
    <n v="11550000"/>
    <n v="2425500"/>
    <n v="13975500"/>
    <x v="0"/>
    <x v="0"/>
    <x v="0"/>
    <n v="13975500"/>
    <d v="2024-05-31T00:00:00"/>
    <d v="2024-05-16T00:00:00"/>
    <n v="-537"/>
    <x v="4"/>
    <x v="0"/>
    <d v="2024-05-23T00:00:00"/>
    <n v="43996"/>
    <d v="2024-04-29T00:00:00"/>
    <n v="550"/>
    <n v="25410"/>
    <n v="-2388.9513999999999"/>
    <n v="23021.048600000002"/>
    <n v="-596.71232876712327"/>
    <n v="22424.336271232878"/>
    <x v="2"/>
    <x v="6"/>
    <x v="1"/>
    <x v="0"/>
    <n v="21410"/>
    <n v="1014.3362712328781"/>
    <n v="4.7376752509709297E-2"/>
    <n v="557884.94917808298"/>
    <n v="11775500"/>
    <n v="12333384.949178083"/>
    <x v="1"/>
    <x v="0"/>
    <x v="2"/>
    <x v="0"/>
    <x v="0"/>
    <n v="876.41669999999999"/>
    <n v="13178.66261562565"/>
    <n v="479.22409511365998"/>
  </r>
  <r>
    <x v="3"/>
    <x v="0"/>
    <x v="13"/>
    <d v="2025-05-28T00:00:00"/>
    <n v="1911"/>
    <x v="0"/>
    <x v="0"/>
    <d v="2025-05-28T00:00:00"/>
    <n v="27500"/>
    <n v="430"/>
    <n v="11825000"/>
    <n v="2483250"/>
    <n v="14308250"/>
    <x v="0"/>
    <x v="0"/>
    <x v="0"/>
    <n v="14308250"/>
    <d v="2025-06-12T00:00:00"/>
    <d v="2025-05-28T00:00:00"/>
    <n v="-160"/>
    <x v="4"/>
    <x v="0"/>
    <d v="2025-06-04T00:00:00"/>
    <n v="44011"/>
    <d v="2024-05-02T00:00:00"/>
    <n v="550"/>
    <n v="26015"/>
    <n v="-2388.9513999999999"/>
    <n v="23626.048600000002"/>
    <n v="-596.71232876712327"/>
    <n v="23029.336271232878"/>
    <x v="2"/>
    <x v="6"/>
    <x v="1"/>
    <x v="0"/>
    <n v="21275"/>
    <n v="1754.3362712328781"/>
    <n v="8.245998924713871E-2"/>
    <n v="964884.94917808298"/>
    <n v="11701250"/>
    <n v="12666134.949178083"/>
    <x v="1"/>
    <x v="0"/>
    <x v="2"/>
    <x v="0"/>
    <x v="0"/>
    <n v="878.25"/>
    <n v="13464.275547964702"/>
    <n v="489.61001992598915"/>
  </r>
  <r>
    <x v="3"/>
    <x v="0"/>
    <x v="13"/>
    <d v="2024-05-31T00:00:00"/>
    <n v="1912"/>
    <x v="0"/>
    <x v="0"/>
    <d v="2024-05-31T00:00:00"/>
    <n v="27500"/>
    <n v="435"/>
    <n v="11962500"/>
    <n v="2512125"/>
    <n v="14474625"/>
    <x v="0"/>
    <x v="0"/>
    <x v="0"/>
    <n v="14474625"/>
    <d v="2024-06-15T00:00:00"/>
    <d v="2024-05-31T00:00:00"/>
    <n v="-522"/>
    <x v="4"/>
    <x v="0"/>
    <d v="2024-06-07T00:00:00"/>
    <n v="44043"/>
    <d v="2024-05-09T00:00:00"/>
    <n v="550"/>
    <n v="26317.5"/>
    <n v="-2388.9513999999999"/>
    <n v="23928.548600000002"/>
    <n v="-596.71232876712327"/>
    <n v="23331.836271232878"/>
    <x v="2"/>
    <x v="6"/>
    <x v="1"/>
    <x v="0"/>
    <n v="20945"/>
    <n v="2386.8362712328781"/>
    <n v="0.11395732973181572"/>
    <n v="1312759.9491780829"/>
    <n v="11519750"/>
    <n v="12832509.949178083"/>
    <x v="1"/>
    <x v="0"/>
    <x v="2"/>
    <x v="0"/>
    <x v="0"/>
    <n v="882.25"/>
    <n v="13559.081892887503"/>
    <n v="493.05752337772736"/>
  </r>
  <r>
    <x v="5"/>
    <x v="0"/>
    <x v="9"/>
    <d v="2024-06-13T00:00:00"/>
    <n v="1913"/>
    <x v="0"/>
    <x v="0"/>
    <d v="2024-06-13T00:00:00"/>
    <n v="28000"/>
    <n v="485"/>
    <n v="13580000"/>
    <n v="2851800"/>
    <n v="16431800"/>
    <x v="0"/>
    <x v="0"/>
    <x v="0"/>
    <n v="16431800"/>
    <d v="2024-07-13T00:00:00"/>
    <d v="2024-07-13T00:00:00"/>
    <n v="-479"/>
    <x v="2"/>
    <x v="3"/>
    <d v="2024-07-20T00:00:00"/>
    <n v="4500024022"/>
    <d v="2024-05-27T00:00:00"/>
    <n v="560"/>
    <n v="29342.5"/>
    <n v="-1928.2196999999999"/>
    <n v="27414.280299999999"/>
    <n v="-795.86506849315072"/>
    <n v="26618.41523150685"/>
    <x v="0"/>
    <x v="7"/>
    <x v="4"/>
    <x v="0"/>
    <n v="19130"/>
    <n v="7488.4152315068495"/>
    <n v="0.39144878366475955"/>
    <n v="4193512.5296438355"/>
    <n v="10712800"/>
    <n v="14906312.529643835"/>
    <x v="2"/>
    <x v="0"/>
    <x v="2"/>
    <x v="0"/>
    <x v="0"/>
    <n v="892.75"/>
    <n v="15211.425371044525"/>
    <n v="543.26519182301877"/>
  </r>
  <r>
    <x v="5"/>
    <x v="0"/>
    <x v="9"/>
    <d v="2024-06-21T00:00:00"/>
    <n v="1918"/>
    <x v="0"/>
    <x v="0"/>
    <d v="2024-06-19T00:00:00"/>
    <n v="28000"/>
    <n v="485"/>
    <n v="13580000"/>
    <n v="2851800"/>
    <n v="16431800"/>
    <x v="0"/>
    <x v="0"/>
    <x v="0"/>
    <n v="16431800"/>
    <d v="2024-07-21T00:00:00"/>
    <d v="2024-07-21T00:00:00"/>
    <n v="-471"/>
    <x v="2"/>
    <x v="0"/>
    <d v="2024-07-28T00:00:00"/>
    <n v="4500024022"/>
    <d v="2024-05-27T00:00:00"/>
    <n v="560"/>
    <n v="29342.5"/>
    <n v="-1928.2196999999999"/>
    <n v="27414.280299999999"/>
    <n v="-795.86506849315072"/>
    <n v="26618.41523150685"/>
    <x v="0"/>
    <x v="7"/>
    <x v="4"/>
    <x v="0"/>
    <n v="19130"/>
    <n v="7488.4152315068495"/>
    <n v="0.39144878366475955"/>
    <n v="4193512.5296438355"/>
    <n v="10712800"/>
    <n v="14906312.529643835"/>
    <x v="2"/>
    <x v="0"/>
    <x v="2"/>
    <x v="0"/>
    <x v="0"/>
    <n v="892.75"/>
    <n v="15211.425371044525"/>
    <n v="543.26519182301877"/>
  </r>
  <r>
    <x v="5"/>
    <x v="8"/>
    <x v="11"/>
    <d v="2024-06-07T00:00:00"/>
    <n v="505"/>
    <x v="0"/>
    <x v="0"/>
    <d v="2024-06-07T00:00:00"/>
    <n v="333560"/>
    <n v="374.33001340906361"/>
    <n v="124861519.27272725"/>
    <n v="26220919.047272723"/>
    <n v="151082438.31999996"/>
    <x v="0"/>
    <x v="0"/>
    <x v="0"/>
    <n v="151082438.31999996"/>
    <d v="2024-06-14T00:00:00"/>
    <d v="2024-06-07T00:00:00"/>
    <n v="-515"/>
    <x v="3"/>
    <x v="0"/>
    <d v="2024-06-14T00:00:00"/>
    <m/>
    <d v="2024-05-10T00:00:00"/>
    <n v="6671.2"/>
    <n v="22646.965811248348"/>
    <m/>
    <n v="22646.965811248348"/>
    <n v="-1175.3551391095891"/>
    <n v="21471.610672138759"/>
    <x v="0"/>
    <x v="3"/>
    <x v="3"/>
    <x v="3"/>
    <n v="20825"/>
    <n v="646.61067213875867"/>
    <n v="3.1049732155522536E-2"/>
    <n v="4313669.1159720868"/>
    <n v="138927740"/>
    <n v="143241409.11597207"/>
    <x v="2"/>
    <x v="0"/>
    <x v="2"/>
    <x v="0"/>
    <x v="0"/>
    <n v="882.75"/>
    <n v="141446.07111042453"/>
    <n v="424.04985942686329"/>
  </r>
  <r>
    <x v="5"/>
    <x v="9"/>
    <x v="11"/>
    <d v="2024-06-12T00:00:00"/>
    <n v="506"/>
    <x v="0"/>
    <x v="0"/>
    <d v="2024-06-12T00:00:00"/>
    <n v="310120"/>
    <n v="374.95248075125278"/>
    <n v="116280263.33057851"/>
    <n v="24418855.299421486"/>
    <n v="140699118.63"/>
    <x v="0"/>
    <x v="0"/>
    <x v="0"/>
    <n v="140699118.63"/>
    <d v="2024-06-19T00:00:00"/>
    <d v="2024-06-12T00:00:00"/>
    <n v="-510"/>
    <x v="3"/>
    <x v="0"/>
    <d v="2024-06-19T00:00:00"/>
    <m/>
    <d v="2024-05-10T00:00:00"/>
    <n v="6202.4"/>
    <n v="22684.625085450793"/>
    <m/>
    <n v="22684.625085450793"/>
    <n v="-309.50308219178083"/>
    <n v="22375.12200325901"/>
    <x v="0"/>
    <x v="3"/>
    <x v="3"/>
    <x v="3"/>
    <n v="20825"/>
    <n v="1550.1220032590099"/>
    <n v="7.4435630408596021E-2"/>
    <n v="9614476.7130136825"/>
    <n v="129164979.99999999"/>
    <n v="138779456.71301368"/>
    <x v="2"/>
    <x v="0"/>
    <x v="2"/>
    <x v="0"/>
    <x v="0"/>
    <n v="882.75"/>
    <n v="131725.0221813407"/>
    <n v="424.75500509912519"/>
  </r>
  <r>
    <x v="5"/>
    <x v="10"/>
    <x v="11"/>
    <d v="2024-06-21T00:00:00"/>
    <n v="507"/>
    <x v="0"/>
    <x v="0"/>
    <d v="2024-06-21T00:00:00"/>
    <n v="629360"/>
    <n v="378.27250718820227"/>
    <n v="238069585.12396699"/>
    <n v="49994612.876033068"/>
    <n v="288064198.00000006"/>
    <x v="0"/>
    <x v="0"/>
    <x v="0"/>
    <n v="288064198.00000006"/>
    <d v="2024-06-28T00:00:00"/>
    <d v="2024-06-21T00:00:00"/>
    <n v="-501"/>
    <x v="3"/>
    <x v="0"/>
    <d v="2024-06-28T00:00:00"/>
    <m/>
    <d v="2024-05-10T00:00:00"/>
    <n v="12587.2"/>
    <n v="22885.486684886237"/>
    <m/>
    <n v="22885.486684886237"/>
    <n v="-309.50308219178083"/>
    <n v="22575.983602694454"/>
    <x v="0"/>
    <x v="3"/>
    <x v="3"/>
    <x v="3"/>
    <n v="20825"/>
    <n v="1750.983602694454"/>
    <n v="8.4080845267440862E-2"/>
    <n v="22039980.803835634"/>
    <n v="262128440.00000003"/>
    <n v="284168420.80383563"/>
    <x v="2"/>
    <x v="0"/>
    <x v="2"/>
    <x v="0"/>
    <x v="0"/>
    <n v="882.75"/>
    <n v="269690.83559781022"/>
    <n v="428.51600927578846"/>
  </r>
  <r>
    <x v="5"/>
    <x v="11"/>
    <x v="11"/>
    <d v="2024-06-28T00:00:00"/>
    <n v="511"/>
    <x v="0"/>
    <x v="0"/>
    <d v="2024-06-28T00:00:00"/>
    <n v="462850"/>
    <n v="379.70041558900698"/>
    <n v="175744337.35537189"/>
    <n v="36906310.844628096"/>
    <n v="212650648.19999999"/>
    <x v="0"/>
    <x v="0"/>
    <x v="0"/>
    <n v="212650648.19999999"/>
    <d v="2024-07-05T00:00:00"/>
    <d v="2024-06-28T00:00:00"/>
    <n v="-494"/>
    <x v="3"/>
    <x v="0"/>
    <d v="2024-07-05T00:00:00"/>
    <m/>
    <d v="2024-05-10T00:00:00"/>
    <n v="9257"/>
    <n v="22971.875143134919"/>
    <m/>
    <n v="22971.875143134919"/>
    <n v="-309.50308219178083"/>
    <n v="22662.372060943137"/>
    <x v="0"/>
    <x v="3"/>
    <x v="3"/>
    <x v="3"/>
    <n v="20825"/>
    <n v="1837.3720609431366"/>
    <n v="8.8229150585504845E-2"/>
    <n v="17008553.168150615"/>
    <n v="192777025"/>
    <n v="209785578.1681506"/>
    <x v="2"/>
    <x v="0"/>
    <x v="2"/>
    <x v="0"/>
    <x v="0"/>
    <n v="882.75"/>
    <n v="199087.32637255383"/>
    <n v="430.13357755764031"/>
  </r>
  <r>
    <x v="5"/>
    <x v="0"/>
    <x v="14"/>
    <d v="2024-06-20T00:00:00"/>
    <n v="1919"/>
    <x v="0"/>
    <x v="0"/>
    <d v="2024-06-20T00:00:00"/>
    <n v="27500"/>
    <n v="420"/>
    <n v="11550000"/>
    <n v="2425500"/>
    <n v="13975500"/>
    <x v="0"/>
    <x v="0"/>
    <x v="0"/>
    <n v="13975500"/>
    <d v="2024-07-20T00:00:00"/>
    <d v="2024-07-20T00:00:00"/>
    <n v="-472"/>
    <x v="2"/>
    <x v="0"/>
    <d v="2024-07-27T00:00:00"/>
    <s v="00001- 00000490"/>
    <d v="2024-05-30T00:00:00"/>
    <n v="550"/>
    <n v="25410"/>
    <n v="0"/>
    <n v="25410"/>
    <n v="-689.2027397260274"/>
    <n v="24720.797260273972"/>
    <x v="2"/>
    <x v="3"/>
    <x v="2"/>
    <x v="0"/>
    <n v="19010"/>
    <n v="5710.7972602739719"/>
    <n v="0.30041016624271277"/>
    <n v="3140938.4931506845"/>
    <n v="10455500"/>
    <n v="13596438.493150685"/>
    <x v="2"/>
    <x v="0"/>
    <x v="3"/>
    <x v="0"/>
    <x v="0"/>
    <n v="894.25"/>
    <n v="12915.851272015656"/>
    <n v="469.66731898238748"/>
  </r>
  <r>
    <x v="5"/>
    <x v="0"/>
    <x v="14"/>
    <d v="2024-06-20T00:00:00"/>
    <n v="1920"/>
    <x v="0"/>
    <x v="0"/>
    <d v="2024-06-20T00:00:00"/>
    <n v="27500"/>
    <n v="420"/>
    <n v="11550000"/>
    <n v="2425500"/>
    <n v="13975500"/>
    <x v="0"/>
    <x v="0"/>
    <x v="0"/>
    <n v="13975500"/>
    <d v="2024-07-20T00:00:00"/>
    <d v="2024-07-20T00:00:00"/>
    <n v="-472"/>
    <x v="2"/>
    <x v="0"/>
    <d v="2024-07-27T00:00:00"/>
    <s v="00001- 00000490"/>
    <d v="2024-05-30T00:00:00"/>
    <n v="550"/>
    <n v="25410"/>
    <n v="0"/>
    <n v="25410"/>
    <n v="-689.2027397260274"/>
    <n v="24720.797260273972"/>
    <x v="2"/>
    <x v="3"/>
    <x v="2"/>
    <x v="0"/>
    <n v="19010"/>
    <n v="5710.7972602739719"/>
    <n v="0.30041016624271277"/>
    <n v="3140938.4931506845"/>
    <n v="10455500"/>
    <n v="13596438.493150685"/>
    <x v="2"/>
    <x v="0"/>
    <x v="3"/>
    <x v="0"/>
    <x v="0"/>
    <n v="894.25"/>
    <n v="12915.851272015656"/>
    <n v="469.66731898238748"/>
  </r>
  <r>
    <x v="5"/>
    <x v="0"/>
    <x v="14"/>
    <d v="2024-07-01T00:00:00"/>
    <n v="1922"/>
    <x v="0"/>
    <x v="0"/>
    <d v="2024-06-29T00:00:00"/>
    <n v="27500"/>
    <n v="420"/>
    <n v="11550000"/>
    <n v="2425500"/>
    <n v="13975500"/>
    <x v="0"/>
    <x v="0"/>
    <x v="0"/>
    <n v="13975500"/>
    <d v="2024-07-31T00:00:00"/>
    <d v="2024-07-31T00:00:00"/>
    <n v="-461"/>
    <x v="2"/>
    <x v="0"/>
    <d v="2024-08-07T00:00:00"/>
    <s v="00001- 00000490"/>
    <d v="2024-05-30T00:00:00"/>
    <n v="550"/>
    <n v="25410"/>
    <n v="0"/>
    <n v="25410"/>
    <n v="-689.2027397260274"/>
    <n v="24720.797260273972"/>
    <x v="2"/>
    <x v="3"/>
    <x v="2"/>
    <x v="0"/>
    <n v="19010"/>
    <n v="5710.7972602739719"/>
    <n v="0.30041016624271277"/>
    <n v="3140938.4931506845"/>
    <n v="10455500"/>
    <n v="13596438.493150685"/>
    <x v="2"/>
    <x v="0"/>
    <x v="4"/>
    <x v="0"/>
    <x v="0"/>
    <n v="894.25"/>
    <n v="12915.851272015656"/>
    <n v="469.66731898238748"/>
  </r>
  <r>
    <x v="5"/>
    <x v="0"/>
    <x v="15"/>
    <d v="2024-06-14T00:00:00"/>
    <n v="1915"/>
    <x v="0"/>
    <x v="0"/>
    <d v="2024-06-14T00:00:00"/>
    <n v="26600"/>
    <n v="430"/>
    <n v="11438000"/>
    <n v="2401980"/>
    <n v="13839980"/>
    <x v="0"/>
    <x v="0"/>
    <x v="0"/>
    <n v="13839980"/>
    <d v="2024-06-14T00:00:00"/>
    <d v="2024-07-14T00:00:00"/>
    <n v="-478"/>
    <x v="0"/>
    <x v="4"/>
    <d v="2024-07-21T00:00:00"/>
    <s v="WP 03/06"/>
    <d v="2024-06-03T00:00:00"/>
    <n v="532"/>
    <n v="26015"/>
    <n v="-2191.5762"/>
    <n v="23823.4238"/>
    <n v="0"/>
    <n v="23823.4238"/>
    <x v="0"/>
    <x v="8"/>
    <x v="1"/>
    <x v="0"/>
    <n v="18990"/>
    <n v="4833.4238000000005"/>
    <n v="0.25452468667719863"/>
    <n v="2571381.4616"/>
    <n v="10102680"/>
    <n v="12674061.4616"/>
    <x v="2"/>
    <x v="0"/>
    <x v="4"/>
    <x v="0"/>
    <x v="0"/>
    <n v="896.41669999999999"/>
    <n v="12759.690889292893"/>
    <n v="479.68762741702602"/>
  </r>
  <r>
    <x v="5"/>
    <x v="0"/>
    <x v="9"/>
    <d v="2024-06-27T00:00:00"/>
    <n v="1921"/>
    <x v="0"/>
    <x v="0"/>
    <d v="2024-06-27T00:00:00"/>
    <n v="28000"/>
    <n v="485"/>
    <n v="13580000"/>
    <n v="2851800"/>
    <n v="16431800"/>
    <x v="0"/>
    <x v="0"/>
    <x v="0"/>
    <n v="16431800"/>
    <d v="2024-07-27T00:00:00"/>
    <d v="2024-07-27T00:00:00"/>
    <n v="-465"/>
    <x v="2"/>
    <x v="0"/>
    <d v="2024-08-03T00:00:00"/>
    <n v="4500024022"/>
    <d v="2024-05-27T00:00:00"/>
    <n v="560"/>
    <n v="29342.5"/>
    <n v="-1928.2196999999999"/>
    <n v="27414.280299999999"/>
    <n v="-795.86506849315072"/>
    <n v="26618.41523150685"/>
    <x v="0"/>
    <x v="7"/>
    <x v="4"/>
    <x v="0"/>
    <n v="19130"/>
    <n v="7488.4152315068495"/>
    <n v="0.39144878366475955"/>
    <n v="4193512.5296438355"/>
    <n v="10712800"/>
    <n v="14906312.529643835"/>
    <x v="2"/>
    <x v="0"/>
    <x v="3"/>
    <x v="0"/>
    <x v="0"/>
    <n v="892.75"/>
    <n v="15211.425371044525"/>
    <n v="543.26519182301877"/>
  </r>
  <r>
    <x v="5"/>
    <x v="0"/>
    <x v="10"/>
    <d v="2024-06-14T00:00:00"/>
    <n v="1914"/>
    <x v="0"/>
    <x v="0"/>
    <d v="2024-06-26T00:00:00"/>
    <n v="28000"/>
    <n v="400"/>
    <n v="11200000"/>
    <n v="2352000"/>
    <n v="13552000"/>
    <x v="0"/>
    <x v="0"/>
    <x v="0"/>
    <n v="13552000"/>
    <d v="2024-07-26T00:00:00"/>
    <d v="2024-07-14T00:00:00"/>
    <n v="-478"/>
    <x v="2"/>
    <x v="0"/>
    <d v="2024-07-21T00:00:00"/>
    <s v="WP 16/5"/>
    <d v="2024-05-16T00:00:00"/>
    <n v="560"/>
    <n v="24200"/>
    <n v="0"/>
    <n v="24200"/>
    <n v="-656.38356164383561"/>
    <n v="23543.616438356163"/>
    <x v="0"/>
    <x v="3"/>
    <x v="2"/>
    <x v="0"/>
    <n v="20145"/>
    <n v="3398.6164383561627"/>
    <n v="0.16870769115692053"/>
    <n v="1903225.205479451"/>
    <n v="11281200"/>
    <n v="13184425.205479451"/>
    <x v="2"/>
    <x v="0"/>
    <x v="3"/>
    <x v="0"/>
    <x v="0"/>
    <n v="886.25"/>
    <n v="12637.517630465445"/>
    <n v="451.3399153737659"/>
  </r>
  <r>
    <x v="5"/>
    <x v="0"/>
    <x v="1"/>
    <d v="2024-06-18T00:00:00"/>
    <n v="1916"/>
    <x v="0"/>
    <x v="0"/>
    <d v="2024-06-25T00:00:00"/>
    <n v="28000"/>
    <n v="465"/>
    <n v="13020000"/>
    <n v="2734200"/>
    <n v="15754200"/>
    <x v="0"/>
    <x v="0"/>
    <x v="0"/>
    <n v="15754200"/>
    <d v="2024-08-02T00:00:00"/>
    <d v="2024-08-02T00:00:00"/>
    <n v="-459"/>
    <x v="5"/>
    <x v="0"/>
    <d v="2024-08-09T00:00:00"/>
    <s v="VIA MAIL"/>
    <d v="2024-06-18T00:00:00"/>
    <n v="560"/>
    <n v="28132.5"/>
    <n v="-3541.3674999999998"/>
    <n v="24591.1325"/>
    <n v="-1144.5688356164383"/>
    <n v="23446.563664383561"/>
    <x v="0"/>
    <x v="2"/>
    <x v="1"/>
    <x v="0"/>
    <n v="18963"/>
    <n v="4483.5636643835605"/>
    <n v="0.23643746582205138"/>
    <n v="2510795.6520547941"/>
    <n v="10619280"/>
    <n v="13130075.652054794"/>
    <x v="2"/>
    <x v="0"/>
    <x v="3"/>
    <x v="0"/>
    <x v="0"/>
    <n v="905.41669999999999"/>
    <n v="14380.11912084237"/>
    <n v="513.57568288722746"/>
  </r>
  <r>
    <x v="5"/>
    <x v="12"/>
    <x v="9"/>
    <d v="2024-06-14T00:00:00"/>
    <s v="NC 200 -1913"/>
    <x v="0"/>
    <x v="0"/>
    <d v="2024-06-11T00:00:00"/>
    <n v="-1400"/>
    <n v="485"/>
    <n v="-679000"/>
    <n v="-142590"/>
    <n v="-821590"/>
    <x v="0"/>
    <x v="0"/>
    <x v="0"/>
    <n v="-821590"/>
    <d v="2024-06-14T00:00:00"/>
    <d v="2024-06-11T00:00:00"/>
    <n v="-511"/>
    <x v="0"/>
    <x v="5"/>
    <d v="2024-06-18T00:00:00"/>
    <n v="4500024022"/>
    <d v="2024-05-28T00:00:00"/>
    <n v="-28"/>
    <n v="29342.5"/>
    <n v="0"/>
    <n v="29342.5"/>
    <n v="0"/>
    <n v="29342.5"/>
    <x v="0"/>
    <x v="7"/>
    <x v="4"/>
    <x v="0"/>
    <n v="19060"/>
    <n v="10282.5"/>
    <n v="0.53948058761804818"/>
    <n v="-287910"/>
    <n v="-533680"/>
    <n v="-821590"/>
    <x v="2"/>
    <x v="0"/>
    <x v="3"/>
    <x v="0"/>
    <x v="0"/>
    <n v="893.25"/>
    <n v="-760.14553596417579"/>
    <n v="542.96109711726842"/>
  </r>
  <r>
    <x v="6"/>
    <x v="0"/>
    <x v="9"/>
    <d v="2024-07-05T00:00:00"/>
    <n v="1924"/>
    <x v="0"/>
    <x v="0"/>
    <d v="2024-07-05T00:00:00"/>
    <n v="28000"/>
    <n v="485"/>
    <n v="13580000"/>
    <n v="2851800"/>
    <n v="16431800"/>
    <x v="0"/>
    <x v="0"/>
    <x v="0"/>
    <n v="16431800"/>
    <d v="2024-08-04T00:00:00"/>
    <d v="2024-08-04T00:00:00"/>
    <n v="-457"/>
    <x v="2"/>
    <x v="0"/>
    <d v="2024-08-11T00:00:00"/>
    <n v="4500024756"/>
    <d v="2024-06-27T00:00:00"/>
    <n v="560"/>
    <n v="29342.5"/>
    <n v="-1972.3846999999998"/>
    <n v="27370.115300000001"/>
    <n v="-795.86506849315072"/>
    <n v="26574.250231506852"/>
    <x v="0"/>
    <x v="7"/>
    <x v="4"/>
    <x v="0"/>
    <n v="19060"/>
    <n v="7514.2502315068523"/>
    <n v="0.39424187993215387"/>
    <n v="4207980.129643837"/>
    <n v="10673600"/>
    <n v="14881580.129643837"/>
    <x v="2"/>
    <x v="0"/>
    <x v="3"/>
    <x v="0"/>
    <x v="0"/>
    <n v="911.58330000000001"/>
    <n v="14897.157506066642"/>
    <n v="532.04133950238008"/>
  </r>
  <r>
    <x v="6"/>
    <x v="0"/>
    <x v="9"/>
    <d v="2024-07-10T00:00:00"/>
    <n v="1926"/>
    <x v="0"/>
    <x v="0"/>
    <d v="2024-07-10T00:00:00"/>
    <n v="28000"/>
    <n v="485"/>
    <n v="13580000"/>
    <n v="2851800"/>
    <n v="16431800"/>
    <x v="0"/>
    <x v="0"/>
    <x v="0"/>
    <n v="16431800"/>
    <d v="2024-08-09T00:00:00"/>
    <d v="2024-08-09T00:00:00"/>
    <n v="-452"/>
    <x v="2"/>
    <x v="0"/>
    <d v="2024-08-16T00:00:00"/>
    <n v="4500024756"/>
    <d v="2024-06-27T00:00:00"/>
    <n v="560"/>
    <n v="29342.5"/>
    <n v="-1972.3846999999998"/>
    <n v="27370.115300000001"/>
    <n v="-795.86506849315072"/>
    <n v="26574.250231506852"/>
    <x v="0"/>
    <x v="7"/>
    <x v="4"/>
    <x v="0"/>
    <n v="19060"/>
    <n v="7514.2502315068523"/>
    <n v="0.39424187993215387"/>
    <n v="4207980.129643837"/>
    <n v="10673600"/>
    <n v="14881580.129643837"/>
    <x v="2"/>
    <x v="0"/>
    <x v="3"/>
    <x v="0"/>
    <x v="0"/>
    <n v="911.58330000000001"/>
    <n v="14897.157506066642"/>
    <n v="532.04133950238008"/>
  </r>
  <r>
    <x v="6"/>
    <x v="0"/>
    <x v="9"/>
    <d v="2024-07-18T00:00:00"/>
    <n v="1935"/>
    <x v="0"/>
    <x v="0"/>
    <d v="2024-07-18T00:00:00"/>
    <n v="28000"/>
    <n v="485"/>
    <n v="13580000"/>
    <n v="2851800"/>
    <n v="16431800"/>
    <x v="0"/>
    <x v="0"/>
    <x v="0"/>
    <n v="16431800"/>
    <d v="2024-08-17T00:00:00"/>
    <d v="2024-08-17T00:00:00"/>
    <n v="-444"/>
    <x v="2"/>
    <x v="0"/>
    <d v="2024-08-24T00:00:00"/>
    <n v="4500024756"/>
    <d v="2024-06-27T00:00:00"/>
    <n v="560"/>
    <n v="29342.5"/>
    <n v="-1972.3846999999998"/>
    <n v="27370.115300000001"/>
    <n v="-795.86506849315072"/>
    <n v="26574.250231506852"/>
    <x v="0"/>
    <x v="7"/>
    <x v="4"/>
    <x v="0"/>
    <n v="19060"/>
    <n v="7514.2502315068523"/>
    <n v="0.39424187993215387"/>
    <n v="4207980.129643837"/>
    <n v="10673600"/>
    <n v="14881580.129643837"/>
    <x v="2"/>
    <x v="0"/>
    <x v="2"/>
    <x v="0"/>
    <x v="0"/>
    <n v="911.58330000000001"/>
    <n v="14897.157506066642"/>
    <n v="532.04133950238008"/>
  </r>
  <r>
    <x v="6"/>
    <x v="0"/>
    <x v="9"/>
    <d v="2024-07-25T00:00:00"/>
    <n v="1944"/>
    <x v="0"/>
    <x v="0"/>
    <d v="2024-07-24T00:00:00"/>
    <n v="28000"/>
    <n v="485"/>
    <n v="13580000"/>
    <n v="2851800"/>
    <n v="16431800"/>
    <x v="0"/>
    <x v="0"/>
    <x v="0"/>
    <n v="16431800"/>
    <d v="2024-08-24T00:00:00"/>
    <d v="2024-08-24T00:00:00"/>
    <n v="-437"/>
    <x v="2"/>
    <x v="0"/>
    <d v="2024-08-31T00:00:00"/>
    <n v="4500024756"/>
    <d v="2024-06-27T00:00:00"/>
    <n v="560"/>
    <n v="29342.5"/>
    <n v="-1972.3846999999998"/>
    <n v="27370.115300000001"/>
    <n v="-795.86506849315072"/>
    <n v="26574.250231506852"/>
    <x v="0"/>
    <x v="7"/>
    <x v="4"/>
    <x v="0"/>
    <n v="19060"/>
    <n v="7514.2502315068523"/>
    <n v="0.39424187993215387"/>
    <n v="4207980.129643837"/>
    <n v="10673600"/>
    <n v="14881580.129643837"/>
    <x v="2"/>
    <x v="0"/>
    <x v="2"/>
    <x v="0"/>
    <x v="0"/>
    <n v="911.58330000000001"/>
    <n v="14897.157506066642"/>
    <n v="532.04133950238008"/>
  </r>
  <r>
    <x v="6"/>
    <x v="13"/>
    <x v="11"/>
    <d v="2024-07-05T00:00:00"/>
    <n v="514"/>
    <x v="0"/>
    <x v="0"/>
    <d v="2024-07-05T00:00:00"/>
    <n v="222990"/>
    <n v="382.40532633305651"/>
    <n v="85272563.719008267"/>
    <n v="17907238.380991735"/>
    <n v="103179802.09999999"/>
    <x v="0"/>
    <x v="0"/>
    <x v="0"/>
    <n v="103179802.09999999"/>
    <d v="2024-07-12T00:00:00"/>
    <d v="2024-07-05T00:00:00"/>
    <n v="-487"/>
    <x v="3"/>
    <x v="0"/>
    <d v="2024-07-12T00:00:00"/>
    <m/>
    <d v="2024-05-10T00:00:00"/>
    <n v="4459.8"/>
    <n v="23135.522243149917"/>
    <m/>
    <n v="23135.522243149917"/>
    <n v="0"/>
    <n v="23135.522243149917"/>
    <x v="0"/>
    <x v="3"/>
    <x v="3"/>
    <x v="3"/>
    <n v="20825"/>
    <n v="2310.5222431499169"/>
    <n v="0.11094944745017599"/>
    <n v="10304467.1"/>
    <n v="92875335"/>
    <n v="103179802.10000001"/>
    <x v="2"/>
    <x v="0"/>
    <x v="2"/>
    <x v="0"/>
    <x v="0"/>
    <n v="882.75"/>
    <n v="96598.769435296825"/>
    <n v="433.1977641835814"/>
  </r>
  <r>
    <x v="6"/>
    <x v="14"/>
    <x v="11"/>
    <d v="2024-07-12T00:00:00"/>
    <n v="515"/>
    <x v="0"/>
    <x v="0"/>
    <d v="2024-07-12T00:00:00"/>
    <n v="360720"/>
    <n v="383.25250424312082"/>
    <n v="138246843.33057854"/>
    <n v="29031837.09942149"/>
    <n v="167278680.43000004"/>
    <x v="0"/>
    <x v="0"/>
    <x v="0"/>
    <n v="167278680.43000004"/>
    <d v="2024-07-19T00:00:00"/>
    <d v="2024-07-12T00:00:00"/>
    <n v="-480"/>
    <x v="3"/>
    <x v="0"/>
    <d v="2024-07-19T00:00:00"/>
    <m/>
    <d v="2024-05-10T00:00:00"/>
    <n v="7214.4"/>
    <n v="23186.776506708811"/>
    <m/>
    <n v="23186.776506708811"/>
    <n v="-1368.0672844502014"/>
    <n v="21818.709222258611"/>
    <x v="0"/>
    <x v="3"/>
    <x v="3"/>
    <x v="3"/>
    <n v="20825"/>
    <n v="993.70922225861068"/>
    <n v="4.7717129520221446E-2"/>
    <n v="7169015.8130625207"/>
    <n v="150239880"/>
    <n v="157408895.81306252"/>
    <x v="2"/>
    <x v="0"/>
    <x v="2"/>
    <x v="0"/>
    <x v="0"/>
    <n v="882.75"/>
    <n v="156609.28159793661"/>
    <n v="434.1574672819267"/>
  </r>
  <r>
    <x v="6"/>
    <x v="15"/>
    <x v="11"/>
    <d v="2024-07-19T00:00:00"/>
    <n v="516"/>
    <x v="0"/>
    <x v="0"/>
    <d v="2024-07-19T00:00:00"/>
    <n v="536900"/>
    <n v="385.04826969640533"/>
    <n v="206732416.00000003"/>
    <n v="43413807.360000007"/>
    <n v="250146223.36000004"/>
    <x v="0"/>
    <x v="0"/>
    <x v="0"/>
    <n v="250146223.36000004"/>
    <d v="2024-07-26T00:00:00"/>
    <d v="2024-07-19T00:00:00"/>
    <n v="-473"/>
    <x v="3"/>
    <x v="0"/>
    <d v="2024-07-26T00:00:00"/>
    <m/>
    <d v="2024-05-10T00:00:00"/>
    <n v="10738"/>
    <n v="23295.420316632521"/>
    <m/>
    <n v="23295.420316632521"/>
    <n v="-1345.0940136986303"/>
    <n v="21950.326302933889"/>
    <x v="0"/>
    <x v="3"/>
    <x v="3"/>
    <x v="3"/>
    <n v="20825"/>
    <n v="1125.3263029338887"/>
    <n v="5.4037277451807419E-2"/>
    <n v="12083753.840904096"/>
    <n v="223618850"/>
    <n v="235702603.84090409"/>
    <x v="2"/>
    <x v="0"/>
    <x v="2"/>
    <x v="0"/>
    <x v="0"/>
    <n v="882.75"/>
    <n v="234191.35202492215"/>
    <n v="436.19175270054416"/>
  </r>
  <r>
    <x v="6"/>
    <x v="16"/>
    <x v="11"/>
    <d v="2024-07-26T00:00:00"/>
    <n v="521"/>
    <x v="0"/>
    <x v="0"/>
    <d v="2024-07-26T00:00:00"/>
    <n v="448300"/>
    <n v="387.19502579994582"/>
    <n v="173579530.06611571"/>
    <n v="36451701.313884296"/>
    <n v="210031231.38"/>
    <x v="0"/>
    <x v="0"/>
    <x v="0"/>
    <n v="210031231.38"/>
    <d v="2024-08-02T00:00:00"/>
    <d v="2024-07-26T00:00:00"/>
    <n v="-466"/>
    <x v="3"/>
    <x v="0"/>
    <d v="2024-08-02T00:00:00"/>
    <m/>
    <d v="2024-05-10T00:00:00"/>
    <n v="8966"/>
    <n v="23425.299060896719"/>
    <m/>
    <n v="23425.299060896719"/>
    <n v="-1411.716862440258"/>
    <n v="22013.582198456461"/>
    <x v="0"/>
    <x v="3"/>
    <x v="3"/>
    <x v="3"/>
    <n v="20825"/>
    <n v="1188.5821984564609"/>
    <n v="5.7074775436084524E-2"/>
    <n v="10656827.991360629"/>
    <n v="186716950"/>
    <n v="197373777.99136063"/>
    <x v="2"/>
    <x v="0"/>
    <x v="2"/>
    <x v="0"/>
    <x v="0"/>
    <n v="882.75"/>
    <n v="196634.98166651453"/>
    <n v="438.62364859806945"/>
  </r>
  <r>
    <x v="6"/>
    <x v="0"/>
    <x v="6"/>
    <d v="2024-07-12T00:00:00"/>
    <n v="1931"/>
    <x v="0"/>
    <x v="0"/>
    <d v="2024-07-12T00:00:00"/>
    <n v="28000"/>
    <n v="422"/>
    <n v="11816000"/>
    <n v="2481360"/>
    <n v="14297360"/>
    <x v="0"/>
    <x v="0"/>
    <x v="0"/>
    <n v="14297360"/>
    <d v="2024-08-11T00:00:00"/>
    <d v="2024-08-11T00:00:00"/>
    <n v="-450"/>
    <x v="2"/>
    <x v="0"/>
    <d v="2024-08-18T00:00:00"/>
    <n v="12732"/>
    <d v="2024-06-28T00:00:00"/>
    <n v="560"/>
    <n v="25531"/>
    <n v="-3142.8418999999999"/>
    <n v="22388.158100000001"/>
    <n v="-692.48465753424659"/>
    <n v="21695.673442465755"/>
    <x v="0"/>
    <x v="5"/>
    <x v="1"/>
    <x v="0"/>
    <n v="19085"/>
    <n v="2610.6734424657552"/>
    <n v="0.13679190162251786"/>
    <n v="1461977.127780823"/>
    <n v="10687600"/>
    <n v="12149577.127780823"/>
    <x v="2"/>
    <x v="0"/>
    <x v="2"/>
    <x v="0"/>
    <x v="0"/>
    <n v="911.75"/>
    <n v="12959.692898272553"/>
    <n v="462.84617493830547"/>
  </r>
  <r>
    <x v="6"/>
    <x v="0"/>
    <x v="15"/>
    <d v="2024-07-23T00:00:00"/>
    <n v="1942"/>
    <x v="0"/>
    <x v="0"/>
    <d v="2024-07-22T00:00:00"/>
    <n v="28000"/>
    <n v="380"/>
    <n v="10640000"/>
    <n v="2234400"/>
    <n v="12874400"/>
    <x v="0"/>
    <x v="0"/>
    <x v="0"/>
    <n v="12874400"/>
    <d v="2024-07-22T00:00:00"/>
    <d v="2024-08-22T00:00:00"/>
    <n v="-439"/>
    <x v="0"/>
    <x v="4"/>
    <d v="2024-08-29T00:00:00"/>
    <s v="WP 05/07"/>
    <d v="2024-06-03T00:00:00"/>
    <n v="560"/>
    <n v="22990"/>
    <n v="-2182.5011999999997"/>
    <n v="20807.498800000001"/>
    <n v="0"/>
    <n v="20807.498800000001"/>
    <x v="0"/>
    <x v="8"/>
    <x v="1"/>
    <x v="0"/>
    <n v="18990"/>
    <n v="1817.4988000000012"/>
    <n v="9.5708204318062151E-2"/>
    <n v="1017799.3280000007"/>
    <n v="10634400"/>
    <n v="11652199.328000002"/>
    <x v="2"/>
    <x v="0"/>
    <x v="2"/>
    <x v="0"/>
    <x v="0"/>
    <n v="896.41669999999999"/>
    <n v="11869.479897016645"/>
    <n v="423.90999632202301"/>
  </r>
  <r>
    <x v="6"/>
    <x v="0"/>
    <x v="16"/>
    <d v="2024-07-10T00:00:00"/>
    <n v="1925"/>
    <x v="0"/>
    <x v="0"/>
    <d v="2024-07-10T00:00:00"/>
    <n v="28000"/>
    <n v="365"/>
    <n v="10220000"/>
    <n v="2146200"/>
    <n v="12366200"/>
    <x v="0"/>
    <x v="0"/>
    <x v="0"/>
    <n v="12366200"/>
    <d v="2024-08-09T00:00:00"/>
    <d v="2024-08-09T00:00:00"/>
    <n v="-452"/>
    <x v="2"/>
    <x v="3"/>
    <d v="2024-08-16T00:00:00"/>
    <n v="13834"/>
    <d v="2024-07-06T00:00:00"/>
    <n v="560"/>
    <n v="22082.5"/>
    <n v="-2376.2464"/>
    <n v="19706.2536"/>
    <n v="-598.95000000000005"/>
    <n v="19107.303599999999"/>
    <x v="0"/>
    <x v="9"/>
    <x v="1"/>
    <x v="0"/>
    <n v="19290"/>
    <n v="-182.69640000000072"/>
    <n v="-9.4710419906687271E-3"/>
    <n v="-102309.9840000004"/>
    <n v="10802400"/>
    <n v="10700090.015999999"/>
    <x v="2"/>
    <x v="0"/>
    <x v="2"/>
    <x v="0"/>
    <x v="0"/>
    <n v="918.2"/>
    <n v="11130.472663907645"/>
    <n v="397.5168808538445"/>
  </r>
  <r>
    <x v="6"/>
    <x v="0"/>
    <x v="16"/>
    <d v="2024-07-12T00:00:00"/>
    <n v="1928"/>
    <x v="0"/>
    <x v="0"/>
    <d v="2024-07-12T00:00:00"/>
    <n v="28000"/>
    <n v="368"/>
    <n v="10304000"/>
    <n v="2163840"/>
    <n v="12467840"/>
    <x v="0"/>
    <x v="0"/>
    <x v="0"/>
    <n v="12467840"/>
    <d v="2024-07-19T00:00:00"/>
    <d v="2024-08-11T00:00:00"/>
    <n v="-450"/>
    <x v="3"/>
    <x v="3"/>
    <d v="2024-08-18T00:00:00"/>
    <n v="12990"/>
    <d v="2024-07-06T00:00:00"/>
    <n v="560"/>
    <n v="22264"/>
    <n v="-2576.8764999999994"/>
    <n v="19687.123500000002"/>
    <n v="-140.90367123287672"/>
    <n v="19546.219828767124"/>
    <x v="0"/>
    <x v="10"/>
    <x v="1"/>
    <x v="0"/>
    <n v="19290"/>
    <n v="256.21982876712354"/>
    <n v="1.3282520931421571E-2"/>
    <n v="143483.10410958919"/>
    <n v="10802400"/>
    <n v="10945883.104109589"/>
    <x v="2"/>
    <x v="0"/>
    <x v="5"/>
    <x v="0"/>
    <x v="0"/>
    <n v="918.2"/>
    <n v="11221.956000871269"/>
    <n v="400.78414288825962"/>
  </r>
  <r>
    <x v="6"/>
    <x v="0"/>
    <x v="16"/>
    <d v="2024-07-17T00:00:00"/>
    <n v="1936"/>
    <x v="0"/>
    <x v="0"/>
    <d v="2024-07-17T00:00:00"/>
    <n v="28000"/>
    <n v="368"/>
    <n v="10304000"/>
    <n v="2163840"/>
    <n v="12467840"/>
    <x v="0"/>
    <x v="0"/>
    <x v="0"/>
    <n v="12467840"/>
    <d v="2024-07-24T00:00:00"/>
    <d v="2024-08-16T00:00:00"/>
    <n v="-445"/>
    <x v="3"/>
    <x v="3"/>
    <d v="2024-08-23T00:00:00"/>
    <n v="12991"/>
    <d v="2024-07-06T00:00:00"/>
    <n v="560"/>
    <n v="22264"/>
    <n v="-2576.8764999999994"/>
    <n v="19687.123500000002"/>
    <n v="-140.90367123287672"/>
    <n v="19546.219828767124"/>
    <x v="0"/>
    <x v="10"/>
    <x v="1"/>
    <x v="0"/>
    <n v="19290"/>
    <n v="256.21982876712354"/>
    <n v="1.3282520931421571E-2"/>
    <n v="143483.10410958919"/>
    <n v="10802400"/>
    <n v="10945883.104109589"/>
    <x v="2"/>
    <x v="0"/>
    <x v="2"/>
    <x v="0"/>
    <x v="0"/>
    <n v="918.2"/>
    <n v="11221.956000871269"/>
    <n v="400.78414288825962"/>
  </r>
  <r>
    <x v="6"/>
    <x v="0"/>
    <x v="16"/>
    <d v="2024-07-17T00:00:00"/>
    <n v="1937"/>
    <x v="0"/>
    <x v="0"/>
    <d v="2024-07-17T00:00:00"/>
    <n v="28000"/>
    <n v="368"/>
    <n v="10304000"/>
    <n v="2163840"/>
    <n v="12467840"/>
    <x v="0"/>
    <x v="0"/>
    <x v="0"/>
    <n v="12467840"/>
    <d v="2024-07-24T00:00:00"/>
    <d v="2024-08-16T00:00:00"/>
    <n v="-445"/>
    <x v="3"/>
    <x v="3"/>
    <d v="2024-08-23T00:00:00"/>
    <n v="12992"/>
    <d v="2024-07-06T00:00:00"/>
    <n v="560"/>
    <n v="22264"/>
    <n v="-2576.8764999999994"/>
    <n v="19687.123500000002"/>
    <n v="-140.90367123287672"/>
    <n v="19546.219828767124"/>
    <x v="0"/>
    <x v="10"/>
    <x v="1"/>
    <x v="0"/>
    <n v="19290"/>
    <n v="256.21982876712354"/>
    <n v="1.3282520931421571E-2"/>
    <n v="143483.10410958919"/>
    <n v="10802400"/>
    <n v="10945883.104109589"/>
    <x v="2"/>
    <x v="0"/>
    <x v="4"/>
    <x v="0"/>
    <x v="0"/>
    <n v="918.2"/>
    <n v="11221.956000871269"/>
    <n v="400.78414288825962"/>
  </r>
  <r>
    <x v="6"/>
    <x v="0"/>
    <x v="17"/>
    <d v="2024-07-13T00:00:00"/>
    <n v="518"/>
    <x v="0"/>
    <x v="0"/>
    <d v="2024-07-11T00:00:00"/>
    <n v="28000"/>
    <n v="410"/>
    <n v="11480000"/>
    <n v="2410800"/>
    <n v="13890800"/>
    <x v="0"/>
    <x v="0"/>
    <x v="0"/>
    <n v="13890800"/>
    <d v="2024-08-27T00:00:00"/>
    <d v="2024-08-03T00:00:00"/>
    <n v="-458"/>
    <x v="5"/>
    <x v="0"/>
    <d v="2024-08-10T00:00:00"/>
    <n v="300175960"/>
    <d v="2024-07-05T00:00:00"/>
    <n v="560"/>
    <n v="24805"/>
    <n v="-2384.4139"/>
    <n v="22420.5861"/>
    <n v="-1009.1897260273972"/>
    <n v="21411.396373972602"/>
    <x v="3"/>
    <x v="11"/>
    <x v="1"/>
    <x v="0"/>
    <n v="19265"/>
    <n v="2146.3963739726023"/>
    <n v="0.11141429400324943"/>
    <n v="1201981.9694246573"/>
    <n v="10788400"/>
    <n v="11990381.969424658"/>
    <x v="2"/>
    <x v="0"/>
    <x v="3"/>
    <x v="0"/>
    <x v="0"/>
    <n v="918.25"/>
    <n v="12502.041927579636"/>
    <n v="446.50149741355841"/>
  </r>
  <r>
    <x v="6"/>
    <x v="0"/>
    <x v="17"/>
    <d v="2024-07-17T00:00:00"/>
    <n v="519"/>
    <x v="0"/>
    <x v="0"/>
    <d v="2024-07-15T00:00:00"/>
    <n v="28000"/>
    <n v="410"/>
    <n v="11480000"/>
    <n v="2410800"/>
    <n v="13890800"/>
    <x v="0"/>
    <x v="0"/>
    <x v="0"/>
    <n v="13890800"/>
    <d v="2024-08-31T00:00:00"/>
    <d v="2024-08-07T00:00:00"/>
    <n v="-454"/>
    <x v="5"/>
    <x v="0"/>
    <d v="2024-08-14T00:00:00"/>
    <n v="300175960"/>
    <d v="2024-07-05T00:00:00"/>
    <n v="560"/>
    <n v="24805"/>
    <n v="-2384.4139"/>
    <n v="22420.5861"/>
    <n v="-1009.1897260273972"/>
    <n v="21411.396373972602"/>
    <x v="3"/>
    <x v="11"/>
    <x v="1"/>
    <x v="0"/>
    <n v="19265"/>
    <n v="2146.3963739726023"/>
    <n v="0.11141429400324943"/>
    <n v="1201981.9694246573"/>
    <n v="10788400"/>
    <n v="11990381.969424658"/>
    <x v="2"/>
    <x v="0"/>
    <x v="3"/>
    <x v="0"/>
    <x v="0"/>
    <n v="918.25"/>
    <n v="12502.041927579636"/>
    <n v="446.50149741355841"/>
  </r>
  <r>
    <x v="6"/>
    <x v="0"/>
    <x v="4"/>
    <d v="2024-07-11T00:00:00"/>
    <s v="V1"/>
    <x v="0"/>
    <x v="0"/>
    <d v="2024-07-11T00:00:00"/>
    <n v="40000"/>
    <n v="370"/>
    <n v="14800000"/>
    <m/>
    <n v="14800000"/>
    <x v="0"/>
    <x v="0"/>
    <x v="0"/>
    <n v="14800000"/>
    <d v="2024-07-11T00:00:00"/>
    <d v="2024-07-11T00:00:00"/>
    <n v="-481"/>
    <x v="0"/>
    <x v="2"/>
    <d v="2024-07-18T00:00:00"/>
    <s v="SOC  1"/>
    <d v="2024-07-11T00:00:00"/>
    <n v="800"/>
    <n v="18500"/>
    <n v="0"/>
    <n v="18500"/>
    <n v="0"/>
    <n v="18500"/>
    <x v="0"/>
    <x v="3"/>
    <x v="3"/>
    <x v="2"/>
    <n v="16066.115702479339"/>
    <n v="2433.8842975206608"/>
    <n v="0.15149176954732502"/>
    <n v="1947107.4380165287"/>
    <n v="12852892.561983472"/>
    <n v="14800000"/>
    <x v="2"/>
    <x v="0"/>
    <x v="3"/>
    <x v="0"/>
    <x v="0"/>
    <n v="920.5"/>
    <n v="16078.218359587181"/>
    <n v="401.95545898967953"/>
  </r>
  <r>
    <x v="6"/>
    <x v="0"/>
    <x v="4"/>
    <d v="2024-07-12T00:00:00"/>
    <s v="V2"/>
    <x v="0"/>
    <x v="0"/>
    <d v="2024-07-12T00:00:00"/>
    <n v="40000"/>
    <n v="370"/>
    <n v="14800000"/>
    <m/>
    <n v="14800000"/>
    <x v="0"/>
    <x v="0"/>
    <x v="0"/>
    <n v="14800000"/>
    <d v="2024-07-12T00:00:00"/>
    <d v="2024-07-12T00:00:00"/>
    <n v="-480"/>
    <x v="0"/>
    <x v="2"/>
    <d v="2024-07-19T00:00:00"/>
    <s v="SOC  2"/>
    <d v="2024-07-12T00:00:00"/>
    <n v="800"/>
    <n v="18500"/>
    <n v="0"/>
    <n v="18500"/>
    <n v="0"/>
    <n v="18500"/>
    <x v="0"/>
    <x v="3"/>
    <x v="3"/>
    <x v="2"/>
    <n v="16107.438016528926"/>
    <n v="2392.5619834710742"/>
    <n v="0.14853771164699836"/>
    <n v="1914049.5867768594"/>
    <n v="12885950.41322314"/>
    <n v="14800000"/>
    <x v="2"/>
    <x v="0"/>
    <x v="3"/>
    <x v="0"/>
    <x v="0"/>
    <n v="921.75"/>
    <n v="16056.414429075128"/>
    <n v="401.4103607268782"/>
  </r>
  <r>
    <x v="6"/>
    <x v="0"/>
    <x v="4"/>
    <d v="2024-07-15T00:00:00"/>
    <s v="V3"/>
    <x v="0"/>
    <x v="0"/>
    <d v="2024-07-15T00:00:00"/>
    <n v="40000"/>
    <n v="370"/>
    <n v="14800000"/>
    <m/>
    <n v="14800000"/>
    <x v="0"/>
    <x v="0"/>
    <x v="0"/>
    <n v="14800000"/>
    <d v="2024-07-15T00:00:00"/>
    <d v="2024-07-15T00:00:00"/>
    <n v="-477"/>
    <x v="0"/>
    <x v="2"/>
    <d v="2024-07-22T00:00:00"/>
    <s v="SOC 3"/>
    <d v="2024-07-15T00:00:00"/>
    <n v="800"/>
    <n v="18500"/>
    <n v="0"/>
    <n v="18500"/>
    <n v="0"/>
    <n v="18500"/>
    <x v="0"/>
    <x v="3"/>
    <x v="3"/>
    <x v="2"/>
    <n v="16231.404958677687"/>
    <n v="2268.5950413223127"/>
    <n v="0.13976578411405294"/>
    <n v="1814876.0330578501"/>
    <n v="12985123.96694215"/>
    <n v="14800000"/>
    <x v="2"/>
    <x v="0"/>
    <x v="3"/>
    <x v="0"/>
    <x v="0"/>
    <n v="922.91669999999999"/>
    <n v="16036.116802307293"/>
    <n v="400.90292005768231"/>
  </r>
  <r>
    <x v="6"/>
    <x v="0"/>
    <x v="4"/>
    <d v="2024-07-16T00:00:00"/>
    <s v="V4"/>
    <x v="0"/>
    <x v="0"/>
    <d v="2024-07-16T00:00:00"/>
    <n v="40000"/>
    <n v="370"/>
    <n v="14800000"/>
    <m/>
    <n v="14800000"/>
    <x v="0"/>
    <x v="0"/>
    <x v="0"/>
    <n v="14800000"/>
    <d v="2024-07-16T00:00:00"/>
    <d v="2024-07-16T00:00:00"/>
    <n v="-476"/>
    <x v="0"/>
    <x v="2"/>
    <d v="2024-07-23T00:00:00"/>
    <s v="SOC 4"/>
    <d v="2024-07-16T00:00:00"/>
    <n v="800"/>
    <n v="18500"/>
    <n v="0"/>
    <n v="18500"/>
    <n v="0"/>
    <n v="18500"/>
    <x v="0"/>
    <x v="3"/>
    <x v="3"/>
    <x v="2"/>
    <n v="16272.727272727274"/>
    <n v="2227.2727272727261"/>
    <n v="0.13687150837988815"/>
    <n v="1781818.181818181"/>
    <n v="13018181.818181818"/>
    <n v="14800000"/>
    <x v="2"/>
    <x v="0"/>
    <x v="3"/>
    <x v="0"/>
    <x v="0"/>
    <n v="923.5"/>
    <n v="16025.988088792637"/>
    <n v="400.64970221981594"/>
  </r>
  <r>
    <x v="6"/>
    <x v="0"/>
    <x v="4"/>
    <d v="2024-07-17T00:00:00"/>
    <s v="V5"/>
    <x v="0"/>
    <x v="0"/>
    <d v="2024-07-17T00:00:00"/>
    <n v="40000"/>
    <n v="370"/>
    <n v="14800000"/>
    <m/>
    <n v="14800000"/>
    <x v="0"/>
    <x v="0"/>
    <x v="0"/>
    <n v="14800000"/>
    <d v="2024-07-17T00:00:00"/>
    <d v="2024-07-17T00:00:00"/>
    <n v="-475"/>
    <x v="0"/>
    <x v="2"/>
    <d v="2024-07-24T00:00:00"/>
    <s v="SOC 5"/>
    <d v="2024-07-17T00:00:00"/>
    <n v="800"/>
    <n v="18500"/>
    <n v="0"/>
    <n v="18500"/>
    <n v="0"/>
    <n v="18500"/>
    <x v="0"/>
    <x v="3"/>
    <x v="3"/>
    <x v="2"/>
    <n v="16314.04958677686"/>
    <n v="2185.9504132231395"/>
    <n v="0.13399189463019234"/>
    <n v="1748760.3305785116"/>
    <n v="13051239.669421488"/>
    <n v="14800000"/>
    <x v="2"/>
    <x v="0"/>
    <x v="3"/>
    <x v="0"/>
    <x v="0"/>
    <n v="923.83330000000001"/>
    <n v="16020.206242836235"/>
    <n v="400.50515607090585"/>
  </r>
  <r>
    <x v="6"/>
    <x v="0"/>
    <x v="4"/>
    <d v="2024-07-18T00:00:00"/>
    <s v="V6"/>
    <x v="0"/>
    <x v="0"/>
    <d v="2024-07-18T00:00:00"/>
    <n v="40000"/>
    <n v="370"/>
    <n v="14800000"/>
    <m/>
    <n v="14800000"/>
    <x v="0"/>
    <x v="0"/>
    <x v="0"/>
    <n v="14800000"/>
    <d v="2024-07-18T00:00:00"/>
    <d v="2024-07-18T00:00:00"/>
    <n v="-474"/>
    <x v="0"/>
    <x v="2"/>
    <d v="2024-07-25T00:00:00"/>
    <s v="SOC 6"/>
    <d v="2024-07-18T00:00:00"/>
    <n v="800"/>
    <n v="18500"/>
    <n v="0"/>
    <n v="18500"/>
    <n v="0"/>
    <n v="18500"/>
    <x v="0"/>
    <x v="3"/>
    <x v="3"/>
    <x v="2"/>
    <n v="16338.842975206611"/>
    <n v="2161.1570247933887"/>
    <n v="0.13227111785533641"/>
    <n v="1728925.6198347108"/>
    <n v="13071074.380165288"/>
    <n v="14800000"/>
    <x v="2"/>
    <x v="0"/>
    <x v="2"/>
    <x v="0"/>
    <x v="0"/>
    <n v="924.75"/>
    <n v="16004.325493376587"/>
    <n v="400.10813733441466"/>
  </r>
  <r>
    <x v="6"/>
    <x v="0"/>
    <x v="18"/>
    <d v="2024-07-12T00:00:00"/>
    <n v="1929"/>
    <x v="0"/>
    <x v="0"/>
    <d v="2024-07-12T00:00:00"/>
    <n v="28000"/>
    <n v="350"/>
    <n v="9800000"/>
    <n v="2058000"/>
    <n v="11858000"/>
    <x v="0"/>
    <x v="0"/>
    <x v="0"/>
    <n v="11858000"/>
    <d v="2024-09-10T00:00:00"/>
    <d v="2024-08-26T00:00:00"/>
    <n v="-435"/>
    <x v="6"/>
    <x v="0"/>
    <d v="2024-09-02T00:00:00"/>
    <n v="11335"/>
    <d v="2024-07-08T00:00:00"/>
    <n v="560"/>
    <n v="21175"/>
    <n v="-1782.3058000000001"/>
    <n v="19392.694199999998"/>
    <n v="-1148.6712328767123"/>
    <n v="18244.022967123285"/>
    <x v="0"/>
    <x v="12"/>
    <x v="0"/>
    <x v="0"/>
    <n v="19340"/>
    <n v="-1095.9770328767154"/>
    <n v="-5.6668926208723658E-2"/>
    <n v="-613747.13841096056"/>
    <n v="10830400"/>
    <n v="10216652.861589039"/>
    <x v="2"/>
    <x v="0"/>
    <x v="2"/>
    <x v="0"/>
    <x v="0"/>
    <n v="918.91669999999999"/>
    <n v="10664.731634543154"/>
    <n v="380.88327266225548"/>
  </r>
  <r>
    <x v="6"/>
    <x v="0"/>
    <x v="18"/>
    <d v="2024-07-18T00:00:00"/>
    <n v="1943"/>
    <x v="0"/>
    <x v="0"/>
    <d v="2024-07-16T00:00:00"/>
    <n v="28000"/>
    <n v="350"/>
    <n v="9800000"/>
    <n v="2058000"/>
    <n v="11858000"/>
    <x v="0"/>
    <x v="0"/>
    <x v="0"/>
    <n v="11858000"/>
    <d v="2024-09-16T00:00:00"/>
    <d v="2024-08-30T00:00:00"/>
    <n v="-431"/>
    <x v="6"/>
    <x v="0"/>
    <d v="2024-09-06T00:00:00"/>
    <n v="11335"/>
    <d v="2024-07-08T00:00:00"/>
    <n v="560"/>
    <n v="21175"/>
    <n v="-1782.3058000000001"/>
    <n v="19392.694199999998"/>
    <n v="-1148.6712328767123"/>
    <n v="18244.022967123285"/>
    <x v="0"/>
    <x v="12"/>
    <x v="0"/>
    <x v="0"/>
    <n v="19340"/>
    <n v="-1095.9770328767154"/>
    <n v="-5.6668926208723658E-2"/>
    <n v="-613747.13841096056"/>
    <n v="10830400"/>
    <n v="10216652.861589039"/>
    <x v="2"/>
    <x v="0"/>
    <x v="2"/>
    <x v="0"/>
    <x v="0"/>
    <n v="918.91669999999999"/>
    <n v="10664.731634543154"/>
    <n v="380.88327266225548"/>
  </r>
  <r>
    <x v="6"/>
    <x v="0"/>
    <x v="18"/>
    <d v="2024-07-29T00:00:00"/>
    <n v="1953"/>
    <x v="0"/>
    <x v="0"/>
    <d v="2024-07-22T00:00:00"/>
    <n v="28000"/>
    <n v="350"/>
    <n v="9800000"/>
    <n v="2058000"/>
    <n v="11858000"/>
    <x v="0"/>
    <x v="0"/>
    <x v="0"/>
    <n v="11858000"/>
    <d v="2024-09-27T00:00:00"/>
    <d v="2024-09-05T00:00:00"/>
    <n v="-425"/>
    <x v="6"/>
    <x v="0"/>
    <d v="2024-09-12T00:00:00"/>
    <n v="11335"/>
    <d v="2024-07-08T00:00:00"/>
    <n v="560"/>
    <n v="21175"/>
    <n v="-1782.3058000000001"/>
    <n v="19392.694199999998"/>
    <n v="-1148.6712328767123"/>
    <n v="18244.022967123285"/>
    <x v="0"/>
    <x v="12"/>
    <x v="0"/>
    <x v="0"/>
    <n v="19340"/>
    <n v="-1095.9770328767154"/>
    <n v="-5.6668926208723658E-2"/>
    <n v="-613747.13841096056"/>
    <n v="10830400"/>
    <n v="10216652.861589039"/>
    <x v="2"/>
    <x v="0"/>
    <x v="2"/>
    <x v="0"/>
    <x v="0"/>
    <n v="918.91669999999999"/>
    <n v="10664.731634543154"/>
    <n v="380.88327266225548"/>
  </r>
  <r>
    <x v="6"/>
    <x v="0"/>
    <x v="18"/>
    <d v="2024-07-22T00:00:00"/>
    <n v="1958"/>
    <x v="0"/>
    <x v="0"/>
    <d v="2024-07-29T00:00:00"/>
    <n v="28000"/>
    <n v="350"/>
    <n v="9800000"/>
    <n v="2058000"/>
    <n v="11858000"/>
    <x v="0"/>
    <x v="0"/>
    <x v="0"/>
    <n v="11858000"/>
    <d v="2024-09-20T00:00:00"/>
    <d v="2024-09-12T00:00:00"/>
    <n v="-418"/>
    <x v="6"/>
    <x v="0"/>
    <d v="2024-09-19T00:00:00"/>
    <n v="11335"/>
    <d v="2024-07-08T00:00:00"/>
    <n v="560"/>
    <n v="21175"/>
    <n v="-1782.3058000000001"/>
    <n v="19392.694199999998"/>
    <n v="-1148.6712328767123"/>
    <n v="18244.022967123285"/>
    <x v="0"/>
    <x v="12"/>
    <x v="0"/>
    <x v="0"/>
    <n v="19340"/>
    <n v="-1095.9770328767154"/>
    <n v="-5.6668926208723658E-2"/>
    <n v="-613747.13841096056"/>
    <n v="10830400"/>
    <n v="10216652.861589039"/>
    <x v="2"/>
    <x v="0"/>
    <x v="2"/>
    <x v="0"/>
    <x v="0"/>
    <n v="918.91669999999999"/>
    <n v="10664.731634543154"/>
    <n v="380.88327266225548"/>
  </r>
  <r>
    <x v="6"/>
    <x v="0"/>
    <x v="18"/>
    <d v="2024-08-01T00:00:00"/>
    <n v="1960"/>
    <x v="0"/>
    <x v="0"/>
    <d v="2024-07-30T00:00:00"/>
    <n v="28000"/>
    <n v="405"/>
    <n v="11340000"/>
    <n v="2381400"/>
    <n v="13721400"/>
    <x v="0"/>
    <x v="0"/>
    <x v="0"/>
    <n v="13721400"/>
    <d v="2024-08-01T00:00:00"/>
    <d v="2024-08-03T00:00:00"/>
    <n v="-458"/>
    <x v="0"/>
    <x v="0"/>
    <d v="2024-08-10T00:00:00"/>
    <n v="11380"/>
    <d v="2024-08-01T00:00:00"/>
    <n v="560"/>
    <n v="24502.5"/>
    <n v="-1792.2882999999999"/>
    <n v="22710.2117"/>
    <n v="0"/>
    <n v="22710.2117"/>
    <x v="0"/>
    <x v="12"/>
    <x v="0"/>
    <x v="0"/>
    <n v="23190"/>
    <n v="-479.78830000000016"/>
    <n v="-2.0689448037947367E-2"/>
    <n v="-268681.44800000009"/>
    <n v="12986400"/>
    <n v="12717718.551999999"/>
    <x v="2"/>
    <x v="0"/>
    <x v="2"/>
    <x v="0"/>
    <x v="0"/>
    <n v="933.41669999999999"/>
    <n v="12148.914841570759"/>
    <n v="433.88981577038425"/>
  </r>
  <r>
    <x v="6"/>
    <x v="0"/>
    <x v="3"/>
    <d v="2024-08-13T00:00:00"/>
    <n v="1991"/>
    <x v="0"/>
    <x v="0"/>
    <d v="2024-08-12T00:00:00"/>
    <n v="28000"/>
    <n v="412"/>
    <n v="11536000"/>
    <n v="2422560"/>
    <n v="13958560"/>
    <x v="0"/>
    <x v="0"/>
    <x v="0"/>
    <n v="13958560"/>
    <d v="2024-09-11T00:00:00"/>
    <d v="2024-09-07T00:00:00"/>
    <n v="-423"/>
    <x v="2"/>
    <x v="0"/>
    <d v="2024-09-14T00:00:00"/>
    <n v="16316"/>
    <d v="2024-07-10T00:00:00"/>
    <n v="560"/>
    <n v="24926"/>
    <n v="0"/>
    <n v="24926"/>
    <n v="-676.07506849315075"/>
    <n v="24249.924931506848"/>
    <x v="0"/>
    <x v="3"/>
    <x v="2"/>
    <x v="0"/>
    <n v="19390"/>
    <n v="4859.9249315068482"/>
    <n v="0.25064079069143097"/>
    <n v="2721557.9616438351"/>
    <n v="10858400"/>
    <n v="13579957.961643836"/>
    <x v="2"/>
    <x v="0"/>
    <x v="2"/>
    <x v="0"/>
    <x v="0"/>
    <n v="919.83330000000001"/>
    <n v="12541.402882457071"/>
    <n v="447.90724580203823"/>
  </r>
  <r>
    <x v="6"/>
    <x v="0"/>
    <x v="19"/>
    <d v="2024-07-18T00:00:00"/>
    <n v="1932"/>
    <x v="0"/>
    <x v="0"/>
    <d v="2024-07-18T00:00:00"/>
    <n v="27500"/>
    <n v="388.2"/>
    <n v="10675500"/>
    <n v="2241855"/>
    <n v="12917355"/>
    <x v="0"/>
    <x v="0"/>
    <x v="0"/>
    <n v="12917355"/>
    <d v="2024-08-17T00:00:00"/>
    <d v="2024-08-17T00:00:00"/>
    <n v="-444"/>
    <x v="2"/>
    <x v="0"/>
    <d v="2024-08-24T00:00:00"/>
    <n v="6206"/>
    <d v="2024-07-11T00:00:00"/>
    <n v="550"/>
    <n v="23486.1"/>
    <n v="-2380.4571999999998"/>
    <n v="21105.642799999998"/>
    <n v="-637.02024657534241"/>
    <n v="20468.622553424655"/>
    <x v="2"/>
    <x v="13"/>
    <x v="5"/>
    <x v="0"/>
    <n v="19440"/>
    <n v="1028.6225534246551"/>
    <n v="5.2912682789334031E-2"/>
    <n v="565742.40438356029"/>
    <n v="10692000"/>
    <n v="11257742.404383561"/>
    <x v="2"/>
    <x v="0"/>
    <x v="2"/>
    <x v="0"/>
    <x v="0"/>
    <n v="920.5"/>
    <n v="11597.501357957632"/>
    <n v="421.72732210755026"/>
  </r>
  <r>
    <x v="6"/>
    <x v="0"/>
    <x v="20"/>
    <d v="2024-07-19T00:00:00"/>
    <n v="517"/>
    <x v="0"/>
    <x v="0"/>
    <d v="2024-07-19T00:00:00"/>
    <n v="27500"/>
    <n v="330"/>
    <n v="9075000"/>
    <n v="1905750"/>
    <n v="10980750"/>
    <x v="0"/>
    <x v="0"/>
    <x v="0"/>
    <n v="10980750"/>
    <d v="2024-09-17T00:00:00"/>
    <d v="2024-09-17T00:00:00"/>
    <n v="-413"/>
    <x v="6"/>
    <x v="0"/>
    <d v="2024-09-24T00:00:00"/>
    <n v="615716"/>
    <d v="2024-07-12T00:00:00"/>
    <n v="550"/>
    <n v="19965"/>
    <n v="0"/>
    <n v="19965"/>
    <n v="-1083.0328767123287"/>
    <n v="18881.967123287672"/>
    <x v="2"/>
    <x v="3"/>
    <x v="2"/>
    <x v="0"/>
    <n v="19490"/>
    <n v="-608.03287671232829"/>
    <n v="-3.1197171714331895E-2"/>
    <n v="-334418.08219178056"/>
    <n v="10719500"/>
    <n v="10385081.91780822"/>
    <x v="2"/>
    <x v="0"/>
    <x v="2"/>
    <x v="0"/>
    <x v="0"/>
    <n v="921.75"/>
    <n v="9845.4027664768109"/>
    <n v="358.01464605370222"/>
  </r>
  <r>
    <x v="6"/>
    <x v="0"/>
    <x v="0"/>
    <d v="2024-07-19T00:00:00"/>
    <n v="1938"/>
    <x v="0"/>
    <x v="0"/>
    <d v="2024-07-19T00:00:00"/>
    <n v="29680"/>
    <n v="360"/>
    <n v="10684800"/>
    <n v="2243808"/>
    <n v="12928608"/>
    <x v="0"/>
    <x v="0"/>
    <x v="0"/>
    <n v="12928608"/>
    <d v="2024-08-18T00:00:00"/>
    <d v="2024-08-18T00:00:00"/>
    <n v="-443"/>
    <x v="2"/>
    <x v="0"/>
    <d v="2024-08-25T00:00:00"/>
    <s v="00001-00000501"/>
    <d v="2024-07-15T00:00:00"/>
    <n v="593.6"/>
    <n v="21780"/>
    <n v="-1940.84"/>
    <n v="19839.16"/>
    <n v="-590.74520547945212"/>
    <n v="19248.414794520548"/>
    <x v="0"/>
    <x v="0"/>
    <x v="0"/>
    <x v="0"/>
    <n v="19640"/>
    <n v="-391.58520547945227"/>
    <n v="-1.9938146918505706E-2"/>
    <n v="-232444.97797260288"/>
    <n v="11658304"/>
    <n v="11425859.022027398"/>
    <x v="2"/>
    <x v="0"/>
    <x v="3"/>
    <x v="0"/>
    <x v="0"/>
    <n v="922.91669999999999"/>
    <n v="11577.209514141417"/>
    <n v="390.06770600206931"/>
  </r>
  <r>
    <x v="6"/>
    <x v="0"/>
    <x v="0"/>
    <d v="2024-07-25T00:00:00"/>
    <n v="1945"/>
    <x v="0"/>
    <x v="0"/>
    <d v="2024-07-23T00:00:00"/>
    <n v="30000"/>
    <n v="360"/>
    <n v="10800000"/>
    <n v="2268000"/>
    <n v="13068000"/>
    <x v="0"/>
    <x v="0"/>
    <x v="0"/>
    <n v="13068000"/>
    <d v="2024-08-22T00:00:00"/>
    <d v="2024-08-22T00:00:00"/>
    <n v="-439"/>
    <x v="2"/>
    <x v="0"/>
    <d v="2024-08-29T00:00:00"/>
    <s v="00001-00000501"/>
    <d v="2024-07-15T00:00:00"/>
    <n v="600"/>
    <n v="21780"/>
    <n v="-1940.84"/>
    <n v="19839.16"/>
    <n v="-590.74520547945212"/>
    <n v="19248.414794520548"/>
    <x v="0"/>
    <x v="0"/>
    <x v="0"/>
    <x v="0"/>
    <n v="19640"/>
    <n v="-391.58520547945227"/>
    <n v="-1.9938146918505706E-2"/>
    <n v="-234951.12328767136"/>
    <n v="11784000"/>
    <n v="11549048.876712328"/>
    <x v="2"/>
    <x v="0"/>
    <x v="3"/>
    <x v="0"/>
    <x v="0"/>
    <n v="922.91669999999999"/>
    <n v="11702.03118006208"/>
    <n v="390.06770600206931"/>
  </r>
  <r>
    <x v="6"/>
    <x v="0"/>
    <x v="0"/>
    <d v="2024-07-26T00:00:00"/>
    <n v="1947"/>
    <x v="0"/>
    <x v="0"/>
    <d v="2024-07-25T00:00:00"/>
    <n v="30000"/>
    <n v="360"/>
    <n v="10800000"/>
    <n v="2268000"/>
    <n v="13068000"/>
    <x v="0"/>
    <x v="0"/>
    <x v="0"/>
    <n v="13068000"/>
    <d v="2024-08-24T00:00:00"/>
    <d v="2024-08-24T00:00:00"/>
    <n v="-437"/>
    <x v="2"/>
    <x v="0"/>
    <d v="2024-08-31T00:00:00"/>
    <s v="00001-00000501"/>
    <d v="2024-07-15T00:00:00"/>
    <n v="600"/>
    <n v="21780"/>
    <n v="-1940.84"/>
    <n v="19839.16"/>
    <n v="-590.74520547945212"/>
    <n v="19248.414794520548"/>
    <x v="0"/>
    <x v="0"/>
    <x v="0"/>
    <x v="0"/>
    <n v="19640"/>
    <n v="-391.58520547945227"/>
    <n v="-1.9938146918505706E-2"/>
    <n v="-234951.12328767136"/>
    <n v="11784000"/>
    <n v="11549048.876712328"/>
    <x v="2"/>
    <x v="0"/>
    <x v="3"/>
    <x v="0"/>
    <x v="0"/>
    <n v="922.91669999999999"/>
    <n v="11702.03118006208"/>
    <n v="390.06770600206931"/>
  </r>
  <r>
    <x v="6"/>
    <x v="0"/>
    <x v="0"/>
    <d v="2024-07-30T00:00:00"/>
    <n v="1956"/>
    <x v="0"/>
    <x v="0"/>
    <d v="2024-07-29T00:00:00"/>
    <n v="30000"/>
    <n v="360"/>
    <n v="10800000"/>
    <n v="2268000"/>
    <n v="13068000"/>
    <x v="0"/>
    <x v="0"/>
    <x v="0"/>
    <n v="13068000"/>
    <d v="2024-08-28T00:00:00"/>
    <d v="2024-08-28T00:00:00"/>
    <n v="-433"/>
    <x v="2"/>
    <x v="0"/>
    <d v="2024-09-04T00:00:00"/>
    <s v="00001-00000501"/>
    <d v="2024-07-15T00:00:00"/>
    <n v="600"/>
    <n v="21780"/>
    <n v="-1940.84"/>
    <n v="19839.16"/>
    <n v="-590.74520547945212"/>
    <n v="19248.414794520548"/>
    <x v="0"/>
    <x v="0"/>
    <x v="0"/>
    <x v="0"/>
    <n v="19640"/>
    <n v="-391.58520547945227"/>
    <n v="-1.9938146918505706E-2"/>
    <n v="-234951.12328767136"/>
    <n v="11784000"/>
    <n v="11549048.876712328"/>
    <x v="2"/>
    <x v="0"/>
    <x v="3"/>
    <x v="0"/>
    <x v="0"/>
    <n v="922.91669999999999"/>
    <n v="11702.03118006208"/>
    <n v="390.06770600206931"/>
  </r>
  <r>
    <x v="6"/>
    <x v="0"/>
    <x v="0"/>
    <d v="2024-08-01T00:00:00"/>
    <n v="1967"/>
    <x v="0"/>
    <x v="0"/>
    <d v="2024-08-01T00:00:00"/>
    <n v="30000"/>
    <n v="360"/>
    <n v="10800000"/>
    <n v="2268000"/>
    <n v="13068000"/>
    <x v="0"/>
    <x v="0"/>
    <x v="0"/>
    <n v="13068000"/>
    <d v="2024-08-31T00:00:00"/>
    <d v="2024-08-31T00:00:00"/>
    <n v="-430"/>
    <x v="2"/>
    <x v="0"/>
    <d v="2024-09-07T00:00:00"/>
    <s v="00001-00000501"/>
    <d v="2024-07-15T00:00:00"/>
    <n v="600"/>
    <n v="21780"/>
    <n v="-1940.84"/>
    <n v="19839.16"/>
    <n v="-590.74520547945212"/>
    <n v="19248.414794520548"/>
    <x v="0"/>
    <x v="0"/>
    <x v="0"/>
    <x v="0"/>
    <n v="19640"/>
    <n v="-391.58520547945227"/>
    <n v="-1.9938146918505706E-2"/>
    <n v="-234951.12328767136"/>
    <n v="11784000"/>
    <n v="11549048.876712328"/>
    <x v="2"/>
    <x v="0"/>
    <x v="3"/>
    <x v="0"/>
    <x v="0"/>
    <n v="922.91669999999999"/>
    <n v="11702.03118006208"/>
    <n v="390.06770600206931"/>
  </r>
  <r>
    <x v="6"/>
    <x v="0"/>
    <x v="6"/>
    <d v="2024-07-29T00:00:00"/>
    <n v="1949"/>
    <x v="0"/>
    <x v="0"/>
    <d v="2024-07-29T00:00:00"/>
    <n v="28000"/>
    <n v="422"/>
    <n v="11816000"/>
    <n v="2481360"/>
    <n v="14297360"/>
    <x v="0"/>
    <x v="0"/>
    <x v="0"/>
    <n v="14297360"/>
    <d v="2024-08-28T00:00:00"/>
    <d v="2024-08-28T00:00:00"/>
    <n v="-433"/>
    <x v="2"/>
    <x v="0"/>
    <d v="2024-09-04T00:00:00"/>
    <n v="12835"/>
    <d v="2024-07-15T00:00:00"/>
    <n v="560"/>
    <n v="25531"/>
    <n v="-3142.8418999999999"/>
    <n v="22388.158100000001"/>
    <n v="-692.48465753424659"/>
    <n v="21695.673442465755"/>
    <x v="0"/>
    <x v="5"/>
    <x v="1"/>
    <x v="0"/>
    <n v="19640"/>
    <n v="2055.6734424657552"/>
    <n v="0.10466769055324621"/>
    <n v="1151177.127780823"/>
    <n v="10998400"/>
    <n v="12149577.127780823"/>
    <x v="2"/>
    <x v="0"/>
    <x v="2"/>
    <x v="0"/>
    <x v="0"/>
    <n v="922.91669999999999"/>
    <n v="12802.888928112365"/>
    <n v="457.24603314687016"/>
  </r>
  <r>
    <x v="6"/>
    <x v="0"/>
    <x v="4"/>
    <d v="2024-07-20T00:00:00"/>
    <s v="V7"/>
    <x v="0"/>
    <x v="0"/>
    <d v="2024-07-20T00:00:00"/>
    <n v="40000"/>
    <n v="370"/>
    <n v="14800000"/>
    <m/>
    <n v="14800000"/>
    <x v="0"/>
    <x v="0"/>
    <x v="0"/>
    <n v="14800000"/>
    <d v="2024-07-20T00:00:00"/>
    <d v="2024-07-20T00:00:00"/>
    <n v="-472"/>
    <x v="0"/>
    <x v="2"/>
    <d v="2024-07-27T00:00:00"/>
    <s v="SOC 7"/>
    <d v="2024-07-20T00:00:00"/>
    <n v="800"/>
    <n v="18500"/>
    <n v="0"/>
    <n v="18500"/>
    <n v="0"/>
    <n v="18500"/>
    <x v="0"/>
    <x v="3"/>
    <x v="3"/>
    <x v="2"/>
    <n v="16834.710743801654"/>
    <n v="1665.2892561983463"/>
    <n v="9.8919980363279203E-2"/>
    <n v="1332231.404958677"/>
    <n v="13467768.595041323"/>
    <n v="14800000"/>
    <x v="2"/>
    <x v="0"/>
    <x v="2"/>
    <x v="0"/>
    <x v="0"/>
    <n v="926.85"/>
    <n v="15968.063872255489"/>
    <n v="399.20159680638722"/>
  </r>
  <r>
    <x v="6"/>
    <x v="0"/>
    <x v="4"/>
    <d v="2024-07-22T00:00:00"/>
    <s v="V8"/>
    <x v="0"/>
    <x v="0"/>
    <d v="2024-07-22T00:00:00"/>
    <n v="40000"/>
    <n v="370"/>
    <n v="14800000"/>
    <m/>
    <n v="14800000"/>
    <x v="0"/>
    <x v="0"/>
    <x v="0"/>
    <n v="14800000"/>
    <d v="2024-07-22T00:00:00"/>
    <d v="2024-07-22T00:00:00"/>
    <n v="-470"/>
    <x v="0"/>
    <x v="2"/>
    <d v="2024-07-29T00:00:00"/>
    <s v="SOC 8"/>
    <d v="2024-07-22T00:00:00"/>
    <n v="800"/>
    <n v="18500"/>
    <n v="0"/>
    <n v="18500"/>
    <n v="0"/>
    <n v="18500"/>
    <x v="0"/>
    <x v="3"/>
    <x v="3"/>
    <x v="2"/>
    <n v="17330.578512396696"/>
    <n v="1169.4214876033038"/>
    <n v="6.7477348593228292E-2"/>
    <n v="935537.19008264306"/>
    <n v="13864462.809917357"/>
    <n v="14800000"/>
    <x v="2"/>
    <x v="0"/>
    <x v="2"/>
    <x v="0"/>
    <x v="0"/>
    <n v="927.08330000000001"/>
    <n v="15964.045517808378"/>
    <n v="399.10113794520942"/>
  </r>
  <r>
    <x v="6"/>
    <x v="0"/>
    <x v="4"/>
    <d v="2024-07-23T00:00:00"/>
    <s v="V9"/>
    <x v="0"/>
    <x v="0"/>
    <d v="2024-07-23T00:00:00"/>
    <n v="40000"/>
    <n v="370"/>
    <n v="14800000"/>
    <m/>
    <n v="14800000"/>
    <x v="0"/>
    <x v="0"/>
    <x v="0"/>
    <n v="14800000"/>
    <d v="2024-07-23T00:00:00"/>
    <d v="2024-07-23T00:00:00"/>
    <n v="-469"/>
    <x v="0"/>
    <x v="2"/>
    <d v="2024-07-30T00:00:00"/>
    <s v="SOC 9"/>
    <d v="2024-07-23T00:00:00"/>
    <n v="800"/>
    <n v="18500"/>
    <n v="0"/>
    <n v="18500"/>
    <n v="0"/>
    <n v="18500"/>
    <x v="0"/>
    <x v="3"/>
    <x v="3"/>
    <x v="2"/>
    <n v="17578.512396694216"/>
    <n v="921.48760330578443"/>
    <n v="5.2421250587682211E-2"/>
    <n v="737190.08264462755"/>
    <n v="14062809.917355372"/>
    <n v="14800000"/>
    <x v="2"/>
    <x v="0"/>
    <x v="2"/>
    <x v="0"/>
    <x v="0"/>
    <n v="927.33330000000001"/>
    <n v="15959.741767064765"/>
    <n v="398.99354417661914"/>
  </r>
  <r>
    <x v="6"/>
    <x v="0"/>
    <x v="4"/>
    <d v="2024-07-24T00:00:00"/>
    <s v="V10"/>
    <x v="0"/>
    <x v="0"/>
    <d v="2024-07-24T00:00:00"/>
    <n v="40000"/>
    <n v="370"/>
    <n v="14800000"/>
    <m/>
    <n v="14800000"/>
    <x v="0"/>
    <x v="0"/>
    <x v="0"/>
    <n v="14800000"/>
    <d v="2024-07-24T00:00:00"/>
    <d v="2024-07-24T00:00:00"/>
    <n v="-468"/>
    <x v="0"/>
    <x v="2"/>
    <d v="2024-07-31T00:00:00"/>
    <s v="SOC 10"/>
    <d v="2024-07-24T00:00:00"/>
    <n v="800"/>
    <n v="18500"/>
    <n v="0"/>
    <n v="18500"/>
    <n v="0"/>
    <n v="18500"/>
    <x v="0"/>
    <x v="3"/>
    <x v="3"/>
    <x v="2"/>
    <n v="17826.446280991735"/>
    <n v="673.55371900826503"/>
    <n v="3.778395920259614E-2"/>
    <n v="538842.97520661203"/>
    <n v="14261157.024793388"/>
    <n v="14800000"/>
    <x v="2"/>
    <x v="0"/>
    <x v="2"/>
    <x v="0"/>
    <x v="0"/>
    <n v="928.66669999999999"/>
    <n v="15936.82642007084"/>
    <n v="398.42066050177101"/>
  </r>
  <r>
    <x v="6"/>
    <x v="0"/>
    <x v="4"/>
    <d v="2024-07-25T00:00:00"/>
    <s v="V11"/>
    <x v="0"/>
    <x v="0"/>
    <d v="2024-07-25T00:00:00"/>
    <n v="40000"/>
    <n v="370"/>
    <n v="14800000"/>
    <m/>
    <n v="14800000"/>
    <x v="0"/>
    <x v="0"/>
    <x v="0"/>
    <n v="14800000"/>
    <d v="2024-07-25T00:00:00"/>
    <d v="2024-07-25T00:00:00"/>
    <n v="-467"/>
    <x v="0"/>
    <x v="2"/>
    <d v="2024-08-01T00:00:00"/>
    <s v="SOC11"/>
    <d v="2024-07-25T00:00:00"/>
    <n v="800"/>
    <n v="18500"/>
    <n v="0"/>
    <n v="18500"/>
    <n v="0"/>
    <n v="18500"/>
    <x v="0"/>
    <x v="3"/>
    <x v="3"/>
    <x v="2"/>
    <n v="17909.090909090908"/>
    <n v="590.9090909090919"/>
    <n v="3.2994923857868175E-2"/>
    <n v="472727.27272727352"/>
    <n v="14327272.727272727"/>
    <n v="14800000"/>
    <x v="2"/>
    <x v="0"/>
    <x v="2"/>
    <x v="0"/>
    <x v="0"/>
    <n v="929.16669999999999"/>
    <n v="15928.250549659173"/>
    <n v="398.20626374147935"/>
  </r>
  <r>
    <x v="6"/>
    <x v="0"/>
    <x v="4"/>
    <d v="2024-07-26T00:00:00"/>
    <s v="V12"/>
    <x v="0"/>
    <x v="0"/>
    <d v="2024-07-26T00:00:00"/>
    <n v="40000"/>
    <n v="370"/>
    <n v="14800000"/>
    <m/>
    <n v="14800000"/>
    <x v="0"/>
    <x v="0"/>
    <x v="0"/>
    <n v="14800000"/>
    <d v="2024-07-26T00:00:00"/>
    <d v="2024-07-26T00:00:00"/>
    <n v="-466"/>
    <x v="0"/>
    <x v="2"/>
    <d v="2024-08-02T00:00:00"/>
    <s v="SOC12"/>
    <d v="2024-07-26T00:00:00"/>
    <n v="800"/>
    <n v="18500"/>
    <n v="0"/>
    <n v="18500"/>
    <n v="0"/>
    <n v="18500"/>
    <x v="0"/>
    <x v="3"/>
    <x v="3"/>
    <x v="2"/>
    <n v="18115.702479338845"/>
    <n v="384.29752066115543"/>
    <n v="2.1213503649635035E-2"/>
    <n v="307438.01652892435"/>
    <n v="14492561.983471075"/>
    <n v="14800000"/>
    <x v="2"/>
    <x v="0"/>
    <x v="2"/>
    <x v="0"/>
    <x v="0"/>
    <n v="931.58330000000001"/>
    <n v="15886.931420947541"/>
    <n v="397.17328552368855"/>
  </r>
  <r>
    <x v="6"/>
    <x v="0"/>
    <x v="4"/>
    <d v="2024-07-29T00:00:00"/>
    <s v="V13"/>
    <x v="0"/>
    <x v="0"/>
    <d v="2024-07-29T00:00:00"/>
    <n v="40000"/>
    <n v="390"/>
    <n v="15600000"/>
    <m/>
    <n v="15600000"/>
    <x v="0"/>
    <x v="0"/>
    <x v="0"/>
    <n v="15600000"/>
    <d v="2024-07-29T00:00:00"/>
    <d v="2024-07-29T00:00:00"/>
    <n v="-463"/>
    <x v="0"/>
    <x v="2"/>
    <d v="2024-08-05T00:00:00"/>
    <s v="SOC 13"/>
    <d v="2024-07-29T00:00:00"/>
    <n v="800"/>
    <n v="19500"/>
    <n v="0"/>
    <n v="19500"/>
    <n v="0"/>
    <n v="19500"/>
    <x v="0"/>
    <x v="3"/>
    <x v="3"/>
    <x v="2"/>
    <n v="18735.537190082647"/>
    <n v="764.4628099173533"/>
    <n v="4.0802823114247877E-2"/>
    <n v="611570.24793388264"/>
    <n v="14988429.752066117"/>
    <n v="15600000"/>
    <x v="2"/>
    <x v="0"/>
    <x v="2"/>
    <x v="0"/>
    <x v="0"/>
    <n v="931.75"/>
    <n v="16742.688489401662"/>
    <n v="418.56721223504155"/>
  </r>
  <r>
    <x v="6"/>
    <x v="0"/>
    <x v="4"/>
    <d v="2024-07-30T00:00:00"/>
    <s v="V14"/>
    <x v="0"/>
    <x v="0"/>
    <d v="2024-07-30T00:00:00"/>
    <n v="40000"/>
    <n v="390"/>
    <n v="15600000"/>
    <m/>
    <n v="15600000"/>
    <x v="0"/>
    <x v="0"/>
    <x v="0"/>
    <n v="15600000"/>
    <d v="2024-07-30T00:00:00"/>
    <d v="2024-07-30T00:00:00"/>
    <n v="-462"/>
    <x v="0"/>
    <x v="2"/>
    <d v="2024-08-06T00:00:00"/>
    <s v="SOC14"/>
    <d v="2024-07-30T00:00:00"/>
    <n v="800"/>
    <n v="19500"/>
    <n v="0"/>
    <n v="19500"/>
    <n v="0"/>
    <n v="19500"/>
    <x v="0"/>
    <x v="3"/>
    <x v="3"/>
    <x v="2"/>
    <n v="18942.14876033058"/>
    <n v="557.85123966942047"/>
    <n v="2.9450261780104681E-2"/>
    <n v="446280.99173553637"/>
    <n v="15153719.008264463"/>
    <n v="15600000"/>
    <x v="2"/>
    <x v="0"/>
    <x v="5"/>
    <x v="0"/>
    <x v="0"/>
    <n v="932.25"/>
    <n v="16733.708769107001"/>
    <n v="418.34271922767505"/>
  </r>
  <r>
    <x v="6"/>
    <x v="0"/>
    <x v="4"/>
    <d v="2024-07-31T00:00:00"/>
    <s v="V15"/>
    <x v="0"/>
    <x v="0"/>
    <d v="2024-07-31T00:00:00"/>
    <n v="40000"/>
    <n v="390"/>
    <n v="15600000"/>
    <m/>
    <n v="15600000"/>
    <x v="0"/>
    <x v="0"/>
    <x v="0"/>
    <n v="15600000"/>
    <d v="2024-07-31T00:00:00"/>
    <d v="2024-07-31T00:00:00"/>
    <n v="-461"/>
    <x v="0"/>
    <x v="2"/>
    <d v="2024-08-07T00:00:00"/>
    <s v="SOC 15"/>
    <d v="2024-07-31T00:00:00"/>
    <n v="800"/>
    <n v="19500"/>
    <n v="0"/>
    <n v="19500"/>
    <n v="0"/>
    <n v="19500"/>
    <x v="0"/>
    <x v="3"/>
    <x v="3"/>
    <x v="2"/>
    <n v="18958.677685950413"/>
    <n v="541.32231404958657"/>
    <n v="2.8552746294681741E-2"/>
    <n v="433057.85123966925"/>
    <n v="15166942.14876033"/>
    <n v="15600000"/>
    <x v="2"/>
    <x v="0"/>
    <x v="5"/>
    <x v="0"/>
    <x v="0"/>
    <n v="932.75"/>
    <n v="16724.73867595819"/>
    <n v="418.11846689895475"/>
  </r>
  <r>
    <x v="6"/>
    <x v="0"/>
    <x v="1"/>
    <d v="2024-07-17T00:00:00"/>
    <n v="1933"/>
    <x v="0"/>
    <x v="0"/>
    <d v="2024-07-29T00:00:00"/>
    <n v="28000"/>
    <n v="460"/>
    <n v="12880000"/>
    <n v="2704800"/>
    <n v="15584800"/>
    <x v="0"/>
    <x v="0"/>
    <x v="0"/>
    <n v="15584800"/>
    <d v="2024-07-17T00:00:00"/>
    <d v="2024-08-31T00:00:00"/>
    <n v="-430"/>
    <x v="0"/>
    <x v="0"/>
    <d v="2024-09-07T00:00:00"/>
    <n v="17071029"/>
    <d v="2024-07-17T00:00:00"/>
    <n v="560"/>
    <n v="27830"/>
    <n v="-3540.46"/>
    <n v="24289.54"/>
    <n v="0"/>
    <n v="24289.54"/>
    <x v="0"/>
    <x v="2"/>
    <x v="1"/>
    <x v="0"/>
    <n v="19740"/>
    <n v="4549.5400000000009"/>
    <n v="0.23047315096251264"/>
    <n v="2547742.4000000004"/>
    <n v="11054400"/>
    <n v="13602142.4"/>
    <x v="2"/>
    <x v="0"/>
    <x v="2"/>
    <x v="0"/>
    <x v="0"/>
    <n v="923.83330000000001"/>
    <n v="13941.909216738561"/>
    <n v="497.92532916923432"/>
  </r>
  <r>
    <x v="6"/>
    <x v="0"/>
    <x v="21"/>
    <d v="2024-07-18T00:00:00"/>
    <n v="0"/>
    <x v="0"/>
    <x v="0"/>
    <d v="2024-07-18T00:00:00"/>
    <n v="30000"/>
    <n v="390"/>
    <n v="11700000"/>
    <n v="2457000"/>
    <n v="14157000"/>
    <x v="1"/>
    <x v="0"/>
    <x v="0"/>
    <n v="14157000"/>
    <d v="2024-07-18T00:00:00"/>
    <d v="2024-07-18T00:00:00"/>
    <n v="-474"/>
    <x v="0"/>
    <x v="2"/>
    <d v="2024-07-25T00:00:00"/>
    <s v="SN"/>
    <d v="2024-07-18T00:00:00"/>
    <n v="600"/>
    <n v="23595"/>
    <n v="0"/>
    <n v="23595"/>
    <n v="0"/>
    <n v="23595"/>
    <x v="0"/>
    <x v="3"/>
    <x v="3"/>
    <x v="3"/>
    <n v="19770"/>
    <n v="3825"/>
    <n v="0.19347496206373282"/>
    <n v="2295000"/>
    <n v="11862000"/>
    <n v="14157000"/>
    <x v="2"/>
    <x v="0"/>
    <x v="3"/>
    <x v="0"/>
    <x v="0"/>
    <n v="924.75"/>
    <n v="12652.06812652068"/>
    <n v="421.73560421735601"/>
  </r>
  <r>
    <x v="6"/>
    <x v="0"/>
    <x v="20"/>
    <d v="2024-07-19T00:00:00"/>
    <n v="517"/>
    <x v="0"/>
    <x v="0"/>
    <d v="2024-07-19T00:00:00"/>
    <n v="27500"/>
    <n v="330"/>
    <n v="9075000"/>
    <n v="1905750"/>
    <n v="10980750"/>
    <x v="0"/>
    <x v="0"/>
    <x v="0"/>
    <n v="10980750"/>
    <d v="2024-09-17T00:00:00"/>
    <d v="2024-09-17T00:00:00"/>
    <n v="-413"/>
    <x v="6"/>
    <x v="0"/>
    <d v="2024-09-24T00:00:00"/>
    <n v="615716"/>
    <d v="2024-07-12T00:00:00"/>
    <n v="550"/>
    <n v="19965"/>
    <n v="0"/>
    <n v="19965"/>
    <n v="-1083.0328767123287"/>
    <n v="18881.967123287672"/>
    <x v="2"/>
    <x v="3"/>
    <x v="2"/>
    <x v="0"/>
    <n v="19490"/>
    <n v="-608.03287671232829"/>
    <n v="-3.1197171714331895E-2"/>
    <n v="-334418.08219178056"/>
    <n v="10719500"/>
    <n v="10385081.91780822"/>
    <x v="2"/>
    <x v="0"/>
    <x v="3"/>
    <x v="0"/>
    <x v="0"/>
    <n v="921.75"/>
    <n v="9845.4027664768109"/>
    <n v="358.01464605370222"/>
  </r>
  <r>
    <x v="6"/>
    <x v="0"/>
    <x v="19"/>
    <d v="2024-07-25T00:00:00"/>
    <n v="1946"/>
    <x v="0"/>
    <x v="0"/>
    <d v="2024-07-25T00:00:00"/>
    <n v="27500"/>
    <n v="385"/>
    <n v="10587500"/>
    <n v="2223375"/>
    <n v="12810875"/>
    <x v="0"/>
    <x v="0"/>
    <x v="0"/>
    <n v="12810875"/>
    <d v="2024-08-24T00:00:00"/>
    <d v="2024-08-24T00:00:00"/>
    <n v="-437"/>
    <x v="2"/>
    <x v="0"/>
    <d v="2024-08-31T00:00:00"/>
    <n v="6206"/>
    <d v="2024-07-11T00:00:00"/>
    <n v="550"/>
    <n v="23292.5"/>
    <n v="-2379.8764000000001"/>
    <n v="20912.623599999999"/>
    <n v="-631.76917808219184"/>
    <n v="20280.854421917807"/>
    <x v="2"/>
    <x v="13"/>
    <x v="5"/>
    <x v="0"/>
    <n v="19440"/>
    <n v="840.85442191780749"/>
    <n v="4.32538282879531E-2"/>
    <n v="462469.9320547941"/>
    <n v="10692000"/>
    <n v="11154469.932054793"/>
    <x v="2"/>
    <x v="0"/>
    <x v="3"/>
    <x v="0"/>
    <x v="0"/>
    <n v="920.5"/>
    <n v="11501.901140684411"/>
    <n v="418.25095057034224"/>
  </r>
  <r>
    <x v="6"/>
    <x v="0"/>
    <x v="19"/>
    <d v="2024-07-29T00:00:00"/>
    <n v="1952"/>
    <x v="0"/>
    <x v="0"/>
    <d v="2024-07-29T00:00:00"/>
    <n v="26250"/>
    <n v="385"/>
    <n v="10106250"/>
    <n v="2122312.5"/>
    <n v="12228562.5"/>
    <x v="0"/>
    <x v="0"/>
    <x v="0"/>
    <n v="12228562.5"/>
    <d v="2024-08-28T00:00:00"/>
    <d v="2024-08-28T00:00:00"/>
    <n v="-433"/>
    <x v="2"/>
    <x v="0"/>
    <d v="2024-09-04T00:00:00"/>
    <n v="6206"/>
    <d v="2024-07-11T00:00:00"/>
    <n v="525"/>
    <n v="23292.5"/>
    <n v="-2379.8764000000001"/>
    <n v="20912.623599999999"/>
    <n v="-631.76917808219184"/>
    <n v="20280.854421917807"/>
    <x v="2"/>
    <x v="13"/>
    <x v="5"/>
    <x v="0"/>
    <n v="19440"/>
    <n v="840.85442191780749"/>
    <n v="4.32538282879531E-2"/>
    <n v="441448.57150684891"/>
    <n v="10206000"/>
    <n v="10647448.571506849"/>
    <x v="2"/>
    <x v="0"/>
    <x v="5"/>
    <x v="0"/>
    <x v="0"/>
    <n v="920.5"/>
    <n v="10979.087452471484"/>
    <n v="418.25095057034224"/>
  </r>
  <r>
    <x v="6"/>
    <x v="0"/>
    <x v="16"/>
    <d v="2024-07-26T00:00:00"/>
    <n v="1959"/>
    <x v="0"/>
    <x v="0"/>
    <d v="2024-07-25T00:00:00"/>
    <n v="28000"/>
    <n v="365"/>
    <n v="10220000"/>
    <n v="2146200"/>
    <n v="12366200"/>
    <x v="0"/>
    <x v="0"/>
    <x v="0"/>
    <n v="12366200"/>
    <d v="2024-08-01T00:00:00"/>
    <d v="2024-08-25T00:00:00"/>
    <n v="-436"/>
    <x v="3"/>
    <x v="3"/>
    <d v="2024-09-01T00:00:00"/>
    <n v="13905"/>
    <d v="2024-07-19T00:00:00"/>
    <n v="560"/>
    <n v="22082.5"/>
    <n v="-2376.2464"/>
    <n v="19706.2536"/>
    <n v="-139.755"/>
    <n v="19566.498599999999"/>
    <x v="0"/>
    <x v="9"/>
    <x v="1"/>
    <x v="0"/>
    <n v="20070"/>
    <n v="-503.50140000000101"/>
    <n v="-2.508726457399113E-2"/>
    <n v="-281960.78400000057"/>
    <n v="11239200"/>
    <n v="10957239.216"/>
    <x v="2"/>
    <x v="0"/>
    <x v="6"/>
    <x v="0"/>
    <x v="0"/>
    <n v="926.75"/>
    <n v="11027.785271108713"/>
    <n v="393.8494739681683"/>
  </r>
  <r>
    <x v="6"/>
    <x v="0"/>
    <x v="16"/>
    <d v="2024-07-27T00:00:00"/>
    <n v="1966"/>
    <x v="0"/>
    <x v="0"/>
    <d v="2024-07-26T00:00:00"/>
    <n v="28000"/>
    <n v="365"/>
    <n v="10220000"/>
    <n v="2146200"/>
    <n v="12366200"/>
    <x v="0"/>
    <x v="0"/>
    <x v="0"/>
    <n v="12366200"/>
    <d v="2024-08-02T00:00:00"/>
    <d v="2024-08-26T00:00:00"/>
    <n v="-435"/>
    <x v="3"/>
    <x v="3"/>
    <d v="2024-09-02T00:00:00"/>
    <n v="13906"/>
    <d v="2024-07-19T00:00:00"/>
    <n v="560"/>
    <n v="22082.5"/>
    <n v="-2376.2464"/>
    <n v="19706.2536"/>
    <n v="-139.755"/>
    <n v="19566.498599999999"/>
    <x v="0"/>
    <x v="9"/>
    <x v="1"/>
    <x v="0"/>
    <n v="20070"/>
    <n v="-503.50140000000101"/>
    <n v="-2.508726457399113E-2"/>
    <n v="-281960.78400000057"/>
    <n v="11239200"/>
    <n v="10957239.216"/>
    <x v="2"/>
    <x v="0"/>
    <x v="5"/>
    <x v="0"/>
    <x v="0"/>
    <n v="926.75"/>
    <n v="11027.785271108713"/>
    <n v="393.8494739681683"/>
  </r>
  <r>
    <x v="6"/>
    <x v="0"/>
    <x v="16"/>
    <d v="2024-07-29T00:00:00"/>
    <n v="1950"/>
    <x v="0"/>
    <x v="0"/>
    <d v="2024-07-25T00:00:00"/>
    <n v="28000"/>
    <n v="368"/>
    <n v="10304000"/>
    <n v="2163840"/>
    <n v="12467840"/>
    <x v="0"/>
    <x v="0"/>
    <x v="0"/>
    <n v="12467840"/>
    <d v="2024-08-01T00:00:00"/>
    <d v="2024-08-28T00:00:00"/>
    <n v="-433"/>
    <x v="3"/>
    <x v="3"/>
    <d v="2024-09-04T00:00:00"/>
    <n v="13055"/>
    <d v="2024-07-19T00:00:00"/>
    <n v="560"/>
    <n v="22264"/>
    <n v="-2576.8764999999994"/>
    <n v="19687.123500000002"/>
    <n v="-140.90367123287672"/>
    <n v="19546.219828767124"/>
    <x v="0"/>
    <x v="10"/>
    <x v="1"/>
    <x v="0"/>
    <n v="20070"/>
    <n v="-523.78017123287646"/>
    <n v="-2.6097666728095437E-2"/>
    <n v="-293316.89589041081"/>
    <n v="11239200"/>
    <n v="10945883.104109589"/>
    <x v="2"/>
    <x v="0"/>
    <x v="5"/>
    <x v="0"/>
    <x v="0"/>
    <n v="926.75"/>
    <n v="11118.424602104127"/>
    <n v="397.08659293229027"/>
  </r>
  <r>
    <x v="6"/>
    <x v="0"/>
    <x v="16"/>
    <d v="2024-07-29T00:00:00"/>
    <n v="1951"/>
    <x v="0"/>
    <x v="0"/>
    <d v="2024-07-26T00:00:00"/>
    <n v="28000"/>
    <n v="368"/>
    <n v="10304000"/>
    <n v="2163840"/>
    <n v="12467840"/>
    <x v="0"/>
    <x v="0"/>
    <x v="0"/>
    <n v="12467840"/>
    <d v="2024-08-02T00:00:00"/>
    <d v="2024-08-28T00:00:00"/>
    <n v="-433"/>
    <x v="3"/>
    <x v="3"/>
    <d v="2024-09-04T00:00:00"/>
    <n v="13056"/>
    <d v="2024-07-19T00:00:00"/>
    <n v="560"/>
    <n v="22264"/>
    <n v="-2576.8764999999994"/>
    <n v="19687.123500000002"/>
    <n v="-140.90367123287672"/>
    <n v="19546.219828767124"/>
    <x v="0"/>
    <x v="10"/>
    <x v="1"/>
    <x v="0"/>
    <n v="20070"/>
    <n v="-523.78017123287646"/>
    <n v="-2.6097666728095437E-2"/>
    <n v="-293316.89589041081"/>
    <n v="11239200"/>
    <n v="10945883.104109589"/>
    <x v="2"/>
    <x v="0"/>
    <x v="5"/>
    <x v="0"/>
    <x v="0"/>
    <n v="926.75"/>
    <n v="11118.424602104127"/>
    <n v="397.08659293229027"/>
  </r>
  <r>
    <x v="6"/>
    <x v="0"/>
    <x v="16"/>
    <d v="2024-08-05T00:00:00"/>
    <n v="1972"/>
    <x v="0"/>
    <x v="0"/>
    <d v="2024-07-29T00:00:00"/>
    <n v="28000"/>
    <n v="368"/>
    <n v="10304000"/>
    <n v="2163840"/>
    <n v="12467840"/>
    <x v="0"/>
    <x v="0"/>
    <x v="0"/>
    <n v="12467840"/>
    <d v="2024-08-05T00:00:00"/>
    <d v="2024-09-04T00:00:00"/>
    <n v="-426"/>
    <x v="3"/>
    <x v="3"/>
    <d v="2024-09-11T00:00:00"/>
    <n v="13057"/>
    <d v="2024-07-19T00:00:00"/>
    <n v="560"/>
    <n v="22264"/>
    <n v="-2576.8764999999994"/>
    <n v="19687.123500000002"/>
    <n v="-140.90367123287672"/>
    <n v="19546.219828767124"/>
    <x v="0"/>
    <x v="10"/>
    <x v="1"/>
    <x v="0"/>
    <n v="20070"/>
    <n v="-523.78017123287646"/>
    <n v="-2.6097666728095437E-2"/>
    <n v="-293316.89589041081"/>
    <n v="11239200"/>
    <n v="10945883.104109589"/>
    <x v="2"/>
    <x v="0"/>
    <x v="3"/>
    <x v="0"/>
    <x v="0"/>
    <n v="926.75"/>
    <n v="11118.424602104127"/>
    <n v="397.08659293229027"/>
  </r>
  <r>
    <x v="7"/>
    <x v="0"/>
    <x v="22"/>
    <d v="2024-08-01T00:00:00"/>
    <n v="1955"/>
    <x v="0"/>
    <x v="0"/>
    <d v="2024-07-30T00:00:00"/>
    <n v="22000"/>
    <n v="415"/>
    <n v="9130000"/>
    <n v="1917300"/>
    <n v="11047300"/>
    <x v="0"/>
    <x v="0"/>
    <x v="0"/>
    <n v="11047300"/>
    <d v="2024-08-31T00:00:00"/>
    <d v="2024-08-31T00:00:00"/>
    <n v="-430"/>
    <x v="2"/>
    <x v="0"/>
    <d v="2024-09-07T00:00:00"/>
    <n v="83620"/>
    <d v="2024-07-26T00:00:00"/>
    <n v="440"/>
    <n v="25107.5"/>
    <n v="-2385.3214000000003"/>
    <n v="22722.178599999999"/>
    <n v="-928.63356164383561"/>
    <n v="21793.545038356162"/>
    <x v="2"/>
    <x v="14"/>
    <x v="1"/>
    <x v="0"/>
    <n v="21920"/>
    <n v="-126.45496164383803"/>
    <n v="-5.7689307319269689E-3"/>
    <n v="-55640.183123288734"/>
    <n v="9644800"/>
    <n v="9589159.8168767113"/>
    <x v="3"/>
    <x v="0"/>
    <x v="3"/>
    <x v="0"/>
    <x v="0"/>
    <n v="931.58330000000001"/>
    <n v="9800.5191806250714"/>
    <n v="445.47814457386687"/>
  </r>
  <r>
    <x v="7"/>
    <x v="17"/>
    <x v="12"/>
    <d v="2024-08-01T00:00:00"/>
    <n v="0"/>
    <x v="0"/>
    <x v="0"/>
    <d v="2024-08-01T00:00:00"/>
    <n v="750000"/>
    <n v="380.166"/>
    <n v="285124500"/>
    <n v="59876145"/>
    <n v="345000645"/>
    <x v="0"/>
    <x v="0"/>
    <x v="0"/>
    <n v="345000645"/>
    <d v="2024-08-31T00:00:00"/>
    <d v="2024-08-17T00:00:00"/>
    <n v="-444"/>
    <x v="2"/>
    <x v="0"/>
    <d v="2024-08-24T00:00:00"/>
    <m/>
    <d v="2024-08-01T00:00:00"/>
    <n v="15000"/>
    <n v="23000.042999999998"/>
    <n v="0"/>
    <n v="23000.043000000001"/>
    <n v="0"/>
    <n v="23000.043000000001"/>
    <x v="0"/>
    <x v="3"/>
    <x v="3"/>
    <x v="3"/>
    <n v="23190"/>
    <n v="-99.956999999998516"/>
    <n v="-4.3271428571427517E-3"/>
    <n v="-1499354.9999999776"/>
    <n v="347850000"/>
    <n v="345000645"/>
    <x v="3"/>
    <x v="0"/>
    <x v="3"/>
    <x v="0"/>
    <x v="0"/>
    <n v="933.41669999999999"/>
    <n v="305463.2513003035"/>
    <n v="407.28433506707131"/>
  </r>
  <r>
    <x v="7"/>
    <x v="18"/>
    <x v="23"/>
    <d v="2024-08-01T00:00:00"/>
    <n v="0"/>
    <x v="0"/>
    <x v="0"/>
    <d v="2024-08-01T00:00:00"/>
    <n v="500000"/>
    <n v="393.38900000000001"/>
    <n v="196694500"/>
    <n v="41305845"/>
    <n v="238000345"/>
    <x v="0"/>
    <x v="0"/>
    <x v="0"/>
    <n v="238000345"/>
    <d v="2024-08-31T00:00:00"/>
    <d v="2024-08-18T00:00:00"/>
    <n v="-443"/>
    <x v="2"/>
    <x v="0"/>
    <d v="2024-08-25T00:00:00"/>
    <m/>
    <d v="2024-08-06T00:00:00"/>
    <n v="10000"/>
    <n v="23800.034500000002"/>
    <n v="0"/>
    <n v="23800.034500000002"/>
    <n v="0"/>
    <n v="23800.034500000002"/>
    <x v="0"/>
    <x v="3"/>
    <x v="3"/>
    <x v="3"/>
    <n v="24440"/>
    <n v="610.03450000000157"/>
    <n v="2.6305929279861973E-2"/>
    <n v="6100345.0000000158"/>
    <n v="244400000"/>
    <n v="238000345.00000003"/>
    <x v="3"/>
    <x v="0"/>
    <x v="3"/>
    <x v="0"/>
    <x v="0"/>
    <n v="936.5"/>
    <n v="210031.50026695142"/>
    <n v="420.06300053390282"/>
  </r>
  <r>
    <x v="7"/>
    <x v="0"/>
    <x v="10"/>
    <d v="2024-07-29T00:00:00"/>
    <n v="1348"/>
    <x v="0"/>
    <x v="0"/>
    <d v="2024-08-02T00:00:00"/>
    <n v="28000"/>
    <n v="398"/>
    <n v="11144000"/>
    <n v="2340240"/>
    <n v="13484240"/>
    <x v="0"/>
    <x v="0"/>
    <x v="0"/>
    <n v="13484240"/>
    <d v="2024-08-02T00:00:00"/>
    <d v="2024-08-28T00:00:00"/>
    <n v="-433"/>
    <x v="0"/>
    <x v="0"/>
    <d v="2024-09-04T00:00:00"/>
    <s v="WP 26/7"/>
    <d v="2024-08-01T00:00:00"/>
    <n v="560"/>
    <n v="24079"/>
    <n v="0"/>
    <n v="24079"/>
    <n v="0"/>
    <n v="24079"/>
    <x v="0"/>
    <x v="3"/>
    <x v="2"/>
    <x v="0"/>
    <n v="23190"/>
    <n v="889"/>
    <n v="3.8335489435101344E-2"/>
    <n v="497840"/>
    <n v="12986400"/>
    <n v="13484240"/>
    <x v="3"/>
    <x v="0"/>
    <x v="3"/>
    <x v="0"/>
    <x v="0"/>
    <n v="933.41669999999999"/>
    <n v="11938.933597395462"/>
    <n v="426.39048562126652"/>
  </r>
  <r>
    <x v="7"/>
    <x v="0"/>
    <x v="24"/>
    <d v="2024-07-30T00:00:00"/>
    <n v="1957"/>
    <x v="0"/>
    <x v="0"/>
    <d v="2024-07-30T00:00:00"/>
    <n v="28000"/>
    <n v="401"/>
    <n v="11228000"/>
    <n v="2357880"/>
    <n v="13585880"/>
    <x v="0"/>
    <x v="0"/>
    <x v="0"/>
    <n v="13585880"/>
    <d v="2024-08-06T00:00:00"/>
    <d v="2024-09-28T00:00:00"/>
    <n v="-402"/>
    <x v="3"/>
    <x v="0"/>
    <d v="2024-10-05T00:00:00"/>
    <n v="6577"/>
    <d v="2024-07-25T00:00:00"/>
    <n v="560"/>
    <n v="24260.5"/>
    <n v="-2371.8903999999998"/>
    <n v="21888.6096"/>
    <n v="-209.37143835616439"/>
    <n v="21679.238161643836"/>
    <x v="0"/>
    <x v="15"/>
    <x v="1"/>
    <x v="0"/>
    <n v="21670"/>
    <n v="9.2381616438360652"/>
    <n v="4.2631110493007718E-4"/>
    <n v="5173.3705205481965"/>
    <n v="12135200"/>
    <n v="12140373.370520549"/>
    <x v="3"/>
    <x v="0"/>
    <x v="5"/>
    <x v="0"/>
    <x v="0"/>
    <n v="929.16669999999999"/>
    <n v="12083.945754836026"/>
    <n v="431.56949124414376"/>
  </r>
  <r>
    <x v="7"/>
    <x v="0"/>
    <x v="24"/>
    <d v="2024-08-05T00:00:00"/>
    <n v="1965"/>
    <x v="0"/>
    <x v="0"/>
    <d v="2024-08-01T00:00:00"/>
    <n v="28000"/>
    <n v="401"/>
    <n v="11228000"/>
    <n v="2357880"/>
    <n v="13585880"/>
    <x v="0"/>
    <x v="0"/>
    <x v="0"/>
    <n v="13585880"/>
    <d v="2024-08-08T00:00:00"/>
    <d v="2024-10-04T00:00:00"/>
    <n v="-396"/>
    <x v="3"/>
    <x v="0"/>
    <d v="2024-10-11T00:00:00"/>
    <n v="6577"/>
    <d v="2024-07-25T00:00:00"/>
    <n v="560"/>
    <n v="24260.5"/>
    <n v="-2371.8903999999998"/>
    <n v="21888.6096"/>
    <n v="-209.37143835616439"/>
    <n v="21679.238161643836"/>
    <x v="0"/>
    <x v="15"/>
    <x v="1"/>
    <x v="0"/>
    <n v="21670"/>
    <n v="9.2381616438360652"/>
    <n v="4.2631110493007718E-4"/>
    <n v="5173.3705205481965"/>
    <n v="12135200"/>
    <n v="12140373.370520549"/>
    <x v="3"/>
    <x v="0"/>
    <x v="5"/>
    <x v="0"/>
    <x v="0"/>
    <n v="929.16669999999999"/>
    <n v="12083.945754836026"/>
    <n v="431.56949124414376"/>
  </r>
  <r>
    <x v="7"/>
    <x v="0"/>
    <x v="18"/>
    <d v="2024-08-01T00:00:00"/>
    <n v="1961"/>
    <x v="0"/>
    <x v="0"/>
    <d v="2024-08-02T00:00:00"/>
    <n v="28000"/>
    <n v="405"/>
    <n v="11340000"/>
    <n v="2381400"/>
    <n v="13721400"/>
    <x v="0"/>
    <x v="0"/>
    <x v="0"/>
    <n v="13721400"/>
    <d v="2024-08-01T00:00:00"/>
    <d v="2024-08-03T00:00:00"/>
    <n v="-458"/>
    <x v="0"/>
    <x v="0"/>
    <d v="2024-08-10T00:00:00"/>
    <n v="11380"/>
    <d v="2024-08-01T00:00:00"/>
    <n v="560"/>
    <n v="24502.5"/>
    <n v="-1792.2882999999999"/>
    <n v="22710.2117"/>
    <n v="0"/>
    <n v="22710.2117"/>
    <x v="0"/>
    <x v="12"/>
    <x v="0"/>
    <x v="0"/>
    <n v="23190"/>
    <n v="-479.78830000000016"/>
    <n v="-2.0689448037947367E-2"/>
    <n v="-268681.44800000009"/>
    <n v="12986400"/>
    <n v="12717718.551999999"/>
    <x v="3"/>
    <x v="0"/>
    <x v="5"/>
    <x v="0"/>
    <x v="0"/>
    <n v="933.41669999999999"/>
    <n v="12148.914841570759"/>
    <n v="433.88981577038425"/>
  </r>
  <r>
    <x v="7"/>
    <x v="0"/>
    <x v="18"/>
    <d v="2024-08-01T00:00:00"/>
    <n v="1962"/>
    <x v="0"/>
    <x v="0"/>
    <d v="2024-08-04T00:00:00"/>
    <n v="28000"/>
    <n v="405"/>
    <n v="11340000"/>
    <n v="2381400"/>
    <n v="13721400"/>
    <x v="0"/>
    <x v="0"/>
    <x v="0"/>
    <n v="13721400"/>
    <d v="2024-08-01T00:00:00"/>
    <d v="2024-08-03T00:00:00"/>
    <n v="-458"/>
    <x v="0"/>
    <x v="0"/>
    <d v="2024-08-10T00:00:00"/>
    <n v="11380"/>
    <d v="2024-08-01T00:00:00"/>
    <n v="560"/>
    <n v="24502.5"/>
    <n v="-1792.2882999999999"/>
    <n v="22710.2117"/>
    <n v="0"/>
    <n v="22710.2117"/>
    <x v="0"/>
    <x v="12"/>
    <x v="0"/>
    <x v="0"/>
    <n v="23190"/>
    <n v="-479.78830000000016"/>
    <n v="-2.0689448037947367E-2"/>
    <n v="-268681.44800000009"/>
    <n v="12986400"/>
    <n v="12717718.551999999"/>
    <x v="3"/>
    <x v="0"/>
    <x v="3"/>
    <x v="0"/>
    <x v="0"/>
    <n v="933.41669999999999"/>
    <n v="12148.914841570759"/>
    <n v="433.88981577038425"/>
  </r>
  <r>
    <x v="7"/>
    <x v="0"/>
    <x v="18"/>
    <d v="2024-08-01T00:00:00"/>
    <n v="1963"/>
    <x v="0"/>
    <x v="0"/>
    <d v="2024-08-07T00:00:00"/>
    <n v="28000"/>
    <n v="405"/>
    <n v="11340000"/>
    <n v="2381400"/>
    <n v="13721400"/>
    <x v="0"/>
    <x v="0"/>
    <x v="0"/>
    <n v="13721400"/>
    <d v="2024-08-01T00:00:00"/>
    <d v="2024-08-03T00:00:00"/>
    <n v="-458"/>
    <x v="0"/>
    <x v="0"/>
    <d v="2024-08-10T00:00:00"/>
    <n v="11380"/>
    <d v="2024-08-01T00:00:00"/>
    <n v="560"/>
    <n v="24502.5"/>
    <n v="-1792.2882999999999"/>
    <n v="22710.2117"/>
    <n v="0"/>
    <n v="22710.2117"/>
    <x v="0"/>
    <x v="12"/>
    <x v="0"/>
    <x v="0"/>
    <n v="23190"/>
    <n v="-479.78830000000016"/>
    <n v="-2.0689448037947367E-2"/>
    <n v="-268681.44800000009"/>
    <n v="12986400"/>
    <n v="12717718.551999999"/>
    <x v="3"/>
    <x v="0"/>
    <x v="5"/>
    <x v="0"/>
    <x v="0"/>
    <n v="933.41669999999999"/>
    <n v="12148.914841570759"/>
    <n v="433.88981577038425"/>
  </r>
  <r>
    <x v="7"/>
    <x v="0"/>
    <x v="18"/>
    <d v="2024-08-05T00:00:00"/>
    <n v="1973"/>
    <x v="0"/>
    <x v="0"/>
    <d v="2024-08-13T00:00:00"/>
    <n v="28000"/>
    <n v="350"/>
    <n v="9800000"/>
    <n v="2058000"/>
    <n v="11858000"/>
    <x v="0"/>
    <x v="0"/>
    <x v="0"/>
    <n v="11858000"/>
    <d v="2024-10-04T00:00:00"/>
    <d v="2024-09-27T00:00:00"/>
    <n v="-403"/>
    <x v="6"/>
    <x v="0"/>
    <d v="2024-10-04T00:00:00"/>
    <n v="11335"/>
    <d v="2024-07-08T00:00:00"/>
    <n v="560"/>
    <n v="21175"/>
    <n v="-1782.3058000000001"/>
    <n v="19392.694199999998"/>
    <n v="-1148.6712328767123"/>
    <n v="18244.022967123285"/>
    <x v="0"/>
    <x v="12"/>
    <x v="0"/>
    <x v="0"/>
    <n v="19340"/>
    <n v="-1095.9770328767154"/>
    <n v="-5.6668926208723658E-2"/>
    <n v="-613747.13841096056"/>
    <n v="10830400"/>
    <n v="10216652.861589039"/>
    <x v="3"/>
    <x v="0"/>
    <x v="5"/>
    <x v="0"/>
    <x v="0"/>
    <n v="918.91669999999999"/>
    <n v="10664.731634543154"/>
    <n v="380.88327266225548"/>
  </r>
  <r>
    <x v="7"/>
    <x v="0"/>
    <x v="0"/>
    <d v="2024-08-15T00:00:00"/>
    <n v="1986"/>
    <x v="0"/>
    <x v="0"/>
    <d v="2024-08-06T00:00:00"/>
    <n v="30000"/>
    <n v="420"/>
    <n v="12600000"/>
    <n v="2646000"/>
    <n v="15246000"/>
    <x v="0"/>
    <x v="0"/>
    <x v="0"/>
    <n v="15246000"/>
    <d v="2024-08-13T00:00:00"/>
    <d v="2024-09-05T00:00:00"/>
    <n v="-425"/>
    <x v="3"/>
    <x v="0"/>
    <d v="2024-09-12T00:00:00"/>
    <s v="00001-00000501"/>
    <d v="2024-07-31T00:00:00"/>
    <n v="600"/>
    <n v="25410"/>
    <n v="-1951.73"/>
    <n v="23458.27"/>
    <n v="-219.29178082191783"/>
    <n v="23238.978219178083"/>
    <x v="0"/>
    <x v="0"/>
    <x v="0"/>
    <x v="0"/>
    <n v="22940"/>
    <n v="298.97821917808324"/>
    <n v="1.3033052274545875E-2"/>
    <n v="179386.93150684994"/>
    <n v="13764000"/>
    <n v="13943386.93150685"/>
    <x v="3"/>
    <x v="0"/>
    <x v="5"/>
    <x v="0"/>
    <x v="0"/>
    <n v="932.75"/>
    <n v="13508.442776735459"/>
    <n v="450.28142589118198"/>
  </r>
  <r>
    <x v="7"/>
    <x v="0"/>
    <x v="6"/>
    <d v="2024-08-13T00:00:00"/>
    <n v="1986"/>
    <x v="0"/>
    <x v="0"/>
    <d v="2024-08-13T00:00:00"/>
    <n v="28000"/>
    <n v="489"/>
    <n v="13692000"/>
    <n v="2875320"/>
    <n v="16567320"/>
    <x v="0"/>
    <x v="0"/>
    <x v="0"/>
    <n v="16567320"/>
    <d v="2024-09-12T00:00:00"/>
    <d v="2024-09-12T00:00:00"/>
    <n v="-251"/>
    <x v="2"/>
    <x v="0"/>
    <d v="2024-09-19T00:00:00"/>
    <n v="12952"/>
    <d v="2024-08-01T00:00:00"/>
    <n v="560"/>
    <n v="29584.5"/>
    <n v="-3155.0023999999999"/>
    <n v="26429.497599999995"/>
    <n v="-802.42890410958898"/>
    <n v="25627.068695890404"/>
    <x v="0"/>
    <x v="5"/>
    <x v="1"/>
    <x v="0"/>
    <n v="23190"/>
    <n v="2437.0686958904043"/>
    <n v="0.10509136247910322"/>
    <n v="1364758.4696986265"/>
    <n v="12986400"/>
    <n v="14351158.469698627"/>
    <x v="3"/>
    <x v="0"/>
    <x v="5"/>
    <x v="0"/>
    <x v="0"/>
    <n v="933.41669999999999"/>
    <n v="14668.689771674322"/>
    <n v="523.88177755979723"/>
  </r>
  <r>
    <x v="7"/>
    <x v="0"/>
    <x v="0"/>
    <d v="2024-08-07T00:00:00"/>
    <n v="1977"/>
    <x v="0"/>
    <x v="0"/>
    <d v="2024-08-07T00:00:00"/>
    <n v="30000"/>
    <n v="420"/>
    <n v="12600000"/>
    <n v="2646000"/>
    <n v="15246000"/>
    <x v="0"/>
    <x v="0"/>
    <x v="0"/>
    <n v="15246000"/>
    <d v="2024-08-14T00:00:00"/>
    <d v="2024-09-06T00:00:00"/>
    <n v="-424"/>
    <x v="3"/>
    <x v="0"/>
    <d v="2024-09-13T00:00:00"/>
    <s v="00001-00000501"/>
    <d v="2024-07-31T00:00:00"/>
    <n v="600"/>
    <n v="25410"/>
    <n v="-1951.73"/>
    <n v="23458.27"/>
    <n v="-219.29178082191783"/>
    <n v="23238.978219178083"/>
    <x v="0"/>
    <x v="0"/>
    <x v="0"/>
    <x v="0"/>
    <n v="22940"/>
    <n v="298.97821917808324"/>
    <n v="1.3033052274545875E-2"/>
    <n v="179386.93150684994"/>
    <n v="13764000"/>
    <n v="13943386.93150685"/>
    <x v="3"/>
    <x v="0"/>
    <x v="5"/>
    <x v="0"/>
    <x v="0"/>
    <n v="932.75"/>
    <n v="13508.442776735459"/>
    <n v="450.28142589118198"/>
  </r>
  <r>
    <x v="7"/>
    <x v="0"/>
    <x v="0"/>
    <d v="2024-08-15T00:00:00"/>
    <n v="1985"/>
    <x v="0"/>
    <x v="0"/>
    <d v="2024-08-14T00:00:00"/>
    <n v="30000"/>
    <n v="420"/>
    <n v="12600000"/>
    <n v="2646000"/>
    <n v="15246000"/>
    <x v="0"/>
    <x v="0"/>
    <x v="0"/>
    <n v="15246000"/>
    <d v="2024-08-21T00:00:00"/>
    <d v="2024-09-13T00:00:00"/>
    <n v="-417"/>
    <x v="3"/>
    <x v="0"/>
    <d v="2024-09-20T00:00:00"/>
    <s v="00001-00000501"/>
    <d v="2024-07-31T00:00:00"/>
    <n v="600"/>
    <n v="25410"/>
    <n v="-1951.73"/>
    <n v="23458.27"/>
    <n v="-219.29178082191783"/>
    <n v="23238.978219178083"/>
    <x v="0"/>
    <x v="0"/>
    <x v="0"/>
    <x v="0"/>
    <n v="22940"/>
    <n v="298.97821917808324"/>
    <n v="1.3033052274545875E-2"/>
    <n v="179386.93150684994"/>
    <n v="13764000"/>
    <n v="13943386.93150685"/>
    <x v="3"/>
    <x v="0"/>
    <x v="5"/>
    <x v="0"/>
    <x v="0"/>
    <n v="932.75"/>
    <n v="13508.442776735459"/>
    <n v="450.28142589118198"/>
  </r>
  <r>
    <x v="7"/>
    <x v="0"/>
    <x v="0"/>
    <d v="2024-08-17T00:00:00"/>
    <n v="2000"/>
    <x v="0"/>
    <x v="0"/>
    <d v="2024-08-16T00:00:00"/>
    <n v="30000"/>
    <n v="420"/>
    <n v="12600000"/>
    <n v="2646000"/>
    <n v="15246000"/>
    <x v="0"/>
    <x v="0"/>
    <x v="0"/>
    <n v="15246000"/>
    <d v="2024-08-23T00:00:00"/>
    <d v="2024-09-15T00:00:00"/>
    <n v="-415"/>
    <x v="3"/>
    <x v="0"/>
    <d v="2024-09-22T00:00:00"/>
    <s v="00001-00000501"/>
    <d v="2024-07-31T00:00:00"/>
    <n v="600"/>
    <n v="25410"/>
    <n v="-1951.73"/>
    <n v="23458.27"/>
    <n v="-219.29178082191783"/>
    <n v="23238.978219178083"/>
    <x v="0"/>
    <x v="0"/>
    <x v="0"/>
    <x v="0"/>
    <n v="22940"/>
    <n v="298.97821917808324"/>
    <n v="1.3033052274545875E-2"/>
    <n v="179386.93150684994"/>
    <n v="13764000"/>
    <n v="13943386.93150685"/>
    <x v="3"/>
    <x v="0"/>
    <x v="5"/>
    <x v="0"/>
    <x v="0"/>
    <n v="932.75"/>
    <n v="13508.442776735459"/>
    <n v="450.28142589118198"/>
  </r>
  <r>
    <x v="7"/>
    <x v="0"/>
    <x v="9"/>
    <d v="2024-08-07T00:00:00"/>
    <n v="1978"/>
    <x v="0"/>
    <x v="0"/>
    <d v="2024-08-07T00:00:00"/>
    <n v="28000"/>
    <n v="485"/>
    <n v="13580000"/>
    <n v="2851800"/>
    <n v="16431800"/>
    <x v="0"/>
    <x v="0"/>
    <x v="0"/>
    <n v="16431800"/>
    <d v="2024-09-06T00:00:00"/>
    <d v="2024-09-06T00:00:00"/>
    <n v="-424"/>
    <x v="2"/>
    <x v="0"/>
    <d v="2024-09-13T00:00:00"/>
    <n v="4500025544"/>
    <d v="2024-07-31T00:00:00"/>
    <n v="560"/>
    <n v="29342.5"/>
    <n v="-1972.3846999999998"/>
    <n v="27370.115300000001"/>
    <n v="-1085.2705479452054"/>
    <n v="26284.844752054796"/>
    <x v="0"/>
    <x v="7"/>
    <x v="4"/>
    <x v="0"/>
    <n v="22940"/>
    <n v="3344.8447520547961"/>
    <n v="0.14580840244353954"/>
    <n v="1873113.0611506859"/>
    <n v="12846400"/>
    <n v="14719513.061150685"/>
    <x v="3"/>
    <x v="0"/>
    <x v="3"/>
    <x v="0"/>
    <x v="0"/>
    <n v="932.75"/>
    <n v="14559.099437148217"/>
    <n v="519.96783704100778"/>
  </r>
  <r>
    <x v="7"/>
    <x v="0"/>
    <x v="9"/>
    <d v="2024-08-15T00:00:00"/>
    <n v="1994"/>
    <x v="0"/>
    <x v="0"/>
    <d v="2024-08-14T00:00:00"/>
    <n v="28000"/>
    <n v="485"/>
    <n v="13580000"/>
    <n v="2851800"/>
    <n v="16431800"/>
    <x v="0"/>
    <x v="0"/>
    <x v="0"/>
    <n v="16431800"/>
    <d v="2024-09-14T00:00:00"/>
    <d v="2024-09-14T00:00:00"/>
    <n v="-416"/>
    <x v="2"/>
    <x v="0"/>
    <d v="2024-09-21T00:00:00"/>
    <n v="4500025544"/>
    <d v="2024-07-31T00:00:00"/>
    <n v="560"/>
    <n v="29342.5"/>
    <n v="-1972.3846999999998"/>
    <n v="27370.115300000001"/>
    <n v="-1085.2705479452054"/>
    <n v="26284.844752054796"/>
    <x v="0"/>
    <x v="7"/>
    <x v="4"/>
    <x v="0"/>
    <n v="22940"/>
    <n v="3344.8447520547961"/>
    <n v="0.14580840244353954"/>
    <n v="1873113.0611506859"/>
    <n v="12846400"/>
    <n v="14719513.061150685"/>
    <x v="3"/>
    <x v="0"/>
    <x v="5"/>
    <x v="0"/>
    <x v="0"/>
    <n v="932.75"/>
    <n v="14559.099437148217"/>
    <n v="519.96783704100778"/>
  </r>
  <r>
    <x v="7"/>
    <x v="0"/>
    <x v="9"/>
    <d v="2024-08-21T00:00:00"/>
    <n v="2005"/>
    <x v="0"/>
    <x v="0"/>
    <d v="2024-08-21T00:00:00"/>
    <n v="28000"/>
    <n v="485"/>
    <n v="13580000"/>
    <n v="2851800"/>
    <n v="16431800"/>
    <x v="0"/>
    <x v="0"/>
    <x v="0"/>
    <n v="16431800"/>
    <d v="2024-09-20T00:00:00"/>
    <d v="2024-09-20T00:00:00"/>
    <n v="-410"/>
    <x v="2"/>
    <x v="0"/>
    <d v="2024-09-27T00:00:00"/>
    <n v="4500025544"/>
    <d v="2024-07-31T00:00:00"/>
    <n v="560"/>
    <n v="29342.5"/>
    <n v="-1972.3846999999998"/>
    <n v="27370.115300000001"/>
    <n v="-1085.2705479452054"/>
    <n v="26284.844752054796"/>
    <x v="0"/>
    <x v="7"/>
    <x v="4"/>
    <x v="0"/>
    <n v="22940"/>
    <n v="3344.8447520547961"/>
    <n v="0.14580840244353954"/>
    <n v="1873113.0611506859"/>
    <n v="12846400"/>
    <n v="14719513.061150685"/>
    <x v="3"/>
    <x v="0"/>
    <x v="5"/>
    <x v="0"/>
    <x v="0"/>
    <n v="932.75"/>
    <n v="14559.099437148217"/>
    <n v="519.96783704100778"/>
  </r>
  <r>
    <x v="7"/>
    <x v="0"/>
    <x v="9"/>
    <d v="2024-08-30T00:00:00"/>
    <n v="2021"/>
    <x v="0"/>
    <x v="0"/>
    <d v="2024-08-28T00:00:00"/>
    <n v="28000"/>
    <n v="485"/>
    <n v="13580000"/>
    <n v="2851800"/>
    <n v="16431800"/>
    <x v="0"/>
    <x v="0"/>
    <x v="0"/>
    <n v="16431800"/>
    <d v="2024-09-29T00:00:00"/>
    <d v="2024-09-29T00:00:00"/>
    <n v="-401"/>
    <x v="2"/>
    <x v="0"/>
    <d v="2024-10-06T00:00:00"/>
    <n v="4500025544"/>
    <d v="2024-07-31T00:00:00"/>
    <n v="560"/>
    <n v="29342.5"/>
    <n v="-1972.3846999999998"/>
    <n v="27370.115300000001"/>
    <n v="-1085.2705479452054"/>
    <n v="26284.844752054796"/>
    <x v="0"/>
    <x v="7"/>
    <x v="4"/>
    <x v="0"/>
    <n v="22940"/>
    <n v="3344.8447520547961"/>
    <n v="0.14580840244353954"/>
    <n v="1873113.0611506859"/>
    <n v="12846400"/>
    <n v="14719513.061150685"/>
    <x v="3"/>
    <x v="0"/>
    <x v="4"/>
    <x v="0"/>
    <x v="0"/>
    <n v="932.75"/>
    <n v="14559.099437148217"/>
    <n v="519.96783704100778"/>
  </r>
  <r>
    <x v="7"/>
    <x v="0"/>
    <x v="9"/>
    <d v="2024-09-03T00:00:00"/>
    <n v="2023"/>
    <x v="0"/>
    <x v="0"/>
    <d v="2024-09-09T00:00:00"/>
    <n v="28000"/>
    <n v="485"/>
    <n v="13580000"/>
    <n v="2851800"/>
    <n v="16431800"/>
    <x v="0"/>
    <x v="0"/>
    <x v="0"/>
    <n v="16431800"/>
    <d v="2024-10-03T00:00:00"/>
    <d v="2024-10-03T00:00:00"/>
    <n v="-397"/>
    <x v="2"/>
    <x v="0"/>
    <d v="2024-10-10T00:00:00"/>
    <n v="4500025544"/>
    <d v="2024-07-31T00:00:00"/>
    <n v="560"/>
    <n v="29342.5"/>
    <n v="-1972.3846999999998"/>
    <n v="27370.115300000001"/>
    <n v="-1085.2705479452054"/>
    <n v="26284.844752054796"/>
    <x v="0"/>
    <x v="7"/>
    <x v="4"/>
    <x v="0"/>
    <n v="22940"/>
    <n v="3344.8447520547961"/>
    <n v="0.14580840244353954"/>
    <n v="1873113.0611506859"/>
    <n v="12846400"/>
    <n v="14719513.061150685"/>
    <x v="3"/>
    <x v="0"/>
    <x v="4"/>
    <x v="0"/>
    <x v="0"/>
    <n v="932.75"/>
    <n v="14559.099437148217"/>
    <n v="519.96783704100778"/>
  </r>
  <r>
    <x v="7"/>
    <x v="0"/>
    <x v="25"/>
    <d v="2024-08-01T00:00:00"/>
    <n v="1964"/>
    <x v="0"/>
    <x v="0"/>
    <d v="2024-08-12T00:00:00"/>
    <n v="28000"/>
    <n v="438"/>
    <n v="12264000"/>
    <n v="2575440"/>
    <n v="14839440"/>
    <x v="0"/>
    <x v="0"/>
    <x v="0"/>
    <n v="14839440"/>
    <d v="2024-08-01T00:00:00"/>
    <d v="2024-08-01T00:00:00"/>
    <n v="-460"/>
    <x v="0"/>
    <x v="6"/>
    <d v="2024-08-08T00:00:00"/>
    <s v="WS  1/8"/>
    <d v="2024-08-01T00:00:00"/>
    <n v="560"/>
    <n v="26499"/>
    <n v="-2389.4958999999999"/>
    <n v="24109.504099999998"/>
    <n v="0"/>
    <n v="24109.504099999998"/>
    <x v="3"/>
    <x v="16"/>
    <x v="1"/>
    <x v="0"/>
    <n v="23190"/>
    <n v="919.50409999999829"/>
    <n v="3.9650888313928379E-2"/>
    <n v="514922.29599999904"/>
    <n v="12986400"/>
    <n v="13501322.295999998"/>
    <x v="3"/>
    <x v="0"/>
    <x v="5"/>
    <x v="0"/>
    <x v="0"/>
    <n v="933.41669999999999"/>
    <n v="13138.826421254302"/>
    <n v="469.24380075908221"/>
  </r>
  <r>
    <x v="7"/>
    <x v="0"/>
    <x v="15"/>
    <d v="2024-08-09T00:00:00"/>
    <n v="1983"/>
    <x v="0"/>
    <x v="0"/>
    <d v="2024-08-08T00:00:00"/>
    <n v="28000"/>
    <n v="442"/>
    <n v="12376000"/>
    <n v="2598960"/>
    <n v="14974960"/>
    <x v="0"/>
    <x v="0"/>
    <x v="0"/>
    <n v="14974960"/>
    <d v="2024-08-14T00:00:00"/>
    <d v="2024-09-08T00:00:00"/>
    <n v="-422"/>
    <x v="0"/>
    <x v="4"/>
    <d v="2024-09-15T00:00:00"/>
    <s v="WP 02/08"/>
    <d v="2024-08-02T00:00:00"/>
    <n v="560"/>
    <n v="26741"/>
    <n v="-2390.2219"/>
    <n v="24350.7781"/>
    <n v="0"/>
    <n v="24350.7781"/>
    <x v="0"/>
    <x v="8"/>
    <x v="1"/>
    <x v="0"/>
    <n v="23440"/>
    <n v="910.77809999999954"/>
    <n v="3.8855720989761089E-2"/>
    <n v="510035.73599999974"/>
    <n v="13126400"/>
    <n v="13636435.736"/>
    <x v="3"/>
    <x v="0"/>
    <x v="4"/>
    <x v="0"/>
    <x v="0"/>
    <n v="935.08330000000001"/>
    <n v="13235.18450174439"/>
    <n v="472.68516077658535"/>
  </r>
  <r>
    <x v="7"/>
    <x v="0"/>
    <x v="15"/>
    <d v="2024-08-05T00:00:00"/>
    <n v="1969"/>
    <x v="0"/>
    <x v="0"/>
    <d v="2024-08-13T00:00:00"/>
    <n v="26477.708481000001"/>
    <n v="442"/>
    <n v="11703147.148602001"/>
    <n v="2457660.9012064203"/>
    <n v="14160808.049808422"/>
    <x v="0"/>
    <x v="0"/>
    <x v="0"/>
    <n v="14160808.049808422"/>
    <d v="2024-08-10T00:00:00"/>
    <d v="2024-09-04T00:00:00"/>
    <n v="-426"/>
    <x v="0"/>
    <x v="4"/>
    <d v="2024-09-11T00:00:00"/>
    <s v="WP 02/08"/>
    <d v="2024-08-02T00:00:00"/>
    <n v="529.55416962000004"/>
    <n v="26741"/>
    <n v="-2736.7174999999997"/>
    <n v="24004.282500000001"/>
    <n v="0"/>
    <n v="24004.282500000001"/>
    <x v="0"/>
    <x v="8"/>
    <x v="1"/>
    <x v="0"/>
    <n v="23440"/>
    <n v="564.28250000000116"/>
    <n v="2.4073485494880531E-2"/>
    <n v="298818.15071859828"/>
    <n v="12412749.735892801"/>
    <n v="12711567.886611398"/>
    <x v="3"/>
    <x v="0"/>
    <x v="4"/>
    <x v="0"/>
    <x v="0"/>
    <n v="935.08330000000001"/>
    <n v="12515.619890337044"/>
    <n v="472.68516077658541"/>
  </r>
  <r>
    <x v="7"/>
    <x v="0"/>
    <x v="1"/>
    <d v="2024-08-05T00:00:00"/>
    <n v="1970"/>
    <x v="0"/>
    <x v="0"/>
    <d v="2024-08-18T00:00:00"/>
    <n v="28000"/>
    <n v="486"/>
    <n v="13608000"/>
    <n v="2857680"/>
    <n v="16465680"/>
    <x v="0"/>
    <x v="0"/>
    <x v="0"/>
    <n v="16465680"/>
    <d v="2024-08-05T00:00:00"/>
    <d v="2024-09-19T00:00:00"/>
    <n v="-411"/>
    <x v="0"/>
    <x v="0"/>
    <d v="2024-09-26T00:00:00"/>
    <n v="2081746"/>
    <d v="2024-08-02T00:00:00"/>
    <n v="560"/>
    <n v="29403"/>
    <n v="-3545.1789999999996"/>
    <n v="25857.821"/>
    <n v="0"/>
    <n v="25857.821"/>
    <x v="0"/>
    <x v="2"/>
    <x v="1"/>
    <x v="0"/>
    <n v="23440"/>
    <n v="2417.8209999999999"/>
    <n v="0.10314936006825937"/>
    <n v="1353979.76"/>
    <n v="13126400"/>
    <n v="14480379.76"/>
    <x v="3"/>
    <x v="0"/>
    <x v="5"/>
    <x v="0"/>
    <x v="0"/>
    <n v="935.08330000000001"/>
    <n v="14552.714180651072"/>
    <n v="519.73979216610974"/>
  </r>
  <r>
    <x v="7"/>
    <x v="0"/>
    <x v="1"/>
    <d v="2024-08-05T00:00:00"/>
    <n v="1971"/>
    <x v="0"/>
    <x v="0"/>
    <d v="2024-08-30T00:00:00"/>
    <n v="28000"/>
    <n v="486"/>
    <n v="13608000"/>
    <n v="2857680"/>
    <n v="16465680"/>
    <x v="0"/>
    <x v="0"/>
    <x v="0"/>
    <n v="16465680"/>
    <d v="2024-08-05T00:00:00"/>
    <d v="2024-09-19T00:00:00"/>
    <n v="-411"/>
    <x v="0"/>
    <x v="0"/>
    <d v="2024-09-26T00:00:00"/>
    <n v="2081746"/>
    <d v="2024-08-02T00:00:00"/>
    <n v="560"/>
    <n v="29403"/>
    <n v="-3545.1789999999996"/>
    <n v="25857.821"/>
    <n v="0"/>
    <n v="25857.821"/>
    <x v="0"/>
    <x v="2"/>
    <x v="1"/>
    <x v="0"/>
    <n v="23440"/>
    <n v="2417.8209999999999"/>
    <n v="0.10314936006825937"/>
    <n v="1353979.76"/>
    <n v="13126400"/>
    <n v="14480379.76"/>
    <x v="3"/>
    <x v="0"/>
    <x v="5"/>
    <x v="0"/>
    <x v="0"/>
    <n v="935.08330000000001"/>
    <n v="14552.714180651072"/>
    <n v="519.73979216610974"/>
  </r>
  <r>
    <x v="7"/>
    <x v="0"/>
    <x v="4"/>
    <d v="2024-08-02T00:00:00"/>
    <s v="V16"/>
    <x v="0"/>
    <x v="0"/>
    <d v="2024-08-02T00:00:00"/>
    <n v="40000"/>
    <n v="410"/>
    <n v="16400000"/>
    <m/>
    <n v="16400000"/>
    <x v="0"/>
    <x v="0"/>
    <x v="0"/>
    <n v="16400000"/>
    <d v="2024-08-02T00:00:00"/>
    <d v="2024-08-02T00:00:00"/>
    <n v="-459"/>
    <x v="0"/>
    <x v="2"/>
    <d v="2024-08-09T00:00:00"/>
    <s v="SOC 16"/>
    <d v="2024-08-02T00:00:00"/>
    <n v="800"/>
    <n v="20500"/>
    <n v="0"/>
    <n v="20500"/>
    <n v="0"/>
    <n v="20500"/>
    <x v="0"/>
    <x v="3"/>
    <x v="3"/>
    <x v="2"/>
    <n v="19371.900826446283"/>
    <n v="1128.0991735537173"/>
    <n v="5.8233788395904318E-2"/>
    <n v="902479.33884297381"/>
    <n v="15497520.661157027"/>
    <n v="16400000"/>
    <x v="3"/>
    <x v="0"/>
    <x v="3"/>
    <x v="0"/>
    <x v="0"/>
    <n v="935.08330000000001"/>
    <n v="17538.544427004523"/>
    <n v="438.46361067511305"/>
  </r>
  <r>
    <x v="7"/>
    <x v="0"/>
    <x v="3"/>
    <d v="2024-08-30T00:00:00"/>
    <n v="2034"/>
    <x v="0"/>
    <x v="0"/>
    <d v="2024-08-30T00:00:00"/>
    <n v="28000"/>
    <n v="419"/>
    <n v="11732000"/>
    <n v="2463720"/>
    <n v="14195720"/>
    <x v="0"/>
    <x v="0"/>
    <x v="0"/>
    <n v="14195720"/>
    <d v="2024-09-29T00:00:00"/>
    <d v="2024-09-29T00:00:00"/>
    <n v="-401"/>
    <x v="2"/>
    <x v="0"/>
    <d v="2024-10-06T00:00:00"/>
    <n v="16316"/>
    <d v="2024-08-06T00:00:00"/>
    <n v="560"/>
    <n v="25349.5"/>
    <n v="0"/>
    <n v="25349.5"/>
    <n v="-937.58424657534249"/>
    <n v="24411.915753424659"/>
    <x v="0"/>
    <x v="3"/>
    <x v="2"/>
    <x v="0"/>
    <n v="24440"/>
    <n v="-28.08424657534124"/>
    <n v="-1.1491099253413406E-3"/>
    <n v="-15727.178082191094"/>
    <n v="13686400"/>
    <n v="13670672.82191781"/>
    <x v="3"/>
    <x v="0"/>
    <x v="3"/>
    <x v="0"/>
    <x v="0"/>
    <n v="936.5"/>
    <n v="12527.495995728777"/>
    <n v="447.41057127602778"/>
  </r>
  <r>
    <x v="7"/>
    <x v="0"/>
    <x v="3"/>
    <d v="2025-01-09T00:00:00"/>
    <n v="2210"/>
    <x v="0"/>
    <x v="0"/>
    <d v="2025-01-09T00:00:00"/>
    <n v="28000"/>
    <n v="474.99770000000001"/>
    <n v="13299935.6"/>
    <n v="2792986.4759999998"/>
    <n v="16092922.075999999"/>
    <x v="0"/>
    <x v="0"/>
    <x v="0"/>
    <n v="16092922.075999999"/>
    <d v="2025-02-08T00:00:00"/>
    <d v="2025-02-08T00:00:00"/>
    <n v="-269"/>
    <x v="2"/>
    <x v="0"/>
    <d v="2025-02-15T00:00:00"/>
    <n v="16316"/>
    <d v="2024-08-06T00:00:00"/>
    <n v="560"/>
    <n v="28737.360850000001"/>
    <n v="-2225.4315825500003"/>
    <n v="26511.929267449999"/>
    <n v="-1062.8886889726027"/>
    <n v="25449.040578477398"/>
    <x v="0"/>
    <x v="3"/>
    <x v="2"/>
    <x v="0"/>
    <n v="24440"/>
    <n v="1009.0405784773975"/>
    <n v="4.1286439381235551E-2"/>
    <n v="565062.7239473426"/>
    <n v="13686400"/>
    <n v="14251462.723947342"/>
    <x v="3"/>
    <x v="0"/>
    <x v="3"/>
    <x v="0"/>
    <x v="0"/>
    <n v="936.5"/>
    <n v="14201.746502936465"/>
    <n v="507.20523224773086"/>
  </r>
  <r>
    <x v="7"/>
    <x v="0"/>
    <x v="13"/>
    <d v="2024-09-04T00:00:00"/>
    <n v="2024"/>
    <x v="0"/>
    <x v="0"/>
    <d v="2024-08-30T00:00:00"/>
    <n v="27500"/>
    <n v="435"/>
    <n v="11962500"/>
    <n v="2512125"/>
    <n v="14474625"/>
    <x v="0"/>
    <x v="0"/>
    <x v="0"/>
    <n v="14474625"/>
    <d v="2024-10-14T00:00:00"/>
    <d v="2024-10-19T00:00:00"/>
    <n v="-381"/>
    <x v="5"/>
    <x v="0"/>
    <d v="2024-10-26T00:00:00"/>
    <n v="44419"/>
    <d v="2024-07-25T00:00:00"/>
    <n v="550"/>
    <n v="26317.5"/>
    <n v="-2388.9513999999999"/>
    <n v="23928.548600000002"/>
    <n v="-1460.0804794520548"/>
    <n v="22468.468120547946"/>
    <x v="2"/>
    <x v="6"/>
    <x v="1"/>
    <x v="0"/>
    <n v="21670"/>
    <n v="798.46812054794646"/>
    <n v="3.6846706070509772E-2"/>
    <n v="439157.46630137053"/>
    <n v="11918500"/>
    <n v="12357657.46630137"/>
    <x v="3"/>
    <x v="0"/>
    <x v="3"/>
    <x v="0"/>
    <x v="0"/>
    <n v="929.16669999999999"/>
    <n v="12874.439000020126"/>
    <n v="468.16141818254999"/>
  </r>
  <r>
    <x v="7"/>
    <x v="0"/>
    <x v="26"/>
    <d v="2024-08-15T00:00:00"/>
    <n v="1995"/>
    <x v="0"/>
    <x v="0"/>
    <d v="2024-08-16T00:00:00"/>
    <n v="28000"/>
    <n v="469"/>
    <n v="13132000"/>
    <n v="2757720"/>
    <n v="15889720"/>
    <x v="0"/>
    <x v="0"/>
    <x v="0"/>
    <n v="15889720"/>
    <d v="2024-09-14T00:00:00"/>
    <d v="2024-09-05T00:00:00"/>
    <n v="-425"/>
    <x v="2"/>
    <x v="0"/>
    <d v="2024-09-12T00:00:00"/>
    <n v="2420"/>
    <d v="2024-08-08T00:00:00"/>
    <n v="560"/>
    <n v="28374.5"/>
    <n v="-2395.1224000000002"/>
    <n v="25979.3776"/>
    <n v="-1049.4678082191781"/>
    <n v="24929.909791780821"/>
    <x v="0"/>
    <x v="5"/>
    <x v="1"/>
    <x v="0"/>
    <n v="24385"/>
    <n v="544.90979178082125"/>
    <n v="2.2346105875777011E-2"/>
    <n v="305149.4833972599"/>
    <n v="13655600"/>
    <n v="13960749.48339726"/>
    <x v="3"/>
    <x v="0"/>
    <x v="4"/>
    <x v="0"/>
    <x v="0"/>
    <n v="937.58330000000001"/>
    <n v="14006.222167139709"/>
    <n v="500.22222025498962"/>
  </r>
  <r>
    <x v="7"/>
    <x v="0"/>
    <x v="15"/>
    <d v="2024-08-05T00:00:00"/>
    <n v="1969"/>
    <x v="0"/>
    <x v="0"/>
    <d v="2024-08-22T00:00:00"/>
    <n v="26477.708481000001"/>
    <n v="442"/>
    <n v="11703147.148602001"/>
    <n v="2457660.9012064203"/>
    <n v="14160808.049808422"/>
    <x v="0"/>
    <x v="0"/>
    <x v="0"/>
    <n v="14160808.049808422"/>
    <d v="2024-08-10T00:00:00"/>
    <d v="2024-09-04T00:00:00"/>
    <n v="-426"/>
    <x v="0"/>
    <x v="4"/>
    <d v="2024-09-11T00:00:00"/>
    <s v="WP 7/08"/>
    <d v="2024-08-07T00:00:00"/>
    <n v="529.55416962000004"/>
    <n v="26741"/>
    <n v="-2736.7174999999997"/>
    <n v="24004.282500000001"/>
    <n v="0"/>
    <n v="24004.282500000001"/>
    <x v="0"/>
    <x v="8"/>
    <x v="1"/>
    <x v="0"/>
    <n v="24265"/>
    <n v="-260.71749999999884"/>
    <n v="-1.0744590974654855E-2"/>
    <n v="-138064.03921790174"/>
    <n v="12849631.925829301"/>
    <n v="12711567.886611398"/>
    <x v="3"/>
    <x v="0"/>
    <x v="4"/>
    <x v="0"/>
    <x v="0"/>
    <n v="937.08330000000001"/>
    <n v="12488.908028349242"/>
    <n v="471.67631735620517"/>
  </r>
  <r>
    <x v="7"/>
    <x v="0"/>
    <x v="24"/>
    <d v="2024-08-12T00:00:00"/>
    <n v="1979"/>
    <x v="0"/>
    <x v="0"/>
    <d v="2024-08-12T00:00:00"/>
    <n v="28000"/>
    <n v="460"/>
    <n v="12880000"/>
    <n v="2704800"/>
    <n v="15584800"/>
    <x v="0"/>
    <x v="0"/>
    <x v="0"/>
    <n v="15584800"/>
    <d v="2024-08-19T00:00:00"/>
    <d v="2024-10-11T00:00:00"/>
    <n v="-389"/>
    <x v="3"/>
    <x v="0"/>
    <d v="2024-10-18T00:00:00"/>
    <s v="001-6612"/>
    <d v="2024-08-08T00:00:00"/>
    <n v="560"/>
    <n v="27830"/>
    <n v="-2382.5989"/>
    <n v="25447.401099999999"/>
    <n v="-240.17671232876714"/>
    <n v="25207.224387671231"/>
    <x v="0"/>
    <x v="15"/>
    <x v="1"/>
    <x v="0"/>
    <n v="24385"/>
    <n v="822.22438767123094"/>
    <n v="3.3718449361133107E-2"/>
    <n v="460445.65709588933"/>
    <n v="13655600"/>
    <n v="14116045.657095889"/>
    <x v="3"/>
    <x v="0"/>
    <x v="3"/>
    <x v="0"/>
    <x v="0"/>
    <n v="937.58330000000001"/>
    <n v="13737.446048793745"/>
    <n v="490.62307317120519"/>
  </r>
  <r>
    <x v="7"/>
    <x v="0"/>
    <x v="24"/>
    <d v="2024-08-12T00:00:00"/>
    <n v="1980"/>
    <x v="0"/>
    <x v="0"/>
    <d v="2024-08-16T00:00:00"/>
    <n v="28000"/>
    <n v="460"/>
    <n v="12880000"/>
    <n v="2704800"/>
    <n v="15584800"/>
    <x v="0"/>
    <x v="0"/>
    <x v="0"/>
    <n v="15584800"/>
    <d v="2024-08-23T00:00:00"/>
    <d v="2024-10-11T00:00:00"/>
    <n v="-389"/>
    <x v="3"/>
    <x v="0"/>
    <d v="2024-10-18T00:00:00"/>
    <s v="001-6612"/>
    <d v="2024-08-08T00:00:00"/>
    <n v="560"/>
    <n v="27830"/>
    <n v="-2382.5989"/>
    <n v="25447.401099999999"/>
    <n v="-240.17671232876714"/>
    <n v="25207.224387671231"/>
    <x v="0"/>
    <x v="15"/>
    <x v="1"/>
    <x v="0"/>
    <n v="24385"/>
    <n v="822.22438767123094"/>
    <n v="3.3718449361133107E-2"/>
    <n v="460445.65709588933"/>
    <n v="13655600"/>
    <n v="14116045.657095889"/>
    <x v="3"/>
    <x v="0"/>
    <x v="3"/>
    <x v="0"/>
    <x v="0"/>
    <n v="937.58330000000001"/>
    <n v="13737.446048793745"/>
    <n v="490.62307317120519"/>
  </r>
  <r>
    <x v="7"/>
    <x v="0"/>
    <x v="24"/>
    <d v="2024-08-12T00:00:00"/>
    <n v="1981"/>
    <x v="0"/>
    <x v="0"/>
    <d v="2024-08-20T00:00:00"/>
    <n v="28000"/>
    <n v="460"/>
    <n v="12880000"/>
    <n v="2704800"/>
    <n v="15584800"/>
    <x v="0"/>
    <x v="0"/>
    <x v="0"/>
    <n v="15584800"/>
    <d v="2024-08-27T00:00:00"/>
    <d v="2024-10-11T00:00:00"/>
    <n v="-389"/>
    <x v="3"/>
    <x v="0"/>
    <d v="2024-10-18T00:00:00"/>
    <s v="001-6612"/>
    <d v="2024-08-08T00:00:00"/>
    <n v="560"/>
    <n v="27830"/>
    <n v="-2382.5989"/>
    <n v="25447.401099999999"/>
    <n v="-240.17671232876714"/>
    <n v="25207.224387671231"/>
    <x v="0"/>
    <x v="15"/>
    <x v="1"/>
    <x v="0"/>
    <n v="24385"/>
    <n v="822.22438767123094"/>
    <n v="3.3718449361133107E-2"/>
    <n v="460445.65709588933"/>
    <n v="13655600"/>
    <n v="14116045.657095889"/>
    <x v="3"/>
    <x v="0"/>
    <x v="3"/>
    <x v="0"/>
    <x v="0"/>
    <n v="937.58330000000001"/>
    <n v="13737.446048793745"/>
    <n v="490.62307317120519"/>
  </r>
  <r>
    <x v="7"/>
    <x v="0"/>
    <x v="27"/>
    <d v="2024-08-15T00:00:00"/>
    <n v="1992"/>
    <x v="0"/>
    <x v="0"/>
    <d v="2024-08-14T00:00:00"/>
    <n v="28000"/>
    <n v="465"/>
    <n v="13020000"/>
    <n v="2734200"/>
    <n v="15754200"/>
    <x v="0"/>
    <x v="0"/>
    <x v="0"/>
    <n v="15754200"/>
    <d v="2024-09-13T00:00:00"/>
    <d v="2024-09-14T00:00:00"/>
    <n v="-416"/>
    <x v="2"/>
    <x v="4"/>
    <d v="2024-09-21T00:00:00"/>
    <n v="6598"/>
    <d v="2024-08-07T00:00:00"/>
    <n v="560"/>
    <n v="28132.5"/>
    <n v="-2394.3964000000001"/>
    <n v="25738.103599999999"/>
    <n v="-1040.5171232876712"/>
    <n v="24697.586476712328"/>
    <x v="0"/>
    <x v="17"/>
    <x v="1"/>
    <x v="0"/>
    <n v="24265"/>
    <n v="432.58647671232757"/>
    <n v="1.7827590220990119E-2"/>
    <n v="242248.42695890344"/>
    <n v="13588400"/>
    <n v="13830648.426958904"/>
    <x v="3"/>
    <x v="0"/>
    <x v="3"/>
    <x v="0"/>
    <x v="0"/>
    <n v="937.08330000000001"/>
    <n v="13894.175683207672"/>
    <n v="496.2205601145597"/>
  </r>
  <r>
    <x v="7"/>
    <x v="0"/>
    <x v="16"/>
    <d v="2024-08-14T00:00:00"/>
    <n v="1993"/>
    <x v="0"/>
    <x v="0"/>
    <d v="2024-08-14T00:00:00"/>
    <n v="28000"/>
    <n v="460"/>
    <n v="12880000"/>
    <n v="2704800"/>
    <n v="15584800"/>
    <x v="0"/>
    <x v="0"/>
    <x v="0"/>
    <n v="15584800"/>
    <d v="2024-08-21T00:00:00"/>
    <d v="2024-09-13T00:00:00"/>
    <n v="-417"/>
    <x v="3"/>
    <x v="3"/>
    <d v="2024-09-20T00:00:00"/>
    <n v="13219"/>
    <d v="2024-08-08T00:00:00"/>
    <n v="560"/>
    <n v="27830"/>
    <n v="-2593.5744999999997"/>
    <n v="25236.425500000001"/>
    <n v="-240.17671232876714"/>
    <n v="24996.248787671233"/>
    <x v="0"/>
    <x v="10"/>
    <x v="1"/>
    <x v="0"/>
    <n v="24385"/>
    <n v="611.248787671233"/>
    <n v="2.5066589611286938E-2"/>
    <n v="342299.32109589048"/>
    <n v="13655600"/>
    <n v="13997899.321095891"/>
    <x v="3"/>
    <x v="0"/>
    <x v="3"/>
    <x v="0"/>
    <x v="0"/>
    <n v="937.58330000000001"/>
    <n v="13737.446048793745"/>
    <n v="490.62307317120519"/>
  </r>
  <r>
    <x v="7"/>
    <x v="0"/>
    <x v="16"/>
    <d v="2024-08-16T00:00:00"/>
    <n v="1998"/>
    <x v="0"/>
    <x v="0"/>
    <d v="2024-08-16T00:00:00"/>
    <n v="28000"/>
    <n v="460"/>
    <n v="12880000"/>
    <n v="2704800"/>
    <n v="15584800"/>
    <x v="0"/>
    <x v="0"/>
    <x v="0"/>
    <n v="15584800"/>
    <d v="2024-08-23T00:00:00"/>
    <d v="2024-09-15T00:00:00"/>
    <n v="-415"/>
    <x v="3"/>
    <x v="3"/>
    <d v="2024-09-22T00:00:00"/>
    <n v="13220"/>
    <d v="2024-08-08T00:00:00"/>
    <n v="560"/>
    <n v="27830"/>
    <n v="-2593.5744999999997"/>
    <n v="25236.425500000001"/>
    <n v="-240.17671232876714"/>
    <n v="24996.248787671233"/>
    <x v="0"/>
    <x v="10"/>
    <x v="1"/>
    <x v="0"/>
    <n v="24385"/>
    <n v="611.248787671233"/>
    <n v="2.5066589611286938E-2"/>
    <n v="342299.32109589048"/>
    <n v="13655600"/>
    <n v="13997899.321095891"/>
    <x v="3"/>
    <x v="0"/>
    <x v="3"/>
    <x v="0"/>
    <x v="0"/>
    <n v="937.58330000000001"/>
    <n v="13737.446048793745"/>
    <n v="490.62307317120519"/>
  </r>
  <r>
    <x v="7"/>
    <x v="0"/>
    <x v="16"/>
    <d v="2024-08-09T00:00:00"/>
    <n v="1999"/>
    <x v="0"/>
    <x v="0"/>
    <d v="2024-08-15T00:00:00"/>
    <n v="28000"/>
    <n v="456"/>
    <n v="12768000"/>
    <n v="2681280"/>
    <n v="15449280"/>
    <x v="0"/>
    <x v="0"/>
    <x v="0"/>
    <n v="15449280"/>
    <d v="2024-08-22T00:00:00"/>
    <d v="2024-09-08T00:00:00"/>
    <n v="-422"/>
    <x v="3"/>
    <x v="3"/>
    <d v="2024-09-15T00:00:00"/>
    <n v="14401"/>
    <d v="2024-08-08T00:00:00"/>
    <n v="560"/>
    <n v="27588"/>
    <n v="-2392.7629000000002"/>
    <n v="25195.237099999998"/>
    <n v="-238.0882191780822"/>
    <n v="24957.148880821915"/>
    <x v="0"/>
    <x v="9"/>
    <x v="1"/>
    <x v="0"/>
    <n v="24385"/>
    <n v="572.14888082191464"/>
    <n v="2.3463148690666902E-2"/>
    <n v="320403.3732602722"/>
    <n v="13655600"/>
    <n v="13976003.373260273"/>
    <x v="3"/>
    <x v="0"/>
    <x v="3"/>
    <x v="0"/>
    <x v="0"/>
    <n v="937.58330000000001"/>
    <n v="13617.989996195538"/>
    <n v="486.35678557841209"/>
  </r>
  <r>
    <x v="7"/>
    <x v="0"/>
    <x v="16"/>
    <d v="2024-08-09T00:00:00"/>
    <n v="2004"/>
    <x v="0"/>
    <x v="0"/>
    <d v="2024-08-16T00:00:00"/>
    <n v="28000"/>
    <n v="456"/>
    <n v="12768000"/>
    <n v="2681280"/>
    <n v="15449280"/>
    <x v="0"/>
    <x v="0"/>
    <x v="0"/>
    <n v="15449280"/>
    <d v="2024-08-23T00:00:00"/>
    <d v="2024-09-08T00:00:00"/>
    <n v="-422"/>
    <x v="3"/>
    <x v="3"/>
    <d v="2024-09-15T00:00:00"/>
    <n v="14402"/>
    <d v="2024-08-08T00:00:00"/>
    <n v="560"/>
    <n v="27588"/>
    <n v="-2392.7629000000002"/>
    <n v="25195.237099999998"/>
    <n v="-238.0882191780822"/>
    <n v="24957.148880821915"/>
    <x v="0"/>
    <x v="9"/>
    <x v="1"/>
    <x v="0"/>
    <n v="24385"/>
    <n v="572.14888082191464"/>
    <n v="2.3463148690666902E-2"/>
    <n v="320403.3732602722"/>
    <n v="13655600"/>
    <n v="13976003.373260273"/>
    <x v="3"/>
    <x v="0"/>
    <x v="3"/>
    <x v="0"/>
    <x v="0"/>
    <n v="937.58330000000001"/>
    <n v="13617.989996195538"/>
    <n v="486.35678557841209"/>
  </r>
  <r>
    <x v="7"/>
    <x v="0"/>
    <x v="4"/>
    <d v="2024-08-12T00:00:00"/>
    <s v="V19"/>
    <x v="0"/>
    <x v="0"/>
    <d v="2024-08-12T00:00:00"/>
    <n v="40000"/>
    <n v="470"/>
    <n v="18800000"/>
    <m/>
    <n v="18800000"/>
    <x v="0"/>
    <x v="0"/>
    <x v="0"/>
    <n v="18800000"/>
    <d v="2024-08-12T00:00:00"/>
    <d v="2024-08-12T00:00:00"/>
    <n v="-449"/>
    <x v="0"/>
    <x v="2"/>
    <d v="2024-08-19T00:00:00"/>
    <s v="SOC 19"/>
    <d v="2024-08-12T00:00:00"/>
    <n v="800"/>
    <n v="23500"/>
    <n v="0"/>
    <n v="23500"/>
    <n v="0"/>
    <n v="23500"/>
    <x v="0"/>
    <x v="3"/>
    <x v="3"/>
    <x v="2"/>
    <n v="20549.586776859505"/>
    <n v="2950.4132231404947"/>
    <n v="0.14357530665594198"/>
    <n v="2360330.5785123957"/>
    <n v="16439669.421487603"/>
    <n v="18800000"/>
    <x v="3"/>
    <x v="0"/>
    <x v="5"/>
    <x v="0"/>
    <x v="0"/>
    <n v="939.83330000000001"/>
    <n v="20003.547437614736"/>
    <n v="500.08868594036841"/>
  </r>
  <r>
    <x v="7"/>
    <x v="0"/>
    <x v="4"/>
    <d v="2024-08-13T00:00:00"/>
    <s v="V20"/>
    <x v="0"/>
    <x v="0"/>
    <d v="2024-08-13T00:00:00"/>
    <n v="40000"/>
    <n v="470"/>
    <n v="18800000"/>
    <m/>
    <n v="18800000"/>
    <x v="0"/>
    <x v="0"/>
    <x v="0"/>
    <n v="18800000"/>
    <d v="2024-08-13T00:00:00"/>
    <d v="2024-08-13T00:00:00"/>
    <n v="-448"/>
    <x v="0"/>
    <x v="2"/>
    <d v="2024-08-20T00:00:00"/>
    <s v="SOC 20"/>
    <d v="2024-08-13T00:00:00"/>
    <n v="800"/>
    <n v="23500"/>
    <n v="0"/>
    <n v="23500"/>
    <n v="0"/>
    <n v="23500"/>
    <x v="0"/>
    <x v="3"/>
    <x v="3"/>
    <x v="2"/>
    <n v="20648.760330578512"/>
    <n v="2851.2396694214876"/>
    <n v="0.13808284970982587"/>
    <n v="2280991.73553719"/>
    <n v="16519008.26446281"/>
    <n v="18800000"/>
    <x v="3"/>
    <x v="0"/>
    <x v="3"/>
    <x v="0"/>
    <x v="0"/>
    <n v="940.33330000000001"/>
    <n v="19992.911024208119"/>
    <n v="499.82277560520299"/>
  </r>
  <r>
    <x v="7"/>
    <x v="0"/>
    <x v="4"/>
    <d v="2024-08-14T00:00:00"/>
    <s v="V21"/>
    <x v="0"/>
    <x v="0"/>
    <d v="2024-08-14T00:00:00"/>
    <n v="40000"/>
    <n v="470"/>
    <n v="18800000"/>
    <m/>
    <n v="18800000"/>
    <x v="0"/>
    <x v="0"/>
    <x v="0"/>
    <n v="18800000"/>
    <d v="2024-08-14T00:00:00"/>
    <d v="2024-08-14T00:00:00"/>
    <n v="-447"/>
    <x v="0"/>
    <x v="2"/>
    <d v="2024-08-21T00:00:00"/>
    <s v="SOC 21"/>
    <d v="2024-08-14T00:00:00"/>
    <n v="800"/>
    <n v="23500"/>
    <n v="0"/>
    <n v="23500"/>
    <n v="0"/>
    <n v="23500"/>
    <x v="0"/>
    <x v="3"/>
    <x v="3"/>
    <x v="2"/>
    <n v="20747.933884297523"/>
    <n v="2752.066115702477"/>
    <n v="0.13264289982075272"/>
    <n v="2201652.8925619815"/>
    <n v="16598347.107438019"/>
    <n v="18800000"/>
    <x v="3"/>
    <x v="0"/>
    <x v="3"/>
    <x v="0"/>
    <x v="0"/>
    <n v="941.66669999999999"/>
    <n v="19964.601063199963"/>
    <n v="499.1150265799991"/>
  </r>
  <r>
    <x v="7"/>
    <x v="19"/>
    <x v="19"/>
    <d v="2024-08-19T00:00:00"/>
    <n v="2001"/>
    <x v="0"/>
    <x v="0"/>
    <d v="2024-08-30T00:00:00"/>
    <n v="27500"/>
    <n v="473"/>
    <n v="13007500"/>
    <n v="2731575"/>
    <n v="15739075"/>
    <x v="0"/>
    <x v="0"/>
    <x v="0"/>
    <n v="15739075"/>
    <d v="2024-08-30T00:00:00"/>
    <d v="2024-08-30T00:00:00"/>
    <n v="-431"/>
    <x v="0"/>
    <x v="0"/>
    <d v="2024-09-06T00:00:00"/>
    <n v="6245"/>
    <d v="2024-08-13T00:00:00"/>
    <n v="550"/>
    <n v="28616.5"/>
    <n v="-2742.3439999999996"/>
    <n v="25874.155999999999"/>
    <n v="0"/>
    <n v="25874.155999999999"/>
    <x v="2"/>
    <x v="13"/>
    <x v="5"/>
    <x v="0"/>
    <n v="24985"/>
    <n v="889.15599999999904"/>
    <n v="3.5587592555533343E-2"/>
    <n v="489035.79999999946"/>
    <n v="13741750"/>
    <n v="14230785.799999999"/>
    <x v="3"/>
    <x v="0"/>
    <x v="3"/>
    <x v="0"/>
    <x v="0"/>
    <n v="940.33330000000001"/>
    <n v="13832.861178052506"/>
    <n v="503.01313374736384"/>
  </r>
  <r>
    <x v="7"/>
    <x v="0"/>
    <x v="18"/>
    <d v="2024-08-13T00:00:00"/>
    <n v="1987"/>
    <x v="0"/>
    <x v="0"/>
    <d v="2024-08-18T00:00:00"/>
    <n v="28000"/>
    <n v="445"/>
    <n v="12460000"/>
    <n v="2616600"/>
    <n v="15076600"/>
    <x v="0"/>
    <x v="0"/>
    <x v="0"/>
    <n v="15076600"/>
    <d v="2024-08-13T00:00:00"/>
    <d v="2024-08-14T00:00:00"/>
    <n v="-447"/>
    <x v="0"/>
    <x v="0"/>
    <d v="2024-08-21T00:00:00"/>
    <n v="11409"/>
    <d v="2024-08-13T00:00:00"/>
    <n v="560"/>
    <n v="26922.5"/>
    <n v="-1799.5482999999999"/>
    <n v="25122.951700000001"/>
    <n v="0"/>
    <n v="25122.951700000001"/>
    <x v="0"/>
    <x v="12"/>
    <x v="0"/>
    <x v="0"/>
    <n v="24985"/>
    <n v="137.95170000000144"/>
    <n v="5.5213808284970689E-3"/>
    <n v="77252.952000000805"/>
    <n v="13991600"/>
    <n v="14068852.952000001"/>
    <x v="3"/>
    <x v="0"/>
    <x v="3"/>
    <x v="0"/>
    <x v="0"/>
    <n v="940.33330000000001"/>
    <n v="13250.620817108147"/>
    <n v="473.2364577538624"/>
  </r>
  <r>
    <x v="7"/>
    <x v="0"/>
    <x v="18"/>
    <d v="2024-08-13T00:00:00"/>
    <n v="1988"/>
    <x v="0"/>
    <x v="0"/>
    <d v="2024-09-09T00:00:00"/>
    <n v="28000"/>
    <n v="445"/>
    <n v="12460000"/>
    <n v="2616600"/>
    <n v="15076600"/>
    <x v="0"/>
    <x v="0"/>
    <x v="0"/>
    <n v="15076600"/>
    <d v="2024-08-13T00:00:00"/>
    <d v="2024-08-14T00:00:00"/>
    <n v="-447"/>
    <x v="0"/>
    <x v="0"/>
    <d v="2024-08-21T00:00:00"/>
    <n v="11409"/>
    <d v="2024-08-13T00:00:00"/>
    <n v="560"/>
    <n v="26922.5"/>
    <n v="-1799.5482999999999"/>
    <n v="25122.951700000001"/>
    <n v="0"/>
    <n v="25122.951700000001"/>
    <x v="0"/>
    <x v="12"/>
    <x v="0"/>
    <x v="0"/>
    <n v="24985"/>
    <n v="137.95170000000144"/>
    <n v="5.5213808284970689E-3"/>
    <n v="77252.952000000805"/>
    <n v="13991600"/>
    <n v="14068852.952000001"/>
    <x v="3"/>
    <x v="0"/>
    <x v="5"/>
    <x v="0"/>
    <x v="0"/>
    <n v="940.33330000000001"/>
    <n v="13250.620817108147"/>
    <n v="473.2364577538624"/>
  </r>
  <r>
    <x v="7"/>
    <x v="0"/>
    <x v="18"/>
    <d v="2024-08-13T00:00:00"/>
    <n v="1989"/>
    <x v="0"/>
    <x v="0"/>
    <d v="2024-09-10T00:00:00"/>
    <n v="28000"/>
    <n v="445"/>
    <n v="12460000"/>
    <n v="2616600"/>
    <n v="15076600"/>
    <x v="0"/>
    <x v="0"/>
    <x v="0"/>
    <n v="15076600"/>
    <d v="2024-08-13T00:00:00"/>
    <d v="2024-08-14T00:00:00"/>
    <n v="-447"/>
    <x v="0"/>
    <x v="0"/>
    <d v="2024-08-21T00:00:00"/>
    <n v="11409"/>
    <d v="2024-08-13T00:00:00"/>
    <n v="560"/>
    <n v="26922.5"/>
    <n v="-1799.5482999999999"/>
    <n v="25122.951700000001"/>
    <n v="0"/>
    <n v="25122.951700000001"/>
    <x v="0"/>
    <x v="12"/>
    <x v="0"/>
    <x v="0"/>
    <n v="24985"/>
    <n v="137.95170000000144"/>
    <n v="5.5213808284970689E-3"/>
    <n v="77252.952000000805"/>
    <n v="13991600"/>
    <n v="14068852.952000001"/>
    <x v="3"/>
    <x v="0"/>
    <x v="5"/>
    <x v="0"/>
    <x v="0"/>
    <n v="940.33330000000001"/>
    <n v="13250.620817108147"/>
    <n v="473.2364577538624"/>
  </r>
  <r>
    <x v="7"/>
    <x v="0"/>
    <x v="18"/>
    <d v="2024-08-13T00:00:00"/>
    <n v="1990"/>
    <x v="0"/>
    <x v="0"/>
    <d v="2024-09-11T00:00:00"/>
    <n v="28000"/>
    <n v="445"/>
    <n v="12460000"/>
    <n v="2616600"/>
    <n v="15076600"/>
    <x v="0"/>
    <x v="0"/>
    <x v="0"/>
    <n v="15076600"/>
    <d v="2024-08-13T00:00:00"/>
    <d v="2024-08-14T00:00:00"/>
    <n v="-447"/>
    <x v="0"/>
    <x v="0"/>
    <d v="2024-08-21T00:00:00"/>
    <n v="11409"/>
    <d v="2024-08-13T00:00:00"/>
    <n v="560"/>
    <n v="26922.5"/>
    <n v="-1799.5482999999999"/>
    <n v="25122.951700000001"/>
    <n v="0"/>
    <n v="25122.951700000001"/>
    <x v="0"/>
    <x v="12"/>
    <x v="0"/>
    <x v="0"/>
    <n v="24985"/>
    <n v="137.95170000000144"/>
    <n v="5.5213808284970689E-3"/>
    <n v="77252.952000000805"/>
    <n v="13991600"/>
    <n v="14068852.952000001"/>
    <x v="3"/>
    <x v="0"/>
    <x v="3"/>
    <x v="0"/>
    <x v="0"/>
    <n v="940.33330000000001"/>
    <n v="13250.620817108147"/>
    <n v="473.2364577538624"/>
  </r>
  <r>
    <x v="7"/>
    <x v="0"/>
    <x v="18"/>
    <d v="2024-08-13T00:00:00"/>
    <n v="2002"/>
    <x v="0"/>
    <x v="0"/>
    <d v="2024-09-15T00:00:00"/>
    <n v="28000"/>
    <n v="445"/>
    <n v="12460000"/>
    <n v="2616600"/>
    <n v="15076600"/>
    <x v="0"/>
    <x v="0"/>
    <x v="0"/>
    <n v="15076600"/>
    <d v="2024-08-13T00:00:00"/>
    <d v="2024-08-14T00:00:00"/>
    <n v="-447"/>
    <x v="0"/>
    <x v="0"/>
    <d v="2024-08-21T00:00:00"/>
    <n v="11409"/>
    <d v="2024-08-13T00:00:00"/>
    <n v="560"/>
    <n v="26922.5"/>
    <n v="-1799.5482999999999"/>
    <n v="25122.951700000001"/>
    <n v="0"/>
    <n v="25122.951700000001"/>
    <x v="0"/>
    <x v="12"/>
    <x v="0"/>
    <x v="0"/>
    <n v="24985"/>
    <n v="137.95170000000144"/>
    <n v="5.5213808284970689E-3"/>
    <n v="77252.952000000805"/>
    <n v="13991600"/>
    <n v="14068852.952000001"/>
    <x v="3"/>
    <x v="0"/>
    <x v="3"/>
    <x v="0"/>
    <x v="0"/>
    <n v="940.33330000000001"/>
    <n v="13250.620817108147"/>
    <n v="473.2364577538624"/>
  </r>
  <r>
    <x v="7"/>
    <x v="0"/>
    <x v="18"/>
    <d v="2024-08-13T00:00:00"/>
    <n v="2003"/>
    <x v="0"/>
    <x v="0"/>
    <d v="2024-09-18T00:00:00"/>
    <n v="28000"/>
    <n v="445"/>
    <n v="12460000"/>
    <n v="2616600"/>
    <n v="15076600"/>
    <x v="0"/>
    <x v="0"/>
    <x v="0"/>
    <n v="15076600"/>
    <d v="2024-08-13T00:00:00"/>
    <d v="2024-08-14T00:00:00"/>
    <n v="-447"/>
    <x v="0"/>
    <x v="0"/>
    <d v="2024-08-21T00:00:00"/>
    <n v="11409"/>
    <d v="2024-08-13T00:00:00"/>
    <n v="560"/>
    <n v="26922.5"/>
    <n v="-1799.5482999999999"/>
    <n v="25122.951700000001"/>
    <n v="0"/>
    <n v="25122.951700000001"/>
    <x v="0"/>
    <x v="12"/>
    <x v="0"/>
    <x v="0"/>
    <n v="24985"/>
    <n v="137.95170000000144"/>
    <n v="5.5213808284970689E-3"/>
    <n v="77252.952000000805"/>
    <n v="13991600"/>
    <n v="14068852.952000001"/>
    <x v="3"/>
    <x v="0"/>
    <x v="3"/>
    <x v="0"/>
    <x v="0"/>
    <n v="940.33330000000001"/>
    <n v="13250.620817108147"/>
    <n v="473.2364577538624"/>
  </r>
  <r>
    <x v="7"/>
    <x v="0"/>
    <x v="28"/>
    <d v="2024-08-22T00:00:00"/>
    <n v="2006"/>
    <x v="0"/>
    <x v="0"/>
    <d v="2024-08-22T00:00:00"/>
    <n v="28000"/>
    <n v="479"/>
    <n v="13412000"/>
    <n v="2816520"/>
    <n v="16228520"/>
    <x v="0"/>
    <x v="0"/>
    <x v="0"/>
    <n v="16228520"/>
    <d v="2024-09-21T00:00:00"/>
    <d v="2024-09-21T00:00:00"/>
    <n v="-409"/>
    <x v="2"/>
    <x v="0"/>
    <d v="2024-09-28T00:00:00"/>
    <n v="1415"/>
    <d v="2024-08-13T00:00:00"/>
    <n v="560"/>
    <n v="28979.5"/>
    <n v="-2743.433"/>
    <n v="26236.066999999999"/>
    <n v="-1071.8445205479452"/>
    <n v="25164.222479452055"/>
    <x v="0"/>
    <x v="18"/>
    <x v="1"/>
    <x v="0"/>
    <n v="24985"/>
    <n v="179.22247945205527"/>
    <n v="7.1732030999420715E-3"/>
    <n v="100364.58849315095"/>
    <n v="13991600"/>
    <n v="14091964.588493152"/>
    <x v="3"/>
    <x v="0"/>
    <x v="5"/>
    <x v="0"/>
    <x v="0"/>
    <n v="940.33330000000001"/>
    <n v="14263.027800887196"/>
    <n v="509.39385003168553"/>
  </r>
  <r>
    <x v="7"/>
    <x v="0"/>
    <x v="19"/>
    <d v="2024-08-26T00:00:00"/>
    <n v="2007"/>
    <x v="0"/>
    <x v="0"/>
    <d v="2024-08-26T00:00:00"/>
    <n v="27500"/>
    <n v="497"/>
    <n v="13667500"/>
    <n v="2870175"/>
    <n v="16537675"/>
    <x v="0"/>
    <x v="0"/>
    <x v="0"/>
    <n v="16537675"/>
    <d v="2024-08-26T00:00:00"/>
    <d v="2024-09-25T00:00:00"/>
    <n v="-405"/>
    <x v="0"/>
    <x v="0"/>
    <d v="2024-10-02T00:00:00"/>
    <n v="6245"/>
    <d v="2024-08-13T00:00:00"/>
    <n v="550"/>
    <n v="30068.5"/>
    <n v="-2746.7"/>
    <n v="27321.8"/>
    <n v="0"/>
    <n v="27321.8"/>
    <x v="2"/>
    <x v="13"/>
    <x v="5"/>
    <x v="0"/>
    <n v="24985"/>
    <n v="2336.7999999999993"/>
    <n v="9.352811687012208E-2"/>
    <n v="1285239.9999999995"/>
    <n v="13741750"/>
    <n v="15026990"/>
    <x v="3"/>
    <x v="0"/>
    <x v="5"/>
    <x v="0"/>
    <x v="0"/>
    <n v="940.33330000000001"/>
    <n v="14534.739969327897"/>
    <n v="528.53599888465078"/>
  </r>
  <r>
    <x v="7"/>
    <x v="0"/>
    <x v="28"/>
    <d v="2024-08-29T00:00:00"/>
    <n v="2020"/>
    <x v="0"/>
    <x v="0"/>
    <d v="2024-08-29T00:00:00"/>
    <n v="28000"/>
    <n v="479"/>
    <n v="13412000"/>
    <n v="2816520"/>
    <n v="16228520"/>
    <x v="0"/>
    <x v="0"/>
    <x v="0"/>
    <n v="16228520"/>
    <d v="2024-09-28T00:00:00"/>
    <d v="2024-09-28T00:00:00"/>
    <n v="-402"/>
    <x v="2"/>
    <x v="0"/>
    <d v="2024-10-05T00:00:00"/>
    <n v="1415"/>
    <d v="2024-08-13T00:00:00"/>
    <n v="560"/>
    <n v="28979.5"/>
    <n v="-2743.433"/>
    <n v="26236.066999999999"/>
    <n v="-1071.8445205479452"/>
    <n v="25164.222479452055"/>
    <x v="0"/>
    <x v="19"/>
    <x v="1"/>
    <x v="0"/>
    <n v="24985"/>
    <n v="179.22247945205527"/>
    <n v="7.1732030999420715E-3"/>
    <n v="100364.58849315095"/>
    <n v="13991600"/>
    <n v="14091964.588493152"/>
    <x v="3"/>
    <x v="0"/>
    <x v="3"/>
    <x v="0"/>
    <x v="0"/>
    <n v="940.33330000000001"/>
    <n v="14263.027800887196"/>
    <n v="509.39385003168553"/>
  </r>
  <r>
    <x v="7"/>
    <x v="0"/>
    <x v="10"/>
    <d v="2024-08-16T00:00:00"/>
    <n v="1997"/>
    <x v="0"/>
    <x v="0"/>
    <d v="2024-08-22T00:00:00"/>
    <n v="28000"/>
    <n v="449"/>
    <n v="12572000"/>
    <n v="2640120"/>
    <n v="15212120"/>
    <x v="0"/>
    <x v="0"/>
    <x v="0"/>
    <n v="15212120"/>
    <d v="2024-08-22T00:00:00"/>
    <d v="2024-09-15T00:00:00"/>
    <n v="-415"/>
    <x v="0"/>
    <x v="0"/>
    <d v="2024-09-22T00:00:00"/>
    <s v="WP 16/8"/>
    <d v="2024-08-16T00:00:00"/>
    <n v="560"/>
    <n v="27164.5"/>
    <n v="0"/>
    <n v="27164.5"/>
    <n v="0"/>
    <n v="27164.5"/>
    <x v="0"/>
    <x v="3"/>
    <x v="2"/>
    <x v="0"/>
    <n v="25200"/>
    <n v="1964.5"/>
    <n v="7.7956349206349307E-2"/>
    <n v="1100120"/>
    <n v="14112000"/>
    <n v="15212120"/>
    <x v="3"/>
    <x v="0"/>
    <x v="4"/>
    <x v="0"/>
    <x v="0"/>
    <n v="944"/>
    <n v="13317.796610169491"/>
    <n v="475.63559322033899"/>
  </r>
  <r>
    <x v="7"/>
    <x v="0"/>
    <x v="17"/>
    <d v="2024-09-04T00:00:00"/>
    <n v="539"/>
    <x v="0"/>
    <x v="0"/>
    <d v="2024-09-02T00:00:00"/>
    <n v="28000"/>
    <n v="465"/>
    <n v="13020000"/>
    <n v="2734200"/>
    <n v="15754200"/>
    <x v="0"/>
    <x v="0"/>
    <x v="0"/>
    <n v="15754200"/>
    <d v="2024-09-11T00:00:00"/>
    <d v="2024-11-03T00:00:00"/>
    <n v="-366"/>
    <x v="3"/>
    <x v="0"/>
    <d v="2024-11-10T00:00:00"/>
    <n v="300176771"/>
    <d v="2024-08-23T00:00:00"/>
    <n v="560"/>
    <n v="28132.5"/>
    <n v="-2461.2004999999999"/>
    <n v="25671.299500000001"/>
    <n v="-178.04404109589044"/>
    <n v="25493.25545890411"/>
    <x v="3"/>
    <x v="11"/>
    <x v="1"/>
    <x v="0"/>
    <n v="25395"/>
    <n v="98.255458904110128"/>
    <n v="3.8690867849620059E-3"/>
    <n v="55023.056986301672"/>
    <n v="14221200"/>
    <n v="14276223.056986302"/>
    <x v="3"/>
    <x v="0"/>
    <x v="4"/>
    <x v="0"/>
    <x v="0"/>
    <n v="948.16669999999999"/>
    <n v="13731.762568755052"/>
    <n v="490.42009174125184"/>
  </r>
  <r>
    <x v="7"/>
    <x v="12"/>
    <x v="17"/>
    <d v="2024-10-23T00:00:00"/>
    <s v="0007A00000539"/>
    <x v="0"/>
    <x v="0"/>
    <d v="2024-10-21T00:00:00"/>
    <n v="-800"/>
    <n v="465"/>
    <n v="-372000"/>
    <n v="-78120"/>
    <n v="-450120"/>
    <x v="0"/>
    <x v="0"/>
    <x v="0"/>
    <n v="-450120"/>
    <d v="2024-10-23T00:00:00"/>
    <d v="2024-10-23T00:00:00"/>
    <n v="-377"/>
    <x v="0"/>
    <x v="5"/>
    <d v="2024-10-30T00:00:00"/>
    <n v="0"/>
    <d v="2024-08-23T00:00:00"/>
    <n v="-16"/>
    <n v="28132.5"/>
    <n v="0"/>
    <n v="28132.5"/>
    <n v="0"/>
    <n v="28132.5"/>
    <x v="3"/>
    <x v="11"/>
    <x v="1"/>
    <x v="0"/>
    <n v="25395"/>
    <n v="2737.5"/>
    <n v="0.10779681039574718"/>
    <n v="-43800"/>
    <n v="-406320"/>
    <n v="-450120"/>
    <x v="3"/>
    <x v="0"/>
    <x v="3"/>
    <x v="0"/>
    <x v="0"/>
    <n v="948.16669999999999"/>
    <n v="-392.33607339300147"/>
    <n v="490.42009174125184"/>
  </r>
  <r>
    <x v="7"/>
    <x v="0"/>
    <x v="2"/>
    <d v="2024-08-24T00:00:00"/>
    <s v="00014-00000001"/>
    <x v="0"/>
    <x v="0"/>
    <d v="2024-08-28T00:00:00"/>
    <n v="28000"/>
    <n v="425.72879999999998"/>
    <n v="11920406.399999999"/>
    <m/>
    <n v="11920406.399999999"/>
    <x v="0"/>
    <x v="0"/>
    <x v="0"/>
    <n v="11920406.399999999"/>
    <d v="2024-08-24T00:00:00"/>
    <d v="2024-08-14T00:00:00"/>
    <n v="-447"/>
    <x v="0"/>
    <x v="1"/>
    <d v="2024-08-21T00:00:00"/>
    <s v="D7462"/>
    <d v="2024-08-14T00:00:00"/>
    <n v="560"/>
    <n v="21286.44"/>
    <n v="0"/>
    <n v="21286.44"/>
    <n v="0"/>
    <n v="21286.44"/>
    <x v="4"/>
    <x v="3"/>
    <x v="2"/>
    <x v="1"/>
    <n v="20747.933884297523"/>
    <n v="538.50611570247565"/>
    <n v="2.5954686317466447E-2"/>
    <n v="301563.42479338637"/>
    <n v="11618842.975206614"/>
    <n v="11920406.399999999"/>
    <x v="3"/>
    <x v="0"/>
    <x v="5"/>
    <x v="0"/>
    <x v="0"/>
    <n v="941.66669999999999"/>
    <n v="12658.838206766788"/>
    <n v="452.10136452738527"/>
  </r>
  <r>
    <x v="7"/>
    <x v="0"/>
    <x v="20"/>
    <d v="2024-08-29T00:00:00"/>
    <n v="537"/>
    <x v="0"/>
    <x v="0"/>
    <d v="2024-08-29T00:00:00"/>
    <n v="28000"/>
    <n v="465"/>
    <n v="13020000"/>
    <n v="2734200"/>
    <n v="15754200"/>
    <x v="0"/>
    <x v="0"/>
    <x v="0"/>
    <n v="15754200"/>
    <d v="2024-09-28T00:00:00"/>
    <d v="2024-10-28T00:00:00"/>
    <n v="-372"/>
    <x v="2"/>
    <x v="0"/>
    <d v="2024-11-04T00:00:00"/>
    <n v="622483"/>
    <d v="2024-08-26T00:00:00"/>
    <n v="560"/>
    <n v="28132.5"/>
    <n v="0"/>
    <n v="28132.5"/>
    <n v="-1040.5171232876712"/>
    <n v="27091.982876712329"/>
    <x v="3"/>
    <x v="3"/>
    <x v="2"/>
    <x v="0"/>
    <n v="25155"/>
    <n v="1936.982876712329"/>
    <n v="7.7001903268230087E-2"/>
    <n v="1084710.4109589043"/>
    <n v="14086800"/>
    <n v="15171510.410958905"/>
    <x v="3"/>
    <x v="0"/>
    <x v="5"/>
    <x v="0"/>
    <x v="0"/>
    <n v="949.08330000000001"/>
    <n v="13718.50078912989"/>
    <n v="489.94645675463892"/>
  </r>
  <r>
    <x v="7"/>
    <x v="0"/>
    <x v="20"/>
    <d v="2024-08-29T00:00:00"/>
    <n v="538"/>
    <x v="0"/>
    <x v="0"/>
    <d v="2024-08-29T00:00:00"/>
    <n v="28000"/>
    <n v="465"/>
    <n v="13020000"/>
    <n v="2734200"/>
    <n v="15754200"/>
    <x v="0"/>
    <x v="0"/>
    <x v="0"/>
    <n v="15754200"/>
    <d v="2024-09-28T00:00:00"/>
    <d v="2024-10-28T00:00:00"/>
    <n v="-372"/>
    <x v="2"/>
    <x v="0"/>
    <d v="2024-11-04T00:00:00"/>
    <s v=" 623102"/>
    <d v="2024-08-29T00:00:00"/>
    <n v="560"/>
    <n v="28132.5"/>
    <n v="0"/>
    <n v="28132.5"/>
    <n v="-1040.5171232876712"/>
    <n v="27091.982876712329"/>
    <x v="3"/>
    <x v="3"/>
    <x v="2"/>
    <x v="0"/>
    <n v="24915"/>
    <n v="2176.982876712329"/>
    <n v="8.7376394810850133E-2"/>
    <n v="1219110.4109589043"/>
    <n v="13952400"/>
    <n v="15171510.410958905"/>
    <x v="3"/>
    <x v="0"/>
    <x v="5"/>
    <x v="0"/>
    <x v="0"/>
    <n v="950.66669999999999"/>
    <n v="13695.651693700853"/>
    <n v="489.13041763217331"/>
  </r>
  <r>
    <x v="8"/>
    <x v="0"/>
    <x v="29"/>
    <d v="2024-09-09T00:00:00"/>
    <n v="2036"/>
    <x v="0"/>
    <x v="0"/>
    <d v="2024-09-09T00:00:00"/>
    <n v="28000"/>
    <n v="511"/>
    <n v="14308000"/>
    <n v="3004680"/>
    <n v="17312680"/>
    <x v="0"/>
    <x v="0"/>
    <x v="0"/>
    <n v="17312680"/>
    <d v="2024-10-09T00:00:00"/>
    <d v="2024-10-09T00:00:00"/>
    <n v="-391"/>
    <x v="2"/>
    <x v="3"/>
    <d v="2024-10-16T00:00:00"/>
    <s v="WP 20/8"/>
    <d v="2024-08-20T00:00:00"/>
    <n v="560"/>
    <n v="30915.5"/>
    <n v="-2749.241"/>
    <n v="28166.258999999998"/>
    <n v="-1143.4499999999998"/>
    <n v="27022.808999999997"/>
    <x v="3"/>
    <x v="20"/>
    <x v="1"/>
    <x v="0"/>
    <n v="25320"/>
    <n v="1702.8089999999975"/>
    <n v="6.725154028436009E-2"/>
    <n v="953573.03999999864"/>
    <n v="14179200"/>
    <n v="15132773.039999999"/>
    <x v="3"/>
    <x v="0"/>
    <x v="5"/>
    <x v="0"/>
    <x v="0"/>
    <n v="944.83330000000001"/>
    <n v="15143.412070679558"/>
    <n v="540.83614538141285"/>
  </r>
  <r>
    <x v="8"/>
    <x v="0"/>
    <x v="29"/>
    <d v="2024-10-04T00:00:00"/>
    <n v="2076"/>
    <x v="0"/>
    <x v="0"/>
    <d v="2024-10-04T00:00:00"/>
    <n v="28000"/>
    <n v="511"/>
    <n v="14308000"/>
    <n v="3004680"/>
    <n v="17312680"/>
    <x v="0"/>
    <x v="0"/>
    <x v="0"/>
    <n v="17312680"/>
    <d v="2024-11-03T00:00:00"/>
    <d v="2024-11-03T00:00:00"/>
    <n v="-366"/>
    <x v="2"/>
    <x v="3"/>
    <d v="2024-11-10T00:00:00"/>
    <s v="WP 20/8"/>
    <d v="2024-08-20T00:00:00"/>
    <n v="560"/>
    <n v="30915.5"/>
    <n v="-2749.241"/>
    <n v="28166.258999999998"/>
    <n v="-1143.4499999999998"/>
    <n v="27022.808999999997"/>
    <x v="3"/>
    <x v="20"/>
    <x v="1"/>
    <x v="0"/>
    <n v="25320"/>
    <n v="1702.8089999999975"/>
    <n v="6.725154028436009E-2"/>
    <n v="953573.03999999864"/>
    <n v="14179200"/>
    <n v="15132773.039999999"/>
    <x v="3"/>
    <x v="0"/>
    <x v="4"/>
    <x v="0"/>
    <x v="0"/>
    <n v="944.83330000000001"/>
    <n v="15143.412070679558"/>
    <n v="540.83614538141285"/>
  </r>
  <r>
    <x v="8"/>
    <x v="0"/>
    <x v="6"/>
    <d v="2024-09-04T00:00:00"/>
    <n v="2035"/>
    <x v="0"/>
    <x v="0"/>
    <d v="2024-09-04T00:00:00"/>
    <n v="28000"/>
    <n v="509"/>
    <n v="14252000"/>
    <n v="2992920"/>
    <n v="17244920"/>
    <x v="0"/>
    <x v="0"/>
    <x v="0"/>
    <n v="17244920"/>
    <d v="2024-09-04T00:00:00"/>
    <d v="2024-10-04T00:00:00"/>
    <n v="-396"/>
    <x v="0"/>
    <x v="0"/>
    <d v="2024-10-11T00:00:00"/>
    <n v="13065"/>
    <d v="2024-08-24T00:00:00"/>
    <n v="560"/>
    <n v="30794.5"/>
    <n v="-3505.1279999999997"/>
    <n v="27289.371999999999"/>
    <n v="0"/>
    <n v="27289.371999999999"/>
    <x v="0"/>
    <x v="5"/>
    <x v="1"/>
    <x v="0"/>
    <n v="25315"/>
    <n v="1974.3719999999994"/>
    <n v="7.7992178550266633E-2"/>
    <n v="1105648.3199999996"/>
    <n v="14176400"/>
    <n v="15282048.32"/>
    <x v="3"/>
    <x v="0"/>
    <x v="4"/>
    <x v="0"/>
    <x v="0"/>
    <n v="948.5"/>
    <n v="15025.830258302583"/>
    <n v="536.63679493937798"/>
  </r>
  <r>
    <x v="8"/>
    <x v="0"/>
    <x v="6"/>
    <d v="2024-09-11T00:00:00"/>
    <n v="2042"/>
    <x v="0"/>
    <x v="0"/>
    <d v="2024-09-11T00:00:00"/>
    <n v="28000"/>
    <n v="509"/>
    <n v="14252000"/>
    <n v="2992920"/>
    <n v="17244920"/>
    <x v="0"/>
    <x v="0"/>
    <x v="0"/>
    <n v="17244920"/>
    <d v="2024-09-11T00:00:00"/>
    <d v="2024-10-11T00:00:00"/>
    <n v="-389"/>
    <x v="0"/>
    <x v="0"/>
    <d v="2024-10-18T00:00:00"/>
    <n v="13065"/>
    <d v="2024-08-24T00:00:00"/>
    <n v="560"/>
    <n v="30794.5"/>
    <n v="-3505.1279999999997"/>
    <n v="27289.371999999999"/>
    <n v="0"/>
    <n v="27289.371999999999"/>
    <x v="0"/>
    <x v="5"/>
    <x v="1"/>
    <x v="0"/>
    <n v="25315"/>
    <n v="1974.3719999999994"/>
    <n v="7.7992178550266633E-2"/>
    <n v="1105648.3199999996"/>
    <n v="14176400"/>
    <n v="15282048.32"/>
    <x v="3"/>
    <x v="0"/>
    <x v="4"/>
    <x v="0"/>
    <x v="0"/>
    <n v="948.5"/>
    <n v="15025.830258302583"/>
    <n v="536.63679493937798"/>
  </r>
  <r>
    <x v="8"/>
    <x v="0"/>
    <x v="13"/>
    <d v="2024-08-30T00:00:00"/>
    <n v="2018"/>
    <x v="0"/>
    <x v="0"/>
    <d v="2024-11-22T00:00:00"/>
    <n v="30000"/>
    <n v="502"/>
    <n v="15060000"/>
    <n v="3162600"/>
    <n v="18222600"/>
    <x v="0"/>
    <x v="0"/>
    <x v="0"/>
    <n v="18222600"/>
    <d v="2024-11-22T00:00:00"/>
    <d v="2025-01-06T00:00:00"/>
    <n v="-302"/>
    <x v="0"/>
    <x v="0"/>
    <d v="2025-01-13T00:00:00"/>
    <n v="44584"/>
    <d v="2024-08-24T00:00:00"/>
    <n v="600"/>
    <n v="30371"/>
    <n v="-2747.6074999999996"/>
    <n v="27623.392500000002"/>
    <n v="0"/>
    <n v="27623.392500000002"/>
    <x v="2"/>
    <x v="6"/>
    <x v="1"/>
    <x v="0"/>
    <n v="25315"/>
    <n v="2308.3925000000017"/>
    <n v="9.1186746987951928E-2"/>
    <n v="1385035.5000000009"/>
    <n v="15189000"/>
    <n v="16574035.500000002"/>
    <x v="3"/>
    <x v="0"/>
    <x v="5"/>
    <x v="0"/>
    <x v="0"/>
    <n v="948.5"/>
    <n v="15877.701634159199"/>
    <n v="529.25672113863993"/>
  </r>
  <r>
    <x v="8"/>
    <x v="0"/>
    <x v="13"/>
    <d v="2024-08-30T00:00:00"/>
    <n v="2019"/>
    <x v="0"/>
    <x v="0"/>
    <d v="2024-12-03T00:00:00"/>
    <n v="30000"/>
    <n v="502"/>
    <n v="15060000"/>
    <n v="3162600"/>
    <n v="18222600"/>
    <x v="0"/>
    <x v="0"/>
    <x v="0"/>
    <n v="18222600"/>
    <d v="2024-12-03T00:00:00"/>
    <d v="2025-01-17T00:00:00"/>
    <n v="-291"/>
    <x v="0"/>
    <x v="0"/>
    <d v="2025-01-24T00:00:00"/>
    <n v="44585"/>
    <d v="2024-08-24T00:00:00"/>
    <n v="600"/>
    <n v="30371"/>
    <n v="-2747.6074999999996"/>
    <n v="27623.392500000002"/>
    <n v="0"/>
    <n v="27623.392500000002"/>
    <x v="2"/>
    <x v="6"/>
    <x v="1"/>
    <x v="0"/>
    <n v="25315"/>
    <n v="2308.3925000000017"/>
    <n v="9.1186746987951928E-2"/>
    <n v="1385035.5000000009"/>
    <n v="15189000"/>
    <n v="16574035.500000002"/>
    <x v="3"/>
    <x v="0"/>
    <x v="5"/>
    <x v="0"/>
    <x v="0"/>
    <n v="948.5"/>
    <n v="15877.701634159199"/>
    <n v="529.25672113863993"/>
  </r>
  <r>
    <x v="8"/>
    <x v="0"/>
    <x v="20"/>
    <d v="2024-09-06T00:00:00"/>
    <n v="541"/>
    <x v="0"/>
    <x v="0"/>
    <d v="2024-09-06T00:00:00"/>
    <n v="28000"/>
    <n v="465"/>
    <n v="13020000"/>
    <n v="2734200"/>
    <n v="15754200"/>
    <x v="0"/>
    <x v="0"/>
    <x v="0"/>
    <n v="15754200"/>
    <d v="2024-10-06T00:00:00"/>
    <d v="2024-11-05T00:00:00"/>
    <n v="-364"/>
    <x v="2"/>
    <x v="0"/>
    <d v="2024-11-12T00:00:00"/>
    <s v="WS 24/8"/>
    <d v="2024-08-24T00:00:00"/>
    <n v="560"/>
    <n v="28132.5"/>
    <n v="0"/>
    <n v="28132.5"/>
    <n v="-1040.5171232876712"/>
    <n v="27091.982876712329"/>
    <x v="3"/>
    <x v="3"/>
    <x v="2"/>
    <x v="0"/>
    <n v="25315"/>
    <n v="1776.982876712329"/>
    <n v="7.0194859834577406E-2"/>
    <n v="995110.41095890431"/>
    <n v="14176400"/>
    <n v="15171510.410958905"/>
    <x v="3"/>
    <x v="0"/>
    <x v="3"/>
    <x v="0"/>
    <x v="0"/>
    <n v="948.5"/>
    <n v="13726.937269372695"/>
    <n v="490.24775962045339"/>
  </r>
  <r>
    <x v="8"/>
    <x v="0"/>
    <x v="20"/>
    <d v="2024-09-06T00:00:00"/>
    <n v="542"/>
    <x v="0"/>
    <x v="0"/>
    <d v="2024-09-06T00:00:00"/>
    <n v="28000"/>
    <n v="465"/>
    <n v="13020000"/>
    <n v="2734200"/>
    <n v="15754200"/>
    <x v="0"/>
    <x v="0"/>
    <x v="0"/>
    <n v="15754200"/>
    <d v="2024-10-06T00:00:00"/>
    <d v="2024-11-05T00:00:00"/>
    <n v="-364"/>
    <x v="2"/>
    <x v="0"/>
    <d v="2024-11-12T00:00:00"/>
    <s v="WS 24/8"/>
    <d v="2024-08-24T00:00:00"/>
    <n v="560"/>
    <n v="28132.5"/>
    <n v="0"/>
    <n v="28132.5"/>
    <n v="-1040.5171232876712"/>
    <n v="27091.982876712329"/>
    <x v="3"/>
    <x v="3"/>
    <x v="2"/>
    <x v="0"/>
    <n v="25315"/>
    <n v="1776.982876712329"/>
    <n v="7.0194859834577406E-2"/>
    <n v="995110.41095890431"/>
    <n v="14176400"/>
    <n v="15171510.410958905"/>
    <x v="3"/>
    <x v="0"/>
    <x v="3"/>
    <x v="0"/>
    <x v="0"/>
    <n v="948.5"/>
    <n v="13726.937269372695"/>
    <n v="490.24775962045339"/>
  </r>
  <r>
    <x v="8"/>
    <x v="0"/>
    <x v="30"/>
    <d v="2024-09-17T00:00:00"/>
    <s v="2044- 2046"/>
    <x v="0"/>
    <x v="0"/>
    <d v="2024-09-17T00:00:00"/>
    <n v="28000"/>
    <n v="483"/>
    <n v="13524000"/>
    <n v="2840040"/>
    <n v="16364040"/>
    <x v="0"/>
    <x v="0"/>
    <x v="0"/>
    <n v="16364040"/>
    <d v="2024-09-24T00:00:00"/>
    <d v="2024-10-17T00:00:00"/>
    <n v="-383"/>
    <x v="3"/>
    <x v="7"/>
    <d v="2024-10-24T00:00:00"/>
    <s v="WS  27/8"/>
    <d v="2024-08-27T00:00:00"/>
    <n v="560"/>
    <n v="29221.5"/>
    <n v="-1911.7395000000001"/>
    <n v="27309.7605"/>
    <n v="-252.18554794520546"/>
    <n v="27057.574952054794"/>
    <x v="0"/>
    <x v="21"/>
    <x v="0"/>
    <x v="0"/>
    <n v="25075"/>
    <n v="1982.5749520547943"/>
    <n v="7.9065800680151233E-2"/>
    <n v="1110241.9731506847"/>
    <n v="14042000"/>
    <n v="15152241.973150685"/>
    <x v="3"/>
    <x v="0"/>
    <x v="3"/>
    <x v="0"/>
    <x v="0"/>
    <n v="949.75"/>
    <n v="14239.536720189524"/>
    <n v="508.55488286391159"/>
  </r>
  <r>
    <x v="8"/>
    <x v="0"/>
    <x v="30"/>
    <d v="2024-09-20T00:00:00"/>
    <n v="2049"/>
    <x v="0"/>
    <x v="0"/>
    <d v="2024-09-20T00:00:00"/>
    <n v="28000"/>
    <n v="483"/>
    <n v="13524000"/>
    <n v="2840040"/>
    <n v="16364040"/>
    <x v="2"/>
    <x v="0"/>
    <x v="0"/>
    <n v="16364040"/>
    <d v="2024-09-27T00:00:00"/>
    <d v="2024-10-20T00:00:00"/>
    <n v="-380"/>
    <x v="3"/>
    <x v="7"/>
    <d v="2024-10-27T00:00:00"/>
    <s v="WS  27/8"/>
    <d v="2024-08-27T00:00:00"/>
    <n v="560"/>
    <n v="29221.5"/>
    <n v="-1911.7395000000001"/>
    <n v="27309.7605"/>
    <n v="-252.18554794520546"/>
    <n v="27057.574952054794"/>
    <x v="0"/>
    <x v="21"/>
    <x v="0"/>
    <x v="0"/>
    <n v="25075"/>
    <n v="1982.5749520547943"/>
    <n v="7.9065800680151233E-2"/>
    <n v="1110241.9731506847"/>
    <n v="14042000"/>
    <n v="15152241.973150685"/>
    <x v="3"/>
    <x v="0"/>
    <x v="4"/>
    <x v="0"/>
    <x v="0"/>
    <n v="949.75"/>
    <n v="14239.536720189524"/>
    <n v="508.55488286391159"/>
  </r>
  <r>
    <x v="8"/>
    <x v="0"/>
    <x v="30"/>
    <d v="2024-09-20T00:00:00"/>
    <n v="2050"/>
    <x v="0"/>
    <x v="0"/>
    <d v="2024-09-20T00:00:00"/>
    <n v="28000"/>
    <n v="483"/>
    <n v="13524000"/>
    <n v="2840040"/>
    <n v="16364040"/>
    <x v="0"/>
    <x v="0"/>
    <x v="0"/>
    <n v="16364040"/>
    <d v="2024-09-27T00:00:00"/>
    <d v="2024-10-20T00:00:00"/>
    <n v="-380"/>
    <x v="3"/>
    <x v="7"/>
    <d v="2024-10-27T00:00:00"/>
    <s v="WS  27/8"/>
    <d v="2024-08-27T00:00:00"/>
    <n v="560"/>
    <n v="29221.5"/>
    <n v="-1911.7395000000001"/>
    <n v="27309.7605"/>
    <n v="-252.18554794520546"/>
    <n v="27057.574952054794"/>
    <x v="0"/>
    <x v="21"/>
    <x v="0"/>
    <x v="0"/>
    <n v="25075"/>
    <n v="1982.5749520547943"/>
    <n v="7.9065800680151233E-2"/>
    <n v="1110241.9731506847"/>
    <n v="14042000"/>
    <n v="15152241.973150685"/>
    <x v="3"/>
    <x v="0"/>
    <x v="4"/>
    <x v="0"/>
    <x v="0"/>
    <n v="949.75"/>
    <n v="14239.536720189524"/>
    <n v="508.55488286391159"/>
  </r>
  <r>
    <x v="8"/>
    <x v="0"/>
    <x v="30"/>
    <d v="2024-09-23T00:00:00"/>
    <n v="2052"/>
    <x v="0"/>
    <x v="0"/>
    <d v="2024-09-23T00:00:00"/>
    <n v="28000"/>
    <n v="483"/>
    <n v="13524000"/>
    <n v="2840040"/>
    <n v="16364040"/>
    <x v="0"/>
    <x v="0"/>
    <x v="0"/>
    <n v="16364040"/>
    <d v="2024-09-30T00:00:00"/>
    <d v="2024-10-23T00:00:00"/>
    <n v="-377"/>
    <x v="3"/>
    <x v="7"/>
    <d v="2024-10-30T00:00:00"/>
    <s v="WS  27/8"/>
    <d v="2024-08-27T00:00:00"/>
    <n v="560"/>
    <n v="29221.5"/>
    <n v="-1911.7395000000001"/>
    <n v="27309.7605"/>
    <n v="-252.18554794520546"/>
    <n v="27057.574952054794"/>
    <x v="0"/>
    <x v="21"/>
    <x v="0"/>
    <x v="0"/>
    <n v="25075"/>
    <n v="1982.5749520547943"/>
    <n v="7.9065800680151233E-2"/>
    <n v="1110241.9731506847"/>
    <n v="14042000"/>
    <n v="15152241.973150685"/>
    <x v="3"/>
    <x v="0"/>
    <x v="4"/>
    <x v="0"/>
    <x v="0"/>
    <n v="949.75"/>
    <n v="14239.536720189524"/>
    <n v="508.55488286391159"/>
  </r>
  <r>
    <x v="8"/>
    <x v="0"/>
    <x v="30"/>
    <d v="2024-09-25T00:00:00"/>
    <n v="2065"/>
    <x v="0"/>
    <x v="0"/>
    <d v="2024-09-25T00:00:00"/>
    <n v="28000"/>
    <n v="483"/>
    <n v="13524000"/>
    <n v="2840040"/>
    <n v="16364040"/>
    <x v="0"/>
    <x v="0"/>
    <x v="0"/>
    <n v="16364040"/>
    <d v="2024-10-02T00:00:00"/>
    <d v="2024-10-25T00:00:00"/>
    <n v="-375"/>
    <x v="3"/>
    <x v="7"/>
    <d v="2024-11-01T00:00:00"/>
    <s v="WS  27/8"/>
    <d v="2024-08-27T00:00:00"/>
    <n v="560"/>
    <n v="29221.5"/>
    <n v="-1911.7395000000001"/>
    <n v="27309.7605"/>
    <n v="-252.18554794520546"/>
    <n v="27057.574952054794"/>
    <x v="0"/>
    <x v="21"/>
    <x v="0"/>
    <x v="0"/>
    <n v="25075"/>
    <n v="1982.5749520547943"/>
    <n v="7.9065800680151233E-2"/>
    <n v="1110241.9731506847"/>
    <n v="14042000"/>
    <n v="15152241.973150685"/>
    <x v="3"/>
    <x v="0"/>
    <x v="3"/>
    <x v="0"/>
    <x v="0"/>
    <n v="949.75"/>
    <n v="14239.536720189524"/>
    <n v="508.55488286391159"/>
  </r>
  <r>
    <x v="8"/>
    <x v="0"/>
    <x v="30"/>
    <d v="2024-09-27T00:00:00"/>
    <n v="2067"/>
    <x v="0"/>
    <x v="0"/>
    <d v="2024-09-27T00:00:00"/>
    <n v="28000"/>
    <n v="483"/>
    <n v="13524000"/>
    <n v="2840040"/>
    <n v="16364040"/>
    <x v="0"/>
    <x v="0"/>
    <x v="0"/>
    <n v="16364040"/>
    <d v="2024-10-04T00:00:00"/>
    <d v="2024-10-27T00:00:00"/>
    <n v="-373"/>
    <x v="3"/>
    <x v="7"/>
    <d v="2024-11-03T00:00:00"/>
    <s v="WS  27/8"/>
    <d v="2024-08-27T00:00:00"/>
    <n v="560"/>
    <n v="29221.5"/>
    <n v="-1911.7395000000001"/>
    <n v="27309.7605"/>
    <n v="-252.18554794520546"/>
    <n v="27057.574952054794"/>
    <x v="0"/>
    <x v="21"/>
    <x v="0"/>
    <x v="0"/>
    <n v="25075"/>
    <n v="1982.5749520547943"/>
    <n v="7.9065800680151233E-2"/>
    <n v="1110241.9731506847"/>
    <n v="14042000"/>
    <n v="15152241.973150685"/>
    <x v="3"/>
    <x v="0"/>
    <x v="5"/>
    <x v="0"/>
    <x v="0"/>
    <n v="949.75"/>
    <n v="14239.536720189524"/>
    <n v="508.55488286391159"/>
  </r>
  <r>
    <x v="8"/>
    <x v="0"/>
    <x v="30"/>
    <d v="2024-09-27T00:00:00"/>
    <n v="2068"/>
    <x v="0"/>
    <x v="0"/>
    <d v="2024-09-27T00:00:00"/>
    <n v="28000"/>
    <n v="483"/>
    <n v="13524000"/>
    <n v="2840040"/>
    <n v="16364040"/>
    <x v="0"/>
    <x v="0"/>
    <x v="0"/>
    <n v="16364040"/>
    <d v="2024-10-04T00:00:00"/>
    <d v="2024-10-27T00:00:00"/>
    <n v="-373"/>
    <x v="3"/>
    <x v="7"/>
    <d v="2024-11-03T00:00:00"/>
    <s v="WS  27/8"/>
    <d v="2024-08-27T00:00:00"/>
    <n v="560"/>
    <n v="29221.5"/>
    <n v="-1911.7395000000001"/>
    <n v="27309.7605"/>
    <n v="-252.18554794520546"/>
    <n v="27057.574952054794"/>
    <x v="0"/>
    <x v="21"/>
    <x v="0"/>
    <x v="0"/>
    <n v="25075"/>
    <n v="1982.5749520547943"/>
    <n v="7.9065800680151233E-2"/>
    <n v="1110241.9731506847"/>
    <n v="14042000"/>
    <n v="15152241.973150685"/>
    <x v="3"/>
    <x v="0"/>
    <x v="5"/>
    <x v="0"/>
    <x v="0"/>
    <n v="949.75"/>
    <n v="14239.536720189524"/>
    <n v="508.55488286391159"/>
  </r>
  <r>
    <x v="8"/>
    <x v="0"/>
    <x v="30"/>
    <d v="2024-09-30T00:00:00"/>
    <n v="2069"/>
    <x v="0"/>
    <x v="0"/>
    <d v="2024-09-30T00:00:00"/>
    <n v="28000"/>
    <n v="483"/>
    <n v="13524000"/>
    <n v="2840040"/>
    <n v="16364040"/>
    <x v="0"/>
    <x v="0"/>
    <x v="0"/>
    <n v="16364040"/>
    <d v="2024-10-07T00:00:00"/>
    <d v="2024-10-30T00:00:00"/>
    <n v="-370"/>
    <x v="3"/>
    <x v="7"/>
    <d v="2024-11-06T00:00:00"/>
    <s v="WS  27/8"/>
    <d v="2024-08-27T00:00:00"/>
    <n v="560"/>
    <n v="29221.5"/>
    <n v="-1911.7395000000001"/>
    <n v="27309.7605"/>
    <n v="-252.18554794520546"/>
    <n v="27057.574952054794"/>
    <x v="0"/>
    <x v="21"/>
    <x v="0"/>
    <x v="0"/>
    <n v="25075"/>
    <n v="1982.5749520547943"/>
    <n v="7.9065800680151233E-2"/>
    <n v="1110241.9731506847"/>
    <n v="14042000"/>
    <n v="15152241.973150685"/>
    <x v="3"/>
    <x v="0"/>
    <x v="5"/>
    <x v="0"/>
    <x v="0"/>
    <n v="949.75"/>
    <n v="14239.536720189524"/>
    <n v="508.55488286391159"/>
  </r>
  <r>
    <x v="8"/>
    <x v="0"/>
    <x v="31"/>
    <d v="2024-08-28T00:00:00"/>
    <n v="2009"/>
    <x v="0"/>
    <x v="0"/>
    <d v="2024-09-02T00:00:00"/>
    <n v="30000"/>
    <n v="499"/>
    <n v="14970000"/>
    <n v="3143700"/>
    <n v="18113700"/>
    <x v="0"/>
    <x v="0"/>
    <x v="0"/>
    <n v="18113700"/>
    <d v="2024-08-28T00:00:00"/>
    <d v="2024-10-12T00:00:00"/>
    <n v="-388"/>
    <x v="0"/>
    <x v="7"/>
    <d v="2024-10-19T00:00:00"/>
    <s v="WS  27/8"/>
    <d v="2024-08-27T00:00:00"/>
    <n v="600"/>
    <n v="30189.5"/>
    <n v="-2747.0629999999996"/>
    <n v="27442.437000000002"/>
    <n v="0"/>
    <n v="27442.437000000002"/>
    <x v="0"/>
    <x v="9"/>
    <x v="1"/>
    <x v="0"/>
    <n v="25075"/>
    <n v="2367.4370000000017"/>
    <n v="9.4414237288135583E-2"/>
    <n v="1420462.2000000011"/>
    <n v="15045000"/>
    <n v="16465462.200000001"/>
    <x v="3"/>
    <x v="0"/>
    <x v="5"/>
    <x v="0"/>
    <x v="0"/>
    <n v="949.75"/>
    <n v="15762.042642800738"/>
    <n v="525.40142142669129"/>
  </r>
  <r>
    <x v="8"/>
    <x v="0"/>
    <x v="0"/>
    <d v="2024-08-28T00:00:00"/>
    <n v="2012"/>
    <x v="0"/>
    <x v="0"/>
    <d v="2024-09-03T00:00:00"/>
    <n v="30000"/>
    <n v="475"/>
    <n v="14250000"/>
    <n v="2992500"/>
    <n v="17242500"/>
    <x v="0"/>
    <x v="0"/>
    <x v="0"/>
    <n v="17242500"/>
    <d v="2024-09-03T00:00:00"/>
    <d v="2024-10-03T00:00:00"/>
    <n v="-397"/>
    <x v="0"/>
    <x v="0"/>
    <d v="2024-10-10T00:00:00"/>
    <n v="0"/>
    <d v="2024-08-28T00:00:00"/>
    <n v="600"/>
    <n v="28737.5"/>
    <n v="-1962.4385"/>
    <n v="26775.0615"/>
    <n v="0"/>
    <n v="26775.0615"/>
    <x v="0"/>
    <x v="0"/>
    <x v="0"/>
    <x v="0"/>
    <n v="24995"/>
    <n v="1780.0614999999998"/>
    <n v="7.1216703340668097E-2"/>
    <n v="1068036.8999999999"/>
    <n v="14997000"/>
    <n v="16065036.9"/>
    <x v="3"/>
    <x v="0"/>
    <x v="5"/>
    <x v="0"/>
    <x v="0"/>
    <n v="950.08330000000001"/>
    <n v="14998.684852159806"/>
    <n v="499.95616173866017"/>
  </r>
  <r>
    <x v="8"/>
    <x v="0"/>
    <x v="0"/>
    <d v="2024-08-28T00:00:00"/>
    <n v="2013"/>
    <x v="0"/>
    <x v="0"/>
    <d v="2024-09-05T00:00:00"/>
    <n v="30000"/>
    <n v="475"/>
    <n v="14250000"/>
    <n v="2992500"/>
    <n v="17242500"/>
    <x v="0"/>
    <x v="0"/>
    <x v="0"/>
    <n v="17242500"/>
    <d v="2024-09-05T00:00:00"/>
    <d v="2024-10-05T00:00:00"/>
    <n v="-395"/>
    <x v="0"/>
    <x v="0"/>
    <d v="2024-10-12T00:00:00"/>
    <n v="0"/>
    <d v="2024-08-28T00:00:00"/>
    <n v="600"/>
    <n v="28737.5"/>
    <n v="-1962.4385"/>
    <n v="26775.0615"/>
    <n v="0"/>
    <n v="26775.0615"/>
    <x v="0"/>
    <x v="0"/>
    <x v="0"/>
    <x v="0"/>
    <n v="24995"/>
    <n v="1780.0614999999998"/>
    <n v="7.1216703340668097E-2"/>
    <n v="1068036.8999999999"/>
    <n v="14997000"/>
    <n v="16065036.9"/>
    <x v="3"/>
    <x v="0"/>
    <x v="5"/>
    <x v="0"/>
    <x v="0"/>
    <n v="950.08330000000001"/>
    <n v="14998.684852159806"/>
    <n v="499.95616173866017"/>
  </r>
  <r>
    <x v="8"/>
    <x v="0"/>
    <x v="0"/>
    <d v="2024-08-28T00:00:00"/>
    <n v="2014"/>
    <x v="0"/>
    <x v="0"/>
    <d v="2024-09-09T00:00:00"/>
    <n v="30000"/>
    <n v="475"/>
    <n v="14250000"/>
    <n v="2992500"/>
    <n v="17242500"/>
    <x v="0"/>
    <x v="0"/>
    <x v="0"/>
    <n v="17242500"/>
    <d v="2024-09-09T00:00:00"/>
    <d v="2024-10-09T00:00:00"/>
    <n v="-391"/>
    <x v="0"/>
    <x v="0"/>
    <d v="2024-10-16T00:00:00"/>
    <n v="0"/>
    <d v="2024-08-28T00:00:00"/>
    <n v="600"/>
    <n v="28737.5"/>
    <n v="-1962.4385"/>
    <n v="26775.0615"/>
    <n v="0"/>
    <n v="26775.0615"/>
    <x v="0"/>
    <x v="0"/>
    <x v="0"/>
    <x v="0"/>
    <n v="24995"/>
    <n v="1780.0614999999998"/>
    <n v="7.1216703340668097E-2"/>
    <n v="1068036.8999999999"/>
    <n v="14997000"/>
    <n v="16065036.9"/>
    <x v="3"/>
    <x v="0"/>
    <x v="5"/>
    <x v="0"/>
    <x v="0"/>
    <n v="950.08330000000001"/>
    <n v="14998.684852159806"/>
    <n v="499.95616173866017"/>
  </r>
  <r>
    <x v="8"/>
    <x v="0"/>
    <x v="0"/>
    <d v="2024-08-28T00:00:00"/>
    <n v="2015"/>
    <x v="0"/>
    <x v="0"/>
    <d v="2024-09-12T00:00:00"/>
    <n v="30000"/>
    <n v="475"/>
    <n v="14250000"/>
    <n v="2992500"/>
    <n v="17242500"/>
    <x v="0"/>
    <x v="0"/>
    <x v="0"/>
    <n v="17242500"/>
    <d v="2024-09-12T00:00:00"/>
    <d v="2024-10-12T00:00:00"/>
    <n v="-388"/>
    <x v="0"/>
    <x v="0"/>
    <d v="2024-10-19T00:00:00"/>
    <n v="0"/>
    <d v="2024-08-28T00:00:00"/>
    <n v="600"/>
    <n v="28737.5"/>
    <n v="-1962.4385"/>
    <n v="26775.0615"/>
    <n v="0"/>
    <n v="26775.0615"/>
    <x v="0"/>
    <x v="0"/>
    <x v="0"/>
    <x v="0"/>
    <n v="24995"/>
    <n v="1780.0614999999998"/>
    <n v="7.1216703340668097E-2"/>
    <n v="1068036.8999999999"/>
    <n v="14997000"/>
    <n v="16065036.9"/>
    <x v="3"/>
    <x v="0"/>
    <x v="5"/>
    <x v="0"/>
    <x v="0"/>
    <n v="950.08330000000001"/>
    <n v="14998.684852159806"/>
    <n v="499.95616173866017"/>
  </r>
  <r>
    <x v="8"/>
    <x v="0"/>
    <x v="9"/>
    <d v="2024-09-11T00:00:00"/>
    <n v="2037"/>
    <x v="0"/>
    <x v="0"/>
    <d v="2024-09-11T00:00:00"/>
    <n v="28000"/>
    <n v="513"/>
    <n v="14364000"/>
    <n v="3016440"/>
    <n v="17380440"/>
    <x v="0"/>
    <x v="0"/>
    <x v="0"/>
    <n v="17380440"/>
    <d v="2024-10-11T00:00:00"/>
    <d v="2024-10-11T00:00:00"/>
    <n v="-389"/>
    <x v="2"/>
    <x v="0"/>
    <d v="2024-10-18T00:00:00"/>
    <n v="4500026181"/>
    <d v="2024-08-28T00:00:00"/>
    <n v="560"/>
    <n v="31036.5"/>
    <n v="-2150.1095"/>
    <n v="28886.390500000001"/>
    <n v="-1147.9253424657534"/>
    <n v="27738.465157534247"/>
    <x v="0"/>
    <x v="7"/>
    <x v="4"/>
    <x v="0"/>
    <n v="24995"/>
    <n v="2743.4651575342468"/>
    <n v="0.10976055841305254"/>
    <n v="1536340.4882191783"/>
    <n v="13997200"/>
    <n v="15533540.488219177"/>
    <x v="3"/>
    <x v="0"/>
    <x v="5"/>
    <x v="0"/>
    <x v="0"/>
    <n v="950.08330000000001"/>
    <n v="15118.674330977085"/>
    <n v="539.952654677753"/>
  </r>
  <r>
    <x v="8"/>
    <x v="0"/>
    <x v="9"/>
    <d v="2024-09-18T00:00:00"/>
    <n v="2045"/>
    <x v="0"/>
    <x v="0"/>
    <d v="2024-09-18T00:00:00"/>
    <n v="28000"/>
    <n v="513"/>
    <n v="14364000"/>
    <n v="3016440"/>
    <n v="17380440"/>
    <x v="0"/>
    <x v="0"/>
    <x v="0"/>
    <n v="17380440"/>
    <d v="2024-10-18T00:00:00"/>
    <d v="2024-10-18T00:00:00"/>
    <n v="-382"/>
    <x v="2"/>
    <x v="0"/>
    <d v="2024-10-25T00:00:00"/>
    <n v="4500026181"/>
    <d v="2024-08-28T00:00:00"/>
    <n v="560"/>
    <n v="31036.5"/>
    <n v="-2150.1095"/>
    <n v="28886.390500000001"/>
    <n v="-1147.9253424657534"/>
    <n v="27738.465157534247"/>
    <x v="0"/>
    <x v="7"/>
    <x v="4"/>
    <x v="0"/>
    <n v="24995"/>
    <n v="2743.4651575342468"/>
    <n v="0.10976055841305254"/>
    <n v="1536340.4882191783"/>
    <n v="13997200"/>
    <n v="15533540.488219177"/>
    <x v="3"/>
    <x v="0"/>
    <x v="5"/>
    <x v="0"/>
    <x v="0"/>
    <n v="950.08330000000001"/>
    <n v="15118.674330977085"/>
    <n v="539.952654677753"/>
  </r>
  <r>
    <x v="8"/>
    <x v="0"/>
    <x v="0"/>
    <d v="2024-09-06T00:00:00"/>
    <n v="2026"/>
    <x v="0"/>
    <x v="0"/>
    <d v="2024-09-23T00:00:00"/>
    <n v="30000"/>
    <n v="475"/>
    <n v="14250000"/>
    <n v="2992500"/>
    <n v="17242500"/>
    <x v="0"/>
    <x v="0"/>
    <x v="0"/>
    <n v="17242500"/>
    <d v="2024-09-23T00:00:00"/>
    <d v="2024-10-23T00:00:00"/>
    <n v="-377"/>
    <x v="0"/>
    <x v="0"/>
    <d v="2024-10-30T00:00:00"/>
    <n v="0"/>
    <d v="2024-08-28T00:00:00"/>
    <n v="600"/>
    <n v="28737.5"/>
    <n v="-1962.4385"/>
    <n v="26775.0615"/>
    <n v="0"/>
    <n v="26775.0615"/>
    <x v="0"/>
    <x v="0"/>
    <x v="0"/>
    <x v="0"/>
    <n v="24995"/>
    <n v="1780.0614999999998"/>
    <n v="7.1216703340668097E-2"/>
    <n v="1068036.8999999999"/>
    <n v="14997000"/>
    <n v="16065036.9"/>
    <x v="3"/>
    <x v="0"/>
    <x v="5"/>
    <x v="0"/>
    <x v="0"/>
    <n v="950.08330000000001"/>
    <n v="14998.684852159806"/>
    <n v="499.95616173866017"/>
  </r>
  <r>
    <x v="8"/>
    <x v="0"/>
    <x v="0"/>
    <d v="2024-09-06T00:00:00"/>
    <n v="2028"/>
    <x v="0"/>
    <x v="0"/>
    <d v="2024-09-25T00:00:00"/>
    <n v="30000"/>
    <n v="475"/>
    <n v="14250000"/>
    <n v="2992500"/>
    <n v="17242500"/>
    <x v="0"/>
    <x v="0"/>
    <x v="0"/>
    <n v="17242500"/>
    <d v="2024-09-25T00:00:00"/>
    <d v="2024-10-25T00:00:00"/>
    <n v="-375"/>
    <x v="0"/>
    <x v="0"/>
    <d v="2024-11-01T00:00:00"/>
    <n v="0"/>
    <d v="2024-08-28T00:00:00"/>
    <n v="600"/>
    <n v="28737.5"/>
    <n v="-1962.4385"/>
    <n v="26775.0615"/>
    <n v="0"/>
    <n v="26775.0615"/>
    <x v="0"/>
    <x v="0"/>
    <x v="0"/>
    <x v="0"/>
    <n v="24995"/>
    <n v="1780.0614999999998"/>
    <n v="7.1216703340668097E-2"/>
    <n v="1068036.8999999999"/>
    <n v="14997000"/>
    <n v="16065036.9"/>
    <x v="3"/>
    <x v="0"/>
    <x v="5"/>
    <x v="0"/>
    <x v="0"/>
    <n v="950.08330000000001"/>
    <n v="14998.684852159806"/>
    <n v="499.95616173866017"/>
  </r>
  <r>
    <x v="8"/>
    <x v="0"/>
    <x v="0"/>
    <d v="2024-09-07T00:00:00"/>
    <n v="2027"/>
    <x v="0"/>
    <x v="0"/>
    <d v="2024-10-02T00:00:00"/>
    <n v="30000"/>
    <n v="475"/>
    <n v="14250000"/>
    <n v="2992500"/>
    <n v="17242500"/>
    <x v="0"/>
    <x v="0"/>
    <x v="0"/>
    <n v="17242500"/>
    <d v="2024-10-02T00:00:00"/>
    <d v="2024-11-01T00:00:00"/>
    <n v="-368"/>
    <x v="0"/>
    <x v="0"/>
    <d v="2024-11-08T00:00:00"/>
    <n v="0"/>
    <d v="2024-08-28T00:00:00"/>
    <n v="600"/>
    <n v="28737.5"/>
    <n v="-1962.4385"/>
    <n v="26775.0615"/>
    <n v="0"/>
    <n v="26775.0615"/>
    <x v="0"/>
    <x v="0"/>
    <x v="0"/>
    <x v="0"/>
    <n v="24995"/>
    <n v="1780.0614999999998"/>
    <n v="7.1216703340668097E-2"/>
    <n v="1068036.8999999999"/>
    <n v="14997000"/>
    <n v="16065036.9"/>
    <x v="3"/>
    <x v="0"/>
    <x v="5"/>
    <x v="0"/>
    <x v="0"/>
    <n v="950.08330000000001"/>
    <n v="14998.684852159806"/>
    <n v="499.95616173866017"/>
  </r>
  <r>
    <x v="8"/>
    <x v="0"/>
    <x v="24"/>
    <d v="2024-08-29T00:00:00"/>
    <n v="2016"/>
    <x v="0"/>
    <x v="0"/>
    <d v="2024-09-02T00:00:00"/>
    <n v="28000"/>
    <n v="460"/>
    <n v="12880000"/>
    <n v="2704800"/>
    <n v="15584800"/>
    <x v="0"/>
    <x v="0"/>
    <x v="0"/>
    <n v="15584800"/>
    <d v="2024-09-02T00:00:00"/>
    <d v="2024-10-28T00:00:00"/>
    <n v="-372"/>
    <x v="0"/>
    <x v="0"/>
    <d v="2024-11-04T00:00:00"/>
    <s v="001-6659"/>
    <d v="2024-08-29T00:00:00"/>
    <n v="560"/>
    <n v="27830"/>
    <n v="-2382.5989"/>
    <n v="25447.401099999999"/>
    <n v="0"/>
    <n v="25447.401099999999"/>
    <x v="0"/>
    <x v="15"/>
    <x v="1"/>
    <x v="0"/>
    <n v="24915"/>
    <n v="532.40109999999913"/>
    <n v="2.1368697571743978E-2"/>
    <n v="298144.61599999951"/>
    <n v="13952400"/>
    <n v="14250544.616"/>
    <x v="3"/>
    <x v="0"/>
    <x v="5"/>
    <x v="0"/>
    <x v="0"/>
    <n v="950.66669999999999"/>
    <n v="13548.386621725575"/>
    <n v="483.8709507759134"/>
  </r>
  <r>
    <x v="8"/>
    <x v="0"/>
    <x v="24"/>
    <d v="2024-08-29T00:00:00"/>
    <n v="2016"/>
    <x v="0"/>
    <x v="0"/>
    <d v="2024-09-02T00:00:00"/>
    <n v="28000"/>
    <n v="460"/>
    <n v="12880000"/>
    <n v="2704800"/>
    <n v="15584800"/>
    <x v="0"/>
    <x v="0"/>
    <x v="0"/>
    <n v="15584800"/>
    <d v="2024-09-02T00:00:00"/>
    <d v="2024-10-28T00:00:00"/>
    <n v="-372"/>
    <x v="0"/>
    <x v="0"/>
    <d v="2024-11-04T00:00:00"/>
    <s v="001-6659"/>
    <d v="2024-08-29T00:00:00"/>
    <n v="560"/>
    <n v="27830"/>
    <n v="-2382.5989"/>
    <n v="25447.401099999999"/>
    <n v="0"/>
    <n v="25447.401099999999"/>
    <x v="0"/>
    <x v="15"/>
    <x v="1"/>
    <x v="0"/>
    <n v="24915"/>
    <n v="532.40109999999913"/>
    <n v="2.1368697571743978E-2"/>
    <n v="298144.61599999951"/>
    <n v="13952400"/>
    <n v="14250544.616"/>
    <x v="3"/>
    <x v="0"/>
    <x v="5"/>
    <x v="0"/>
    <x v="0"/>
    <n v="950.66669999999999"/>
    <n v="13548.386621725575"/>
    <n v="483.8709507759134"/>
  </r>
  <r>
    <x v="8"/>
    <x v="0"/>
    <x v="19"/>
    <d v="2024-08-29T00:00:00"/>
    <n v="2017"/>
    <x v="0"/>
    <x v="0"/>
    <d v="2024-09-04T00:00:00"/>
    <n v="27500"/>
    <n v="497"/>
    <n v="13667500"/>
    <n v="2870175"/>
    <n v="16537675"/>
    <x v="0"/>
    <x v="0"/>
    <x v="0"/>
    <n v="16537675"/>
    <d v="2024-09-04T00:00:00"/>
    <d v="2024-09-28T00:00:00"/>
    <n v="-402"/>
    <x v="0"/>
    <x v="0"/>
    <d v="2024-10-05T00:00:00"/>
    <n v="6260"/>
    <d v="2024-08-29T00:00:00"/>
    <n v="550"/>
    <n v="30068.5"/>
    <n v="-2746.7"/>
    <n v="27321.8"/>
    <n v="0"/>
    <n v="27321.8"/>
    <x v="2"/>
    <x v="13"/>
    <x v="5"/>
    <x v="0"/>
    <n v="24915"/>
    <n v="2406.7999999999993"/>
    <n v="9.6600441501103695E-2"/>
    <n v="1323739.9999999995"/>
    <n v="13703250"/>
    <n v="15026990"/>
    <x v="3"/>
    <x v="0"/>
    <x v="3"/>
    <x v="0"/>
    <x v="0"/>
    <n v="950.66669999999999"/>
    <n v="14376.752651586514"/>
    <n v="522.79100551223689"/>
  </r>
  <r>
    <x v="8"/>
    <x v="0"/>
    <x v="20"/>
    <d v="2024-09-17T00:00:00"/>
    <n v="545"/>
    <x v="0"/>
    <x v="0"/>
    <d v="2024-09-17T00:00:00"/>
    <n v="28000"/>
    <n v="420"/>
    <n v="11760000"/>
    <n v="2469600"/>
    <n v="14229600"/>
    <x v="0"/>
    <x v="0"/>
    <x v="0"/>
    <n v="14229600"/>
    <d v="2024-10-17T00:00:00"/>
    <d v="2024-11-16T00:00:00"/>
    <n v="-353"/>
    <x v="2"/>
    <x v="0"/>
    <d v="2024-11-23T00:00:00"/>
    <n v="626424"/>
    <d v="2024-09-23T00:00:00"/>
    <n v="560"/>
    <n v="25410"/>
    <n v="0"/>
    <n v="25410"/>
    <n v="-939.82191780821915"/>
    <n v="24470.178082191782"/>
    <x v="3"/>
    <x v="3"/>
    <x v="2"/>
    <x v="0"/>
    <n v="21950"/>
    <n v="2520.1780821917819"/>
    <n v="0.11481449121602649"/>
    <n v="1411299.7260273979"/>
    <n v="12292000"/>
    <n v="13703299.726027397"/>
    <x v="3"/>
    <x v="0"/>
    <x v="5"/>
    <x v="0"/>
    <x v="0"/>
    <n v="966.33330000000001"/>
    <n v="12169.71411416744"/>
    <n v="434.63264693455142"/>
  </r>
  <r>
    <x v="8"/>
    <x v="0"/>
    <x v="20"/>
    <d v="2024-09-14T00:00:00"/>
    <n v="544"/>
    <x v="0"/>
    <x v="0"/>
    <d v="2024-09-14T00:00:00"/>
    <n v="28000"/>
    <n v="465"/>
    <n v="13020000"/>
    <n v="2734200"/>
    <n v="15754200"/>
    <x v="0"/>
    <x v="0"/>
    <x v="0"/>
    <n v="15754200"/>
    <d v="2024-10-14T00:00:00"/>
    <d v="2024-11-13T00:00:00"/>
    <n v="-356"/>
    <x v="2"/>
    <x v="0"/>
    <d v="2024-11-20T00:00:00"/>
    <s v="WS 24/8"/>
    <d v="2024-09-04T00:00:00"/>
    <n v="560"/>
    <n v="28132.5"/>
    <n v="0"/>
    <n v="28132.5"/>
    <n v="-1040.5171232876712"/>
    <n v="27091.982876712329"/>
    <x v="3"/>
    <x v="3"/>
    <x v="2"/>
    <x v="0"/>
    <n v="24435"/>
    <n v="2656.982876712329"/>
    <n v="0.10873676597963278"/>
    <n v="1487910.4109589043"/>
    <n v="13683600"/>
    <n v="15171510.410958905"/>
    <x v="3"/>
    <x v="0"/>
    <x v="5"/>
    <x v="0"/>
    <x v="0"/>
    <n v="954.5"/>
    <n v="13640.649554740701"/>
    <n v="487.16605552645359"/>
  </r>
  <r>
    <x v="8"/>
    <x v="0"/>
    <x v="6"/>
    <d v="2024-09-20T00:00:00"/>
    <n v="2048"/>
    <x v="0"/>
    <x v="0"/>
    <d v="2024-09-20T00:00:00"/>
    <n v="28000"/>
    <n v="489"/>
    <n v="13692000"/>
    <n v="2875320"/>
    <n v="16567320"/>
    <x v="0"/>
    <x v="0"/>
    <x v="0"/>
    <n v="16567320"/>
    <d v="2024-09-20T00:00:00"/>
    <d v="2024-10-20T00:00:00"/>
    <n v="-380"/>
    <x v="0"/>
    <x v="0"/>
    <d v="2024-10-27T00:00:00"/>
    <n v="13065"/>
    <d v="2024-08-24T00:00:00"/>
    <n v="560"/>
    <n v="29584.5"/>
    <n v="-3501.4979999999996"/>
    <n v="26083.002"/>
    <n v="0"/>
    <n v="26083.002"/>
    <x v="0"/>
    <x v="5"/>
    <x v="1"/>
    <x v="0"/>
    <n v="25315"/>
    <n v="768.00200000000041"/>
    <n v="3.0337823424847032E-2"/>
    <n v="430081.12000000023"/>
    <n v="14176400"/>
    <n v="14606481.120000001"/>
    <x v="3"/>
    <x v="0"/>
    <x v="3"/>
    <x v="0"/>
    <x v="0"/>
    <n v="948.5"/>
    <n v="14435.424354243542"/>
    <n v="515.55086979441216"/>
  </r>
  <r>
    <x v="8"/>
    <x v="0"/>
    <x v="1"/>
    <d v="2024-09-05T00:00:00"/>
    <n v="2025"/>
    <x v="0"/>
    <x v="0"/>
    <d v="2024-09-20T00:00:00"/>
    <n v="28000"/>
    <n v="507"/>
    <n v="14196000"/>
    <n v="2981160"/>
    <n v="17177160"/>
    <x v="0"/>
    <x v="0"/>
    <x v="0"/>
    <n v="17177160"/>
    <d v="2024-09-05T00:00:00"/>
    <d v="2024-10-20T00:00:00"/>
    <n v="-380"/>
    <x v="0"/>
    <x v="0"/>
    <d v="2024-10-27T00:00:00"/>
    <s v="MAIL 5/9"/>
    <d v="2024-09-05T00:00:00"/>
    <n v="560"/>
    <n v="30673.5"/>
    <n v="-3548.9904999999999"/>
    <n v="27124.5095"/>
    <n v="0"/>
    <n v="27124.5095"/>
    <x v="1"/>
    <x v="2"/>
    <x v="1"/>
    <x v="0"/>
    <n v="24260"/>
    <n v="2864.5095000000001"/>
    <n v="0.11807541220115425"/>
    <n v="1604125.32"/>
    <n v="13585600"/>
    <n v="15189725.32"/>
    <x v="3"/>
    <x v="0"/>
    <x v="3"/>
    <x v="0"/>
    <x v="0"/>
    <n v="954.91669999999999"/>
    <n v="14866.218173794636"/>
    <n v="530.9363633498084"/>
  </r>
  <r>
    <x v="8"/>
    <x v="0"/>
    <x v="10"/>
    <d v="2024-09-05T00:00:00"/>
    <n v="2033"/>
    <x v="0"/>
    <x v="0"/>
    <d v="2024-10-04T00:00:00"/>
    <n v="28000"/>
    <n v="449"/>
    <n v="12572000"/>
    <n v="2640120"/>
    <n v="15212120"/>
    <x v="0"/>
    <x v="0"/>
    <x v="0"/>
    <n v="15212120"/>
    <d v="2024-10-06T00:00:00"/>
    <d v="2024-10-05T00:00:00"/>
    <n v="-395"/>
    <x v="7"/>
    <x v="0"/>
    <d v="2024-10-12T00:00:00"/>
    <s v="WP 05/09"/>
    <d v="2024-09-05T00:00:00"/>
    <n v="560"/>
    <n v="27164.5"/>
    <n v="0"/>
    <n v="27164.5"/>
    <n v="-66.980958904109585"/>
    <n v="27097.519041095889"/>
    <x v="0"/>
    <x v="3"/>
    <x v="2"/>
    <x v="0"/>
    <n v="24260"/>
    <n v="2837.5190410958894"/>
    <n v="0.11696286236998721"/>
    <n v="1589010.6630136981"/>
    <n v="13585600"/>
    <n v="15174610.663013699"/>
    <x v="3"/>
    <x v="0"/>
    <x v="3"/>
    <x v="0"/>
    <x v="0"/>
    <n v="954.91669999999999"/>
    <n v="13165.546272255999"/>
    <n v="470.19808115199993"/>
  </r>
  <r>
    <x v="8"/>
    <x v="0"/>
    <x v="4"/>
    <d v="2024-09-11T00:00:00"/>
    <s v="V22"/>
    <x v="0"/>
    <x v="0"/>
    <d v="2024-09-11T00:00:00"/>
    <n v="50000"/>
    <n v="420"/>
    <n v="21000000"/>
    <m/>
    <n v="21000000"/>
    <x v="0"/>
    <x v="0"/>
    <x v="0"/>
    <n v="21000000"/>
    <d v="2024-09-11T00:00:00"/>
    <d v="2024-09-11T00:00:00"/>
    <n v="-419"/>
    <x v="0"/>
    <x v="2"/>
    <d v="2024-09-18T00:00:00"/>
    <s v="SOC 21"/>
    <d v="2024-09-06T00:00:00"/>
    <n v="1000"/>
    <n v="21000"/>
    <n v="0"/>
    <n v="21000"/>
    <n v="0"/>
    <n v="21000"/>
    <x v="0"/>
    <x v="3"/>
    <x v="3"/>
    <x v="2"/>
    <n v="19983.471074380166"/>
    <n v="1016.5289256198339"/>
    <n v="5.086848635235719E-2"/>
    <n v="1016528.9256198339"/>
    <n v="19983471.074380167"/>
    <n v="21000000"/>
    <x v="3"/>
    <x v="0"/>
    <x v="3"/>
    <x v="0"/>
    <x v="0"/>
    <n v="957.16669999999999"/>
    <n v="21939.751978417135"/>
    <n v="438.7950395683427"/>
  </r>
  <r>
    <x v="8"/>
    <x v="0"/>
    <x v="4"/>
    <d v="2024-09-12T00:00:00"/>
    <s v="V23"/>
    <x v="0"/>
    <x v="0"/>
    <d v="2024-09-12T00:00:00"/>
    <n v="50000"/>
    <n v="420"/>
    <n v="21000000"/>
    <m/>
    <n v="21000000"/>
    <x v="0"/>
    <x v="0"/>
    <x v="0"/>
    <n v="21000000"/>
    <d v="2024-09-12T00:00:00"/>
    <d v="2024-09-12T00:00:00"/>
    <n v="-418"/>
    <x v="0"/>
    <x v="2"/>
    <d v="2024-09-19T00:00:00"/>
    <s v="SOC 21"/>
    <d v="2024-09-06T00:00:00"/>
    <n v="1000"/>
    <n v="21000"/>
    <n v="0"/>
    <n v="21000"/>
    <n v="0"/>
    <n v="21000"/>
    <x v="0"/>
    <x v="3"/>
    <x v="3"/>
    <x v="2"/>
    <n v="19983.471074380166"/>
    <n v="1016.5289256198339"/>
    <n v="5.086848635235719E-2"/>
    <n v="1016528.9256198339"/>
    <n v="19983471.074380167"/>
    <n v="21000000"/>
    <x v="3"/>
    <x v="0"/>
    <x v="3"/>
    <x v="0"/>
    <x v="0"/>
    <n v="957.16669999999999"/>
    <n v="21939.751978417135"/>
    <n v="438.7950395683427"/>
  </r>
  <r>
    <x v="8"/>
    <x v="0"/>
    <x v="20"/>
    <d v="2024-09-17T00:00:00"/>
    <n v="543"/>
    <x v="0"/>
    <x v="0"/>
    <d v="2024-09-17T00:00:00"/>
    <n v="25000"/>
    <n v="465"/>
    <n v="11625000"/>
    <n v="2441250"/>
    <n v="14066250"/>
    <x v="0"/>
    <x v="0"/>
    <x v="0"/>
    <n v="14066250"/>
    <d v="2024-10-17T00:00:00"/>
    <d v="2024-11-16T00:00:00"/>
    <n v="-353"/>
    <x v="2"/>
    <x v="0"/>
    <d v="2024-11-23T00:00:00"/>
    <n v="623102"/>
    <d v="2024-09-10T00:00:00"/>
    <n v="500"/>
    <n v="28132.5"/>
    <n v="0"/>
    <n v="28132.5"/>
    <n v="-1040.5171232876712"/>
    <n v="27091.982876712329"/>
    <x v="3"/>
    <x v="3"/>
    <x v="2"/>
    <x v="0"/>
    <n v="23860"/>
    <n v="3231.982876712329"/>
    <n v="0.13545611386053347"/>
    <n v="1615991.4383561646"/>
    <n v="11930000"/>
    <n v="13545991.438356165"/>
    <x v="3"/>
    <x v="0"/>
    <x v="3"/>
    <x v="0"/>
    <x v="0"/>
    <n v="958.16669999999999"/>
    <n v="12132.544368323383"/>
    <n v="485.30177473293531"/>
  </r>
  <r>
    <x v="8"/>
    <x v="0"/>
    <x v="20"/>
    <d v="2024-10-04T00:00:00"/>
    <n v="547"/>
    <x v="0"/>
    <x v="0"/>
    <d v="2024-10-04T00:00:00"/>
    <n v="28000"/>
    <n v="465"/>
    <n v="13020000"/>
    <n v="2734200"/>
    <n v="15754200"/>
    <x v="0"/>
    <x v="0"/>
    <x v="0"/>
    <n v="15754200"/>
    <d v="2024-11-03T00:00:00"/>
    <d v="2024-12-03T00:00:00"/>
    <n v="-336"/>
    <x v="2"/>
    <x v="0"/>
    <d v="2024-12-10T00:00:00"/>
    <s v="WS 10/9"/>
    <d v="2024-09-10T00:00:00"/>
    <n v="560"/>
    <n v="28132.5"/>
    <n v="0"/>
    <n v="28132.5"/>
    <n v="-1040.5171232876712"/>
    <n v="27091.982876712329"/>
    <x v="3"/>
    <x v="3"/>
    <x v="2"/>
    <x v="0"/>
    <n v="23860"/>
    <n v="3231.982876712329"/>
    <n v="0.13545611386053347"/>
    <n v="1809910.4109589043"/>
    <n v="13361600"/>
    <n v="15171510.410958905"/>
    <x v="3"/>
    <x v="0"/>
    <x v="6"/>
    <x v="0"/>
    <x v="0"/>
    <n v="958.16669999999999"/>
    <n v="13588.449692522188"/>
    <n v="485.30177473293531"/>
  </r>
  <r>
    <x v="8"/>
    <x v="0"/>
    <x v="20"/>
    <d v="2024-10-30T00:00:00"/>
    <n v="560"/>
    <x v="0"/>
    <x v="0"/>
    <d v="2024-10-30T00:00:00"/>
    <n v="28000"/>
    <n v="420"/>
    <n v="11760000"/>
    <n v="2469600"/>
    <n v="14229600"/>
    <x v="0"/>
    <x v="0"/>
    <x v="0"/>
    <n v="14229600"/>
    <d v="2024-11-29T00:00:00"/>
    <d v="2024-12-29T00:00:00"/>
    <n v="-310"/>
    <x v="2"/>
    <x v="0"/>
    <d v="2025-01-05T00:00:00"/>
    <s v="WS 10/9"/>
    <d v="2024-09-10T00:00:00"/>
    <n v="560"/>
    <n v="25410"/>
    <n v="0"/>
    <n v="25410"/>
    <n v="-939.82191780821915"/>
    <n v="24470.178082191782"/>
    <x v="3"/>
    <x v="3"/>
    <x v="2"/>
    <x v="0"/>
    <n v="23860"/>
    <n v="610.17808219178187"/>
    <n v="2.5573264132094709E-2"/>
    <n v="341699.72602739785"/>
    <n v="13361600"/>
    <n v="13703299.726027397"/>
    <x v="3"/>
    <x v="0"/>
    <x v="4"/>
    <x v="0"/>
    <x v="0"/>
    <n v="958.16669999999999"/>
    <n v="12273.438431955525"/>
    <n v="438.33708685555445"/>
  </r>
  <r>
    <x v="8"/>
    <x v="0"/>
    <x v="28"/>
    <d v="2024-09-23T00:00:00"/>
    <n v="2053"/>
    <x v="0"/>
    <x v="0"/>
    <d v="2024-09-23T00:00:00"/>
    <n v="28000"/>
    <n v="490"/>
    <n v="13720000"/>
    <n v="2881200"/>
    <n v="16601200"/>
    <x v="0"/>
    <x v="0"/>
    <x v="0"/>
    <n v="16601200"/>
    <d v="2024-10-23T00:00:00"/>
    <d v="2024-10-23T00:00:00"/>
    <n v="-377"/>
    <x v="2"/>
    <x v="0"/>
    <d v="2024-10-30T00:00:00"/>
    <s v="WS 3/9"/>
    <d v="2024-09-10T00:00:00"/>
    <n v="560"/>
    <n v="29645"/>
    <n v="-2745.4294999999997"/>
    <n v="26899.570500000002"/>
    <n v="-1096.458904109589"/>
    <n v="25803.111595890412"/>
    <x v="0"/>
    <x v="18"/>
    <x v="1"/>
    <x v="0"/>
    <n v="23860"/>
    <n v="1943.111595890412"/>
    <n v="8.1438038386018929E-2"/>
    <n v="1088142.4936986307"/>
    <n v="13361600"/>
    <n v="14449742.49369863"/>
    <x v="3"/>
    <x v="0"/>
    <x v="4"/>
    <x v="0"/>
    <x v="0"/>
    <n v="958.16669999999999"/>
    <n v="14319.011503948113"/>
    <n v="511.39326799814688"/>
  </r>
  <r>
    <x v="8"/>
    <x v="0"/>
    <x v="28"/>
    <d v="2024-09-25T00:00:00"/>
    <n v="2063"/>
    <x v="0"/>
    <x v="0"/>
    <d v="2024-09-25T00:00:00"/>
    <n v="28000"/>
    <n v="490"/>
    <n v="13720000"/>
    <n v="2881200"/>
    <n v="16601200"/>
    <x v="0"/>
    <x v="0"/>
    <x v="0"/>
    <n v="16601200"/>
    <d v="2024-10-25T00:00:00"/>
    <d v="2024-10-25T00:00:00"/>
    <n v="-375"/>
    <x v="2"/>
    <x v="0"/>
    <d v="2024-11-01T00:00:00"/>
    <s v="WS 3/9"/>
    <d v="2024-09-10T00:00:00"/>
    <n v="560"/>
    <n v="29645"/>
    <n v="-2745.4294999999997"/>
    <n v="26899.570500000002"/>
    <n v="-1096.458904109589"/>
    <n v="25803.111595890412"/>
    <x v="0"/>
    <x v="19"/>
    <x v="1"/>
    <x v="0"/>
    <n v="23860"/>
    <n v="1943.111595890412"/>
    <n v="8.1438038386018929E-2"/>
    <n v="1088142.4936986307"/>
    <n v="13361600"/>
    <n v="14449742.49369863"/>
    <x v="3"/>
    <x v="0"/>
    <x v="4"/>
    <x v="0"/>
    <x v="0"/>
    <n v="958.16669999999999"/>
    <n v="14319.011503948113"/>
    <n v="511.39326799814688"/>
  </r>
  <r>
    <x v="8"/>
    <x v="0"/>
    <x v="19"/>
    <d v="2024-09-13T00:00:00"/>
    <n v="2038"/>
    <x v="0"/>
    <x v="0"/>
    <d v="2024-09-17T00:00:00"/>
    <n v="27500"/>
    <n v="479"/>
    <n v="13172500"/>
    <n v="2766225"/>
    <n v="15938725"/>
    <x v="0"/>
    <x v="0"/>
    <x v="0"/>
    <n v="15938725"/>
    <d v="2024-09-17T00:00:00"/>
    <d v="2024-10-13T00:00:00"/>
    <n v="-387"/>
    <x v="0"/>
    <x v="0"/>
    <d v="2024-10-20T00:00:00"/>
    <n v="6281"/>
    <d v="2024-09-13T00:00:00"/>
    <n v="550"/>
    <n v="28979.5"/>
    <n v="-2743.433"/>
    <n v="26236.066999999999"/>
    <n v="0"/>
    <n v="26236.066999999999"/>
    <x v="2"/>
    <x v="13"/>
    <x v="5"/>
    <x v="0"/>
    <n v="23615"/>
    <n v="2621.0669999999991"/>
    <n v="0.11099161549862369"/>
    <n v="1441586.8499999994"/>
    <n v="12988250"/>
    <n v="14429836.85"/>
    <x v="3"/>
    <x v="0"/>
    <x v="5"/>
    <x v="0"/>
    <x v="0"/>
    <n v="961.75"/>
    <n v="13696.38679490512"/>
    <n v="498.05042890564073"/>
  </r>
  <r>
    <x v="8"/>
    <x v="0"/>
    <x v="13"/>
    <d v="2024-10-03T00:00:00"/>
    <n v="2075"/>
    <x v="0"/>
    <x v="0"/>
    <d v="2024-10-03T00:00:00"/>
    <n v="27500"/>
    <n v="450"/>
    <n v="12375000"/>
    <n v="2598750"/>
    <n v="14973750"/>
    <x v="0"/>
    <x v="0"/>
    <x v="0"/>
    <n v="14973750"/>
    <d v="2024-10-03T00:00:00"/>
    <d v="2024-11-17T00:00:00"/>
    <n v="-352"/>
    <x v="0"/>
    <x v="0"/>
    <d v="2024-11-24T00:00:00"/>
    <n v="44765"/>
    <d v="2024-09-18T00:00:00"/>
    <n v="550"/>
    <n v="27225"/>
    <n v="-2738.1695"/>
    <n v="24486.8305"/>
    <n v="0"/>
    <n v="24486.8305"/>
    <x v="2"/>
    <x v="6"/>
    <x v="1"/>
    <x v="0"/>
    <n v="22615"/>
    <n v="1871.8305"/>
    <n v="8.2769422949369842E-2"/>
    <n v="1029506.775"/>
    <n v="12438250"/>
    <n v="13467756.775"/>
    <x v="3"/>
    <x v="0"/>
    <x v="6"/>
    <x v="0"/>
    <x v="0"/>
    <n v="963.33330000000001"/>
    <n v="12846.021205744679"/>
    <n v="467.12804384526106"/>
  </r>
  <r>
    <x v="8"/>
    <x v="0"/>
    <x v="13"/>
    <d v="2024-10-07T00:00:00"/>
    <n v="2073"/>
    <x v="0"/>
    <x v="0"/>
    <d v="2024-09-21T00:00:00"/>
    <n v="28750"/>
    <n v="450"/>
    <n v="12937500"/>
    <n v="2716875"/>
    <n v="15654375"/>
    <x v="0"/>
    <x v="0"/>
    <x v="0"/>
    <n v="15654375"/>
    <d v="2024-09-21T00:00:00"/>
    <d v="2024-11-05T00:00:00"/>
    <n v="-364"/>
    <x v="0"/>
    <x v="0"/>
    <d v="2024-11-12T00:00:00"/>
    <n v="44765"/>
    <d v="2024-09-18T00:00:00"/>
    <n v="575"/>
    <n v="27225"/>
    <n v="-2738.1695"/>
    <n v="24486.8305"/>
    <n v="0"/>
    <n v="24486.8305"/>
    <x v="2"/>
    <x v="6"/>
    <x v="1"/>
    <x v="0"/>
    <n v="22615"/>
    <n v="1871.8305"/>
    <n v="8.2769422949369842E-2"/>
    <n v="1076302.5375000001"/>
    <n v="13003625"/>
    <n v="14079927.5375"/>
    <x v="3"/>
    <x v="0"/>
    <x v="6"/>
    <x v="0"/>
    <x v="0"/>
    <n v="963.33330000000001"/>
    <n v="13429.931260551255"/>
    <n v="467.12804384526106"/>
  </r>
  <r>
    <x v="8"/>
    <x v="0"/>
    <x v="20"/>
    <d v="2024-11-05T00:00:00"/>
    <n v="561"/>
    <x v="0"/>
    <x v="0"/>
    <d v="2024-11-05T00:00:00"/>
    <n v="28000"/>
    <n v="420"/>
    <n v="11760000"/>
    <n v="2469600"/>
    <n v="14229600"/>
    <x v="0"/>
    <x v="0"/>
    <x v="0"/>
    <n v="14229600"/>
    <d v="2024-12-05T00:00:00"/>
    <d v="2025-01-04T00:00:00"/>
    <n v="-304"/>
    <x v="2"/>
    <x v="0"/>
    <d v="2025-01-11T00:00:00"/>
    <n v="631949"/>
    <d v="2024-09-18T00:00:00"/>
    <n v="560"/>
    <n v="25410"/>
    <n v="0"/>
    <n v="25410"/>
    <n v="-939.82191780821915"/>
    <n v="24470.178082191782"/>
    <x v="3"/>
    <x v="3"/>
    <x v="2"/>
    <x v="0"/>
    <n v="22615"/>
    <n v="1855.1780821917819"/>
    <n v="8.203307902683088E-2"/>
    <n v="1038899.7260273979"/>
    <n v="12664400"/>
    <n v="13703299.726027397"/>
    <x v="3"/>
    <x v="0"/>
    <x v="1"/>
    <x v="0"/>
    <x v="0"/>
    <n v="963.33330000000001"/>
    <n v="12207.612879156155"/>
    <n v="435.98617425557694"/>
  </r>
  <r>
    <x v="8"/>
    <x v="0"/>
    <x v="20"/>
    <d v="2024-09-28T00:00:00"/>
    <n v="548"/>
    <x v="0"/>
    <x v="0"/>
    <d v="2024-09-28T00:00:00"/>
    <n v="28000"/>
    <n v="420"/>
    <n v="11760000"/>
    <n v="2469600"/>
    <n v="14229600"/>
    <x v="0"/>
    <x v="0"/>
    <x v="0"/>
    <n v="14229600"/>
    <d v="2024-10-28T00:00:00"/>
    <d v="2024-11-27T00:00:00"/>
    <n v="-342"/>
    <x v="2"/>
    <x v="0"/>
    <d v="2024-12-04T00:00:00"/>
    <s v="WS 18/9"/>
    <d v="2024-09-18T00:00:00"/>
    <n v="560"/>
    <n v="25410"/>
    <n v="0"/>
    <n v="25410"/>
    <n v="-939.82191780821915"/>
    <n v="24470.178082191782"/>
    <x v="3"/>
    <x v="3"/>
    <x v="2"/>
    <x v="0"/>
    <n v="22615"/>
    <n v="1855.1780821917819"/>
    <n v="8.203307902683088E-2"/>
    <n v="1038899.7260273979"/>
    <n v="12664400"/>
    <n v="13703299.726027397"/>
    <x v="3"/>
    <x v="0"/>
    <x v="1"/>
    <x v="0"/>
    <x v="0"/>
    <n v="963.33330000000001"/>
    <n v="12207.612879156155"/>
    <n v="435.98617425557694"/>
  </r>
  <r>
    <x v="8"/>
    <x v="0"/>
    <x v="20"/>
    <d v="2024-10-08T00:00:00"/>
    <n v="549"/>
    <x v="0"/>
    <x v="0"/>
    <d v="2024-10-08T00:00:00"/>
    <n v="27500"/>
    <n v="420"/>
    <n v="11550000"/>
    <n v="2425500"/>
    <n v="13975500"/>
    <x v="0"/>
    <x v="0"/>
    <x v="0"/>
    <n v="13975500"/>
    <d v="2024-11-07T00:00:00"/>
    <d v="2024-12-07T00:00:00"/>
    <n v="-332"/>
    <x v="2"/>
    <x v="0"/>
    <d v="2024-12-14T00:00:00"/>
    <n v="627448"/>
    <d v="2024-09-29T00:00:00"/>
    <n v="550"/>
    <n v="25410"/>
    <n v="0"/>
    <n v="25410"/>
    <n v="-939.82191780821915"/>
    <n v="24470.178082191782"/>
    <x v="2"/>
    <x v="3"/>
    <x v="2"/>
    <x v="0"/>
    <n v="21925"/>
    <n v="2545.1780821917819"/>
    <n v="0.11608565939301174"/>
    <n v="1399847.9452054801"/>
    <n v="12058750"/>
    <n v="13458597.94520548"/>
    <x v="3"/>
    <x v="0"/>
    <x v="0"/>
    <x v="0"/>
    <x v="1"/>
    <n v="970.6"/>
    <n v="11899.855759324129"/>
    <n v="432.72202761178653"/>
  </r>
  <r>
    <x v="8"/>
    <x v="0"/>
    <x v="6"/>
    <d v="2024-09-27T00:00:00"/>
    <n v="2051"/>
    <x v="0"/>
    <x v="0"/>
    <d v="2024-09-27T00:00:00"/>
    <n v="25150.40096652192"/>
    <n v="472"/>
    <n v="11870989.256198347"/>
    <n v="2492907.7438016529"/>
    <n v="14363897"/>
    <x v="0"/>
    <x v="2"/>
    <x v="0"/>
    <n v="15991360.310000001"/>
    <d v="2024-09-27T00:00:00"/>
    <d v="2024-10-27T00:00:00"/>
    <n v="-373"/>
    <x v="0"/>
    <x v="0"/>
    <d v="2024-11-03T00:00:00"/>
    <n v="13236"/>
    <d v="2024-09-20T00:00:00"/>
    <n v="503.0080193304384"/>
    <n v="28556"/>
    <n v="-3498.4124999999999"/>
    <n v="25057.587500000001"/>
    <n v="0"/>
    <n v="25057.587500000001"/>
    <x v="0"/>
    <x v="5"/>
    <x v="1"/>
    <x v="0"/>
    <n v="22310"/>
    <n v="2747.5875000000015"/>
    <n v="0.12315497534737796"/>
    <n v="1382058.5463120716"/>
    <n v="11222108.91126208"/>
    <n v="12604167.457574151"/>
    <x v="3"/>
    <x v="0"/>
    <x v="0"/>
    <x v="0"/>
    <x v="1"/>
    <n v="965.75"/>
    <n v="12291.989910637687"/>
    <n v="488.73932177064455"/>
  </r>
  <r>
    <x v="8"/>
    <x v="0"/>
    <x v="24"/>
    <d v="2024-09-23T00:00:00"/>
    <n v="2054"/>
    <x v="0"/>
    <x v="0"/>
    <d v="2024-09-23T00:00:00"/>
    <n v="28000"/>
    <n v="436"/>
    <n v="12208000"/>
    <n v="2563680"/>
    <n v="14771680"/>
    <x v="0"/>
    <x v="0"/>
    <x v="0"/>
    <n v="14771680"/>
    <d v="2024-09-23T00:00:00"/>
    <d v="2024-11-22T00:00:00"/>
    <n v="-347"/>
    <x v="0"/>
    <x v="0"/>
    <d v="2024-11-29T00:00:00"/>
    <s v="001-6739"/>
    <d v="2024-09-20T00:00:00"/>
    <n v="560"/>
    <n v="26378"/>
    <n v="-2378.2428999999997"/>
    <n v="23999.757099999999"/>
    <n v="0"/>
    <n v="23999.757099999999"/>
    <x v="0"/>
    <x v="15"/>
    <x v="1"/>
    <x v="0"/>
    <n v="22310"/>
    <n v="1689.7570999999989"/>
    <n v="7.5739896907216497E-2"/>
    <n v="946263.97599999933"/>
    <n v="12493600"/>
    <n v="13439863.976"/>
    <x v="3"/>
    <x v="0"/>
    <x v="0"/>
    <x v="0"/>
    <x v="1"/>
    <n v="965.75"/>
    <n v="12640.952627491586"/>
    <n v="451.46259383898524"/>
  </r>
  <r>
    <x v="8"/>
    <x v="0"/>
    <x v="24"/>
    <d v="2024-09-26T00:00:00"/>
    <n v="2064"/>
    <x v="0"/>
    <x v="0"/>
    <d v="2024-09-26T00:00:00"/>
    <n v="28000"/>
    <n v="436"/>
    <n v="12208000"/>
    <n v="2563680"/>
    <n v="14771680"/>
    <x v="0"/>
    <x v="0"/>
    <x v="0"/>
    <n v="14771680"/>
    <d v="2024-09-26T00:00:00"/>
    <d v="2024-11-25T00:00:00"/>
    <n v="-344"/>
    <x v="0"/>
    <x v="0"/>
    <d v="2024-12-02T00:00:00"/>
    <n v="0"/>
    <d v="2024-09-20T00:00:00"/>
    <n v="560"/>
    <n v="26378"/>
    <n v="-2378.2428999999997"/>
    <n v="23999.757099999999"/>
    <n v="0"/>
    <n v="23999.757099999999"/>
    <x v="0"/>
    <x v="15"/>
    <x v="1"/>
    <x v="0"/>
    <n v="22310"/>
    <n v="1689.7570999999989"/>
    <n v="7.5739896907216497E-2"/>
    <n v="946263.97599999933"/>
    <n v="12493600"/>
    <n v="13439863.976"/>
    <x v="3"/>
    <x v="0"/>
    <x v="0"/>
    <x v="0"/>
    <x v="1"/>
    <n v="965.75"/>
    <n v="12640.952627491586"/>
    <n v="451.46259383898524"/>
  </r>
  <r>
    <x v="8"/>
    <x v="0"/>
    <x v="24"/>
    <d v="2024-09-29T00:00:00"/>
    <n v="2070"/>
    <x v="0"/>
    <x v="0"/>
    <d v="2024-09-29T00:00:00"/>
    <n v="28000"/>
    <n v="436"/>
    <n v="12208000"/>
    <n v="2563680"/>
    <n v="14771680"/>
    <x v="0"/>
    <x v="0"/>
    <x v="0"/>
    <n v="14771680"/>
    <d v="2024-09-29T00:00:00"/>
    <d v="2024-11-28T00:00:00"/>
    <n v="-341"/>
    <x v="0"/>
    <x v="0"/>
    <d v="2024-12-05T00:00:00"/>
    <n v="0"/>
    <d v="2024-09-20T00:00:00"/>
    <n v="560"/>
    <n v="26378"/>
    <n v="-2378.2428999999997"/>
    <n v="23999.757099999999"/>
    <n v="0"/>
    <n v="23999.757099999999"/>
    <x v="0"/>
    <x v="15"/>
    <x v="1"/>
    <x v="0"/>
    <n v="22310"/>
    <n v="1689.7570999999989"/>
    <n v="7.5739896907216497E-2"/>
    <n v="946263.97599999933"/>
    <n v="12493600"/>
    <n v="13439863.976"/>
    <x v="3"/>
    <x v="0"/>
    <x v="0"/>
    <x v="0"/>
    <x v="1"/>
    <n v="965.75"/>
    <n v="12640.952627491586"/>
    <n v="451.46259383898524"/>
  </r>
  <r>
    <x v="8"/>
    <x v="0"/>
    <x v="24"/>
    <d v="2024-10-03T00:00:00"/>
    <n v="2074"/>
    <x v="0"/>
    <x v="0"/>
    <d v="2024-10-03T00:00:00"/>
    <n v="28000"/>
    <n v="436"/>
    <n v="12208000"/>
    <n v="2563680"/>
    <n v="14771680"/>
    <x v="0"/>
    <x v="0"/>
    <x v="0"/>
    <n v="14771680"/>
    <d v="2024-10-03T00:00:00"/>
    <d v="2024-12-02T00:00:00"/>
    <n v="-337"/>
    <x v="0"/>
    <x v="0"/>
    <d v="2024-12-09T00:00:00"/>
    <n v="0"/>
    <d v="2024-09-20T00:00:00"/>
    <n v="560"/>
    <n v="26378"/>
    <n v="-2378.2428999999997"/>
    <n v="23999.757099999999"/>
    <n v="0"/>
    <n v="23999.757099999999"/>
    <x v="0"/>
    <x v="15"/>
    <x v="1"/>
    <x v="0"/>
    <n v="22310"/>
    <n v="1689.7570999999989"/>
    <n v="7.5739896907216497E-2"/>
    <n v="946263.97599999933"/>
    <n v="12493600"/>
    <n v="13439863.976"/>
    <x v="3"/>
    <x v="0"/>
    <x v="0"/>
    <x v="0"/>
    <x v="1"/>
    <n v="965.75"/>
    <n v="12640.952627491586"/>
    <n v="451.46259383898524"/>
  </r>
  <r>
    <x v="8"/>
    <x v="0"/>
    <x v="24"/>
    <d v="2024-10-07T00:00:00"/>
    <n v="2078"/>
    <x v="0"/>
    <x v="0"/>
    <d v="2024-10-07T00:00:00"/>
    <n v="28000"/>
    <n v="436"/>
    <n v="12208000"/>
    <n v="2563680"/>
    <n v="14771680"/>
    <x v="0"/>
    <x v="0"/>
    <x v="0"/>
    <n v="14771680"/>
    <d v="2024-10-07T00:00:00"/>
    <d v="2024-12-06T00:00:00"/>
    <n v="-333"/>
    <x v="0"/>
    <x v="0"/>
    <d v="2024-12-13T00:00:00"/>
    <n v="0"/>
    <d v="2024-09-20T00:00:00"/>
    <n v="560"/>
    <n v="26378"/>
    <n v="-2378.2428999999997"/>
    <n v="23999.757099999999"/>
    <n v="0"/>
    <n v="23999.757099999999"/>
    <x v="0"/>
    <x v="15"/>
    <x v="1"/>
    <x v="0"/>
    <n v="22310"/>
    <n v="1689.7570999999989"/>
    <n v="7.5739896907216497E-2"/>
    <n v="946263.97599999933"/>
    <n v="12493600"/>
    <n v="13439863.976"/>
    <x v="3"/>
    <x v="0"/>
    <x v="5"/>
    <x v="0"/>
    <x v="0"/>
    <n v="965.75"/>
    <n v="12640.952627491586"/>
    <n v="451.46259383898524"/>
  </r>
  <r>
    <x v="8"/>
    <x v="0"/>
    <x v="24"/>
    <d v="2024-10-09T00:00:00"/>
    <n v="2079"/>
    <x v="0"/>
    <x v="0"/>
    <d v="2024-10-09T00:00:00"/>
    <n v="28000"/>
    <n v="436"/>
    <n v="12208000"/>
    <n v="2563680"/>
    <n v="14771680"/>
    <x v="0"/>
    <x v="0"/>
    <x v="0"/>
    <n v="14771680"/>
    <d v="2024-10-09T00:00:00"/>
    <d v="2024-12-08T00:00:00"/>
    <n v="-331"/>
    <x v="0"/>
    <x v="0"/>
    <d v="2024-12-15T00:00:00"/>
    <n v="0"/>
    <d v="2024-09-20T00:00:00"/>
    <n v="560"/>
    <n v="26378"/>
    <n v="-2378.2428999999997"/>
    <n v="23999.757099999999"/>
    <n v="0"/>
    <n v="23999.757099999999"/>
    <x v="0"/>
    <x v="15"/>
    <x v="1"/>
    <x v="0"/>
    <n v="22310"/>
    <n v="1689.7570999999989"/>
    <n v="7.5739896907216497E-2"/>
    <n v="946263.97599999933"/>
    <n v="12493600"/>
    <n v="13439863.976"/>
    <x v="3"/>
    <x v="0"/>
    <x v="5"/>
    <x v="0"/>
    <x v="0"/>
    <n v="965.75"/>
    <n v="12640.952627491586"/>
    <n v="451.46259383898524"/>
  </r>
  <r>
    <x v="8"/>
    <x v="0"/>
    <x v="4"/>
    <d v="2024-09-23T00:00:00"/>
    <s v="V24"/>
    <x v="0"/>
    <x v="0"/>
    <d v="2024-09-23T00:00:00"/>
    <n v="70000"/>
    <n v="399.714"/>
    <n v="27979980"/>
    <m/>
    <n v="27979980"/>
    <x v="0"/>
    <x v="0"/>
    <x v="0"/>
    <n v="27979980"/>
    <d v="2024-09-23T00:00:00"/>
    <d v="2024-09-23T00:00:00"/>
    <n v="-407"/>
    <x v="0"/>
    <x v="2"/>
    <d v="2024-09-30T00:00:00"/>
    <s v="SOC 22"/>
    <d v="2024-09-21T00:00:00"/>
    <n v="1400"/>
    <n v="19985.7"/>
    <n v="0"/>
    <n v="19985.7"/>
    <n v="0"/>
    <n v="19985.7"/>
    <x v="0"/>
    <x v="3"/>
    <x v="3"/>
    <x v="2"/>
    <n v="18338.842975206611"/>
    <n v="1646.8570247933894"/>
    <n v="8.9801577287066392E-2"/>
    <n v="2305599.8347107451"/>
    <n v="25674380.165289257"/>
    <n v="27979980"/>
    <x v="3"/>
    <x v="0"/>
    <x v="3"/>
    <x v="0"/>
    <x v="0"/>
    <n v="965.9"/>
    <n v="28967.781343824412"/>
    <n v="413.82544776892018"/>
  </r>
  <r>
    <x v="8"/>
    <x v="0"/>
    <x v="4"/>
    <d v="2024-09-23T00:00:00"/>
    <s v="V25"/>
    <x v="0"/>
    <x v="0"/>
    <d v="2024-09-23T00:00:00"/>
    <n v="70000"/>
    <n v="399.71460000000002"/>
    <n v="27980022"/>
    <m/>
    <n v="27980022"/>
    <x v="0"/>
    <x v="0"/>
    <x v="0"/>
    <n v="27980022"/>
    <d v="2024-09-23T00:00:00"/>
    <d v="2024-09-23T00:00:00"/>
    <n v="-407"/>
    <x v="0"/>
    <x v="2"/>
    <d v="2024-09-30T00:00:00"/>
    <s v="SOC 22"/>
    <d v="2024-09-21T00:00:00"/>
    <n v="1400"/>
    <n v="19985.73"/>
    <n v="0"/>
    <n v="19985.73"/>
    <n v="0"/>
    <n v="19985.73"/>
    <x v="0"/>
    <x v="3"/>
    <x v="3"/>
    <x v="2"/>
    <n v="18338.842975206611"/>
    <n v="1646.8870247933883"/>
    <n v="8.9803213159080686E-2"/>
    <n v="2305641.8347107437"/>
    <n v="25674380.165289257"/>
    <n v="27980022"/>
    <x v="3"/>
    <x v="0"/>
    <x v="4"/>
    <x v="0"/>
    <x v="0"/>
    <n v="965.9"/>
    <n v="28967.824826586602"/>
    <n v="413.82606895123718"/>
  </r>
  <r>
    <x v="8"/>
    <x v="0"/>
    <x v="4"/>
    <d v="2024-09-23T00:00:00"/>
    <s v="V26"/>
    <x v="0"/>
    <x v="0"/>
    <d v="2024-09-23T00:00:00"/>
    <n v="50000"/>
    <n v="400"/>
    <n v="20000000"/>
    <m/>
    <n v="20000000"/>
    <x v="0"/>
    <x v="0"/>
    <x v="0"/>
    <n v="20000000"/>
    <d v="2024-09-23T00:00:00"/>
    <d v="2024-09-23T00:00:00"/>
    <n v="-407"/>
    <x v="0"/>
    <x v="2"/>
    <d v="2024-09-30T00:00:00"/>
    <s v="SOC 22"/>
    <d v="2024-09-21T00:00:00"/>
    <n v="1000"/>
    <n v="20000"/>
    <n v="0"/>
    <n v="20000"/>
    <n v="0"/>
    <n v="20000"/>
    <x v="0"/>
    <x v="3"/>
    <x v="3"/>
    <x v="2"/>
    <n v="18338.842975206611"/>
    <n v="1661.1570247933887"/>
    <n v="9.0581342947273491E-2"/>
    <n v="1661157.0247933888"/>
    <n v="18338842.97520661"/>
    <n v="20000000"/>
    <x v="3"/>
    <x v="0"/>
    <x v="5"/>
    <x v="0"/>
    <x v="0"/>
    <n v="965.9"/>
    <n v="20706.077233668082"/>
    <n v="414.12154467336165"/>
  </r>
  <r>
    <x v="8"/>
    <x v="0"/>
    <x v="18"/>
    <d v="2024-09-24T00:00:00"/>
    <n v="2055"/>
    <x v="0"/>
    <x v="0"/>
    <d v="2024-09-30T00:00:00"/>
    <n v="28000"/>
    <n v="420"/>
    <n v="11760000"/>
    <n v="2469600"/>
    <n v="14229600"/>
    <x v="0"/>
    <x v="0"/>
    <x v="0"/>
    <n v="14229600"/>
    <d v="2024-09-24T00:00:00"/>
    <d v="2024-09-25T00:00:00"/>
    <n v="-405"/>
    <x v="0"/>
    <x v="0"/>
    <d v="2024-10-02T00:00:00"/>
    <n v="11490"/>
    <d v="2024-09-24T00:00:00"/>
    <n v="560"/>
    <n v="25410"/>
    <n v="-1795.0108"/>
    <n v="23614.9892"/>
    <n v="0"/>
    <n v="23614.9892"/>
    <x v="0"/>
    <x v="12"/>
    <x v="0"/>
    <x v="0"/>
    <n v="21830"/>
    <n v="1784.9892"/>
    <n v="8.1767714154832749E-2"/>
    <n v="999593.95200000005"/>
    <n v="12224800"/>
    <n v="13224393.952"/>
    <x v="3"/>
    <x v="0"/>
    <x v="5"/>
    <x v="0"/>
    <x v="0"/>
    <n v="966.75"/>
    <n v="12164.468580294802"/>
    <n v="434.44530643910008"/>
  </r>
  <r>
    <x v="8"/>
    <x v="0"/>
    <x v="18"/>
    <d v="2024-09-24T00:00:00"/>
    <n v="2056"/>
    <x v="0"/>
    <x v="0"/>
    <d v="2024-10-03T00:00:00"/>
    <n v="28000"/>
    <n v="420"/>
    <n v="11760000"/>
    <n v="2469600"/>
    <n v="14229600"/>
    <x v="0"/>
    <x v="0"/>
    <x v="0"/>
    <n v="14229600"/>
    <d v="2024-09-24T00:00:00"/>
    <d v="2024-09-25T00:00:00"/>
    <n v="-405"/>
    <x v="0"/>
    <x v="0"/>
    <d v="2024-10-02T00:00:00"/>
    <n v="11490"/>
    <d v="2024-09-24T00:00:00"/>
    <n v="560"/>
    <n v="25410"/>
    <n v="-1795.0108"/>
    <n v="23614.9892"/>
    <n v="0"/>
    <n v="23614.9892"/>
    <x v="0"/>
    <x v="12"/>
    <x v="0"/>
    <x v="0"/>
    <n v="21830"/>
    <n v="1784.9892"/>
    <n v="8.1767714154832749E-2"/>
    <n v="999593.95200000005"/>
    <n v="12224800"/>
    <n v="13224393.952"/>
    <x v="3"/>
    <x v="0"/>
    <x v="5"/>
    <x v="0"/>
    <x v="0"/>
    <n v="966.75"/>
    <n v="12164.468580294802"/>
    <n v="434.44530643910008"/>
  </r>
  <r>
    <x v="8"/>
    <x v="0"/>
    <x v="18"/>
    <d v="2024-09-24T00:00:00"/>
    <n v="2057"/>
    <x v="0"/>
    <x v="0"/>
    <d v="2024-10-15T00:00:00"/>
    <n v="28000"/>
    <n v="420"/>
    <n v="11760000"/>
    <n v="2469600"/>
    <n v="14229600"/>
    <x v="0"/>
    <x v="0"/>
    <x v="0"/>
    <n v="14229600"/>
    <d v="2024-09-24T00:00:00"/>
    <d v="2024-09-25T00:00:00"/>
    <n v="-405"/>
    <x v="0"/>
    <x v="0"/>
    <d v="2024-10-02T00:00:00"/>
    <n v="11490"/>
    <d v="2024-09-24T00:00:00"/>
    <n v="560"/>
    <n v="25410"/>
    <n v="-1795.0108"/>
    <n v="23614.9892"/>
    <n v="0"/>
    <n v="23614.9892"/>
    <x v="0"/>
    <x v="12"/>
    <x v="0"/>
    <x v="0"/>
    <n v="21830"/>
    <n v="1784.9892"/>
    <n v="8.1767714154832749E-2"/>
    <n v="999593.95200000005"/>
    <n v="12224800"/>
    <n v="13224393.952"/>
    <x v="3"/>
    <x v="0"/>
    <x v="5"/>
    <x v="0"/>
    <x v="0"/>
    <n v="966.75"/>
    <n v="12164.468580294802"/>
    <n v="434.44530643910008"/>
  </r>
  <r>
    <x v="8"/>
    <x v="0"/>
    <x v="18"/>
    <d v="2024-09-24T00:00:00"/>
    <n v="2058"/>
    <x v="0"/>
    <x v="0"/>
    <d v="2024-10-15T00:00:00"/>
    <n v="28000"/>
    <n v="420"/>
    <n v="11760000"/>
    <n v="2469600"/>
    <n v="14229600"/>
    <x v="0"/>
    <x v="0"/>
    <x v="0"/>
    <n v="14229600"/>
    <d v="2024-09-24T00:00:00"/>
    <d v="2024-09-25T00:00:00"/>
    <n v="-405"/>
    <x v="0"/>
    <x v="0"/>
    <d v="2024-10-02T00:00:00"/>
    <n v="11491"/>
    <d v="2024-09-24T00:00:00"/>
    <n v="560"/>
    <n v="25410"/>
    <n v="-1795.0108"/>
    <n v="23614.9892"/>
    <n v="0"/>
    <n v="23614.9892"/>
    <x v="0"/>
    <x v="12"/>
    <x v="0"/>
    <x v="0"/>
    <n v="21830"/>
    <n v="1784.9892"/>
    <n v="8.1767714154832749E-2"/>
    <n v="999593.95200000005"/>
    <n v="12224800"/>
    <n v="13224393.952"/>
    <x v="3"/>
    <x v="0"/>
    <x v="5"/>
    <x v="0"/>
    <x v="0"/>
    <n v="966.75"/>
    <n v="12164.468580294802"/>
    <n v="434.44530643910008"/>
  </r>
  <r>
    <x v="8"/>
    <x v="0"/>
    <x v="18"/>
    <d v="2024-09-24T00:00:00"/>
    <n v="2059"/>
    <x v="0"/>
    <x v="0"/>
    <d v="2024-10-16T00:00:00"/>
    <n v="28000"/>
    <n v="420"/>
    <n v="11760000"/>
    <n v="2469600"/>
    <n v="14229600"/>
    <x v="0"/>
    <x v="0"/>
    <x v="0"/>
    <n v="14229600"/>
    <d v="2024-09-24T00:00:00"/>
    <d v="2024-09-25T00:00:00"/>
    <n v="-405"/>
    <x v="0"/>
    <x v="0"/>
    <d v="2024-10-02T00:00:00"/>
    <n v="11491"/>
    <d v="2024-09-24T00:00:00"/>
    <n v="560"/>
    <n v="25410"/>
    <n v="-1795.0108"/>
    <n v="23614.9892"/>
    <n v="0"/>
    <n v="23614.9892"/>
    <x v="0"/>
    <x v="12"/>
    <x v="0"/>
    <x v="0"/>
    <n v="21830"/>
    <n v="1784.9892"/>
    <n v="8.1767714154832749E-2"/>
    <n v="999593.95200000005"/>
    <n v="12224800"/>
    <n v="13224393.952"/>
    <x v="3"/>
    <x v="0"/>
    <x v="5"/>
    <x v="0"/>
    <x v="0"/>
    <n v="966.75"/>
    <n v="12164.468580294802"/>
    <n v="434.44530643910008"/>
  </r>
  <r>
    <x v="8"/>
    <x v="0"/>
    <x v="18"/>
    <d v="2024-09-24T00:00:00"/>
    <n v="2060"/>
    <x v="0"/>
    <x v="0"/>
    <d v="2024-10-17T00:00:00"/>
    <n v="28000"/>
    <n v="420"/>
    <n v="11760000"/>
    <n v="2469600"/>
    <n v="14229600"/>
    <x v="0"/>
    <x v="0"/>
    <x v="0"/>
    <n v="14229600"/>
    <d v="2024-09-24T00:00:00"/>
    <d v="2024-09-25T00:00:00"/>
    <n v="-405"/>
    <x v="0"/>
    <x v="0"/>
    <d v="2024-10-02T00:00:00"/>
    <n v="11491"/>
    <d v="2024-09-24T00:00:00"/>
    <n v="560"/>
    <n v="25410"/>
    <n v="-1795.0108"/>
    <n v="23614.9892"/>
    <n v="0"/>
    <n v="23614.9892"/>
    <x v="0"/>
    <x v="12"/>
    <x v="0"/>
    <x v="0"/>
    <n v="21830"/>
    <n v="1784.9892"/>
    <n v="8.1767714154832749E-2"/>
    <n v="999593.95200000005"/>
    <n v="12224800"/>
    <n v="13224393.952"/>
    <x v="3"/>
    <x v="0"/>
    <x v="5"/>
    <x v="0"/>
    <x v="0"/>
    <n v="966.75"/>
    <n v="12164.468580294802"/>
    <n v="434.44530643910008"/>
  </r>
  <r>
    <x v="8"/>
    <x v="0"/>
    <x v="19"/>
    <d v="2024-10-07T00:00:00"/>
    <n v="2071"/>
    <x v="0"/>
    <x v="0"/>
    <d v="2024-10-07T00:00:00"/>
    <n v="27500"/>
    <n v="465.97937000000002"/>
    <n v="12814432.675000001"/>
    <n v="2691030.8617500002"/>
    <n v="15505463.53675"/>
    <x v="0"/>
    <x v="0"/>
    <x v="0"/>
    <n v="15505463.53675"/>
    <d v="2024-10-07T00:00:00"/>
    <d v="2024-11-06T00:00:00"/>
    <n v="-363"/>
    <x v="0"/>
    <x v="0"/>
    <d v="2024-11-13T00:00:00"/>
    <n v="6305"/>
    <d v="2024-10-01T00:00:00"/>
    <n v="550"/>
    <n v="28191.751885000001"/>
    <n v="-2740.8919999999998"/>
    <n v="25450.859885000002"/>
    <n v="0"/>
    <n v="25450.859885000002"/>
    <x v="2"/>
    <x v="13"/>
    <x v="5"/>
    <x v="0"/>
    <n v="22125"/>
    <n v="3325.8598850000017"/>
    <n v="0.1503213507344634"/>
    <n v="1829222.9367500008"/>
    <n v="12168750"/>
    <n v="13997972.93675"/>
    <x v="3"/>
    <x v="0"/>
    <x v="5"/>
    <x v="0"/>
    <x v="0"/>
    <n v="971.25"/>
    <n v="13193.753075933077"/>
    <n v="479.77283912483915"/>
  </r>
  <r>
    <x v="8"/>
    <x v="0"/>
    <x v="1"/>
    <d v="2024-09-25T00:00:00"/>
    <n v="2061"/>
    <x v="0"/>
    <x v="0"/>
    <d v="2024-10-23T00:00:00"/>
    <n v="28000"/>
    <n v="462"/>
    <n v="12936000"/>
    <n v="2716560"/>
    <n v="15652560"/>
    <x v="0"/>
    <x v="0"/>
    <x v="0"/>
    <n v="15652560"/>
    <d v="2024-09-25T00:00:00"/>
    <d v="2024-11-09T00:00:00"/>
    <n v="-360"/>
    <x v="0"/>
    <x v="0"/>
    <d v="2024-11-16T00:00:00"/>
    <n v="25090934"/>
    <d v="2024-09-25T00:00:00"/>
    <n v="560"/>
    <n v="27951"/>
    <n v="-3540.8229999999999"/>
    <n v="24410.177"/>
    <n v="0"/>
    <n v="24410.177"/>
    <x v="1"/>
    <x v="2"/>
    <x v="1"/>
    <x v="0"/>
    <n v="21710"/>
    <n v="2700.1769999999997"/>
    <n v="0.12437480423767844"/>
    <n v="1512099.1199999999"/>
    <n v="12157600"/>
    <n v="13669699.119999999"/>
    <x v="3"/>
    <x v="0"/>
    <x v="5"/>
    <x v="0"/>
    <x v="0"/>
    <n v="967.91669999999999"/>
    <n v="13364.786453214414"/>
    <n v="477.31380190051476"/>
  </r>
  <r>
    <x v="8"/>
    <x v="18"/>
    <x v="23"/>
    <d v="2024-09-26T00:00:00"/>
    <n v="0"/>
    <x v="0"/>
    <x v="0"/>
    <d v="2024-09-26T00:00:00"/>
    <n v="500000"/>
    <n v="396.69421487603199"/>
    <n v="198347107.438016"/>
    <n v="41652892.561983354"/>
    <n v="239999999.99999934"/>
    <x v="0"/>
    <x v="0"/>
    <x v="0"/>
    <n v="239999999.99999934"/>
    <d v="2024-10-26T00:00:00"/>
    <d v="2024-11-02T00:00:00"/>
    <n v="-367"/>
    <x v="2"/>
    <x v="0"/>
    <d v="2024-11-09T00:00:00"/>
    <m/>
    <d v="2024-09-26T00:00:00"/>
    <n v="10000"/>
    <n v="23999.999999999935"/>
    <n v="0"/>
    <n v="23999.999999999935"/>
    <n v="0"/>
    <n v="23999.999999999935"/>
    <x v="0"/>
    <x v="3"/>
    <x v="3"/>
    <x v="3"/>
    <n v="21625"/>
    <n v="2374.9999999999345"/>
    <n v="0.10982658959537273"/>
    <n v="23749999.999999344"/>
    <n v="216250000"/>
    <n v="239999999.99999934"/>
    <x v="3"/>
    <x v="0"/>
    <x v="3"/>
    <x v="0"/>
    <x v="0"/>
    <n v="968.75"/>
    <n v="204745.40122633911"/>
    <n v="409.49080245267822"/>
  </r>
  <r>
    <x v="8"/>
    <x v="12"/>
    <x v="13"/>
    <d v="2024-11-22T00:00:00"/>
    <s v="7000002018/NC 212"/>
    <x v="0"/>
    <x v="0"/>
    <d v="2024-11-22T00:00:00"/>
    <n v="-1500"/>
    <n v="502"/>
    <n v="-753000"/>
    <n v="-158130"/>
    <n v="-911130"/>
    <x v="0"/>
    <x v="0"/>
    <x v="0"/>
    <n v="-911130"/>
    <d v="2024-11-22T00:00:00"/>
    <d v="2024-11-22T00:00:00"/>
    <n v="-347"/>
    <x v="0"/>
    <x v="5"/>
    <d v="2024-11-29T00:00:00"/>
    <n v="44584"/>
    <d v="2024-08-24T00:00:00"/>
    <n v="-30"/>
    <n v="30371"/>
    <n v="0"/>
    <n v="30371"/>
    <n v="0"/>
    <n v="30371"/>
    <x v="2"/>
    <x v="6"/>
    <x v="1"/>
    <x v="0"/>
    <n v="25315"/>
    <n v="5056"/>
    <n v="0.19972348410033569"/>
    <n v="-151680"/>
    <n v="-759450"/>
    <n v="-911130"/>
    <x v="3"/>
    <x v="0"/>
    <x v="5"/>
    <x v="0"/>
    <x v="0"/>
    <n v="948.5"/>
    <n v="-793.8850817079599"/>
    <n v="529.25672113863993"/>
  </r>
  <r>
    <x v="8"/>
    <x v="12"/>
    <x v="13"/>
    <d v="2024-11-22T00:00:00"/>
    <s v="7000002018/NC 220"/>
    <x v="0"/>
    <x v="0"/>
    <d v="2024-11-22T00:00:00"/>
    <n v="-1000"/>
    <n v="502"/>
    <n v="-502000"/>
    <n v="-105420"/>
    <n v="-607420"/>
    <x v="0"/>
    <x v="0"/>
    <x v="0"/>
    <n v="-607420"/>
    <d v="2024-11-22T00:00:00"/>
    <d v="2024-11-22T00:00:00"/>
    <n v="-347"/>
    <x v="0"/>
    <x v="5"/>
    <d v="2024-11-29T00:00:00"/>
    <n v="44584"/>
    <d v="2024-08-24T00:00:00"/>
    <n v="-20"/>
    <n v="30371"/>
    <n v="0"/>
    <n v="30371"/>
    <n v="0"/>
    <n v="30371"/>
    <x v="2"/>
    <x v="6"/>
    <x v="1"/>
    <x v="0"/>
    <n v="25315"/>
    <n v="5056"/>
    <n v="0.19972348410033569"/>
    <n v="-101120"/>
    <n v="-506300"/>
    <n v="-607420"/>
    <x v="3"/>
    <x v="0"/>
    <x v="3"/>
    <x v="0"/>
    <x v="0"/>
    <n v="948.5"/>
    <n v="-529.25672113863993"/>
    <n v="529.25672113863993"/>
  </r>
  <r>
    <x v="8"/>
    <x v="12"/>
    <x v="13"/>
    <d v="2024-12-03T00:00:00"/>
    <s v="7000002019/NC 223"/>
    <x v="0"/>
    <x v="0"/>
    <d v="2024-12-03T00:00:00"/>
    <n v="-1250"/>
    <n v="502"/>
    <n v="-627500"/>
    <n v="-131775"/>
    <n v="-759275"/>
    <x v="0"/>
    <x v="0"/>
    <x v="0"/>
    <n v="-759275"/>
    <d v="2024-12-03T00:00:00"/>
    <d v="2024-12-03T00:00:00"/>
    <n v="-336"/>
    <x v="0"/>
    <x v="5"/>
    <d v="2024-12-10T00:00:00"/>
    <n v="4485"/>
    <d v="2024-08-24T00:00:00"/>
    <n v="-25"/>
    <n v="30371"/>
    <n v="0"/>
    <n v="30371"/>
    <n v="0"/>
    <n v="30371"/>
    <x v="2"/>
    <x v="6"/>
    <x v="1"/>
    <x v="0"/>
    <n v="25315"/>
    <n v="5056"/>
    <n v="0.19972348410033569"/>
    <n v="-126400"/>
    <n v="-632875"/>
    <n v="-759275"/>
    <x v="3"/>
    <x v="0"/>
    <x v="5"/>
    <x v="0"/>
    <x v="0"/>
    <n v="948.5"/>
    <n v="-661.57090142329992"/>
    <n v="529.25672113863993"/>
  </r>
  <r>
    <x v="8"/>
    <x v="12"/>
    <x v="13"/>
    <d v="2024-12-06T00:00:00"/>
    <s v="7000002019/NC 224"/>
    <x v="0"/>
    <x v="0"/>
    <d v="2024-12-03T00:00:00"/>
    <n v="-2500"/>
    <n v="502"/>
    <n v="-1255000"/>
    <n v="-263550"/>
    <n v="-1518550"/>
    <x v="0"/>
    <x v="0"/>
    <x v="0"/>
    <n v="-1518550"/>
    <d v="2024-12-06T00:00:00"/>
    <d v="2024-12-06T00:00:00"/>
    <n v="-333"/>
    <x v="0"/>
    <x v="5"/>
    <d v="2024-12-13T00:00:00"/>
    <n v="4485"/>
    <d v="2024-08-24T00:00:00"/>
    <n v="-50"/>
    <n v="30371"/>
    <n v="0"/>
    <n v="30371"/>
    <n v="0"/>
    <n v="30371"/>
    <x v="2"/>
    <x v="6"/>
    <x v="1"/>
    <x v="0"/>
    <n v="25315"/>
    <n v="5056"/>
    <n v="0.19972348410033569"/>
    <n v="-252800"/>
    <n v="-1265750"/>
    <n v="-1518550"/>
    <x v="3"/>
    <x v="0"/>
    <x v="5"/>
    <x v="0"/>
    <x v="0"/>
    <n v="948.5"/>
    <n v="-1323.1418028465998"/>
    <n v="529.25672113863993"/>
  </r>
  <r>
    <x v="9"/>
    <x v="0"/>
    <x v="6"/>
    <d v="2025-01-09T00:00:00"/>
    <n v="2209"/>
    <x v="0"/>
    <x v="0"/>
    <d v="2025-01-09T00:00:00"/>
    <n v="28000"/>
    <n v="472"/>
    <n v="13216000"/>
    <n v="2775360"/>
    <n v="15991360"/>
    <x v="0"/>
    <x v="0"/>
    <x v="0"/>
    <n v="15991360"/>
    <d v="2025-01-09T00:00:00"/>
    <d v="2025-02-08T00:00:00"/>
    <n v="-269"/>
    <x v="0"/>
    <x v="0"/>
    <d v="2025-02-15T00:00:00"/>
    <n v="13286"/>
    <d v="2024-09-26T00:00:00"/>
    <n v="560"/>
    <n v="28556"/>
    <n v="-3498.4124999999999"/>
    <n v="25057.587500000001"/>
    <n v="0"/>
    <n v="25057.587500000001"/>
    <x v="0"/>
    <x v="5"/>
    <x v="1"/>
    <x v="0"/>
    <n v="21625"/>
    <n v="3432.5875000000015"/>
    <n v="0.15873236994219653"/>
    <n v="1922249.0000000009"/>
    <n v="12110000"/>
    <n v="14032249"/>
    <x v="3"/>
    <x v="0"/>
    <x v="3"/>
    <x v="0"/>
    <x v="0"/>
    <n v="968.75"/>
    <n v="13642.322580645161"/>
    <n v="487.22580645161287"/>
  </r>
  <r>
    <x v="9"/>
    <x v="0"/>
    <x v="19"/>
    <d v="2024-10-07T00:00:00"/>
    <n v="2080"/>
    <x v="0"/>
    <x v="0"/>
    <d v="2024-10-07T00:00:00"/>
    <n v="27500"/>
    <n v="465"/>
    <n v="12787500"/>
    <n v="2685375"/>
    <n v="15472875"/>
    <x v="0"/>
    <x v="0"/>
    <x v="0"/>
    <n v="15472875"/>
    <d v="2024-10-07T00:00:00"/>
    <d v="2024-11-06T00:00:00"/>
    <n v="-363"/>
    <x v="0"/>
    <x v="0"/>
    <d v="2024-11-13T00:00:00"/>
    <n v="6305"/>
    <d v="2024-10-01T00:00:00"/>
    <n v="550"/>
    <n v="28132.5"/>
    <n v="-2740.8919999999998"/>
    <n v="25391.608"/>
    <n v="0"/>
    <n v="25391.608"/>
    <x v="2"/>
    <x v="13"/>
    <x v="5"/>
    <x v="0"/>
    <n v="22125"/>
    <n v="3266.6080000000002"/>
    <n v="0.1476432994350283"/>
    <n v="1796634.4000000001"/>
    <n v="12168750"/>
    <n v="13965384.4"/>
    <x v="3"/>
    <x v="0"/>
    <x v="3"/>
    <x v="0"/>
    <x v="0"/>
    <n v="971.25"/>
    <n v="13166.023166023166"/>
    <n v="478.76447876447872"/>
  </r>
  <r>
    <x v="9"/>
    <x v="0"/>
    <x v="15"/>
    <d v="2024-10-29T00:00:00"/>
    <n v="2072"/>
    <x v="0"/>
    <x v="0"/>
    <d v="2024-10-29T00:00:00"/>
    <n v="28000"/>
    <n v="442"/>
    <n v="12376000"/>
    <n v="2598960"/>
    <n v="14974960"/>
    <x v="0"/>
    <x v="0"/>
    <x v="0"/>
    <n v="14974960"/>
    <d v="2024-10-29T00:00:00"/>
    <d v="2024-11-28T00:00:00"/>
    <n v="-341"/>
    <x v="0"/>
    <x v="4"/>
    <d v="2024-12-05T00:00:00"/>
    <s v="WP 10/10"/>
    <d v="2024-10-01T00:00:00"/>
    <n v="560"/>
    <n v="26741"/>
    <n v="-2736.7174999999997"/>
    <n v="24004.282500000001"/>
    <n v="0"/>
    <n v="24004.282500000001"/>
    <x v="0"/>
    <x v="8"/>
    <x v="1"/>
    <x v="0"/>
    <n v="22125"/>
    <n v="1879.2825000000012"/>
    <n v="8.4939322033898312E-2"/>
    <n v="1052398.2000000007"/>
    <n v="12390000"/>
    <n v="13442398.200000001"/>
    <x v="3"/>
    <x v="0"/>
    <x v="5"/>
    <x v="0"/>
    <x v="0"/>
    <n v="971.25"/>
    <n v="12742.342342342343"/>
    <n v="455.08365508365512"/>
  </r>
  <r>
    <x v="9"/>
    <x v="0"/>
    <x v="20"/>
    <d v="2024-10-08T00:00:00"/>
    <n v="561"/>
    <x v="0"/>
    <x v="0"/>
    <d v="2024-10-08T00:00:00"/>
    <n v="28000"/>
    <n v="420"/>
    <n v="11760000"/>
    <n v="2469600"/>
    <n v="14229600"/>
    <x v="0"/>
    <x v="0"/>
    <x v="0"/>
    <n v="14229600"/>
    <d v="2024-11-07T00:00:00"/>
    <d v="2024-12-07T00:00:00"/>
    <n v="-332"/>
    <x v="2"/>
    <x v="0"/>
    <d v="2024-12-14T00:00:00"/>
    <n v="628616"/>
    <d v="2024-10-02T00:00:00"/>
    <n v="560"/>
    <n v="25410"/>
    <n v="0"/>
    <n v="25410"/>
    <n v="-939.82191780821915"/>
    <n v="24470.178082191782"/>
    <x v="3"/>
    <x v="3"/>
    <x v="2"/>
    <x v="0"/>
    <n v="22225"/>
    <n v="2245.1780821917819"/>
    <n v="0.10102038615036135"/>
    <n v="1257299.7260273979"/>
    <n v="12446000"/>
    <n v="13703299.726027397"/>
    <x v="3"/>
    <x v="0"/>
    <x v="3"/>
    <x v="0"/>
    <x v="0"/>
    <n v="971.75"/>
    <n v="12101.878055055313"/>
    <n v="432.20993053768973"/>
  </r>
  <r>
    <x v="9"/>
    <x v="0"/>
    <x v="20"/>
    <d v="2024-10-15T00:00:00"/>
    <n v="556"/>
    <x v="0"/>
    <x v="0"/>
    <d v="2024-10-15T00:00:00"/>
    <n v="27500"/>
    <n v="380"/>
    <n v="10450000"/>
    <n v="2194500"/>
    <n v="12644500"/>
    <x v="0"/>
    <x v="0"/>
    <x v="0"/>
    <n v="12644500"/>
    <d v="2024-11-14T00:00:00"/>
    <d v="2024-12-14T00:00:00"/>
    <n v="-325"/>
    <x v="2"/>
    <x v="0"/>
    <d v="2024-12-21T00:00:00"/>
    <n v="628331"/>
    <d v="2024-10-02T00:00:00"/>
    <n v="550"/>
    <n v="22990"/>
    <n v="0"/>
    <n v="22990"/>
    <n v="-850.31506849315065"/>
    <n v="22139.68493150685"/>
    <x v="2"/>
    <x v="3"/>
    <x v="2"/>
    <x v="0"/>
    <n v="22225"/>
    <n v="-85.315068493149738"/>
    <n v="-3.8386982449111207E-3"/>
    <n v="-46923.287671232356"/>
    <n v="12223750"/>
    <n v="12176826.712328767"/>
    <x v="3"/>
    <x v="0"/>
    <x v="3"/>
    <x v="0"/>
    <x v="0"/>
    <n v="971.75"/>
    <n v="10753.794700282995"/>
    <n v="391.04708001029076"/>
  </r>
  <r>
    <x v="9"/>
    <x v="0"/>
    <x v="20"/>
    <d v="2024-10-19T00:00:00"/>
    <n v="559"/>
    <x v="0"/>
    <x v="0"/>
    <d v="2024-10-19T00:00:00"/>
    <n v="27500"/>
    <n v="380"/>
    <n v="10450000"/>
    <n v="2194500"/>
    <n v="12644500"/>
    <x v="0"/>
    <x v="0"/>
    <x v="0"/>
    <n v="12644500"/>
    <d v="2024-11-18T00:00:00"/>
    <d v="2024-12-18T00:00:00"/>
    <n v="-321"/>
    <x v="2"/>
    <x v="0"/>
    <d v="2024-12-25T00:00:00"/>
    <n v="628332"/>
    <d v="2024-10-02T00:00:00"/>
    <n v="550"/>
    <n v="22990"/>
    <n v="0"/>
    <n v="22990"/>
    <n v="-850.31506849315065"/>
    <n v="22139.68493150685"/>
    <x v="2"/>
    <x v="3"/>
    <x v="2"/>
    <x v="0"/>
    <n v="22225"/>
    <n v="-85.315068493149738"/>
    <n v="-3.8386982449111207E-3"/>
    <n v="-46923.287671232356"/>
    <n v="12223750"/>
    <n v="12176826.712328767"/>
    <x v="3"/>
    <x v="0"/>
    <x v="3"/>
    <x v="0"/>
    <x v="0"/>
    <n v="971.75"/>
    <n v="10753.794700282995"/>
    <n v="391.04708001029076"/>
  </r>
  <r>
    <x v="9"/>
    <x v="0"/>
    <x v="1"/>
    <d v="2024-10-03T00:00:00"/>
    <n v="2077"/>
    <x v="0"/>
    <x v="0"/>
    <d v="2024-10-31T00:00:00"/>
    <n v="28000"/>
    <n v="472"/>
    <n v="13216000"/>
    <n v="2775360"/>
    <n v="15991360"/>
    <x v="0"/>
    <x v="0"/>
    <x v="0"/>
    <n v="15991360"/>
    <d v="2024-10-03T00:00:00"/>
    <d v="2024-11-17T00:00:00"/>
    <n v="-352"/>
    <x v="0"/>
    <x v="0"/>
    <d v="2024-11-24T00:00:00"/>
    <s v="MAIL 3/10"/>
    <d v="2024-10-03T00:00:00"/>
    <n v="560"/>
    <n v="28556"/>
    <n v="-3542.6379999999999"/>
    <n v="25013.362000000001"/>
    <n v="0"/>
    <n v="25013.362000000001"/>
    <x v="1"/>
    <x v="2"/>
    <x v="1"/>
    <x v="0"/>
    <n v="22325"/>
    <n v="2688.362000000001"/>
    <n v="0.1204193505039195"/>
    <n v="1505482.7200000007"/>
    <n v="12502000"/>
    <n v="14007482.720000001"/>
    <x v="3"/>
    <x v="0"/>
    <x v="3"/>
    <x v="0"/>
    <x v="0"/>
    <n v="972.75"/>
    <n v="13586.224620920071"/>
    <n v="485.22230789000253"/>
  </r>
  <r>
    <x v="9"/>
    <x v="0"/>
    <x v="15"/>
    <d v="2024-10-22T00:00:00"/>
    <n v="2082"/>
    <x v="0"/>
    <x v="0"/>
    <d v="2024-10-22T00:00:00"/>
    <n v="28000"/>
    <n v="442"/>
    <n v="12376000"/>
    <n v="2598960"/>
    <n v="14974960"/>
    <x v="0"/>
    <x v="0"/>
    <x v="0"/>
    <n v="14974960"/>
    <d v="2024-10-22T00:00:00"/>
    <d v="2024-11-21T00:00:00"/>
    <n v="-348"/>
    <x v="0"/>
    <x v="4"/>
    <d v="2024-11-28T00:00:00"/>
    <s v="WP 10/10"/>
    <d v="2024-10-01T00:00:00"/>
    <n v="560"/>
    <n v="26741"/>
    <n v="-2736.7174999999997"/>
    <n v="24004.282500000001"/>
    <n v="0"/>
    <n v="24004.282500000001"/>
    <x v="0"/>
    <x v="8"/>
    <x v="1"/>
    <x v="0"/>
    <n v="22125"/>
    <n v="1879.2825000000012"/>
    <n v="8.4939322033898312E-2"/>
    <n v="1052398.2000000007"/>
    <n v="12390000"/>
    <n v="13442398.200000001"/>
    <x v="3"/>
    <x v="0"/>
    <x v="3"/>
    <x v="0"/>
    <x v="0"/>
    <n v="971.25"/>
    <n v="12742.342342342343"/>
    <n v="455.08365508365512"/>
  </r>
  <r>
    <x v="9"/>
    <x v="0"/>
    <x v="15"/>
    <d v="2024-10-29T00:00:00"/>
    <n v="2083"/>
    <x v="0"/>
    <x v="0"/>
    <d v="2024-10-29T00:00:00"/>
    <n v="28000"/>
    <n v="442"/>
    <n v="12376000"/>
    <n v="2598960"/>
    <n v="14974960"/>
    <x v="0"/>
    <x v="0"/>
    <x v="0"/>
    <n v="14974960"/>
    <d v="2024-10-29T00:00:00"/>
    <d v="2024-11-28T00:00:00"/>
    <n v="-341"/>
    <x v="0"/>
    <x v="4"/>
    <d v="2024-12-05T00:00:00"/>
    <s v="WP 10/10"/>
    <d v="2024-10-01T00:00:00"/>
    <n v="560"/>
    <n v="26741"/>
    <n v="-2736.7174999999997"/>
    <n v="24004.282500000001"/>
    <n v="0"/>
    <n v="24004.282500000001"/>
    <x v="0"/>
    <x v="8"/>
    <x v="1"/>
    <x v="0"/>
    <n v="22125"/>
    <n v="1879.2825000000012"/>
    <n v="8.4939322033898312E-2"/>
    <n v="1052398.2000000007"/>
    <n v="12390000"/>
    <n v="13442398.200000001"/>
    <x v="3"/>
    <x v="0"/>
    <x v="3"/>
    <x v="0"/>
    <x v="0"/>
    <n v="971.25"/>
    <n v="12742.342342342343"/>
    <n v="455.08365508365512"/>
  </r>
  <r>
    <x v="9"/>
    <x v="20"/>
    <x v="11"/>
    <d v="2024-10-02T00:00:00"/>
    <n v="525"/>
    <x v="0"/>
    <x v="0"/>
    <d v="2024-10-02T00:00:00"/>
    <n v="797560"/>
    <n v="388.8568186377542"/>
    <n v="310136644.27272725"/>
    <n v="65128695.297272719"/>
    <n v="375265339.56999999"/>
    <x v="0"/>
    <x v="0"/>
    <x v="0"/>
    <n v="375265339.56999999"/>
    <d v="2024-10-09T00:00:00"/>
    <d v="2024-11-01T00:00:00"/>
    <n v="-368"/>
    <x v="3"/>
    <x v="0"/>
    <d v="2024-11-08T00:00:00"/>
    <s v="OC 4500257274  y 76 -ZOP"/>
    <d v="2024-10-05T00:00:00"/>
    <n v="15951.2"/>
    <n v="23525.837527584128"/>
    <n v="0"/>
    <n v="23120.831249999999"/>
    <n v="-961.05493150684947"/>
    <n v="24081.886181506849"/>
    <x v="0"/>
    <x v="3"/>
    <x v="3"/>
    <x v="3"/>
    <n v="22525"/>
    <n v="595.83124999999927"/>
    <n v="2.6451997780244207E-2"/>
    <n v="23833249.99999997"/>
    <n v="359300780"/>
    <n v="384134982.85845208"/>
    <x v="3"/>
    <x v="0"/>
    <x v="3"/>
    <x v="0"/>
    <x v="0"/>
    <n v="974.9"/>
    <n v="318121.49376626039"/>
    <n v="398.86841587624809"/>
  </r>
  <r>
    <x v="9"/>
    <x v="21"/>
    <x v="11"/>
    <d v="2024-10-02T00:00:00"/>
    <n v="526"/>
    <x v="0"/>
    <x v="0"/>
    <d v="2024-10-02T00:00:00"/>
    <n v="116890.00000000001"/>
    <n v="388.75520638532089"/>
    <n v="45441596.074380167"/>
    <n v="9542735.175619835"/>
    <n v="54984331.25"/>
    <x v="0"/>
    <x v="0"/>
    <x v="0"/>
    <n v="54984331.25"/>
    <d v="2024-10-09T00:00:00"/>
    <d v="2024-11-01T00:00:00"/>
    <n v="-368"/>
    <x v="3"/>
    <x v="0"/>
    <d v="2024-11-08T00:00:00"/>
    <s v="OC 4500258579 -ZOP"/>
    <d v="2024-10-05T00:00:00"/>
    <n v="2337.8000000000002"/>
    <n v="23519.689986311914"/>
    <n v="0"/>
    <n v="24500.013449999999"/>
    <n v="30.136986301369863"/>
    <n v="24469.876463698627"/>
    <x v="0"/>
    <x v="3"/>
    <x v="3"/>
    <x v="3"/>
    <n v="22525"/>
    <n v="1975.0134499999986"/>
    <n v="8.7680952275249746E-2"/>
    <n v="9875067.2499999925"/>
    <n v="52658945.000000007"/>
    <n v="57205677.196834654"/>
    <x v="3"/>
    <x v="0"/>
    <x v="3"/>
    <x v="0"/>
    <x v="0"/>
    <n v="974.9"/>
    <n v="46611.545875864365"/>
    <n v="398.76418749135394"/>
  </r>
  <r>
    <x v="9"/>
    <x v="22"/>
    <x v="11"/>
    <d v="2024-10-04T00:00:00"/>
    <n v="546"/>
    <x v="0"/>
    <x v="0"/>
    <d v="2024-10-04T00:00:00"/>
    <n v="409220"/>
    <n v="387.10000197917344"/>
    <n v="158409062.80991736"/>
    <n v="33265903.190082643"/>
    <n v="191674966"/>
    <x v="0"/>
    <x v="0"/>
    <x v="0"/>
    <n v="191674966"/>
    <d v="2024-10-11T00:00:00"/>
    <d v="2024-11-03T00:00:00"/>
    <n v="-366"/>
    <x v="3"/>
    <x v="0"/>
    <d v="2024-11-10T00:00:00"/>
    <m/>
    <d v="2024-10-05T00:00:00"/>
    <n v="8184.4"/>
    <n v="23419.550119739994"/>
    <m/>
    <n v="23419.550119739994"/>
    <n v="60.273972602739725"/>
    <n v="23479.824092342733"/>
    <x v="0"/>
    <x v="3"/>
    <x v="3"/>
    <x v="3"/>
    <n v="22525"/>
    <n v="954.82409234273291"/>
    <n v="4.2389526852063542E-2"/>
    <n v="7814662.3013698626"/>
    <n v="184353610"/>
    <n v="192168272.30136985"/>
    <x v="3"/>
    <x v="0"/>
    <x v="3"/>
    <x v="0"/>
    <x v="0"/>
    <n v="974.9"/>
    <n v="162487.49903571379"/>
    <n v="397.06636781123547"/>
  </r>
  <r>
    <x v="9"/>
    <x v="23"/>
    <x v="11"/>
    <d v="2024-10-10T00:00:00"/>
    <n v="551"/>
    <x v="0"/>
    <x v="0"/>
    <d v="2024-10-10T00:00:00"/>
    <n v="605990"/>
    <n v="387.05527939459495"/>
    <n v="234551628.76033059"/>
    <n v="49255842.039669424"/>
    <n v="283807470.80000001"/>
    <x v="0"/>
    <x v="0"/>
    <x v="0"/>
    <n v="283807470.80000001"/>
    <d v="2024-10-17T00:00:00"/>
    <d v="2024-11-09T00:00:00"/>
    <n v="-360"/>
    <x v="3"/>
    <x v="0"/>
    <d v="2024-11-16T00:00:00"/>
    <m/>
    <d v="2024-10-05T00:00:00"/>
    <n v="12119.8"/>
    <n v="23416.844403372997"/>
    <m/>
    <n v="23416.844403372997"/>
    <n v="271.23287671232879"/>
    <n v="23688.077280085326"/>
    <x v="0"/>
    <x v="3"/>
    <x v="3"/>
    <x v="3"/>
    <n v="22525"/>
    <n v="1163.0772800853265"/>
    <n v="5.1634951391135386E-2"/>
    <n v="14096264.019178139"/>
    <n v="272998495"/>
    <n v="287094759.01917815"/>
    <x v="3"/>
    <x v="0"/>
    <x v="3"/>
    <x v="0"/>
    <x v="0"/>
    <n v="974.9"/>
    <n v="240590.44903100893"/>
    <n v="397.02049378869111"/>
  </r>
  <r>
    <x v="9"/>
    <x v="24"/>
    <x v="11"/>
    <d v="2024-10-10T00:00:00"/>
    <n v="552"/>
    <x v="0"/>
    <x v="0"/>
    <d v="2024-10-10T00:00:00"/>
    <n v="300000"/>
    <n v="387.1"/>
    <n v="116130000"/>
    <n v="24387300"/>
    <n v="140517300"/>
    <x v="0"/>
    <x v="0"/>
    <x v="0"/>
    <n v="140517300"/>
    <d v="2024-10-17T00:00:00"/>
    <d v="2024-11-24T00:00:00"/>
    <n v="-345"/>
    <x v="3"/>
    <x v="0"/>
    <d v="2024-12-01T00:00:00"/>
    <m/>
    <d v="2024-10-05T00:00:00"/>
    <n v="6000"/>
    <n v="23419.55"/>
    <m/>
    <n v="23419.55"/>
    <n v="271.23287671232879"/>
    <n v="23690.782876712328"/>
    <x v="0"/>
    <x v="3"/>
    <x v="3"/>
    <x v="3"/>
    <n v="22525"/>
    <n v="1165.7828767123283"/>
    <n v="5.1755066668693894E-2"/>
    <n v="6994697.2602739697"/>
    <n v="135150000"/>
    <n v="142144697.26027396"/>
    <x v="3"/>
    <x v="0"/>
    <x v="5"/>
    <x v="0"/>
    <x v="0"/>
    <n v="974.9"/>
    <n v="119119.90973433173"/>
    <n v="397.06636578110573"/>
  </r>
  <r>
    <x v="9"/>
    <x v="25"/>
    <x v="11"/>
    <d v="2024-10-21T00:00:00"/>
    <n v="553"/>
    <x v="0"/>
    <x v="0"/>
    <d v="2024-10-21T00:00:00"/>
    <n v="270000"/>
    <n v="389.47"/>
    <n v="105156900"/>
    <n v="22082949"/>
    <n v="127239849"/>
    <x v="0"/>
    <x v="0"/>
    <x v="0"/>
    <n v="127239849"/>
    <d v="2024-10-28T00:00:00"/>
    <d v="2024-11-20T00:00:00"/>
    <n v="-349"/>
    <x v="3"/>
    <x v="0"/>
    <d v="2024-11-27T00:00:00"/>
    <m/>
    <d v="2024-10-05T00:00:00"/>
    <n v="5400"/>
    <n v="23562.934999999998"/>
    <m/>
    <n v="23562.934999999998"/>
    <n v="482.1917808219178"/>
    <n v="24045.126780821916"/>
    <x v="0"/>
    <x v="3"/>
    <x v="3"/>
    <x v="3"/>
    <n v="22525"/>
    <n v="1520.1267808219163"/>
    <n v="6.74862055858787E-2"/>
    <n v="8208684.6164383478"/>
    <n v="121635000"/>
    <n v="129843684.61643834"/>
    <x v="3"/>
    <x v="0"/>
    <x v="3"/>
    <x v="0"/>
    <x v="0"/>
    <n v="974.9"/>
    <n v="107864.29377372039"/>
    <n v="399.49738434711253"/>
  </r>
  <r>
    <x v="9"/>
    <x v="26"/>
    <x v="11"/>
    <d v="2024-10-28T00:00:00"/>
    <n v="555"/>
    <x v="0"/>
    <x v="0"/>
    <d v="2024-10-28T00:00:00"/>
    <n v="360000"/>
    <n v="391.05"/>
    <n v="140778000"/>
    <n v="29563380"/>
    <n v="170341380"/>
    <x v="0"/>
    <x v="0"/>
    <x v="0"/>
    <n v="170341380"/>
    <d v="2024-11-04T00:00:00"/>
    <d v="2024-11-27T00:00:00"/>
    <n v="-342"/>
    <x v="3"/>
    <x v="0"/>
    <d v="2024-12-04T00:00:00"/>
    <m/>
    <d v="2024-10-05T00:00:00"/>
    <n v="7200"/>
    <n v="23658.524999999998"/>
    <m/>
    <n v="23658.524999999998"/>
    <n v="482.1917808219178"/>
    <n v="24140.716780821916"/>
    <x v="0"/>
    <x v="3"/>
    <x v="3"/>
    <x v="3"/>
    <n v="22525"/>
    <n v="1615.7167808219165"/>
    <n v="7.1729934775667692E-2"/>
    <n v="11633160.821917798"/>
    <n v="162180000"/>
    <n v="173813160.8219178"/>
    <x v="3"/>
    <x v="0"/>
    <x v="3"/>
    <x v="0"/>
    <x v="0"/>
    <n v="974.9"/>
    <n v="144402.50282080212"/>
    <n v="401.118063391117"/>
  </r>
  <r>
    <x v="9"/>
    <x v="27"/>
    <x v="11"/>
    <d v="2024-10-30T00:00:00"/>
    <n v="557"/>
    <x v="0"/>
    <x v="0"/>
    <d v="2024-10-30T00:00:00"/>
    <n v="70000"/>
    <n v="392.23500000000001"/>
    <n v="27456450"/>
    <n v="5765854.5"/>
    <n v="33222304.5"/>
    <x v="0"/>
    <x v="0"/>
    <x v="0"/>
    <n v="33222304.5"/>
    <d v="2024-11-06T00:00:00"/>
    <d v="2024-11-29T00:00:00"/>
    <n v="-340"/>
    <x v="3"/>
    <x v="0"/>
    <d v="2024-12-06T00:00:00"/>
    <m/>
    <d v="2024-10-05T00:00:00"/>
    <n v="1400"/>
    <n v="23730.217499999999"/>
    <m/>
    <n v="23730.217499999999"/>
    <n v="693.15068493150682"/>
    <n v="24423.368184931507"/>
    <x v="0"/>
    <x v="3"/>
    <x v="3"/>
    <x v="3"/>
    <n v="22525"/>
    <n v="1898.3681849315071"/>
    <n v="8.427827680051081E-2"/>
    <n v="2657715.4589041099"/>
    <n v="31535000"/>
    <n v="34192715.45890411"/>
    <x v="3"/>
    <x v="0"/>
    <x v="3"/>
    <x v="0"/>
    <x v="0"/>
    <n v="974.9"/>
    <n v="28163.350087188432"/>
    <n v="402.33357267412043"/>
  </r>
  <r>
    <x v="9"/>
    <x v="0"/>
    <x v="29"/>
    <d v="2024-11-08T00:00:00"/>
    <n v="2122"/>
    <x v="0"/>
    <x v="0"/>
    <d v="2024-11-08T00:00:00"/>
    <n v="28000"/>
    <n v="499"/>
    <n v="13972000"/>
    <n v="2934120"/>
    <n v="16906120"/>
    <x v="0"/>
    <x v="0"/>
    <x v="0"/>
    <n v="16906120"/>
    <d v="2024-11-15T00:00:00"/>
    <d v="2024-11-15T00:00:00"/>
    <n v="-354"/>
    <x v="3"/>
    <x v="3"/>
    <d v="2024-11-22T00:00:00"/>
    <s v="WP 10/10"/>
    <d v="2024-10-10T00:00:00"/>
    <n v="560"/>
    <n v="30189.5"/>
    <n v="-2747.0629999999996"/>
    <n v="27442.437000000002"/>
    <n v="-260.53952054794524"/>
    <n v="27181.897479452058"/>
    <x v="3"/>
    <x v="20"/>
    <x v="1"/>
    <x v="0"/>
    <n v="23030"/>
    <n v="4151.8974794520582"/>
    <n v="0.18028213110951197"/>
    <n v="2325062.5884931525"/>
    <n v="12896800"/>
    <n v="15221862.588493153"/>
    <x v="3"/>
    <x v="0"/>
    <x v="5"/>
    <x v="0"/>
    <x v="0"/>
    <n v="979.41669999999999"/>
    <n v="14265.633820619967"/>
    <n v="509.48692216499882"/>
  </r>
  <r>
    <x v="9"/>
    <x v="0"/>
    <x v="29"/>
    <d v="2024-12-16T00:00:00"/>
    <n v="2187"/>
    <x v="0"/>
    <x v="0"/>
    <d v="2024-12-16T00:00:00"/>
    <n v="28000"/>
    <n v="499"/>
    <n v="13972000"/>
    <n v="2934120"/>
    <n v="16906120"/>
    <x v="0"/>
    <x v="0"/>
    <x v="0"/>
    <n v="16906120"/>
    <d v="2024-12-23T00:00:00"/>
    <d v="2024-12-23T00:00:00"/>
    <n v="-316"/>
    <x v="3"/>
    <x v="3"/>
    <d v="2024-12-30T00:00:00"/>
    <s v="WP 10/10"/>
    <d v="2024-10-10T00:00:00"/>
    <n v="560"/>
    <n v="30189.5"/>
    <n v="-2747.0629999999996"/>
    <n v="27442.437000000002"/>
    <n v="-260.53952054794524"/>
    <n v="27181.897479452058"/>
    <x v="3"/>
    <x v="20"/>
    <x v="1"/>
    <x v="0"/>
    <n v="23030"/>
    <n v="4151.8974794520582"/>
    <n v="0.18028213110951197"/>
    <n v="2325062.5884931525"/>
    <n v="12896800"/>
    <n v="15221862.588493153"/>
    <x v="3"/>
    <x v="0"/>
    <x v="5"/>
    <x v="0"/>
    <x v="0"/>
    <n v="979.41669999999999"/>
    <n v="14265.633820619967"/>
    <n v="509.48692216499882"/>
  </r>
  <r>
    <x v="9"/>
    <x v="0"/>
    <x v="0"/>
    <d v="2024-10-14T00:00:00"/>
    <n v="2081"/>
    <x v="0"/>
    <x v="0"/>
    <d v="2024-10-16T00:00:00"/>
    <n v="28000"/>
    <n v="420"/>
    <n v="11760000"/>
    <n v="2469600"/>
    <n v="14229600"/>
    <x v="0"/>
    <x v="0"/>
    <x v="0"/>
    <n v="14229600"/>
    <d v="2024-10-16T00:00:00"/>
    <d v="2024-11-15T00:00:00"/>
    <n v="-354"/>
    <x v="0"/>
    <x v="0"/>
    <d v="2024-11-22T00:00:00"/>
    <s v="00001-00000519"/>
    <d v="2024-10-13T00:00:00"/>
    <n v="560"/>
    <n v="25410"/>
    <n v="-1951.73"/>
    <n v="23458.27"/>
    <n v="0"/>
    <n v="23458.27"/>
    <x v="0"/>
    <x v="0"/>
    <x v="0"/>
    <x v="0"/>
    <n v="23075"/>
    <n v="383.27000000000044"/>
    <n v="1.660975081256777E-2"/>
    <n v="214631.20000000024"/>
    <n v="12922000"/>
    <n v="13136631.200000001"/>
    <x v="3"/>
    <x v="0"/>
    <x v="5"/>
    <x v="0"/>
    <x v="0"/>
    <n v="979.8"/>
    <n v="12002.449479485609"/>
    <n v="428.65890998162888"/>
  </r>
  <r>
    <x v="9"/>
    <x v="0"/>
    <x v="17"/>
    <d v="2024-10-21T00:00:00"/>
    <n v="554"/>
    <x v="0"/>
    <x v="0"/>
    <d v="2024-10-21T00:00:00"/>
    <n v="27500"/>
    <n v="480"/>
    <n v="13200000"/>
    <n v="2772000"/>
    <n v="15972000"/>
    <x v="0"/>
    <x v="0"/>
    <x v="0"/>
    <n v="15972000"/>
    <d v="2024-10-28T00:00:00"/>
    <d v="2024-12-20T00:00:00"/>
    <n v="-319"/>
    <x v="3"/>
    <x v="0"/>
    <d v="2024-12-27T00:00:00"/>
    <n v="300177680"/>
    <d v="2024-10-15T00:00:00"/>
    <n v="550"/>
    <n v="29040"/>
    <n v="-2749.12"/>
    <n v="26290.880000000001"/>
    <n v="-183.78739726027396"/>
    <n v="26107.092602739725"/>
    <x v="2"/>
    <x v="11"/>
    <x v="1"/>
    <x v="0"/>
    <n v="23105"/>
    <n v="3002.0926027397254"/>
    <n v="0.12993259479505403"/>
    <n v="1651150.9315068489"/>
    <n v="12707750"/>
    <n v="14358900.93150685"/>
    <x v="3"/>
    <x v="0"/>
    <x v="5"/>
    <x v="0"/>
    <x v="0"/>
    <n v="980.58330000000001"/>
    <n v="13461.37548946632"/>
    <n v="489.50456325332073"/>
  </r>
  <r>
    <x v="9"/>
    <x v="0"/>
    <x v="32"/>
    <d v="2024-10-23T00:00:00"/>
    <n v="2094"/>
    <x v="0"/>
    <x v="0"/>
    <d v="2024-10-23T00:00:00"/>
    <n v="28000"/>
    <n v="460"/>
    <n v="12880000"/>
    <n v="2704800"/>
    <n v="15584800"/>
    <x v="0"/>
    <x v="0"/>
    <x v="0"/>
    <n v="15584800"/>
    <d v="2024-11-17T00:00:00"/>
    <d v="2024-12-22T00:00:00"/>
    <n v="-317"/>
    <x v="8"/>
    <x v="3"/>
    <d v="2024-12-29T00:00:00"/>
    <s v=" 8771"/>
    <d v="2024-10-15T00:00:00"/>
    <n v="560"/>
    <n v="27830"/>
    <n v="-2739.9844999999996"/>
    <n v="25090.015500000001"/>
    <n v="-857.77397260273972"/>
    <n v="24232.241527397262"/>
    <x v="0"/>
    <x v="22"/>
    <x v="1"/>
    <x v="0"/>
    <n v="23105"/>
    <n v="1127.241527397262"/>
    <n v="4.8787774395034011E-2"/>
    <n v="631255.25534246676"/>
    <n v="12938800"/>
    <n v="13570055.255342467"/>
    <x v="3"/>
    <x v="0"/>
    <x v="5"/>
    <x v="0"/>
    <x v="0"/>
    <n v="980.58330000000001"/>
    <n v="13135.039113964107"/>
    <n v="469.10853978443237"/>
  </r>
  <r>
    <x v="9"/>
    <x v="0"/>
    <x v="32"/>
    <d v="2024-10-30T00:00:00"/>
    <n v="2108"/>
    <x v="0"/>
    <x v="0"/>
    <d v="2024-10-30T00:00:00"/>
    <n v="28000"/>
    <n v="460"/>
    <n v="12880000"/>
    <n v="2704800"/>
    <n v="15584800"/>
    <x v="0"/>
    <x v="0"/>
    <x v="0"/>
    <n v="15584800"/>
    <d v="2024-11-24T00:00:00"/>
    <d v="2024-12-29T00:00:00"/>
    <n v="-310"/>
    <x v="8"/>
    <x v="3"/>
    <d v="2025-01-05T00:00:00"/>
    <s v=" 8771"/>
    <d v="2024-10-15T00:00:00"/>
    <n v="560"/>
    <n v="27830"/>
    <n v="-2739.9844999999996"/>
    <n v="25090.015500000001"/>
    <n v="-857.77397260273972"/>
    <n v="24232.241527397262"/>
    <x v="0"/>
    <x v="22"/>
    <x v="1"/>
    <x v="0"/>
    <n v="23105"/>
    <n v="1127.241527397262"/>
    <n v="4.8787774395034011E-2"/>
    <n v="631255.25534246676"/>
    <n v="12938800"/>
    <n v="13570055.255342467"/>
    <x v="3"/>
    <x v="0"/>
    <x v="5"/>
    <x v="0"/>
    <x v="0"/>
    <n v="980.58330000000001"/>
    <n v="13135.039113964107"/>
    <n v="469.10853978443237"/>
  </r>
  <r>
    <x v="9"/>
    <x v="0"/>
    <x v="28"/>
    <d v="2024-10-31T00:00:00"/>
    <n v="2109"/>
    <x v="0"/>
    <x v="0"/>
    <d v="2024-10-31T00:00:00"/>
    <n v="28000"/>
    <n v="450"/>
    <n v="12600000"/>
    <n v="2646000"/>
    <n v="15246000"/>
    <x v="0"/>
    <x v="0"/>
    <x v="0"/>
    <n v="15246000"/>
    <d v="2024-11-02T00:00:00"/>
    <d v="2024-11-30T00:00:00"/>
    <n v="-339"/>
    <x v="7"/>
    <x v="0"/>
    <d v="2024-12-07T00:00:00"/>
    <s v="WS16/10"/>
    <d v="2024-10-16T00:00:00"/>
    <n v="560"/>
    <n v="27225"/>
    <n v="-2738.1695"/>
    <n v="24486.8305"/>
    <n v="-67.130136986301366"/>
    <n v="24419.700363013697"/>
    <x v="0"/>
    <x v="18"/>
    <x v="1"/>
    <x v="0"/>
    <n v="23120"/>
    <n v="1299.7003630136969"/>
    <n v="5.6215413625159805E-2"/>
    <n v="727832.20328767027"/>
    <n v="12947200"/>
    <n v="13675032.20328767"/>
    <x v="3"/>
    <x v="0"/>
    <x v="5"/>
    <x v="0"/>
    <x v="0"/>
    <n v="981.58330000000001"/>
    <n v="12836.404205328268"/>
    <n v="458.44300733315242"/>
  </r>
  <r>
    <x v="9"/>
    <x v="0"/>
    <x v="28"/>
    <d v="2024-10-28T00:00:00"/>
    <n v="2110"/>
    <x v="0"/>
    <x v="0"/>
    <d v="2024-10-28T00:00:00"/>
    <n v="28000"/>
    <n v="450"/>
    <n v="12600000"/>
    <n v="2646000"/>
    <n v="15246000"/>
    <x v="0"/>
    <x v="0"/>
    <x v="0"/>
    <n v="15246000"/>
    <d v="2024-10-30T00:00:00"/>
    <d v="2024-11-27T00:00:00"/>
    <n v="-342"/>
    <x v="7"/>
    <x v="0"/>
    <d v="2024-12-04T00:00:00"/>
    <s v="WS16/10"/>
    <d v="2024-10-16T00:00:00"/>
    <n v="560"/>
    <n v="27225"/>
    <n v="-2738.1695"/>
    <n v="24486.8305"/>
    <n v="-67.130136986301366"/>
    <n v="24419.700363013697"/>
    <x v="0"/>
    <x v="18"/>
    <x v="1"/>
    <x v="0"/>
    <n v="23120"/>
    <n v="1299.7003630136969"/>
    <n v="5.6215413625159805E-2"/>
    <n v="727832.20328767027"/>
    <n v="12947200"/>
    <n v="13675032.20328767"/>
    <x v="3"/>
    <x v="0"/>
    <x v="5"/>
    <x v="0"/>
    <x v="0"/>
    <n v="981.58330000000001"/>
    <n v="12836.404205328268"/>
    <n v="458.44300733315242"/>
  </r>
  <r>
    <x v="9"/>
    <x v="0"/>
    <x v="28"/>
    <d v="2024-11-01T00:00:00"/>
    <n v="2138"/>
    <x v="0"/>
    <x v="0"/>
    <d v="2024-11-01T00:00:00"/>
    <n v="28000"/>
    <n v="450"/>
    <n v="12600000"/>
    <n v="2646000"/>
    <n v="15246000"/>
    <x v="0"/>
    <x v="0"/>
    <x v="0"/>
    <n v="15246000"/>
    <d v="2024-11-03T00:00:00"/>
    <d v="2024-12-01T00:00:00"/>
    <n v="-338"/>
    <x v="7"/>
    <x v="0"/>
    <d v="2024-12-08T00:00:00"/>
    <s v="WS16/10"/>
    <d v="2024-10-16T00:00:00"/>
    <n v="560"/>
    <n v="27225"/>
    <n v="-2738.1695"/>
    <n v="24486.8305"/>
    <n v="-67.130136986301366"/>
    <n v="24419.700363013697"/>
    <x v="0"/>
    <x v="19"/>
    <x v="1"/>
    <x v="0"/>
    <n v="23120"/>
    <n v="1299.7003630136969"/>
    <n v="5.6215413625159805E-2"/>
    <n v="727832.20328767027"/>
    <n v="12947200"/>
    <n v="13675032.20328767"/>
    <x v="3"/>
    <x v="0"/>
    <x v="5"/>
    <x v="0"/>
    <x v="0"/>
    <n v="981.58330000000001"/>
    <n v="12836.404205328268"/>
    <n v="458.44300733315242"/>
  </r>
  <r>
    <x v="9"/>
    <x v="0"/>
    <x v="24"/>
    <d v="2024-10-22T00:00:00"/>
    <n v="2090"/>
    <x v="0"/>
    <x v="0"/>
    <d v="2024-10-22T00:00:00"/>
    <n v="28000"/>
    <n v="430"/>
    <n v="12040000"/>
    <n v="2528400"/>
    <n v="14568400"/>
    <x v="0"/>
    <x v="0"/>
    <x v="0"/>
    <n v="14568400"/>
    <d v="2024-10-22T00:00:00"/>
    <d v="2024-12-21T00:00:00"/>
    <n v="-318"/>
    <x v="0"/>
    <x v="0"/>
    <d v="2024-12-28T00:00:00"/>
    <n v="0"/>
    <d v="2024-10-16T00:00:00"/>
    <n v="560"/>
    <n v="26015"/>
    <n v="-2377.1538999999998"/>
    <n v="23637.846099999999"/>
    <n v="0"/>
    <n v="23637.846099999999"/>
    <x v="0"/>
    <x v="15"/>
    <x v="1"/>
    <x v="0"/>
    <n v="23120"/>
    <n v="517.84609999999884"/>
    <n v="2.2398187716262896E-2"/>
    <n v="289993.81599999935"/>
    <n v="12947200"/>
    <n v="13237193.816"/>
    <x v="3"/>
    <x v="0"/>
    <x v="5"/>
    <x v="0"/>
    <x v="0"/>
    <n v="981.58330000000001"/>
    <n v="12265.897351758123"/>
    <n v="438.06776256279011"/>
  </r>
  <r>
    <x v="9"/>
    <x v="0"/>
    <x v="24"/>
    <d v="2024-10-24T00:00:00"/>
    <n v="2107"/>
    <x v="0"/>
    <x v="0"/>
    <d v="2024-10-24T00:00:00"/>
    <n v="28000"/>
    <n v="430"/>
    <n v="12040000"/>
    <n v="2528400"/>
    <n v="14568400"/>
    <x v="0"/>
    <x v="0"/>
    <x v="0"/>
    <n v="14568400"/>
    <d v="2024-10-24T00:00:00"/>
    <d v="2024-12-23T00:00:00"/>
    <n v="-316"/>
    <x v="0"/>
    <x v="0"/>
    <d v="2024-12-30T00:00:00"/>
    <n v="0"/>
    <d v="2024-10-16T00:00:00"/>
    <n v="560"/>
    <n v="26015"/>
    <n v="-2377.1538999999998"/>
    <n v="23637.846099999999"/>
    <n v="0"/>
    <n v="23637.846099999999"/>
    <x v="0"/>
    <x v="15"/>
    <x v="1"/>
    <x v="0"/>
    <n v="23120"/>
    <n v="517.84609999999884"/>
    <n v="2.2398187716262896E-2"/>
    <n v="289993.81599999935"/>
    <n v="12947200"/>
    <n v="13237193.816"/>
    <x v="3"/>
    <x v="0"/>
    <x v="5"/>
    <x v="0"/>
    <x v="0"/>
    <n v="981.58330000000001"/>
    <n v="12265.897351758123"/>
    <n v="438.06776256279011"/>
  </r>
  <r>
    <x v="9"/>
    <x v="0"/>
    <x v="18"/>
    <d v="2024-10-16T00:00:00"/>
    <n v="2085"/>
    <x v="0"/>
    <x v="0"/>
    <d v="2024-10-23T00:00:00"/>
    <n v="28000"/>
    <n v="422"/>
    <n v="11816000"/>
    <n v="2481360"/>
    <n v="14297360"/>
    <x v="0"/>
    <x v="0"/>
    <x v="0"/>
    <n v="14297360"/>
    <d v="2024-10-16T00:00:00"/>
    <d v="2024-10-17T00:00:00"/>
    <n v="-383"/>
    <x v="0"/>
    <x v="0"/>
    <d v="2024-10-24T00:00:00"/>
    <n v="11554"/>
    <d v="2024-10-16T00:00:00"/>
    <n v="560"/>
    <n v="25531"/>
    <n v="-1710.0930000000001"/>
    <n v="23820.906999999999"/>
    <n v="0"/>
    <n v="23820.906999999999"/>
    <x v="0"/>
    <x v="12"/>
    <x v="0"/>
    <x v="0"/>
    <n v="23120"/>
    <n v="700.90699999999924"/>
    <n v="3.0316046712802747E-2"/>
    <n v="392507.91999999958"/>
    <n v="12947200"/>
    <n v="13339707.92"/>
    <x v="3"/>
    <x v="0"/>
    <x v="5"/>
    <x v="0"/>
    <x v="0"/>
    <n v="981.58330000000001"/>
    <n v="12037.694610330065"/>
    <n v="429.91766465464519"/>
  </r>
  <r>
    <x v="9"/>
    <x v="0"/>
    <x v="18"/>
    <d v="2024-10-16T00:00:00"/>
    <n v="2086"/>
    <x v="0"/>
    <x v="0"/>
    <d v="2024-10-25T00:00:00"/>
    <n v="28000"/>
    <n v="422"/>
    <n v="11816000"/>
    <n v="2481360"/>
    <n v="14297360"/>
    <x v="0"/>
    <x v="0"/>
    <x v="0"/>
    <n v="14297360"/>
    <d v="2024-10-16T00:00:00"/>
    <d v="2024-10-17T00:00:00"/>
    <n v="-383"/>
    <x v="0"/>
    <x v="0"/>
    <d v="2024-10-24T00:00:00"/>
    <n v="11554"/>
    <d v="2024-10-16T00:00:00"/>
    <n v="560"/>
    <n v="25531"/>
    <n v="-1710.0930000000001"/>
    <n v="23820.906999999999"/>
    <n v="0"/>
    <n v="23820.906999999999"/>
    <x v="0"/>
    <x v="12"/>
    <x v="0"/>
    <x v="0"/>
    <n v="23120"/>
    <n v="700.90699999999924"/>
    <n v="3.0316046712802747E-2"/>
    <n v="392507.91999999958"/>
    <n v="12947200"/>
    <n v="13339707.92"/>
    <x v="3"/>
    <x v="0"/>
    <x v="5"/>
    <x v="0"/>
    <x v="0"/>
    <n v="981.58330000000001"/>
    <n v="12037.694610330065"/>
    <n v="429.91766465464519"/>
  </r>
  <r>
    <x v="9"/>
    <x v="0"/>
    <x v="27"/>
    <d v="2024-10-25T00:00:00"/>
    <n v="2100"/>
    <x v="0"/>
    <x v="0"/>
    <d v="2024-10-25T00:00:00"/>
    <n v="28000"/>
    <n v="440"/>
    <n v="12320000"/>
    <n v="2587200"/>
    <n v="14907200"/>
    <x v="0"/>
    <x v="0"/>
    <x v="0"/>
    <n v="14907200"/>
    <d v="2024-10-25T00:00:00"/>
    <d v="2024-11-24T00:00:00"/>
    <n v="-345"/>
    <x v="0"/>
    <x v="4"/>
    <d v="2024-12-01T00:00:00"/>
    <n v="6654"/>
    <d v="2024-10-16T00:00:00"/>
    <n v="560"/>
    <n v="26620"/>
    <n v="-2736.3544999999999"/>
    <n v="23883.645499999999"/>
    <n v="0"/>
    <n v="23883.645499999999"/>
    <x v="0"/>
    <x v="17"/>
    <x v="1"/>
    <x v="0"/>
    <n v="23120"/>
    <n v="763.64549999999872"/>
    <n v="3.3029649653979254E-2"/>
    <n v="427641.47999999928"/>
    <n v="12947200"/>
    <n v="13374841.479999999"/>
    <x v="3"/>
    <x v="0"/>
    <x v="5"/>
    <x v="0"/>
    <x v="0"/>
    <n v="981.58330000000001"/>
    <n v="12551.150778543197"/>
    <n v="448.25538494797132"/>
  </r>
  <r>
    <x v="9"/>
    <x v="0"/>
    <x v="28"/>
    <d v="2024-11-15T00:00:00"/>
    <n v="2139"/>
    <x v="0"/>
    <x v="0"/>
    <d v="2024-11-14T00:00:00"/>
    <n v="28000"/>
    <n v="450"/>
    <n v="12600000"/>
    <n v="2646000"/>
    <n v="15246000"/>
    <x v="0"/>
    <x v="0"/>
    <x v="0"/>
    <n v="15246000"/>
    <d v="2024-11-17T00:00:00"/>
    <d v="2024-12-15T00:00:00"/>
    <n v="-324"/>
    <x v="7"/>
    <x v="0"/>
    <d v="2024-12-22T00:00:00"/>
    <s v="WS18/10"/>
    <d v="2024-10-18T00:00:00"/>
    <n v="560"/>
    <n v="27225"/>
    <n v="-2738.1695"/>
    <n v="24486.8305"/>
    <n v="-67.130136986301366"/>
    <n v="24419.700363013697"/>
    <x v="0"/>
    <x v="18"/>
    <x v="1"/>
    <x v="0"/>
    <n v="23215"/>
    <n v="1204.7003630136969"/>
    <n v="5.1893188154800596E-2"/>
    <n v="674632.20328767027"/>
    <n v="13000400"/>
    <n v="13675032.20328767"/>
    <x v="3"/>
    <x v="0"/>
    <x v="5"/>
    <x v="0"/>
    <x v="0"/>
    <n v="983.83330000000001"/>
    <n v="12807.047698019573"/>
    <n v="457.39456064355619"/>
  </r>
  <r>
    <x v="9"/>
    <x v="0"/>
    <x v="16"/>
    <d v="2024-10-25T00:00:00"/>
    <n v="2101"/>
    <x v="0"/>
    <x v="0"/>
    <d v="2024-10-25T00:00:00"/>
    <n v="28000"/>
    <n v="466"/>
    <n v="13048000"/>
    <n v="2740080"/>
    <n v="15788080"/>
    <x v="0"/>
    <x v="0"/>
    <x v="0"/>
    <n v="15788080"/>
    <d v="2024-11-01T00:00:00"/>
    <d v="2024-11-24T00:00:00"/>
    <n v="-345"/>
    <x v="3"/>
    <x v="3"/>
    <d v="2024-12-01T00:00:00"/>
    <n v="14847"/>
    <d v="2024-10-18T00:00:00"/>
    <n v="560"/>
    <n v="28193"/>
    <n v="-2741.0735"/>
    <n v="25451.926500000001"/>
    <n v="-297.37821917808219"/>
    <n v="25154.54828082192"/>
    <x v="0"/>
    <x v="9"/>
    <x v="1"/>
    <x v="0"/>
    <n v="23215"/>
    <n v="1939.5482808219203"/>
    <n v="8.3547201413823879E-2"/>
    <n v="1086147.0372602753"/>
    <n v="13000400"/>
    <n v="14086547.037260275"/>
    <x v="3"/>
    <x v="0"/>
    <x v="5"/>
    <x v="0"/>
    <x v="0"/>
    <n v="983.83330000000001"/>
    <n v="13262.409393949158"/>
    <n v="473.65747835532704"/>
  </r>
  <r>
    <x v="9"/>
    <x v="0"/>
    <x v="18"/>
    <d v="2024-10-21T00:00:00"/>
    <n v="2087"/>
    <x v="0"/>
    <x v="0"/>
    <d v="2024-10-25T00:00:00"/>
    <n v="28000"/>
    <n v="440"/>
    <n v="12320000"/>
    <n v="2587200"/>
    <n v="14907200"/>
    <x v="0"/>
    <x v="0"/>
    <x v="0"/>
    <n v="14907200"/>
    <d v="2024-10-21T00:00:00"/>
    <d v="2024-10-22T00:00:00"/>
    <n v="-378"/>
    <x v="0"/>
    <x v="0"/>
    <d v="2024-10-29T00:00:00"/>
    <n v="11568"/>
    <d v="2024-10-16T00:00:00"/>
    <n v="560"/>
    <n v="26620"/>
    <n v="-1713.36"/>
    <n v="24906.639999999999"/>
    <n v="0"/>
    <n v="24906.639999999999"/>
    <x v="0"/>
    <x v="12"/>
    <x v="0"/>
    <x v="0"/>
    <n v="23120"/>
    <n v="1786.6399999999994"/>
    <n v="7.7276816608996546E-2"/>
    <n v="1000518.3999999997"/>
    <n v="12947200"/>
    <n v="13947718.4"/>
    <x v="3"/>
    <x v="0"/>
    <x v="5"/>
    <x v="0"/>
    <x v="0"/>
    <n v="981.58330000000001"/>
    <n v="12551.150778543197"/>
    <n v="448.25538494797132"/>
  </r>
  <r>
    <x v="9"/>
    <x v="0"/>
    <x v="18"/>
    <d v="2024-10-21T00:00:00"/>
    <n v="2088"/>
    <x v="0"/>
    <x v="0"/>
    <d v="2024-11-01T00:00:00"/>
    <n v="28000"/>
    <n v="440"/>
    <n v="12320000"/>
    <n v="2587200"/>
    <n v="14907200"/>
    <x v="0"/>
    <x v="0"/>
    <x v="0"/>
    <n v="14907200"/>
    <d v="2024-10-21T00:00:00"/>
    <d v="2024-10-22T00:00:00"/>
    <n v="-378"/>
    <x v="0"/>
    <x v="0"/>
    <d v="2024-10-29T00:00:00"/>
    <n v="11568"/>
    <d v="2024-10-16T00:00:00"/>
    <n v="560"/>
    <n v="26620"/>
    <n v="-1713.36"/>
    <n v="24906.639999999999"/>
    <n v="0"/>
    <n v="24906.639999999999"/>
    <x v="0"/>
    <x v="12"/>
    <x v="0"/>
    <x v="0"/>
    <n v="23120"/>
    <n v="1786.6399999999994"/>
    <n v="7.7276816608996546E-2"/>
    <n v="1000518.3999999997"/>
    <n v="12947200"/>
    <n v="13947718.4"/>
    <x v="3"/>
    <x v="0"/>
    <x v="3"/>
    <x v="0"/>
    <x v="0"/>
    <n v="981.58330000000001"/>
    <n v="12551.150778543197"/>
    <n v="448.25538494797132"/>
  </r>
  <r>
    <x v="9"/>
    <x v="0"/>
    <x v="0"/>
    <d v="2024-10-14T00:00:00"/>
    <n v="2095"/>
    <x v="0"/>
    <x v="0"/>
    <d v="2024-10-29T00:00:00"/>
    <n v="30000"/>
    <n v="442"/>
    <n v="13260000"/>
    <n v="2784600"/>
    <n v="16044600"/>
    <x v="0"/>
    <x v="0"/>
    <x v="0"/>
    <n v="16044600"/>
    <d v="2024-10-29T00:00:00"/>
    <d v="2024-11-28T00:00:00"/>
    <n v="-341"/>
    <x v="0"/>
    <x v="0"/>
    <d v="2024-12-05T00:00:00"/>
    <n v="0"/>
    <d v="2024-10-22T00:00:00"/>
    <n v="600"/>
    <n v="26741"/>
    <n v="-1955.723"/>
    <n v="24785.277000000002"/>
    <n v="0"/>
    <n v="24785.277000000002"/>
    <x v="0"/>
    <x v="0"/>
    <x v="0"/>
    <x v="0"/>
    <n v="23495"/>
    <n v="1290.2770000000019"/>
    <n v="5.4917088742285625E-2"/>
    <n v="774166.20000000112"/>
    <n v="14097000"/>
    <n v="14871166.200000001"/>
    <x v="3"/>
    <x v="0"/>
    <x v="6"/>
    <x v="0"/>
    <x v="0"/>
    <n v="984.83330000000001"/>
    <n v="13464.207597366985"/>
    <n v="448.80691991223284"/>
  </r>
  <r>
    <x v="9"/>
    <x v="0"/>
    <x v="0"/>
    <d v="2024-10-14T00:00:00"/>
    <n v="2096"/>
    <x v="0"/>
    <x v="0"/>
    <d v="2024-10-31T00:00:00"/>
    <n v="30000"/>
    <n v="442"/>
    <n v="13260000"/>
    <n v="2784600"/>
    <n v="16044600"/>
    <x v="0"/>
    <x v="0"/>
    <x v="0"/>
    <n v="16044600"/>
    <d v="2024-10-31T00:00:00"/>
    <d v="2024-11-30T00:00:00"/>
    <n v="-339"/>
    <x v="0"/>
    <x v="0"/>
    <d v="2024-12-07T00:00:00"/>
    <n v="0"/>
    <d v="2024-10-22T00:00:00"/>
    <n v="600"/>
    <n v="26741"/>
    <n v="-1955.723"/>
    <n v="24785.277000000002"/>
    <n v="0"/>
    <n v="24785.277000000002"/>
    <x v="0"/>
    <x v="0"/>
    <x v="0"/>
    <x v="0"/>
    <n v="23495"/>
    <n v="1290.2770000000019"/>
    <n v="5.4917088742285625E-2"/>
    <n v="774166.20000000112"/>
    <n v="14097000"/>
    <n v="14871166.200000001"/>
    <x v="3"/>
    <x v="0"/>
    <x v="6"/>
    <x v="0"/>
    <x v="0"/>
    <n v="984.83330000000001"/>
    <n v="13464.207597366985"/>
    <n v="448.80691991223284"/>
  </r>
  <r>
    <x v="9"/>
    <x v="0"/>
    <x v="31"/>
    <d v="2024-10-25T00:00:00"/>
    <n v="2099"/>
    <x v="0"/>
    <x v="0"/>
    <d v="2024-10-25T00:00:00"/>
    <n v="28000"/>
    <n v="455"/>
    <n v="12740000"/>
    <n v="2675400"/>
    <n v="15415400"/>
    <x v="0"/>
    <x v="0"/>
    <x v="0"/>
    <n v="15415400"/>
    <d v="2024-10-25T00:00:00"/>
    <d v="2024-12-09T00:00:00"/>
    <n v="-330"/>
    <x v="0"/>
    <x v="7"/>
    <d v="2024-12-16T00:00:00"/>
    <s v="WS 23/10"/>
    <d v="2024-10-23T00:00:00"/>
    <n v="560"/>
    <n v="27527.5"/>
    <n v="-2739.0769999999998"/>
    <n v="24788.422999999999"/>
    <n v="0"/>
    <n v="24788.422999999999"/>
    <x v="0"/>
    <x v="9"/>
    <x v="1"/>
    <x v="0"/>
    <n v="23540"/>
    <n v="1248.4229999999989"/>
    <n v="5.3034112149532575E-2"/>
    <n v="699116.87999999942"/>
    <n v="13182400"/>
    <n v="13881516.879999999"/>
    <x v="3"/>
    <x v="0"/>
    <x v="6"/>
    <x v="0"/>
    <x v="0"/>
    <n v="985.91669999999999"/>
    <n v="12921.984179799369"/>
    <n v="461.49943499283461"/>
  </r>
  <r>
    <x v="9"/>
    <x v="1"/>
    <x v="0"/>
    <d v="2024-10-23T00:00:00"/>
    <s v="V2"/>
    <x v="0"/>
    <x v="0"/>
    <d v="2024-10-23T00:00:00"/>
    <n v="14600"/>
    <n v="485"/>
    <n v="7081000"/>
    <n v="1487010"/>
    <n v="8568010"/>
    <x v="0"/>
    <x v="0"/>
    <x v="0"/>
    <n v="8568010"/>
    <d v="2024-10-23T00:00:00"/>
    <d v="2024-11-22T00:00:00"/>
    <n v="-347"/>
    <x v="0"/>
    <x v="2"/>
    <d v="2024-11-29T00:00:00"/>
    <n v="0"/>
    <d v="2024-10-13T00:00:00"/>
    <n v="292"/>
    <n v="29342.5"/>
    <n v="-732.93157142857137"/>
    <n v="28609.568428571427"/>
    <n v="0"/>
    <n v="28609.568428571427"/>
    <x v="0"/>
    <x v="1"/>
    <x v="1"/>
    <x v="0"/>
    <n v="23075"/>
    <n v="5534.5684285714269"/>
    <n v="0.23985128617860996"/>
    <n v="1616093.9811428566"/>
    <n v="6737900"/>
    <n v="8353993.9811428571"/>
    <x v="3"/>
    <x v="0"/>
    <x v="5"/>
    <x v="0"/>
    <x v="0"/>
    <n v="979.8"/>
    <n v="7226.9850989997958"/>
    <n v="494.99897938354769"/>
  </r>
  <r>
    <x v="10"/>
    <x v="0"/>
    <x v="30"/>
    <d v="2024-11-05T00:00:00"/>
    <n v="2117"/>
    <x v="0"/>
    <x v="0"/>
    <d v="2024-11-05T00:00:00"/>
    <n v="28000"/>
    <n v="449"/>
    <n v="12572000"/>
    <n v="2640120"/>
    <n v="15212120"/>
    <x v="0"/>
    <x v="0"/>
    <x v="0"/>
    <n v="15212120"/>
    <d v="2024-11-12T00:00:00"/>
    <d v="2024-12-05T00:00:00"/>
    <n v="-334"/>
    <x v="3"/>
    <x v="7"/>
    <d v="2024-12-12T00:00:00"/>
    <s v="WS 23/10"/>
    <d v="2024-10-23T00:00:00"/>
    <n v="560"/>
    <n v="27164.5"/>
    <n v="-1905.5685000000001"/>
    <n v="25258.931499999999"/>
    <n v="-234.43335616438358"/>
    <n v="25024.498143835615"/>
    <x v="0"/>
    <x v="21"/>
    <x v="0"/>
    <x v="0"/>
    <n v="23540"/>
    <n v="1484.4981438356153"/>
    <n v="6.30627928562284E-2"/>
    <n v="831318.96054794453"/>
    <n v="13182400"/>
    <n v="14013718.960547945"/>
    <x v="0"/>
    <x v="0"/>
    <x v="5"/>
    <x v="0"/>
    <x v="0"/>
    <n v="985.91669999999999"/>
    <n v="12751.584388417399"/>
    <n v="455.41372815776424"/>
  </r>
  <r>
    <x v="10"/>
    <x v="0"/>
    <x v="30"/>
    <d v="2024-11-11T00:00:00"/>
    <n v="2128"/>
    <x v="0"/>
    <x v="0"/>
    <d v="2024-11-11T00:00:00"/>
    <n v="28000"/>
    <n v="449"/>
    <n v="12572000"/>
    <n v="2640120"/>
    <n v="15212120"/>
    <x v="0"/>
    <x v="0"/>
    <x v="0"/>
    <n v="15212120"/>
    <d v="2024-11-18T00:00:00"/>
    <d v="2024-12-11T00:00:00"/>
    <n v="-328"/>
    <x v="3"/>
    <x v="7"/>
    <d v="2024-12-18T00:00:00"/>
    <s v="WS 23/10"/>
    <d v="2024-10-23T00:00:00"/>
    <n v="560"/>
    <n v="27164.5"/>
    <n v="-1905.5685000000001"/>
    <n v="25258.931499999999"/>
    <n v="-234.43335616438358"/>
    <n v="25024.498143835615"/>
    <x v="0"/>
    <x v="21"/>
    <x v="0"/>
    <x v="0"/>
    <n v="23540"/>
    <n v="1484.4981438356153"/>
    <n v="6.30627928562284E-2"/>
    <n v="831318.96054794453"/>
    <n v="13182400"/>
    <n v="14013718.960547945"/>
    <x v="0"/>
    <x v="0"/>
    <x v="5"/>
    <x v="0"/>
    <x v="0"/>
    <n v="985.91669999999999"/>
    <n v="12751.584388417399"/>
    <n v="455.41372815776424"/>
  </r>
  <r>
    <x v="10"/>
    <x v="0"/>
    <x v="30"/>
    <d v="2024-11-14T00:00:00"/>
    <n v="2130"/>
    <x v="0"/>
    <x v="0"/>
    <d v="2024-11-13T00:00:00"/>
    <n v="28000"/>
    <n v="449"/>
    <n v="12572000"/>
    <n v="2640120"/>
    <n v="15212120"/>
    <x v="0"/>
    <x v="0"/>
    <x v="0"/>
    <n v="15212120"/>
    <d v="2024-11-21T00:00:00"/>
    <d v="2024-12-14T00:00:00"/>
    <n v="-325"/>
    <x v="3"/>
    <x v="7"/>
    <d v="2024-12-21T00:00:00"/>
    <s v="WS 23/10"/>
    <d v="2024-10-23T00:00:00"/>
    <n v="560"/>
    <n v="27164.5"/>
    <n v="-1905.5685000000001"/>
    <n v="25258.931499999999"/>
    <n v="-234.43335616438358"/>
    <n v="25024.498143835615"/>
    <x v="0"/>
    <x v="21"/>
    <x v="0"/>
    <x v="0"/>
    <n v="23540"/>
    <n v="1484.4981438356153"/>
    <n v="6.30627928562284E-2"/>
    <n v="831318.96054794453"/>
    <n v="13182400"/>
    <n v="14013718.960547945"/>
    <x v="0"/>
    <x v="0"/>
    <x v="3"/>
    <x v="0"/>
    <x v="0"/>
    <n v="985.91669999999999"/>
    <n v="12751.584388417399"/>
    <n v="455.41372815776424"/>
  </r>
  <r>
    <x v="10"/>
    <x v="0"/>
    <x v="30"/>
    <d v="2024-11-15T00:00:00"/>
    <n v="2141"/>
    <x v="0"/>
    <x v="0"/>
    <d v="2024-11-15T00:00:00"/>
    <n v="28000"/>
    <n v="449"/>
    <n v="12572000"/>
    <n v="2640120"/>
    <n v="15212120"/>
    <x v="0"/>
    <x v="0"/>
    <x v="0"/>
    <n v="15212120"/>
    <d v="2024-11-22T00:00:00"/>
    <d v="2024-12-15T00:00:00"/>
    <n v="-324"/>
    <x v="3"/>
    <x v="7"/>
    <d v="2024-12-22T00:00:00"/>
    <s v="WS 23/10"/>
    <d v="2024-10-23T00:00:00"/>
    <n v="560"/>
    <n v="27164.5"/>
    <n v="-1905.5685000000001"/>
    <n v="25258.931499999999"/>
    <n v="-234.43335616438358"/>
    <n v="25024.498143835615"/>
    <x v="0"/>
    <x v="21"/>
    <x v="0"/>
    <x v="0"/>
    <n v="23540"/>
    <n v="1484.4981438356153"/>
    <n v="6.30627928562284E-2"/>
    <n v="831318.96054794453"/>
    <n v="13182400"/>
    <n v="14013718.960547945"/>
    <x v="0"/>
    <x v="0"/>
    <x v="5"/>
    <x v="0"/>
    <x v="0"/>
    <n v="985.91669999999999"/>
    <n v="12751.584388417399"/>
    <n v="455.41372815776424"/>
  </r>
  <r>
    <x v="10"/>
    <x v="0"/>
    <x v="30"/>
    <d v="2024-11-22T00:00:00"/>
    <n v="2145"/>
    <x v="0"/>
    <x v="0"/>
    <d v="2024-11-22T00:00:00"/>
    <n v="28000"/>
    <n v="449"/>
    <n v="12572000"/>
    <n v="2640120"/>
    <n v="15212120"/>
    <x v="0"/>
    <x v="0"/>
    <x v="0"/>
    <n v="15212120"/>
    <d v="2024-11-29T00:00:00"/>
    <d v="2024-12-22T00:00:00"/>
    <n v="-317"/>
    <x v="3"/>
    <x v="7"/>
    <d v="2024-12-29T00:00:00"/>
    <s v="WS 23/10"/>
    <d v="2024-10-23T00:00:00"/>
    <n v="560"/>
    <n v="27164.5"/>
    <n v="-1905.5685000000001"/>
    <n v="25258.931499999999"/>
    <n v="-234.43335616438358"/>
    <n v="25024.498143835615"/>
    <x v="0"/>
    <x v="21"/>
    <x v="0"/>
    <x v="0"/>
    <n v="23540"/>
    <n v="1484.4981438356153"/>
    <n v="6.30627928562284E-2"/>
    <n v="831318.96054794453"/>
    <n v="13182400"/>
    <n v="14013718.960547945"/>
    <x v="0"/>
    <x v="0"/>
    <x v="3"/>
    <x v="0"/>
    <x v="0"/>
    <n v="985.91669999999999"/>
    <n v="12751.584388417399"/>
    <n v="455.41372815776424"/>
  </r>
  <r>
    <x v="10"/>
    <x v="0"/>
    <x v="30"/>
    <d v="2024-11-25T00:00:00"/>
    <n v="2150"/>
    <x v="0"/>
    <x v="0"/>
    <d v="2024-11-25T00:00:00"/>
    <n v="28000"/>
    <n v="449"/>
    <n v="12572000"/>
    <n v="2640120"/>
    <n v="15212120"/>
    <x v="0"/>
    <x v="0"/>
    <x v="0"/>
    <n v="15212120"/>
    <d v="2024-12-02T00:00:00"/>
    <d v="2024-12-25T00:00:00"/>
    <n v="-314"/>
    <x v="3"/>
    <x v="7"/>
    <d v="2025-01-01T00:00:00"/>
    <s v="WS 23/10"/>
    <d v="2024-10-23T00:00:00"/>
    <n v="560"/>
    <n v="27164.5"/>
    <n v="-1905.5685000000001"/>
    <n v="25258.931499999999"/>
    <n v="-234.43335616438358"/>
    <n v="25024.498143835615"/>
    <x v="0"/>
    <x v="21"/>
    <x v="0"/>
    <x v="0"/>
    <n v="23540"/>
    <n v="1484.4981438356153"/>
    <n v="6.30627928562284E-2"/>
    <n v="831318.96054794453"/>
    <n v="13182400"/>
    <n v="14013718.960547945"/>
    <x v="0"/>
    <x v="0"/>
    <x v="5"/>
    <x v="0"/>
    <x v="0"/>
    <n v="985.91669999999999"/>
    <n v="12751.584388417399"/>
    <n v="455.41372815776424"/>
  </r>
  <r>
    <x v="10"/>
    <x v="0"/>
    <x v="30"/>
    <d v="2024-11-28T00:00:00"/>
    <n v="2154"/>
    <x v="0"/>
    <x v="0"/>
    <d v="2024-11-28T00:00:00"/>
    <n v="28000"/>
    <n v="449"/>
    <n v="12572000"/>
    <n v="2640120"/>
    <n v="15212120"/>
    <x v="0"/>
    <x v="0"/>
    <x v="0"/>
    <n v="15212120"/>
    <d v="2024-12-05T00:00:00"/>
    <d v="2024-12-28T00:00:00"/>
    <n v="-311"/>
    <x v="3"/>
    <x v="7"/>
    <d v="2025-01-04T00:00:00"/>
    <s v="WS 23/10"/>
    <d v="2024-10-23T00:00:00"/>
    <n v="560"/>
    <n v="27164.5"/>
    <n v="-1905.5685000000001"/>
    <n v="25258.931499999999"/>
    <n v="-234.43335616438358"/>
    <n v="25024.498143835615"/>
    <x v="0"/>
    <x v="21"/>
    <x v="0"/>
    <x v="0"/>
    <n v="23540"/>
    <n v="1484.4981438356153"/>
    <n v="6.30627928562284E-2"/>
    <n v="831318.96054794453"/>
    <n v="13182400"/>
    <n v="14013718.960547945"/>
    <x v="0"/>
    <x v="0"/>
    <x v="5"/>
    <x v="0"/>
    <x v="0"/>
    <n v="985.91669999999999"/>
    <n v="12751.584388417399"/>
    <n v="455.41372815776424"/>
  </r>
  <r>
    <x v="10"/>
    <x v="0"/>
    <x v="30"/>
    <d v="2024-12-03T09:46:49"/>
    <n v="2162"/>
    <x v="0"/>
    <x v="0"/>
    <d v="2024-12-03T09:46:49"/>
    <n v="28000"/>
    <n v="449"/>
    <n v="12572000"/>
    <n v="2640120"/>
    <n v="15212120"/>
    <x v="0"/>
    <x v="0"/>
    <x v="0"/>
    <n v="15212120"/>
    <d v="2024-12-10T09:46:49"/>
    <d v="2025-01-02T09:46:49"/>
    <n v="-305.59248902777472"/>
    <x v="3"/>
    <x v="7"/>
    <d v="2025-01-09T09:46:49"/>
    <s v="WS 23/10"/>
    <d v="2024-10-23T00:00:00"/>
    <n v="560"/>
    <n v="27164.5"/>
    <n v="-1905.5685000000001"/>
    <n v="25258.931499999999"/>
    <n v="-234.43335616438358"/>
    <n v="25024.498143835615"/>
    <x v="0"/>
    <x v="21"/>
    <x v="0"/>
    <x v="0"/>
    <n v="23540"/>
    <n v="1484.4981438356153"/>
    <n v="6.30627928562284E-2"/>
    <n v="831318.96054794453"/>
    <n v="13182400"/>
    <n v="14013718.960547945"/>
    <x v="0"/>
    <x v="0"/>
    <x v="5"/>
    <x v="0"/>
    <x v="0"/>
    <n v="985.91669999999999"/>
    <n v="12751.584388417399"/>
    <n v="455.41372815776424"/>
  </r>
  <r>
    <x v="10"/>
    <x v="0"/>
    <x v="19"/>
    <d v="2024-10-31T00:00:00"/>
    <n v="2114"/>
    <x v="0"/>
    <x v="0"/>
    <d v="2024-10-31T00:00:00"/>
    <n v="27500"/>
    <n v="475"/>
    <n v="13062500"/>
    <n v="2743125"/>
    <n v="15805625"/>
    <x v="0"/>
    <x v="0"/>
    <x v="0"/>
    <n v="15805625"/>
    <d v="2024-10-31T00:00:00"/>
    <d v="2024-11-30T00:00:00"/>
    <n v="-339"/>
    <x v="0"/>
    <x v="0"/>
    <d v="2024-12-07T00:00:00"/>
    <n v="6329"/>
    <d v="2024-10-25T00:00:00"/>
    <n v="550"/>
    <n v="28737.5"/>
    <n v="-2742.7069999999999"/>
    <n v="25994.793000000001"/>
    <n v="0"/>
    <n v="25994.793000000001"/>
    <x v="2"/>
    <x v="13"/>
    <x v="5"/>
    <x v="0"/>
    <n v="23795"/>
    <n v="2199.7930000000015"/>
    <n v="9.2447699096448899E-2"/>
    <n v="1209886.1500000008"/>
    <n v="13087250"/>
    <n v="14297136.15"/>
    <x v="0"/>
    <x v="0"/>
    <x v="5"/>
    <x v="0"/>
    <x v="0"/>
    <n v="988.33330000000001"/>
    <n v="13216.695218101018"/>
    <n v="480.60709884003705"/>
  </r>
  <r>
    <x v="10"/>
    <x v="0"/>
    <x v="1"/>
    <d v="2024-10-24T00:00:00"/>
    <n v="2098"/>
    <x v="0"/>
    <x v="0"/>
    <d v="2024-11-08T00:00:00"/>
    <n v="28000"/>
    <n v="481"/>
    <n v="13468000"/>
    <n v="2828280"/>
    <n v="16296280"/>
    <x v="0"/>
    <x v="0"/>
    <x v="0"/>
    <n v="16296280"/>
    <d v="2024-10-24T00:00:00"/>
    <d v="2024-12-08T00:00:00"/>
    <n v="-331"/>
    <x v="0"/>
    <x v="0"/>
    <d v="2024-12-15T00:00:00"/>
    <s v="24101453 "/>
    <d v="2024-10-24T00:00:00"/>
    <n v="560"/>
    <n v="29100.5"/>
    <n v="-3544.2714999999998"/>
    <n v="25556.228500000001"/>
    <n v="0"/>
    <n v="25556.228500000001"/>
    <x v="1"/>
    <x v="2"/>
    <x v="1"/>
    <x v="0"/>
    <n v="23695"/>
    <n v="1861.2285000000011"/>
    <n v="7.8549419708799473E-2"/>
    <n v="1042287.9600000007"/>
    <n v="13269200"/>
    <n v="14311487.960000001"/>
    <x v="0"/>
    <x v="0"/>
    <x v="5"/>
    <x v="0"/>
    <x v="0"/>
    <n v="986.33330000000001"/>
    <n v="13654.613506408026"/>
    <n v="487.66476808600095"/>
  </r>
  <r>
    <x v="10"/>
    <x v="0"/>
    <x v="0"/>
    <d v="2024-10-31T00:00:00"/>
    <n v="2111"/>
    <x v="0"/>
    <x v="0"/>
    <d v="2024-11-05T00:00:00"/>
    <n v="30000"/>
    <n v="447"/>
    <n v="13410000"/>
    <n v="2816100"/>
    <n v="16226100"/>
    <x v="0"/>
    <x v="0"/>
    <x v="0"/>
    <n v="16226100"/>
    <d v="2024-11-05T00:00:00"/>
    <d v="2024-12-05T00:00:00"/>
    <n v="-334"/>
    <x v="0"/>
    <x v="0"/>
    <d v="2024-12-12T00:00:00"/>
    <n v="0"/>
    <d v="2024-10-30T00:00:00"/>
    <n v="600"/>
    <n v="27043.5"/>
    <n v="-1956.6305"/>
    <n v="25086.869500000001"/>
    <n v="0"/>
    <n v="25086.869500000001"/>
    <x v="0"/>
    <x v="0"/>
    <x v="0"/>
    <x v="0"/>
    <n v="24355"/>
    <n v="731.8695000000007"/>
    <n v="3.0050071853828797E-2"/>
    <n v="439121.70000000042"/>
    <n v="14613000"/>
    <n v="15052121.700000001"/>
    <x v="0"/>
    <x v="0"/>
    <x v="5"/>
    <x v="0"/>
    <x v="0"/>
    <n v="990.25"/>
    <n v="13542.034839686949"/>
    <n v="451.4011613228983"/>
  </r>
  <r>
    <x v="10"/>
    <x v="0"/>
    <x v="0"/>
    <d v="2024-10-31T00:00:00"/>
    <n v="2112"/>
    <x v="0"/>
    <x v="0"/>
    <d v="2024-11-07T00:00:00"/>
    <n v="30000"/>
    <n v="447"/>
    <n v="13410000"/>
    <n v="2816100"/>
    <n v="16226100"/>
    <x v="0"/>
    <x v="0"/>
    <x v="0"/>
    <n v="16226100"/>
    <d v="2024-11-07T00:00:00"/>
    <d v="2024-12-07T00:00:00"/>
    <n v="-332"/>
    <x v="0"/>
    <x v="0"/>
    <d v="2024-12-14T00:00:00"/>
    <n v="0"/>
    <d v="2024-10-30T00:00:00"/>
    <n v="600"/>
    <n v="27043.5"/>
    <n v="-1956.6305"/>
    <n v="25086.869500000001"/>
    <n v="0"/>
    <n v="25086.869500000001"/>
    <x v="0"/>
    <x v="0"/>
    <x v="0"/>
    <x v="0"/>
    <n v="24355"/>
    <n v="731.8695000000007"/>
    <n v="3.0050071853828797E-2"/>
    <n v="439121.70000000042"/>
    <n v="14613000"/>
    <n v="15052121.700000001"/>
    <x v="0"/>
    <x v="0"/>
    <x v="3"/>
    <x v="0"/>
    <x v="0"/>
    <n v="990.25"/>
    <n v="13542.034839686949"/>
    <n v="451.4011613228983"/>
  </r>
  <r>
    <x v="10"/>
    <x v="0"/>
    <x v="0"/>
    <d v="2024-10-31T00:00:00"/>
    <n v="2113"/>
    <x v="0"/>
    <x v="0"/>
    <d v="2024-11-08T00:00:00"/>
    <n v="30000"/>
    <n v="447"/>
    <n v="13410000"/>
    <n v="2816100"/>
    <n v="16226100"/>
    <x v="0"/>
    <x v="0"/>
    <x v="0"/>
    <n v="16226100"/>
    <d v="2024-11-08T00:00:00"/>
    <d v="2024-12-08T00:00:00"/>
    <n v="-331"/>
    <x v="0"/>
    <x v="0"/>
    <d v="2024-12-15T00:00:00"/>
    <n v="0"/>
    <d v="2024-10-30T00:00:00"/>
    <n v="600"/>
    <n v="27043.5"/>
    <n v="-1956.6305"/>
    <n v="25086.869500000001"/>
    <n v="0"/>
    <n v="25086.869500000001"/>
    <x v="0"/>
    <x v="0"/>
    <x v="0"/>
    <x v="0"/>
    <n v="24355"/>
    <n v="731.8695000000007"/>
    <n v="3.0050071853828797E-2"/>
    <n v="439121.70000000042"/>
    <n v="14613000"/>
    <n v="15052121.700000001"/>
    <x v="0"/>
    <x v="0"/>
    <x v="3"/>
    <x v="0"/>
    <x v="0"/>
    <n v="990.25"/>
    <n v="13542.034839686949"/>
    <n v="451.4011613228983"/>
  </r>
  <r>
    <x v="10"/>
    <x v="0"/>
    <x v="28"/>
    <d v="2024-11-13T00:00:00"/>
    <n v="2131"/>
    <x v="0"/>
    <x v="0"/>
    <d v="2024-11-13T00:00:00"/>
    <n v="28000"/>
    <n v="476"/>
    <n v="13328000"/>
    <n v="2798880"/>
    <n v="16126880"/>
    <x v="0"/>
    <x v="0"/>
    <x v="0"/>
    <n v="16126880"/>
    <d v="2024-11-13T00:00:00"/>
    <d v="2024-12-13T00:00:00"/>
    <n v="-326"/>
    <x v="0"/>
    <x v="0"/>
    <d v="2024-12-20T00:00:00"/>
    <s v="WS 29/10"/>
    <d v="2024-10-29T00:00:00"/>
    <n v="560"/>
    <n v="28798"/>
    <n v="-2742.8884999999996"/>
    <n v="26055.111499999999"/>
    <n v="0"/>
    <n v="26055.111499999999"/>
    <x v="0"/>
    <x v="18"/>
    <x v="1"/>
    <x v="0"/>
    <n v="24235"/>
    <n v="1820.1114999999991"/>
    <n v="7.5102599546110982E-2"/>
    <n v="1019262.4399999995"/>
    <n v="13571600"/>
    <n v="14590862.439999999"/>
    <x v="0"/>
    <x v="0"/>
    <x v="2"/>
    <x v="0"/>
    <x v="0"/>
    <n v="989.25"/>
    <n v="13472.832954258276"/>
    <n v="481.17260550922413"/>
  </r>
  <r>
    <x v="10"/>
    <x v="0"/>
    <x v="28"/>
    <d v="2024-11-22T00:00:00"/>
    <n v="2148"/>
    <x v="0"/>
    <x v="0"/>
    <d v="2024-11-15T00:00:00"/>
    <n v="28000"/>
    <n v="476"/>
    <n v="13328000"/>
    <n v="2798880"/>
    <n v="16126880"/>
    <x v="0"/>
    <x v="0"/>
    <x v="0"/>
    <n v="16126880"/>
    <d v="2024-11-22T00:00:00"/>
    <d v="2024-12-22T00:00:00"/>
    <n v="-317"/>
    <x v="0"/>
    <x v="0"/>
    <d v="2024-12-29T00:00:00"/>
    <s v="WS 29/10"/>
    <d v="2024-10-29T00:00:00"/>
    <n v="560"/>
    <n v="28798"/>
    <n v="-2742.8884999999996"/>
    <n v="26055.111499999999"/>
    <n v="0"/>
    <n v="26055.111499999999"/>
    <x v="0"/>
    <x v="19"/>
    <x v="1"/>
    <x v="0"/>
    <n v="24235"/>
    <n v="1820.1114999999991"/>
    <n v="7.5102599546110982E-2"/>
    <n v="1019262.4399999995"/>
    <n v="13571600"/>
    <n v="14590862.439999999"/>
    <x v="0"/>
    <x v="0"/>
    <x v="5"/>
    <x v="0"/>
    <x v="0"/>
    <n v="989.25"/>
    <n v="13472.832954258276"/>
    <n v="481.17260550922413"/>
  </r>
  <r>
    <x v="10"/>
    <x v="0"/>
    <x v="28"/>
    <d v="2024-11-25T00:00:00"/>
    <n v="2149"/>
    <x v="0"/>
    <x v="0"/>
    <d v="2024-11-21T00:00:00"/>
    <n v="28000"/>
    <n v="476"/>
    <n v="13328000"/>
    <n v="2798880"/>
    <n v="16126880"/>
    <x v="0"/>
    <x v="0"/>
    <x v="0"/>
    <n v="16126880"/>
    <d v="2024-11-25T00:00:00"/>
    <d v="2024-12-25T00:00:00"/>
    <n v="-314"/>
    <x v="0"/>
    <x v="0"/>
    <d v="2025-01-01T00:00:00"/>
    <s v="WS 29/10"/>
    <d v="2024-10-29T00:00:00"/>
    <n v="560"/>
    <n v="28798"/>
    <n v="-2742.8884999999996"/>
    <n v="26055.111499999999"/>
    <n v="0"/>
    <n v="26055.111499999999"/>
    <x v="0"/>
    <x v="18"/>
    <x v="1"/>
    <x v="0"/>
    <n v="24235"/>
    <n v="1820.1114999999991"/>
    <n v="7.5102599546110982E-2"/>
    <n v="1019262.4399999995"/>
    <n v="13571600"/>
    <n v="14590862.439999999"/>
    <x v="0"/>
    <x v="0"/>
    <x v="3"/>
    <x v="0"/>
    <x v="0"/>
    <n v="989.25"/>
    <n v="13472.832954258276"/>
    <n v="481.17260550922413"/>
  </r>
  <r>
    <x v="10"/>
    <x v="0"/>
    <x v="28"/>
    <d v="2024-11-28T00:00:00"/>
    <n v="2155"/>
    <x v="0"/>
    <x v="0"/>
    <d v="2024-11-25T00:00:00"/>
    <n v="28000"/>
    <n v="476"/>
    <n v="13328000"/>
    <n v="2798880"/>
    <n v="16126880"/>
    <x v="0"/>
    <x v="0"/>
    <x v="0"/>
    <n v="16126880"/>
    <d v="2024-11-28T00:00:00"/>
    <d v="2024-12-28T00:00:00"/>
    <n v="-311"/>
    <x v="0"/>
    <x v="0"/>
    <d v="2025-01-04T00:00:00"/>
    <s v="WS 29/10"/>
    <d v="2024-10-29T00:00:00"/>
    <n v="560"/>
    <n v="28798"/>
    <n v="-2742.8884999999996"/>
    <n v="26055.111499999999"/>
    <n v="0"/>
    <n v="26055.111499999999"/>
    <x v="0"/>
    <x v="19"/>
    <x v="1"/>
    <x v="0"/>
    <n v="24235"/>
    <n v="1820.1114999999991"/>
    <n v="7.5102599546110982E-2"/>
    <n v="1019262.4399999995"/>
    <n v="13571600"/>
    <n v="14590862.439999999"/>
    <x v="0"/>
    <x v="0"/>
    <x v="3"/>
    <x v="0"/>
    <x v="0"/>
    <n v="989.25"/>
    <n v="13472.832954258276"/>
    <n v="481.17260550922413"/>
  </r>
  <r>
    <x v="10"/>
    <x v="0"/>
    <x v="28"/>
    <d v="2024-11-29T00:00:00"/>
    <n v="2160"/>
    <x v="0"/>
    <x v="0"/>
    <d v="2024-11-28T00:00:00"/>
    <n v="28000"/>
    <n v="476"/>
    <n v="13328000"/>
    <n v="2798880"/>
    <n v="16126880"/>
    <x v="0"/>
    <x v="0"/>
    <x v="0"/>
    <n v="16126880"/>
    <d v="2024-11-29T00:00:00"/>
    <d v="2024-12-29T00:00:00"/>
    <n v="-310"/>
    <x v="0"/>
    <x v="0"/>
    <d v="2025-01-05T00:00:00"/>
    <s v="WS 29/10"/>
    <d v="2024-10-29T00:00:00"/>
    <n v="560"/>
    <n v="28798"/>
    <n v="-2742.8884999999996"/>
    <n v="26055.111499999999"/>
    <n v="0"/>
    <n v="26055.111499999999"/>
    <x v="0"/>
    <x v="18"/>
    <x v="1"/>
    <x v="0"/>
    <n v="24235"/>
    <n v="1820.1114999999991"/>
    <n v="7.5102599546110982E-2"/>
    <n v="1019262.4399999995"/>
    <n v="13571600"/>
    <n v="14590862.439999999"/>
    <x v="0"/>
    <x v="0"/>
    <x v="5"/>
    <x v="0"/>
    <x v="0"/>
    <n v="989.25"/>
    <n v="13472.832954258276"/>
    <n v="481.17260550922413"/>
  </r>
  <r>
    <x v="10"/>
    <x v="0"/>
    <x v="28"/>
    <d v="2024-12-04T00:00:00"/>
    <n v="2164"/>
    <x v="0"/>
    <x v="0"/>
    <d v="2024-12-04T00:00:00"/>
    <n v="28000"/>
    <n v="476"/>
    <n v="13328000"/>
    <n v="2798880"/>
    <n v="16126880"/>
    <x v="0"/>
    <x v="0"/>
    <x v="0"/>
    <n v="16126880"/>
    <d v="2024-12-04T00:00:00"/>
    <d v="2025-01-03T00:00:00"/>
    <n v="-305"/>
    <x v="0"/>
    <x v="0"/>
    <d v="2025-01-10T00:00:00"/>
    <s v="WS 29/10"/>
    <d v="2024-10-29T00:00:00"/>
    <n v="560"/>
    <n v="28798"/>
    <n v="-2742.8884999999996"/>
    <n v="26055.111499999999"/>
    <n v="0"/>
    <n v="26055.111499999999"/>
    <x v="0"/>
    <x v="18"/>
    <x v="1"/>
    <x v="0"/>
    <n v="24235"/>
    <n v="1820.1114999999991"/>
    <n v="7.5102599546110982E-2"/>
    <n v="1019262.4399999995"/>
    <n v="13571600"/>
    <n v="14590862.439999999"/>
    <x v="0"/>
    <x v="0"/>
    <x v="5"/>
    <x v="0"/>
    <x v="0"/>
    <n v="989.25"/>
    <n v="13472.832954258276"/>
    <n v="481.17260550922413"/>
  </r>
  <r>
    <x v="10"/>
    <x v="0"/>
    <x v="32"/>
    <d v="2024-11-06T00:00:00"/>
    <n v="2121"/>
    <x v="0"/>
    <x v="0"/>
    <d v="2024-11-06T00:00:00"/>
    <n v="27900"/>
    <n v="476"/>
    <n v="13280400"/>
    <n v="2788884"/>
    <n v="16069284"/>
    <x v="0"/>
    <x v="0"/>
    <x v="0"/>
    <n v="16069284"/>
    <d v="2024-11-26T00:00:00"/>
    <d v="2025-01-05T00:00:00"/>
    <n v="-303"/>
    <x v="9"/>
    <x v="3"/>
    <d v="2025-01-12T00:00:00"/>
    <n v="8939"/>
    <d v="2024-10-30T00:00:00"/>
    <n v="558"/>
    <n v="28798"/>
    <n v="-2742.8884999999996"/>
    <n v="26055.111499999999"/>
    <n v="-710.08767123287669"/>
    <n v="25345.023828767124"/>
    <x v="0"/>
    <x v="22"/>
    <x v="1"/>
    <x v="0"/>
    <n v="24355"/>
    <n v="990.02382876712363"/>
    <n v="4.0649715818810161E-2"/>
    <n v="552433.29645205499"/>
    <n v="13590090"/>
    <n v="14142523.296452055"/>
    <x v="0"/>
    <x v="0"/>
    <x v="5"/>
    <x v="0"/>
    <x v="0"/>
    <n v="990.25"/>
    <n v="13411.158798283263"/>
    <n v="480.68669527897003"/>
  </r>
  <r>
    <x v="10"/>
    <x v="0"/>
    <x v="32"/>
    <d v="2024-11-07T00:00:00"/>
    <n v="2125"/>
    <x v="0"/>
    <x v="0"/>
    <d v="2024-11-07T00:00:00"/>
    <n v="28000"/>
    <n v="476"/>
    <n v="13328000"/>
    <n v="2798880"/>
    <n v="16126880"/>
    <x v="0"/>
    <x v="0"/>
    <x v="0"/>
    <n v="16126880"/>
    <d v="2024-11-27T00:00:00"/>
    <d v="2025-01-06T00:00:00"/>
    <n v="-302"/>
    <x v="9"/>
    <x v="3"/>
    <d v="2025-01-13T00:00:00"/>
    <n v="8939"/>
    <d v="2024-10-30T00:00:00"/>
    <n v="560"/>
    <n v="28798"/>
    <n v="-2742.8884999999996"/>
    <n v="26055.111499999999"/>
    <n v="-710.08767123287669"/>
    <n v="25345.023828767124"/>
    <x v="0"/>
    <x v="22"/>
    <x v="1"/>
    <x v="0"/>
    <n v="24355"/>
    <n v="990.02382876712363"/>
    <n v="4.0649715818810161E-2"/>
    <n v="554413.34410958923"/>
    <n v="13638800"/>
    <n v="14193213.344109589"/>
    <x v="0"/>
    <x v="0"/>
    <x v="5"/>
    <x v="0"/>
    <x v="0"/>
    <n v="990.25"/>
    <n v="13459.227467811159"/>
    <n v="480.68669527896998"/>
  </r>
  <r>
    <x v="10"/>
    <x v="0"/>
    <x v="32"/>
    <d v="2024-11-11T00:00:00"/>
    <n v="2129"/>
    <x v="0"/>
    <x v="0"/>
    <d v="2024-11-11T00:00:00"/>
    <n v="28000"/>
    <n v="476"/>
    <n v="13328000"/>
    <n v="2798880"/>
    <n v="16126880"/>
    <x v="0"/>
    <x v="0"/>
    <x v="0"/>
    <n v="16126880"/>
    <d v="2024-12-01T00:00:00"/>
    <d v="2025-01-10T00:00:00"/>
    <n v="-298"/>
    <x v="9"/>
    <x v="3"/>
    <d v="2025-01-17T00:00:00"/>
    <n v="8939"/>
    <d v="2024-10-30T00:00:00"/>
    <n v="560"/>
    <n v="28798"/>
    <n v="-2742.8884999999996"/>
    <n v="26055.111499999999"/>
    <n v="-710.08767123287669"/>
    <n v="25345.023828767124"/>
    <x v="0"/>
    <x v="22"/>
    <x v="1"/>
    <x v="0"/>
    <n v="24355"/>
    <n v="990.02382876712363"/>
    <n v="4.0649715818810161E-2"/>
    <n v="554413.34410958923"/>
    <n v="13638800"/>
    <n v="14193213.344109589"/>
    <x v="0"/>
    <x v="0"/>
    <x v="5"/>
    <x v="0"/>
    <x v="0"/>
    <n v="990.25"/>
    <n v="13459.227467811159"/>
    <n v="480.68669527896998"/>
  </r>
  <r>
    <x v="10"/>
    <x v="0"/>
    <x v="32"/>
    <d v="2024-11-13T00:00:00"/>
    <n v="2133"/>
    <x v="0"/>
    <x v="0"/>
    <d v="2024-11-13T00:00:00"/>
    <n v="28000"/>
    <n v="476"/>
    <n v="13328000"/>
    <n v="2798880"/>
    <n v="16126880"/>
    <x v="0"/>
    <x v="0"/>
    <x v="0"/>
    <n v="16126880"/>
    <d v="2024-12-03T00:00:00"/>
    <d v="2025-01-12T00:00:00"/>
    <n v="-296"/>
    <x v="9"/>
    <x v="3"/>
    <d v="2025-01-19T00:00:00"/>
    <n v="8939"/>
    <d v="2024-10-30T00:00:00"/>
    <n v="560"/>
    <n v="28798"/>
    <n v="-2742.8884999999996"/>
    <n v="26055.111499999999"/>
    <n v="-710.08767123287669"/>
    <n v="25345.023828767124"/>
    <x v="0"/>
    <x v="22"/>
    <x v="1"/>
    <x v="0"/>
    <n v="24355"/>
    <n v="990.02382876712363"/>
    <n v="4.0649715818810161E-2"/>
    <n v="554413.34410958923"/>
    <n v="13638800"/>
    <n v="14193213.344109589"/>
    <x v="0"/>
    <x v="0"/>
    <x v="5"/>
    <x v="0"/>
    <x v="0"/>
    <n v="990.25"/>
    <n v="13459.227467811159"/>
    <n v="480.68669527896998"/>
  </r>
  <r>
    <x v="10"/>
    <x v="0"/>
    <x v="32"/>
    <d v="2024-11-15T00:00:00"/>
    <n v="2140"/>
    <x v="0"/>
    <x v="0"/>
    <d v="2024-11-15T00:00:00"/>
    <n v="28000"/>
    <n v="476"/>
    <n v="13328000"/>
    <n v="2798880"/>
    <n v="16126880"/>
    <x v="0"/>
    <x v="0"/>
    <x v="0"/>
    <n v="16126880"/>
    <d v="2024-12-05T00:00:00"/>
    <d v="2025-01-14T00:00:00"/>
    <n v="-294"/>
    <x v="9"/>
    <x v="3"/>
    <d v="2025-01-21T00:00:00"/>
    <n v="8939"/>
    <d v="2024-10-30T00:00:00"/>
    <n v="560"/>
    <n v="28798"/>
    <n v="-2742.8884999999996"/>
    <n v="26055.111499999999"/>
    <n v="-710.08767123287669"/>
    <n v="25345.023828767124"/>
    <x v="0"/>
    <x v="22"/>
    <x v="1"/>
    <x v="0"/>
    <n v="24355"/>
    <n v="990.02382876712363"/>
    <n v="4.0649715818810161E-2"/>
    <n v="554413.34410958923"/>
    <n v="13638800"/>
    <n v="14193213.344109589"/>
    <x v="0"/>
    <x v="0"/>
    <x v="5"/>
    <x v="0"/>
    <x v="0"/>
    <n v="990.25"/>
    <n v="13459.227467811159"/>
    <n v="480.68669527896998"/>
  </r>
  <r>
    <x v="10"/>
    <x v="0"/>
    <x v="32"/>
    <d v="2024-11-20T00:00:00"/>
    <n v="2147"/>
    <x v="0"/>
    <x v="0"/>
    <d v="2024-11-20T00:00:00"/>
    <n v="28000"/>
    <n v="476"/>
    <n v="13328000"/>
    <n v="2798880"/>
    <n v="16126880"/>
    <x v="0"/>
    <x v="0"/>
    <x v="0"/>
    <n v="16126880"/>
    <d v="2024-12-10T00:00:00"/>
    <d v="2025-01-19T00:00:00"/>
    <n v="-289"/>
    <x v="9"/>
    <x v="3"/>
    <d v="2025-01-26T00:00:00"/>
    <n v="8939"/>
    <d v="2024-10-30T00:00:00"/>
    <n v="560"/>
    <n v="28798"/>
    <n v="-2742.8884999999996"/>
    <n v="26055.111499999999"/>
    <n v="-710.08767123287669"/>
    <n v="25345.023828767124"/>
    <x v="0"/>
    <x v="22"/>
    <x v="1"/>
    <x v="0"/>
    <n v="24355"/>
    <n v="990.02382876712363"/>
    <n v="4.0649715818810161E-2"/>
    <n v="554413.34410958923"/>
    <n v="13638800"/>
    <n v="14193213.344109589"/>
    <x v="0"/>
    <x v="0"/>
    <x v="5"/>
    <x v="0"/>
    <x v="0"/>
    <n v="990.25"/>
    <n v="13459.227467811159"/>
    <n v="480.68669527896998"/>
  </r>
  <r>
    <x v="10"/>
    <x v="0"/>
    <x v="32"/>
    <d v="2024-11-27T00:00:00"/>
    <n v="2153"/>
    <x v="0"/>
    <x v="0"/>
    <d v="2024-11-27T00:00:00"/>
    <n v="28000"/>
    <n v="476"/>
    <n v="13328000"/>
    <n v="2798880"/>
    <n v="16126880"/>
    <x v="0"/>
    <x v="0"/>
    <x v="0"/>
    <n v="16126880"/>
    <d v="2024-12-17T00:00:00"/>
    <d v="2025-01-26T00:00:00"/>
    <n v="-282"/>
    <x v="9"/>
    <x v="3"/>
    <d v="2025-02-02T00:00:00"/>
    <n v="8939"/>
    <d v="2024-10-30T00:00:00"/>
    <n v="560"/>
    <n v="28798"/>
    <n v="-2742.8884999999996"/>
    <n v="26055.111499999999"/>
    <n v="-710.08767123287669"/>
    <n v="25345.023828767124"/>
    <x v="0"/>
    <x v="22"/>
    <x v="1"/>
    <x v="0"/>
    <n v="24355"/>
    <n v="990.02382876712363"/>
    <n v="4.0649715818810161E-2"/>
    <n v="554413.34410958923"/>
    <n v="13638800"/>
    <n v="14193213.344109589"/>
    <x v="0"/>
    <x v="0"/>
    <x v="5"/>
    <x v="0"/>
    <x v="0"/>
    <n v="990.25"/>
    <n v="13459.227467811159"/>
    <n v="480.68669527896998"/>
  </r>
  <r>
    <x v="10"/>
    <x v="0"/>
    <x v="33"/>
    <d v="2024-11-05T00:00:00"/>
    <n v="2120"/>
    <x v="0"/>
    <x v="0"/>
    <d v="2024-11-05T00:00:00"/>
    <n v="28000"/>
    <n v="462"/>
    <n v="12936000"/>
    <n v="2716560"/>
    <n v="15652560"/>
    <x v="0"/>
    <x v="0"/>
    <x v="0"/>
    <n v="15652560"/>
    <d v="2024-11-25T00:00:00"/>
    <d v="2025-01-04T00:00:00"/>
    <n v="-304"/>
    <x v="9"/>
    <x v="3"/>
    <d v="2025-01-11T00:00:00"/>
    <n v="39420"/>
    <d v="2024-10-30T00:00:00"/>
    <n v="560"/>
    <n v="27951"/>
    <n v="-1857.713"/>
    <n v="26093.287"/>
    <n v="-689.2027397260274"/>
    <n v="25404.084260273972"/>
    <x v="0"/>
    <x v="23"/>
    <x v="6"/>
    <x v="0"/>
    <n v="24355"/>
    <n v="1049.0842602739722"/>
    <n v="4.3074697609278179E-2"/>
    <n v="587487.18575342442"/>
    <n v="13638800"/>
    <n v="14226287.185753424"/>
    <x v="0"/>
    <x v="0"/>
    <x v="5"/>
    <x v="0"/>
    <x v="0"/>
    <n v="990.25"/>
    <n v="13063.367836404948"/>
    <n v="466.54885130017675"/>
  </r>
  <r>
    <x v="10"/>
    <x v="0"/>
    <x v="33"/>
    <d v="2024-11-13T00:00:00"/>
    <n v="2132"/>
    <x v="0"/>
    <x v="0"/>
    <d v="2024-11-13T00:00:00"/>
    <n v="28000"/>
    <n v="462"/>
    <n v="12936000"/>
    <n v="2716560"/>
    <n v="15652560"/>
    <x v="0"/>
    <x v="0"/>
    <x v="0"/>
    <n v="15652560"/>
    <d v="2024-12-03T00:00:00"/>
    <d v="2025-01-12T00:00:00"/>
    <n v="-296"/>
    <x v="9"/>
    <x v="3"/>
    <d v="2025-01-19T00:00:00"/>
    <n v="39420"/>
    <d v="2024-10-30T00:00:00"/>
    <n v="560"/>
    <n v="27951"/>
    <n v="-1857.713"/>
    <n v="26093.287"/>
    <n v="-689.2027397260274"/>
    <n v="25404.084260273972"/>
    <x v="0"/>
    <x v="23"/>
    <x v="6"/>
    <x v="0"/>
    <n v="24355"/>
    <n v="1049.0842602739722"/>
    <n v="4.3074697609278179E-2"/>
    <n v="587487.18575342442"/>
    <n v="13638800"/>
    <n v="14226287.185753424"/>
    <x v="0"/>
    <x v="0"/>
    <x v="5"/>
    <x v="0"/>
    <x v="0"/>
    <n v="990.25"/>
    <n v="13063.367836404948"/>
    <n v="466.54885130017675"/>
  </r>
  <r>
    <x v="10"/>
    <x v="0"/>
    <x v="33"/>
    <d v="2024-11-20T00:00:00"/>
    <n v="2146"/>
    <x v="0"/>
    <x v="0"/>
    <d v="2024-11-20T00:00:00"/>
    <n v="28000"/>
    <n v="462"/>
    <n v="12936000"/>
    <n v="2716560"/>
    <n v="15652560"/>
    <x v="0"/>
    <x v="0"/>
    <x v="0"/>
    <n v="15652560"/>
    <d v="2024-12-10T00:00:00"/>
    <d v="2025-01-19T00:00:00"/>
    <n v="-289"/>
    <x v="9"/>
    <x v="3"/>
    <d v="2025-01-26T00:00:00"/>
    <n v="39420"/>
    <d v="2024-10-30T00:00:00"/>
    <n v="560"/>
    <n v="27951"/>
    <n v="-1857.713"/>
    <n v="26093.287"/>
    <n v="-689.2027397260274"/>
    <n v="25404.084260273972"/>
    <x v="0"/>
    <x v="23"/>
    <x v="6"/>
    <x v="0"/>
    <n v="24355"/>
    <n v="1049.0842602739722"/>
    <n v="4.3074697609278179E-2"/>
    <n v="587487.18575342442"/>
    <n v="13638800"/>
    <n v="14226287.185753424"/>
    <x v="0"/>
    <x v="0"/>
    <x v="5"/>
    <x v="0"/>
    <x v="0"/>
    <n v="990.25"/>
    <n v="13063.367836404948"/>
    <n v="466.54885130017675"/>
  </r>
  <r>
    <x v="10"/>
    <x v="0"/>
    <x v="33"/>
    <d v="2024-11-27T00:00:00"/>
    <n v="2156"/>
    <x v="0"/>
    <x v="0"/>
    <d v="2024-11-27T00:00:00"/>
    <n v="28000"/>
    <n v="462"/>
    <n v="12936000"/>
    <n v="2716560"/>
    <n v="15652560"/>
    <x v="0"/>
    <x v="0"/>
    <x v="0"/>
    <n v="15652560"/>
    <d v="2024-12-17T00:00:00"/>
    <d v="2025-01-26T00:00:00"/>
    <n v="-282"/>
    <x v="9"/>
    <x v="3"/>
    <d v="2025-02-02T00:00:00"/>
    <n v="39420"/>
    <d v="2024-10-30T00:00:00"/>
    <n v="560"/>
    <n v="27951"/>
    <n v="-1857.713"/>
    <n v="26093.287"/>
    <n v="-689.2027397260274"/>
    <n v="25404.084260273972"/>
    <x v="0"/>
    <x v="23"/>
    <x v="6"/>
    <x v="0"/>
    <n v="24355"/>
    <n v="1049.0842602739722"/>
    <n v="4.3074697609278179E-2"/>
    <n v="587487.18575342442"/>
    <n v="13638800"/>
    <n v="14226287.185753424"/>
    <x v="0"/>
    <x v="0"/>
    <x v="5"/>
    <x v="0"/>
    <x v="0"/>
    <n v="990.25"/>
    <n v="13063.367836404948"/>
    <n v="466.54885130017675"/>
  </r>
  <r>
    <x v="10"/>
    <x v="0"/>
    <x v="19"/>
    <d v="2024-11-08T00:00:00"/>
    <n v="2124"/>
    <x v="0"/>
    <x v="0"/>
    <d v="2024-11-08T00:00:00"/>
    <n v="27500"/>
    <n v="475"/>
    <n v="13062500"/>
    <n v="2743125"/>
    <n v="15805625"/>
    <x v="0"/>
    <x v="0"/>
    <x v="0"/>
    <n v="15805625"/>
    <d v="2024-11-08T00:00:00"/>
    <d v="2024-12-08T00:00:00"/>
    <n v="-331"/>
    <x v="0"/>
    <x v="0"/>
    <d v="2024-12-15T00:00:00"/>
    <n v="6333"/>
    <d v="2024-11-01T00:00:00"/>
    <n v="550"/>
    <n v="28737.5"/>
    <n v="-2742.7069999999999"/>
    <n v="25994.793000000001"/>
    <n v="0"/>
    <n v="25994.793000000001"/>
    <x v="2"/>
    <x v="13"/>
    <x v="5"/>
    <x v="0"/>
    <n v="24550"/>
    <n v="1444.7930000000015"/>
    <n v="5.8851038696537739E-2"/>
    <n v="794636.15000000084"/>
    <n v="13502500"/>
    <n v="14297136.15"/>
    <x v="0"/>
    <x v="0"/>
    <x v="5"/>
    <x v="0"/>
    <x v="0"/>
    <n v="992.75"/>
    <n v="13157.894736842105"/>
    <n v="478.46889952153111"/>
  </r>
  <r>
    <x v="10"/>
    <x v="0"/>
    <x v="15"/>
    <d v="2024-11-04T00:00:00"/>
    <n v="2115"/>
    <x v="0"/>
    <x v="0"/>
    <d v="2024-11-04T00:00:00"/>
    <n v="28000"/>
    <n v="459"/>
    <n v="12852000"/>
    <n v="2698920"/>
    <n v="15550920"/>
    <x v="0"/>
    <x v="0"/>
    <x v="0"/>
    <n v="15550920"/>
    <d v="2024-11-04T00:00:00"/>
    <d v="2024-12-04T00:00:00"/>
    <n v="-335"/>
    <x v="0"/>
    <x v="4"/>
    <d v="2024-12-11T00:00:00"/>
    <s v="WP 28/10"/>
    <d v="2024-10-28T00:00:00"/>
    <n v="560"/>
    <n v="27769.5"/>
    <n v="-2739.8029999999999"/>
    <n v="25029.697"/>
    <n v="0"/>
    <n v="25029.697"/>
    <x v="0"/>
    <x v="8"/>
    <x v="1"/>
    <x v="0"/>
    <n v="24115"/>
    <n v="914.69700000000012"/>
    <n v="3.7930624092888277E-2"/>
    <n v="512230.32000000007"/>
    <n v="13504400"/>
    <n v="14016630.32"/>
    <x v="0"/>
    <x v="0"/>
    <x v="5"/>
    <x v="0"/>
    <x v="0"/>
    <n v="988.83330000000001"/>
    <n v="12997.135108617398"/>
    <n v="464.18339673633562"/>
  </r>
  <r>
    <x v="10"/>
    <x v="0"/>
    <x v="15"/>
    <d v="2024-11-08T00:00:00"/>
    <n v="2118"/>
    <x v="0"/>
    <x v="0"/>
    <d v="2024-11-08T00:00:00"/>
    <n v="28000"/>
    <n v="459"/>
    <n v="12852000"/>
    <n v="2698920"/>
    <n v="15550920"/>
    <x v="0"/>
    <x v="0"/>
    <x v="0"/>
    <n v="15550920"/>
    <d v="2024-11-08T00:00:00"/>
    <d v="2024-12-08T00:00:00"/>
    <n v="-331"/>
    <x v="0"/>
    <x v="4"/>
    <d v="2024-12-15T00:00:00"/>
    <s v="WP 28/10"/>
    <d v="2024-10-28T00:00:00"/>
    <n v="560"/>
    <n v="27769.5"/>
    <n v="-2739.8029999999999"/>
    <n v="25029.697"/>
    <n v="0"/>
    <n v="25029.697"/>
    <x v="0"/>
    <x v="8"/>
    <x v="1"/>
    <x v="0"/>
    <n v="24115"/>
    <n v="914.69700000000012"/>
    <n v="3.7930624092888277E-2"/>
    <n v="512230.32000000007"/>
    <n v="13504400"/>
    <n v="14016630.32"/>
    <x v="0"/>
    <x v="0"/>
    <x v="5"/>
    <x v="0"/>
    <x v="0"/>
    <n v="988.83330000000001"/>
    <n v="12997.135108617398"/>
    <n v="464.18339673633562"/>
  </r>
  <r>
    <x v="10"/>
    <x v="0"/>
    <x v="15"/>
    <d v="2024-11-18T00:00:00"/>
    <n v="2119"/>
    <x v="0"/>
    <x v="0"/>
    <d v="2024-11-18T00:00:00"/>
    <n v="28000"/>
    <n v="459"/>
    <n v="12852000"/>
    <n v="2698920"/>
    <n v="15550920"/>
    <x v="0"/>
    <x v="0"/>
    <x v="0"/>
    <n v="15550920"/>
    <d v="2024-11-18T00:00:00"/>
    <d v="2024-12-18T00:00:00"/>
    <n v="-321"/>
    <x v="0"/>
    <x v="4"/>
    <d v="2024-12-25T00:00:00"/>
    <s v="WP 28/10"/>
    <d v="2024-10-28T00:00:00"/>
    <n v="560"/>
    <n v="27769.5"/>
    <n v="-2739.8029999999999"/>
    <n v="25029.697"/>
    <n v="0"/>
    <n v="25029.697"/>
    <x v="0"/>
    <x v="8"/>
    <x v="1"/>
    <x v="0"/>
    <n v="24115"/>
    <n v="914.69700000000012"/>
    <n v="3.7930624092888277E-2"/>
    <n v="512230.32000000007"/>
    <n v="13504400"/>
    <n v="14016630.32"/>
    <x v="0"/>
    <x v="0"/>
    <x v="5"/>
    <x v="0"/>
    <x v="0"/>
    <n v="988.83330000000001"/>
    <n v="12997.135108617398"/>
    <n v="464.18339673633562"/>
  </r>
  <r>
    <x v="10"/>
    <x v="0"/>
    <x v="31"/>
    <d v="2024-11-08T00:00:00"/>
    <n v="2123"/>
    <x v="0"/>
    <x v="0"/>
    <d v="2024-11-08T00:00:00"/>
    <n v="30000"/>
    <n v="476"/>
    <n v="14280000"/>
    <n v="2998800"/>
    <n v="17278800"/>
    <x v="0"/>
    <x v="0"/>
    <x v="0"/>
    <n v="17278800"/>
    <d v="2024-11-08T00:00:00"/>
    <d v="2024-12-23T00:00:00"/>
    <n v="-316"/>
    <x v="0"/>
    <x v="7"/>
    <d v="2024-12-30T00:00:00"/>
    <s v="WS 05/11"/>
    <d v="2024-11-05T00:00:00"/>
    <n v="600"/>
    <n v="28798"/>
    <n v="-2742.8884999999996"/>
    <n v="26055.111499999999"/>
    <n v="0"/>
    <n v="26055.111499999999"/>
    <x v="0"/>
    <x v="9"/>
    <x v="1"/>
    <x v="0"/>
    <n v="24750"/>
    <n v="1305.1114999999991"/>
    <n v="5.2731777777777822E-2"/>
    <n v="783066.89999999944"/>
    <n v="14850000"/>
    <n v="15633066.899999999"/>
    <x v="0"/>
    <x v="0"/>
    <x v="5"/>
    <x v="0"/>
    <x v="0"/>
    <n v="994.75"/>
    <n v="14355.365669766274"/>
    <n v="478.51218899220913"/>
  </r>
  <r>
    <x v="10"/>
    <x v="0"/>
    <x v="18"/>
    <d v="2024-11-11T00:00:00"/>
    <n v="2126"/>
    <x v="0"/>
    <x v="0"/>
    <d v="2024-11-26T00:00:00"/>
    <n v="28000"/>
    <n v="480"/>
    <n v="13440000"/>
    <n v="2822400"/>
    <n v="16262400"/>
    <x v="0"/>
    <x v="0"/>
    <x v="0"/>
    <n v="16262400"/>
    <d v="2024-11-11T00:00:00"/>
    <d v="2024-11-12T00:00:00"/>
    <n v="-357"/>
    <x v="0"/>
    <x v="0"/>
    <d v="2024-11-19T00:00:00"/>
    <n v="11616"/>
    <d v="2024-11-11T00:00:00"/>
    <n v="560"/>
    <n v="29040"/>
    <n v="-1720.62"/>
    <n v="27319.38"/>
    <n v="0"/>
    <n v="27319.38"/>
    <x v="0"/>
    <x v="12"/>
    <x v="0"/>
    <x v="0"/>
    <n v="25050"/>
    <n v="2269.380000000001"/>
    <n v="9.0594011976047994E-2"/>
    <n v="1270852.8000000005"/>
    <n v="14028000"/>
    <n v="15298852.800000001"/>
    <x v="0"/>
    <x v="0"/>
    <x v="5"/>
    <x v="0"/>
    <x v="0"/>
    <n v="997.75"/>
    <n v="13470.308193435229"/>
    <n v="481.0824354798296"/>
  </r>
  <r>
    <x v="10"/>
    <x v="0"/>
    <x v="18"/>
    <d v="2024-11-11T00:00:00"/>
    <n v="2127"/>
    <x v="0"/>
    <x v="0"/>
    <d v="2024-12-11T00:00:00"/>
    <n v="28000"/>
    <n v="480"/>
    <n v="13440000"/>
    <n v="2822400"/>
    <n v="16262400"/>
    <x v="0"/>
    <x v="0"/>
    <x v="0"/>
    <n v="16262400"/>
    <d v="2024-11-11T00:00:00"/>
    <d v="2024-11-12T00:00:00"/>
    <n v="-357"/>
    <x v="0"/>
    <x v="0"/>
    <d v="2024-11-19T00:00:00"/>
    <n v="11616"/>
    <d v="2024-11-11T00:00:00"/>
    <n v="560"/>
    <n v="29040"/>
    <n v="-1720.62"/>
    <n v="27319.38"/>
    <n v="0"/>
    <n v="27319.38"/>
    <x v="0"/>
    <x v="12"/>
    <x v="0"/>
    <x v="0"/>
    <n v="25050"/>
    <n v="2269.380000000001"/>
    <n v="9.0594011976047994E-2"/>
    <n v="1270852.8000000005"/>
    <n v="14028000"/>
    <n v="15298852.800000001"/>
    <x v="0"/>
    <x v="0"/>
    <x v="5"/>
    <x v="0"/>
    <x v="0"/>
    <n v="997.75"/>
    <n v="13470.308193435229"/>
    <n v="481.0824354798296"/>
  </r>
  <r>
    <x v="10"/>
    <x v="0"/>
    <x v="19"/>
    <d v="2024-11-19T00:00:00"/>
    <n v="2143"/>
    <x v="0"/>
    <x v="0"/>
    <d v="2024-11-19T00:00:00"/>
    <n v="27500"/>
    <n v="498"/>
    <n v="13695000"/>
    <n v="2875950"/>
    <n v="16570950"/>
    <x v="0"/>
    <x v="0"/>
    <x v="0"/>
    <n v="16570950"/>
    <d v="2024-11-19T00:00:00"/>
    <d v="2024-12-19T00:00:00"/>
    <n v="-320"/>
    <x v="0"/>
    <x v="0"/>
    <d v="2024-12-26T00:00:00"/>
    <n v="6342"/>
    <d v="2024-11-11T00:00:00"/>
    <n v="550"/>
    <n v="30129"/>
    <n v="-2746.8815"/>
    <n v="27382.1185"/>
    <n v="0"/>
    <n v="27382.1185"/>
    <x v="2"/>
    <x v="13"/>
    <x v="5"/>
    <x v="0"/>
    <n v="25050"/>
    <n v="2332.1185000000005"/>
    <n v="9.3098542914171745E-2"/>
    <n v="1282665.1750000003"/>
    <n v="13777500"/>
    <n v="15060165.175000001"/>
    <x v="0"/>
    <x v="0"/>
    <x v="5"/>
    <x v="0"/>
    <x v="0"/>
    <n v="997.75"/>
    <n v="13725.883237283888"/>
    <n v="499.12302681032321"/>
  </r>
  <r>
    <x v="10"/>
    <x v="0"/>
    <x v="24"/>
    <d v="2024-11-19T00:00:00"/>
    <n v="2144"/>
    <x v="0"/>
    <x v="0"/>
    <d v="2024-11-19T00:00:00"/>
    <n v="28000"/>
    <n v="490"/>
    <n v="13720000"/>
    <n v="2881200"/>
    <n v="16601200"/>
    <x v="0"/>
    <x v="0"/>
    <x v="0"/>
    <n v="16601200"/>
    <d v="2024-11-19T00:00:00"/>
    <d v="2025-01-18T00:00:00"/>
    <n v="-290"/>
    <x v="0"/>
    <x v="0"/>
    <d v="2025-01-25T00:00:00"/>
    <n v="19627"/>
    <d v="2024-11-12T00:00:00"/>
    <n v="560"/>
    <n v="29645"/>
    <n v="-2745.4294999999997"/>
    <n v="26899.570500000002"/>
    <n v="0"/>
    <n v="26899.570500000002"/>
    <x v="0"/>
    <x v="15"/>
    <x v="1"/>
    <x v="0"/>
    <n v="25130"/>
    <n v="1769.5705000000016"/>
    <n v="7.0416653402308071E-2"/>
    <n v="990959.48000000091"/>
    <n v="14072800"/>
    <n v="15063759.48"/>
    <x v="0"/>
    <x v="0"/>
    <x v="5"/>
    <x v="0"/>
    <x v="0"/>
    <n v="998.75"/>
    <n v="13737.171464330413"/>
    <n v="490.61326658322906"/>
  </r>
  <r>
    <x v="10"/>
    <x v="0"/>
    <x v="0"/>
    <d v="2024-11-14T00:00:00"/>
    <n v="2136"/>
    <x v="0"/>
    <x v="0"/>
    <d v="2024-11-21T00:00:00"/>
    <n v="28000"/>
    <n v="492"/>
    <n v="13776000"/>
    <n v="2892960"/>
    <n v="16668960"/>
    <x v="0"/>
    <x v="0"/>
    <x v="0"/>
    <n v="16668960"/>
    <d v="2024-11-21T00:00:00"/>
    <d v="2024-12-21T00:00:00"/>
    <n v="-318"/>
    <x v="0"/>
    <x v="0"/>
    <d v="2024-12-28T00:00:00"/>
    <n v="0"/>
    <d v="2024-11-13T00:00:00"/>
    <n v="560"/>
    <n v="29766"/>
    <n v="-2745.7924999999996"/>
    <n v="27020.2075"/>
    <n v="0"/>
    <n v="27020.2075"/>
    <x v="0"/>
    <x v="1"/>
    <x v="1"/>
    <x v="0"/>
    <n v="25135"/>
    <n v="1885.2075000000004"/>
    <n v="7.5003282275711181E-2"/>
    <n v="1055716.2000000002"/>
    <n v="14075600"/>
    <n v="15131316.200000001"/>
    <x v="0"/>
    <x v="0"/>
    <x v="5"/>
    <x v="0"/>
    <x v="0"/>
    <n v="999.25"/>
    <n v="13786.339754816112"/>
    <n v="492.36927695771828"/>
  </r>
  <r>
    <x v="10"/>
    <x v="0"/>
    <x v="1"/>
    <d v="2024-11-15T00:00:00"/>
    <n v="2137"/>
    <x v="0"/>
    <x v="0"/>
    <d v="2024-11-29T00:00:00"/>
    <n v="28000"/>
    <n v="497"/>
    <n v="13916000"/>
    <n v="2922360"/>
    <n v="16838360"/>
    <x v="0"/>
    <x v="0"/>
    <x v="0"/>
    <n v="16838360"/>
    <d v="2024-11-15T00:00:00"/>
    <d v="2024-12-30T00:00:00"/>
    <n v="-309"/>
    <x v="0"/>
    <x v="0"/>
    <d v="2025-01-06T00:00:00"/>
    <n v="1411036"/>
    <d v="2024-11-14T00:00:00"/>
    <n v="560"/>
    <n v="30068.5"/>
    <n v="-3547.1754999999998"/>
    <n v="26521.324499999999"/>
    <n v="0"/>
    <n v="26521.324499999999"/>
    <x v="1"/>
    <x v="2"/>
    <x v="1"/>
    <x v="0"/>
    <n v="25145"/>
    <n v="1376.3244999999988"/>
    <n v="5.4735514018691589E-2"/>
    <n v="770741.71999999927"/>
    <n v="14081200"/>
    <n v="14851941.719999999"/>
    <x v="0"/>
    <x v="0"/>
    <x v="5"/>
    <x v="0"/>
    <x v="0"/>
    <n v="999.75"/>
    <n v="13919.479869967492"/>
    <n v="497.12428107026756"/>
  </r>
  <r>
    <x v="10"/>
    <x v="0"/>
    <x v="31"/>
    <d v="2024-11-28T00:00:00"/>
    <n v="2157"/>
    <x v="0"/>
    <x v="0"/>
    <d v="2024-11-28T00:00:00"/>
    <n v="30000"/>
    <n v="501"/>
    <n v="15030000"/>
    <n v="3156300"/>
    <n v="18186300"/>
    <x v="0"/>
    <x v="0"/>
    <x v="0"/>
    <n v="18186300"/>
    <d v="2024-11-28T00:00:00"/>
    <d v="2025-01-12T00:00:00"/>
    <n v="-296"/>
    <x v="0"/>
    <x v="7"/>
    <d v="2025-01-19T00:00:00"/>
    <s v="WS 20/11"/>
    <d v="2024-11-20T00:00:00"/>
    <n v="600"/>
    <n v="30310.5"/>
    <n v="-2747.4259999999999"/>
    <n v="27563.074000000001"/>
    <n v="0"/>
    <n v="27563.074000000001"/>
    <x v="0"/>
    <x v="9"/>
    <x v="1"/>
    <x v="0"/>
    <n v="25240"/>
    <n v="2323.0740000000005"/>
    <n v="9.2039381933439079E-2"/>
    <n v="1393844.4000000004"/>
    <n v="15144000"/>
    <n v="16537844.4"/>
    <x v="0"/>
    <x v="0"/>
    <x v="3"/>
    <x v="0"/>
    <x v="0"/>
    <n v="1003.75"/>
    <n v="14973.84806973848"/>
    <n v="499.12826899128265"/>
  </r>
  <r>
    <x v="10"/>
    <x v="0"/>
    <x v="28"/>
    <d v="2024-12-06T00:00:00"/>
    <n v="2173"/>
    <x v="0"/>
    <x v="0"/>
    <d v="2024-12-06T00:00:00"/>
    <n v="28000"/>
    <n v="490"/>
    <n v="13720000"/>
    <n v="2881200"/>
    <n v="16601200"/>
    <x v="0"/>
    <x v="0"/>
    <x v="0"/>
    <n v="16601200"/>
    <d v="2024-12-06T00:00:00"/>
    <d v="2025-01-05T00:00:00"/>
    <n v="-303"/>
    <x v="0"/>
    <x v="0"/>
    <d v="2025-01-12T00:00:00"/>
    <s v="WS 23/11"/>
    <d v="2024-11-23T00:00:00"/>
    <n v="560"/>
    <n v="29645"/>
    <n v="-2745.4294999999997"/>
    <n v="26899.570500000002"/>
    <n v="0"/>
    <n v="26899.570500000002"/>
    <x v="0"/>
    <x v="18"/>
    <x v="1"/>
    <x v="0"/>
    <n v="25150"/>
    <n v="1749.5705000000016"/>
    <n v="6.9565427435387628E-2"/>
    <n v="979759.48000000091"/>
    <n v="14084000"/>
    <n v="15063759.48"/>
    <x v="0"/>
    <x v="0"/>
    <x v="5"/>
    <x v="0"/>
    <x v="0"/>
    <n v="1006.9"/>
    <n v="13625.980732942695"/>
    <n v="486.6421690336677"/>
  </r>
  <r>
    <x v="10"/>
    <x v="0"/>
    <x v="28"/>
    <d v="2024-12-11T00:00:00"/>
    <n v="2177"/>
    <x v="0"/>
    <x v="0"/>
    <d v="2024-12-11T00:00:00"/>
    <n v="28000"/>
    <n v="490"/>
    <n v="13720000"/>
    <n v="2881200"/>
    <n v="16601200"/>
    <x v="0"/>
    <x v="0"/>
    <x v="0"/>
    <n v="16601200"/>
    <d v="2024-12-11T00:00:00"/>
    <d v="2025-01-10T00:00:00"/>
    <n v="-298"/>
    <x v="0"/>
    <x v="0"/>
    <d v="2025-01-17T00:00:00"/>
    <s v="WS 23/11"/>
    <d v="2024-11-23T00:00:00"/>
    <n v="560"/>
    <n v="29645"/>
    <n v="-2745.4294999999997"/>
    <n v="26899.570500000002"/>
    <n v="0"/>
    <n v="26899.570500000002"/>
    <x v="0"/>
    <x v="18"/>
    <x v="1"/>
    <x v="0"/>
    <n v="25150"/>
    <n v="1749.5705000000016"/>
    <n v="6.9565427435387628E-2"/>
    <n v="979759.48000000091"/>
    <n v="14084000"/>
    <n v="15063759.48"/>
    <x v="0"/>
    <x v="0"/>
    <x v="5"/>
    <x v="0"/>
    <x v="0"/>
    <n v="1006.9"/>
    <n v="13625.980732942695"/>
    <n v="486.6421690336677"/>
  </r>
  <r>
    <x v="10"/>
    <x v="0"/>
    <x v="28"/>
    <d v="2024-12-13T00:00:00"/>
    <n v="2178"/>
    <x v="0"/>
    <x v="0"/>
    <d v="2024-12-13T00:00:00"/>
    <n v="28000"/>
    <n v="490"/>
    <n v="13720000"/>
    <n v="2881200"/>
    <n v="16601200"/>
    <x v="0"/>
    <x v="0"/>
    <x v="0"/>
    <n v="16601200"/>
    <d v="2024-12-13T00:00:00"/>
    <d v="2025-01-12T00:00:00"/>
    <n v="-296"/>
    <x v="0"/>
    <x v="0"/>
    <d v="2025-01-19T00:00:00"/>
    <s v="WS 23/11"/>
    <d v="2024-11-23T00:00:00"/>
    <n v="560"/>
    <n v="29645"/>
    <n v="-2745.4294999999997"/>
    <n v="26899.570500000002"/>
    <n v="0"/>
    <n v="26899.570500000002"/>
    <x v="0"/>
    <x v="18"/>
    <x v="1"/>
    <x v="0"/>
    <n v="25150"/>
    <n v="1749.5705000000016"/>
    <n v="6.9565427435387628E-2"/>
    <n v="979759.48000000091"/>
    <n v="14084000"/>
    <n v="15063759.48"/>
    <x v="0"/>
    <x v="0"/>
    <x v="5"/>
    <x v="0"/>
    <x v="0"/>
    <n v="1006.9"/>
    <n v="13625.980732942695"/>
    <n v="486.6421690336677"/>
  </r>
  <r>
    <x v="10"/>
    <x v="0"/>
    <x v="1"/>
    <d v="2024-11-15T00:00:00"/>
    <n v="2151"/>
    <x v="0"/>
    <x v="0"/>
    <d v="2024-12-09T00:00:00"/>
    <n v="28000"/>
    <n v="497"/>
    <n v="13916000"/>
    <n v="2922360"/>
    <n v="16838360"/>
    <x v="0"/>
    <x v="0"/>
    <x v="0"/>
    <n v="16838360"/>
    <d v="2024-11-15T00:00:00"/>
    <d v="2024-12-30T00:00:00"/>
    <n v="-309"/>
    <x v="0"/>
    <x v="0"/>
    <d v="2025-01-06T00:00:00"/>
    <s v="26111008 "/>
    <d v="2024-11-26T00:00:00"/>
    <n v="560"/>
    <n v="30068.5"/>
    <n v="-3547.1754999999998"/>
    <n v="26521.324499999999"/>
    <n v="0"/>
    <n v="26521.324499999999"/>
    <x v="1"/>
    <x v="2"/>
    <x v="1"/>
    <x v="0"/>
    <n v="25060"/>
    <n v="1461.3244999999988"/>
    <n v="5.831302873104538E-2"/>
    <n v="818341.71999999927"/>
    <n v="14033600"/>
    <n v="14851941.719999999"/>
    <x v="0"/>
    <x v="0"/>
    <x v="3"/>
    <x v="0"/>
    <x v="0"/>
    <n v="1007.75"/>
    <n v="13808.980401885388"/>
    <n v="493.17787149590674"/>
  </r>
  <r>
    <x v="10"/>
    <x v="0"/>
    <x v="30"/>
    <d v="2024-12-06T18:21:19"/>
    <n v="2172"/>
    <x v="0"/>
    <x v="0"/>
    <d v="2024-12-06T18:21:19"/>
    <n v="28000"/>
    <n v="478"/>
    <n v="13384000"/>
    <n v="2810640"/>
    <n v="16194640"/>
    <x v="0"/>
    <x v="0"/>
    <x v="0"/>
    <n v="16194640"/>
    <d v="2024-12-13T18:21:19"/>
    <d v="2025-01-05T18:21:19"/>
    <n v="-302.23520179398474"/>
    <x v="3"/>
    <x v="7"/>
    <d v="2025-01-12T18:21:19"/>
    <s v="WS 26/11"/>
    <d v="2024-11-26T00:00:00"/>
    <n v="560"/>
    <n v="28919"/>
    <n v="-1910.8320000000001"/>
    <n v="27008.168000000001"/>
    <n v="-249.57493150684934"/>
    <n v="26758.593068493152"/>
    <x v="0"/>
    <x v="21"/>
    <x v="0"/>
    <x v="0"/>
    <n v="25060"/>
    <n v="1698.5930684931518"/>
    <n v="6.7781048223988449E-2"/>
    <n v="951212.11835616501"/>
    <n v="14033600"/>
    <n v="14984812.118356165"/>
    <x v="0"/>
    <x v="0"/>
    <x v="5"/>
    <x v="0"/>
    <x v="0"/>
    <n v="1007.75"/>
    <n v="13281.071694368644"/>
    <n v="474.32398908459442"/>
  </r>
  <r>
    <x v="10"/>
    <x v="0"/>
    <x v="30"/>
    <d v="2024-12-11T00:00:00"/>
    <n v="2180"/>
    <x v="0"/>
    <x v="0"/>
    <d v="2024-12-11T00:00:00"/>
    <n v="28000"/>
    <n v="478"/>
    <n v="13384000"/>
    <n v="2810640"/>
    <n v="16194640"/>
    <x v="0"/>
    <x v="0"/>
    <x v="0"/>
    <n v="16194640"/>
    <d v="2024-12-18T00:00:00"/>
    <d v="2025-01-10T00:00:00"/>
    <n v="-298"/>
    <x v="3"/>
    <x v="7"/>
    <d v="2025-01-17T00:00:00"/>
    <s v="WS 26/11"/>
    <d v="2024-11-26T00:00:00"/>
    <n v="560"/>
    <n v="28919"/>
    <n v="-1910.8320000000001"/>
    <n v="27008.168000000001"/>
    <n v="-249.57493150684934"/>
    <n v="26758.593068493152"/>
    <x v="0"/>
    <x v="21"/>
    <x v="0"/>
    <x v="0"/>
    <n v="25060"/>
    <n v="1698.5930684931518"/>
    <n v="6.7781048223988449E-2"/>
    <n v="951212.11835616501"/>
    <n v="14033600"/>
    <n v="14984812.118356165"/>
    <x v="0"/>
    <x v="0"/>
    <x v="5"/>
    <x v="0"/>
    <x v="0"/>
    <n v="1007.75"/>
    <n v="13281.071694368644"/>
    <n v="474.32398908459442"/>
  </r>
  <r>
    <x v="10"/>
    <x v="0"/>
    <x v="25"/>
    <d v="2024-12-02T00:00:00"/>
    <n v="2161"/>
    <x v="0"/>
    <x v="0"/>
    <d v="2024-12-11T00:00:00"/>
    <n v="28000"/>
    <n v="510"/>
    <n v="14280000"/>
    <n v="2998800"/>
    <n v="17278800"/>
    <x v="0"/>
    <x v="0"/>
    <x v="0"/>
    <n v="17278800"/>
    <d v="2024-12-02T00:00:00"/>
    <d v="2024-12-02T00:00:00"/>
    <n v="-337"/>
    <x v="0"/>
    <x v="6"/>
    <d v="2024-12-09T00:00:00"/>
    <s v="WS26/11"/>
    <d v="2024-11-26T00:00:00"/>
    <n v="560"/>
    <n v="30855"/>
    <n v="-2749.0594999999998"/>
    <n v="28105.940500000001"/>
    <n v="0"/>
    <n v="28105.940500000001"/>
    <x v="3"/>
    <x v="16"/>
    <x v="1"/>
    <x v="0"/>
    <n v="25060"/>
    <n v="3045.9405000000006"/>
    <n v="0.12154590981644064"/>
    <n v="1705726.6800000004"/>
    <n v="14033600"/>
    <n v="15739326.68"/>
    <x v="0"/>
    <x v="0"/>
    <x v="5"/>
    <x v="0"/>
    <x v="0"/>
    <n v="1007.75"/>
    <n v="14170.181096502109"/>
    <n v="506.07789630364675"/>
  </r>
  <r>
    <x v="10"/>
    <x v="0"/>
    <x v="31"/>
    <d v="2024-12-18T00:00:00"/>
    <n v="2189"/>
    <x v="0"/>
    <x v="0"/>
    <d v="2024-12-18T00:00:00"/>
    <n v="30000"/>
    <n v="492"/>
    <n v="14760000"/>
    <n v="3099600"/>
    <n v="17859600"/>
    <x v="0"/>
    <x v="0"/>
    <x v="0"/>
    <n v="17859600"/>
    <d v="2024-12-18T00:00:00"/>
    <d v="2025-02-01T00:00:00"/>
    <n v="-276"/>
    <x v="0"/>
    <x v="7"/>
    <d v="2025-02-08T00:00:00"/>
    <s v="WS 25/11"/>
    <d v="2024-11-25T00:00:00"/>
    <n v="600"/>
    <n v="29766"/>
    <n v="-2745.7924999999996"/>
    <n v="27020.2075"/>
    <n v="0"/>
    <n v="27020.2075"/>
    <x v="0"/>
    <x v="9"/>
    <x v="1"/>
    <x v="0"/>
    <n v="25090"/>
    <n v="1930.2075000000004"/>
    <n v="7.6931347150259066E-2"/>
    <n v="1158124.5000000002"/>
    <n v="15054000"/>
    <n v="16212124.5"/>
    <x v="0"/>
    <x v="0"/>
    <x v="5"/>
    <x v="0"/>
    <x v="0"/>
    <n v="1007.25"/>
    <n v="14653.760238272524"/>
    <n v="488.45867460908414"/>
  </r>
  <r>
    <x v="10"/>
    <x v="0"/>
    <x v="19"/>
    <d v="2024-12-06T00:00:00"/>
    <n v="2170"/>
    <x v="0"/>
    <x v="0"/>
    <d v="2024-12-06T00:00:00"/>
    <n v="27500"/>
    <n v="498"/>
    <n v="13695000"/>
    <n v="2875950"/>
    <n v="16570950"/>
    <x v="0"/>
    <x v="0"/>
    <x v="0"/>
    <n v="16570950"/>
    <d v="2024-12-06T00:00:00"/>
    <d v="2025-01-05T00:00:00"/>
    <n v="-303"/>
    <x v="0"/>
    <x v="0"/>
    <d v="2025-01-12T00:00:00"/>
    <n v="6358"/>
    <d v="2024-11-28T00:00:00"/>
    <n v="550"/>
    <n v="30129"/>
    <n v="-2746.8815"/>
    <n v="27382.1185"/>
    <n v="0"/>
    <n v="27382.1185"/>
    <x v="2"/>
    <x v="13"/>
    <x v="5"/>
    <x v="0"/>
    <n v="25025"/>
    <n v="2357.1185000000005"/>
    <n v="9.4190549450549499E-2"/>
    <n v="1296415.1750000003"/>
    <n v="13763750"/>
    <n v="15060165.175000001"/>
    <x v="0"/>
    <x v="0"/>
    <x v="5"/>
    <x v="0"/>
    <x v="0"/>
    <n v="1009.25"/>
    <n v="13569.482288828338"/>
    <n v="493.43571959375777"/>
  </r>
  <r>
    <x v="10"/>
    <x v="0"/>
    <x v="16"/>
    <d v="2024-12-03T00:00:00"/>
    <n v="2163"/>
    <x v="0"/>
    <x v="0"/>
    <d v="2024-11-27T00:00:00"/>
    <n v="15000"/>
    <n v="440"/>
    <n v="6600000"/>
    <n v="1386000"/>
    <n v="7986000"/>
    <x v="0"/>
    <x v="0"/>
    <x v="0"/>
    <n v="7986000"/>
    <d v="2024-12-04T00:00:00"/>
    <d v="2025-01-02T00:00:00"/>
    <n v="-306"/>
    <x v="3"/>
    <x v="0"/>
    <d v="2025-01-09T00:00:00"/>
    <n v="15093"/>
    <d v="2024-11-29T00:00:00"/>
    <n v="300"/>
    <n v="26620"/>
    <n v="-1571.79"/>
    <n v="25048.21"/>
    <n v="-280.786301369863"/>
    <n v="24767.423698630137"/>
    <x v="0"/>
    <x v="9"/>
    <x v="1"/>
    <x v="0"/>
    <n v="25015"/>
    <n v="-247.57630136986336"/>
    <n v="-9.8971137865225822E-3"/>
    <n v="-74272.890410959008"/>
    <n v="7504500"/>
    <n v="7430227.1095890412"/>
    <x v="0"/>
    <x v="0"/>
    <x v="3"/>
    <x v="0"/>
    <x v="0"/>
    <n v="1011.75"/>
    <n v="6523.3506300963672"/>
    <n v="434.89004200642449"/>
  </r>
  <r>
    <x v="11"/>
    <x v="0"/>
    <x v="32"/>
    <d v="2024-12-03T00:00:00"/>
    <n v="2166"/>
    <x v="0"/>
    <x v="0"/>
    <d v="2024-12-03T00:00:00"/>
    <n v="28000"/>
    <n v="487"/>
    <n v="13636000"/>
    <n v="2863560"/>
    <n v="16499560"/>
    <x v="0"/>
    <x v="0"/>
    <x v="0"/>
    <n v="16499560"/>
    <d v="2024-12-23T00:00:00"/>
    <d v="2025-02-01T00:00:00"/>
    <n v="-276"/>
    <x v="9"/>
    <x v="3"/>
    <d v="2025-02-08T00:00:00"/>
    <n v="9209"/>
    <d v="2024-11-28T00:00:00"/>
    <n v="560"/>
    <n v="29463.5"/>
    <n v="-2744.8849999999998"/>
    <n v="26718.615000000002"/>
    <n v="-726.49726027397253"/>
    <n v="25992.117739726029"/>
    <x v="0"/>
    <x v="22"/>
    <x v="1"/>
    <x v="0"/>
    <n v="25025"/>
    <n v="967.11773972602896"/>
    <n v="3.8646063525515695E-2"/>
    <n v="541585.93424657616"/>
    <n v="14014000"/>
    <n v="14555585.934246575"/>
    <x v="0"/>
    <x v="0"/>
    <x v="3"/>
    <x v="0"/>
    <x v="0"/>
    <n v="1009.25"/>
    <n v="13511.023036908595"/>
    <n v="482.53653703244981"/>
  </r>
  <r>
    <x v="11"/>
    <x v="0"/>
    <x v="32"/>
    <d v="2024-12-04T00:00:00"/>
    <n v="2167"/>
    <x v="0"/>
    <x v="0"/>
    <d v="2024-12-04T00:00:00"/>
    <n v="28000"/>
    <n v="487"/>
    <n v="13636000"/>
    <n v="2863560"/>
    <n v="16499560"/>
    <x v="0"/>
    <x v="0"/>
    <x v="0"/>
    <n v="16499560"/>
    <d v="2024-12-24T00:00:00"/>
    <d v="2025-02-02T00:00:00"/>
    <n v="-275"/>
    <x v="9"/>
    <x v="3"/>
    <d v="2025-02-09T00:00:00"/>
    <n v="9209"/>
    <d v="2024-11-28T00:00:00"/>
    <n v="560"/>
    <n v="29463.5"/>
    <n v="-2744.8849999999998"/>
    <n v="26718.615000000002"/>
    <n v="-726.49726027397253"/>
    <n v="25992.117739726029"/>
    <x v="0"/>
    <x v="22"/>
    <x v="1"/>
    <x v="0"/>
    <n v="25025"/>
    <n v="967.11773972602896"/>
    <n v="3.8646063525515695E-2"/>
    <n v="541585.93424657616"/>
    <n v="14014000"/>
    <n v="14555585.934246575"/>
    <x v="0"/>
    <x v="0"/>
    <x v="3"/>
    <x v="0"/>
    <x v="0"/>
    <n v="1009.25"/>
    <n v="13511.023036908595"/>
    <n v="482.53653703244981"/>
  </r>
  <r>
    <x v="11"/>
    <x v="0"/>
    <x v="32"/>
    <d v="2024-12-09T00:00:00"/>
    <n v="2174"/>
    <x v="0"/>
    <x v="0"/>
    <d v="2024-12-09T00:00:00"/>
    <n v="28000"/>
    <n v="487"/>
    <n v="13636000"/>
    <n v="2863560"/>
    <n v="16499560"/>
    <x v="0"/>
    <x v="0"/>
    <x v="0"/>
    <n v="16499560"/>
    <d v="2024-12-29T00:00:00"/>
    <d v="2025-02-07T00:00:00"/>
    <n v="-270"/>
    <x v="9"/>
    <x v="3"/>
    <d v="2025-02-14T00:00:00"/>
    <n v="9209"/>
    <d v="2024-11-28T00:00:00"/>
    <n v="560"/>
    <n v="29463.5"/>
    <n v="-2744.8849999999998"/>
    <n v="26718.615000000002"/>
    <n v="-726.49726027397253"/>
    <n v="25992.117739726029"/>
    <x v="0"/>
    <x v="22"/>
    <x v="1"/>
    <x v="0"/>
    <n v="25025"/>
    <n v="967.11773972602896"/>
    <n v="3.8646063525515695E-2"/>
    <n v="541585.93424657616"/>
    <n v="14014000"/>
    <n v="14555585.934246575"/>
    <x v="0"/>
    <x v="0"/>
    <x v="3"/>
    <x v="0"/>
    <x v="0"/>
    <n v="1009.25"/>
    <n v="13511.023036908595"/>
    <n v="482.53653703244981"/>
  </r>
  <r>
    <x v="11"/>
    <x v="0"/>
    <x v="32"/>
    <d v="2024-12-11T00:00:00"/>
    <n v="2176"/>
    <x v="0"/>
    <x v="0"/>
    <d v="2024-12-11T00:00:00"/>
    <n v="28000"/>
    <n v="487"/>
    <n v="13636000"/>
    <n v="2863560"/>
    <n v="16499560"/>
    <x v="0"/>
    <x v="0"/>
    <x v="0"/>
    <n v="16499560"/>
    <d v="2024-12-31T00:00:00"/>
    <d v="2025-02-09T00:00:00"/>
    <n v="-268"/>
    <x v="9"/>
    <x v="3"/>
    <d v="2025-02-16T00:00:00"/>
    <n v="9209"/>
    <d v="2024-11-28T00:00:00"/>
    <n v="560"/>
    <n v="29463.5"/>
    <n v="-2744.8849999999998"/>
    <n v="26718.615000000002"/>
    <n v="-726.49726027397253"/>
    <n v="25992.117739726029"/>
    <x v="0"/>
    <x v="22"/>
    <x v="1"/>
    <x v="0"/>
    <n v="25025"/>
    <n v="967.11773972602896"/>
    <n v="3.8646063525515695E-2"/>
    <n v="541585.93424657616"/>
    <n v="14014000"/>
    <n v="14555585.934246575"/>
    <x v="0"/>
    <x v="0"/>
    <x v="3"/>
    <x v="0"/>
    <x v="0"/>
    <n v="1009.25"/>
    <n v="13511.023036908595"/>
    <n v="482.53653703244981"/>
  </r>
  <r>
    <x v="11"/>
    <x v="0"/>
    <x v="32"/>
    <d v="2024-12-18T00:00:00"/>
    <n v="2182"/>
    <x v="0"/>
    <x v="0"/>
    <d v="2024-12-13T00:00:00"/>
    <n v="28000"/>
    <n v="487"/>
    <n v="13636000"/>
    <n v="2863560"/>
    <n v="16499560"/>
    <x v="0"/>
    <x v="0"/>
    <x v="0"/>
    <n v="16499560"/>
    <d v="2025-01-07T00:00:00"/>
    <d v="2025-02-16T00:00:00"/>
    <n v="-261"/>
    <x v="9"/>
    <x v="3"/>
    <d v="2025-02-23T00:00:00"/>
    <n v="9209"/>
    <d v="2024-11-28T00:00:00"/>
    <n v="560"/>
    <n v="29463.5"/>
    <n v="-2744.8849999999998"/>
    <n v="26718.615000000002"/>
    <n v="-726.49726027397253"/>
    <n v="25992.117739726029"/>
    <x v="0"/>
    <x v="22"/>
    <x v="1"/>
    <x v="0"/>
    <n v="25025"/>
    <n v="967.11773972602896"/>
    <n v="3.8646063525515695E-2"/>
    <n v="541585.93424657616"/>
    <n v="14014000"/>
    <n v="14555585.934246575"/>
    <x v="0"/>
    <x v="0"/>
    <x v="6"/>
    <x v="0"/>
    <x v="0"/>
    <n v="1009.25"/>
    <n v="13511.023036908595"/>
    <n v="482.53653703244981"/>
  </r>
  <r>
    <x v="11"/>
    <x v="0"/>
    <x v="32"/>
    <d v="2024-12-16T00:00:00"/>
    <n v="2185"/>
    <x v="0"/>
    <x v="0"/>
    <d v="2024-12-16T00:00:00"/>
    <n v="28000"/>
    <n v="487"/>
    <n v="13636000"/>
    <n v="2863560"/>
    <n v="16499560"/>
    <x v="0"/>
    <x v="0"/>
    <x v="0"/>
    <n v="16499560"/>
    <d v="2025-01-05T00:00:00"/>
    <d v="2025-02-14T00:00:00"/>
    <n v="-263"/>
    <x v="9"/>
    <x v="3"/>
    <d v="2025-02-21T00:00:00"/>
    <n v="9209"/>
    <d v="2024-11-28T00:00:00"/>
    <n v="560"/>
    <n v="29463.5"/>
    <n v="-2744.8849999999998"/>
    <n v="26718.615000000002"/>
    <n v="-726.49726027397253"/>
    <n v="25992.117739726029"/>
    <x v="0"/>
    <x v="22"/>
    <x v="1"/>
    <x v="0"/>
    <n v="25025"/>
    <n v="967.11773972602896"/>
    <n v="3.8646063525515695E-2"/>
    <n v="541585.93424657616"/>
    <n v="14014000"/>
    <n v="14555585.934246575"/>
    <x v="0"/>
    <x v="0"/>
    <x v="6"/>
    <x v="0"/>
    <x v="0"/>
    <n v="1009.25"/>
    <n v="13511.023036908595"/>
    <n v="482.53653703244981"/>
  </r>
  <r>
    <x v="11"/>
    <x v="0"/>
    <x v="32"/>
    <d v="2024-12-18T00:00:00"/>
    <n v="2191"/>
    <x v="0"/>
    <x v="0"/>
    <d v="2024-12-18T00:00:00"/>
    <n v="28000"/>
    <n v="487"/>
    <n v="13636000"/>
    <n v="2863560"/>
    <n v="16499560"/>
    <x v="0"/>
    <x v="0"/>
    <x v="0"/>
    <n v="16499560"/>
    <d v="2025-01-07T00:00:00"/>
    <d v="2025-02-16T00:00:00"/>
    <n v="-261"/>
    <x v="9"/>
    <x v="3"/>
    <d v="2025-02-23T00:00:00"/>
    <n v="9209"/>
    <d v="2024-11-28T00:00:00"/>
    <n v="560"/>
    <n v="29463.5"/>
    <n v="-2744.8849999999998"/>
    <n v="26718.615000000002"/>
    <n v="-726.49726027397253"/>
    <n v="25992.117739726029"/>
    <x v="0"/>
    <x v="22"/>
    <x v="1"/>
    <x v="0"/>
    <n v="25025"/>
    <n v="967.11773972602896"/>
    <n v="3.8646063525515695E-2"/>
    <n v="541585.93424657616"/>
    <n v="14014000"/>
    <n v="14555585.934246575"/>
    <x v="0"/>
    <x v="0"/>
    <x v="6"/>
    <x v="0"/>
    <x v="0"/>
    <n v="1009.25"/>
    <n v="13511.023036908595"/>
    <n v="482.53653703244981"/>
  </r>
  <r>
    <x v="11"/>
    <x v="0"/>
    <x v="32"/>
    <d v="2024-12-20T00:00:00"/>
    <n v="2195"/>
    <x v="0"/>
    <x v="0"/>
    <d v="2024-12-20T00:00:00"/>
    <n v="28000"/>
    <n v="487"/>
    <n v="13636000"/>
    <n v="2863560"/>
    <n v="16499560"/>
    <x v="0"/>
    <x v="0"/>
    <x v="0"/>
    <n v="16499560"/>
    <d v="2025-01-09T00:00:00"/>
    <d v="2025-02-18T00:00:00"/>
    <n v="-259"/>
    <x v="9"/>
    <x v="3"/>
    <d v="2025-02-25T00:00:00"/>
    <n v="9209"/>
    <d v="2024-11-28T00:00:00"/>
    <n v="560"/>
    <n v="29463.5"/>
    <n v="-2744.8849999999998"/>
    <n v="26718.615000000002"/>
    <n v="-726.49726027397253"/>
    <n v="25992.117739726029"/>
    <x v="0"/>
    <x v="22"/>
    <x v="1"/>
    <x v="0"/>
    <n v="25025"/>
    <n v="967.11773972602896"/>
    <n v="3.8646063525515695E-2"/>
    <n v="541585.93424657616"/>
    <n v="14014000"/>
    <n v="14555585.934246575"/>
    <x v="0"/>
    <x v="0"/>
    <x v="5"/>
    <x v="0"/>
    <x v="0"/>
    <n v="1009.25"/>
    <n v="13511.023036908595"/>
    <n v="482.53653703244981"/>
  </r>
  <r>
    <x v="11"/>
    <x v="0"/>
    <x v="33"/>
    <d v="2024-12-04T00:00:00"/>
    <n v="2165"/>
    <x v="0"/>
    <x v="0"/>
    <d v="2024-12-04T00:00:00"/>
    <n v="28000"/>
    <n v="483"/>
    <n v="13524000"/>
    <n v="2840040"/>
    <n v="16364040"/>
    <x v="0"/>
    <x v="0"/>
    <x v="0"/>
    <n v="16364040"/>
    <d v="2024-12-24T00:00:00"/>
    <d v="2025-02-02T00:00:00"/>
    <n v="-275"/>
    <x v="9"/>
    <x v="3"/>
    <d v="2025-02-09T00:00:00"/>
    <n v="40592"/>
    <d v="2024-11-30T00:00:00"/>
    <n v="560"/>
    <n v="29221.5"/>
    <n v="-1861.5245"/>
    <n v="27359.9755"/>
    <n v="-720.53013698630127"/>
    <n v="26639.4453630137"/>
    <x v="0"/>
    <x v="23"/>
    <x v="6"/>
    <x v="0"/>
    <n v="25005"/>
    <n v="1634.4453630136995"/>
    <n v="6.5364741572233598E-2"/>
    <n v="915289.40328767174"/>
    <n v="14002800"/>
    <n v="14918089.403287672"/>
    <x v="0"/>
    <x v="0"/>
    <x v="3"/>
    <x v="0"/>
    <x v="0"/>
    <n v="1011.82"/>
    <n v="13366.013717854954"/>
    <n v="477.35763278053406"/>
  </r>
  <r>
    <x v="11"/>
    <x v="0"/>
    <x v="33"/>
    <d v="2024-12-06T00:00:00"/>
    <n v="2171"/>
    <x v="0"/>
    <x v="0"/>
    <d v="2024-12-06T00:00:00"/>
    <n v="28000"/>
    <n v="483"/>
    <n v="13524000"/>
    <n v="2840040"/>
    <n v="16364040"/>
    <x v="0"/>
    <x v="0"/>
    <x v="0"/>
    <n v="16364040"/>
    <d v="2024-12-26T00:00:00"/>
    <d v="2025-02-04T00:00:00"/>
    <n v="-273"/>
    <x v="9"/>
    <x v="3"/>
    <d v="2025-02-11T00:00:00"/>
    <n v="40592"/>
    <d v="2024-11-30T00:00:00"/>
    <n v="560"/>
    <n v="29221.5"/>
    <n v="-1861.5245"/>
    <n v="27359.9755"/>
    <n v="-720.53013698630127"/>
    <n v="26639.4453630137"/>
    <x v="0"/>
    <x v="23"/>
    <x v="6"/>
    <x v="0"/>
    <n v="25005"/>
    <n v="1634.4453630136995"/>
    <n v="6.5364741572233598E-2"/>
    <n v="915289.40328767174"/>
    <n v="14002800"/>
    <n v="14918089.403287672"/>
    <x v="0"/>
    <x v="0"/>
    <x v="6"/>
    <x v="0"/>
    <x v="0"/>
    <n v="1011.82"/>
    <n v="13366.013717854954"/>
    <n v="477.35763278053406"/>
  </r>
  <r>
    <x v="11"/>
    <x v="0"/>
    <x v="33"/>
    <d v="2024-12-10T00:00:00"/>
    <n v="2175"/>
    <x v="0"/>
    <x v="0"/>
    <d v="2024-12-10T00:00:00"/>
    <n v="28000"/>
    <n v="483"/>
    <n v="13524000"/>
    <n v="2840040"/>
    <n v="16364040"/>
    <x v="0"/>
    <x v="0"/>
    <x v="0"/>
    <n v="16364040"/>
    <d v="2024-12-30T00:00:00"/>
    <d v="2025-02-08T00:00:00"/>
    <n v="-269"/>
    <x v="9"/>
    <x v="3"/>
    <d v="2025-02-15T00:00:00"/>
    <n v="40592"/>
    <d v="2024-11-30T00:00:00"/>
    <n v="560"/>
    <n v="29221.5"/>
    <n v="-1861.5245"/>
    <n v="27359.9755"/>
    <n v="-720.53013698630127"/>
    <n v="26639.4453630137"/>
    <x v="0"/>
    <x v="23"/>
    <x v="6"/>
    <x v="0"/>
    <n v="25005"/>
    <n v="1634.4453630136995"/>
    <n v="6.5364741572233598E-2"/>
    <n v="915289.40328767174"/>
    <n v="14002800"/>
    <n v="14918089.403287672"/>
    <x v="0"/>
    <x v="0"/>
    <x v="5"/>
    <x v="0"/>
    <x v="0"/>
    <n v="1011.82"/>
    <n v="13366.013717854954"/>
    <n v="477.35763278053406"/>
  </r>
  <r>
    <x v="11"/>
    <x v="0"/>
    <x v="33"/>
    <d v="2024-12-12T00:00:00"/>
    <n v="2181"/>
    <x v="0"/>
    <x v="0"/>
    <d v="2024-12-12T00:00:00"/>
    <n v="28000"/>
    <n v="483"/>
    <n v="13524000"/>
    <n v="2840040"/>
    <n v="16364040"/>
    <x v="0"/>
    <x v="0"/>
    <x v="0"/>
    <n v="16364040"/>
    <d v="2025-01-01T00:00:00"/>
    <d v="2025-02-10T00:00:00"/>
    <n v="-267"/>
    <x v="9"/>
    <x v="3"/>
    <d v="2025-02-17T00:00:00"/>
    <n v="40592"/>
    <d v="2024-11-30T00:00:00"/>
    <n v="560"/>
    <n v="29221.5"/>
    <n v="-1861.5245"/>
    <n v="27359.9755"/>
    <n v="-720.53013698630127"/>
    <n v="26639.4453630137"/>
    <x v="0"/>
    <x v="23"/>
    <x v="6"/>
    <x v="0"/>
    <n v="25005"/>
    <n v="1634.4453630136995"/>
    <n v="6.5364741572233598E-2"/>
    <n v="915289.40328767174"/>
    <n v="14002800"/>
    <n v="14918089.403287672"/>
    <x v="0"/>
    <x v="0"/>
    <x v="5"/>
    <x v="0"/>
    <x v="0"/>
    <n v="1011.82"/>
    <n v="13366.013717854954"/>
    <n v="477.35763278053406"/>
  </r>
  <r>
    <x v="11"/>
    <x v="0"/>
    <x v="33"/>
    <d v="2024-12-16T00:00:00"/>
    <n v="2184"/>
    <x v="0"/>
    <x v="0"/>
    <d v="2024-12-16T00:00:00"/>
    <n v="28000"/>
    <n v="483"/>
    <n v="13524000"/>
    <n v="2840040"/>
    <n v="16364040"/>
    <x v="0"/>
    <x v="0"/>
    <x v="0"/>
    <n v="16364040"/>
    <d v="2025-01-05T00:00:00"/>
    <d v="2025-02-14T00:00:00"/>
    <n v="-263"/>
    <x v="9"/>
    <x v="3"/>
    <d v="2025-02-21T00:00:00"/>
    <n v="40592"/>
    <d v="2024-11-30T00:00:00"/>
    <n v="560"/>
    <n v="29221.5"/>
    <n v="-1861.5245"/>
    <n v="27359.9755"/>
    <n v="-720.53013698630127"/>
    <n v="26639.4453630137"/>
    <x v="0"/>
    <x v="23"/>
    <x v="6"/>
    <x v="0"/>
    <n v="25005"/>
    <n v="1634.4453630136995"/>
    <n v="6.5364741572233598E-2"/>
    <n v="915289.40328767174"/>
    <n v="14002800"/>
    <n v="14918089.403287672"/>
    <x v="0"/>
    <x v="0"/>
    <x v="5"/>
    <x v="0"/>
    <x v="0"/>
    <n v="1011.82"/>
    <n v="13366.013717854954"/>
    <n v="477.35763278053406"/>
  </r>
  <r>
    <x v="11"/>
    <x v="0"/>
    <x v="33"/>
    <d v="2025-01-22T00:00:00"/>
    <n v="2242"/>
    <x v="0"/>
    <x v="0"/>
    <d v="2025-01-22T00:00:00"/>
    <n v="15849.999144465546"/>
    <n v="483"/>
    <n v="7655549.5867768591"/>
    <n v="1607665.4132231404"/>
    <n v="9263215"/>
    <x v="0"/>
    <x v="0"/>
    <x v="0"/>
    <n v="9263215"/>
    <d v="2025-02-11T00:00:00"/>
    <d v="2025-03-23T00:00:00"/>
    <n v="-226"/>
    <x v="9"/>
    <x v="3"/>
    <d v="2025-03-30T00:00:00"/>
    <n v="40592"/>
    <d v="2024-11-30T00:00:00"/>
    <n v="316.9999828893109"/>
    <n v="29221.5"/>
    <n v="-1861.5245"/>
    <n v="27359.9755"/>
    <n v="-720.53013698630127"/>
    <n v="26639.4453630137"/>
    <x v="0"/>
    <x v="23"/>
    <x v="6"/>
    <x v="0"/>
    <n v="25005"/>
    <n v="1634.4453630136995"/>
    <n v="6.5364741572233598E-2"/>
    <n v="518119.1521088563"/>
    <n v="7926584.5721472194"/>
    <n v="8444703.7242560759"/>
    <x v="0"/>
    <x v="0"/>
    <x v="5"/>
    <x v="0"/>
    <x v="0"/>
    <n v="1011.82"/>
    <n v="7566.1180711755633"/>
    <n v="477.35763278053406"/>
  </r>
  <r>
    <x v="11"/>
    <x v="0"/>
    <x v="33"/>
    <d v="2025-02-28T00:00:00"/>
    <n v="2290"/>
    <x v="0"/>
    <x v="0"/>
    <d v="2025-02-28T00:00:00"/>
    <n v="28000"/>
    <n v="483"/>
    <n v="13524000"/>
    <n v="2840040"/>
    <n v="16364040"/>
    <x v="0"/>
    <x v="0"/>
    <x v="0"/>
    <n v="16364040"/>
    <d v="2025-03-20T00:00:00"/>
    <d v="2025-04-29T00:00:00"/>
    <n v="-189"/>
    <x v="9"/>
    <x v="3"/>
    <d v="2025-05-06T00:00:00"/>
    <n v="40592"/>
    <d v="2024-11-30T00:00:00"/>
    <n v="560"/>
    <n v="29221.5"/>
    <n v="-1861.5245"/>
    <n v="27359.9755"/>
    <n v="-720.53013698630127"/>
    <n v="26639.4453630137"/>
    <x v="0"/>
    <x v="23"/>
    <x v="6"/>
    <x v="0"/>
    <n v="25005"/>
    <n v="1634.4453630136995"/>
    <n v="6.5364741572233598E-2"/>
    <n v="915289.40328767174"/>
    <n v="14002800"/>
    <n v="14918089.403287672"/>
    <x v="0"/>
    <x v="0"/>
    <x v="5"/>
    <x v="0"/>
    <x v="0"/>
    <n v="1011.82"/>
    <n v="13366.013717854954"/>
    <n v="477.35763278053406"/>
  </r>
  <r>
    <x v="11"/>
    <x v="0"/>
    <x v="18"/>
    <d v="2024-12-13T00:00:00"/>
    <n v="2188"/>
    <x v="0"/>
    <x v="0"/>
    <d v="2024-12-13T00:00:00"/>
    <n v="28000"/>
    <n v="468"/>
    <n v="13104000"/>
    <n v="2751840"/>
    <n v="15855840"/>
    <x v="0"/>
    <x v="0"/>
    <x v="0"/>
    <n v="15855840"/>
    <d v="2024-12-13T00:00:00"/>
    <d v="2024-12-14T00:00:00"/>
    <n v="-325"/>
    <x v="0"/>
    <x v="0"/>
    <d v="2024-12-21T00:00:00"/>
    <n v="11667"/>
    <d v="2024-12-03T00:00:00"/>
    <n v="560"/>
    <n v="28314"/>
    <n v="-1718.442"/>
    <n v="26595.558000000001"/>
    <n v="0"/>
    <n v="26595.558000000001"/>
    <x v="0"/>
    <x v="12"/>
    <x v="0"/>
    <x v="0"/>
    <n v="24675"/>
    <n v="1920.5580000000009"/>
    <n v="7.7834164133738559E-2"/>
    <n v="1075512.4800000004"/>
    <n v="13818000"/>
    <n v="14893512.48"/>
    <x v="0"/>
    <x v="0"/>
    <x v="5"/>
    <x v="0"/>
    <x v="0"/>
    <n v="1013.1667"/>
    <n v="12933.705776157072"/>
    <n v="461.91806343418114"/>
  </r>
  <r>
    <x v="11"/>
    <x v="0"/>
    <x v="18"/>
    <d v="2024-12-17T00:00:00"/>
    <n v="2196"/>
    <x v="0"/>
    <x v="0"/>
    <d v="2024-12-17T00:00:00"/>
    <n v="28000"/>
    <n v="468"/>
    <n v="13104000"/>
    <n v="2751840"/>
    <n v="15855840"/>
    <x v="0"/>
    <x v="0"/>
    <x v="0"/>
    <n v="15855840"/>
    <d v="2024-12-17T00:00:00"/>
    <d v="2024-12-18T00:00:00"/>
    <n v="-321"/>
    <x v="0"/>
    <x v="0"/>
    <d v="2024-12-25T00:00:00"/>
    <n v="11667"/>
    <d v="2024-12-03T00:00:00"/>
    <n v="560"/>
    <n v="28314"/>
    <n v="-1718.442"/>
    <n v="26595.558000000001"/>
    <n v="0"/>
    <n v="26595.558000000001"/>
    <x v="0"/>
    <x v="12"/>
    <x v="0"/>
    <x v="0"/>
    <n v="24675"/>
    <n v="1920.5580000000009"/>
    <n v="7.7834164133738559E-2"/>
    <n v="1075512.4800000004"/>
    <n v="13818000"/>
    <n v="14893512.48"/>
    <x v="0"/>
    <x v="0"/>
    <x v="5"/>
    <x v="0"/>
    <x v="0"/>
    <n v="1013.1667"/>
    <n v="12933.705776157072"/>
    <n v="461.91806343418114"/>
  </r>
  <r>
    <x v="11"/>
    <x v="0"/>
    <x v="18"/>
    <d v="2024-12-19T00:00:00"/>
    <n v="2197"/>
    <x v="0"/>
    <x v="0"/>
    <d v="2024-12-19T00:00:00"/>
    <n v="28000"/>
    <n v="468"/>
    <n v="13104000"/>
    <n v="2751840"/>
    <n v="15855840"/>
    <x v="0"/>
    <x v="0"/>
    <x v="0"/>
    <n v="15855840"/>
    <d v="2024-12-19T00:00:00"/>
    <d v="2024-12-20T00:00:00"/>
    <n v="-319"/>
    <x v="0"/>
    <x v="0"/>
    <d v="2024-12-27T00:00:00"/>
    <n v="11667"/>
    <d v="2024-12-03T00:00:00"/>
    <n v="560"/>
    <n v="28314"/>
    <n v="-1718.442"/>
    <n v="26595.558000000001"/>
    <n v="0"/>
    <n v="26595.558000000001"/>
    <x v="0"/>
    <x v="12"/>
    <x v="0"/>
    <x v="0"/>
    <n v="24675"/>
    <n v="1920.5580000000009"/>
    <n v="7.7834164133738559E-2"/>
    <n v="1075512.4800000004"/>
    <n v="13818000"/>
    <n v="14893512.48"/>
    <x v="0"/>
    <x v="0"/>
    <x v="5"/>
    <x v="0"/>
    <x v="0"/>
    <n v="1013.1667"/>
    <n v="12933.705776157072"/>
    <n v="461.91806343418114"/>
  </r>
  <r>
    <x v="11"/>
    <x v="0"/>
    <x v="18"/>
    <d v="2024-12-20T00:00:00"/>
    <n v="2199"/>
    <x v="0"/>
    <x v="0"/>
    <d v="2024-12-20T00:00:00"/>
    <n v="28000"/>
    <n v="468"/>
    <n v="13104000"/>
    <n v="2751840"/>
    <n v="15855840"/>
    <x v="0"/>
    <x v="0"/>
    <x v="0"/>
    <n v="15855840"/>
    <d v="2024-12-20T00:00:00"/>
    <d v="2024-12-21T00:00:00"/>
    <n v="-318"/>
    <x v="0"/>
    <x v="0"/>
    <d v="2024-12-28T00:00:00"/>
    <n v="11667"/>
    <d v="2024-12-03T00:00:00"/>
    <n v="560"/>
    <n v="28314"/>
    <n v="-1718.442"/>
    <n v="26595.558000000001"/>
    <n v="0"/>
    <n v="26595.558000000001"/>
    <x v="0"/>
    <x v="12"/>
    <x v="0"/>
    <x v="0"/>
    <n v="24675"/>
    <n v="1920.5580000000009"/>
    <n v="7.7834164133738559E-2"/>
    <n v="1075512.4800000004"/>
    <n v="13818000"/>
    <n v="14893512.48"/>
    <x v="0"/>
    <x v="0"/>
    <x v="5"/>
    <x v="0"/>
    <x v="0"/>
    <n v="1013.1667"/>
    <n v="12933.705776157072"/>
    <n v="461.91806343418114"/>
  </r>
  <r>
    <x v="11"/>
    <x v="0"/>
    <x v="18"/>
    <d v="2024-12-23T00:00:00"/>
    <n v="2200"/>
    <x v="0"/>
    <x v="0"/>
    <d v="2024-12-23T00:00:00"/>
    <n v="28000"/>
    <n v="468"/>
    <n v="13104000"/>
    <n v="2751840"/>
    <n v="15855840"/>
    <x v="0"/>
    <x v="0"/>
    <x v="0"/>
    <n v="15855840"/>
    <d v="2024-12-23T00:00:00"/>
    <d v="2024-12-24T00:00:00"/>
    <n v="-315"/>
    <x v="0"/>
    <x v="0"/>
    <d v="2024-12-31T00:00:00"/>
    <n v="11667"/>
    <d v="2024-12-03T00:00:00"/>
    <n v="560"/>
    <n v="28314"/>
    <n v="-1718.442"/>
    <n v="26595.558000000001"/>
    <n v="0"/>
    <n v="26595.558000000001"/>
    <x v="0"/>
    <x v="12"/>
    <x v="0"/>
    <x v="0"/>
    <n v="24675"/>
    <n v="1920.5580000000009"/>
    <n v="7.7834164133738559E-2"/>
    <n v="1075512.4800000004"/>
    <n v="13818000"/>
    <n v="14893512.48"/>
    <x v="0"/>
    <x v="0"/>
    <x v="5"/>
    <x v="0"/>
    <x v="0"/>
    <n v="1013.1667"/>
    <n v="12933.705776157072"/>
    <n v="461.91806343418114"/>
  </r>
  <r>
    <x v="11"/>
    <x v="0"/>
    <x v="14"/>
    <d v="2024-12-10T00:00:00"/>
    <n v="2179"/>
    <x v="0"/>
    <x v="0"/>
    <d v="2024-12-10T00:00:00"/>
    <n v="27500"/>
    <n v="450"/>
    <n v="12375000"/>
    <n v="2598750"/>
    <n v="14973750"/>
    <x v="0"/>
    <x v="0"/>
    <x v="0"/>
    <n v="14973750"/>
    <d v="2024-12-15T00:00:00"/>
    <d v="2025-01-09T00:00:00"/>
    <n v="-299"/>
    <x v="10"/>
    <x v="0"/>
    <d v="2025-01-16T00:00:00"/>
    <s v="WS05/12"/>
    <d v="2024-12-05T00:00:00"/>
    <n v="550"/>
    <n v="27225"/>
    <n v="0"/>
    <n v="27225"/>
    <n v="-205.11986301369865"/>
    <n v="27019.880136986303"/>
    <x v="2"/>
    <x v="3"/>
    <x v="2"/>
    <x v="0"/>
    <n v="24450"/>
    <n v="2569.8801369863031"/>
    <n v="0.10510757206487953"/>
    <n v="1413434.0753424668"/>
    <n v="13447500"/>
    <n v="14860934.075342467"/>
    <x v="0"/>
    <x v="0"/>
    <x v="3"/>
    <x v="0"/>
    <x v="0"/>
    <n v="1013.8333"/>
    <n v="12206.148683417678"/>
    <n v="443.85995212427918"/>
  </r>
  <r>
    <x v="11"/>
    <x v="0"/>
    <x v="14"/>
    <d v="2024-12-16T00:00:00"/>
    <n v="2192"/>
    <x v="0"/>
    <x v="0"/>
    <d v="2024-12-16T00:00:00"/>
    <n v="27500"/>
    <n v="450"/>
    <n v="12375000"/>
    <n v="2598750"/>
    <n v="14973750"/>
    <x v="0"/>
    <x v="0"/>
    <x v="0"/>
    <n v="14973750"/>
    <d v="2024-12-21T00:00:00"/>
    <d v="2025-01-15T00:00:00"/>
    <n v="-293"/>
    <x v="10"/>
    <x v="0"/>
    <d v="2025-01-22T00:00:00"/>
    <s v="WS05/12"/>
    <d v="2024-12-05T00:00:00"/>
    <n v="550"/>
    <n v="27225"/>
    <n v="0"/>
    <n v="27225"/>
    <n v="-205.11986301369865"/>
    <n v="27019.880136986303"/>
    <x v="2"/>
    <x v="3"/>
    <x v="2"/>
    <x v="0"/>
    <n v="24450"/>
    <n v="2569.8801369863031"/>
    <n v="0.10510757206487953"/>
    <n v="1413434.0753424668"/>
    <n v="13447500"/>
    <n v="14860934.075342467"/>
    <x v="0"/>
    <x v="0"/>
    <x v="3"/>
    <x v="0"/>
    <x v="0"/>
    <n v="1013.8333"/>
    <n v="12206.148683417678"/>
    <n v="443.85995212427918"/>
  </r>
  <r>
    <x v="11"/>
    <x v="0"/>
    <x v="14"/>
    <d v="2025-01-31T00:00:00"/>
    <n v="2203"/>
    <x v="0"/>
    <x v="0"/>
    <d v="2025-01-31T00:00:00"/>
    <n v="27500"/>
    <n v="450"/>
    <n v="12375000"/>
    <n v="2598750"/>
    <n v="14973750"/>
    <x v="0"/>
    <x v="0"/>
    <x v="0"/>
    <n v="14973750"/>
    <d v="2025-02-05T00:00:00"/>
    <d v="2025-03-02T00:00:00"/>
    <n v="-247"/>
    <x v="10"/>
    <x v="0"/>
    <d v="2025-03-09T00:00:00"/>
    <s v="WS05/12"/>
    <d v="2024-12-05T00:00:00"/>
    <n v="550"/>
    <n v="27225"/>
    <n v="0"/>
    <n v="27225"/>
    <n v="-205.11986301369865"/>
    <n v="27019.880136986303"/>
    <x v="2"/>
    <x v="3"/>
    <x v="2"/>
    <x v="0"/>
    <n v="24450"/>
    <n v="2569.8801369863031"/>
    <n v="0.10510757206487953"/>
    <n v="1413434.0753424668"/>
    <n v="13447500"/>
    <n v="14860934.075342467"/>
    <x v="0"/>
    <x v="0"/>
    <x v="3"/>
    <x v="0"/>
    <x v="0"/>
    <n v="1013.8333"/>
    <n v="12206.148683417678"/>
    <n v="443.85995212427918"/>
  </r>
  <r>
    <x v="11"/>
    <x v="0"/>
    <x v="31"/>
    <d v="2024-12-30T00:00:00"/>
    <n v="2202"/>
    <x v="0"/>
    <x v="0"/>
    <d v="2024-12-30T00:00:00"/>
    <n v="30000"/>
    <n v="492"/>
    <n v="14760000"/>
    <n v="3099600"/>
    <n v="17859600"/>
    <x v="0"/>
    <x v="0"/>
    <x v="0"/>
    <n v="17859600"/>
    <d v="2024-12-30T00:00:00"/>
    <d v="2025-02-13T00:00:00"/>
    <n v="-264"/>
    <x v="0"/>
    <x v="7"/>
    <d v="2025-02-20T00:00:00"/>
    <s v="WS 06/12"/>
    <d v="2024-12-06T00:00:00"/>
    <n v="600"/>
    <n v="29766"/>
    <n v="-2745.7924999999996"/>
    <n v="27020.2075"/>
    <n v="0"/>
    <n v="27020.2075"/>
    <x v="0"/>
    <x v="9"/>
    <x v="1"/>
    <x v="0"/>
    <n v="24370"/>
    <n v="2650.2075000000004"/>
    <n v="0.10874876897825203"/>
    <n v="1590124.5000000002"/>
    <n v="14622000"/>
    <n v="16212124.5"/>
    <x v="0"/>
    <x v="0"/>
    <x v="3"/>
    <x v="0"/>
    <x v="0"/>
    <n v="1015.75"/>
    <n v="14531.13462958405"/>
    <n v="484.37115431946836"/>
  </r>
  <r>
    <x v="11"/>
    <x v="0"/>
    <x v="19"/>
    <d v="2024-12-16T00:00:00"/>
    <n v="2183"/>
    <x v="0"/>
    <x v="0"/>
    <d v="2024-12-16T00:00:00"/>
    <n v="27500"/>
    <n v="498"/>
    <n v="13695000"/>
    <n v="2875950"/>
    <n v="16570950"/>
    <x v="0"/>
    <x v="0"/>
    <x v="0"/>
    <n v="16570950"/>
    <d v="2024-12-16T00:00:00"/>
    <d v="2025-01-15T00:00:00"/>
    <n v="-293"/>
    <x v="0"/>
    <x v="0"/>
    <d v="2025-01-22T00:00:00"/>
    <n v="6375"/>
    <d v="2024-12-09T00:00:00"/>
    <n v="550"/>
    <n v="30129"/>
    <n v="-2746.8815"/>
    <n v="27382.1185"/>
    <n v="0"/>
    <n v="27382.1185"/>
    <x v="2"/>
    <x v="13"/>
    <x v="5"/>
    <x v="0"/>
    <n v="24220"/>
    <n v="3162.1185000000005"/>
    <n v="0.13055815441783647"/>
    <n v="1739165.1750000003"/>
    <n v="13321000"/>
    <n v="15060165.175000001"/>
    <x v="0"/>
    <x v="0"/>
    <x v="3"/>
    <x v="0"/>
    <x v="0"/>
    <n v="1016.75"/>
    <n v="13469.387755102041"/>
    <n v="489.79591836734699"/>
  </r>
  <r>
    <x v="11"/>
    <x v="0"/>
    <x v="28"/>
    <d v="2024-12-20T00:00:00"/>
    <n v="2186"/>
    <x v="0"/>
    <x v="0"/>
    <d v="2024-12-20T00:00:00"/>
    <n v="28000"/>
    <n v="485"/>
    <n v="13580000"/>
    <n v="2851800"/>
    <n v="16431800"/>
    <x v="0"/>
    <x v="0"/>
    <x v="0"/>
    <n v="16431800"/>
    <d v="2024-12-20T00:00:00"/>
    <d v="2025-01-19T00:00:00"/>
    <n v="-289"/>
    <x v="0"/>
    <x v="0"/>
    <d v="2025-01-26T00:00:00"/>
    <s v="WS 10/12"/>
    <d v="2024-12-10T00:00:00"/>
    <n v="560"/>
    <n v="29342.5"/>
    <n v="-2744.5219999999999"/>
    <n v="26597.977999999999"/>
    <n v="0"/>
    <n v="26597.977999999999"/>
    <x v="0"/>
    <x v="18"/>
    <x v="1"/>
    <x v="0"/>
    <n v="24170"/>
    <n v="2427.9779999999992"/>
    <n v="0.1004541994207695"/>
    <n v="1359667.6799999995"/>
    <n v="13535200"/>
    <n v="14894867.68"/>
    <x v="0"/>
    <x v="0"/>
    <x v="3"/>
    <x v="0"/>
    <x v="0"/>
    <n v="1017.25"/>
    <n v="13349.717375276481"/>
    <n v="476.77562054558859"/>
  </r>
  <r>
    <x v="11"/>
    <x v="0"/>
    <x v="28"/>
    <d v="2024-12-20T00:00:00"/>
    <n v="2198"/>
    <x v="0"/>
    <x v="0"/>
    <d v="2024-12-20T00:00:00"/>
    <n v="28000"/>
    <n v="485"/>
    <n v="13580000"/>
    <n v="2851800"/>
    <n v="16431800"/>
    <x v="0"/>
    <x v="0"/>
    <x v="0"/>
    <n v="16431800"/>
    <d v="2024-12-20T00:00:00"/>
    <d v="2025-01-19T00:00:00"/>
    <n v="-289"/>
    <x v="0"/>
    <x v="0"/>
    <d v="2025-01-26T00:00:00"/>
    <s v="WS 10/12"/>
    <d v="2024-12-10T00:00:00"/>
    <n v="560"/>
    <n v="29342.5"/>
    <n v="-2744.5219999999999"/>
    <n v="26597.977999999999"/>
    <n v="0"/>
    <n v="26597.977999999999"/>
    <x v="0"/>
    <x v="18"/>
    <x v="1"/>
    <x v="0"/>
    <n v="24170"/>
    <n v="2427.9779999999992"/>
    <n v="0.1004541994207695"/>
    <n v="1359667.6799999995"/>
    <n v="13535200"/>
    <n v="14894867.68"/>
    <x v="0"/>
    <x v="0"/>
    <x v="3"/>
    <x v="0"/>
    <x v="0"/>
    <n v="1017.25"/>
    <n v="13349.717375276481"/>
    <n v="476.77562054558859"/>
  </r>
  <r>
    <x v="11"/>
    <x v="0"/>
    <x v="28"/>
    <d v="2025-01-29T00:00:00"/>
    <n v="2231"/>
    <x v="0"/>
    <x v="0"/>
    <d v="2025-01-29T00:00:00"/>
    <n v="28000"/>
    <n v="485"/>
    <n v="13580000"/>
    <n v="2851800"/>
    <n v="16431800"/>
    <x v="0"/>
    <x v="0"/>
    <x v="0"/>
    <n v="16431800"/>
    <d v="2025-01-29T00:00:00"/>
    <d v="2025-02-28T00:00:00"/>
    <n v="-249"/>
    <x v="0"/>
    <x v="0"/>
    <d v="2025-03-07T00:00:00"/>
    <s v="WS 10/12"/>
    <d v="2024-12-10T00:00:00"/>
    <n v="560"/>
    <n v="29342.5"/>
    <n v="-2744.5219999999999"/>
    <n v="26597.977999999999"/>
    <n v="0"/>
    <n v="26597.977999999999"/>
    <x v="0"/>
    <x v="19"/>
    <x v="1"/>
    <x v="0"/>
    <n v="24170"/>
    <n v="2427.9779999999992"/>
    <n v="0.1004541994207695"/>
    <n v="1359667.6799999995"/>
    <n v="13535200"/>
    <n v="14894867.68"/>
    <x v="0"/>
    <x v="0"/>
    <x v="3"/>
    <x v="0"/>
    <x v="0"/>
    <n v="1017.25"/>
    <n v="13349.717375276481"/>
    <n v="476.77562054558859"/>
  </r>
  <r>
    <x v="11"/>
    <x v="0"/>
    <x v="16"/>
    <d v="2024-12-17T00:00:00"/>
    <n v="2190"/>
    <x v="0"/>
    <x v="0"/>
    <d v="2024-12-17T00:00:00"/>
    <n v="28000"/>
    <n v="440"/>
    <n v="12320000"/>
    <n v="2587200"/>
    <n v="14907200"/>
    <x v="0"/>
    <x v="0"/>
    <x v="0"/>
    <n v="14907200"/>
    <d v="2024-12-24T00:00:00"/>
    <d v="2025-01-16T00:00:00"/>
    <n v="-292"/>
    <x v="3"/>
    <x v="0"/>
    <d v="2025-01-23T00:00:00"/>
    <n v="15166"/>
    <d v="2024-12-12T00:00:00"/>
    <n v="560"/>
    <n v="26620"/>
    <n v="-2735.81"/>
    <n v="23884.19"/>
    <n v="-280.786301369863"/>
    <n v="23603.403698630136"/>
    <x v="0"/>
    <x v="9"/>
    <x v="1"/>
    <x v="0"/>
    <n v="24070"/>
    <n v="-466.5963013698638"/>
    <n v="-1.9384973052341659E-2"/>
    <n v="-261293.92876712373"/>
    <n v="13479200"/>
    <n v="13217906.071232876"/>
    <x v="0"/>
    <x v="0"/>
    <x v="3"/>
    <x v="0"/>
    <x v="0"/>
    <n v="1018.75"/>
    <n v="12093.251533742332"/>
    <n v="431.90184049079755"/>
  </r>
  <r>
    <x v="11"/>
    <x v="0"/>
    <x v="18"/>
    <d v="2024-12-27T00:00:00"/>
    <n v="2201"/>
    <x v="0"/>
    <x v="0"/>
    <d v="2024-12-27T00:00:00"/>
    <n v="28000"/>
    <n v="435"/>
    <n v="12180000"/>
    <n v="2557800"/>
    <n v="14737800"/>
    <x v="0"/>
    <x v="0"/>
    <x v="0"/>
    <n v="14737800"/>
    <d v="2024-12-27T00:00:00"/>
    <d v="2024-12-28T00:00:00"/>
    <n v="-311"/>
    <x v="0"/>
    <x v="0"/>
    <d v="2025-01-04T00:00:00"/>
    <n v="11692"/>
    <d v="2024-12-13T00:00:00"/>
    <n v="560"/>
    <n v="26317.5"/>
    <n v="-1712.4524999999999"/>
    <n v="24605.047500000001"/>
    <n v="0"/>
    <n v="24605.047500000001"/>
    <x v="0"/>
    <x v="12"/>
    <x v="0"/>
    <x v="0"/>
    <n v="24020"/>
    <n v="585.04750000000058"/>
    <n v="2.4356681931723578E-2"/>
    <n v="327626.60000000033"/>
    <n v="13451200"/>
    <n v="13778826.6"/>
    <x v="0"/>
    <x v="0"/>
    <x v="3"/>
    <x v="0"/>
    <x v="0"/>
    <n v="1020.75"/>
    <n v="11932.402645113887"/>
    <n v="426.15723732549594"/>
  </r>
  <r>
    <x v="11"/>
    <x v="0"/>
    <x v="18"/>
    <d v="2025-01-03T00:00:00"/>
    <n v="2204"/>
    <x v="0"/>
    <x v="0"/>
    <d v="2025-01-03T00:00:00"/>
    <n v="28000"/>
    <n v="435"/>
    <n v="12180000"/>
    <n v="2557800"/>
    <n v="14737800"/>
    <x v="0"/>
    <x v="0"/>
    <x v="0"/>
    <n v="14737800"/>
    <d v="2025-01-03T00:00:00"/>
    <d v="2025-01-04T00:00:00"/>
    <n v="-304"/>
    <x v="0"/>
    <x v="0"/>
    <d v="2025-01-11T00:00:00"/>
    <n v="11692"/>
    <d v="2024-12-13T00:00:00"/>
    <n v="560"/>
    <n v="26317.5"/>
    <n v="-1712.4524999999999"/>
    <n v="24605.047500000001"/>
    <n v="0"/>
    <n v="24605.047500000001"/>
    <x v="0"/>
    <x v="12"/>
    <x v="0"/>
    <x v="0"/>
    <n v="24020"/>
    <n v="585.04750000000058"/>
    <n v="2.4356681931723578E-2"/>
    <n v="327626.60000000033"/>
    <n v="13451200"/>
    <n v="13778826.6"/>
    <x v="0"/>
    <x v="0"/>
    <x v="3"/>
    <x v="0"/>
    <x v="0"/>
    <n v="1020.75"/>
    <n v="11932.402645113887"/>
    <n v="426.15723732549594"/>
  </r>
  <r>
    <x v="11"/>
    <x v="0"/>
    <x v="18"/>
    <d v="2025-01-07T00:00:00"/>
    <n v="2206"/>
    <x v="0"/>
    <x v="0"/>
    <d v="2025-01-07T00:00:00"/>
    <n v="28000"/>
    <n v="435"/>
    <n v="12180000"/>
    <n v="2557800"/>
    <n v="14737800"/>
    <x v="0"/>
    <x v="0"/>
    <x v="0"/>
    <n v="14737800"/>
    <d v="2025-01-07T00:00:00"/>
    <d v="2025-01-08T00:00:00"/>
    <n v="-300"/>
    <x v="0"/>
    <x v="0"/>
    <d v="2025-01-15T00:00:00"/>
    <n v="11692"/>
    <d v="2024-12-13T00:00:00"/>
    <n v="560"/>
    <n v="26317.5"/>
    <n v="-1712.4524999999999"/>
    <n v="24605.047500000001"/>
    <n v="0"/>
    <n v="24605.047500000001"/>
    <x v="0"/>
    <x v="12"/>
    <x v="0"/>
    <x v="0"/>
    <n v="24020"/>
    <n v="585.04750000000058"/>
    <n v="2.4356681931723578E-2"/>
    <n v="327626.60000000033"/>
    <n v="13451200"/>
    <n v="13778826.6"/>
    <x v="0"/>
    <x v="0"/>
    <x v="3"/>
    <x v="0"/>
    <x v="0"/>
    <n v="1020.75"/>
    <n v="11932.402645113887"/>
    <n v="426.15723732549594"/>
  </r>
  <r>
    <x v="11"/>
    <x v="0"/>
    <x v="18"/>
    <d v="2025-01-09T00:00:00"/>
    <n v="2211"/>
    <x v="0"/>
    <x v="0"/>
    <d v="2025-01-09T00:00:00"/>
    <n v="28000"/>
    <n v="435"/>
    <n v="12180000"/>
    <n v="2557800"/>
    <n v="14737800"/>
    <x v="0"/>
    <x v="0"/>
    <x v="0"/>
    <n v="14737800"/>
    <d v="2025-01-09T00:00:00"/>
    <d v="2025-01-10T00:00:00"/>
    <n v="-298"/>
    <x v="0"/>
    <x v="0"/>
    <d v="2025-01-17T00:00:00"/>
    <n v="11692"/>
    <d v="2024-12-13T00:00:00"/>
    <n v="560"/>
    <n v="26317.5"/>
    <n v="-1712.4524999999999"/>
    <n v="24605.047500000001"/>
    <n v="0"/>
    <n v="24605.047500000001"/>
    <x v="0"/>
    <x v="12"/>
    <x v="0"/>
    <x v="0"/>
    <n v="24020"/>
    <n v="585.04750000000058"/>
    <n v="2.4356681931723578E-2"/>
    <n v="327626.60000000033"/>
    <n v="13451200"/>
    <n v="13778826.6"/>
    <x v="0"/>
    <x v="0"/>
    <x v="3"/>
    <x v="0"/>
    <x v="0"/>
    <n v="1020.75"/>
    <n v="11932.402645113887"/>
    <n v="426.15723732549594"/>
  </r>
  <r>
    <x v="11"/>
    <x v="0"/>
    <x v="18"/>
    <d v="2025-01-10T00:00:00"/>
    <n v="2212"/>
    <x v="0"/>
    <x v="0"/>
    <d v="2024-01-10T00:00:00"/>
    <n v="28000"/>
    <n v="435"/>
    <n v="12180000"/>
    <n v="2557800"/>
    <n v="14737800"/>
    <x v="0"/>
    <x v="0"/>
    <x v="0"/>
    <n v="14737800"/>
    <d v="2025-01-10T00:00:00"/>
    <d v="2025-01-11T00:00:00"/>
    <n v="-297"/>
    <x v="0"/>
    <x v="0"/>
    <d v="2025-01-18T00:00:00"/>
    <n v="11692"/>
    <d v="2024-12-13T00:00:00"/>
    <n v="560"/>
    <n v="26317.5"/>
    <n v="-1712.4524999999999"/>
    <n v="24605.047500000001"/>
    <n v="0"/>
    <n v="24605.047500000001"/>
    <x v="0"/>
    <x v="12"/>
    <x v="0"/>
    <x v="0"/>
    <n v="24020"/>
    <n v="585.04750000000058"/>
    <n v="2.4356681931723578E-2"/>
    <n v="327626.60000000033"/>
    <n v="13451200"/>
    <n v="13778826.6"/>
    <x v="0"/>
    <x v="0"/>
    <x v="3"/>
    <x v="0"/>
    <x v="0"/>
    <n v="1020.75"/>
    <n v="11932.402645113887"/>
    <n v="426.15723732549594"/>
  </r>
  <r>
    <x v="11"/>
    <x v="0"/>
    <x v="30"/>
    <d v="2025-01-07T00:00:00"/>
    <n v="2207"/>
    <x v="0"/>
    <x v="0"/>
    <d v="2025-01-07T00:00:00"/>
    <n v="28000"/>
    <n v="440"/>
    <n v="12320000"/>
    <n v="2587200"/>
    <n v="14907200"/>
    <x v="0"/>
    <x v="0"/>
    <x v="0"/>
    <n v="14907200"/>
    <d v="2025-01-14T00:00:00"/>
    <d v="2025-02-06T00:00:00"/>
    <n v="-271"/>
    <x v="3"/>
    <x v="7"/>
    <d v="2025-02-13T00:00:00"/>
    <s v="WS 20/12"/>
    <d v="2024-12-20T00:00:00"/>
    <n v="560"/>
    <n v="26620"/>
    <n v="-1903.9349999999999"/>
    <n v="24716.064999999999"/>
    <n v="-229.7342465753425"/>
    <n v="24486.330753424656"/>
    <x v="0"/>
    <x v="21"/>
    <x v="0"/>
    <x v="0"/>
    <n v="23670"/>
    <n v="816.330753424656"/>
    <n v="3.4487991272693641E-2"/>
    <n v="457145.22191780736"/>
    <n v="13255200"/>
    <n v="13712345.221917808"/>
    <x v="0"/>
    <x v="0"/>
    <x v="3"/>
    <x v="0"/>
    <x v="0"/>
    <n v="1025.4167"/>
    <n v="12014.627809357893"/>
    <n v="429.09385033421046"/>
  </r>
  <r>
    <x v="11"/>
    <x v="0"/>
    <x v="30"/>
    <d v="2025-01-13T00:00:00"/>
    <n v="2213"/>
    <x v="0"/>
    <x v="0"/>
    <d v="2025-01-13T00:00:00"/>
    <n v="28000"/>
    <n v="440"/>
    <n v="12320000"/>
    <n v="2587200"/>
    <n v="14907200"/>
    <x v="0"/>
    <x v="0"/>
    <x v="0"/>
    <n v="14907200"/>
    <d v="2025-01-20T00:00:00"/>
    <d v="2025-02-12T00:00:00"/>
    <n v="-265"/>
    <x v="3"/>
    <x v="7"/>
    <d v="2025-02-19T00:00:00"/>
    <s v="WS 20/12"/>
    <d v="2024-12-20T00:00:00"/>
    <n v="560"/>
    <n v="26620"/>
    <n v="-1903.9349999999999"/>
    <n v="24716.064999999999"/>
    <n v="-229.7342465753425"/>
    <n v="24486.330753424656"/>
    <x v="0"/>
    <x v="21"/>
    <x v="0"/>
    <x v="0"/>
    <n v="23670"/>
    <n v="816.330753424656"/>
    <n v="3.4487991272693641E-2"/>
    <n v="457145.22191780736"/>
    <n v="13255200"/>
    <n v="13712345.221917808"/>
    <x v="0"/>
    <x v="0"/>
    <x v="3"/>
    <x v="0"/>
    <x v="0"/>
    <n v="1025.4167"/>
    <n v="12014.627809357893"/>
    <n v="429.09385033421046"/>
  </r>
  <r>
    <x v="11"/>
    <x v="0"/>
    <x v="30"/>
    <d v="2025-01-15T00:00:00"/>
    <n v="2215"/>
    <x v="0"/>
    <x v="0"/>
    <d v="2025-01-15T00:00:00"/>
    <n v="28000"/>
    <n v="440"/>
    <n v="12320000"/>
    <n v="2587200"/>
    <n v="14907200"/>
    <x v="0"/>
    <x v="0"/>
    <x v="0"/>
    <n v="14907200"/>
    <d v="2025-01-22T00:00:00"/>
    <d v="2025-02-14T00:00:00"/>
    <n v="-263"/>
    <x v="3"/>
    <x v="7"/>
    <d v="2025-02-21T00:00:00"/>
    <s v="WS 20/12"/>
    <d v="2024-12-20T00:00:00"/>
    <n v="560"/>
    <n v="26620"/>
    <n v="-1903.9349999999999"/>
    <n v="24716.064999999999"/>
    <n v="-229.7342465753425"/>
    <n v="24486.330753424656"/>
    <x v="0"/>
    <x v="21"/>
    <x v="0"/>
    <x v="0"/>
    <n v="23670"/>
    <n v="816.330753424656"/>
    <n v="3.4487991272693641E-2"/>
    <n v="457145.22191780736"/>
    <n v="13255200"/>
    <n v="13712345.221917808"/>
    <x v="0"/>
    <x v="0"/>
    <x v="3"/>
    <x v="0"/>
    <x v="0"/>
    <n v="1025.4167"/>
    <n v="12014.627809357893"/>
    <n v="429.09385033421046"/>
  </r>
  <r>
    <x v="11"/>
    <x v="0"/>
    <x v="30"/>
    <d v="2025-01-20T00:00:00"/>
    <n v="2219"/>
    <x v="0"/>
    <x v="0"/>
    <d v="2025-01-20T00:00:00"/>
    <n v="28000"/>
    <n v="440"/>
    <n v="12320000"/>
    <n v="2587200"/>
    <n v="14907200"/>
    <x v="0"/>
    <x v="0"/>
    <x v="0"/>
    <n v="14907200"/>
    <d v="2025-01-27T00:00:00"/>
    <d v="2025-02-19T00:00:00"/>
    <n v="-258"/>
    <x v="3"/>
    <x v="7"/>
    <d v="2025-02-26T00:00:00"/>
    <s v="WS 20/12"/>
    <d v="2024-12-20T00:00:00"/>
    <n v="560"/>
    <n v="26620"/>
    <n v="-1903.9349999999999"/>
    <n v="24716.064999999999"/>
    <n v="-229.7342465753425"/>
    <n v="24486.330753424656"/>
    <x v="0"/>
    <x v="21"/>
    <x v="0"/>
    <x v="0"/>
    <n v="23670"/>
    <n v="816.330753424656"/>
    <n v="3.4487991272693641E-2"/>
    <n v="457145.22191780736"/>
    <n v="13255200"/>
    <n v="13712345.221917808"/>
    <x v="0"/>
    <x v="0"/>
    <x v="3"/>
    <x v="0"/>
    <x v="0"/>
    <n v="1025.4167"/>
    <n v="12014.627809357893"/>
    <n v="429.09385033421046"/>
  </r>
  <r>
    <x v="11"/>
    <x v="0"/>
    <x v="30"/>
    <d v="2025-01-22T00:00:00"/>
    <n v="2221"/>
    <x v="0"/>
    <x v="0"/>
    <d v="2025-01-22T00:00:00"/>
    <n v="28000"/>
    <n v="440"/>
    <n v="12320000"/>
    <n v="2587200"/>
    <n v="14907200"/>
    <x v="0"/>
    <x v="0"/>
    <x v="0"/>
    <n v="14907200"/>
    <d v="2025-01-29T00:00:00"/>
    <d v="2025-02-21T00:00:00"/>
    <n v="-256"/>
    <x v="3"/>
    <x v="7"/>
    <d v="2025-02-28T00:00:00"/>
    <s v="WS 20/12"/>
    <d v="2024-12-20T00:00:00"/>
    <n v="560"/>
    <n v="26620"/>
    <n v="-1903.9349999999999"/>
    <n v="24716.064999999999"/>
    <n v="-229.7342465753425"/>
    <n v="24486.330753424656"/>
    <x v="0"/>
    <x v="21"/>
    <x v="0"/>
    <x v="0"/>
    <n v="23670"/>
    <n v="816.330753424656"/>
    <n v="3.4487991272693641E-2"/>
    <n v="457145.22191780736"/>
    <n v="13255200"/>
    <n v="13712345.221917808"/>
    <x v="0"/>
    <x v="0"/>
    <x v="3"/>
    <x v="0"/>
    <x v="0"/>
    <n v="1025.4167"/>
    <n v="12014.627809357893"/>
    <n v="429.09385033421046"/>
  </r>
  <r>
    <x v="11"/>
    <x v="0"/>
    <x v="15"/>
    <d v="2025-01-09T00:00:00"/>
    <n v="2208"/>
    <x v="0"/>
    <x v="0"/>
    <d v="2025-01-09T00:00:00"/>
    <n v="28000"/>
    <n v="460"/>
    <n v="12880000"/>
    <n v="2704800"/>
    <n v="15584800"/>
    <x v="0"/>
    <x v="0"/>
    <x v="0"/>
    <n v="15584800"/>
    <d v="2025-01-09T00:00:00"/>
    <d v="2025-02-08T00:00:00"/>
    <n v="-269"/>
    <x v="0"/>
    <x v="4"/>
    <d v="2025-02-15T00:00:00"/>
    <s v="WP 27/12"/>
    <d v="2024-12-27T00:00:00"/>
    <n v="560"/>
    <n v="27830"/>
    <n v="-2739.9844999999996"/>
    <n v="25090.015500000001"/>
    <n v="0"/>
    <n v="25090.015500000001"/>
    <x v="0"/>
    <x v="8"/>
    <x v="1"/>
    <x v="0"/>
    <n v="23335"/>
    <n v="1755.0155000000013"/>
    <n v="7.5209577887293877E-2"/>
    <n v="982808.68000000075"/>
    <n v="13067600"/>
    <n v="14050408.680000002"/>
    <x v="0"/>
    <x v="0"/>
    <x v="3"/>
    <x v="0"/>
    <x v="0"/>
    <n v="1030.5"/>
    <n v="12498.786996603591"/>
    <n v="446.38524987869965"/>
  </r>
  <r>
    <x v="11"/>
    <x v="0"/>
    <x v="15"/>
    <d v="2025-01-13T00:00:00"/>
    <n v="2214"/>
    <x v="0"/>
    <x v="0"/>
    <d v="2025-01-13T00:00:00"/>
    <n v="28000"/>
    <n v="460"/>
    <n v="12880000"/>
    <n v="2704800"/>
    <n v="15584800"/>
    <x v="0"/>
    <x v="0"/>
    <x v="0"/>
    <n v="15584800"/>
    <d v="2025-01-13T00:00:00"/>
    <d v="2025-02-12T00:00:00"/>
    <n v="-265"/>
    <x v="0"/>
    <x v="4"/>
    <d v="2025-02-19T00:00:00"/>
    <s v="WP 27/12"/>
    <d v="2024-12-27T00:00:00"/>
    <n v="560"/>
    <n v="27830"/>
    <n v="-2739.9844999999996"/>
    <n v="25090.015500000001"/>
    <n v="0"/>
    <n v="25090.015500000001"/>
    <x v="0"/>
    <x v="8"/>
    <x v="1"/>
    <x v="0"/>
    <n v="23335"/>
    <n v="1755.0155000000013"/>
    <n v="7.5209577887293877E-2"/>
    <n v="982808.68000000075"/>
    <n v="13067600"/>
    <n v="14050408.680000002"/>
    <x v="0"/>
    <x v="0"/>
    <x v="3"/>
    <x v="0"/>
    <x v="0"/>
    <n v="1030.5"/>
    <n v="12498.786996603591"/>
    <n v="446.38524987869965"/>
  </r>
  <r>
    <x v="11"/>
    <x v="0"/>
    <x v="15"/>
    <d v="2025-01-17T00:00:00"/>
    <n v="2217"/>
    <x v="0"/>
    <x v="0"/>
    <d v="2025-01-17T00:00:00"/>
    <n v="28000"/>
    <n v="460"/>
    <n v="12880000"/>
    <n v="2704800"/>
    <n v="15584800"/>
    <x v="0"/>
    <x v="0"/>
    <x v="0"/>
    <n v="15584800"/>
    <d v="2025-01-17T00:00:00"/>
    <d v="2025-02-16T00:00:00"/>
    <n v="-261"/>
    <x v="0"/>
    <x v="4"/>
    <d v="2025-02-23T00:00:00"/>
    <s v="WP 27/12"/>
    <d v="2024-12-27T00:00:00"/>
    <n v="560"/>
    <n v="27830"/>
    <n v="-2739.9844999999996"/>
    <n v="25090.015500000001"/>
    <n v="0"/>
    <n v="25090.015500000001"/>
    <x v="0"/>
    <x v="8"/>
    <x v="1"/>
    <x v="0"/>
    <n v="23335"/>
    <n v="1755.0155000000013"/>
    <n v="7.5209577887293877E-2"/>
    <n v="982808.68000000075"/>
    <n v="13067600"/>
    <n v="14050408.680000002"/>
    <x v="0"/>
    <x v="0"/>
    <x v="5"/>
    <x v="0"/>
    <x v="0"/>
    <n v="1030.5"/>
    <n v="12498.786996603591"/>
    <n v="446.38524987869965"/>
  </r>
  <r>
    <x v="12"/>
    <x v="0"/>
    <x v="1"/>
    <d v="2025-01-03T00:00:00"/>
    <n v="2205"/>
    <x v="0"/>
    <x v="0"/>
    <d v="2025-01-20T00:00:00"/>
    <n v="28000"/>
    <n v="499"/>
    <n v="13972000"/>
    <n v="2934120"/>
    <n v="16906120"/>
    <x v="0"/>
    <x v="0"/>
    <x v="0"/>
    <n v="16906120"/>
    <d v="2025-01-03T00:00:00"/>
    <d v="2025-02-17T00:00:00"/>
    <n v="-260"/>
    <x v="0"/>
    <x v="0"/>
    <d v="2025-02-24T00:00:00"/>
    <n v="3011004"/>
    <d v="2025-01-03T00:00:00"/>
    <n v="560"/>
    <n v="30189.5"/>
    <n v="-3547.5384999999997"/>
    <n v="26641.961500000001"/>
    <n v="0"/>
    <n v="26641.961500000001"/>
    <x v="1"/>
    <x v="2"/>
    <x v="1"/>
    <x v="0"/>
    <n v="23265"/>
    <n v="3376.9615000000013"/>
    <n v="0.14515200945626483"/>
    <n v="1891098.4400000006"/>
    <n v="13028400"/>
    <n v="14919498.440000001"/>
    <x v="0"/>
    <x v="0"/>
    <x v="5"/>
    <x v="0"/>
    <x v="0"/>
    <n v="1034.75"/>
    <n v="13502.778448900701"/>
    <n v="482.2420874607393"/>
  </r>
  <r>
    <x v="12"/>
    <x v="0"/>
    <x v="3"/>
    <d v="2025-03-10T00:00:00"/>
    <n v="2317"/>
    <x v="0"/>
    <x v="0"/>
    <d v="2025-03-10T00:00:00"/>
    <n v="28000"/>
    <n v="495"/>
    <n v="13860000"/>
    <n v="2910600"/>
    <n v="16770600"/>
    <x v="0"/>
    <x v="1"/>
    <x v="0"/>
    <n v="16770600"/>
    <d v="2025-04-09T00:00:00"/>
    <d v="2025-04-09T00:00:00"/>
    <n v="-209"/>
    <x v="2"/>
    <x v="0"/>
    <d v="2025-04-16T00:00:00"/>
    <s v="WS 03/01/25"/>
    <d v="2025-01-03T00:00:00"/>
    <n v="560"/>
    <n v="29947.5"/>
    <n v="-2229.0620000000004"/>
    <n v="27718.437999999998"/>
    <n v="-1353.7910958904108"/>
    <n v="26364.646904109588"/>
    <x v="0"/>
    <x v="3"/>
    <x v="2"/>
    <x v="0"/>
    <n v="23265"/>
    <n v="3099.6469041095879"/>
    <n v="0.13323219016159848"/>
    <n v="1735802.2663013693"/>
    <n v="13028400"/>
    <n v="14764202.266301369"/>
    <x v="0"/>
    <x v="0"/>
    <x v="3"/>
    <x v="0"/>
    <x v="0"/>
    <n v="1034.75"/>
    <n v="13394.539743899493"/>
    <n v="478.37641942498192"/>
  </r>
  <r>
    <x v="12"/>
    <x v="0"/>
    <x v="15"/>
    <d v="2025-01-23T00:00:00"/>
    <n v="2223"/>
    <x v="0"/>
    <x v="0"/>
    <d v="2025-01-23T00:00:00"/>
    <n v="28000"/>
    <n v="460"/>
    <n v="12880000"/>
    <n v="2704800"/>
    <n v="15584800"/>
    <x v="0"/>
    <x v="0"/>
    <x v="0"/>
    <n v="15584800"/>
    <d v="2025-01-23T00:00:00"/>
    <d v="2025-02-22T00:00:00"/>
    <n v="-255"/>
    <x v="0"/>
    <x v="4"/>
    <d v="2025-03-01T00:00:00"/>
    <s v="WP 09/01"/>
    <d v="2025-01-09T00:00:00"/>
    <n v="560"/>
    <n v="27830"/>
    <n v="-2739.9844999999996"/>
    <n v="25090.015500000001"/>
    <n v="0"/>
    <n v="25090.015500000001"/>
    <x v="0"/>
    <x v="8"/>
    <x v="1"/>
    <x v="0"/>
    <n v="23228"/>
    <n v="1862.0155000000013"/>
    <n v="8.0162540898915058E-2"/>
    <n v="1042728.6800000007"/>
    <n v="13007680"/>
    <n v="14050408.680000002"/>
    <x v="0"/>
    <x v="0"/>
    <x v="3"/>
    <x v="0"/>
    <x v="0"/>
    <n v="1037.75"/>
    <n v="12411.467116357504"/>
    <n v="443.26668272705371"/>
  </r>
  <r>
    <x v="12"/>
    <x v="0"/>
    <x v="18"/>
    <d v="2025-01-22T00:00:00"/>
    <n v="2222"/>
    <x v="0"/>
    <x v="0"/>
    <d v="2025-01-22T00:00:00"/>
    <n v="28000"/>
    <n v="420"/>
    <n v="11760000"/>
    <n v="2469600"/>
    <n v="14229600"/>
    <x v="0"/>
    <x v="0"/>
    <x v="0"/>
    <n v="14229600"/>
    <d v="2025-01-22T00:00:00"/>
    <d v="2025-01-23T00:00:00"/>
    <n v="-285"/>
    <x v="0"/>
    <x v="0"/>
    <d v="2025-01-30T00:00:00"/>
    <n v="11752"/>
    <d v="2025-01-10T00:00:00"/>
    <n v="560"/>
    <n v="25410"/>
    <n v="-1709.73"/>
    <n v="23700.27"/>
    <n v="0"/>
    <n v="23700.27"/>
    <x v="0"/>
    <x v="12"/>
    <x v="0"/>
    <x v="0"/>
    <n v="23241"/>
    <n v="459.27000000000044"/>
    <n v="1.9761197883051418E-2"/>
    <n v="257191.20000000024"/>
    <n v="13014960"/>
    <n v="13272151.200000001"/>
    <x v="0"/>
    <x v="0"/>
    <x v="5"/>
    <x v="0"/>
    <x v="0"/>
    <n v="1039.75"/>
    <n v="11310.411156528011"/>
    <n v="403.94325559028613"/>
  </r>
  <r>
    <x v="12"/>
    <x v="0"/>
    <x v="18"/>
    <d v="2025-01-23T00:00:00"/>
    <n v="2225"/>
    <x v="0"/>
    <x v="0"/>
    <d v="2025-01-23T00:00:00"/>
    <n v="28000"/>
    <n v="420"/>
    <n v="11760000"/>
    <n v="2469600"/>
    <n v="14229600"/>
    <x v="0"/>
    <x v="0"/>
    <x v="0"/>
    <n v="14229600"/>
    <d v="2025-01-23T00:00:00"/>
    <d v="2025-01-24T00:00:00"/>
    <n v="-284"/>
    <x v="0"/>
    <x v="0"/>
    <d v="2025-01-31T00:00:00"/>
    <n v="11752"/>
    <d v="2025-01-10T00:00:00"/>
    <n v="560"/>
    <n v="25410"/>
    <n v="-1709.73"/>
    <n v="23700.27"/>
    <n v="0"/>
    <n v="23700.27"/>
    <x v="0"/>
    <x v="12"/>
    <x v="0"/>
    <x v="0"/>
    <n v="23241"/>
    <n v="459.27000000000044"/>
    <n v="1.9761197883051418E-2"/>
    <n v="257191.20000000024"/>
    <n v="13014960"/>
    <n v="13272151.200000001"/>
    <x v="0"/>
    <x v="0"/>
    <x v="5"/>
    <x v="0"/>
    <x v="0"/>
    <n v="1039.75"/>
    <n v="11310.411156528011"/>
    <n v="403.94325559028613"/>
  </r>
  <r>
    <x v="12"/>
    <x v="0"/>
    <x v="18"/>
    <d v="2025-01-24T00:00:00"/>
    <n v="2226"/>
    <x v="0"/>
    <x v="0"/>
    <d v="2025-01-24T00:00:00"/>
    <n v="28000"/>
    <n v="420"/>
    <n v="11760000"/>
    <n v="2469600"/>
    <n v="14229600"/>
    <x v="0"/>
    <x v="0"/>
    <x v="0"/>
    <n v="14229600"/>
    <d v="2025-01-24T00:00:00"/>
    <d v="2025-01-25T00:00:00"/>
    <n v="-283"/>
    <x v="0"/>
    <x v="0"/>
    <d v="2025-02-01T00:00:00"/>
    <n v="11752"/>
    <d v="2025-01-10T00:00:00"/>
    <n v="560"/>
    <n v="25410"/>
    <n v="-1709.73"/>
    <n v="23700.27"/>
    <n v="0"/>
    <n v="23700.27"/>
    <x v="0"/>
    <x v="12"/>
    <x v="0"/>
    <x v="0"/>
    <n v="23241"/>
    <n v="459.27000000000044"/>
    <n v="1.9761197883051418E-2"/>
    <n v="257191.20000000024"/>
    <n v="13014960"/>
    <n v="13272151.200000001"/>
    <x v="0"/>
    <x v="0"/>
    <x v="5"/>
    <x v="0"/>
    <x v="0"/>
    <n v="1039.75"/>
    <n v="11310.411156528011"/>
    <n v="403.94325559028613"/>
  </r>
  <r>
    <x v="12"/>
    <x v="0"/>
    <x v="18"/>
    <d v="2025-01-27T00:00:00"/>
    <n v="2228"/>
    <x v="0"/>
    <x v="0"/>
    <d v="2025-01-27T00:00:00"/>
    <n v="28000"/>
    <n v="420"/>
    <n v="11760000"/>
    <n v="2469600"/>
    <n v="14229600"/>
    <x v="0"/>
    <x v="0"/>
    <x v="0"/>
    <n v="14229600"/>
    <d v="2025-01-27T00:00:00"/>
    <d v="2025-01-28T00:00:00"/>
    <n v="-280"/>
    <x v="0"/>
    <x v="0"/>
    <d v="2025-02-04T00:00:00"/>
    <n v="11752"/>
    <d v="2025-01-10T00:00:00"/>
    <n v="560"/>
    <n v="25410"/>
    <n v="-1709.73"/>
    <n v="23700.27"/>
    <n v="0"/>
    <n v="23700.27"/>
    <x v="0"/>
    <x v="12"/>
    <x v="0"/>
    <x v="0"/>
    <n v="23241"/>
    <n v="459.27000000000044"/>
    <n v="1.9761197883051418E-2"/>
    <n v="257191.20000000024"/>
    <n v="13014960"/>
    <n v="13272151.200000001"/>
    <x v="0"/>
    <x v="0"/>
    <x v="5"/>
    <x v="0"/>
    <x v="0"/>
    <n v="1039.75"/>
    <n v="11310.411156528011"/>
    <n v="403.94325559028613"/>
  </r>
  <r>
    <x v="12"/>
    <x v="0"/>
    <x v="18"/>
    <d v="2025-01-27T00:00:00"/>
    <n v="2229"/>
    <x v="0"/>
    <x v="0"/>
    <d v="2025-01-27T00:00:00"/>
    <n v="28000"/>
    <n v="420"/>
    <n v="11760000"/>
    <n v="2469600"/>
    <n v="14229600"/>
    <x v="0"/>
    <x v="0"/>
    <x v="0"/>
    <n v="14229600"/>
    <d v="2025-01-27T00:00:00"/>
    <d v="2025-01-28T00:00:00"/>
    <n v="-280"/>
    <x v="0"/>
    <x v="0"/>
    <d v="2025-02-04T00:00:00"/>
    <n v="11752"/>
    <d v="2025-01-10T00:00:00"/>
    <n v="560"/>
    <n v="25410"/>
    <n v="-1709.73"/>
    <n v="23700.27"/>
    <n v="0"/>
    <n v="23700.27"/>
    <x v="0"/>
    <x v="12"/>
    <x v="0"/>
    <x v="0"/>
    <n v="23241"/>
    <n v="459.27000000000044"/>
    <n v="1.9761197883051418E-2"/>
    <n v="257191.20000000024"/>
    <n v="13014960"/>
    <n v="13272151.200000001"/>
    <x v="0"/>
    <x v="0"/>
    <x v="5"/>
    <x v="0"/>
    <x v="0"/>
    <n v="1039.75"/>
    <n v="11310.411156528011"/>
    <n v="403.94325559028613"/>
  </r>
  <r>
    <x v="12"/>
    <x v="0"/>
    <x v="18"/>
    <d v="2025-01-28T00:00:00"/>
    <n v="2230"/>
    <x v="0"/>
    <x v="0"/>
    <d v="2025-01-28T00:00:00"/>
    <n v="28000"/>
    <n v="420"/>
    <n v="11760000"/>
    <n v="2469600"/>
    <n v="14229600"/>
    <x v="0"/>
    <x v="0"/>
    <x v="0"/>
    <n v="14229600"/>
    <d v="2025-01-28T00:00:00"/>
    <d v="2025-01-29T00:00:00"/>
    <n v="-279"/>
    <x v="0"/>
    <x v="0"/>
    <d v="2025-02-05T00:00:00"/>
    <n v="11752"/>
    <d v="2025-01-10T00:00:00"/>
    <n v="560"/>
    <n v="25410"/>
    <n v="-1709.73"/>
    <n v="23700.27"/>
    <n v="0"/>
    <n v="23700.27"/>
    <x v="0"/>
    <x v="12"/>
    <x v="0"/>
    <x v="0"/>
    <n v="23241"/>
    <n v="459.27000000000044"/>
    <n v="1.9761197883051418E-2"/>
    <n v="257191.20000000024"/>
    <n v="13014960"/>
    <n v="13272151.200000001"/>
    <x v="0"/>
    <x v="0"/>
    <x v="5"/>
    <x v="0"/>
    <x v="0"/>
    <n v="1039.75"/>
    <n v="11310.411156528011"/>
    <n v="403.94325559028613"/>
  </r>
  <r>
    <x v="12"/>
    <x v="0"/>
    <x v="18"/>
    <d v="2025-01-29T00:00:00"/>
    <n v="2232"/>
    <x v="0"/>
    <x v="0"/>
    <d v="2025-01-29T00:00:00"/>
    <n v="28000"/>
    <n v="420"/>
    <n v="11760000"/>
    <n v="2469600"/>
    <n v="14229600"/>
    <x v="0"/>
    <x v="0"/>
    <x v="0"/>
    <n v="14229600"/>
    <d v="2025-01-29T00:00:00"/>
    <d v="2025-01-30T00:00:00"/>
    <n v="-278"/>
    <x v="0"/>
    <x v="0"/>
    <d v="2025-02-06T00:00:00"/>
    <n v="11752"/>
    <d v="2025-01-10T00:00:00"/>
    <n v="560"/>
    <n v="25410"/>
    <n v="-1709.73"/>
    <n v="23700.27"/>
    <n v="0"/>
    <n v="23700.27"/>
    <x v="0"/>
    <x v="12"/>
    <x v="0"/>
    <x v="0"/>
    <n v="23241"/>
    <n v="459.27000000000044"/>
    <n v="1.9761197883051418E-2"/>
    <n v="257191.20000000024"/>
    <n v="13014960"/>
    <n v="13272151.200000001"/>
    <x v="0"/>
    <x v="0"/>
    <x v="5"/>
    <x v="0"/>
    <x v="0"/>
    <n v="1039.75"/>
    <n v="11310.411156528011"/>
    <n v="403.94325559028613"/>
  </r>
  <r>
    <x v="12"/>
    <x v="0"/>
    <x v="18"/>
    <d v="2025-01-30T00:00:00"/>
    <n v="2235"/>
    <x v="0"/>
    <x v="0"/>
    <d v="2025-01-30T00:00:00"/>
    <n v="28000"/>
    <n v="420"/>
    <n v="11760000"/>
    <n v="2469600"/>
    <n v="14229600"/>
    <x v="0"/>
    <x v="0"/>
    <x v="0"/>
    <n v="14229600"/>
    <d v="2025-01-30T00:00:00"/>
    <d v="2025-01-31T00:00:00"/>
    <n v="-277"/>
    <x v="0"/>
    <x v="0"/>
    <d v="2025-02-07T00:00:00"/>
    <n v="11752"/>
    <d v="2025-01-10T00:00:00"/>
    <n v="560"/>
    <n v="25410"/>
    <n v="-1709.73"/>
    <n v="23700.27"/>
    <n v="0"/>
    <n v="23700.27"/>
    <x v="0"/>
    <x v="12"/>
    <x v="0"/>
    <x v="0"/>
    <n v="23241"/>
    <n v="459.27000000000044"/>
    <n v="1.9761197883051418E-2"/>
    <n v="257191.20000000024"/>
    <n v="13014960"/>
    <n v="13272151.200000001"/>
    <x v="0"/>
    <x v="0"/>
    <x v="5"/>
    <x v="0"/>
    <x v="0"/>
    <n v="1039.75"/>
    <n v="11310.411156528011"/>
    <n v="403.94325559028613"/>
  </r>
  <r>
    <x v="12"/>
    <x v="0"/>
    <x v="18"/>
    <d v="2025-01-31T00:00:00"/>
    <n v="2237"/>
    <x v="0"/>
    <x v="0"/>
    <d v="2025-01-31T00:00:00"/>
    <n v="28000"/>
    <n v="420"/>
    <n v="11760000"/>
    <n v="2469600"/>
    <n v="14229600"/>
    <x v="0"/>
    <x v="0"/>
    <x v="0"/>
    <n v="14229600"/>
    <d v="2025-01-31T00:00:00"/>
    <d v="2025-02-01T00:00:00"/>
    <n v="-276"/>
    <x v="0"/>
    <x v="0"/>
    <d v="2025-02-08T00:00:00"/>
    <n v="11752"/>
    <d v="2025-01-10T00:00:00"/>
    <n v="560"/>
    <n v="25410"/>
    <n v="-1709.73"/>
    <n v="23700.27"/>
    <n v="0"/>
    <n v="23700.27"/>
    <x v="0"/>
    <x v="12"/>
    <x v="0"/>
    <x v="0"/>
    <n v="23241"/>
    <n v="459.27000000000044"/>
    <n v="1.9761197883051418E-2"/>
    <n v="257191.20000000024"/>
    <n v="13014960"/>
    <n v="13272151.200000001"/>
    <x v="0"/>
    <x v="0"/>
    <x v="5"/>
    <x v="0"/>
    <x v="0"/>
    <n v="1039.75"/>
    <n v="11310.411156528011"/>
    <n v="403.94325559028613"/>
  </r>
  <r>
    <x v="12"/>
    <x v="0"/>
    <x v="18"/>
    <d v="2025-02-03T00:00:00"/>
    <n v="2239"/>
    <x v="0"/>
    <x v="0"/>
    <d v="2025-02-03T00:00:00"/>
    <n v="28000"/>
    <n v="420"/>
    <n v="11760000"/>
    <n v="2469600"/>
    <n v="14229600"/>
    <x v="0"/>
    <x v="0"/>
    <x v="0"/>
    <n v="14229600"/>
    <d v="2025-02-03T00:00:00"/>
    <d v="2025-02-04T00:00:00"/>
    <n v="-273"/>
    <x v="0"/>
    <x v="0"/>
    <d v="2025-02-11T00:00:00"/>
    <n v="11752"/>
    <d v="2025-01-10T00:00:00"/>
    <n v="560"/>
    <n v="25410"/>
    <n v="-1709.73"/>
    <n v="23700.27"/>
    <n v="0"/>
    <n v="23700.27"/>
    <x v="0"/>
    <x v="12"/>
    <x v="0"/>
    <x v="0"/>
    <n v="23241"/>
    <n v="459.27000000000044"/>
    <n v="1.9761197883051418E-2"/>
    <n v="257191.20000000024"/>
    <n v="13014960"/>
    <n v="13272151.200000001"/>
    <x v="0"/>
    <x v="0"/>
    <x v="5"/>
    <x v="0"/>
    <x v="0"/>
    <n v="1039.75"/>
    <n v="11310.411156528011"/>
    <n v="403.94325559028613"/>
  </r>
  <r>
    <x v="12"/>
    <x v="0"/>
    <x v="30"/>
    <d v="2025-02-05T00:00:00"/>
    <n v="2243"/>
    <x v="0"/>
    <x v="0"/>
    <d v="2025-02-05T00:00:00"/>
    <n v="28000"/>
    <n v="435"/>
    <n v="12180000"/>
    <n v="2557800"/>
    <n v="14737800"/>
    <x v="0"/>
    <x v="0"/>
    <x v="0"/>
    <n v="14737800"/>
    <d v="2025-02-12T00:00:00"/>
    <d v="2025-03-07T00:00:00"/>
    <n v="-242"/>
    <x v="3"/>
    <x v="7"/>
    <d v="2025-03-14T00:00:00"/>
    <n v="5500000950"/>
    <d v="2025-01-10T00:00:00"/>
    <n v="560"/>
    <n v="26317.5"/>
    <n v="-1903.0275000000001"/>
    <n v="24414.4725"/>
    <n v="-227.12363013698632"/>
    <n v="24187.348869863014"/>
    <x v="0"/>
    <x v="21"/>
    <x v="0"/>
    <x v="0"/>
    <n v="23241"/>
    <n v="946.34886986301353"/>
    <n v="4.071893936848725E-2"/>
    <n v="529955.36712328764"/>
    <n v="13014960"/>
    <n v="13544915.367123287"/>
    <x v="0"/>
    <x v="0"/>
    <x v="5"/>
    <x v="0"/>
    <x v="0"/>
    <n v="1039.75"/>
    <n v="11714.354412118299"/>
    <n v="418.36980043279635"/>
  </r>
  <r>
    <x v="12"/>
    <x v="0"/>
    <x v="30"/>
    <d v="2025-02-05T00:00:00"/>
    <n v="2247"/>
    <x v="0"/>
    <x v="0"/>
    <d v="2025-02-05T00:00:00"/>
    <n v="28000"/>
    <n v="435"/>
    <n v="12180000"/>
    <n v="2557800"/>
    <n v="14737800"/>
    <x v="0"/>
    <x v="0"/>
    <x v="0"/>
    <n v="14737800"/>
    <d v="2025-02-12T00:00:00"/>
    <d v="2025-03-07T00:00:00"/>
    <n v="-242"/>
    <x v="3"/>
    <x v="7"/>
    <d v="2025-03-14T00:00:00"/>
    <n v="5500000950"/>
    <d v="2025-01-10T00:00:00"/>
    <n v="560"/>
    <n v="26317.5"/>
    <n v="-1903.0275000000001"/>
    <n v="24414.4725"/>
    <n v="-227.12363013698632"/>
    <n v="24187.348869863014"/>
    <x v="0"/>
    <x v="21"/>
    <x v="0"/>
    <x v="0"/>
    <n v="23241"/>
    <n v="946.34886986301353"/>
    <n v="4.071893936848725E-2"/>
    <n v="529955.36712328764"/>
    <n v="13014960"/>
    <n v="13544915.367123287"/>
    <x v="0"/>
    <x v="0"/>
    <x v="5"/>
    <x v="0"/>
    <x v="0"/>
    <n v="1039.75"/>
    <n v="11714.354412118299"/>
    <n v="418.36980043279635"/>
  </r>
  <r>
    <x v="12"/>
    <x v="0"/>
    <x v="30"/>
    <d v="2025-02-07T00:00:00"/>
    <n v="2248"/>
    <x v="0"/>
    <x v="0"/>
    <d v="2025-02-07T00:00:00"/>
    <n v="28000"/>
    <n v="435"/>
    <n v="12180000"/>
    <n v="2557800"/>
    <n v="14737800"/>
    <x v="0"/>
    <x v="0"/>
    <x v="0"/>
    <n v="14737800"/>
    <d v="2025-02-14T00:00:00"/>
    <d v="2025-03-09T00:00:00"/>
    <n v="-240"/>
    <x v="3"/>
    <x v="7"/>
    <d v="2025-03-16T00:00:00"/>
    <n v="5500000950"/>
    <d v="2025-01-10T00:00:00"/>
    <n v="560"/>
    <n v="26317.5"/>
    <n v="-1903.0275000000001"/>
    <n v="24414.4725"/>
    <n v="-227.12363013698632"/>
    <n v="24187.348869863014"/>
    <x v="0"/>
    <x v="21"/>
    <x v="0"/>
    <x v="0"/>
    <n v="23241"/>
    <n v="946.34886986301353"/>
    <n v="4.071893936848725E-2"/>
    <n v="529955.36712328764"/>
    <n v="13014960"/>
    <n v="13544915.367123287"/>
    <x v="0"/>
    <x v="0"/>
    <x v="5"/>
    <x v="0"/>
    <x v="0"/>
    <n v="1039.75"/>
    <n v="11714.354412118299"/>
    <n v="418.36980043279635"/>
  </r>
  <r>
    <x v="12"/>
    <x v="0"/>
    <x v="30"/>
    <d v="2025-02-17T00:00:00"/>
    <n v="2254"/>
    <x v="0"/>
    <x v="0"/>
    <d v="2025-02-17T00:00:00"/>
    <n v="28000"/>
    <n v="435"/>
    <n v="12180000"/>
    <n v="2557800"/>
    <n v="14737800"/>
    <x v="0"/>
    <x v="0"/>
    <x v="0"/>
    <n v="14737800"/>
    <d v="2025-02-24T00:00:00"/>
    <d v="2025-03-19T00:00:00"/>
    <n v="-230"/>
    <x v="3"/>
    <x v="7"/>
    <d v="2025-03-26T00:00:00"/>
    <n v="5500000950"/>
    <d v="2025-01-10T00:00:00"/>
    <n v="560"/>
    <n v="26317.5"/>
    <n v="-1903.0275000000001"/>
    <n v="24414.4725"/>
    <n v="-227.12363013698632"/>
    <n v="24187.348869863014"/>
    <x v="0"/>
    <x v="21"/>
    <x v="0"/>
    <x v="0"/>
    <n v="23241"/>
    <n v="946.34886986301353"/>
    <n v="4.071893936848725E-2"/>
    <n v="529955.36712328764"/>
    <n v="13014960"/>
    <n v="13544915.367123287"/>
    <x v="0"/>
    <x v="0"/>
    <x v="5"/>
    <x v="0"/>
    <x v="0"/>
    <n v="1039.75"/>
    <n v="11714.354412118299"/>
    <n v="418.36980043279635"/>
  </r>
  <r>
    <x v="12"/>
    <x v="0"/>
    <x v="30"/>
    <d v="2025-02-17T00:00:00"/>
    <n v="2255"/>
    <x v="0"/>
    <x v="0"/>
    <d v="2025-02-17T00:00:00"/>
    <n v="28000"/>
    <n v="435"/>
    <n v="12180000"/>
    <n v="2557800"/>
    <n v="14737800"/>
    <x v="0"/>
    <x v="0"/>
    <x v="0"/>
    <n v="14737800"/>
    <d v="2025-02-24T00:00:00"/>
    <d v="2025-03-19T00:00:00"/>
    <n v="-230"/>
    <x v="3"/>
    <x v="7"/>
    <d v="2025-03-26T00:00:00"/>
    <n v="5500000950"/>
    <d v="2025-01-10T00:00:00"/>
    <n v="560"/>
    <n v="26317.5"/>
    <n v="-1903.0275000000001"/>
    <n v="24414.4725"/>
    <n v="-227.12363013698632"/>
    <n v="24187.348869863014"/>
    <x v="0"/>
    <x v="21"/>
    <x v="0"/>
    <x v="0"/>
    <n v="23241"/>
    <n v="946.34886986301353"/>
    <n v="4.071893936848725E-2"/>
    <n v="529955.36712328764"/>
    <n v="13014960"/>
    <n v="13544915.367123287"/>
    <x v="0"/>
    <x v="0"/>
    <x v="5"/>
    <x v="0"/>
    <x v="0"/>
    <n v="1039.75"/>
    <n v="11714.354412118299"/>
    <n v="418.36980043279635"/>
  </r>
  <r>
    <x v="12"/>
    <x v="0"/>
    <x v="30"/>
    <d v="2025-02-17T00:00:00"/>
    <n v="2256"/>
    <x v="0"/>
    <x v="0"/>
    <d v="2025-02-17T00:00:00"/>
    <n v="28000"/>
    <n v="435"/>
    <n v="12180000"/>
    <n v="2557800"/>
    <n v="14737800"/>
    <x v="0"/>
    <x v="0"/>
    <x v="0"/>
    <n v="14737800"/>
    <d v="2025-02-24T00:00:00"/>
    <d v="2025-03-19T00:00:00"/>
    <n v="-230"/>
    <x v="3"/>
    <x v="7"/>
    <d v="2025-03-26T00:00:00"/>
    <n v="5500000950"/>
    <d v="2025-01-10T00:00:00"/>
    <n v="560"/>
    <n v="26317.5"/>
    <n v="-1903.0275000000001"/>
    <n v="24414.4725"/>
    <n v="-227.12363013698632"/>
    <n v="24187.348869863014"/>
    <x v="0"/>
    <x v="21"/>
    <x v="0"/>
    <x v="0"/>
    <n v="23241"/>
    <n v="946.34886986301353"/>
    <n v="4.071893936848725E-2"/>
    <n v="529955.36712328764"/>
    <n v="13014960"/>
    <n v="13544915.367123287"/>
    <x v="0"/>
    <x v="0"/>
    <x v="3"/>
    <x v="0"/>
    <x v="0"/>
    <n v="1039.75"/>
    <n v="11714.354412118299"/>
    <n v="418.36980043279635"/>
  </r>
  <r>
    <x v="12"/>
    <x v="0"/>
    <x v="30"/>
    <d v="2025-02-17T00:00:00"/>
    <n v="2257"/>
    <x v="0"/>
    <x v="0"/>
    <d v="2025-02-17T00:00:00"/>
    <n v="28000"/>
    <n v="435"/>
    <n v="12180000"/>
    <n v="2557800"/>
    <n v="14737800"/>
    <x v="0"/>
    <x v="0"/>
    <x v="0"/>
    <n v="14737800"/>
    <d v="2025-02-24T00:00:00"/>
    <d v="2025-03-19T00:00:00"/>
    <n v="-230"/>
    <x v="3"/>
    <x v="7"/>
    <d v="2025-03-26T00:00:00"/>
    <n v="5500000950"/>
    <d v="2025-01-10T00:00:00"/>
    <n v="560"/>
    <n v="26317.5"/>
    <n v="-1903.0275000000001"/>
    <n v="24414.4725"/>
    <n v="-227.12363013698632"/>
    <n v="24187.348869863014"/>
    <x v="0"/>
    <x v="21"/>
    <x v="0"/>
    <x v="0"/>
    <n v="23241"/>
    <n v="946.34886986301353"/>
    <n v="4.071893936848725E-2"/>
    <n v="529955.36712328764"/>
    <n v="13014960"/>
    <n v="13544915.367123287"/>
    <x v="0"/>
    <x v="0"/>
    <x v="3"/>
    <x v="0"/>
    <x v="0"/>
    <n v="1039.75"/>
    <n v="11714.354412118299"/>
    <n v="418.36980043279635"/>
  </r>
  <r>
    <x v="12"/>
    <x v="0"/>
    <x v="30"/>
    <d v="2025-02-17T00:00:00"/>
    <n v="2258"/>
    <x v="0"/>
    <x v="0"/>
    <d v="2025-02-17T00:00:00"/>
    <n v="28000"/>
    <n v="435"/>
    <n v="12180000"/>
    <n v="2557800"/>
    <n v="14737800"/>
    <x v="0"/>
    <x v="0"/>
    <x v="0"/>
    <n v="14737800"/>
    <d v="2025-02-24T00:00:00"/>
    <d v="2025-03-19T00:00:00"/>
    <n v="-230"/>
    <x v="3"/>
    <x v="7"/>
    <d v="2025-03-26T00:00:00"/>
    <n v="5500000950"/>
    <d v="2025-01-10T00:00:00"/>
    <n v="560"/>
    <n v="26317.5"/>
    <n v="-1903.0275000000001"/>
    <n v="24414.4725"/>
    <n v="-227.12363013698632"/>
    <n v="24187.348869863014"/>
    <x v="0"/>
    <x v="21"/>
    <x v="0"/>
    <x v="0"/>
    <n v="23241"/>
    <n v="946.34886986301353"/>
    <n v="4.071893936848725E-2"/>
    <n v="529955.36712328764"/>
    <n v="13014960"/>
    <n v="13544915.367123287"/>
    <x v="0"/>
    <x v="0"/>
    <x v="5"/>
    <x v="0"/>
    <x v="0"/>
    <n v="1039.75"/>
    <n v="11714.354412118299"/>
    <n v="418.36980043279635"/>
  </r>
  <r>
    <x v="12"/>
    <x v="0"/>
    <x v="30"/>
    <d v="2025-02-24T00:00:00"/>
    <n v="2271"/>
    <x v="0"/>
    <x v="0"/>
    <d v="2025-02-24T00:00:00"/>
    <n v="28000"/>
    <n v="435"/>
    <n v="12180000"/>
    <n v="2557800"/>
    <n v="14737800"/>
    <x v="0"/>
    <x v="0"/>
    <x v="0"/>
    <n v="14737800"/>
    <d v="2025-03-03T00:00:00"/>
    <d v="2025-03-26T00:00:00"/>
    <n v="-223"/>
    <x v="3"/>
    <x v="7"/>
    <d v="2025-04-02T00:00:00"/>
    <n v="5500000950"/>
    <d v="2025-01-10T00:00:00"/>
    <n v="560"/>
    <n v="26317.5"/>
    <n v="-1903.0275000000001"/>
    <n v="24414.4725"/>
    <n v="-227.12363013698632"/>
    <n v="24187.348869863014"/>
    <x v="0"/>
    <x v="21"/>
    <x v="0"/>
    <x v="0"/>
    <n v="23241"/>
    <n v="946.34886986301353"/>
    <n v="4.071893936848725E-2"/>
    <n v="529955.36712328764"/>
    <n v="13014960"/>
    <n v="13544915.367123287"/>
    <x v="0"/>
    <x v="0"/>
    <x v="5"/>
    <x v="0"/>
    <x v="0"/>
    <n v="1039.75"/>
    <n v="11714.354412118299"/>
    <n v="418.36980043279635"/>
  </r>
  <r>
    <x v="12"/>
    <x v="0"/>
    <x v="30"/>
    <d v="2025-02-24T00:00:00"/>
    <n v="2272"/>
    <x v="0"/>
    <x v="0"/>
    <d v="2025-02-24T00:00:00"/>
    <n v="28000"/>
    <n v="435"/>
    <n v="12180000"/>
    <n v="2557800"/>
    <n v="14737800"/>
    <x v="0"/>
    <x v="0"/>
    <x v="0"/>
    <n v="14737800"/>
    <d v="2025-03-03T00:00:00"/>
    <d v="2025-03-26T00:00:00"/>
    <n v="-223"/>
    <x v="3"/>
    <x v="7"/>
    <d v="2025-04-02T00:00:00"/>
    <n v="5500000950"/>
    <d v="2025-01-10T00:00:00"/>
    <n v="560"/>
    <n v="26317.5"/>
    <n v="-1903.0275000000001"/>
    <n v="24414.4725"/>
    <n v="-227.12363013698632"/>
    <n v="24187.348869863014"/>
    <x v="0"/>
    <x v="21"/>
    <x v="0"/>
    <x v="0"/>
    <n v="23241"/>
    <n v="946.34886986301353"/>
    <n v="4.071893936848725E-2"/>
    <n v="529955.36712328764"/>
    <n v="13014960"/>
    <n v="13544915.367123287"/>
    <x v="0"/>
    <x v="0"/>
    <x v="5"/>
    <x v="0"/>
    <x v="0"/>
    <n v="1039.75"/>
    <n v="11714.354412118299"/>
    <n v="418.36980043279635"/>
  </r>
  <r>
    <x v="12"/>
    <x v="0"/>
    <x v="30"/>
    <d v="2025-02-24T00:00:00"/>
    <n v="2273"/>
    <x v="0"/>
    <x v="0"/>
    <d v="2025-02-24T00:00:00"/>
    <n v="28000"/>
    <n v="435"/>
    <n v="12180000"/>
    <n v="2557800"/>
    <n v="14737800"/>
    <x v="0"/>
    <x v="0"/>
    <x v="0"/>
    <n v="14737800"/>
    <d v="2025-03-03T00:00:00"/>
    <d v="2025-03-26T00:00:00"/>
    <n v="-223"/>
    <x v="3"/>
    <x v="7"/>
    <d v="2025-04-02T00:00:00"/>
    <n v="5500000950"/>
    <d v="2025-01-10T00:00:00"/>
    <n v="560"/>
    <n v="26317.5"/>
    <n v="-1903.0275000000001"/>
    <n v="24414.4725"/>
    <n v="-227.12363013698632"/>
    <n v="24187.348869863014"/>
    <x v="0"/>
    <x v="21"/>
    <x v="0"/>
    <x v="0"/>
    <n v="23241"/>
    <n v="946.34886986301353"/>
    <n v="4.071893936848725E-2"/>
    <n v="529955.36712328764"/>
    <n v="13014960"/>
    <n v="13544915.367123287"/>
    <x v="0"/>
    <x v="0"/>
    <x v="3"/>
    <x v="0"/>
    <x v="0"/>
    <n v="1039.75"/>
    <n v="11714.354412118299"/>
    <n v="418.36980043279635"/>
  </r>
  <r>
    <x v="12"/>
    <x v="0"/>
    <x v="30"/>
    <d v="2025-02-25T00:00:00"/>
    <n v="2287"/>
    <x v="0"/>
    <x v="0"/>
    <d v="2025-02-25T00:00:00"/>
    <n v="28000"/>
    <n v="435"/>
    <n v="12180000"/>
    <n v="2557800"/>
    <n v="14737800"/>
    <x v="0"/>
    <x v="0"/>
    <x v="0"/>
    <n v="14737800"/>
    <d v="2025-03-04T00:00:00"/>
    <d v="2025-03-27T00:00:00"/>
    <n v="-222"/>
    <x v="3"/>
    <x v="7"/>
    <d v="2025-04-03T00:00:00"/>
    <n v="5500000950"/>
    <d v="2025-01-10T00:00:00"/>
    <n v="560"/>
    <n v="26317.5"/>
    <n v="-1903.0275000000001"/>
    <n v="24414.4725"/>
    <n v="-227.12363013698632"/>
    <n v="24187.348869863014"/>
    <x v="0"/>
    <x v="21"/>
    <x v="0"/>
    <x v="0"/>
    <n v="23241"/>
    <n v="946.34886986301353"/>
    <n v="4.071893936848725E-2"/>
    <n v="529955.36712328764"/>
    <n v="13014960"/>
    <n v="13544915.367123287"/>
    <x v="0"/>
    <x v="0"/>
    <x v="5"/>
    <x v="0"/>
    <x v="0"/>
    <n v="1039.75"/>
    <n v="11714.354412118299"/>
    <n v="418.36980043279635"/>
  </r>
  <r>
    <x v="12"/>
    <x v="0"/>
    <x v="30"/>
    <d v="2025-02-25T00:00:00"/>
    <n v="2288"/>
    <x v="0"/>
    <x v="0"/>
    <d v="2025-02-25T00:00:00"/>
    <n v="28000"/>
    <n v="435"/>
    <n v="12180000"/>
    <n v="2557800"/>
    <n v="14737800"/>
    <x v="0"/>
    <x v="0"/>
    <x v="0"/>
    <n v="14737800"/>
    <d v="2025-03-04T00:00:00"/>
    <d v="2025-03-27T00:00:00"/>
    <n v="-222"/>
    <x v="3"/>
    <x v="7"/>
    <d v="2025-04-03T00:00:00"/>
    <n v="5500000950"/>
    <d v="2025-01-10T00:00:00"/>
    <n v="560"/>
    <n v="26317.5"/>
    <n v="-1903.0275000000001"/>
    <n v="24414.4725"/>
    <n v="-227.12363013698632"/>
    <n v="24187.348869863014"/>
    <x v="0"/>
    <x v="21"/>
    <x v="0"/>
    <x v="0"/>
    <n v="23241"/>
    <n v="946.34886986301353"/>
    <n v="4.071893936848725E-2"/>
    <n v="529955.36712328764"/>
    <n v="13014960"/>
    <n v="13544915.367123287"/>
    <x v="0"/>
    <x v="0"/>
    <x v="6"/>
    <x v="0"/>
    <x v="0"/>
    <n v="1039.75"/>
    <n v="11714.354412118299"/>
    <n v="418.36980043279635"/>
  </r>
  <r>
    <x v="12"/>
    <x v="0"/>
    <x v="30"/>
    <d v="2025-02-25T00:00:00"/>
    <n v="2289"/>
    <x v="0"/>
    <x v="0"/>
    <d v="2025-02-25T00:00:00"/>
    <n v="28000"/>
    <n v="435"/>
    <n v="12180000"/>
    <n v="2557800"/>
    <n v="14737800"/>
    <x v="0"/>
    <x v="0"/>
    <x v="0"/>
    <n v="14737800"/>
    <d v="2025-03-04T00:00:00"/>
    <d v="2025-03-27T00:00:00"/>
    <n v="-222"/>
    <x v="3"/>
    <x v="7"/>
    <d v="2025-04-03T00:00:00"/>
    <n v="5500000950"/>
    <d v="2025-01-10T00:00:00"/>
    <n v="560"/>
    <n v="26317.5"/>
    <n v="-1903.0275000000001"/>
    <n v="24414.4725"/>
    <n v="-227.12363013698632"/>
    <n v="24187.348869863014"/>
    <x v="0"/>
    <x v="21"/>
    <x v="0"/>
    <x v="0"/>
    <n v="23241"/>
    <n v="946.34886986301353"/>
    <n v="4.071893936848725E-2"/>
    <n v="529955.36712328764"/>
    <n v="13014960"/>
    <n v="13544915.367123287"/>
    <x v="0"/>
    <x v="0"/>
    <x v="6"/>
    <x v="0"/>
    <x v="0"/>
    <n v="1039.75"/>
    <n v="11714.354412118299"/>
    <n v="418.36980043279635"/>
  </r>
  <r>
    <x v="12"/>
    <x v="0"/>
    <x v="30"/>
    <d v="2025-03-01T00:00:00"/>
    <n v="2302"/>
    <x v="0"/>
    <x v="0"/>
    <d v="2025-03-01T00:00:00"/>
    <n v="28000"/>
    <n v="435"/>
    <n v="12180000"/>
    <n v="2557800"/>
    <n v="14737800"/>
    <x v="0"/>
    <x v="0"/>
    <x v="0"/>
    <n v="14737800"/>
    <d v="2025-03-08T00:00:00"/>
    <d v="2025-03-31T00:00:00"/>
    <n v="-218"/>
    <x v="3"/>
    <x v="7"/>
    <d v="2025-04-07T00:00:00"/>
    <n v="5500000950"/>
    <d v="2025-01-10T00:00:00"/>
    <n v="560"/>
    <n v="26317.5"/>
    <n v="-1903.0275000000001"/>
    <n v="24414.4725"/>
    <n v="-227.12363013698632"/>
    <n v="24187.348869863014"/>
    <x v="0"/>
    <x v="21"/>
    <x v="0"/>
    <x v="0"/>
    <n v="23241"/>
    <n v="946.34886986301353"/>
    <n v="4.071893936848725E-2"/>
    <n v="529955.36712328764"/>
    <n v="13014960"/>
    <n v="13544915.367123287"/>
    <x v="0"/>
    <x v="0"/>
    <x v="3"/>
    <x v="0"/>
    <x v="0"/>
    <n v="1039.75"/>
    <n v="11714.354412118299"/>
    <n v="418.36980043279635"/>
  </r>
  <r>
    <x v="12"/>
    <x v="0"/>
    <x v="30"/>
    <d v="2025-03-01T00:00:00"/>
    <n v="2306"/>
    <x v="0"/>
    <x v="0"/>
    <d v="2025-03-01T00:00:00"/>
    <n v="28000"/>
    <n v="435"/>
    <n v="12180000"/>
    <n v="2557800"/>
    <n v="14737800"/>
    <x v="0"/>
    <x v="0"/>
    <x v="0"/>
    <n v="14737800"/>
    <d v="2025-03-08T00:00:00"/>
    <d v="2025-03-31T00:00:00"/>
    <n v="-218"/>
    <x v="3"/>
    <x v="7"/>
    <d v="2025-04-07T00:00:00"/>
    <n v="5500000950"/>
    <d v="2025-01-10T00:00:00"/>
    <n v="560"/>
    <n v="26317.5"/>
    <n v="-1903.0275000000001"/>
    <n v="24414.4725"/>
    <n v="-227.12363013698632"/>
    <n v="24187.348869863014"/>
    <x v="0"/>
    <x v="21"/>
    <x v="0"/>
    <x v="0"/>
    <n v="23241"/>
    <n v="946.34886986301353"/>
    <n v="4.071893936848725E-2"/>
    <n v="529955.36712328764"/>
    <n v="13014960"/>
    <n v="13544915.367123287"/>
    <x v="0"/>
    <x v="0"/>
    <x v="5"/>
    <x v="0"/>
    <x v="0"/>
    <n v="1039.75"/>
    <n v="11714.354412118299"/>
    <n v="418.36980043279635"/>
  </r>
  <r>
    <x v="12"/>
    <x v="0"/>
    <x v="30"/>
    <d v="2025-03-01T00:00:00"/>
    <n v="2308"/>
    <x v="0"/>
    <x v="0"/>
    <d v="2025-03-01T00:00:00"/>
    <n v="28000"/>
    <n v="435"/>
    <n v="12180000"/>
    <n v="2557800"/>
    <n v="14737800"/>
    <x v="0"/>
    <x v="0"/>
    <x v="0"/>
    <n v="14737800"/>
    <d v="2025-03-08T00:00:00"/>
    <d v="2025-03-31T00:00:00"/>
    <n v="-218"/>
    <x v="3"/>
    <x v="7"/>
    <d v="2025-04-07T00:00:00"/>
    <n v="5500000950"/>
    <d v="2025-01-10T00:00:00"/>
    <n v="560"/>
    <n v="26317.5"/>
    <n v="-1903.0275000000001"/>
    <n v="24414.4725"/>
    <n v="-227.12363013698632"/>
    <n v="24187.348869863014"/>
    <x v="0"/>
    <x v="21"/>
    <x v="0"/>
    <x v="0"/>
    <n v="23241"/>
    <n v="946.34886986301353"/>
    <n v="4.071893936848725E-2"/>
    <n v="529955.36712328764"/>
    <n v="13014960"/>
    <n v="13544915.367123287"/>
    <x v="0"/>
    <x v="0"/>
    <x v="5"/>
    <x v="0"/>
    <x v="0"/>
    <n v="1039.75"/>
    <n v="11714.354412118299"/>
    <n v="418.36980043279635"/>
  </r>
  <r>
    <x v="12"/>
    <x v="0"/>
    <x v="30"/>
    <d v="2025-03-01T00:00:00"/>
    <n v="2293"/>
    <x v="0"/>
    <x v="0"/>
    <d v="2025-03-01T00:00:00"/>
    <n v="28000"/>
    <n v="435"/>
    <n v="12180000"/>
    <n v="2557800"/>
    <n v="14737800"/>
    <x v="0"/>
    <x v="0"/>
    <x v="0"/>
    <n v="14737800"/>
    <d v="2025-03-08T00:00:00"/>
    <d v="2025-03-31T00:00:00"/>
    <n v="-218"/>
    <x v="3"/>
    <x v="7"/>
    <d v="2025-04-07T00:00:00"/>
    <n v="5500000950"/>
    <d v="2025-01-10T00:00:00"/>
    <n v="560"/>
    <n v="26317.5"/>
    <n v="-1903.0275000000001"/>
    <n v="24414.4725"/>
    <n v="-227.12363013698632"/>
    <n v="24187.348869863014"/>
    <x v="0"/>
    <x v="21"/>
    <x v="0"/>
    <x v="0"/>
    <n v="23241"/>
    <n v="946.34886986301353"/>
    <n v="4.071893936848725E-2"/>
    <n v="529955.36712328764"/>
    <n v="13014960"/>
    <n v="13544915.367123287"/>
    <x v="0"/>
    <x v="0"/>
    <x v="5"/>
    <x v="0"/>
    <x v="0"/>
    <n v="1039.75"/>
    <n v="11714.354412118299"/>
    <n v="418.36980043279635"/>
  </r>
  <r>
    <x v="12"/>
    <x v="0"/>
    <x v="30"/>
    <d v="2025-03-01T00:00:00"/>
    <n v="2294"/>
    <x v="0"/>
    <x v="0"/>
    <d v="2025-03-01T00:00:00"/>
    <n v="28000"/>
    <n v="435"/>
    <n v="12180000"/>
    <n v="2557800"/>
    <n v="14737800"/>
    <x v="0"/>
    <x v="0"/>
    <x v="0"/>
    <n v="14737800"/>
    <d v="2025-03-08T00:00:00"/>
    <d v="2025-03-31T00:00:00"/>
    <n v="-218"/>
    <x v="3"/>
    <x v="7"/>
    <d v="2025-04-07T00:00:00"/>
    <n v="5500000950"/>
    <d v="2025-01-10T00:00:00"/>
    <n v="560"/>
    <n v="26317.5"/>
    <n v="-1903.0275000000001"/>
    <n v="24414.4725"/>
    <n v="-227.12363013698632"/>
    <n v="24187.348869863014"/>
    <x v="0"/>
    <x v="21"/>
    <x v="0"/>
    <x v="0"/>
    <n v="23241"/>
    <n v="946.34886986301353"/>
    <n v="4.071893936848725E-2"/>
    <n v="529955.36712328764"/>
    <n v="13014960"/>
    <n v="13544915.367123287"/>
    <x v="0"/>
    <x v="0"/>
    <x v="5"/>
    <x v="0"/>
    <x v="0"/>
    <n v="1039.75"/>
    <n v="11714.354412118299"/>
    <n v="418.36980043279635"/>
  </r>
  <r>
    <x v="12"/>
    <x v="0"/>
    <x v="30"/>
    <d v="2025-03-01T00:00:00"/>
    <n v="2296"/>
    <x v="0"/>
    <x v="0"/>
    <d v="2025-03-01T00:00:00"/>
    <n v="28000"/>
    <n v="435"/>
    <n v="12180000"/>
    <n v="2557800"/>
    <n v="14737800"/>
    <x v="0"/>
    <x v="0"/>
    <x v="0"/>
    <n v="14737800"/>
    <d v="2025-03-08T00:00:00"/>
    <d v="2025-03-31T00:00:00"/>
    <n v="-218"/>
    <x v="3"/>
    <x v="7"/>
    <d v="2025-04-07T00:00:00"/>
    <n v="5500000950"/>
    <d v="2025-01-10T00:00:00"/>
    <n v="560"/>
    <n v="26317.5"/>
    <n v="-1903.0275000000001"/>
    <n v="24414.4725"/>
    <n v="-227.12363013698632"/>
    <n v="24187.348869863014"/>
    <x v="0"/>
    <x v="21"/>
    <x v="0"/>
    <x v="0"/>
    <n v="23241"/>
    <n v="946.34886986301353"/>
    <n v="4.071893936848725E-2"/>
    <n v="529955.36712328764"/>
    <n v="13014960"/>
    <n v="13544915.367123287"/>
    <x v="0"/>
    <x v="0"/>
    <x v="5"/>
    <x v="0"/>
    <x v="0"/>
    <n v="1039.75"/>
    <n v="11714.354412118299"/>
    <n v="418.36980043279635"/>
  </r>
  <r>
    <x v="12"/>
    <x v="0"/>
    <x v="19"/>
    <d v="2025-01-17T00:00:00"/>
    <n v="2216"/>
    <x v="0"/>
    <x v="0"/>
    <d v="2025-01-17T00:00:00"/>
    <n v="27500"/>
    <n v="490"/>
    <n v="13475000"/>
    <n v="2829750"/>
    <n v="16304750"/>
    <x v="0"/>
    <x v="0"/>
    <x v="0"/>
    <n v="16304750"/>
    <d v="2025-01-17T00:00:00"/>
    <d v="2025-02-16T00:00:00"/>
    <n v="-261"/>
    <x v="0"/>
    <x v="0"/>
    <d v="2025-02-23T00:00:00"/>
    <n v="6385"/>
    <d v="2025-01-14T00:00:00"/>
    <n v="550"/>
    <n v="29645"/>
    <n v="-2745.4294999999997"/>
    <n v="26899.570500000002"/>
    <n v="0"/>
    <n v="26899.570500000002"/>
    <x v="2"/>
    <x v="13"/>
    <x v="5"/>
    <x v="0"/>
    <n v="23293"/>
    <n v="3606.5705000000016"/>
    <n v="0.15483495041428763"/>
    <n v="1983613.7750000008"/>
    <n v="12811150"/>
    <n v="14794763.775"/>
    <x v="0"/>
    <x v="0"/>
    <x v="3"/>
    <x v="0"/>
    <x v="0"/>
    <n v="1041.25"/>
    <n v="12941.176470588236"/>
    <n v="470.58823529411768"/>
  </r>
  <r>
    <x v="12"/>
    <x v="0"/>
    <x v="31"/>
    <d v="2025-01-22T00:00:00"/>
    <n v="2220"/>
    <x v="0"/>
    <x v="0"/>
    <d v="2025-01-22T00:00:00"/>
    <n v="30000"/>
    <n v="485"/>
    <n v="14550000"/>
    <n v="3055500"/>
    <n v="17605500"/>
    <x v="0"/>
    <x v="0"/>
    <x v="0"/>
    <n v="17605500"/>
    <d v="2025-01-22T00:00:00"/>
    <d v="2025-03-08T00:00:00"/>
    <n v="-241"/>
    <x v="0"/>
    <x v="7"/>
    <d v="2025-03-15T00:00:00"/>
    <s v="WS 17/01"/>
    <d v="2025-01-17T00:00:00"/>
    <n v="600"/>
    <n v="29342.5"/>
    <n v="-2744.5219999999999"/>
    <n v="26597.977999999999"/>
    <n v="0"/>
    <n v="26597.977999999999"/>
    <x v="0"/>
    <x v="9"/>
    <x v="1"/>
    <x v="0"/>
    <n v="23332"/>
    <n v="3265.9779999999992"/>
    <n v="0.13997848448482775"/>
    <n v="1959586.7999999996"/>
    <n v="13999200"/>
    <n v="15958786.799999999"/>
    <x v="0"/>
    <x v="0"/>
    <x v="3"/>
    <x v="0"/>
    <x v="0"/>
    <n v="1044.5"/>
    <n v="13930.110100526568"/>
    <n v="464.3370033508856"/>
  </r>
  <r>
    <x v="12"/>
    <x v="0"/>
    <x v="1"/>
    <d v="2025-01-20T00:00:00"/>
    <n v="2218"/>
    <x v="0"/>
    <x v="0"/>
    <d v="2025-02-03T00:00:00"/>
    <n v="28000"/>
    <n v="485"/>
    <n v="13580000"/>
    <n v="2851800"/>
    <n v="16431800"/>
    <x v="0"/>
    <x v="0"/>
    <x v="0"/>
    <n v="16431800"/>
    <d v="2025-01-20T00:00:00"/>
    <d v="2025-03-06T00:00:00"/>
    <n v="-243"/>
    <x v="0"/>
    <x v="0"/>
    <d v="2025-03-13T00:00:00"/>
    <s v="WS 17/1"/>
    <d v="2025-01-17T00:00:00"/>
    <n v="560"/>
    <n v="29342.5"/>
    <n v="-3544.9974999999999"/>
    <n v="25797.502499999999"/>
    <n v="0"/>
    <n v="25797.502499999999"/>
    <x v="0"/>
    <x v="2"/>
    <x v="1"/>
    <x v="0"/>
    <n v="23332"/>
    <n v="2465.5024999999987"/>
    <n v="0.10567043116749519"/>
    <n v="1380681.3999999992"/>
    <n v="13065920"/>
    <n v="14446601.399999999"/>
    <x v="0"/>
    <x v="0"/>
    <x v="3"/>
    <x v="0"/>
    <x v="0"/>
    <n v="1044.5"/>
    <n v="13001.436093824797"/>
    <n v="464.3370033508856"/>
  </r>
  <r>
    <x v="12"/>
    <x v="0"/>
    <x v="0"/>
    <d v="2025-01-24T00:00:00"/>
    <n v="2227"/>
    <x v="0"/>
    <x v="0"/>
    <d v="2025-01-24T00:00:00"/>
    <n v="29720"/>
    <n v="440"/>
    <n v="13076800"/>
    <n v="2746128"/>
    <n v="15822928"/>
    <x v="0"/>
    <x v="0"/>
    <x v="0"/>
    <n v="15822928"/>
    <d v="2025-01-24T00:00:00"/>
    <d v="2025-02-23T00:00:00"/>
    <n v="-254"/>
    <x v="0"/>
    <x v="0"/>
    <d v="2025-03-02T00:00:00"/>
    <s v="WS 21-01"/>
    <d v="2025-01-21T00:00:00"/>
    <n v="594.4"/>
    <n v="26620"/>
    <n v="-1955.36"/>
    <n v="24664.639999999999"/>
    <n v="0"/>
    <n v="24664.639999999999"/>
    <x v="0"/>
    <x v="0"/>
    <x v="0"/>
    <x v="0"/>
    <n v="23384"/>
    <n v="1280.6399999999994"/>
    <n v="5.4765651727677112E-2"/>
    <n v="761212.41599999962"/>
    <n v="13899449.6"/>
    <n v="14660662.015999999"/>
    <x v="0"/>
    <x v="0"/>
    <x v="3"/>
    <x v="0"/>
    <x v="0"/>
    <n v="1045.9167"/>
    <n v="12502.716516525647"/>
    <n v="420.68359746048611"/>
  </r>
  <r>
    <x v="12"/>
    <x v="0"/>
    <x v="0"/>
    <d v="2025-01-31T00:00:00"/>
    <n v="2236"/>
    <x v="0"/>
    <x v="0"/>
    <d v="2025-01-31T00:00:00"/>
    <n v="30000"/>
    <n v="440"/>
    <n v="13200000"/>
    <n v="2772000"/>
    <n v="15972000"/>
    <x v="0"/>
    <x v="0"/>
    <x v="0"/>
    <n v="15972000"/>
    <d v="2025-01-31T00:00:00"/>
    <d v="2025-03-02T00:00:00"/>
    <n v="-247"/>
    <x v="0"/>
    <x v="0"/>
    <d v="2025-03-09T00:00:00"/>
    <s v="WS 21-01"/>
    <d v="2025-01-21T00:00:00"/>
    <n v="600"/>
    <n v="26620"/>
    <n v="-1955.36"/>
    <n v="24664.639999999999"/>
    <n v="0"/>
    <n v="24664.639999999999"/>
    <x v="0"/>
    <x v="0"/>
    <x v="0"/>
    <x v="0"/>
    <n v="23384"/>
    <n v="1280.6399999999994"/>
    <n v="5.4765651727677112E-2"/>
    <n v="768383.99999999965"/>
    <n v="14030400"/>
    <n v="14798784"/>
    <x v="0"/>
    <x v="0"/>
    <x v="3"/>
    <x v="0"/>
    <x v="0"/>
    <n v="1045.9167"/>
    <n v="12620.507923814583"/>
    <n v="420.68359746048611"/>
  </r>
  <r>
    <x v="12"/>
    <x v="0"/>
    <x v="18"/>
    <d v="2025-02-05T00:00:00"/>
    <n v="2246"/>
    <x v="0"/>
    <x v="0"/>
    <d v="2025-02-05T00:00:00"/>
    <n v="28000"/>
    <n v="415"/>
    <n v="11620000"/>
    <n v="2440200"/>
    <n v="14060200"/>
    <x v="0"/>
    <x v="0"/>
    <x v="0"/>
    <n v="14060200"/>
    <d v="2025-02-05T00:00:00"/>
    <d v="2025-02-06T00:00:00"/>
    <n v="-271"/>
    <x v="0"/>
    <x v="0"/>
    <d v="2025-02-13T00:00:00"/>
    <n v="11765"/>
    <d v="2025-01-21T00:00:00"/>
    <n v="560"/>
    <n v="25107.5"/>
    <n v="-1708.8225"/>
    <n v="23398.677500000002"/>
    <n v="0"/>
    <n v="23398.677500000002"/>
    <x v="0"/>
    <x v="12"/>
    <x v="0"/>
    <x v="0"/>
    <n v="23384"/>
    <n v="14.677500000001601"/>
    <n v="6.2767276770459013E-4"/>
    <n v="8219.4000000008964"/>
    <n v="13095040"/>
    <n v="13103259.4"/>
    <x v="0"/>
    <x v="0"/>
    <x v="3"/>
    <x v="0"/>
    <x v="0"/>
    <n v="1045.9167"/>
    <n v="11109.871369297383"/>
    <n v="396.7811203320494"/>
  </r>
  <r>
    <x v="12"/>
    <x v="0"/>
    <x v="18"/>
    <d v="2025-02-07T00:00:00"/>
    <n v="2250"/>
    <x v="0"/>
    <x v="0"/>
    <d v="2025-02-07T00:00:00"/>
    <n v="28000"/>
    <n v="415"/>
    <n v="11620000"/>
    <n v="2440200"/>
    <n v="14060200"/>
    <x v="0"/>
    <x v="0"/>
    <x v="0"/>
    <n v="14060200"/>
    <d v="2025-02-07T00:00:00"/>
    <d v="2025-02-08T00:00:00"/>
    <n v="-269"/>
    <x v="0"/>
    <x v="0"/>
    <d v="2025-02-15T00:00:00"/>
    <n v="11765"/>
    <d v="2025-01-21T00:00:00"/>
    <n v="560"/>
    <n v="25107.5"/>
    <n v="-1708.8225"/>
    <n v="23398.677500000002"/>
    <n v="0"/>
    <n v="23398.677500000002"/>
    <x v="0"/>
    <x v="12"/>
    <x v="0"/>
    <x v="0"/>
    <n v="23384"/>
    <n v="14.677500000001601"/>
    <n v="6.2767276770459013E-4"/>
    <n v="8219.4000000008964"/>
    <n v="13095040"/>
    <n v="13103259.4"/>
    <x v="0"/>
    <x v="0"/>
    <x v="3"/>
    <x v="0"/>
    <x v="0"/>
    <n v="1045.9167"/>
    <n v="11109.871369297383"/>
    <n v="396.7811203320494"/>
  </r>
  <r>
    <x v="12"/>
    <x v="0"/>
    <x v="18"/>
    <d v="2025-02-08T00:00:00"/>
    <n v="2259"/>
    <x v="0"/>
    <x v="0"/>
    <d v="2025-02-08T00:00:00"/>
    <n v="28000"/>
    <n v="415"/>
    <n v="11620000"/>
    <n v="2440200"/>
    <n v="14060200"/>
    <x v="0"/>
    <x v="0"/>
    <x v="0"/>
    <n v="14060200"/>
    <d v="2025-02-08T00:00:00"/>
    <d v="2025-02-09T00:00:00"/>
    <n v="-268"/>
    <x v="0"/>
    <x v="0"/>
    <d v="2025-02-16T00:00:00"/>
    <n v="11765"/>
    <d v="2025-01-21T00:00:00"/>
    <n v="560"/>
    <n v="25107.5"/>
    <n v="-1708.8225"/>
    <n v="23398.677500000002"/>
    <n v="0"/>
    <n v="23398.677500000002"/>
    <x v="0"/>
    <x v="12"/>
    <x v="0"/>
    <x v="0"/>
    <n v="23384"/>
    <n v="14.677500000001601"/>
    <n v="6.2767276770459013E-4"/>
    <n v="8219.4000000008964"/>
    <n v="13095040"/>
    <n v="13103259.4"/>
    <x v="0"/>
    <x v="0"/>
    <x v="4"/>
    <x v="0"/>
    <x v="0"/>
    <n v="1045.9167"/>
    <n v="11109.871369297383"/>
    <n v="396.7811203320494"/>
  </r>
  <r>
    <x v="12"/>
    <x v="0"/>
    <x v="18"/>
    <d v="2025-02-17T00:00:00"/>
    <n v="2260"/>
    <x v="0"/>
    <x v="0"/>
    <d v="2025-02-11T00:00:00"/>
    <n v="28000"/>
    <n v="415"/>
    <n v="11620000"/>
    <n v="2440200"/>
    <n v="14060200"/>
    <x v="0"/>
    <x v="0"/>
    <x v="0"/>
    <n v="14060200"/>
    <d v="2025-02-17T00:00:00"/>
    <d v="2025-02-18T00:00:00"/>
    <n v="-259"/>
    <x v="0"/>
    <x v="0"/>
    <d v="2025-02-25T00:00:00"/>
    <n v="11765"/>
    <d v="2025-01-21T00:00:00"/>
    <n v="560"/>
    <n v="25107.5"/>
    <n v="-1708.8225"/>
    <n v="23398.677500000002"/>
    <n v="0"/>
    <n v="23398.677500000002"/>
    <x v="0"/>
    <x v="12"/>
    <x v="0"/>
    <x v="0"/>
    <n v="23384"/>
    <n v="14.677500000001601"/>
    <n v="6.2767276770459013E-4"/>
    <n v="8219.4000000008964"/>
    <n v="13095040"/>
    <n v="13103259.4"/>
    <x v="0"/>
    <x v="0"/>
    <x v="3"/>
    <x v="0"/>
    <x v="0"/>
    <n v="1045.9167"/>
    <n v="11109.871369297383"/>
    <n v="396.7811203320494"/>
  </r>
  <r>
    <x v="12"/>
    <x v="0"/>
    <x v="18"/>
    <d v="2025-02-17T00:00:00"/>
    <n v="2261"/>
    <x v="0"/>
    <x v="0"/>
    <d v="2025-02-11T00:00:00"/>
    <n v="28000"/>
    <n v="415"/>
    <n v="11620000"/>
    <n v="2440200"/>
    <n v="14060200"/>
    <x v="0"/>
    <x v="0"/>
    <x v="0"/>
    <n v="14060200"/>
    <d v="2025-02-17T00:00:00"/>
    <d v="2025-02-18T00:00:00"/>
    <n v="-259"/>
    <x v="0"/>
    <x v="0"/>
    <d v="2025-02-25T00:00:00"/>
    <n v="11765"/>
    <d v="2025-01-21T00:00:00"/>
    <n v="560"/>
    <n v="25107.5"/>
    <n v="-1708.8225"/>
    <n v="23398.677500000002"/>
    <n v="0"/>
    <n v="23398.677500000002"/>
    <x v="0"/>
    <x v="12"/>
    <x v="0"/>
    <x v="0"/>
    <n v="23384"/>
    <n v="14.677500000001601"/>
    <n v="6.2767276770459013E-4"/>
    <n v="8219.4000000008964"/>
    <n v="13095040"/>
    <n v="13103259.4"/>
    <x v="0"/>
    <x v="0"/>
    <x v="3"/>
    <x v="0"/>
    <x v="0"/>
    <n v="1045.9167"/>
    <n v="11109.871369297383"/>
    <n v="396.7811203320494"/>
  </r>
  <r>
    <x v="12"/>
    <x v="0"/>
    <x v="18"/>
    <d v="2025-02-17T00:00:00"/>
    <n v="2262"/>
    <x v="0"/>
    <x v="0"/>
    <d v="2025-02-12T00:00:00"/>
    <n v="28000"/>
    <n v="415"/>
    <n v="11620000"/>
    <n v="2440200"/>
    <n v="14060200"/>
    <x v="0"/>
    <x v="0"/>
    <x v="0"/>
    <n v="14060200"/>
    <d v="2025-02-17T00:00:00"/>
    <d v="2025-02-18T00:00:00"/>
    <n v="-259"/>
    <x v="0"/>
    <x v="0"/>
    <d v="2025-02-25T00:00:00"/>
    <n v="11765"/>
    <d v="2025-01-21T00:00:00"/>
    <n v="560"/>
    <n v="25107.5"/>
    <n v="-1708.8225"/>
    <n v="23398.677500000002"/>
    <n v="0"/>
    <n v="23398.677500000002"/>
    <x v="0"/>
    <x v="12"/>
    <x v="0"/>
    <x v="0"/>
    <n v="23384"/>
    <n v="14.677500000001601"/>
    <n v="6.2767276770459013E-4"/>
    <n v="8219.4000000008964"/>
    <n v="13095040"/>
    <n v="13103259.4"/>
    <x v="0"/>
    <x v="0"/>
    <x v="3"/>
    <x v="0"/>
    <x v="0"/>
    <n v="1045.9167"/>
    <n v="11109.871369297383"/>
    <n v="396.7811203320494"/>
  </r>
  <r>
    <x v="12"/>
    <x v="0"/>
    <x v="18"/>
    <d v="2025-02-17T00:00:00"/>
    <n v="2263"/>
    <x v="0"/>
    <x v="0"/>
    <d v="2025-02-14T00:00:00"/>
    <n v="28000"/>
    <n v="415"/>
    <n v="11620000"/>
    <n v="2440200"/>
    <n v="14060200"/>
    <x v="0"/>
    <x v="0"/>
    <x v="0"/>
    <n v="14060200"/>
    <d v="2025-02-17T00:00:00"/>
    <d v="2025-02-18T00:00:00"/>
    <n v="-259"/>
    <x v="0"/>
    <x v="0"/>
    <d v="2025-02-25T00:00:00"/>
    <n v="11765"/>
    <d v="2025-01-21T00:00:00"/>
    <n v="560"/>
    <n v="25107.5"/>
    <n v="-1708.8225"/>
    <n v="23398.677500000002"/>
    <n v="0"/>
    <n v="23398.677500000002"/>
    <x v="0"/>
    <x v="12"/>
    <x v="0"/>
    <x v="0"/>
    <n v="23384"/>
    <n v="14.677500000001601"/>
    <n v="6.2767276770459013E-4"/>
    <n v="8219.4000000008964"/>
    <n v="13095040"/>
    <n v="13103259.4"/>
    <x v="0"/>
    <x v="0"/>
    <x v="5"/>
    <x v="0"/>
    <x v="0"/>
    <n v="1045.9167"/>
    <n v="11109.871369297383"/>
    <n v="396.7811203320494"/>
  </r>
  <r>
    <x v="12"/>
    <x v="0"/>
    <x v="18"/>
    <d v="2025-02-17T00:00:00"/>
    <n v="2264"/>
    <x v="0"/>
    <x v="0"/>
    <d v="2025-02-14T00:00:00"/>
    <n v="28000"/>
    <n v="415"/>
    <n v="11620000"/>
    <n v="2440200"/>
    <n v="14060200"/>
    <x v="0"/>
    <x v="0"/>
    <x v="0"/>
    <n v="14060200"/>
    <d v="2025-02-17T00:00:00"/>
    <d v="2025-02-18T00:00:00"/>
    <n v="-259"/>
    <x v="0"/>
    <x v="0"/>
    <d v="2025-02-25T00:00:00"/>
    <n v="11765"/>
    <d v="2025-01-21T00:00:00"/>
    <n v="560"/>
    <n v="25107.5"/>
    <n v="-1708.8225"/>
    <n v="23398.677500000002"/>
    <n v="0"/>
    <n v="23398.677500000002"/>
    <x v="0"/>
    <x v="12"/>
    <x v="0"/>
    <x v="0"/>
    <n v="23384"/>
    <n v="14.677500000001601"/>
    <n v="6.2767276770459013E-4"/>
    <n v="8219.4000000008964"/>
    <n v="13095040"/>
    <n v="13103259.4"/>
    <x v="0"/>
    <x v="0"/>
    <x v="5"/>
    <x v="0"/>
    <x v="0"/>
    <n v="1045.9167"/>
    <n v="11109.871369297383"/>
    <n v="396.7811203320494"/>
  </r>
  <r>
    <x v="12"/>
    <x v="0"/>
    <x v="18"/>
    <d v="2025-02-18T00:00:00"/>
    <s v="2277-70"/>
    <x v="0"/>
    <x v="0"/>
    <d v="2025-02-18T00:00:00"/>
    <n v="28000"/>
    <n v="415"/>
    <n v="11620000"/>
    <n v="2440200"/>
    <n v="14060200"/>
    <x v="0"/>
    <x v="0"/>
    <x v="0"/>
    <n v="14060200"/>
    <d v="2025-02-18T00:00:00"/>
    <d v="2025-02-19T00:00:00"/>
    <n v="-258"/>
    <x v="0"/>
    <x v="0"/>
    <d v="2025-02-26T00:00:00"/>
    <n v="11765"/>
    <d v="2025-01-21T00:00:00"/>
    <n v="560"/>
    <n v="25107.5"/>
    <n v="-1708.8225"/>
    <n v="23398.677500000002"/>
    <n v="0"/>
    <n v="23398.677500000002"/>
    <x v="0"/>
    <x v="12"/>
    <x v="0"/>
    <x v="0"/>
    <n v="23384"/>
    <n v="14.677500000001601"/>
    <n v="6.2767276770459013E-4"/>
    <n v="8219.4000000008964"/>
    <n v="13095040"/>
    <n v="13103259.4"/>
    <x v="0"/>
    <x v="0"/>
    <x v="5"/>
    <x v="0"/>
    <x v="0"/>
    <n v="1045.9167"/>
    <n v="11109.871369297383"/>
    <n v="396.7811203320494"/>
  </r>
  <r>
    <x v="12"/>
    <x v="0"/>
    <x v="18"/>
    <d v="2025-02-21T00:00:00"/>
    <s v="2275-78"/>
    <x v="0"/>
    <x v="0"/>
    <d v="2025-02-21T00:00:00"/>
    <n v="28000"/>
    <n v="415"/>
    <n v="11620000"/>
    <n v="2440200"/>
    <n v="14060200"/>
    <x v="0"/>
    <x v="0"/>
    <x v="0"/>
    <n v="14060200"/>
    <d v="2025-02-21T00:00:00"/>
    <d v="2025-02-22T00:00:00"/>
    <n v="-255"/>
    <x v="0"/>
    <x v="0"/>
    <d v="2025-03-01T00:00:00"/>
    <n v="11765"/>
    <d v="2025-01-21T00:00:00"/>
    <n v="560"/>
    <n v="25107.5"/>
    <n v="-1708.8225"/>
    <n v="23398.677500000002"/>
    <n v="0"/>
    <n v="23398.677500000002"/>
    <x v="0"/>
    <x v="12"/>
    <x v="0"/>
    <x v="0"/>
    <n v="23384"/>
    <n v="14.677500000001601"/>
    <n v="6.2767276770459013E-4"/>
    <n v="8219.4000000008964"/>
    <n v="13095040"/>
    <n v="13103259.4"/>
    <x v="0"/>
    <x v="0"/>
    <x v="5"/>
    <x v="0"/>
    <x v="0"/>
    <n v="1045.9167"/>
    <n v="11109.871369297383"/>
    <n v="396.7811203320494"/>
  </r>
  <r>
    <x v="12"/>
    <x v="0"/>
    <x v="4"/>
    <d v="2025-01-23T00:00:00"/>
    <s v="V27"/>
    <x v="0"/>
    <x v="0"/>
    <d v="2025-01-23T00:00:00"/>
    <n v="40000"/>
    <n v="440"/>
    <n v="17600000"/>
    <m/>
    <n v="17600000"/>
    <x v="0"/>
    <x v="0"/>
    <x v="0"/>
    <n v="17600000"/>
    <d v="2025-01-23T00:00:00"/>
    <d v="2025-01-23T00:00:00"/>
    <n v="-285"/>
    <x v="0"/>
    <x v="2"/>
    <d v="2025-01-30T00:00:00"/>
    <s v="SOC 24"/>
    <d v="2025-01-22T00:00:00"/>
    <n v="800"/>
    <n v="22000"/>
    <n v="0"/>
    <n v="22000"/>
    <n v="0"/>
    <n v="22000"/>
    <x v="0"/>
    <x v="3"/>
    <x v="3"/>
    <x v="2"/>
    <n v="19334.710743801654"/>
    <n v="2665.2892561983463"/>
    <n v="0.13784996794186788"/>
    <n v="2132231.404958677"/>
    <n v="15467768.595041323"/>
    <n v="17600000"/>
    <x v="0"/>
    <x v="0"/>
    <x v="5"/>
    <x v="0"/>
    <x v="0"/>
    <n v="1047.25"/>
    <n v="16805.920267366913"/>
    <n v="420.14800668417286"/>
  </r>
  <r>
    <x v="12"/>
    <x v="0"/>
    <x v="4"/>
    <d v="2025-01-22T00:00:00"/>
    <s v="V28"/>
    <x v="0"/>
    <x v="0"/>
    <d v="2025-01-22T00:00:00"/>
    <n v="40000"/>
    <n v="440"/>
    <n v="17600000"/>
    <m/>
    <n v="17600000"/>
    <x v="0"/>
    <x v="0"/>
    <x v="0"/>
    <n v="17600000"/>
    <d v="2025-01-22T00:00:00"/>
    <d v="2025-01-22T00:00:00"/>
    <n v="-286"/>
    <x v="0"/>
    <x v="2"/>
    <d v="2025-01-29T00:00:00"/>
    <s v="SOC 24"/>
    <d v="2025-01-22T00:00:00"/>
    <n v="800"/>
    <n v="22000"/>
    <n v="0"/>
    <n v="22000"/>
    <n v="0"/>
    <n v="22000"/>
    <x v="0"/>
    <x v="3"/>
    <x v="3"/>
    <x v="2"/>
    <n v="19334.710743801654"/>
    <n v="2665.2892561983463"/>
    <n v="0.13784996794186788"/>
    <n v="2132231.404958677"/>
    <n v="15467768.595041323"/>
    <n v="17600000"/>
    <x v="0"/>
    <x v="0"/>
    <x v="5"/>
    <x v="0"/>
    <x v="0"/>
    <n v="1047.25"/>
    <n v="16805.920267366913"/>
    <n v="420.14800668417286"/>
  </r>
  <r>
    <x v="12"/>
    <x v="0"/>
    <x v="4"/>
    <d v="2025-01-27T00:00:00"/>
    <s v="V29"/>
    <x v="0"/>
    <x v="0"/>
    <d v="2025-01-27T00:00:00"/>
    <n v="40000"/>
    <n v="440"/>
    <n v="17600000"/>
    <m/>
    <n v="17600000"/>
    <x v="0"/>
    <x v="0"/>
    <x v="0"/>
    <n v="17600000"/>
    <d v="2025-01-27T00:00:00"/>
    <d v="2025-01-27T00:00:00"/>
    <n v="-281"/>
    <x v="0"/>
    <x v="2"/>
    <d v="2025-02-03T00:00:00"/>
    <s v="SOC 24"/>
    <d v="2025-01-22T00:00:00"/>
    <n v="800"/>
    <n v="22000"/>
    <n v="0"/>
    <n v="22000"/>
    <n v="0"/>
    <n v="22000"/>
    <x v="0"/>
    <x v="3"/>
    <x v="3"/>
    <x v="2"/>
    <n v="19334.710743801654"/>
    <n v="2665.2892561983463"/>
    <n v="0.13784996794186788"/>
    <n v="2132231.404958677"/>
    <n v="15467768.595041323"/>
    <n v="17600000"/>
    <x v="0"/>
    <x v="0"/>
    <x v="5"/>
    <x v="0"/>
    <x v="0"/>
    <n v="1047.25"/>
    <n v="16805.920267366913"/>
    <n v="420.14800668417286"/>
  </r>
  <r>
    <x v="12"/>
    <x v="0"/>
    <x v="4"/>
    <d v="2025-01-29T00:00:00"/>
    <s v="V30"/>
    <x v="0"/>
    <x v="0"/>
    <d v="2025-01-29T00:00:00"/>
    <n v="40000"/>
    <n v="440"/>
    <n v="17600000"/>
    <m/>
    <n v="17600000"/>
    <x v="0"/>
    <x v="0"/>
    <x v="0"/>
    <n v="17600000"/>
    <d v="2025-01-29T00:00:00"/>
    <d v="2025-01-29T00:00:00"/>
    <n v="-279"/>
    <x v="0"/>
    <x v="2"/>
    <d v="2025-02-05T00:00:00"/>
    <s v="SOC 24"/>
    <d v="2025-01-22T00:00:00"/>
    <n v="800"/>
    <n v="22000"/>
    <n v="0"/>
    <n v="22000"/>
    <n v="0"/>
    <n v="22000"/>
    <x v="0"/>
    <x v="3"/>
    <x v="3"/>
    <x v="2"/>
    <n v="19334.710743801654"/>
    <n v="2665.2892561983463"/>
    <n v="0.13784996794186788"/>
    <n v="2132231.404958677"/>
    <n v="15467768.595041323"/>
    <n v="17600000"/>
    <x v="0"/>
    <x v="0"/>
    <x v="5"/>
    <x v="0"/>
    <x v="0"/>
    <n v="1047.25"/>
    <n v="16805.920267366913"/>
    <n v="420.14800668417286"/>
  </r>
  <r>
    <x v="12"/>
    <x v="0"/>
    <x v="4"/>
    <d v="2025-01-30T00:00:00"/>
    <s v="V31"/>
    <x v="0"/>
    <x v="0"/>
    <d v="2025-01-30T00:00:00"/>
    <n v="40000"/>
    <n v="440"/>
    <n v="17600000"/>
    <m/>
    <n v="17600000"/>
    <x v="0"/>
    <x v="0"/>
    <x v="0"/>
    <n v="17600000"/>
    <d v="2025-01-30T00:00:00"/>
    <d v="2025-01-30T00:00:00"/>
    <n v="-278"/>
    <x v="0"/>
    <x v="2"/>
    <d v="2025-02-06T00:00:00"/>
    <s v="SOC 24"/>
    <d v="2025-01-22T00:00:00"/>
    <n v="800"/>
    <n v="22000"/>
    <n v="0"/>
    <n v="22000"/>
    <n v="0"/>
    <n v="22000"/>
    <x v="0"/>
    <x v="3"/>
    <x v="3"/>
    <x v="2"/>
    <n v="19334.710743801654"/>
    <n v="2665.2892561983463"/>
    <n v="0.13784996794186788"/>
    <n v="2132231.404958677"/>
    <n v="15467768.595041323"/>
    <n v="17600000"/>
    <x v="0"/>
    <x v="0"/>
    <x v="5"/>
    <x v="0"/>
    <x v="0"/>
    <n v="1047.25"/>
    <n v="16805.920267366913"/>
    <n v="420.14800668417286"/>
  </r>
  <r>
    <x v="12"/>
    <x v="0"/>
    <x v="16"/>
    <d v="2025-01-29T00:00:00"/>
    <n v="2233"/>
    <x v="0"/>
    <x v="0"/>
    <d v="2025-01-29T00:00:00"/>
    <n v="28000"/>
    <n v="460"/>
    <n v="12880000"/>
    <n v="2704800"/>
    <n v="15584800"/>
    <x v="0"/>
    <x v="0"/>
    <x v="0"/>
    <n v="15584800"/>
    <d v="2025-02-05T00:00:00"/>
    <d v="2025-02-28T00:00:00"/>
    <n v="-249"/>
    <x v="3"/>
    <x v="0"/>
    <d v="2025-03-07T00:00:00"/>
    <n v="14482"/>
    <d v="2025-01-23T00:00:00"/>
    <n v="560"/>
    <n v="27830"/>
    <n v="-2970.0780999999997"/>
    <n v="24859.921900000001"/>
    <n v="-293.54931506849317"/>
    <n v="24566.372584931509"/>
    <x v="0"/>
    <x v="10"/>
    <x v="1"/>
    <x v="0"/>
    <n v="23405"/>
    <n v="1161.3725849315088"/>
    <n v="4.9620704333753762E-2"/>
    <n v="650368.6475616449"/>
    <n v="13106800"/>
    <n v="13757168.647561645"/>
    <x v="0"/>
    <x v="0"/>
    <x v="5"/>
    <x v="0"/>
    <x v="0"/>
    <n v="1047.6667"/>
    <n v="12293.986245816537"/>
    <n v="439.07093735059061"/>
  </r>
  <r>
    <x v="12"/>
    <x v="0"/>
    <x v="16"/>
    <d v="2025-01-30T00:00:00"/>
    <n v="2238"/>
    <x v="0"/>
    <x v="0"/>
    <d v="2025-01-30T00:00:00"/>
    <n v="28000"/>
    <n v="460"/>
    <n v="12880000"/>
    <n v="2704800"/>
    <n v="15584800"/>
    <x v="0"/>
    <x v="0"/>
    <x v="0"/>
    <n v="15584800"/>
    <d v="2025-02-06T00:00:00"/>
    <d v="2025-03-01T00:00:00"/>
    <n v="-248"/>
    <x v="3"/>
    <x v="0"/>
    <d v="2025-03-08T00:00:00"/>
    <n v="14483"/>
    <d v="2025-01-23T00:00:00"/>
    <n v="560"/>
    <n v="27830"/>
    <n v="-2970.0780999999997"/>
    <n v="24859.921900000001"/>
    <n v="-293.54931506849317"/>
    <n v="24566.372584931509"/>
    <x v="0"/>
    <x v="10"/>
    <x v="1"/>
    <x v="0"/>
    <n v="23405"/>
    <n v="1161.3725849315088"/>
    <n v="4.9620704333753762E-2"/>
    <n v="650368.6475616449"/>
    <n v="13106800"/>
    <n v="13757168.647561645"/>
    <x v="0"/>
    <x v="0"/>
    <x v="5"/>
    <x v="0"/>
    <x v="0"/>
    <n v="1047.6667"/>
    <n v="12293.986245816537"/>
    <n v="439.07093735059061"/>
  </r>
  <r>
    <x v="12"/>
    <x v="0"/>
    <x v="34"/>
    <d v="2025-01-23T00:00:00"/>
    <n v="2224"/>
    <x v="0"/>
    <x v="0"/>
    <d v="2025-01-28T00:00:00"/>
    <n v="31000"/>
    <n v="410"/>
    <n v="12710000"/>
    <n v="2669100"/>
    <n v="15379100"/>
    <x v="0"/>
    <x v="0"/>
    <x v="0"/>
    <n v="15379100"/>
    <d v="2025-01-28T00:00:00"/>
    <d v="2025-01-28T00:00:00"/>
    <n v="-280"/>
    <x v="0"/>
    <x v="0"/>
    <d v="2025-02-04T00:00:00"/>
    <s v="WS 23.01"/>
    <d v="2025-01-23T00:00:00"/>
    <n v="620"/>
    <n v="24805"/>
    <n v="0"/>
    <n v="24805"/>
    <n v="0"/>
    <n v="24805"/>
    <x v="0"/>
    <x v="3"/>
    <x v="2"/>
    <x v="0"/>
    <n v="23405"/>
    <n v="1400"/>
    <n v="5.9816278572954573E-2"/>
    <n v="868000"/>
    <n v="14511100"/>
    <n v="15379100"/>
    <x v="0"/>
    <x v="0"/>
    <x v="5"/>
    <x v="0"/>
    <x v="0"/>
    <n v="1047.6667"/>
    <n v="12131.720899404363"/>
    <n v="391.34583546465689"/>
  </r>
  <r>
    <x v="12"/>
    <x v="0"/>
    <x v="28"/>
    <d v="2025-02-03T00:00:00"/>
    <n v="2240"/>
    <x v="0"/>
    <x v="0"/>
    <d v="2025-02-03T00:00:00"/>
    <n v="28000"/>
    <n v="485"/>
    <n v="13580000"/>
    <n v="2851800"/>
    <n v="16431800"/>
    <x v="0"/>
    <x v="0"/>
    <x v="0"/>
    <n v="16431800"/>
    <d v="2025-02-03T00:00:00"/>
    <d v="2025-03-05T00:00:00"/>
    <n v="-244"/>
    <x v="0"/>
    <x v="0"/>
    <d v="2025-03-12T00:00:00"/>
    <s v="WS 24/01"/>
    <d v="2025-01-24T00:00:00"/>
    <n v="560"/>
    <n v="29342.5"/>
    <n v="-2744.5219999999999"/>
    <n v="26597.977999999999"/>
    <n v="0"/>
    <n v="26597.977999999999"/>
    <x v="0"/>
    <x v="19"/>
    <x v="1"/>
    <x v="0"/>
    <n v="23415"/>
    <n v="3182.9779999999992"/>
    <n v="0.13593756139226998"/>
    <n v="1782467.6799999995"/>
    <n v="13112400"/>
    <n v="14894867.68"/>
    <x v="0"/>
    <x v="0"/>
    <x v="5"/>
    <x v="0"/>
    <x v="0"/>
    <n v="1049.5833"/>
    <n v="12938.468056799304"/>
    <n v="462.08814488568942"/>
  </r>
  <r>
    <x v="12"/>
    <x v="0"/>
    <x v="28"/>
    <d v="2025-02-19T00:00:00"/>
    <n v="2269"/>
    <x v="0"/>
    <x v="0"/>
    <d v="2025-02-19T00:00:00"/>
    <n v="28000"/>
    <n v="485"/>
    <n v="13580000"/>
    <n v="2851800"/>
    <n v="16431800"/>
    <x v="0"/>
    <x v="0"/>
    <x v="0"/>
    <n v="16431800"/>
    <d v="2025-02-19T00:00:00"/>
    <d v="2025-03-21T00:00:00"/>
    <n v="-228"/>
    <x v="0"/>
    <x v="0"/>
    <d v="2025-03-28T00:00:00"/>
    <s v="WS 24/01"/>
    <d v="2025-01-24T00:00:00"/>
    <n v="560"/>
    <n v="29342.5"/>
    <n v="-2744.5219999999999"/>
    <n v="26597.977999999999"/>
    <n v="0"/>
    <n v="26597.977999999999"/>
    <x v="0"/>
    <x v="19"/>
    <x v="1"/>
    <x v="0"/>
    <n v="23415"/>
    <n v="3182.9779999999992"/>
    <n v="0.13593756139226998"/>
    <n v="1782467.6799999995"/>
    <n v="13112400"/>
    <n v="14894867.68"/>
    <x v="0"/>
    <x v="0"/>
    <x v="5"/>
    <x v="0"/>
    <x v="0"/>
    <n v="1049.5833"/>
    <n v="12938.468056799304"/>
    <n v="462.08814488568942"/>
  </r>
  <r>
    <x v="12"/>
    <x v="0"/>
    <x v="16"/>
    <d v="2025-02-02T00:00:00"/>
    <n v="2241"/>
    <x v="0"/>
    <x v="0"/>
    <d v="2025-02-02T00:00:00"/>
    <n v="27377.777777777777"/>
    <n v="450"/>
    <n v="12320000"/>
    <n v="2587200"/>
    <n v="14907200"/>
    <x v="0"/>
    <x v="0"/>
    <x v="0"/>
    <n v="14907200"/>
    <d v="2025-02-09T00:00:00"/>
    <d v="2025-03-04T00:00:00"/>
    <n v="-245"/>
    <x v="3"/>
    <x v="3"/>
    <d v="2025-03-11T00:00:00"/>
    <n v="15417"/>
    <d v="2025-01-29T00:00:00"/>
    <n v="547.55555555555554"/>
    <n v="27225"/>
    <n v="-2737.625"/>
    <n v="24487.375"/>
    <n v="-287.16780821917808"/>
    <n v="24200.207191780821"/>
    <x v="0"/>
    <x v="9"/>
    <x v="1"/>
    <x v="0"/>
    <n v="23465"/>
    <n v="735.20719178082072"/>
    <n v="3.1332077212052889E-2"/>
    <n v="402566.78234398714"/>
    <n v="12848391.11111111"/>
    <n v="13250957.893455097"/>
    <x v="0"/>
    <x v="0"/>
    <x v="5"/>
    <x v="0"/>
    <x v="0"/>
    <n v="1051.5833"/>
    <n v="11715.667222938971"/>
    <n v="427.92615668202416"/>
  </r>
  <r>
    <x v="12"/>
    <x v="0"/>
    <x v="1"/>
    <d v="2025-01-30T00:00:00"/>
    <n v="2234"/>
    <x v="0"/>
    <x v="0"/>
    <d v="2025-02-28T00:00:00"/>
    <n v="28000"/>
    <n v="480"/>
    <n v="13440000"/>
    <n v="2822400"/>
    <n v="16262400"/>
    <x v="0"/>
    <x v="0"/>
    <x v="0"/>
    <n v="16262400"/>
    <d v="2025-01-30T00:00:00"/>
    <d v="2025-03-16T00:00:00"/>
    <n v="-233"/>
    <x v="0"/>
    <x v="0"/>
    <d v="2025-03-23T00:00:00"/>
    <n v="27011746"/>
    <d v="2025-01-27T00:00:00"/>
    <n v="560"/>
    <n v="29040"/>
    <n v="-3977.27"/>
    <n v="25062.73"/>
    <n v="0"/>
    <n v="25062.73"/>
    <x v="0"/>
    <x v="2"/>
    <x v="1"/>
    <x v="0"/>
    <n v="23445"/>
    <n v="1617.7299999999996"/>
    <n v="6.9001066325442562E-2"/>
    <n v="905928.79999999981"/>
    <n v="13129200"/>
    <n v="14035128.799999999"/>
    <x v="0"/>
    <x v="0"/>
    <x v="5"/>
    <x v="0"/>
    <x v="0"/>
    <n v="1050.5"/>
    <n v="12793.907663017611"/>
    <n v="456.92527367920042"/>
  </r>
  <r>
    <x v="12"/>
    <x v="0"/>
    <x v="15"/>
    <d v="2025-02-17T00:00:00"/>
    <n v="2266"/>
    <x v="0"/>
    <x v="0"/>
    <d v="2025-02-11T00:00:00"/>
    <n v="28000"/>
    <n v="460"/>
    <n v="12880000"/>
    <n v="2704800"/>
    <n v="15584800"/>
    <x v="0"/>
    <x v="0"/>
    <x v="0"/>
    <n v="15584800"/>
    <d v="2025-02-11T00:00:00"/>
    <d v="2025-03-19T00:00:00"/>
    <n v="-230"/>
    <x v="0"/>
    <x v="4"/>
    <d v="2025-03-26T00:00:00"/>
    <s v="WP 30/01"/>
    <d v="2025-01-30T00:00:00"/>
    <n v="560"/>
    <n v="27830"/>
    <n v="-2739.9844999999996"/>
    <n v="25090.015500000001"/>
    <n v="0"/>
    <n v="25090.015500000001"/>
    <x v="0"/>
    <x v="8"/>
    <x v="1"/>
    <x v="0"/>
    <n v="23475"/>
    <n v="1615.0155000000013"/>
    <n v="6.8797252396166186E-2"/>
    <n v="904408.68000000075"/>
    <n v="13146000"/>
    <n v="14050408.680000002"/>
    <x v="0"/>
    <x v="0"/>
    <x v="5"/>
    <x v="0"/>
    <x v="0"/>
    <n v="1052.5"/>
    <n v="12237.529691211401"/>
    <n v="437.05463182897859"/>
  </r>
  <r>
    <x v="12"/>
    <x v="0"/>
    <x v="15"/>
    <d v="2025-02-24T00:00:00"/>
    <n v="2279"/>
    <x v="0"/>
    <x v="0"/>
    <d v="2025-02-21T00:00:00"/>
    <n v="28000"/>
    <n v="460"/>
    <n v="12880000"/>
    <n v="2704800"/>
    <n v="15584800"/>
    <x v="0"/>
    <x v="0"/>
    <x v="0"/>
    <n v="15584800"/>
    <d v="2025-02-21T00:00:00"/>
    <d v="2025-03-26T00:00:00"/>
    <n v="-223"/>
    <x v="0"/>
    <x v="4"/>
    <d v="2025-04-02T00:00:00"/>
    <s v="WP 30/01"/>
    <d v="2025-01-30T00:00:00"/>
    <n v="560"/>
    <n v="27830"/>
    <n v="-2739.9844999999996"/>
    <n v="25090.015500000001"/>
    <n v="0"/>
    <n v="25090.015500000001"/>
    <x v="0"/>
    <x v="8"/>
    <x v="1"/>
    <x v="0"/>
    <n v="23475"/>
    <n v="1615.0155000000013"/>
    <n v="6.8797252396166186E-2"/>
    <n v="904408.68000000075"/>
    <n v="13146000"/>
    <n v="14050408.680000002"/>
    <x v="0"/>
    <x v="0"/>
    <x v="5"/>
    <x v="0"/>
    <x v="0"/>
    <n v="1052.5"/>
    <n v="12237.529691211401"/>
    <n v="437.05463182897859"/>
  </r>
  <r>
    <x v="12"/>
    <x v="0"/>
    <x v="6"/>
    <d v="2025-02-10T00:00:00"/>
    <n v="2267"/>
    <x v="0"/>
    <x v="0"/>
    <d v="2025-02-10T00:00:00"/>
    <n v="28000"/>
    <n v="488"/>
    <n v="13664000"/>
    <n v="2869440"/>
    <n v="16533440"/>
    <x v="0"/>
    <x v="0"/>
    <x v="0"/>
    <n v="16533440"/>
    <d v="2025-02-10T00:00:00"/>
    <d v="2025-03-12T00:00:00"/>
    <n v="-237"/>
    <x v="0"/>
    <x v="0"/>
    <d v="2025-03-19T00:00:00"/>
    <n v="13940"/>
    <d v="2025-01-30T00:00:00"/>
    <n v="560"/>
    <n v="29524"/>
    <n v="-3501.3164999999999"/>
    <n v="26022.683499999999"/>
    <n v="0"/>
    <n v="26022.683499999999"/>
    <x v="0"/>
    <x v="5"/>
    <x v="1"/>
    <x v="0"/>
    <n v="23475"/>
    <n v="2547.6834999999992"/>
    <n v="0.10852751863684773"/>
    <n v="1426702.7599999995"/>
    <n v="13146000"/>
    <n v="14572702.76"/>
    <x v="0"/>
    <x v="0"/>
    <x v="3"/>
    <x v="0"/>
    <x v="0"/>
    <n v="1052.5"/>
    <n v="12982.422802850357"/>
    <n v="463.65795724465562"/>
  </r>
  <r>
    <x v="12"/>
    <x v="0"/>
    <x v="4"/>
    <d v="2025-02-03T00:00:00"/>
    <s v="V32"/>
    <x v="0"/>
    <x v="0"/>
    <d v="2025-02-03T00:00:00"/>
    <n v="40000"/>
    <n v="440"/>
    <n v="17600000"/>
    <m/>
    <n v="17600000"/>
    <x v="0"/>
    <x v="0"/>
    <x v="0"/>
    <n v="17600000"/>
    <d v="2025-02-03T00:00:00"/>
    <d v="2025-02-03T00:00:00"/>
    <n v="-274"/>
    <x v="0"/>
    <x v="2"/>
    <d v="2025-02-10T00:00:00"/>
    <s v="SOC 24"/>
    <d v="2025-01-31T00:00:00"/>
    <n v="800"/>
    <n v="22000"/>
    <n v="0"/>
    <n v="22000"/>
    <n v="0"/>
    <n v="22000"/>
    <x v="0"/>
    <x v="3"/>
    <x v="3"/>
    <x v="2"/>
    <n v="19404.958677685951"/>
    <n v="2595.0413223140495"/>
    <n v="0.13373083475298131"/>
    <n v="2076033.0578512396"/>
    <n v="15523966.94214876"/>
    <n v="17600000"/>
    <x v="0"/>
    <x v="0"/>
    <x v="3"/>
    <x v="0"/>
    <x v="0"/>
    <n v="1053.5"/>
    <n v="16706.217370669197"/>
    <n v="417.65543426672991"/>
  </r>
  <r>
    <x v="12"/>
    <x v="0"/>
    <x v="4"/>
    <d v="2025-02-04T00:00:00"/>
    <s v="V33"/>
    <x v="0"/>
    <x v="0"/>
    <d v="2025-02-04T00:00:00"/>
    <n v="40000"/>
    <n v="440"/>
    <n v="17600000"/>
    <m/>
    <n v="17600000"/>
    <x v="0"/>
    <x v="0"/>
    <x v="0"/>
    <n v="17600000"/>
    <d v="2025-02-04T00:00:00"/>
    <d v="2025-02-04T00:00:00"/>
    <n v="-273"/>
    <x v="0"/>
    <x v="2"/>
    <d v="2025-02-11T00:00:00"/>
    <s v="SOC 24"/>
    <d v="2025-01-31T00:00:00"/>
    <n v="800"/>
    <n v="22000"/>
    <n v="0"/>
    <n v="22000"/>
    <n v="0"/>
    <n v="22000"/>
    <x v="0"/>
    <x v="3"/>
    <x v="3"/>
    <x v="2"/>
    <n v="19404.958677685951"/>
    <n v="2595.0413223140495"/>
    <n v="0.13373083475298131"/>
    <n v="2076033.0578512396"/>
    <n v="15523966.94214876"/>
    <n v="17600000"/>
    <x v="0"/>
    <x v="0"/>
    <x v="5"/>
    <x v="0"/>
    <x v="0"/>
    <n v="1053.5"/>
    <n v="16706.217370669197"/>
    <n v="417.65543426672991"/>
  </r>
  <r>
    <x v="12"/>
    <x v="0"/>
    <x v="4"/>
    <d v="2025-02-05T00:00:00"/>
    <s v="V34"/>
    <x v="0"/>
    <x v="0"/>
    <d v="2025-02-05T00:00:00"/>
    <n v="40000"/>
    <n v="440"/>
    <n v="17600000"/>
    <m/>
    <n v="17600000"/>
    <x v="0"/>
    <x v="0"/>
    <x v="0"/>
    <n v="17600000"/>
    <d v="2025-02-05T00:00:00"/>
    <d v="2025-02-05T00:00:00"/>
    <n v="-272"/>
    <x v="0"/>
    <x v="2"/>
    <d v="2025-02-12T00:00:00"/>
    <s v="SOC 24"/>
    <d v="2025-01-31T00:00:00"/>
    <n v="800"/>
    <n v="22000"/>
    <n v="0"/>
    <n v="22000"/>
    <n v="0"/>
    <n v="22000"/>
    <x v="0"/>
    <x v="3"/>
    <x v="3"/>
    <x v="2"/>
    <n v="19404.958677685951"/>
    <n v="2595.0413223140495"/>
    <n v="0.13373083475298131"/>
    <n v="2076033.0578512396"/>
    <n v="15523966.94214876"/>
    <n v="17600000"/>
    <x v="0"/>
    <x v="0"/>
    <x v="5"/>
    <x v="0"/>
    <x v="0"/>
    <n v="1053.5"/>
    <n v="16706.217370669197"/>
    <n v="417.65543426672991"/>
  </r>
  <r>
    <x v="12"/>
    <x v="0"/>
    <x v="4"/>
    <d v="2025-02-07T00:00:00"/>
    <s v="V35"/>
    <x v="0"/>
    <x v="0"/>
    <d v="2025-02-07T00:00:00"/>
    <n v="40000"/>
    <n v="440"/>
    <n v="17600000"/>
    <m/>
    <n v="17600000"/>
    <x v="0"/>
    <x v="0"/>
    <x v="0"/>
    <n v="17600000"/>
    <d v="2025-02-07T00:00:00"/>
    <d v="2025-02-07T00:00:00"/>
    <n v="-270"/>
    <x v="0"/>
    <x v="2"/>
    <d v="2025-02-14T00:00:00"/>
    <s v="SOC 24"/>
    <d v="2025-01-31T00:00:00"/>
    <n v="800"/>
    <n v="22000"/>
    <n v="0"/>
    <n v="22000"/>
    <n v="0"/>
    <n v="22000"/>
    <x v="0"/>
    <x v="3"/>
    <x v="3"/>
    <x v="2"/>
    <n v="19404.958677685951"/>
    <n v="2595.0413223140495"/>
    <n v="0.13373083475298131"/>
    <n v="2076033.0578512396"/>
    <n v="15523966.94214876"/>
    <n v="17600000"/>
    <x v="0"/>
    <x v="0"/>
    <x v="5"/>
    <x v="0"/>
    <x v="0"/>
    <n v="1053.5"/>
    <n v="16706.217370669197"/>
    <n v="417.65543426672991"/>
  </r>
  <r>
    <x v="12"/>
    <x v="0"/>
    <x v="4"/>
    <d v="2025-02-07T00:00:00"/>
    <s v="V36"/>
    <x v="0"/>
    <x v="0"/>
    <d v="2025-02-07T00:00:00"/>
    <n v="40000"/>
    <n v="440"/>
    <n v="17600000"/>
    <m/>
    <n v="17600000"/>
    <x v="0"/>
    <x v="0"/>
    <x v="0"/>
    <n v="17600000"/>
    <d v="2025-02-07T00:00:00"/>
    <d v="2025-02-07T00:00:00"/>
    <n v="-270"/>
    <x v="0"/>
    <x v="2"/>
    <d v="2025-02-14T00:00:00"/>
    <s v="SOC 24"/>
    <d v="2025-01-31T00:00:00"/>
    <n v="800"/>
    <n v="22000"/>
    <n v="0"/>
    <n v="22000"/>
    <n v="0"/>
    <n v="22000"/>
    <x v="0"/>
    <x v="3"/>
    <x v="3"/>
    <x v="2"/>
    <n v="19404.958677685951"/>
    <n v="2595.0413223140495"/>
    <n v="0.13373083475298131"/>
    <n v="2076033.0578512396"/>
    <n v="15523966.94214876"/>
    <n v="17600000"/>
    <x v="0"/>
    <x v="0"/>
    <x v="5"/>
    <x v="0"/>
    <x v="0"/>
    <n v="1053.5"/>
    <n v="16706.217370669197"/>
    <n v="417.65543426672991"/>
  </r>
  <r>
    <x v="12"/>
    <x v="0"/>
    <x v="16"/>
    <d v="2025-02-05T00:00:00"/>
    <n v="2244"/>
    <x v="0"/>
    <x v="0"/>
    <d v="2025-02-05T00:00:00"/>
    <n v="28000"/>
    <n v="455"/>
    <n v="12740000"/>
    <n v="2675400"/>
    <n v="15415400"/>
    <x v="0"/>
    <x v="0"/>
    <x v="0"/>
    <n v="15415400"/>
    <d v="2025-02-12T00:00:00"/>
    <d v="2025-03-07T00:00:00"/>
    <n v="-242"/>
    <x v="3"/>
    <x v="3"/>
    <d v="2025-03-14T00:00:00"/>
    <n v="15434"/>
    <d v="2025-01-29T00:00:00"/>
    <n v="560"/>
    <n v="27527.5"/>
    <n v="-2738.5324999999998"/>
    <n v="24788.967499999999"/>
    <n v="-290.35856164383557"/>
    <n v="24498.608938356163"/>
    <x v="0"/>
    <x v="9"/>
    <x v="1"/>
    <x v="0"/>
    <n v="23465"/>
    <n v="1033.608938356163"/>
    <n v="4.4048963918864814E-2"/>
    <n v="578821.00547945127"/>
    <n v="13140400"/>
    <n v="13719221.005479451"/>
    <x v="0"/>
    <x v="0"/>
    <x v="5"/>
    <x v="0"/>
    <x v="0"/>
    <n v="1051.5833"/>
    <n v="12115.064969175528"/>
    <n v="432.68089175626886"/>
  </r>
  <r>
    <x v="12"/>
    <x v="0"/>
    <x v="16"/>
    <d v="2025-02-05T00:00:00"/>
    <n v="2245"/>
    <x v="0"/>
    <x v="0"/>
    <d v="2025-02-05T00:00:00"/>
    <n v="28000"/>
    <n v="460"/>
    <n v="12880000"/>
    <n v="2704800"/>
    <n v="15584800"/>
    <x v="0"/>
    <x v="0"/>
    <x v="0"/>
    <n v="15584800"/>
    <d v="2025-02-12T00:00:00"/>
    <d v="2025-03-07T00:00:00"/>
    <n v="-242"/>
    <x v="3"/>
    <x v="0"/>
    <d v="2025-03-14T00:00:00"/>
    <n v="14539"/>
    <d v="2025-01-31T00:00:00"/>
    <n v="560"/>
    <n v="27830"/>
    <n v="-2970.0780999999997"/>
    <n v="24859.921900000001"/>
    <n v="-293.54931506849317"/>
    <n v="24566.372584931509"/>
    <x v="0"/>
    <x v="10"/>
    <x v="1"/>
    <x v="0"/>
    <n v="23480"/>
    <n v="1086.3725849315088"/>
    <n v="4.6267997654663828E-2"/>
    <n v="608368.6475616449"/>
    <n v="13148800"/>
    <n v="13757168.647561645"/>
    <x v="0"/>
    <x v="0"/>
    <x v="3"/>
    <x v="0"/>
    <x v="0"/>
    <n v="1053.5"/>
    <n v="12225.913621262458"/>
    <n v="436.63977218794491"/>
  </r>
  <r>
    <x v="12"/>
    <x v="0"/>
    <x v="16"/>
    <d v="2025-02-06T00:00:00"/>
    <n v="2251"/>
    <x v="0"/>
    <x v="0"/>
    <d v="2025-02-06T00:00:00"/>
    <n v="28000"/>
    <n v="460"/>
    <n v="12880000"/>
    <n v="2704800"/>
    <n v="15584800"/>
    <x v="0"/>
    <x v="0"/>
    <x v="0"/>
    <n v="15584800"/>
    <d v="2025-02-13T00:00:00"/>
    <d v="2025-03-08T00:00:00"/>
    <n v="-241"/>
    <x v="3"/>
    <x v="0"/>
    <d v="2025-03-15T00:00:00"/>
    <n v="14540"/>
    <d v="2025-01-31T00:00:00"/>
    <n v="560"/>
    <n v="27830"/>
    <n v="-2970.0780999999997"/>
    <n v="24859.921900000001"/>
    <n v="-293.54931506849317"/>
    <n v="24566.372584931509"/>
    <x v="0"/>
    <x v="10"/>
    <x v="1"/>
    <x v="0"/>
    <n v="23480"/>
    <n v="1086.3725849315088"/>
    <n v="4.6267997654663828E-2"/>
    <n v="608368.6475616449"/>
    <n v="13148800"/>
    <n v="13757168.647561645"/>
    <x v="0"/>
    <x v="0"/>
    <x v="3"/>
    <x v="0"/>
    <x v="0"/>
    <n v="1053.5"/>
    <n v="12225.913621262458"/>
    <n v="436.63977218794491"/>
  </r>
  <r>
    <x v="12"/>
    <x v="0"/>
    <x v="0"/>
    <d v="2025-02-17T00:00:00"/>
    <n v="2253"/>
    <x v="0"/>
    <x v="0"/>
    <d v="2025-02-10T00:00:00"/>
    <n v="30000"/>
    <n v="443"/>
    <n v="13290000"/>
    <n v="2790900"/>
    <n v="16080900"/>
    <x v="0"/>
    <x v="0"/>
    <x v="0"/>
    <n v="16080900"/>
    <d v="2025-02-10T00:00:00"/>
    <d v="2025-03-12T00:00:00"/>
    <n v="-237"/>
    <x v="0"/>
    <x v="0"/>
    <d v="2025-03-19T00:00:00"/>
    <s v="WS 31-01"/>
    <d v="2025-01-31T00:00:00"/>
    <n v="600"/>
    <n v="26801.5"/>
    <n v="-1955.36"/>
    <n v="24846.14"/>
    <n v="0"/>
    <n v="24846.14"/>
    <x v="0"/>
    <x v="0"/>
    <x v="0"/>
    <x v="0"/>
    <n v="23480"/>
    <n v="1366.1399999999994"/>
    <n v="5.8183134582623586E-2"/>
    <n v="819683.99999999965"/>
    <n v="14088000"/>
    <n v="14907684"/>
    <x v="0"/>
    <x v="0"/>
    <x v="3"/>
    <x v="0"/>
    <x v="0"/>
    <n v="1053.5"/>
    <n v="12615.092548647366"/>
    <n v="420.5030849549122"/>
  </r>
  <r>
    <x v="13"/>
    <x v="0"/>
    <x v="16"/>
    <d v="2025-02-07T00:00:00"/>
    <n v="2252"/>
    <x v="0"/>
    <x v="0"/>
    <d v="2025-02-06T00:00:00"/>
    <n v="28000"/>
    <n v="460"/>
    <n v="12880000"/>
    <n v="2704800"/>
    <n v="15584800"/>
    <x v="0"/>
    <x v="0"/>
    <x v="0"/>
    <n v="15584800"/>
    <d v="2025-02-13T00:00:00"/>
    <d v="2025-03-09T00:00:00"/>
    <n v="-240"/>
    <x v="3"/>
    <x v="0"/>
    <d v="2025-03-16T00:00:00"/>
    <n v="14542"/>
    <d v="2025-01-31T00:00:00"/>
    <n v="560"/>
    <n v="27830"/>
    <n v="-2970.0780999999997"/>
    <n v="24859.921900000001"/>
    <n v="-293.54931506849317"/>
    <n v="24566.372584931509"/>
    <x v="0"/>
    <x v="10"/>
    <x v="1"/>
    <x v="0"/>
    <n v="23480"/>
    <n v="1086.3725849315088"/>
    <n v="4.6267997654663828E-2"/>
    <n v="608368.6475616449"/>
    <n v="13148800"/>
    <n v="13757168.647561645"/>
    <x v="0"/>
    <x v="0"/>
    <x v="5"/>
    <x v="0"/>
    <x v="0"/>
    <n v="1053.5"/>
    <n v="12225.913621262458"/>
    <n v="436.63977218794491"/>
  </r>
  <r>
    <x v="13"/>
    <x v="0"/>
    <x v="16"/>
    <d v="2025-02-25T00:00:00"/>
    <n v="2280"/>
    <x v="0"/>
    <x v="0"/>
    <d v="2025-02-12T00:00:00"/>
    <n v="28000"/>
    <n v="460"/>
    <n v="12880000"/>
    <n v="2704800"/>
    <n v="15584800"/>
    <x v="0"/>
    <x v="0"/>
    <x v="0"/>
    <n v="15584800"/>
    <d v="2025-02-19T00:00:00"/>
    <d v="2025-03-27T00:00:00"/>
    <n v="-222"/>
    <x v="3"/>
    <x v="0"/>
    <d v="2025-04-03T00:00:00"/>
    <n v="14543"/>
    <d v="2025-01-31T00:00:00"/>
    <n v="560"/>
    <n v="27830"/>
    <n v="-2970.0780999999997"/>
    <n v="24859.921900000001"/>
    <n v="-293.54931506849317"/>
    <n v="24566.372584931509"/>
    <x v="0"/>
    <x v="10"/>
    <x v="1"/>
    <x v="0"/>
    <n v="23480"/>
    <n v="1086.3725849315088"/>
    <n v="4.6267997654663828E-2"/>
    <n v="608368.6475616449"/>
    <n v="13148800"/>
    <n v="13757168.647561645"/>
    <x v="0"/>
    <x v="0"/>
    <x v="5"/>
    <x v="0"/>
    <x v="0"/>
    <n v="1053.5"/>
    <n v="12225.913621262458"/>
    <n v="436.63977218794491"/>
  </r>
  <r>
    <x v="13"/>
    <x v="0"/>
    <x v="19"/>
    <d v="2025-02-11T00:00:00"/>
    <n v="2249"/>
    <x v="0"/>
    <x v="0"/>
    <d v="2025-02-11T00:00:00"/>
    <n v="26215"/>
    <n v="490"/>
    <n v="12845350"/>
    <n v="2697523.5"/>
    <n v="15542873.5"/>
    <x v="0"/>
    <x v="0"/>
    <x v="0"/>
    <n v="15542873.5"/>
    <d v="2025-02-11T00:00:00"/>
    <d v="2025-03-13T00:00:00"/>
    <n v="-236"/>
    <x v="0"/>
    <x v="0"/>
    <d v="2025-03-20T00:00:00"/>
    <n v="6410"/>
    <d v="2025-01-31T00:00:00"/>
    <n v="524.29999999999995"/>
    <n v="29645"/>
    <n v="-2745.4294999999997"/>
    <n v="26899.570500000002"/>
    <n v="0"/>
    <n v="26899.570500000002"/>
    <x v="2"/>
    <x v="13"/>
    <x v="5"/>
    <x v="0"/>
    <n v="23480"/>
    <n v="3419.5705000000016"/>
    <n v="0.14563758517887582"/>
    <n v="1792880.8131500008"/>
    <n v="12310563.999999998"/>
    <n v="14103444.81315"/>
    <x v="0"/>
    <x v="0"/>
    <x v="5"/>
    <x v="0"/>
    <x v="0"/>
    <n v="1053.5"/>
    <n v="12193.023255813954"/>
    <n v="465.11627906976747"/>
  </r>
  <r>
    <x v="13"/>
    <x v="0"/>
    <x v="17"/>
    <d v="2025-02-19T00:00:00"/>
    <n v="566"/>
    <x v="0"/>
    <x v="0"/>
    <d v="2025-02-19T00:00:00"/>
    <n v="26250"/>
    <n v="480"/>
    <n v="12600000"/>
    <n v="2646000"/>
    <n v="15246000"/>
    <x v="0"/>
    <x v="0"/>
    <x v="0"/>
    <n v="15246000"/>
    <d v="2025-02-26T00:00:00"/>
    <d v="2025-04-20T00:00:00"/>
    <n v="-198"/>
    <x v="3"/>
    <x v="0"/>
    <d v="2025-04-27T00:00:00"/>
    <s v="300179567/"/>
    <d v="2025-02-05T00:00:00"/>
    <n v="525"/>
    <n v="29040"/>
    <n v="-2749.12"/>
    <n v="26290.880000000001"/>
    <n v="-183.78739726027396"/>
    <n v="26107.092602739725"/>
    <x v="2"/>
    <x v="11"/>
    <x v="1"/>
    <x v="0"/>
    <n v="23470"/>
    <n v="2637.0926027397254"/>
    <n v="0.11236014498251912"/>
    <n v="1384473.6164383558"/>
    <n v="12321750"/>
    <n v="13706223.616438355"/>
    <x v="0"/>
    <x v="0"/>
    <x v="5"/>
    <x v="0"/>
    <x v="0"/>
    <n v="1054.7083"/>
    <n v="11946.431065347642"/>
    <n v="455.10213582276731"/>
  </r>
  <r>
    <x v="13"/>
    <x v="0"/>
    <x v="0"/>
    <d v="2025-02-25T00:00:00"/>
    <n v="2265"/>
    <x v="0"/>
    <x v="0"/>
    <d v="2025-02-17T00:00:00"/>
    <n v="30000"/>
    <n v="400"/>
    <n v="12000000"/>
    <n v="2520000"/>
    <n v="14520000"/>
    <x v="0"/>
    <x v="0"/>
    <x v="0"/>
    <n v="14520000"/>
    <d v="2025-02-17T00:00:00"/>
    <d v="2025-03-19T00:00:00"/>
    <n v="-230"/>
    <x v="0"/>
    <x v="0"/>
    <d v="2025-03-26T00:00:00"/>
    <s v="WS 07-02"/>
    <d v="2025-02-07T00:00:00"/>
    <n v="600"/>
    <n v="24200"/>
    <n v="-1955.9045000000001"/>
    <n v="22244.095499999999"/>
    <n v="0"/>
    <n v="22244.095499999999"/>
    <x v="0"/>
    <x v="0"/>
    <x v="0"/>
    <x v="0"/>
    <n v="23465"/>
    <n v="-1220.9045000000006"/>
    <n v="-5.2030875772427043E-2"/>
    <n v="-732542.7000000003"/>
    <n v="14079000"/>
    <n v="13346457.299999999"/>
    <x v="0"/>
    <x v="0"/>
    <x v="5"/>
    <x v="0"/>
    <x v="0"/>
    <n v="1055.9167"/>
    <n v="11364.532827258059"/>
    <n v="378.817760908602"/>
  </r>
  <r>
    <x v="13"/>
    <x v="0"/>
    <x v="0"/>
    <d v="2025-02-21T00:00:00"/>
    <n v="2284"/>
    <x v="0"/>
    <x v="0"/>
    <d v="2025-02-21T00:00:00"/>
    <n v="30000"/>
    <n v="443"/>
    <n v="13290000"/>
    <n v="2790900"/>
    <n v="16080900"/>
    <x v="0"/>
    <x v="0"/>
    <x v="0"/>
    <n v="16080900"/>
    <d v="2025-02-21T00:00:00"/>
    <d v="2025-03-23T00:00:00"/>
    <n v="-226"/>
    <x v="0"/>
    <x v="0"/>
    <d v="2025-03-30T00:00:00"/>
    <s v="WS 07-02"/>
    <d v="2025-02-07T00:00:00"/>
    <n v="600"/>
    <n v="26801.5"/>
    <n v="-1955.9045000000001"/>
    <n v="24845.595499999999"/>
    <n v="0"/>
    <n v="24845.595499999999"/>
    <x v="0"/>
    <x v="0"/>
    <x v="0"/>
    <x v="0"/>
    <n v="23465"/>
    <n v="1380.5954999999994"/>
    <n v="5.8836373321968782E-2"/>
    <n v="828357.2999999997"/>
    <n v="14079000"/>
    <n v="14907357.299999999"/>
    <x v="0"/>
    <x v="0"/>
    <x v="5"/>
    <x v="0"/>
    <x v="0"/>
    <n v="1055.9167"/>
    <n v="12586.220106188301"/>
    <n v="419.54067020627667"/>
  </r>
  <r>
    <x v="13"/>
    <x v="0"/>
    <x v="0"/>
    <d v="2025-02-27T00:00:00"/>
    <n v="2298"/>
    <x v="0"/>
    <x v="0"/>
    <d v="2025-02-27T00:00:00"/>
    <n v="30000"/>
    <n v="443"/>
    <n v="13290000"/>
    <n v="2790900"/>
    <n v="16080900"/>
    <x v="0"/>
    <x v="0"/>
    <x v="0"/>
    <n v="16080900"/>
    <d v="2025-02-27T00:00:00"/>
    <d v="2025-03-29T00:00:00"/>
    <n v="-220"/>
    <x v="0"/>
    <x v="0"/>
    <d v="2025-04-05T00:00:00"/>
    <s v="WS 07-02"/>
    <d v="2025-02-07T00:00:00"/>
    <n v="600"/>
    <n v="26801.5"/>
    <n v="-1955.9045000000001"/>
    <n v="24845.595499999999"/>
    <n v="0"/>
    <n v="24845.595499999999"/>
    <x v="0"/>
    <x v="0"/>
    <x v="0"/>
    <x v="0"/>
    <n v="23465"/>
    <n v="1380.5954999999994"/>
    <n v="5.8836373321968782E-2"/>
    <n v="828357.2999999997"/>
    <n v="14079000"/>
    <n v="14907357.299999999"/>
    <x v="0"/>
    <x v="0"/>
    <x v="5"/>
    <x v="0"/>
    <x v="0"/>
    <n v="1055.9167"/>
    <n v="12586.220106188301"/>
    <n v="419.54067020627667"/>
  </r>
  <r>
    <x v="13"/>
    <x v="0"/>
    <x v="18"/>
    <d v="2025-02-22T00:00:00"/>
    <n v="2286"/>
    <x v="0"/>
    <x v="0"/>
    <d v="2025-02-22T00:00:00"/>
    <n v="28000"/>
    <n v="425"/>
    <n v="11900000"/>
    <n v="2499000"/>
    <n v="14399000"/>
    <x v="0"/>
    <x v="0"/>
    <x v="0"/>
    <n v="14399000"/>
    <d v="2025-02-22T00:00:00"/>
    <d v="2025-02-23T00:00:00"/>
    <n v="-254"/>
    <x v="0"/>
    <x v="0"/>
    <d v="2025-03-02T00:00:00"/>
    <n v="11805"/>
    <d v="2025-02-07T00:00:00"/>
    <n v="560"/>
    <n v="25712.5"/>
    <n v="-1710.6375"/>
    <n v="24001.862499999999"/>
    <n v="0"/>
    <n v="24001.862499999999"/>
    <x v="0"/>
    <x v="12"/>
    <x v="0"/>
    <x v="0"/>
    <n v="23465"/>
    <n v="536.86249999999927"/>
    <n v="2.287928830172592E-2"/>
    <n v="300642.99999999959"/>
    <n v="13140400"/>
    <n v="13441043"/>
    <x v="0"/>
    <x v="0"/>
    <x v="5"/>
    <x v="0"/>
    <x v="0"/>
    <n v="1055.9167"/>
    <n v="11269.82838703091"/>
    <n v="402.49387096538965"/>
  </r>
  <r>
    <x v="13"/>
    <x v="0"/>
    <x v="18"/>
    <d v="2025-02-24T00:00:00"/>
    <n v="2299"/>
    <x v="0"/>
    <x v="0"/>
    <d v="2025-02-24T00:00:00"/>
    <n v="28000"/>
    <n v="425"/>
    <n v="11900000"/>
    <n v="2499000"/>
    <n v="14399000"/>
    <x v="0"/>
    <x v="0"/>
    <x v="0"/>
    <n v="14399000"/>
    <d v="2025-02-24T00:00:00"/>
    <d v="2025-02-25T00:00:00"/>
    <n v="-252"/>
    <x v="0"/>
    <x v="0"/>
    <d v="2025-03-04T00:00:00"/>
    <n v="11805"/>
    <d v="2025-02-07T00:00:00"/>
    <n v="560"/>
    <n v="25712.5"/>
    <n v="-1710.6375"/>
    <n v="24001.862499999999"/>
    <n v="0"/>
    <n v="24001.862499999999"/>
    <x v="0"/>
    <x v="12"/>
    <x v="0"/>
    <x v="0"/>
    <n v="23465"/>
    <n v="536.86249999999927"/>
    <n v="2.287928830172592E-2"/>
    <n v="300642.99999999959"/>
    <n v="13140400"/>
    <n v="13441043"/>
    <x v="0"/>
    <x v="0"/>
    <x v="5"/>
    <x v="0"/>
    <x v="0"/>
    <n v="1055.9167"/>
    <n v="11269.82838703091"/>
    <n v="402.49387096538965"/>
  </r>
  <r>
    <x v="13"/>
    <x v="0"/>
    <x v="18"/>
    <d v="2025-02-27T00:00:00"/>
    <n v="2303"/>
    <x v="0"/>
    <x v="0"/>
    <d v="2025-02-27T00:00:00"/>
    <n v="28000"/>
    <n v="425"/>
    <n v="11900000"/>
    <n v="2499000"/>
    <n v="14399000"/>
    <x v="0"/>
    <x v="0"/>
    <x v="0"/>
    <n v="14399000"/>
    <d v="2025-02-27T00:00:00"/>
    <d v="2025-02-28T00:00:00"/>
    <n v="-249"/>
    <x v="0"/>
    <x v="0"/>
    <d v="2025-03-07T00:00:00"/>
    <n v="11805"/>
    <d v="2025-02-07T00:00:00"/>
    <n v="560"/>
    <n v="25712.5"/>
    <n v="-1710.6375"/>
    <n v="24001.862499999999"/>
    <n v="0"/>
    <n v="24001.862499999999"/>
    <x v="0"/>
    <x v="12"/>
    <x v="0"/>
    <x v="0"/>
    <n v="23465"/>
    <n v="536.86249999999927"/>
    <n v="2.287928830172592E-2"/>
    <n v="300642.99999999959"/>
    <n v="13140400"/>
    <n v="13441043"/>
    <x v="0"/>
    <x v="0"/>
    <x v="5"/>
    <x v="0"/>
    <x v="0"/>
    <n v="1055.9167"/>
    <n v="11269.82838703091"/>
    <n v="402.49387096538965"/>
  </r>
  <r>
    <x v="13"/>
    <x v="0"/>
    <x v="18"/>
    <d v="2025-03-01T00:00:00"/>
    <n v="2304"/>
    <x v="0"/>
    <x v="0"/>
    <d v="2025-03-01T00:00:00"/>
    <n v="28000"/>
    <n v="425"/>
    <n v="11900000"/>
    <n v="2499000"/>
    <n v="14399000"/>
    <x v="0"/>
    <x v="0"/>
    <x v="0"/>
    <n v="14399000"/>
    <d v="2025-03-01T00:00:00"/>
    <d v="2025-03-02T00:00:00"/>
    <n v="-247"/>
    <x v="0"/>
    <x v="0"/>
    <d v="2025-03-09T00:00:00"/>
    <n v="11805"/>
    <d v="2025-02-07T00:00:00"/>
    <n v="560"/>
    <n v="25712.5"/>
    <n v="-1710.6375"/>
    <n v="24001.862499999999"/>
    <n v="0"/>
    <n v="24001.862499999999"/>
    <x v="0"/>
    <x v="12"/>
    <x v="0"/>
    <x v="0"/>
    <n v="23465"/>
    <n v="536.86249999999927"/>
    <n v="2.287928830172592E-2"/>
    <n v="300642.99999999959"/>
    <n v="13140400"/>
    <n v="13441043"/>
    <x v="0"/>
    <x v="0"/>
    <x v="3"/>
    <x v="0"/>
    <x v="0"/>
    <n v="1055.9167"/>
    <n v="11269.82838703091"/>
    <n v="402.49387096538965"/>
  </r>
  <r>
    <x v="13"/>
    <x v="0"/>
    <x v="18"/>
    <d v="2025-03-07T00:00:00"/>
    <n v="2311"/>
    <x v="0"/>
    <x v="0"/>
    <d v="2025-03-07T00:00:00"/>
    <n v="28000"/>
    <n v="425"/>
    <n v="11900000"/>
    <n v="2499000"/>
    <n v="14399000"/>
    <x v="0"/>
    <x v="3"/>
    <x v="0"/>
    <m/>
    <d v="2025-03-07T00:00:00"/>
    <d v="2025-03-08T00:00:00"/>
    <n v="-241"/>
    <x v="0"/>
    <x v="0"/>
    <d v="2025-03-15T00:00:00"/>
    <n v="11805"/>
    <d v="2025-02-07T00:00:00"/>
    <n v="560"/>
    <n v="25712.5"/>
    <n v="-1710.6375"/>
    <n v="24001.862499999999"/>
    <n v="0"/>
    <n v="24001.862499999999"/>
    <x v="0"/>
    <x v="12"/>
    <x v="0"/>
    <x v="0"/>
    <n v="23465"/>
    <n v="536.86249999999927"/>
    <n v="2.287928830172592E-2"/>
    <n v="300642.99999999959"/>
    <n v="13140400"/>
    <n v="13441043"/>
    <x v="0"/>
    <x v="0"/>
    <x v="3"/>
    <x v="0"/>
    <x v="0"/>
    <n v="1055.9167"/>
    <n v="11269.82838703091"/>
    <n v="402.49387096538965"/>
  </r>
  <r>
    <x v="13"/>
    <x v="0"/>
    <x v="18"/>
    <d v="2025-03-07T00:00:00"/>
    <n v="2315"/>
    <x v="0"/>
    <x v="0"/>
    <d v="2025-03-08T00:00:00"/>
    <n v="28000"/>
    <n v="425"/>
    <n v="11900000"/>
    <n v="2499000"/>
    <n v="14399000"/>
    <x v="0"/>
    <x v="1"/>
    <x v="0"/>
    <n v="14399000"/>
    <d v="2025-03-07T00:00:00"/>
    <d v="2025-03-08T00:00:00"/>
    <n v="-241"/>
    <x v="0"/>
    <x v="0"/>
    <d v="2025-03-15T00:00:00"/>
    <n v="11805"/>
    <d v="2025-02-07T00:00:00"/>
    <n v="560"/>
    <n v="25712.5"/>
    <n v="-1710.6375"/>
    <n v="24001.862499999999"/>
    <n v="0"/>
    <n v="24001.862499999999"/>
    <x v="0"/>
    <x v="12"/>
    <x v="0"/>
    <x v="0"/>
    <n v="23465"/>
    <n v="536.86249999999927"/>
    <n v="2.287928830172592E-2"/>
    <n v="300642.99999999959"/>
    <n v="13140400"/>
    <n v="13441043"/>
    <x v="0"/>
    <x v="0"/>
    <x v="3"/>
    <x v="0"/>
    <x v="0"/>
    <n v="1055.9167"/>
    <n v="11269.82838703091"/>
    <n v="402.49387096538965"/>
  </r>
  <r>
    <x v="13"/>
    <x v="0"/>
    <x v="18"/>
    <d v="2025-03-10T00:00:00"/>
    <n v="2316"/>
    <x v="0"/>
    <x v="0"/>
    <d v="2025-03-10T00:00:00"/>
    <n v="28000"/>
    <n v="425"/>
    <n v="11900000"/>
    <n v="2499000"/>
    <n v="14399000"/>
    <x v="0"/>
    <x v="0"/>
    <x v="0"/>
    <n v="14399000"/>
    <d v="2025-03-10T00:00:00"/>
    <d v="2025-03-11T00:00:00"/>
    <n v="-238"/>
    <x v="0"/>
    <x v="0"/>
    <d v="2025-03-18T00:00:00"/>
    <n v="11805"/>
    <d v="2025-02-07T00:00:00"/>
    <n v="560"/>
    <n v="25712.5"/>
    <n v="-1710.6375"/>
    <n v="24001.862499999999"/>
    <n v="0"/>
    <n v="24001.862499999999"/>
    <x v="0"/>
    <x v="12"/>
    <x v="0"/>
    <x v="0"/>
    <n v="23465"/>
    <n v="536.86249999999927"/>
    <n v="2.287928830172592E-2"/>
    <n v="300642.99999999959"/>
    <n v="13140400"/>
    <n v="13441043"/>
    <x v="0"/>
    <x v="0"/>
    <x v="3"/>
    <x v="0"/>
    <x v="0"/>
    <n v="1055.9167"/>
    <n v="11269.82838703091"/>
    <n v="402.49387096538965"/>
  </r>
  <r>
    <x v="13"/>
    <x v="0"/>
    <x v="18"/>
    <d v="2025-03-10T00:00:00"/>
    <n v="2318"/>
    <x v="0"/>
    <x v="0"/>
    <d v="2025-03-11T00:00:00"/>
    <n v="28000"/>
    <n v="425"/>
    <n v="11900000"/>
    <n v="2499000"/>
    <n v="14399000"/>
    <x v="0"/>
    <x v="0"/>
    <x v="0"/>
    <n v="14399000"/>
    <d v="2025-03-10T00:00:00"/>
    <d v="2025-03-11T00:00:00"/>
    <n v="-238"/>
    <x v="0"/>
    <x v="0"/>
    <d v="2025-03-18T00:00:00"/>
    <n v="11805"/>
    <d v="2025-02-07T00:00:00"/>
    <n v="560"/>
    <n v="25712.5"/>
    <n v="-1710.6375"/>
    <n v="24001.862499999999"/>
    <n v="0"/>
    <n v="24001.862499999999"/>
    <x v="0"/>
    <x v="12"/>
    <x v="0"/>
    <x v="0"/>
    <n v="23465"/>
    <n v="536.86249999999927"/>
    <n v="2.287928830172592E-2"/>
    <n v="300642.99999999959"/>
    <n v="13140400"/>
    <n v="13441043"/>
    <x v="0"/>
    <x v="0"/>
    <x v="3"/>
    <x v="0"/>
    <x v="0"/>
    <n v="1055.9167"/>
    <n v="11269.82838703091"/>
    <n v="402.49387096538965"/>
  </r>
  <r>
    <x v="13"/>
    <x v="0"/>
    <x v="18"/>
    <d v="2025-03-12T00:00:00"/>
    <n v="2319"/>
    <x v="0"/>
    <x v="0"/>
    <d v="2025-03-11T00:00:00"/>
    <n v="28000"/>
    <n v="425"/>
    <n v="11900000"/>
    <n v="2499000"/>
    <n v="14399000"/>
    <x v="0"/>
    <x v="0"/>
    <x v="0"/>
    <n v="14399000"/>
    <d v="2025-03-12T00:00:00"/>
    <d v="2025-03-13T00:00:00"/>
    <n v="-236"/>
    <x v="0"/>
    <x v="0"/>
    <d v="2025-03-20T00:00:00"/>
    <n v="11805"/>
    <d v="2025-02-07T00:00:00"/>
    <n v="560"/>
    <n v="25712.5"/>
    <n v="-1710.6375"/>
    <n v="24001.862499999999"/>
    <n v="0"/>
    <n v="24001.862499999999"/>
    <x v="0"/>
    <x v="12"/>
    <x v="0"/>
    <x v="0"/>
    <n v="23465"/>
    <n v="536.86249999999927"/>
    <n v="2.287928830172592E-2"/>
    <n v="300642.99999999959"/>
    <n v="13140400"/>
    <n v="13441043"/>
    <x v="0"/>
    <x v="0"/>
    <x v="3"/>
    <x v="0"/>
    <x v="0"/>
    <n v="1055.9167"/>
    <n v="11269.82838703091"/>
    <n v="402.49387096538965"/>
  </r>
  <r>
    <x v="13"/>
    <x v="0"/>
    <x v="18"/>
    <d v="2025-03-12T00:00:00"/>
    <n v="2320"/>
    <x v="0"/>
    <x v="0"/>
    <d v="2025-03-12T00:00:00"/>
    <n v="28000"/>
    <n v="425"/>
    <n v="11900000"/>
    <n v="2499000"/>
    <n v="14399000"/>
    <x v="0"/>
    <x v="0"/>
    <x v="0"/>
    <n v="14399000"/>
    <d v="2025-03-12T00:00:00"/>
    <d v="2025-03-13T00:00:00"/>
    <n v="-236"/>
    <x v="0"/>
    <x v="0"/>
    <d v="2025-03-20T00:00:00"/>
    <n v="11805"/>
    <d v="2025-02-07T00:00:00"/>
    <n v="560"/>
    <n v="25712.5"/>
    <n v="-1710.6375"/>
    <n v="24001.862499999999"/>
    <n v="0"/>
    <n v="24001.862499999999"/>
    <x v="0"/>
    <x v="12"/>
    <x v="0"/>
    <x v="0"/>
    <n v="23465"/>
    <n v="536.86249999999927"/>
    <n v="2.287928830172592E-2"/>
    <n v="300642.99999999959"/>
    <n v="13140400"/>
    <n v="13441043"/>
    <x v="0"/>
    <x v="0"/>
    <x v="3"/>
    <x v="0"/>
    <x v="0"/>
    <n v="1055.9167"/>
    <n v="11269.82838703091"/>
    <n v="402.49387096538965"/>
  </r>
  <r>
    <x v="13"/>
    <x v="0"/>
    <x v="18"/>
    <d v="2025-03-12T00:00:00"/>
    <n v="2321"/>
    <x v="0"/>
    <x v="0"/>
    <d v="2025-03-13T00:00:00"/>
    <n v="28000"/>
    <n v="425"/>
    <n v="11900000"/>
    <n v="2499000"/>
    <n v="14399000"/>
    <x v="0"/>
    <x v="0"/>
    <x v="0"/>
    <n v="14399000"/>
    <d v="2025-03-12T00:00:00"/>
    <d v="2025-03-13T00:00:00"/>
    <n v="-236"/>
    <x v="0"/>
    <x v="0"/>
    <d v="2025-03-20T00:00:00"/>
    <n v="11805"/>
    <d v="2025-02-07T00:00:00"/>
    <n v="560"/>
    <n v="25712.5"/>
    <n v="-1710.6375"/>
    <n v="24001.862499999999"/>
    <n v="0"/>
    <n v="24001.862499999999"/>
    <x v="0"/>
    <x v="12"/>
    <x v="0"/>
    <x v="0"/>
    <n v="23465"/>
    <n v="536.86249999999927"/>
    <n v="2.287928830172592E-2"/>
    <n v="300642.99999999959"/>
    <n v="13140400"/>
    <n v="13441043"/>
    <x v="0"/>
    <x v="0"/>
    <x v="3"/>
    <x v="0"/>
    <x v="0"/>
    <n v="1055.9167"/>
    <n v="11269.82838703091"/>
    <n v="402.49387096538965"/>
  </r>
  <r>
    <x v="13"/>
    <x v="0"/>
    <x v="18"/>
    <d v="2025-03-12T00:00:00"/>
    <n v="2329"/>
    <x v="0"/>
    <x v="0"/>
    <d v="2025-03-14T00:00:00"/>
    <n v="28000"/>
    <n v="425"/>
    <n v="11900000"/>
    <n v="2499000"/>
    <n v="14399000"/>
    <x v="0"/>
    <x v="0"/>
    <x v="0"/>
    <n v="14399000"/>
    <d v="2025-03-12T00:00:00"/>
    <d v="2025-03-13T00:00:00"/>
    <n v="-236"/>
    <x v="0"/>
    <x v="0"/>
    <d v="2025-03-20T00:00:00"/>
    <n v="11805"/>
    <d v="2025-02-07T00:00:00"/>
    <n v="560"/>
    <n v="25712.5"/>
    <n v="-1710.6375"/>
    <n v="24001.862499999999"/>
    <n v="0"/>
    <n v="24001.862499999999"/>
    <x v="0"/>
    <x v="12"/>
    <x v="0"/>
    <x v="0"/>
    <n v="23465"/>
    <n v="536.86249999999927"/>
    <n v="2.287928830172592E-2"/>
    <n v="300642.99999999959"/>
    <n v="13140400"/>
    <n v="13441043"/>
    <x v="0"/>
    <x v="0"/>
    <x v="3"/>
    <x v="0"/>
    <x v="0"/>
    <n v="1055.9167"/>
    <n v="11269.82838703091"/>
    <n v="402.49387096538965"/>
  </r>
  <r>
    <x v="13"/>
    <x v="0"/>
    <x v="18"/>
    <d v="2025-03-14T00:00:00"/>
    <n v="2331"/>
    <x v="0"/>
    <x v="0"/>
    <d v="2025-03-14T00:00:00"/>
    <n v="28000"/>
    <n v="425"/>
    <n v="11900000"/>
    <n v="2499000"/>
    <n v="14399000"/>
    <x v="0"/>
    <x v="0"/>
    <x v="0"/>
    <n v="14399000"/>
    <d v="2025-03-14T00:00:00"/>
    <d v="2025-03-15T00:00:00"/>
    <n v="-234"/>
    <x v="0"/>
    <x v="0"/>
    <d v="2025-03-22T00:00:00"/>
    <n v="11805"/>
    <d v="2025-02-07T00:00:00"/>
    <n v="560"/>
    <n v="25712.5"/>
    <n v="-1710.6375"/>
    <n v="24001.862499999999"/>
    <n v="0"/>
    <n v="24001.862499999999"/>
    <x v="0"/>
    <x v="12"/>
    <x v="0"/>
    <x v="0"/>
    <n v="23465"/>
    <n v="536.86249999999927"/>
    <n v="2.287928830172592E-2"/>
    <n v="300642.99999999959"/>
    <n v="13140400"/>
    <n v="13441043"/>
    <x v="0"/>
    <x v="0"/>
    <x v="3"/>
    <x v="0"/>
    <x v="0"/>
    <n v="1055.9167"/>
    <n v="11269.82838703091"/>
    <n v="402.49387096538965"/>
  </r>
  <r>
    <x v="13"/>
    <x v="0"/>
    <x v="18"/>
    <d v="2025-03-15T00:00:00"/>
    <n v="2332"/>
    <x v="0"/>
    <x v="0"/>
    <d v="2025-03-15T00:00:00"/>
    <n v="28000"/>
    <n v="425"/>
    <n v="11900000"/>
    <n v="2499000"/>
    <n v="14399000"/>
    <x v="0"/>
    <x v="0"/>
    <x v="0"/>
    <n v="14399000"/>
    <d v="2025-03-15T00:00:00"/>
    <d v="2025-03-16T00:00:00"/>
    <n v="-233"/>
    <x v="0"/>
    <x v="0"/>
    <d v="2025-03-23T00:00:00"/>
    <n v="11805"/>
    <d v="2025-02-07T00:00:00"/>
    <n v="560"/>
    <n v="25712.5"/>
    <n v="-1710.6375"/>
    <n v="24001.862499999999"/>
    <n v="0"/>
    <n v="24001.862499999999"/>
    <x v="0"/>
    <x v="12"/>
    <x v="0"/>
    <x v="0"/>
    <n v="23465"/>
    <n v="536.86249999999927"/>
    <n v="2.287928830172592E-2"/>
    <n v="300642.99999999959"/>
    <n v="13140400"/>
    <n v="13441043"/>
    <x v="0"/>
    <x v="0"/>
    <x v="3"/>
    <x v="0"/>
    <x v="0"/>
    <n v="1055.9167"/>
    <n v="11269.82838703091"/>
    <n v="402.49387096538965"/>
  </r>
  <r>
    <x v="13"/>
    <x v="0"/>
    <x v="18"/>
    <d v="2025-03-17T00:00:00"/>
    <n v="2333"/>
    <x v="0"/>
    <x v="0"/>
    <d v="2025-03-17T00:00:00"/>
    <n v="28000"/>
    <n v="425"/>
    <n v="11900000"/>
    <n v="2499000"/>
    <n v="14399000"/>
    <x v="0"/>
    <x v="0"/>
    <x v="0"/>
    <n v="14399000"/>
    <d v="2025-03-17T00:00:00"/>
    <d v="2025-03-18T00:00:00"/>
    <n v="-231"/>
    <x v="0"/>
    <x v="0"/>
    <d v="2025-03-25T00:00:00"/>
    <n v="11805"/>
    <d v="2025-02-07T00:00:00"/>
    <n v="560"/>
    <n v="25712.5"/>
    <n v="-1710.6375"/>
    <n v="24001.862499999999"/>
    <n v="0"/>
    <n v="24001.862499999999"/>
    <x v="0"/>
    <x v="12"/>
    <x v="0"/>
    <x v="0"/>
    <n v="23465"/>
    <n v="536.86249999999927"/>
    <n v="2.287928830172592E-2"/>
    <n v="300642.99999999959"/>
    <n v="13140400"/>
    <n v="13441043"/>
    <x v="0"/>
    <x v="0"/>
    <x v="3"/>
    <x v="0"/>
    <x v="0"/>
    <n v="1055.9167"/>
    <n v="11269.82838703091"/>
    <n v="402.49387096538965"/>
  </r>
  <r>
    <x v="13"/>
    <x v="0"/>
    <x v="28"/>
    <d v="2025-03-14T00:00:00"/>
    <n v="2322"/>
    <x v="0"/>
    <x v="0"/>
    <d v="2025-03-13T00:00:00"/>
    <n v="28000"/>
    <n v="472"/>
    <n v="13216000"/>
    <n v="2775360"/>
    <n v="15991360"/>
    <x v="0"/>
    <x v="0"/>
    <x v="0"/>
    <n v="15991360"/>
    <d v="2025-03-14T00:00:00"/>
    <d v="2025-04-13T00:00:00"/>
    <n v="-205"/>
    <x v="0"/>
    <x v="0"/>
    <d v="2025-04-20T00:00:00"/>
    <n v="1515"/>
    <d v="2025-02-07T00:00:00"/>
    <n v="560"/>
    <n v="28556"/>
    <n v="-2742.1624999999999"/>
    <n v="25813.837500000001"/>
    <n v="0"/>
    <n v="25813.837500000001"/>
    <x v="0"/>
    <x v="18"/>
    <x v="1"/>
    <x v="0"/>
    <n v="23465"/>
    <n v="2348.8375000000015"/>
    <n v="0.10009961645003207"/>
    <n v="1315349.0000000009"/>
    <n v="13140400"/>
    <n v="14455749"/>
    <x v="0"/>
    <x v="0"/>
    <x v="3"/>
    <x v="0"/>
    <x v="0"/>
    <n v="1055.9167"/>
    <n v="12516.138820420209"/>
    <n v="447.00495787215033"/>
  </r>
  <r>
    <x v="13"/>
    <x v="0"/>
    <x v="28"/>
    <d v="2025-03-21T00:00:00"/>
    <n v="2344"/>
    <x v="0"/>
    <x v="0"/>
    <d v="2025-03-21T00:00:00"/>
    <n v="28000"/>
    <n v="472"/>
    <n v="13216000"/>
    <n v="2775360"/>
    <n v="15991360"/>
    <x v="0"/>
    <x v="0"/>
    <x v="0"/>
    <n v="15991360"/>
    <d v="2025-03-21T00:00:00"/>
    <d v="2025-04-20T00:00:00"/>
    <n v="-198"/>
    <x v="0"/>
    <x v="0"/>
    <d v="2025-04-27T00:00:00"/>
    <n v="1515"/>
    <d v="2025-02-07T00:00:00"/>
    <n v="560"/>
    <n v="28556"/>
    <n v="-2742.1624999999999"/>
    <n v="25813.837500000001"/>
    <n v="0"/>
    <n v="25813.837500000001"/>
    <x v="0"/>
    <x v="18"/>
    <x v="1"/>
    <x v="0"/>
    <n v="23465"/>
    <n v="2348.8375000000015"/>
    <n v="0.10009961645003207"/>
    <n v="1315349.0000000009"/>
    <n v="13140400"/>
    <n v="14455749"/>
    <x v="0"/>
    <x v="0"/>
    <x v="3"/>
    <x v="0"/>
    <x v="0"/>
    <n v="1055.9167"/>
    <n v="12516.138820420209"/>
    <n v="447.00495787215033"/>
  </r>
  <r>
    <x v="13"/>
    <x v="0"/>
    <x v="16"/>
    <d v="2025-02-25T00:00:00"/>
    <n v="2281"/>
    <x v="0"/>
    <x v="0"/>
    <d v="2025-02-10T00:00:00"/>
    <n v="28309.274563820018"/>
    <n v="450"/>
    <n v="12739173.553719008"/>
    <n v="2675226.4462809917"/>
    <n v="15414400"/>
    <x v="0"/>
    <x v="0"/>
    <x v="0"/>
    <n v="15414400"/>
    <d v="2025-02-17T00:00:00"/>
    <d v="2025-03-27T00:00:00"/>
    <n v="-222"/>
    <x v="3"/>
    <x v="3"/>
    <d v="2025-04-03T00:00:00"/>
    <n v="15496"/>
    <d v="2025-01-29T00:00:00"/>
    <n v="566.1854912764004"/>
    <n v="27225"/>
    <n v="-2737.625"/>
    <n v="24487.375"/>
    <n v="-287.16780821917808"/>
    <n v="24200.207191780821"/>
    <x v="0"/>
    <x v="9"/>
    <x v="1"/>
    <x v="0"/>
    <n v="23465"/>
    <n v="735.20719178082072"/>
    <n v="3.1332077212052889E-2"/>
    <n v="416263.64506836672"/>
    <n v="13285542.552800735"/>
    <n v="13701806.197869102"/>
    <x v="0"/>
    <x v="0"/>
    <x v="3"/>
    <x v="0"/>
    <x v="0"/>
    <n v="1051.5833"/>
    <n v="12114.279062551686"/>
    <n v="427.92615668202416"/>
  </r>
  <r>
    <x v="13"/>
    <x v="0"/>
    <x v="6"/>
    <d v="2025-02-19T00:00:00"/>
    <n v="2268"/>
    <x v="0"/>
    <x v="0"/>
    <d v="2025-02-19T00:00:00"/>
    <n v="28000"/>
    <n v="490"/>
    <n v="13720000"/>
    <n v="2881200"/>
    <n v="16601200"/>
    <x v="0"/>
    <x v="0"/>
    <x v="0"/>
    <n v="16601200"/>
    <d v="2025-02-19T00:00:00"/>
    <d v="2025-03-21T00:00:00"/>
    <n v="-228"/>
    <x v="0"/>
    <x v="0"/>
    <d v="2025-03-28T00:00:00"/>
    <n v="13979"/>
    <d v="2025-02-06T00:00:00"/>
    <n v="560"/>
    <n v="29645"/>
    <n v="-3501.6794999999997"/>
    <n v="26143.320500000002"/>
    <n v="0"/>
    <n v="26143.320500000002"/>
    <x v="0"/>
    <x v="5"/>
    <x v="1"/>
    <x v="0"/>
    <n v="23465"/>
    <n v="2678.3205000000016"/>
    <n v="0.11414108246324317"/>
    <n v="1499859.4800000009"/>
    <n v="13140400"/>
    <n v="14640259.48"/>
    <x v="0"/>
    <x v="0"/>
    <x v="3"/>
    <x v="0"/>
    <x v="0"/>
    <n v="1054.875"/>
    <n v="13006.280364972154"/>
    <n v="464.51001303471975"/>
  </r>
  <r>
    <x v="13"/>
    <x v="0"/>
    <x v="4"/>
    <d v="2025-02-13T00:00:00"/>
    <s v="V37"/>
    <x v="0"/>
    <x v="0"/>
    <d v="2025-02-13T00:00:00"/>
    <n v="40000"/>
    <n v="450"/>
    <n v="18000000"/>
    <m/>
    <n v="18000000"/>
    <x v="0"/>
    <x v="0"/>
    <x v="0"/>
    <n v="18000000"/>
    <d v="2025-02-13T00:00:00"/>
    <d v="2025-02-13T00:00:00"/>
    <n v="-264"/>
    <x v="0"/>
    <x v="2"/>
    <d v="2025-02-20T00:00:00"/>
    <s v="SOC 25"/>
    <d v="2025-02-07T00:00:00"/>
    <n v="800"/>
    <n v="22500"/>
    <n v="0"/>
    <n v="22500"/>
    <n v="0"/>
    <n v="22500"/>
    <x v="0"/>
    <x v="3"/>
    <x v="3"/>
    <x v="2"/>
    <n v="19392.561983471074"/>
    <n v="3107.4380165289258"/>
    <n v="0.16023865331344567"/>
    <n v="2485950.4132231409"/>
    <n v="15514049.58677686"/>
    <n v="18000000"/>
    <x v="0"/>
    <x v="0"/>
    <x v="3"/>
    <x v="0"/>
    <x v="0"/>
    <n v="1055.9167"/>
    <n v="17046.799240887089"/>
    <n v="426.16998102217724"/>
  </r>
  <r>
    <x v="13"/>
    <x v="0"/>
    <x v="4"/>
    <d v="2025-02-14T00:00:00"/>
    <s v="V38"/>
    <x v="0"/>
    <x v="0"/>
    <d v="2025-02-14T00:00:00"/>
    <n v="40000"/>
    <n v="450"/>
    <n v="18000000"/>
    <m/>
    <n v="18000000"/>
    <x v="0"/>
    <x v="0"/>
    <x v="0"/>
    <n v="18000000"/>
    <d v="2025-02-14T00:00:00"/>
    <d v="2025-02-14T00:00:00"/>
    <n v="-263"/>
    <x v="0"/>
    <x v="2"/>
    <d v="2025-02-21T00:00:00"/>
    <s v="SOC 25"/>
    <d v="2025-02-07T00:00:00"/>
    <n v="800"/>
    <n v="22500"/>
    <n v="0"/>
    <n v="22500"/>
    <n v="0"/>
    <n v="22500"/>
    <x v="0"/>
    <x v="3"/>
    <x v="3"/>
    <x v="2"/>
    <n v="19392.561983471074"/>
    <n v="3107.4380165289258"/>
    <n v="0.16023865331344567"/>
    <n v="2485950.4132231409"/>
    <n v="15514049.58677686"/>
    <n v="18000000"/>
    <x v="0"/>
    <x v="0"/>
    <x v="3"/>
    <x v="0"/>
    <x v="0"/>
    <n v="1055.9167"/>
    <n v="17046.799240887089"/>
    <n v="426.16998102217724"/>
  </r>
  <r>
    <x v="13"/>
    <x v="0"/>
    <x v="4"/>
    <d v="2025-02-14T00:00:00"/>
    <s v="V39"/>
    <x v="0"/>
    <x v="0"/>
    <d v="2025-02-14T00:00:00"/>
    <n v="40000"/>
    <n v="450"/>
    <n v="18000000"/>
    <m/>
    <n v="18000000"/>
    <x v="0"/>
    <x v="0"/>
    <x v="0"/>
    <n v="18000000"/>
    <d v="2025-02-14T00:00:00"/>
    <d v="2025-02-14T00:00:00"/>
    <n v="-263"/>
    <x v="0"/>
    <x v="2"/>
    <d v="2025-02-21T00:00:00"/>
    <s v="SOC 25"/>
    <d v="2025-02-07T00:00:00"/>
    <n v="800"/>
    <n v="22500"/>
    <n v="0"/>
    <n v="22500"/>
    <n v="0"/>
    <n v="22500"/>
    <x v="0"/>
    <x v="3"/>
    <x v="3"/>
    <x v="2"/>
    <n v="19392.561983471074"/>
    <n v="3107.4380165289258"/>
    <n v="0.16023865331344567"/>
    <n v="2485950.4132231409"/>
    <n v="15514049.58677686"/>
    <n v="18000000"/>
    <x v="0"/>
    <x v="0"/>
    <x v="5"/>
    <x v="0"/>
    <x v="0"/>
    <n v="1055.9167"/>
    <n v="17046.799240887089"/>
    <n v="426.16998102217724"/>
  </r>
  <r>
    <x v="13"/>
    <x v="0"/>
    <x v="4"/>
    <d v="2025-02-18T00:00:00"/>
    <s v="V40"/>
    <x v="0"/>
    <x v="0"/>
    <d v="2025-02-18T00:00:00"/>
    <n v="40000"/>
    <n v="450"/>
    <n v="18000000"/>
    <m/>
    <n v="18000000"/>
    <x v="0"/>
    <x v="0"/>
    <x v="0"/>
    <n v="18000000"/>
    <d v="2025-02-18T00:00:00"/>
    <d v="2025-02-18T00:00:00"/>
    <n v="-259"/>
    <x v="0"/>
    <x v="2"/>
    <d v="2025-02-25T00:00:00"/>
    <s v="SOC 25"/>
    <d v="2025-02-07T00:00:00"/>
    <n v="800"/>
    <n v="22500"/>
    <n v="0"/>
    <n v="22500"/>
    <n v="0"/>
    <n v="22500"/>
    <x v="0"/>
    <x v="3"/>
    <x v="3"/>
    <x v="2"/>
    <n v="19392.561983471074"/>
    <n v="3107.4380165289258"/>
    <n v="0.16023865331344567"/>
    <n v="2485950.4132231409"/>
    <n v="15514049.58677686"/>
    <n v="18000000"/>
    <x v="0"/>
    <x v="0"/>
    <x v="5"/>
    <x v="0"/>
    <x v="0"/>
    <n v="1055.9167"/>
    <n v="17046.799240887089"/>
    <n v="426.16998102217724"/>
  </r>
  <r>
    <x v="13"/>
    <x v="0"/>
    <x v="1"/>
    <d v="2025-01-30T00:00:00"/>
    <n v="2274"/>
    <x v="0"/>
    <x v="0"/>
    <d v="2025-03-12T00:00:00"/>
    <n v="28000"/>
    <n v="493"/>
    <n v="13804000"/>
    <n v="2898840"/>
    <n v="16702840"/>
    <x v="0"/>
    <x v="0"/>
    <x v="0"/>
    <n v="16702840"/>
    <d v="2025-01-30T00:00:00"/>
    <d v="2025-03-16T00:00:00"/>
    <n v="-233"/>
    <x v="0"/>
    <x v="0"/>
    <d v="2025-03-23T00:00:00"/>
    <n v="1302130"/>
    <d v="2025-02-13T00:00:00"/>
    <n v="560"/>
    <n v="29826.5"/>
    <n v="-3870.7294999999999"/>
    <n v="25955.770499999999"/>
    <n v="0"/>
    <n v="25955.770499999999"/>
    <x v="0"/>
    <x v="2"/>
    <x v="1"/>
    <x v="0"/>
    <n v="23850"/>
    <n v="2105.7704999999987"/>
    <n v="8.8292264150943378E-2"/>
    <n v="1179231.4799999993"/>
    <n v="13356000"/>
    <n v="14535231.479999999"/>
    <x v="0"/>
    <x v="0"/>
    <x v="5"/>
    <x v="0"/>
    <x v="0"/>
    <n v="1057.4583"/>
    <n v="13053.942647194694"/>
    <n v="466.21223739981048"/>
  </r>
  <r>
    <x v="13"/>
    <x v="0"/>
    <x v="16"/>
    <d v="2025-02-24T00:00:00"/>
    <n v="2282"/>
    <x v="0"/>
    <x v="0"/>
    <d v="2025-02-24T00:00:00"/>
    <n v="28000"/>
    <n v="459"/>
    <n v="12852000"/>
    <n v="2698920"/>
    <n v="15550920"/>
    <x v="0"/>
    <x v="0"/>
    <x v="0"/>
    <n v="15550920"/>
    <d v="2025-03-03T00:00:00"/>
    <d v="2025-03-26T00:00:00"/>
    <n v="-223"/>
    <x v="3"/>
    <x v="3"/>
    <d v="2025-04-02T00:00:00"/>
    <n v="15565"/>
    <d v="2025-01-29T00:00:00"/>
    <n v="560"/>
    <n v="27769.5"/>
    <n v="-2739.2584999999999"/>
    <n v="25030.2415"/>
    <n v="-292.91116438356164"/>
    <n v="24737.33033561644"/>
    <x v="0"/>
    <x v="9"/>
    <x v="1"/>
    <x v="0"/>
    <n v="23465"/>
    <n v="1272.3303356164397"/>
    <n v="5.4222473284314399E-2"/>
    <n v="712504.98794520623"/>
    <n v="13140400"/>
    <n v="13852904.987945206"/>
    <x v="0"/>
    <x v="0"/>
    <x v="5"/>
    <x v="0"/>
    <x v="0"/>
    <n v="1051.5833"/>
    <n v="12221.571034838609"/>
    <n v="436.48467981566461"/>
  </r>
  <r>
    <x v="13"/>
    <x v="0"/>
    <x v="16"/>
    <d v="2025-02-24T00:00:00"/>
    <n v="2283"/>
    <x v="0"/>
    <x v="0"/>
    <d v="2025-02-24T00:00:00"/>
    <n v="28000"/>
    <n v="459"/>
    <n v="12852000"/>
    <n v="2698920"/>
    <n v="15550920"/>
    <x v="0"/>
    <x v="0"/>
    <x v="0"/>
    <n v="15550920"/>
    <d v="2025-03-03T00:00:00"/>
    <d v="2025-03-26T00:00:00"/>
    <n v="-223"/>
    <x v="3"/>
    <x v="3"/>
    <d v="2025-04-02T00:00:00"/>
    <n v="15566"/>
    <d v="2025-01-29T00:00:00"/>
    <n v="560"/>
    <n v="27769.5"/>
    <n v="-2739.2584999999999"/>
    <n v="25030.2415"/>
    <n v="-292.91116438356164"/>
    <n v="24737.33033561644"/>
    <x v="0"/>
    <x v="9"/>
    <x v="1"/>
    <x v="0"/>
    <n v="23465"/>
    <n v="1272.3303356164397"/>
    <n v="5.4222473284314399E-2"/>
    <n v="712504.98794520623"/>
    <n v="13140400"/>
    <n v="13852904.987945206"/>
    <x v="0"/>
    <x v="0"/>
    <x v="3"/>
    <x v="0"/>
    <x v="0"/>
    <n v="1051.5833"/>
    <n v="12221.571034838609"/>
    <n v="436.48467981566461"/>
  </r>
  <r>
    <x v="13"/>
    <x v="0"/>
    <x v="6"/>
    <d v="2025-03-07T00:00:00"/>
    <n v="2307"/>
    <x v="0"/>
    <x v="0"/>
    <d v="2025-03-07T00:00:00"/>
    <n v="28000"/>
    <n v="490"/>
    <n v="13720000"/>
    <n v="2881200"/>
    <n v="16601200"/>
    <x v="0"/>
    <x v="0"/>
    <x v="0"/>
    <n v="16601200"/>
    <d v="2025-03-07T00:00:00"/>
    <d v="2025-04-06T00:00:00"/>
    <n v="-212"/>
    <x v="0"/>
    <x v="0"/>
    <d v="2025-04-13T00:00:00"/>
    <n v="14091"/>
    <d v="2025-02-20T00:00:00"/>
    <n v="560"/>
    <n v="29645"/>
    <n v="-3501.6794999999997"/>
    <n v="26143.320500000002"/>
    <n v="0"/>
    <n v="26143.320500000002"/>
    <x v="0"/>
    <x v="5"/>
    <x v="1"/>
    <x v="0"/>
    <n v="23815"/>
    <n v="2328.3205000000016"/>
    <n v="9.7766974595842937E-2"/>
    <n v="1303859.4800000009"/>
    <n v="13336400"/>
    <n v="14640259.48"/>
    <x v="0"/>
    <x v="0"/>
    <x v="3"/>
    <x v="0"/>
    <x v="0"/>
    <n v="1059.875"/>
    <n v="12944.922750324331"/>
    <n v="462.31866965444038"/>
  </r>
  <r>
    <x v="13"/>
    <x v="0"/>
    <x v="18"/>
    <d v="2025-03-18T00:00:00"/>
    <n v="2333"/>
    <x v="0"/>
    <x v="0"/>
    <d v="2025-03-18T00:00:00"/>
    <n v="28000"/>
    <n v="425"/>
    <n v="11900000"/>
    <n v="2499000"/>
    <n v="14399000"/>
    <x v="0"/>
    <x v="0"/>
    <x v="0"/>
    <n v="14399000"/>
    <d v="2025-03-18T00:00:00"/>
    <d v="2025-03-19T00:00:00"/>
    <n v="-230"/>
    <x v="0"/>
    <x v="0"/>
    <d v="2025-03-26T00:00:00"/>
    <n v="11818"/>
    <d v="2025-02-20T00:00:00"/>
    <n v="560"/>
    <n v="25712.5"/>
    <n v="-1710.6375"/>
    <n v="24001.862499999999"/>
    <n v="0"/>
    <n v="24001.862499999999"/>
    <x v="0"/>
    <x v="12"/>
    <x v="0"/>
    <x v="0"/>
    <n v="23815"/>
    <n v="186.86249999999927"/>
    <n v="7.8464203233254981E-3"/>
    <n v="104642.99999999959"/>
    <n v="13336400"/>
    <n v="13441043"/>
    <x v="0"/>
    <x v="0"/>
    <x v="3"/>
    <x v="0"/>
    <x v="0"/>
    <n v="1059.875"/>
    <n v="11227.739120179267"/>
    <n v="400.99068286354526"/>
  </r>
  <r>
    <x v="13"/>
    <x v="0"/>
    <x v="18"/>
    <d v="2025-03-17T00:00:00"/>
    <n v="2334"/>
    <x v="0"/>
    <x v="0"/>
    <d v="2025-03-17T00:00:00"/>
    <n v="28000"/>
    <n v="425"/>
    <n v="11900000"/>
    <n v="2499000"/>
    <n v="14399000"/>
    <x v="0"/>
    <x v="0"/>
    <x v="0"/>
    <n v="14399000"/>
    <d v="2025-03-17T00:00:00"/>
    <d v="2025-03-18T00:00:00"/>
    <n v="-231"/>
    <x v="0"/>
    <x v="0"/>
    <d v="2025-03-25T00:00:00"/>
    <n v="11818"/>
    <d v="2025-02-20T00:00:00"/>
    <n v="560"/>
    <n v="25712.5"/>
    <n v="-1710.6375"/>
    <n v="24001.862499999999"/>
    <n v="0"/>
    <n v="24001.862499999999"/>
    <x v="0"/>
    <x v="12"/>
    <x v="0"/>
    <x v="0"/>
    <n v="23815"/>
    <n v="186.86249999999927"/>
    <n v="7.8464203233254981E-3"/>
    <n v="104642.99999999959"/>
    <n v="13336400"/>
    <n v="13441043"/>
    <x v="0"/>
    <x v="0"/>
    <x v="5"/>
    <x v="0"/>
    <x v="0"/>
    <n v="1059.875"/>
    <n v="11227.739120179267"/>
    <n v="400.99068286354526"/>
  </r>
  <r>
    <x v="13"/>
    <x v="0"/>
    <x v="18"/>
    <d v="2025-03-18T00:00:00"/>
    <n v="2338"/>
    <x v="0"/>
    <x v="0"/>
    <d v="2025-03-18T00:00:00"/>
    <n v="28000"/>
    <n v="425"/>
    <n v="11900000"/>
    <n v="2499000"/>
    <n v="14399000"/>
    <x v="0"/>
    <x v="0"/>
    <x v="0"/>
    <n v="14399000"/>
    <d v="2025-03-18T00:00:00"/>
    <d v="2025-03-19T00:00:00"/>
    <n v="-230"/>
    <x v="0"/>
    <x v="0"/>
    <d v="2025-03-26T00:00:00"/>
    <n v="11818"/>
    <d v="2025-02-20T00:00:00"/>
    <n v="560"/>
    <n v="25712.5"/>
    <n v="-1710.6375"/>
    <n v="24001.862499999999"/>
    <n v="0"/>
    <n v="24001.862499999999"/>
    <x v="0"/>
    <x v="12"/>
    <x v="0"/>
    <x v="0"/>
    <n v="23815"/>
    <n v="186.86249999999927"/>
    <n v="7.8464203233254981E-3"/>
    <n v="104642.99999999959"/>
    <n v="13336400"/>
    <n v="13441043"/>
    <x v="0"/>
    <x v="0"/>
    <x v="5"/>
    <x v="0"/>
    <x v="0"/>
    <n v="1059.875"/>
    <n v="11227.739120179267"/>
    <n v="400.99068286354526"/>
  </r>
  <r>
    <x v="13"/>
    <x v="0"/>
    <x v="18"/>
    <d v="2025-03-20T00:00:00"/>
    <n v="2341"/>
    <x v="0"/>
    <x v="0"/>
    <d v="2025-03-20T00:00:00"/>
    <n v="28000"/>
    <n v="425"/>
    <n v="11900000"/>
    <n v="2499000"/>
    <n v="14399000"/>
    <x v="0"/>
    <x v="0"/>
    <x v="0"/>
    <n v="14399000"/>
    <d v="2025-03-20T00:00:00"/>
    <d v="2025-03-21T00:00:00"/>
    <n v="-228"/>
    <x v="0"/>
    <x v="0"/>
    <d v="2025-03-28T00:00:00"/>
    <n v="11818"/>
    <d v="2025-02-20T00:00:00"/>
    <n v="560"/>
    <n v="25712.5"/>
    <n v="-1710.6375"/>
    <n v="24001.862499999999"/>
    <n v="0"/>
    <n v="24001.862499999999"/>
    <x v="0"/>
    <x v="12"/>
    <x v="0"/>
    <x v="0"/>
    <n v="23815"/>
    <n v="186.86249999999927"/>
    <n v="7.8464203233254981E-3"/>
    <n v="104642.99999999959"/>
    <n v="13336400"/>
    <n v="13441043"/>
    <x v="0"/>
    <x v="0"/>
    <x v="5"/>
    <x v="0"/>
    <x v="0"/>
    <n v="1059.875"/>
    <n v="11227.739120179267"/>
    <n v="400.99068286354526"/>
  </r>
  <r>
    <x v="13"/>
    <x v="0"/>
    <x v="18"/>
    <d v="2025-03-21T00:00:00"/>
    <n v="2348"/>
    <x v="0"/>
    <x v="0"/>
    <d v="2025-03-21T00:00:00"/>
    <n v="28000"/>
    <n v="425"/>
    <n v="11900000"/>
    <n v="2499000"/>
    <n v="14399000"/>
    <x v="0"/>
    <x v="0"/>
    <x v="0"/>
    <n v="14399000"/>
    <d v="2025-03-21T00:00:00"/>
    <d v="2025-03-22T00:00:00"/>
    <n v="-227"/>
    <x v="0"/>
    <x v="0"/>
    <d v="2025-03-29T00:00:00"/>
    <n v="11818"/>
    <d v="2025-02-20T00:00:00"/>
    <n v="560"/>
    <n v="25712.5"/>
    <n v="-1710.6375"/>
    <n v="24001.862499999999"/>
    <n v="0"/>
    <n v="24001.862499999999"/>
    <x v="0"/>
    <x v="12"/>
    <x v="0"/>
    <x v="0"/>
    <n v="23815"/>
    <n v="186.86249999999927"/>
    <n v="7.8464203233254981E-3"/>
    <n v="104642.99999999959"/>
    <n v="13336400"/>
    <n v="13441043"/>
    <x v="0"/>
    <x v="0"/>
    <x v="5"/>
    <x v="0"/>
    <x v="0"/>
    <n v="1059.875"/>
    <n v="11227.739120179267"/>
    <n v="400.99068286354526"/>
  </r>
  <r>
    <x v="13"/>
    <x v="0"/>
    <x v="18"/>
    <d v="2025-03-21T00:00:00"/>
    <n v="2349"/>
    <x v="0"/>
    <x v="0"/>
    <d v="2025-03-21T00:00:00"/>
    <n v="28000"/>
    <n v="425"/>
    <n v="11900000"/>
    <n v="2499000"/>
    <n v="14399000"/>
    <x v="0"/>
    <x v="0"/>
    <x v="0"/>
    <n v="14399000"/>
    <d v="2025-03-21T00:00:00"/>
    <d v="2025-03-22T00:00:00"/>
    <n v="-227"/>
    <x v="0"/>
    <x v="0"/>
    <d v="2025-03-29T00:00:00"/>
    <n v="11818"/>
    <d v="2025-02-20T00:00:00"/>
    <n v="560"/>
    <n v="25712.5"/>
    <n v="-1710.6375"/>
    <n v="24001.862499999999"/>
    <n v="0"/>
    <n v="24001.862499999999"/>
    <x v="0"/>
    <x v="12"/>
    <x v="0"/>
    <x v="0"/>
    <n v="23815"/>
    <n v="186.86249999999927"/>
    <n v="7.8464203233254981E-3"/>
    <n v="104642.99999999959"/>
    <n v="13336400"/>
    <n v="13441043"/>
    <x v="0"/>
    <x v="0"/>
    <x v="3"/>
    <x v="0"/>
    <x v="0"/>
    <n v="1059.875"/>
    <n v="11227.739120179267"/>
    <n v="400.99068286354526"/>
  </r>
  <r>
    <x v="13"/>
    <x v="0"/>
    <x v="18"/>
    <d v="2025-03-26T00:00:00"/>
    <n v="2352"/>
    <x v="0"/>
    <x v="0"/>
    <d v="2025-03-26T00:00:00"/>
    <n v="28000"/>
    <n v="425"/>
    <n v="11900000"/>
    <n v="2499000"/>
    <n v="14399000"/>
    <x v="0"/>
    <x v="3"/>
    <x v="0"/>
    <m/>
    <d v="2025-03-26T00:00:00"/>
    <d v="2025-03-27T00:00:00"/>
    <n v="-222"/>
    <x v="0"/>
    <x v="0"/>
    <d v="2025-04-03T00:00:00"/>
    <n v="11818"/>
    <d v="2025-02-20T00:00:00"/>
    <n v="560"/>
    <n v="25712.5"/>
    <n v="-1710.6375"/>
    <n v="24001.862499999999"/>
    <n v="0"/>
    <n v="24001.862499999999"/>
    <x v="0"/>
    <x v="12"/>
    <x v="0"/>
    <x v="0"/>
    <n v="23815"/>
    <n v="186.86249999999927"/>
    <n v="7.8464203233254981E-3"/>
    <n v="104642.99999999959"/>
    <n v="13336400"/>
    <n v="13441043"/>
    <x v="0"/>
    <x v="0"/>
    <x v="3"/>
    <x v="0"/>
    <x v="0"/>
    <n v="1059.875"/>
    <n v="11227.739120179267"/>
    <n v="400.99068286354526"/>
  </r>
  <r>
    <x v="13"/>
    <x v="0"/>
    <x v="18"/>
    <d v="2025-03-27T00:00:00"/>
    <n v="2353"/>
    <x v="0"/>
    <x v="0"/>
    <d v="2025-03-27T00:00:00"/>
    <n v="28000"/>
    <n v="425"/>
    <n v="11900000"/>
    <n v="2499000"/>
    <n v="14399000"/>
    <x v="0"/>
    <x v="0"/>
    <x v="0"/>
    <n v="14399000"/>
    <d v="2025-03-27T00:00:00"/>
    <d v="2025-03-28T00:00:00"/>
    <n v="-221"/>
    <x v="0"/>
    <x v="0"/>
    <d v="2025-04-04T00:00:00"/>
    <n v="11818"/>
    <d v="2025-02-20T00:00:00"/>
    <n v="560"/>
    <n v="25712.5"/>
    <n v="-1710.6375"/>
    <n v="24001.862499999999"/>
    <n v="0"/>
    <n v="24001.862499999999"/>
    <x v="0"/>
    <x v="12"/>
    <x v="0"/>
    <x v="0"/>
    <n v="23815"/>
    <n v="186.86249999999927"/>
    <n v="7.8464203233254981E-3"/>
    <n v="104642.99999999959"/>
    <n v="13336400"/>
    <n v="13441043"/>
    <x v="0"/>
    <x v="0"/>
    <x v="3"/>
    <x v="0"/>
    <x v="0"/>
    <n v="1059.875"/>
    <n v="11227.739120179267"/>
    <n v="400.99068286354526"/>
  </r>
  <r>
    <x v="13"/>
    <x v="0"/>
    <x v="18"/>
    <d v="2025-03-28T00:00:00"/>
    <n v="2360"/>
    <x v="0"/>
    <x v="0"/>
    <d v="2025-03-28T00:00:00"/>
    <n v="28000"/>
    <n v="425"/>
    <n v="11900000"/>
    <n v="2499000"/>
    <n v="14399000"/>
    <x v="0"/>
    <x v="0"/>
    <x v="0"/>
    <n v="14399000"/>
    <d v="2025-03-28T00:00:00"/>
    <d v="2025-03-29T00:00:00"/>
    <n v="-220"/>
    <x v="0"/>
    <x v="0"/>
    <d v="2025-04-05T00:00:00"/>
    <n v="11818"/>
    <d v="2025-02-20T00:00:00"/>
    <n v="560"/>
    <n v="25712.5"/>
    <n v="-1710.6375"/>
    <n v="24001.862499999999"/>
    <n v="0"/>
    <n v="24001.862499999999"/>
    <x v="0"/>
    <x v="12"/>
    <x v="0"/>
    <x v="0"/>
    <n v="23815"/>
    <n v="186.86249999999927"/>
    <n v="7.8464203233254981E-3"/>
    <n v="104642.99999999959"/>
    <n v="13336400"/>
    <n v="13441043"/>
    <x v="0"/>
    <x v="0"/>
    <x v="5"/>
    <x v="0"/>
    <x v="0"/>
    <n v="1059.875"/>
    <n v="11227.739120179267"/>
    <n v="400.99068286354526"/>
  </r>
  <r>
    <x v="13"/>
    <x v="0"/>
    <x v="18"/>
    <d v="2025-03-29T00:00:00"/>
    <n v="2364"/>
    <x v="0"/>
    <x v="0"/>
    <d v="2025-03-29T00:00:00"/>
    <n v="28000"/>
    <n v="425"/>
    <n v="11900000"/>
    <n v="2499000"/>
    <n v="14399000"/>
    <x v="0"/>
    <x v="0"/>
    <x v="0"/>
    <n v="14399000"/>
    <d v="2025-03-29T00:00:00"/>
    <d v="2025-03-30T00:00:00"/>
    <n v="-219"/>
    <x v="0"/>
    <x v="0"/>
    <d v="2025-04-06T00:00:00"/>
    <n v="11818"/>
    <d v="2025-02-20T00:00:00"/>
    <n v="560"/>
    <n v="25712.5"/>
    <n v="-1710.6375"/>
    <n v="24001.862499999999"/>
    <n v="0"/>
    <n v="24001.862499999999"/>
    <x v="0"/>
    <x v="12"/>
    <x v="0"/>
    <x v="0"/>
    <n v="23815"/>
    <n v="186.86249999999927"/>
    <n v="7.8464203233254981E-3"/>
    <n v="104642.99999999959"/>
    <n v="13336400"/>
    <n v="13441043"/>
    <x v="0"/>
    <x v="0"/>
    <x v="5"/>
    <x v="0"/>
    <x v="0"/>
    <n v="1059.875"/>
    <n v="11227.739120179267"/>
    <n v="400.99068286354526"/>
  </r>
  <r>
    <x v="13"/>
    <x v="0"/>
    <x v="30"/>
    <d v="2025-03-05T00:00:00"/>
    <n v="2297"/>
    <x v="0"/>
    <x v="0"/>
    <d v="2025-03-05T00:00:00"/>
    <n v="28000"/>
    <n v="444"/>
    <n v="12432000"/>
    <n v="2610720"/>
    <n v="15042720"/>
    <x v="0"/>
    <x v="0"/>
    <x v="0"/>
    <n v="15042720"/>
    <d v="2025-03-12T00:00:00"/>
    <d v="2025-04-04T00:00:00"/>
    <n v="-214"/>
    <x v="3"/>
    <x v="7"/>
    <d v="2025-04-11T00:00:00"/>
    <s v="WS 21/2"/>
    <d v="2025-02-21T00:00:00"/>
    <n v="560"/>
    <n v="26862"/>
    <n v="-1904.6610000000001"/>
    <n v="24957.339"/>
    <n v="-231.82273972602741"/>
    <n v="24725.516260273973"/>
    <x v="0"/>
    <x v="21"/>
    <x v="0"/>
    <x v="0"/>
    <n v="23810"/>
    <n v="915.51626027397288"/>
    <n v="3.8450913913228524E-2"/>
    <n v="512689.10575342481"/>
    <n v="13333600"/>
    <n v="13846289.105753426"/>
    <x v="0"/>
    <x v="0"/>
    <x v="5"/>
    <x v="0"/>
    <x v="0"/>
    <n v="1060.875"/>
    <n v="11718.628490632733"/>
    <n v="418.52244609402618"/>
  </r>
  <r>
    <x v="13"/>
    <x v="0"/>
    <x v="30"/>
    <d v="2025-03-07T00:00:00"/>
    <n v="2300"/>
    <x v="0"/>
    <x v="0"/>
    <d v="2025-03-07T00:00:00"/>
    <n v="28000"/>
    <n v="444"/>
    <n v="12432000"/>
    <n v="2610720"/>
    <n v="15042720"/>
    <x v="0"/>
    <x v="0"/>
    <x v="0"/>
    <n v="15042720"/>
    <d v="2025-03-14T00:00:00"/>
    <d v="2025-04-06T00:00:00"/>
    <n v="-212"/>
    <x v="3"/>
    <x v="7"/>
    <d v="2025-04-13T00:00:00"/>
    <s v="WS 21/2"/>
    <d v="2025-02-21T00:00:00"/>
    <n v="560"/>
    <n v="26862"/>
    <n v="-1904.6610000000001"/>
    <n v="24957.339"/>
    <n v="-231.82273972602741"/>
    <n v="24725.516260273973"/>
    <x v="0"/>
    <x v="21"/>
    <x v="0"/>
    <x v="0"/>
    <n v="23810"/>
    <n v="915.51626027397288"/>
    <n v="3.8450913913228524E-2"/>
    <n v="512689.10575342481"/>
    <n v="13333600"/>
    <n v="13846289.105753426"/>
    <x v="0"/>
    <x v="0"/>
    <x v="3"/>
    <x v="0"/>
    <x v="0"/>
    <n v="1060.875"/>
    <n v="11718.628490632733"/>
    <n v="418.52244609402618"/>
  </r>
  <r>
    <x v="13"/>
    <x v="0"/>
    <x v="30"/>
    <d v="2025-03-07T00:00:00"/>
    <n v="2301"/>
    <x v="0"/>
    <x v="0"/>
    <d v="2025-03-07T00:00:00"/>
    <n v="28000"/>
    <n v="444"/>
    <n v="12432000"/>
    <n v="2610720"/>
    <n v="15042720"/>
    <x v="0"/>
    <x v="0"/>
    <x v="0"/>
    <n v="15042720"/>
    <d v="2025-03-14T00:00:00"/>
    <d v="2025-04-06T00:00:00"/>
    <n v="-212"/>
    <x v="3"/>
    <x v="7"/>
    <d v="2025-04-13T00:00:00"/>
    <s v="WS 21/2"/>
    <d v="2025-02-21T00:00:00"/>
    <n v="560"/>
    <n v="26862"/>
    <n v="-1904.6610000000001"/>
    <n v="24957.339"/>
    <n v="-231.82273972602741"/>
    <n v="24725.516260273973"/>
    <x v="0"/>
    <x v="21"/>
    <x v="0"/>
    <x v="0"/>
    <n v="23810"/>
    <n v="915.51626027397288"/>
    <n v="3.8450913913228524E-2"/>
    <n v="512689.10575342481"/>
    <n v="13333600"/>
    <n v="13846289.105753426"/>
    <x v="0"/>
    <x v="0"/>
    <x v="3"/>
    <x v="0"/>
    <x v="0"/>
    <n v="1060.875"/>
    <n v="11718.628490632733"/>
    <n v="418.52244609402618"/>
  </r>
  <r>
    <x v="13"/>
    <x v="0"/>
    <x v="30"/>
    <d v="2025-03-10T00:00:00"/>
    <n v="2313"/>
    <x v="0"/>
    <x v="0"/>
    <d v="2025-03-10T00:00:00"/>
    <n v="28000"/>
    <n v="444"/>
    <n v="12432000"/>
    <n v="2610720"/>
    <n v="15042720"/>
    <x v="0"/>
    <x v="0"/>
    <x v="0"/>
    <n v="15042720"/>
    <d v="2025-03-17T00:00:00"/>
    <d v="2025-04-09T00:00:00"/>
    <n v="-209"/>
    <x v="3"/>
    <x v="7"/>
    <d v="2025-04-16T00:00:00"/>
    <s v="WS 21/2"/>
    <d v="2025-02-21T00:00:00"/>
    <n v="560"/>
    <n v="26862"/>
    <n v="-1904.6610000000001"/>
    <n v="24957.339"/>
    <n v="-231.82273972602741"/>
    <n v="24725.516260273973"/>
    <x v="0"/>
    <x v="21"/>
    <x v="0"/>
    <x v="0"/>
    <n v="23810"/>
    <n v="915.51626027397288"/>
    <n v="3.8450913913228524E-2"/>
    <n v="512689.10575342481"/>
    <n v="13333600"/>
    <n v="13846289.105753426"/>
    <x v="0"/>
    <x v="0"/>
    <x v="5"/>
    <x v="0"/>
    <x v="0"/>
    <n v="1060.875"/>
    <n v="11718.628490632733"/>
    <n v="418.52244609402618"/>
  </r>
  <r>
    <x v="13"/>
    <x v="0"/>
    <x v="30"/>
    <d v="2025-03-10T00:00:00"/>
    <n v="2314"/>
    <x v="0"/>
    <x v="0"/>
    <d v="2025-03-10T00:00:00"/>
    <n v="28000"/>
    <n v="444"/>
    <n v="12432000"/>
    <n v="2610720"/>
    <n v="15042720"/>
    <x v="0"/>
    <x v="0"/>
    <x v="0"/>
    <n v="15042720"/>
    <d v="2025-03-17T00:00:00"/>
    <d v="2025-04-09T00:00:00"/>
    <n v="-209"/>
    <x v="3"/>
    <x v="7"/>
    <d v="2025-04-16T00:00:00"/>
    <s v="WS 21/2"/>
    <d v="2025-02-21T00:00:00"/>
    <n v="560"/>
    <n v="26862"/>
    <n v="-1904.6610000000001"/>
    <n v="24957.339"/>
    <n v="-231.82273972602741"/>
    <n v="24725.516260273973"/>
    <x v="0"/>
    <x v="21"/>
    <x v="0"/>
    <x v="0"/>
    <n v="23810"/>
    <n v="915.51626027397288"/>
    <n v="3.8450913913228524E-2"/>
    <n v="512689.10575342481"/>
    <n v="13333600"/>
    <n v="13846289.105753426"/>
    <x v="0"/>
    <x v="0"/>
    <x v="5"/>
    <x v="0"/>
    <x v="0"/>
    <n v="1060.875"/>
    <n v="11718.628490632733"/>
    <n v="418.52244609402618"/>
  </r>
  <r>
    <x v="13"/>
    <x v="0"/>
    <x v="30"/>
    <d v="2025-03-13T00:00:00"/>
    <n v="2323"/>
    <x v="0"/>
    <x v="0"/>
    <d v="2025-03-13T00:00:00"/>
    <n v="28000"/>
    <n v="444"/>
    <n v="12432000"/>
    <n v="2610720"/>
    <n v="15042720"/>
    <x v="0"/>
    <x v="0"/>
    <x v="0"/>
    <n v="15042720"/>
    <d v="2025-03-20T00:00:00"/>
    <d v="2025-04-12T00:00:00"/>
    <n v="-206"/>
    <x v="3"/>
    <x v="7"/>
    <d v="2025-04-19T00:00:00"/>
    <s v="WS 21/2"/>
    <d v="2025-02-21T00:00:00"/>
    <n v="560"/>
    <n v="26862"/>
    <n v="-1904.6610000000001"/>
    <n v="24957.339"/>
    <n v="-231.82273972602741"/>
    <n v="24725.516260273973"/>
    <x v="0"/>
    <x v="21"/>
    <x v="0"/>
    <x v="0"/>
    <n v="23810"/>
    <n v="915.51626027397288"/>
    <n v="3.8450913913228524E-2"/>
    <n v="512689.10575342481"/>
    <n v="13333600"/>
    <n v="13846289.105753426"/>
    <x v="0"/>
    <x v="0"/>
    <x v="3"/>
    <x v="0"/>
    <x v="0"/>
    <n v="1060.875"/>
    <n v="11718.628490632733"/>
    <n v="418.52244609402618"/>
  </r>
  <r>
    <x v="13"/>
    <x v="0"/>
    <x v="30"/>
    <d v="2025-03-13T00:00:00"/>
    <n v="2324"/>
    <x v="0"/>
    <x v="0"/>
    <d v="2025-03-13T00:00:00"/>
    <n v="28000"/>
    <n v="444"/>
    <n v="12432000"/>
    <n v="2610720"/>
    <n v="15042720"/>
    <x v="0"/>
    <x v="0"/>
    <x v="0"/>
    <n v="15042720"/>
    <d v="2025-03-20T00:00:00"/>
    <d v="2025-04-12T00:00:00"/>
    <n v="-206"/>
    <x v="3"/>
    <x v="7"/>
    <d v="2025-04-19T00:00:00"/>
    <s v="WS 21/2"/>
    <d v="2025-02-21T00:00:00"/>
    <n v="560"/>
    <n v="26862"/>
    <n v="-1904.6610000000001"/>
    <n v="24957.339"/>
    <n v="-231.82273972602741"/>
    <n v="24725.516260273973"/>
    <x v="0"/>
    <x v="21"/>
    <x v="0"/>
    <x v="0"/>
    <n v="23810"/>
    <n v="915.51626027397288"/>
    <n v="3.8450913913228524E-2"/>
    <n v="512689.10575342481"/>
    <n v="13333600"/>
    <n v="13846289.105753426"/>
    <x v="0"/>
    <x v="0"/>
    <x v="5"/>
    <x v="0"/>
    <x v="0"/>
    <n v="1060.875"/>
    <n v="11718.628490632733"/>
    <n v="418.52244609402618"/>
  </r>
  <r>
    <x v="13"/>
    <x v="0"/>
    <x v="30"/>
    <d v="2025-03-14T00:00:00"/>
    <n v="2327"/>
    <x v="0"/>
    <x v="0"/>
    <d v="2025-03-14T00:00:00"/>
    <n v="28000"/>
    <n v="444"/>
    <n v="12432000"/>
    <n v="2610720"/>
    <n v="15042720"/>
    <x v="0"/>
    <x v="0"/>
    <x v="0"/>
    <n v="15042720"/>
    <d v="2025-03-21T00:00:00"/>
    <d v="2025-04-13T00:00:00"/>
    <n v="-205"/>
    <x v="3"/>
    <x v="7"/>
    <d v="2025-04-20T00:00:00"/>
    <s v="WS 21/2"/>
    <d v="2025-02-21T00:00:00"/>
    <n v="560"/>
    <n v="26862"/>
    <n v="-1904.6610000000001"/>
    <n v="24957.339"/>
    <n v="-231.82273972602741"/>
    <n v="24725.516260273973"/>
    <x v="0"/>
    <x v="21"/>
    <x v="0"/>
    <x v="0"/>
    <n v="23810"/>
    <n v="915.51626027397288"/>
    <n v="3.8450913913228524E-2"/>
    <n v="512689.10575342481"/>
    <n v="13333600"/>
    <n v="13846289.105753426"/>
    <x v="0"/>
    <x v="0"/>
    <x v="6"/>
    <x v="0"/>
    <x v="0"/>
    <n v="1060.875"/>
    <n v="11718.628490632733"/>
    <n v="418.52244609402618"/>
  </r>
  <r>
    <x v="13"/>
    <x v="0"/>
    <x v="30"/>
    <d v="2025-03-17T00:00:00"/>
    <n v="2335"/>
    <x v="0"/>
    <x v="0"/>
    <d v="2025-03-17T00:00:00"/>
    <n v="28000"/>
    <n v="444"/>
    <n v="12432000"/>
    <n v="2610720"/>
    <n v="15042720"/>
    <x v="0"/>
    <x v="0"/>
    <x v="0"/>
    <n v="15042720"/>
    <d v="2025-03-24T00:00:00"/>
    <d v="2025-04-16T00:00:00"/>
    <n v="-202"/>
    <x v="3"/>
    <x v="7"/>
    <d v="2025-04-23T00:00:00"/>
    <s v="WS 21/2"/>
    <d v="2025-02-21T00:00:00"/>
    <n v="560"/>
    <n v="26862"/>
    <n v="-1904.6610000000001"/>
    <n v="24957.339"/>
    <n v="-231.82273972602741"/>
    <n v="24725.516260273973"/>
    <x v="0"/>
    <x v="21"/>
    <x v="0"/>
    <x v="0"/>
    <n v="23810"/>
    <n v="915.51626027397288"/>
    <n v="3.8450913913228524E-2"/>
    <n v="512689.10575342481"/>
    <n v="13333600"/>
    <n v="13846289.105753426"/>
    <x v="0"/>
    <x v="0"/>
    <x v="6"/>
    <x v="0"/>
    <x v="0"/>
    <n v="1060.875"/>
    <n v="11718.628490632733"/>
    <n v="418.52244609402618"/>
  </r>
  <r>
    <x v="13"/>
    <x v="0"/>
    <x v="30"/>
    <d v="2025-03-17T00:00:00"/>
    <n v="2330"/>
    <x v="0"/>
    <x v="0"/>
    <d v="2025-03-17T00:00:00"/>
    <n v="28000"/>
    <n v="444"/>
    <n v="12432000"/>
    <n v="2610720"/>
    <n v="15042720"/>
    <x v="0"/>
    <x v="0"/>
    <x v="0"/>
    <n v="15042720"/>
    <d v="2025-03-24T00:00:00"/>
    <d v="2025-04-16T00:00:00"/>
    <n v="-202"/>
    <x v="3"/>
    <x v="7"/>
    <d v="2025-04-23T00:00:00"/>
    <s v="WS 21/2"/>
    <d v="2025-02-21T00:00:00"/>
    <n v="560"/>
    <n v="26862"/>
    <n v="-1904.6610000000001"/>
    <n v="24957.339"/>
    <n v="-231.82273972602741"/>
    <n v="24725.516260273973"/>
    <x v="0"/>
    <x v="21"/>
    <x v="0"/>
    <x v="0"/>
    <n v="23810"/>
    <n v="915.51626027397288"/>
    <n v="3.8450913913228524E-2"/>
    <n v="512689.10575342481"/>
    <n v="13333600"/>
    <n v="13846289.105753426"/>
    <x v="0"/>
    <x v="0"/>
    <x v="3"/>
    <x v="0"/>
    <x v="0"/>
    <n v="1060.875"/>
    <n v="11718.628490632733"/>
    <n v="418.52244609402618"/>
  </r>
  <r>
    <x v="13"/>
    <x v="0"/>
    <x v="30"/>
    <d v="2025-03-20T00:00:00"/>
    <n v="2340"/>
    <x v="0"/>
    <x v="0"/>
    <d v="2025-03-20T00:00:00"/>
    <n v="28000"/>
    <n v="444"/>
    <n v="12432000"/>
    <n v="2610720"/>
    <n v="15042720"/>
    <x v="0"/>
    <x v="0"/>
    <x v="0"/>
    <n v="15042720"/>
    <d v="2025-03-27T00:00:00"/>
    <d v="2025-04-19T00:00:00"/>
    <n v="-199"/>
    <x v="3"/>
    <x v="7"/>
    <d v="2025-04-26T00:00:00"/>
    <s v="WS 21/2"/>
    <d v="2025-02-21T00:00:00"/>
    <n v="560"/>
    <n v="26862"/>
    <n v="-1904.6610000000001"/>
    <n v="24957.339"/>
    <n v="-231.82273972602741"/>
    <n v="24725.516260273973"/>
    <x v="0"/>
    <x v="21"/>
    <x v="0"/>
    <x v="0"/>
    <n v="23810"/>
    <n v="915.51626027397288"/>
    <n v="3.8450913913228524E-2"/>
    <n v="512689.10575342481"/>
    <n v="13333600"/>
    <n v="13846289.105753426"/>
    <x v="0"/>
    <x v="0"/>
    <x v="3"/>
    <x v="0"/>
    <x v="0"/>
    <n v="1060.875"/>
    <n v="11718.628490632733"/>
    <n v="418.52244609402618"/>
  </r>
  <r>
    <x v="13"/>
    <x v="0"/>
    <x v="30"/>
    <d v="2025-03-20T00:00:00"/>
    <n v="2339"/>
    <x v="0"/>
    <x v="0"/>
    <d v="2025-03-20T00:00:00"/>
    <n v="28000"/>
    <n v="444"/>
    <n v="12432000"/>
    <n v="2610720"/>
    <n v="15042720"/>
    <x v="0"/>
    <x v="0"/>
    <x v="0"/>
    <n v="15042720"/>
    <d v="2025-03-27T00:00:00"/>
    <d v="2025-04-19T00:00:00"/>
    <n v="-199"/>
    <x v="3"/>
    <x v="7"/>
    <d v="2025-04-26T00:00:00"/>
    <s v="WS 21/2"/>
    <d v="2025-02-21T00:00:00"/>
    <n v="560"/>
    <n v="26862"/>
    <n v="-1904.6610000000001"/>
    <n v="24957.339"/>
    <n v="-231.82273972602741"/>
    <n v="24725.516260273973"/>
    <x v="0"/>
    <x v="21"/>
    <x v="0"/>
    <x v="0"/>
    <n v="23810"/>
    <n v="915.51626027397288"/>
    <n v="3.8450913913228524E-2"/>
    <n v="512689.10575342481"/>
    <n v="13333600"/>
    <n v="13846289.105753426"/>
    <x v="0"/>
    <x v="0"/>
    <x v="3"/>
    <x v="0"/>
    <x v="0"/>
    <n v="1060.875"/>
    <n v="11718.628490632733"/>
    <n v="418.52244609402618"/>
  </r>
  <r>
    <x v="13"/>
    <x v="0"/>
    <x v="30"/>
    <d v="2025-03-21T00:00:00"/>
    <n v="2347"/>
    <x v="0"/>
    <x v="0"/>
    <d v="2025-03-21T00:00:00"/>
    <n v="28000"/>
    <n v="444"/>
    <n v="12432000"/>
    <n v="2610720"/>
    <n v="15042720"/>
    <x v="0"/>
    <x v="0"/>
    <x v="0"/>
    <n v="15042720"/>
    <d v="2025-03-28T00:00:00"/>
    <d v="2025-04-20T00:00:00"/>
    <n v="-198"/>
    <x v="3"/>
    <x v="7"/>
    <d v="2025-04-27T00:00:00"/>
    <s v="WS 21/2"/>
    <d v="2025-02-21T00:00:00"/>
    <n v="560"/>
    <n v="26862"/>
    <n v="-1904.6610000000001"/>
    <n v="24957.339"/>
    <n v="-231.82273972602741"/>
    <n v="24725.516260273973"/>
    <x v="0"/>
    <x v="21"/>
    <x v="0"/>
    <x v="0"/>
    <n v="23810"/>
    <n v="915.51626027397288"/>
    <n v="3.8450913913228524E-2"/>
    <n v="512689.10575342481"/>
    <n v="13333600"/>
    <n v="13846289.105753426"/>
    <x v="0"/>
    <x v="0"/>
    <x v="5"/>
    <x v="0"/>
    <x v="0"/>
    <n v="1060.875"/>
    <n v="11718.628490632733"/>
    <n v="418.52244609402618"/>
  </r>
  <r>
    <x v="13"/>
    <x v="0"/>
    <x v="30"/>
    <d v="2025-03-21T00:00:00"/>
    <n v="2346"/>
    <x v="0"/>
    <x v="0"/>
    <d v="2025-03-21T00:00:00"/>
    <n v="28000"/>
    <n v="444"/>
    <n v="12432000"/>
    <n v="2610720"/>
    <n v="15042720"/>
    <x v="0"/>
    <x v="0"/>
    <x v="0"/>
    <n v="15042720"/>
    <d v="2025-03-28T00:00:00"/>
    <d v="2025-04-20T00:00:00"/>
    <n v="-198"/>
    <x v="3"/>
    <x v="7"/>
    <d v="2025-04-27T00:00:00"/>
    <s v="WS 21/2"/>
    <d v="2025-02-21T00:00:00"/>
    <n v="560"/>
    <n v="26862"/>
    <n v="-1904.6610000000001"/>
    <n v="24957.339"/>
    <n v="-231.82273972602741"/>
    <n v="24725.516260273973"/>
    <x v="0"/>
    <x v="21"/>
    <x v="0"/>
    <x v="0"/>
    <n v="23810"/>
    <n v="915.51626027397288"/>
    <n v="3.8450913913228524E-2"/>
    <n v="512689.10575342481"/>
    <n v="13333600"/>
    <n v="13846289.105753426"/>
    <x v="0"/>
    <x v="0"/>
    <x v="5"/>
    <x v="0"/>
    <x v="0"/>
    <n v="1060.875"/>
    <n v="11718.628490632733"/>
    <n v="418.52244609402618"/>
  </r>
  <r>
    <x v="13"/>
    <x v="0"/>
    <x v="30"/>
    <d v="2025-03-25T00:00:00"/>
    <n v="2360"/>
    <x v="0"/>
    <x v="0"/>
    <d v="2025-03-25T00:00:00"/>
    <n v="28000"/>
    <n v="444"/>
    <n v="12432000"/>
    <n v="2610720"/>
    <n v="15042720"/>
    <x v="0"/>
    <x v="0"/>
    <x v="0"/>
    <n v="15042720"/>
    <d v="2025-04-01T00:00:00"/>
    <d v="2025-04-24T00:00:00"/>
    <n v="-194"/>
    <x v="3"/>
    <x v="7"/>
    <d v="2025-05-01T00:00:00"/>
    <s v="WS 21/2"/>
    <d v="2025-02-21T00:00:00"/>
    <n v="560"/>
    <n v="26862"/>
    <n v="-1904.6610000000001"/>
    <n v="24957.339"/>
    <n v="-231.82273972602741"/>
    <n v="24725.516260273973"/>
    <x v="0"/>
    <x v="21"/>
    <x v="0"/>
    <x v="0"/>
    <n v="23810"/>
    <n v="915.51626027397288"/>
    <n v="3.8450913913228524E-2"/>
    <n v="512689.10575342481"/>
    <n v="13333600"/>
    <n v="13846289.105753426"/>
    <x v="0"/>
    <x v="0"/>
    <x v="5"/>
    <x v="0"/>
    <x v="0"/>
    <n v="1060.875"/>
    <n v="11718.628490632733"/>
    <n v="418.52244609402618"/>
  </r>
  <r>
    <x v="13"/>
    <x v="0"/>
    <x v="30"/>
    <d v="2025-03-27T00:00:00"/>
    <n v="2365"/>
    <x v="0"/>
    <x v="0"/>
    <d v="2025-03-27T00:00:00"/>
    <n v="28000"/>
    <n v="444"/>
    <n v="12432000"/>
    <n v="2610720"/>
    <n v="15042720"/>
    <x v="0"/>
    <x v="0"/>
    <x v="0"/>
    <n v="15042720"/>
    <d v="2025-04-03T00:00:00"/>
    <d v="2025-04-26T00:00:00"/>
    <n v="-192"/>
    <x v="3"/>
    <x v="7"/>
    <d v="2025-05-03T00:00:00"/>
    <s v="WS 21/2"/>
    <d v="2025-02-21T00:00:00"/>
    <n v="560"/>
    <n v="26862"/>
    <n v="-1904.6610000000001"/>
    <n v="24957.339"/>
    <n v="-231.82273972602741"/>
    <n v="24725.516260273973"/>
    <x v="0"/>
    <x v="21"/>
    <x v="0"/>
    <x v="0"/>
    <n v="23810"/>
    <n v="915.51626027397288"/>
    <n v="3.8450913913228524E-2"/>
    <n v="512689.10575342481"/>
    <n v="13333600"/>
    <n v="13846289.105753426"/>
    <x v="0"/>
    <x v="0"/>
    <x v="5"/>
    <x v="0"/>
    <x v="0"/>
    <n v="1060.875"/>
    <n v="11718.628490632733"/>
    <n v="418.52244609402618"/>
  </r>
  <r>
    <x v="13"/>
    <x v="0"/>
    <x v="30"/>
    <d v="2025-04-01T00:00:00"/>
    <n v="2360"/>
    <x v="0"/>
    <x v="0"/>
    <d v="2025-04-01T00:00:00"/>
    <n v="28000"/>
    <n v="444"/>
    <n v="12432000"/>
    <n v="2610720"/>
    <n v="15042720"/>
    <x v="0"/>
    <x v="0"/>
    <x v="0"/>
    <n v="15042720"/>
    <d v="2025-04-08T00:00:00"/>
    <d v="2025-05-01T00:00:00"/>
    <n v="-187"/>
    <x v="3"/>
    <x v="7"/>
    <d v="2025-05-08T00:00:00"/>
    <s v="WS 21/2"/>
    <d v="2025-02-21T00:00:00"/>
    <n v="560"/>
    <n v="26862"/>
    <n v="-1904.6610000000001"/>
    <n v="24957.339"/>
    <n v="-231.82273972602741"/>
    <n v="24725.516260273973"/>
    <x v="0"/>
    <x v="21"/>
    <x v="0"/>
    <x v="0"/>
    <n v="23810"/>
    <n v="915.51626027397288"/>
    <n v="3.8450913913228524E-2"/>
    <n v="512689.10575342481"/>
    <n v="13333600"/>
    <n v="13846289.105753426"/>
    <x v="0"/>
    <x v="0"/>
    <x v="5"/>
    <x v="0"/>
    <x v="0"/>
    <n v="1060.875"/>
    <n v="11718.628490632733"/>
    <n v="418.52244609402618"/>
  </r>
  <r>
    <x v="13"/>
    <x v="0"/>
    <x v="30"/>
    <d v="2025-04-01T00:00:00"/>
    <n v="2365"/>
    <x v="0"/>
    <x v="0"/>
    <d v="2025-04-01T00:00:00"/>
    <n v="28000"/>
    <n v="444"/>
    <n v="12432000"/>
    <n v="2610720"/>
    <n v="15042720"/>
    <x v="0"/>
    <x v="0"/>
    <x v="0"/>
    <n v="15042720"/>
    <d v="2025-04-08T00:00:00"/>
    <d v="2025-05-01T00:00:00"/>
    <n v="-187"/>
    <x v="3"/>
    <x v="7"/>
    <d v="2025-05-08T00:00:00"/>
    <s v="WS 21/2"/>
    <d v="2025-02-21T00:00:00"/>
    <n v="560"/>
    <n v="26862"/>
    <n v="-1904.6610000000001"/>
    <n v="24957.339"/>
    <n v="-231.82273972602741"/>
    <n v="24725.516260273973"/>
    <x v="0"/>
    <x v="21"/>
    <x v="0"/>
    <x v="0"/>
    <n v="23810"/>
    <n v="915.51626027397288"/>
    <n v="3.8450913913228524E-2"/>
    <n v="512689.10575342481"/>
    <n v="13333600"/>
    <n v="13846289.105753426"/>
    <x v="0"/>
    <x v="0"/>
    <x v="5"/>
    <x v="0"/>
    <x v="0"/>
    <n v="1060.875"/>
    <n v="11718.628490632733"/>
    <n v="418.52244609402618"/>
  </r>
  <r>
    <x v="13"/>
    <x v="0"/>
    <x v="30"/>
    <d v="2025-04-03T00:00:00"/>
    <n v="2368"/>
    <x v="0"/>
    <x v="0"/>
    <d v="2025-04-03T00:00:00"/>
    <n v="28000"/>
    <n v="444"/>
    <n v="12432000"/>
    <n v="2610720"/>
    <n v="15042720"/>
    <x v="0"/>
    <x v="0"/>
    <x v="0"/>
    <n v="15042720"/>
    <d v="2025-04-10T00:00:00"/>
    <d v="2025-05-03T00:00:00"/>
    <n v="-185"/>
    <x v="3"/>
    <x v="7"/>
    <d v="2025-05-10T00:00:00"/>
    <s v="WS 21/2"/>
    <d v="2025-02-21T00:00:00"/>
    <n v="560"/>
    <n v="26862"/>
    <n v="-1904.6610000000001"/>
    <n v="24957.339"/>
    <n v="-231.82273972602741"/>
    <n v="24725.516260273973"/>
    <x v="0"/>
    <x v="21"/>
    <x v="0"/>
    <x v="0"/>
    <n v="23810"/>
    <n v="915.51626027397288"/>
    <n v="3.8450913913228524E-2"/>
    <n v="512689.10575342481"/>
    <n v="13333600"/>
    <n v="13846289.105753426"/>
    <x v="0"/>
    <x v="0"/>
    <x v="5"/>
    <x v="0"/>
    <x v="0"/>
    <n v="1060.875"/>
    <n v="11718.628490632733"/>
    <n v="418.52244609402618"/>
  </r>
  <r>
    <x v="13"/>
    <x v="0"/>
    <x v="4"/>
    <d v="2025-02-21T00:00:00"/>
    <s v="V41"/>
    <x v="0"/>
    <x v="0"/>
    <d v="2025-02-21T00:00:00"/>
    <n v="40000"/>
    <n v="452"/>
    <n v="18080000"/>
    <m/>
    <n v="18080000"/>
    <x v="0"/>
    <x v="0"/>
    <x v="0"/>
    <n v="18080000"/>
    <d v="2025-02-21T00:00:00"/>
    <d v="2025-02-21T00:00:00"/>
    <n v="-256"/>
    <x v="0"/>
    <x v="2"/>
    <d v="2025-02-28T00:00:00"/>
    <s v="SOC 25"/>
    <d v="2025-02-12T00:00:00"/>
    <n v="800"/>
    <n v="22600"/>
    <n v="0"/>
    <n v="22600"/>
    <n v="0"/>
    <n v="22600"/>
    <x v="0"/>
    <x v="3"/>
    <x v="3"/>
    <x v="2"/>
    <n v="19702.479338842975"/>
    <n v="2897.5206611570247"/>
    <n v="0.14706375838926178"/>
    <n v="2318016.52892562"/>
    <n v="15761983.47107438"/>
    <n v="18080000"/>
    <x v="0"/>
    <x v="0"/>
    <x v="5"/>
    <x v="0"/>
    <x v="0"/>
    <n v="1056.875"/>
    <n v="17107.037256061503"/>
    <n v="427.67593140153758"/>
  </r>
  <r>
    <x v="13"/>
    <x v="0"/>
    <x v="4"/>
    <d v="2025-02-22T00:00:00"/>
    <s v="V42"/>
    <x v="0"/>
    <x v="0"/>
    <d v="2025-02-22T00:00:00"/>
    <n v="40000"/>
    <n v="452"/>
    <n v="18080000"/>
    <m/>
    <n v="18080000"/>
    <x v="0"/>
    <x v="0"/>
    <x v="0"/>
    <n v="18080000"/>
    <d v="2025-02-22T00:00:00"/>
    <d v="2025-02-22T00:00:00"/>
    <n v="-255"/>
    <x v="0"/>
    <x v="2"/>
    <d v="2025-03-01T00:00:00"/>
    <s v="SOC 25"/>
    <d v="2025-02-12T00:00:00"/>
    <n v="800"/>
    <n v="22600"/>
    <n v="0"/>
    <n v="22600"/>
    <n v="0"/>
    <n v="22600"/>
    <x v="0"/>
    <x v="3"/>
    <x v="3"/>
    <x v="2"/>
    <n v="19702.479338842975"/>
    <n v="2897.5206611570247"/>
    <n v="0.14706375838926178"/>
    <n v="2318016.52892562"/>
    <n v="15761983.47107438"/>
    <n v="18080000"/>
    <x v="0"/>
    <x v="0"/>
    <x v="5"/>
    <x v="0"/>
    <x v="0"/>
    <n v="1056.875"/>
    <n v="17107.037256061503"/>
    <n v="427.67593140153758"/>
  </r>
  <r>
    <x v="13"/>
    <x v="0"/>
    <x v="4"/>
    <d v="2025-02-24T00:00:00"/>
    <s v="V43"/>
    <x v="0"/>
    <x v="0"/>
    <d v="2025-02-24T00:00:00"/>
    <n v="40000"/>
    <n v="452"/>
    <n v="18080000"/>
    <m/>
    <n v="18080000"/>
    <x v="0"/>
    <x v="0"/>
    <x v="0"/>
    <n v="18080000"/>
    <d v="2025-02-24T00:00:00"/>
    <d v="2025-02-24T00:00:00"/>
    <n v="-253"/>
    <x v="0"/>
    <x v="2"/>
    <d v="2025-03-03T00:00:00"/>
    <s v="SOC 25"/>
    <d v="2025-02-12T00:00:00"/>
    <n v="800"/>
    <n v="22600"/>
    <n v="0"/>
    <n v="22600"/>
    <n v="0"/>
    <n v="22600"/>
    <x v="0"/>
    <x v="3"/>
    <x v="3"/>
    <x v="2"/>
    <n v="19702.479338842975"/>
    <n v="2897.5206611570247"/>
    <n v="0.14706375838926178"/>
    <n v="2318016.52892562"/>
    <n v="15761983.47107438"/>
    <n v="18080000"/>
    <x v="0"/>
    <x v="0"/>
    <x v="5"/>
    <x v="0"/>
    <x v="0"/>
    <n v="1056.875"/>
    <n v="17107.037256061503"/>
    <n v="427.67593140153758"/>
  </r>
  <r>
    <x v="13"/>
    <x v="0"/>
    <x v="4"/>
    <d v="2025-02-26T00:00:00"/>
    <s v="V44"/>
    <x v="0"/>
    <x v="0"/>
    <d v="2025-02-26T00:00:00"/>
    <n v="40000"/>
    <n v="452"/>
    <n v="18080000"/>
    <m/>
    <n v="18080000"/>
    <x v="0"/>
    <x v="0"/>
    <x v="0"/>
    <n v="18080000"/>
    <d v="2025-02-26T00:00:00"/>
    <d v="2025-02-26T00:00:00"/>
    <n v="-251"/>
    <x v="0"/>
    <x v="2"/>
    <d v="2025-03-05T00:00:00"/>
    <s v="SOC 25"/>
    <d v="2025-02-12T00:00:00"/>
    <n v="800"/>
    <n v="22600"/>
    <n v="0"/>
    <n v="22600"/>
    <n v="0"/>
    <n v="22600"/>
    <x v="0"/>
    <x v="3"/>
    <x v="3"/>
    <x v="2"/>
    <n v="19702.479338842975"/>
    <n v="2897.5206611570247"/>
    <n v="0.14706375838926178"/>
    <n v="2318016.52892562"/>
    <n v="15761983.47107438"/>
    <n v="18080000"/>
    <x v="0"/>
    <x v="0"/>
    <x v="3"/>
    <x v="0"/>
    <x v="0"/>
    <n v="1056.875"/>
    <n v="17107.037256061503"/>
    <n v="427.67593140153758"/>
  </r>
  <r>
    <x v="13"/>
    <x v="0"/>
    <x v="16"/>
    <d v="2025-02-26T00:00:00"/>
    <n v="2292"/>
    <x v="0"/>
    <x v="0"/>
    <d v="2025-02-26T00:00:00"/>
    <n v="28000"/>
    <n v="459"/>
    <n v="12852000"/>
    <n v="2698920"/>
    <n v="15550920"/>
    <x v="0"/>
    <x v="0"/>
    <x v="0"/>
    <n v="15550920"/>
    <d v="2025-03-05T00:00:00"/>
    <d v="2025-03-28T00:00:00"/>
    <n v="-221"/>
    <x v="3"/>
    <x v="3"/>
    <d v="2025-04-04T00:00:00"/>
    <n v="15612"/>
    <d v="2025-02-21T00:00:00"/>
    <n v="560"/>
    <n v="27769.5"/>
    <n v="-2739.2584999999999"/>
    <n v="25030.2415"/>
    <n v="-292.91116438356164"/>
    <n v="24737.33033561644"/>
    <x v="0"/>
    <x v="9"/>
    <x v="1"/>
    <x v="0"/>
    <n v="23810"/>
    <n v="927.3303356164397"/>
    <n v="3.8947095153987421E-2"/>
    <n v="519304.98794520623"/>
    <n v="13333600"/>
    <n v="13852904.987945206"/>
    <x v="0"/>
    <x v="0"/>
    <x v="3"/>
    <x v="0"/>
    <x v="0"/>
    <n v="1060.875"/>
    <n v="12114.528101802756"/>
    <n v="432.66171792152699"/>
  </r>
  <r>
    <x v="13"/>
    <x v="0"/>
    <x v="16"/>
    <d v="2025-03-05T00:00:00"/>
    <n v="2295"/>
    <x v="0"/>
    <x v="0"/>
    <d v="2025-03-05T00:00:00"/>
    <n v="28000"/>
    <n v="459"/>
    <n v="12852000"/>
    <n v="2698920"/>
    <n v="15550920"/>
    <x v="0"/>
    <x v="0"/>
    <x v="0"/>
    <n v="15550920"/>
    <d v="2025-03-12T00:00:00"/>
    <d v="2025-04-04T00:00:00"/>
    <n v="-214"/>
    <x v="3"/>
    <x v="3"/>
    <d v="2025-04-11T00:00:00"/>
    <n v="15613"/>
    <d v="2025-02-21T00:00:00"/>
    <n v="560"/>
    <n v="27769.5"/>
    <n v="-2739.2584999999999"/>
    <n v="25030.2415"/>
    <n v="-292.91116438356164"/>
    <n v="24737.33033561644"/>
    <x v="0"/>
    <x v="9"/>
    <x v="1"/>
    <x v="0"/>
    <n v="23810"/>
    <n v="927.3303356164397"/>
    <n v="3.8947095153987421E-2"/>
    <n v="519304.98794520623"/>
    <n v="13333600"/>
    <n v="13852904.987945206"/>
    <x v="0"/>
    <x v="0"/>
    <x v="5"/>
    <x v="0"/>
    <x v="0"/>
    <n v="1060.875"/>
    <n v="12114.528101802756"/>
    <n v="432.66171792152699"/>
  </r>
  <r>
    <x v="13"/>
    <x v="0"/>
    <x v="16"/>
    <d v="2025-03-07T00:00:00"/>
    <n v="2305"/>
    <x v="0"/>
    <x v="0"/>
    <d v="2025-03-07T00:00:00"/>
    <n v="28000"/>
    <n v="459"/>
    <n v="12852000"/>
    <n v="2698920"/>
    <n v="15550920"/>
    <x v="0"/>
    <x v="0"/>
    <x v="0"/>
    <n v="15550920"/>
    <d v="2025-03-14T00:00:00"/>
    <d v="2025-04-06T00:00:00"/>
    <n v="-212"/>
    <x v="3"/>
    <x v="3"/>
    <d v="2025-04-13T00:00:00"/>
    <n v="15614"/>
    <d v="2025-02-21T00:00:00"/>
    <n v="560"/>
    <n v="27769.5"/>
    <n v="-2739.2584999999999"/>
    <n v="25030.2415"/>
    <n v="-292.91116438356164"/>
    <n v="24737.33033561644"/>
    <x v="0"/>
    <x v="9"/>
    <x v="1"/>
    <x v="0"/>
    <n v="23810"/>
    <n v="927.3303356164397"/>
    <n v="3.8947095153987421E-2"/>
    <n v="519304.98794520623"/>
    <n v="13333600"/>
    <n v="13852904.987945206"/>
    <x v="0"/>
    <x v="0"/>
    <x v="5"/>
    <x v="0"/>
    <x v="0"/>
    <n v="1060.875"/>
    <n v="12114.528101802756"/>
    <n v="432.66171792152699"/>
  </r>
  <r>
    <x v="13"/>
    <x v="0"/>
    <x v="4"/>
    <d v="2025-02-28T00:00:00"/>
    <s v="V45"/>
    <x v="0"/>
    <x v="0"/>
    <d v="2025-02-28T00:00:00"/>
    <n v="40000"/>
    <n v="454"/>
    <n v="18160000"/>
    <m/>
    <n v="18160000"/>
    <x v="0"/>
    <x v="0"/>
    <x v="0"/>
    <n v="18160000"/>
    <d v="2025-02-28T00:00:00"/>
    <d v="2025-02-28T00:00:00"/>
    <n v="-249"/>
    <x v="0"/>
    <x v="2"/>
    <d v="2025-03-07T00:00:00"/>
    <s v="SOC 26"/>
    <d v="2025-02-21T00:00:00"/>
    <n v="800"/>
    <n v="22700"/>
    <n v="0"/>
    <n v="22700"/>
    <n v="0"/>
    <n v="22700"/>
    <x v="0"/>
    <x v="3"/>
    <x v="3"/>
    <x v="2"/>
    <n v="19677.685950413223"/>
    <n v="3022.3140495867774"/>
    <n v="0.15359092818143649"/>
    <n v="2417851.2396694217"/>
    <n v="15742148.760330578"/>
    <n v="18160000"/>
    <x v="0"/>
    <x v="0"/>
    <x v="5"/>
    <x v="0"/>
    <x v="0"/>
    <n v="1060.875"/>
    <n v="17117.945092494403"/>
    <n v="427.94862731236009"/>
  </r>
  <r>
    <x v="13"/>
    <x v="0"/>
    <x v="4"/>
    <d v="2025-02-28T00:00:00"/>
    <s v="V46"/>
    <x v="0"/>
    <x v="0"/>
    <d v="2025-02-28T00:00:00"/>
    <n v="40000"/>
    <n v="454"/>
    <n v="18160000"/>
    <m/>
    <n v="18160000"/>
    <x v="0"/>
    <x v="0"/>
    <x v="0"/>
    <n v="18160000"/>
    <d v="2025-02-28T00:00:00"/>
    <d v="2025-02-28T00:00:00"/>
    <n v="-249"/>
    <x v="0"/>
    <x v="2"/>
    <d v="2025-03-07T00:00:00"/>
    <s v="SOC 27"/>
    <d v="2025-02-21T00:00:00"/>
    <n v="800"/>
    <n v="22700"/>
    <n v="0"/>
    <n v="22700"/>
    <n v="0"/>
    <n v="22700"/>
    <x v="0"/>
    <x v="3"/>
    <x v="3"/>
    <x v="2"/>
    <n v="19677.685950413223"/>
    <n v="3022.3140495867774"/>
    <n v="0.15359092818143649"/>
    <n v="2417851.2396694217"/>
    <n v="15742148.760330578"/>
    <n v="18160000"/>
    <x v="0"/>
    <x v="0"/>
    <x v="5"/>
    <x v="0"/>
    <x v="0"/>
    <n v="1060.875"/>
    <n v="17117.945092494403"/>
    <n v="427.94862731236009"/>
  </r>
  <r>
    <x v="13"/>
    <x v="0"/>
    <x v="4"/>
    <d v="2025-03-01T00:00:00"/>
    <s v="V47"/>
    <x v="0"/>
    <x v="0"/>
    <d v="2025-03-01T00:00:00"/>
    <n v="40000"/>
    <n v="454"/>
    <n v="18160000"/>
    <m/>
    <n v="18160000"/>
    <x v="0"/>
    <x v="0"/>
    <x v="0"/>
    <n v="18160000"/>
    <d v="2025-03-01T00:00:00"/>
    <d v="2025-03-01T00:00:00"/>
    <n v="-248"/>
    <x v="0"/>
    <x v="2"/>
    <d v="2025-03-08T00:00:00"/>
    <s v="SOC 27"/>
    <d v="2025-02-21T00:00:00"/>
    <n v="800"/>
    <n v="22700"/>
    <n v="0"/>
    <n v="22700"/>
    <n v="0"/>
    <n v="22700"/>
    <x v="0"/>
    <x v="3"/>
    <x v="3"/>
    <x v="2"/>
    <n v="19677.685950413223"/>
    <n v="3022.3140495867774"/>
    <n v="0.15359092818143649"/>
    <n v="2417851.2396694217"/>
    <n v="15742148.760330578"/>
    <n v="18160000"/>
    <x v="0"/>
    <x v="0"/>
    <x v="5"/>
    <x v="0"/>
    <x v="0"/>
    <n v="1060.875"/>
    <n v="17117.945092494403"/>
    <n v="427.94862731236009"/>
  </r>
  <r>
    <x v="13"/>
    <x v="0"/>
    <x v="4"/>
    <d v="2025-03-07T00:00:00"/>
    <s v="V48"/>
    <x v="0"/>
    <x v="0"/>
    <d v="2025-03-07T00:00:00"/>
    <n v="40000"/>
    <n v="454"/>
    <n v="18160000"/>
    <m/>
    <n v="18160000"/>
    <x v="0"/>
    <x v="0"/>
    <x v="0"/>
    <n v="18160000"/>
    <d v="2025-03-07T00:00:00"/>
    <d v="2025-03-07T00:00:00"/>
    <n v="-242"/>
    <x v="0"/>
    <x v="2"/>
    <d v="2025-03-14T00:00:00"/>
    <s v="SOC 27"/>
    <d v="2025-02-21T00:00:00"/>
    <n v="800"/>
    <n v="22700"/>
    <n v="0"/>
    <n v="22700"/>
    <n v="0"/>
    <n v="22700"/>
    <x v="0"/>
    <x v="3"/>
    <x v="3"/>
    <x v="2"/>
    <n v="19677.685950413223"/>
    <n v="3022.3140495867774"/>
    <n v="0.15359092818143649"/>
    <n v="2417851.2396694217"/>
    <n v="15742148.760330578"/>
    <n v="18160000"/>
    <x v="0"/>
    <x v="0"/>
    <x v="3"/>
    <x v="0"/>
    <x v="0"/>
    <n v="1060.875"/>
    <n v="17117.945092494403"/>
    <n v="427.94862731236009"/>
  </r>
  <r>
    <x v="13"/>
    <x v="0"/>
    <x v="27"/>
    <d v="2025-03-08T00:00:00"/>
    <n v="2309"/>
    <x v="0"/>
    <x v="0"/>
    <d v="2025-03-07T00:00:00"/>
    <n v="28000"/>
    <n v="465"/>
    <n v="13020000"/>
    <n v="2734200"/>
    <n v="15754200"/>
    <x v="0"/>
    <x v="0"/>
    <x v="0"/>
    <n v="15754200"/>
    <d v="2025-03-10T00:00:00"/>
    <d v="2025-04-07T00:00:00"/>
    <n v="-211"/>
    <x v="0"/>
    <x v="4"/>
    <d v="2025-04-14T00:00:00"/>
    <n v="6762"/>
    <d v="2025-02-25T00:00:00"/>
    <n v="560"/>
    <n v="28132.5"/>
    <n v="-2740.8919999999998"/>
    <n v="25391.608"/>
    <n v="0"/>
    <n v="25391.608"/>
    <x v="0"/>
    <x v="17"/>
    <x v="1"/>
    <x v="0"/>
    <n v="23790"/>
    <n v="1601.6080000000002"/>
    <n v="6.7322740647330903E-2"/>
    <n v="896900.4800000001"/>
    <n v="13322400"/>
    <n v="14219300.48"/>
    <x v="0"/>
    <x v="0"/>
    <x v="3"/>
    <x v="0"/>
    <x v="0"/>
    <n v="1061.625"/>
    <n v="12264.21759095726"/>
    <n v="438.00777110561643"/>
  </r>
  <r>
    <x v="13"/>
    <x v="0"/>
    <x v="0"/>
    <d v="2025-03-07T00:00:00"/>
    <n v="2310"/>
    <x v="0"/>
    <x v="0"/>
    <d v="2025-03-07T00:00:00"/>
    <n v="30000"/>
    <n v="446"/>
    <n v="13380000"/>
    <n v="2809800"/>
    <n v="16189800"/>
    <x v="0"/>
    <x v="0"/>
    <x v="0"/>
    <n v="16189800"/>
    <d v="2025-03-07T00:00:00"/>
    <d v="2025-04-06T00:00:00"/>
    <n v="-212"/>
    <x v="0"/>
    <x v="0"/>
    <d v="2025-04-13T00:00:00"/>
    <s v="WS 26/2"/>
    <d v="2025-02-26T00:00:00"/>
    <n v="600"/>
    <n v="26983"/>
    <n v="-1956.4490000000001"/>
    <n v="25026.550999999999"/>
    <n v="0"/>
    <n v="25026.550999999999"/>
    <x v="0"/>
    <x v="0"/>
    <x v="0"/>
    <x v="0"/>
    <n v="23775"/>
    <n v="1251.5509999999995"/>
    <n v="5.2641472134595135E-2"/>
    <n v="750930.59999999963"/>
    <n v="14265000"/>
    <n v="15015930.6"/>
    <x v="0"/>
    <x v="0"/>
    <x v="3"/>
    <x v="0"/>
    <x v="0"/>
    <n v="1061.875"/>
    <n v="12600.353148911125"/>
    <n v="420.01177163037084"/>
  </r>
  <r>
    <x v="13"/>
    <x v="0"/>
    <x v="0"/>
    <d v="2025-03-20T00:00:00"/>
    <n v="2343"/>
    <x v="0"/>
    <x v="0"/>
    <d v="2025-03-20T00:00:00"/>
    <n v="30000"/>
    <n v="446"/>
    <n v="13380000"/>
    <n v="2809800"/>
    <n v="16189800"/>
    <x v="0"/>
    <x v="0"/>
    <x v="0"/>
    <n v="16189800"/>
    <d v="2025-03-20T00:00:00"/>
    <d v="2025-04-19T00:00:00"/>
    <n v="-199"/>
    <x v="0"/>
    <x v="0"/>
    <d v="2025-04-26T00:00:00"/>
    <s v="WS 26/2"/>
    <d v="2025-02-26T00:00:00"/>
    <n v="600"/>
    <n v="26983"/>
    <n v="-1956.4490000000001"/>
    <n v="25026.550999999999"/>
    <n v="0"/>
    <n v="25026.550999999999"/>
    <x v="0"/>
    <x v="0"/>
    <x v="0"/>
    <x v="0"/>
    <n v="23775"/>
    <n v="1251.5509999999995"/>
    <n v="5.2641472134595135E-2"/>
    <n v="750930.59999999963"/>
    <n v="14265000"/>
    <n v="15015930.6"/>
    <x v="0"/>
    <x v="0"/>
    <x v="3"/>
    <x v="0"/>
    <x v="0"/>
    <n v="1061.875"/>
    <n v="12600.353148911125"/>
    <n v="420.01177163037084"/>
  </r>
  <r>
    <x v="13"/>
    <x v="0"/>
    <x v="1"/>
    <d v="2025-03-28T00:00:00"/>
    <n v="2312"/>
    <x v="0"/>
    <x v="0"/>
    <d v="2025-03-28T00:00:00"/>
    <n v="28000"/>
    <n v="493"/>
    <n v="13804000"/>
    <n v="2898840"/>
    <n v="16702840"/>
    <x v="0"/>
    <x v="0"/>
    <x v="0"/>
    <n v="16702840"/>
    <d v="2025-03-28T00:00:00"/>
    <d v="2025-05-12T00:00:00"/>
    <n v="-176"/>
    <x v="0"/>
    <x v="0"/>
    <d v="2025-05-19T00:00:00"/>
    <s v="WS 28/02"/>
    <d v="2025-02-28T00:00:00"/>
    <n v="560"/>
    <n v="29826.5"/>
    <n v="-3870.7294999999999"/>
    <n v="25955.770499999999"/>
    <n v="0"/>
    <n v="25955.770499999999"/>
    <x v="0"/>
    <x v="2"/>
    <x v="1"/>
    <x v="0"/>
    <n v="23755"/>
    <n v="2200.7704999999987"/>
    <n v="9.2644516943801269E-2"/>
    <n v="1232431.4799999993"/>
    <n v="13302800"/>
    <n v="14535231.479999999"/>
    <x v="0"/>
    <x v="0"/>
    <x v="3"/>
    <x v="0"/>
    <x v="0"/>
    <n v="1064.375"/>
    <n v="12969.113329418673"/>
    <n v="463.18261890780974"/>
  </r>
  <r>
    <x v="13"/>
    <x v="0"/>
    <x v="4"/>
    <d v="2025-03-08T00:00:00"/>
    <s v="V49"/>
    <x v="0"/>
    <x v="0"/>
    <d v="2025-03-08T00:00:00"/>
    <n v="40000"/>
    <n v="454"/>
    <n v="18160000"/>
    <m/>
    <n v="18160000"/>
    <x v="0"/>
    <x v="0"/>
    <x v="0"/>
    <n v="18160000"/>
    <d v="2025-03-08T00:00:00"/>
    <d v="2025-03-08T00:00:00"/>
    <n v="-241"/>
    <x v="0"/>
    <x v="2"/>
    <d v="2025-03-15T00:00:00"/>
    <s v="SOC 27"/>
    <d v="2025-02-28T00:00:00"/>
    <n v="800"/>
    <n v="22700"/>
    <n v="0"/>
    <n v="22700"/>
    <n v="0"/>
    <n v="22700"/>
    <x v="0"/>
    <x v="3"/>
    <x v="3"/>
    <x v="2"/>
    <n v="19632.231404958678"/>
    <n v="3067.7685950413215"/>
    <n v="0.15626183961271312"/>
    <n v="2454214.8760330575"/>
    <n v="15705785.123966943"/>
    <n v="18160000"/>
    <x v="0"/>
    <x v="0"/>
    <x v="3"/>
    <x v="0"/>
    <x v="0"/>
    <n v="1064.375"/>
    <n v="17061.655901350558"/>
    <n v="426.54139753376393"/>
  </r>
  <r>
    <x v="13"/>
    <x v="0"/>
    <x v="4"/>
    <d v="2025-03-10T00:00:00"/>
    <s v="V50"/>
    <x v="0"/>
    <x v="0"/>
    <d v="2025-03-10T00:00:00"/>
    <n v="40000"/>
    <n v="454"/>
    <n v="18160000"/>
    <m/>
    <n v="18160000"/>
    <x v="0"/>
    <x v="0"/>
    <x v="0"/>
    <n v="18160000"/>
    <d v="2025-03-10T00:00:00"/>
    <d v="2025-03-10T00:00:00"/>
    <n v="-239"/>
    <x v="0"/>
    <x v="2"/>
    <d v="2025-03-17T00:00:00"/>
    <s v="SOC 27"/>
    <d v="2025-02-28T00:00:00"/>
    <n v="800"/>
    <n v="22700"/>
    <n v="0"/>
    <n v="22700"/>
    <n v="0"/>
    <n v="22700"/>
    <x v="0"/>
    <x v="3"/>
    <x v="3"/>
    <x v="2"/>
    <n v="19632.231404958678"/>
    <n v="3067.7685950413215"/>
    <n v="0.15626183961271312"/>
    <n v="2454214.8760330575"/>
    <n v="15705785.123966943"/>
    <n v="18160000"/>
    <x v="0"/>
    <x v="0"/>
    <x v="3"/>
    <x v="0"/>
    <x v="0"/>
    <n v="1064.375"/>
    <n v="17061.655901350558"/>
    <n v="426.54139753376393"/>
  </r>
  <r>
    <x v="2"/>
    <x v="0"/>
    <x v="16"/>
    <d v="2025-03-13T00:00:00"/>
    <n v="2325"/>
    <x v="0"/>
    <x v="0"/>
    <d v="2025-03-13T00:00:00"/>
    <n v="28000"/>
    <n v="461"/>
    <n v="12908000"/>
    <n v="2710680"/>
    <n v="15618680"/>
    <x v="0"/>
    <x v="0"/>
    <x v="0"/>
    <n v="15618680"/>
    <d v="2025-03-20T00:00:00"/>
    <d v="2025-04-12T00:00:00"/>
    <n v="-206"/>
    <x v="3"/>
    <x v="3"/>
    <d v="2025-04-19T00:00:00"/>
    <n v="15691"/>
    <d v="2025-03-07T00:00:00"/>
    <n v="560"/>
    <n v="27890.5"/>
    <n v="-2739.6214999999997"/>
    <n v="25150.878499999999"/>
    <n v="-294.18746575342465"/>
    <n v="24856.691034246574"/>
    <x v="0"/>
    <x v="9"/>
    <x v="1"/>
    <x v="0"/>
    <n v="23705"/>
    <n v="1151.6910342465744"/>
    <n v="4.858430855290341E-2"/>
    <n v="644946.97917808173"/>
    <n v="13274800"/>
    <n v="13919746.979178082"/>
    <x v="0"/>
    <x v="0"/>
    <x v="3"/>
    <x v="0"/>
    <x v="0"/>
    <n v="1066.0417"/>
    <n v="12108.344354634533"/>
    <n v="432.44086980837619"/>
  </r>
  <r>
    <x v="2"/>
    <x v="0"/>
    <x v="16"/>
    <d v="2025-03-15T00:00:00"/>
    <n v="2326"/>
    <x v="0"/>
    <x v="0"/>
    <d v="2025-03-15T00:00:00"/>
    <n v="28000"/>
    <n v="461"/>
    <n v="12908000"/>
    <n v="2710680"/>
    <n v="15618680"/>
    <x v="0"/>
    <x v="1"/>
    <x v="0"/>
    <n v="15618680"/>
    <d v="2025-03-22T00:00:00"/>
    <d v="2025-04-14T00:00:00"/>
    <n v="-204"/>
    <x v="3"/>
    <x v="3"/>
    <d v="2025-04-21T00:00:00"/>
    <n v="15692"/>
    <d v="2025-03-07T00:00:00"/>
    <n v="560"/>
    <n v="27890.5"/>
    <n v="-2739.6214999999997"/>
    <n v="25150.878499999999"/>
    <n v="-294.18746575342465"/>
    <n v="24856.691034246574"/>
    <x v="0"/>
    <x v="9"/>
    <x v="1"/>
    <x v="0"/>
    <n v="23705"/>
    <n v="1151.6910342465744"/>
    <n v="4.858430855290341E-2"/>
    <n v="644946.97917808173"/>
    <n v="13274800"/>
    <n v="13919746.979178082"/>
    <x v="0"/>
    <x v="0"/>
    <x v="3"/>
    <x v="0"/>
    <x v="0"/>
    <n v="1066.0417"/>
    <n v="12108.344354634533"/>
    <n v="432.44086980837619"/>
  </r>
  <r>
    <x v="2"/>
    <x v="0"/>
    <x v="16"/>
    <d v="2025-03-20T00:00:00"/>
    <n v="2342"/>
    <x v="0"/>
    <x v="0"/>
    <d v="2025-03-20T00:00:00"/>
    <n v="28000"/>
    <n v="461"/>
    <n v="12908000"/>
    <n v="2710680"/>
    <n v="15618680"/>
    <x v="0"/>
    <x v="0"/>
    <x v="0"/>
    <n v="15618680"/>
    <d v="2025-03-27T00:00:00"/>
    <d v="2025-04-19T00:00:00"/>
    <n v="-199"/>
    <x v="3"/>
    <x v="3"/>
    <d v="2025-04-26T00:00:00"/>
    <n v="15738"/>
    <d v="2025-03-12T00:00:00"/>
    <n v="560"/>
    <n v="27890.5"/>
    <n v="-2739.6214999999997"/>
    <n v="25150.878499999999"/>
    <n v="-294.18746575342465"/>
    <n v="24856.691034246574"/>
    <x v="0"/>
    <x v="9"/>
    <x v="1"/>
    <x v="0"/>
    <n v="23730"/>
    <n v="1126.6910342465744"/>
    <n v="4.7479605320125406E-2"/>
    <n v="630946.97917808173"/>
    <n v="13288800"/>
    <n v="13919746.979178082"/>
    <x v="0"/>
    <x v="0"/>
    <x v="3"/>
    <x v="0"/>
    <x v="0"/>
    <n v="1066.875"/>
    <n v="12098.886936145283"/>
    <n v="432.10310486233158"/>
  </r>
  <r>
    <x v="2"/>
    <x v="0"/>
    <x v="16"/>
    <d v="2025-03-21T00:00:00"/>
    <n v="2345"/>
    <x v="0"/>
    <x v="0"/>
    <d v="2025-03-21T00:00:00"/>
    <n v="28000"/>
    <n v="461"/>
    <n v="12908000"/>
    <n v="2710680"/>
    <n v="15618680"/>
    <x v="0"/>
    <x v="4"/>
    <x v="0"/>
    <n v="14742880"/>
    <d v="2025-03-28T00:00:00"/>
    <d v="2025-04-20T00:00:00"/>
    <n v="-198"/>
    <x v="3"/>
    <x v="3"/>
    <d v="2025-04-27T00:00:00"/>
    <n v="15739"/>
    <d v="2025-03-12T00:00:00"/>
    <n v="560"/>
    <n v="27890.5"/>
    <n v="-2739.6214999999997"/>
    <n v="25150.878499999999"/>
    <n v="-294.18746575342465"/>
    <n v="24856.691034246574"/>
    <x v="0"/>
    <x v="9"/>
    <x v="1"/>
    <x v="0"/>
    <n v="23730"/>
    <n v="1126.6910342465744"/>
    <n v="4.7479605320125406E-2"/>
    <n v="630946.97917808173"/>
    <n v="13288800"/>
    <n v="13919746.979178082"/>
    <x v="0"/>
    <x v="0"/>
    <x v="3"/>
    <x v="0"/>
    <x v="0"/>
    <n v="1066.875"/>
    <n v="12098.886936145283"/>
    <n v="432.10310486233158"/>
  </r>
  <r>
    <x v="2"/>
    <x v="0"/>
    <x v="16"/>
    <d v="2025-03-27T00:00:00"/>
    <n v="2356"/>
    <x v="0"/>
    <x v="0"/>
    <d v="2025-03-27T00:00:00"/>
    <n v="28000"/>
    <n v="461"/>
    <n v="12908000"/>
    <n v="2710680"/>
    <n v="15618680"/>
    <x v="0"/>
    <x v="1"/>
    <x v="0"/>
    <n v="15618680"/>
    <d v="2025-04-03T00:00:00"/>
    <d v="2025-04-26T00:00:00"/>
    <n v="-192"/>
    <x v="3"/>
    <x v="3"/>
    <d v="2025-05-03T00:00:00"/>
    <n v="15825"/>
    <d v="2025-03-21T00:00:00"/>
    <n v="560"/>
    <n v="27890.5"/>
    <n v="-2739.6214999999997"/>
    <n v="25150.878499999999"/>
    <n v="-294.18746575342465"/>
    <n v="24856.691034246574"/>
    <x v="0"/>
    <x v="9"/>
    <x v="1"/>
    <x v="0"/>
    <n v="23762"/>
    <n v="1094.6910342465744"/>
    <n v="4.606897711668112E-2"/>
    <n v="613026.97917808173"/>
    <n v="13306720"/>
    <n v="13919746.979178082"/>
    <x v="0"/>
    <x v="0"/>
    <x v="3"/>
    <x v="0"/>
    <x v="0"/>
    <n v="1071.3333"/>
    <n v="12048.538022667643"/>
    <n v="430.30492938098723"/>
  </r>
  <r>
    <x v="2"/>
    <x v="0"/>
    <x v="16"/>
    <d v="2025-03-28T00:00:00"/>
    <n v="2359"/>
    <x v="0"/>
    <x v="0"/>
    <d v="2025-03-28T00:00:00"/>
    <n v="28000"/>
    <n v="461"/>
    <n v="12908000"/>
    <n v="2710680"/>
    <n v="15618680"/>
    <x v="0"/>
    <x v="0"/>
    <x v="0"/>
    <n v="15618680"/>
    <d v="2025-04-04T00:00:00"/>
    <d v="2025-04-27T00:00:00"/>
    <n v="-191"/>
    <x v="3"/>
    <x v="3"/>
    <d v="2025-05-04T00:00:00"/>
    <n v="15826"/>
    <d v="2025-03-21T00:00:00"/>
    <n v="560"/>
    <n v="27890.5"/>
    <n v="-2739.6214999999997"/>
    <n v="25150.878499999999"/>
    <n v="-294.18746575342465"/>
    <n v="24856.691034246574"/>
    <x v="0"/>
    <x v="9"/>
    <x v="1"/>
    <x v="0"/>
    <n v="23762"/>
    <n v="1094.6910342465744"/>
    <n v="4.606897711668112E-2"/>
    <n v="613026.97917808173"/>
    <n v="13306720"/>
    <n v="13919746.979178082"/>
    <x v="0"/>
    <x v="0"/>
    <x v="3"/>
    <x v="0"/>
    <x v="0"/>
    <n v="1071.3333"/>
    <n v="12048.538022667643"/>
    <n v="430.30492938098723"/>
  </r>
  <r>
    <x v="2"/>
    <x v="0"/>
    <x v="16"/>
    <d v="2025-03-28T00:00:00"/>
    <n v="2366"/>
    <x v="0"/>
    <x v="0"/>
    <d v="2025-03-28T00:00:00"/>
    <n v="28000"/>
    <n v="461"/>
    <n v="12908000"/>
    <n v="2710680"/>
    <n v="15618680"/>
    <x v="0"/>
    <x v="0"/>
    <x v="0"/>
    <n v="15618680"/>
    <d v="2025-04-04T00:00:00"/>
    <d v="2025-04-27T00:00:00"/>
    <n v="-191"/>
    <x v="3"/>
    <x v="3"/>
    <d v="2025-05-04T00:00:00"/>
    <n v="15894"/>
    <d v="2025-03-27T00:00:00"/>
    <n v="560"/>
    <n v="27890.5"/>
    <n v="-2739.6214999999997"/>
    <n v="25150.878499999999"/>
    <n v="-294.18746575342465"/>
    <n v="24856.691034246574"/>
    <x v="0"/>
    <x v="9"/>
    <x v="1"/>
    <x v="0"/>
    <n v="23778"/>
    <n v="1078.6910342465744"/>
    <n v="4.5365086813296873E-2"/>
    <n v="604066.97917808173"/>
    <n v="13315680"/>
    <n v="13919746.979178082"/>
    <x v="0"/>
    <x v="0"/>
    <x v="3"/>
    <x v="0"/>
    <x v="0"/>
    <n v="1072.2917"/>
    <n v="12037.769200302493"/>
    <n v="429.92032858223189"/>
  </r>
  <r>
    <x v="2"/>
    <x v="0"/>
    <x v="16"/>
    <d v="2025-04-03T00:00:00"/>
    <n v="2372"/>
    <x v="0"/>
    <x v="0"/>
    <d v="2025-04-03T00:00:00"/>
    <n v="28000"/>
    <n v="461"/>
    <n v="12908000"/>
    <n v="2710680"/>
    <n v="15618680"/>
    <x v="0"/>
    <x v="0"/>
    <x v="0"/>
    <n v="15618680"/>
    <d v="2025-04-10T00:00:00"/>
    <d v="2025-05-03T00:00:00"/>
    <n v="-185"/>
    <x v="3"/>
    <x v="3"/>
    <d v="2025-05-10T00:00:00"/>
    <n v="15895"/>
    <d v="2025-03-27T00:00:00"/>
    <n v="560"/>
    <n v="27890.5"/>
    <n v="-2739.6214999999997"/>
    <n v="25150.878499999999"/>
    <n v="-294.18746575342465"/>
    <n v="24856.691034246574"/>
    <x v="0"/>
    <x v="9"/>
    <x v="1"/>
    <x v="0"/>
    <n v="23778"/>
    <n v="1078.6910342465744"/>
    <n v="4.5365086813296873E-2"/>
    <n v="604066.97917808173"/>
    <n v="13315680"/>
    <n v="13919746.979178082"/>
    <x v="0"/>
    <x v="0"/>
    <x v="5"/>
    <x v="0"/>
    <x v="0"/>
    <n v="1072.2917"/>
    <n v="12037.769200302493"/>
    <n v="429.92032858223189"/>
  </r>
  <r>
    <x v="2"/>
    <x v="0"/>
    <x v="16"/>
    <d v="2025-04-05T00:00:00"/>
    <n v="2375"/>
    <x v="0"/>
    <x v="0"/>
    <d v="2025-04-05T00:00:00"/>
    <n v="28000"/>
    <n v="461"/>
    <n v="12908000"/>
    <n v="2710680"/>
    <n v="15618680"/>
    <x v="0"/>
    <x v="0"/>
    <x v="0"/>
    <n v="15618680"/>
    <d v="2025-04-12T00:00:00"/>
    <d v="2025-05-05T00:00:00"/>
    <n v="-183"/>
    <x v="3"/>
    <x v="3"/>
    <d v="2025-05-12T00:00:00"/>
    <n v="15896"/>
    <d v="2025-03-28T00:00:00"/>
    <n v="560"/>
    <n v="27890.5"/>
    <n v="-2739.6214999999997"/>
    <n v="25150.878499999999"/>
    <n v="-294.18746575342465"/>
    <n v="24856.691034246574"/>
    <x v="0"/>
    <x v="9"/>
    <x v="1"/>
    <x v="0"/>
    <n v="23777"/>
    <n v="1079.6910342465744"/>
    <n v="4.5409052203666311E-2"/>
    <n v="604626.97917808173"/>
    <n v="13315120"/>
    <n v="13919746.979178082"/>
    <x v="0"/>
    <x v="0"/>
    <x v="5"/>
    <x v="0"/>
    <x v="0"/>
    <n v="1073.375"/>
    <n v="12025.620123442413"/>
    <n v="429.48643298008619"/>
  </r>
  <r>
    <x v="2"/>
    <x v="0"/>
    <x v="16"/>
    <d v="2025-04-09T00:00:00"/>
    <n v="2380"/>
    <x v="0"/>
    <x v="0"/>
    <d v="2025-04-09T00:00:00"/>
    <n v="28000"/>
    <n v="461"/>
    <n v="12908000"/>
    <n v="2710680"/>
    <n v="15618680"/>
    <x v="0"/>
    <x v="0"/>
    <x v="0"/>
    <n v="15618680"/>
    <d v="2025-04-16T00:00:00"/>
    <d v="2025-05-09T00:00:00"/>
    <n v="-179"/>
    <x v="3"/>
    <x v="3"/>
    <d v="2025-05-16T00:00:00"/>
    <n v="15897"/>
    <d v="2025-03-28T00:00:00"/>
    <n v="560"/>
    <n v="27890.5"/>
    <n v="-2739.6214999999997"/>
    <n v="25150.878499999999"/>
    <n v="-294.18746575342465"/>
    <n v="24856.691034246574"/>
    <x v="0"/>
    <x v="9"/>
    <x v="1"/>
    <x v="0"/>
    <n v="23777"/>
    <n v="1079.6910342465744"/>
    <n v="4.5409052203666311E-2"/>
    <n v="604626.97917808173"/>
    <n v="13315120"/>
    <n v="13919746.979178082"/>
    <x v="0"/>
    <x v="0"/>
    <x v="6"/>
    <x v="0"/>
    <x v="0"/>
    <n v="1073.375"/>
    <n v="12025.620123442413"/>
    <n v="429.48643298008619"/>
  </r>
  <r>
    <x v="0"/>
    <x v="0"/>
    <x v="16"/>
    <d v="2025-04-10T00:00:00"/>
    <n v="2383"/>
    <x v="0"/>
    <x v="0"/>
    <d v="2025-04-10T00:00:00"/>
    <n v="28000"/>
    <n v="468"/>
    <n v="13104000"/>
    <n v="2751840"/>
    <n v="15855840"/>
    <x v="0"/>
    <x v="0"/>
    <x v="0"/>
    <n v="15855840"/>
    <d v="2025-04-17T00:00:00"/>
    <d v="2025-05-10T00:00:00"/>
    <n v="-178"/>
    <x v="3"/>
    <x v="3"/>
    <d v="2025-05-17T00:00:00"/>
    <n v="15938"/>
    <d v="2025-03-28T00:00:00"/>
    <n v="560"/>
    <n v="28314"/>
    <n v="-2740.8919999999998"/>
    <n v="25573.108"/>
    <n v="-298.6545205479452"/>
    <n v="25274.453479452055"/>
    <x v="0"/>
    <x v="9"/>
    <x v="1"/>
    <x v="0"/>
    <n v="23777"/>
    <n v="1497.453479452055"/>
    <n v="6.2979075554193242E-2"/>
    <n v="838573.94849315076"/>
    <n v="13315120"/>
    <n v="14153693.948493151"/>
    <x v="0"/>
    <x v="0"/>
    <x v="6"/>
    <x v="0"/>
    <x v="0"/>
    <n v="1073.375"/>
    <n v="12208.221730522884"/>
    <n v="436.00791894724586"/>
  </r>
  <r>
    <x v="0"/>
    <x v="0"/>
    <x v="16"/>
    <d v="2025-04-11T00:00:00"/>
    <n v="2385"/>
    <x v="0"/>
    <x v="0"/>
    <d v="2025-04-11T00:00:00"/>
    <n v="28000"/>
    <n v="468"/>
    <n v="13104000"/>
    <n v="2751840"/>
    <n v="15855840"/>
    <x v="0"/>
    <x v="0"/>
    <x v="0"/>
    <n v="15855840"/>
    <d v="2025-04-18T00:00:00"/>
    <d v="2025-05-11T00:00:00"/>
    <n v="-177"/>
    <x v="3"/>
    <x v="3"/>
    <d v="2025-05-18T00:00:00"/>
    <n v="15939"/>
    <d v="2025-03-28T00:00:00"/>
    <n v="560"/>
    <n v="28314"/>
    <n v="-2740.8919999999998"/>
    <n v="25573.108"/>
    <n v="-298.6545205479452"/>
    <n v="25274.453479452055"/>
    <x v="0"/>
    <x v="9"/>
    <x v="1"/>
    <x v="0"/>
    <n v="23777"/>
    <n v="1497.453479452055"/>
    <n v="6.2979075554193242E-2"/>
    <n v="838573.94849315076"/>
    <n v="13315120"/>
    <n v="14153693.948493151"/>
    <x v="0"/>
    <x v="0"/>
    <x v="3"/>
    <x v="0"/>
    <x v="0"/>
    <n v="1073.375"/>
    <n v="12208.221730522884"/>
    <n v="436.00791894724586"/>
  </r>
  <r>
    <x v="2"/>
    <x v="0"/>
    <x v="18"/>
    <d v="2025-03-31T00:00:00"/>
    <n v="2367"/>
    <x v="0"/>
    <x v="0"/>
    <d v="2025-03-31T00:00:00"/>
    <n v="28000"/>
    <n v="425"/>
    <n v="11900000"/>
    <n v="2499000"/>
    <n v="14399000"/>
    <x v="0"/>
    <x v="0"/>
    <x v="0"/>
    <n v="14399000"/>
    <d v="2025-03-31T00:00:00"/>
    <d v="2025-04-01T00:00:00"/>
    <n v="-217"/>
    <x v="0"/>
    <x v="0"/>
    <d v="2025-04-08T00:00:00"/>
    <n v="11861"/>
    <d v="2025-03-14T00:00:00"/>
    <n v="560"/>
    <n v="25712.5"/>
    <n v="-1710.6375"/>
    <n v="24001.862499999999"/>
    <n v="0"/>
    <n v="24001.862499999999"/>
    <x v="0"/>
    <x v="12"/>
    <x v="0"/>
    <x v="0"/>
    <n v="23734"/>
    <n v="267.86249999999927"/>
    <n v="1.1286024268981176E-2"/>
    <n v="150002.99999999959"/>
    <n v="13291040"/>
    <n v="13441043"/>
    <x v="0"/>
    <x v="0"/>
    <x v="3"/>
    <x v="0"/>
    <x v="0"/>
    <n v="1068.5417"/>
    <n v="11136.673468148225"/>
    <n v="397.73833814815089"/>
  </r>
  <r>
    <x v="2"/>
    <x v="0"/>
    <x v="18"/>
    <d v="2025-04-03T00:00:00"/>
    <n v="2371"/>
    <x v="0"/>
    <x v="0"/>
    <d v="2025-04-03T00:00:00"/>
    <n v="28000"/>
    <n v="425"/>
    <n v="11900000"/>
    <n v="2499000"/>
    <n v="14399000"/>
    <x v="0"/>
    <x v="0"/>
    <x v="0"/>
    <n v="14399000"/>
    <d v="2025-04-03T00:00:00"/>
    <d v="2025-04-04T00:00:00"/>
    <n v="-214"/>
    <x v="0"/>
    <x v="0"/>
    <d v="2025-04-11T00:00:00"/>
    <n v="11861"/>
    <d v="2025-03-14T00:00:00"/>
    <n v="560"/>
    <n v="25712.5"/>
    <n v="-1710.6375"/>
    <n v="24001.862499999999"/>
    <n v="0"/>
    <n v="24001.862499999999"/>
    <x v="0"/>
    <x v="12"/>
    <x v="0"/>
    <x v="0"/>
    <n v="23734"/>
    <n v="267.86249999999927"/>
    <n v="1.1286024268981176E-2"/>
    <n v="150002.99999999959"/>
    <n v="13291040"/>
    <n v="13441043"/>
    <x v="0"/>
    <x v="0"/>
    <x v="3"/>
    <x v="0"/>
    <x v="0"/>
    <n v="1068.5417"/>
    <n v="11136.673468148225"/>
    <n v="397.73833814815089"/>
  </r>
  <r>
    <x v="2"/>
    <x v="0"/>
    <x v="18"/>
    <d v="2025-04-08T00:00:00"/>
    <n v="2376"/>
    <x v="0"/>
    <x v="0"/>
    <d v="2025-04-08T00:00:00"/>
    <n v="28000"/>
    <n v="425"/>
    <n v="11900000"/>
    <n v="2499000"/>
    <n v="14399000"/>
    <x v="0"/>
    <x v="0"/>
    <x v="0"/>
    <n v="14399000"/>
    <d v="2025-04-08T00:00:00"/>
    <d v="2025-04-09T00:00:00"/>
    <n v="-209"/>
    <x v="0"/>
    <x v="0"/>
    <d v="2025-04-16T00:00:00"/>
    <n v="11861"/>
    <d v="2025-03-14T00:00:00"/>
    <n v="560"/>
    <n v="25712.5"/>
    <n v="-1710.6375"/>
    <n v="24001.862499999999"/>
    <n v="0"/>
    <n v="24001.862499999999"/>
    <x v="0"/>
    <x v="12"/>
    <x v="0"/>
    <x v="0"/>
    <n v="23734"/>
    <n v="267.86249999999927"/>
    <n v="1.1286024268981176E-2"/>
    <n v="150002.99999999959"/>
    <n v="13291040"/>
    <n v="13441043"/>
    <x v="0"/>
    <x v="0"/>
    <x v="3"/>
    <x v="0"/>
    <x v="0"/>
    <n v="1068.5417"/>
    <n v="11136.673468148225"/>
    <n v="397.73833814815089"/>
  </r>
  <r>
    <x v="2"/>
    <x v="0"/>
    <x v="18"/>
    <d v="2025-04-09T00:00:00"/>
    <n v="2381"/>
    <x v="0"/>
    <x v="0"/>
    <d v="2025-04-09T00:00:00"/>
    <n v="28000"/>
    <n v="425"/>
    <n v="11900000"/>
    <n v="2499000"/>
    <n v="14399000"/>
    <x v="0"/>
    <x v="0"/>
    <x v="0"/>
    <n v="14399000"/>
    <d v="2025-04-09T00:00:00"/>
    <d v="2025-04-10T00:00:00"/>
    <n v="-208"/>
    <x v="0"/>
    <x v="0"/>
    <d v="2025-04-17T00:00:00"/>
    <n v="11861"/>
    <d v="2025-03-14T00:00:00"/>
    <n v="560"/>
    <n v="25712.5"/>
    <n v="-1710.6375"/>
    <n v="24001.862499999999"/>
    <n v="0"/>
    <n v="24001.862499999999"/>
    <x v="0"/>
    <x v="12"/>
    <x v="0"/>
    <x v="0"/>
    <n v="23734"/>
    <n v="267.86249999999927"/>
    <n v="1.1286024268981176E-2"/>
    <n v="150002.99999999959"/>
    <n v="13291040"/>
    <n v="13441043"/>
    <x v="0"/>
    <x v="0"/>
    <x v="3"/>
    <x v="0"/>
    <x v="0"/>
    <n v="1068.5417"/>
    <n v="11136.673468148225"/>
    <n v="397.73833814815089"/>
  </r>
  <r>
    <x v="2"/>
    <x v="0"/>
    <x v="18"/>
    <d v="2025-04-10T00:00:00"/>
    <n v="2384"/>
    <x v="0"/>
    <x v="0"/>
    <d v="2025-04-10T00:00:00"/>
    <n v="28000"/>
    <n v="425"/>
    <n v="11900000"/>
    <n v="2499000"/>
    <n v="14399000"/>
    <x v="0"/>
    <x v="0"/>
    <x v="0"/>
    <n v="14399000"/>
    <d v="2025-04-10T00:00:00"/>
    <d v="2025-04-11T00:00:00"/>
    <n v="-207"/>
    <x v="0"/>
    <x v="0"/>
    <d v="2025-04-18T00:00:00"/>
    <n v="11861"/>
    <d v="2025-03-14T00:00:00"/>
    <n v="560"/>
    <n v="25712.5"/>
    <n v="-1710.6375"/>
    <n v="24001.862499999999"/>
    <n v="0"/>
    <n v="24001.862499999999"/>
    <x v="0"/>
    <x v="12"/>
    <x v="0"/>
    <x v="0"/>
    <n v="23734"/>
    <n v="267.86249999999927"/>
    <n v="1.1286024268981176E-2"/>
    <n v="150002.99999999959"/>
    <n v="13291040"/>
    <n v="13441043"/>
    <x v="0"/>
    <x v="0"/>
    <x v="5"/>
    <x v="0"/>
    <x v="0"/>
    <n v="1068.5417"/>
    <n v="11136.673468148225"/>
    <n v="397.73833814815089"/>
  </r>
  <r>
    <x v="2"/>
    <x v="0"/>
    <x v="18"/>
    <d v="2025-04-11T00:00:00"/>
    <n v="2386"/>
    <x v="0"/>
    <x v="0"/>
    <d v="2025-04-11T00:00:00"/>
    <n v="28000"/>
    <n v="425"/>
    <n v="11900000"/>
    <n v="2499000"/>
    <n v="14399000"/>
    <x v="0"/>
    <x v="0"/>
    <x v="0"/>
    <n v="14399000"/>
    <d v="2025-04-11T00:00:00"/>
    <d v="2025-04-12T00:00:00"/>
    <n v="-206"/>
    <x v="0"/>
    <x v="0"/>
    <d v="2025-04-19T00:00:00"/>
    <n v="11861"/>
    <d v="2025-03-14T00:00:00"/>
    <n v="560"/>
    <n v="25712.5"/>
    <n v="-1710.6375"/>
    <n v="24001.862499999999"/>
    <n v="0"/>
    <n v="24001.862499999999"/>
    <x v="0"/>
    <x v="12"/>
    <x v="0"/>
    <x v="0"/>
    <n v="23734"/>
    <n v="267.86249999999927"/>
    <n v="1.1286024268981176E-2"/>
    <n v="150002.99999999959"/>
    <n v="13291040"/>
    <n v="13441043"/>
    <x v="0"/>
    <x v="0"/>
    <x v="5"/>
    <x v="0"/>
    <x v="0"/>
    <n v="1068.5417"/>
    <n v="11136.673468148225"/>
    <n v="397.73833814815089"/>
  </r>
  <r>
    <x v="2"/>
    <x v="0"/>
    <x v="18"/>
    <d v="2025-04-14T00:00:00"/>
    <n v="2389"/>
    <x v="0"/>
    <x v="0"/>
    <d v="2025-04-14T00:00:00"/>
    <n v="28000"/>
    <n v="425"/>
    <n v="11900000"/>
    <n v="2499000"/>
    <n v="14399000"/>
    <x v="0"/>
    <x v="0"/>
    <x v="0"/>
    <n v="14399000"/>
    <d v="2025-04-14T00:00:00"/>
    <d v="2025-04-15T00:00:00"/>
    <n v="-203"/>
    <x v="0"/>
    <x v="0"/>
    <d v="2025-04-22T00:00:00"/>
    <n v="11861"/>
    <d v="2025-03-14T00:00:00"/>
    <n v="560"/>
    <n v="25712.5"/>
    <n v="-1710.6375"/>
    <n v="24001.862499999999"/>
    <n v="0"/>
    <n v="24001.862499999999"/>
    <x v="0"/>
    <x v="12"/>
    <x v="0"/>
    <x v="0"/>
    <n v="23734"/>
    <n v="267.86249999999927"/>
    <n v="1.1286024268981176E-2"/>
    <n v="150002.99999999959"/>
    <n v="13291040"/>
    <n v="13441043"/>
    <x v="0"/>
    <x v="0"/>
    <x v="5"/>
    <x v="0"/>
    <x v="0"/>
    <n v="1068.5417"/>
    <n v="11136.673468148225"/>
    <n v="397.73833814815089"/>
  </r>
  <r>
    <x v="2"/>
    <x v="0"/>
    <x v="18"/>
    <d v="2025-04-24T00:00:00"/>
    <n v="2411"/>
    <x v="0"/>
    <x v="0"/>
    <d v="2025-04-24T00:00:00"/>
    <n v="28000"/>
    <n v="425"/>
    <n v="11900000"/>
    <n v="2499000"/>
    <n v="14399000"/>
    <x v="0"/>
    <x v="0"/>
    <x v="0"/>
    <n v="14399000"/>
    <d v="2025-05-01T00:00:00"/>
    <d v="2025-04-25T00:00:00"/>
    <n v="-193"/>
    <x v="0"/>
    <x v="0"/>
    <d v="2025-05-02T00:00:00"/>
    <n v="11861"/>
    <d v="2025-03-14T00:00:00"/>
    <n v="560"/>
    <n v="25712.5"/>
    <n v="-1710.6375"/>
    <n v="24001.862499999999"/>
    <n v="0"/>
    <n v="24001.862499999999"/>
    <x v="0"/>
    <x v="12"/>
    <x v="0"/>
    <x v="0"/>
    <n v="23734"/>
    <n v="267.86249999999927"/>
    <n v="1.1286024268981176E-2"/>
    <n v="150002.99999999959"/>
    <n v="13291040"/>
    <n v="13441043"/>
    <x v="0"/>
    <x v="0"/>
    <x v="5"/>
    <x v="0"/>
    <x v="0"/>
    <n v="1068.5417"/>
    <n v="11136.673468148225"/>
    <n v="397.73833814815089"/>
  </r>
  <r>
    <x v="0"/>
    <x v="0"/>
    <x v="18"/>
    <d v="2025-06-23T00:00:00"/>
    <n v="2412"/>
    <x v="0"/>
    <x v="0"/>
    <d v="2025-04-24T00:00:00"/>
    <n v="28000"/>
    <n v="430"/>
    <n v="12040000"/>
    <n v="2528400"/>
    <n v="14568400"/>
    <x v="0"/>
    <x v="0"/>
    <x v="0"/>
    <n v="14568400"/>
    <d v="2025-06-23T00:00:00"/>
    <d v="2025-06-24T00:00:00"/>
    <n v="-133"/>
    <x v="0"/>
    <x v="0"/>
    <d v="2025-07-01T00:00:00"/>
    <n v="11906"/>
    <d v="2025-04-01T00:00:00"/>
    <n v="560"/>
    <n v="26015"/>
    <n v="-1711.5450000000001"/>
    <n v="24303.455000000002"/>
    <n v="0"/>
    <n v="24303.455000000002"/>
    <x v="0"/>
    <x v="12"/>
    <x v="0"/>
    <x v="0"/>
    <n v="23773"/>
    <n v="530.45500000000175"/>
    <n v="2.2313338661506865E-2"/>
    <n v="297054.80000000098"/>
    <n v="13312880"/>
    <n v="13609934.800000001"/>
    <x v="0"/>
    <x v="0"/>
    <x v="3"/>
    <x v="0"/>
    <x v="0"/>
    <n v="1074.5417"/>
    <n v="11204.776883019058"/>
    <n v="400.17060296496635"/>
  </r>
  <r>
    <x v="0"/>
    <x v="0"/>
    <x v="18"/>
    <d v="2025-06-24T00:00:00"/>
    <n v="2413"/>
    <x v="0"/>
    <x v="0"/>
    <d v="2025-04-25T00:00:00"/>
    <n v="19200"/>
    <n v="430"/>
    <n v="8256000"/>
    <n v="1733760"/>
    <n v="9989760"/>
    <x v="0"/>
    <x v="0"/>
    <x v="0"/>
    <n v="9989760"/>
    <d v="2025-06-24T00:00:00"/>
    <d v="2025-06-25T00:00:00"/>
    <n v="-132"/>
    <x v="0"/>
    <x v="0"/>
    <d v="2025-07-02T00:00:00"/>
    <n v="11906"/>
    <d v="2025-04-01T00:00:00"/>
    <n v="384"/>
    <n v="26015"/>
    <n v="-1711.5450000000001"/>
    <n v="24303.455000000002"/>
    <n v="0"/>
    <n v="24303.455000000002"/>
    <x v="0"/>
    <x v="12"/>
    <x v="0"/>
    <x v="0"/>
    <n v="23773"/>
    <n v="530.45500000000175"/>
    <n v="2.2313338661506865E-2"/>
    <n v="203694.72000000067"/>
    <n v="9128832"/>
    <n v="9332526.7200000007"/>
    <x v="0"/>
    <x v="0"/>
    <x v="3"/>
    <x v="0"/>
    <x v="0"/>
    <n v="1074.5417"/>
    <n v="7683.2755769273545"/>
    <n v="400.17060296496641"/>
  </r>
  <r>
    <x v="0"/>
    <x v="0"/>
    <x v="18"/>
    <d v="2025-06-24T00:00:00"/>
    <n v="2415"/>
    <x v="0"/>
    <x v="0"/>
    <d v="2025-04-25T00:00:00"/>
    <n v="28000"/>
    <n v="430"/>
    <n v="12040000"/>
    <n v="2528400"/>
    <n v="14568400"/>
    <x v="0"/>
    <x v="0"/>
    <x v="0"/>
    <n v="14568400"/>
    <d v="2025-06-24T00:00:00"/>
    <d v="2025-06-25T00:00:00"/>
    <n v="-132"/>
    <x v="0"/>
    <x v="0"/>
    <d v="2025-07-02T00:00:00"/>
    <n v="11906"/>
    <d v="2025-04-01T00:00:00"/>
    <n v="560"/>
    <n v="26015"/>
    <n v="-1711.5450000000001"/>
    <n v="24303.455000000002"/>
    <n v="0"/>
    <n v="24303.455000000002"/>
    <x v="0"/>
    <x v="12"/>
    <x v="0"/>
    <x v="0"/>
    <n v="23773"/>
    <n v="530.45500000000175"/>
    <n v="2.2313338661506865E-2"/>
    <n v="297054.80000000098"/>
    <n v="13312880"/>
    <n v="13609934.800000001"/>
    <x v="0"/>
    <x v="0"/>
    <x v="3"/>
    <x v="0"/>
    <x v="0"/>
    <n v="1074.5417"/>
    <n v="11204.776883019058"/>
    <n v="400.17060296496635"/>
  </r>
  <r>
    <x v="0"/>
    <x v="0"/>
    <x v="18"/>
    <d v="2025-07-05T00:00:00"/>
    <n v="2419"/>
    <x v="0"/>
    <x v="0"/>
    <d v="2025-05-05T00:00:00"/>
    <n v="28000"/>
    <n v="430"/>
    <n v="12040000"/>
    <n v="2528400"/>
    <n v="14568400"/>
    <x v="0"/>
    <x v="0"/>
    <x v="0"/>
    <n v="14568400"/>
    <d v="2025-07-05T00:00:00"/>
    <d v="2025-07-06T00:00:00"/>
    <n v="-121"/>
    <x v="0"/>
    <x v="0"/>
    <d v="2025-07-13T00:00:00"/>
    <n v="11906"/>
    <d v="2025-04-01T00:00:00"/>
    <n v="560"/>
    <n v="26015"/>
    <n v="-1711.5450000000001"/>
    <n v="24303.455000000002"/>
    <n v="0"/>
    <n v="24303.455000000002"/>
    <x v="0"/>
    <x v="12"/>
    <x v="0"/>
    <x v="0"/>
    <n v="23773"/>
    <n v="530.45500000000175"/>
    <n v="2.2313338661506865E-2"/>
    <n v="297054.80000000098"/>
    <n v="13312880"/>
    <n v="13609934.800000001"/>
    <x v="0"/>
    <x v="0"/>
    <x v="3"/>
    <x v="0"/>
    <x v="0"/>
    <n v="1074.5417"/>
    <n v="11204.776883019058"/>
    <n v="400.17060296496635"/>
  </r>
  <r>
    <x v="0"/>
    <x v="0"/>
    <x v="18"/>
    <d v="2025-07-05T00:00:00"/>
    <n v="2420"/>
    <x v="0"/>
    <x v="0"/>
    <d v="2025-05-07T00:00:00"/>
    <n v="28000"/>
    <n v="430"/>
    <n v="12040000"/>
    <n v="2528400"/>
    <n v="14568400"/>
    <x v="0"/>
    <x v="0"/>
    <x v="0"/>
    <n v="14568400"/>
    <d v="2025-07-05T00:00:00"/>
    <d v="2025-07-06T00:00:00"/>
    <n v="-121"/>
    <x v="0"/>
    <x v="0"/>
    <d v="2025-07-13T00:00:00"/>
    <n v="11906"/>
    <d v="2025-04-01T00:00:00"/>
    <n v="560"/>
    <n v="26015"/>
    <n v="-1711.5450000000001"/>
    <n v="24303.455000000002"/>
    <n v="0"/>
    <n v="24303.455000000002"/>
    <x v="0"/>
    <x v="12"/>
    <x v="0"/>
    <x v="0"/>
    <n v="23773"/>
    <n v="530.45500000000175"/>
    <n v="2.2313338661506865E-2"/>
    <n v="297054.80000000098"/>
    <n v="13312880"/>
    <n v="13609934.800000001"/>
    <x v="0"/>
    <x v="0"/>
    <x v="3"/>
    <x v="0"/>
    <x v="0"/>
    <n v="1074.5417"/>
    <n v="11204.776883019058"/>
    <n v="400.17060296496635"/>
  </r>
  <r>
    <x v="0"/>
    <x v="0"/>
    <x v="18"/>
    <d v="2025-07-06T00:00:00"/>
    <n v="2421"/>
    <x v="0"/>
    <x v="0"/>
    <d v="2025-05-07T00:00:00"/>
    <n v="28000"/>
    <n v="430"/>
    <n v="12040000"/>
    <n v="2528400"/>
    <n v="14568400"/>
    <x v="0"/>
    <x v="0"/>
    <x v="0"/>
    <n v="14568400"/>
    <d v="2025-07-06T00:00:00"/>
    <d v="2025-07-07T00:00:00"/>
    <n v="-120"/>
    <x v="0"/>
    <x v="0"/>
    <d v="2025-07-14T00:00:00"/>
    <n v="11906"/>
    <d v="2025-04-01T00:00:00"/>
    <n v="560"/>
    <n v="26015"/>
    <n v="-1711.5450000000001"/>
    <n v="24303.455000000002"/>
    <n v="0"/>
    <n v="24303.455000000002"/>
    <x v="0"/>
    <x v="12"/>
    <x v="0"/>
    <x v="0"/>
    <n v="23773"/>
    <n v="530.45500000000175"/>
    <n v="2.2313338661506865E-2"/>
    <n v="297054.80000000098"/>
    <n v="13312880"/>
    <n v="13609934.800000001"/>
    <x v="0"/>
    <x v="0"/>
    <x v="5"/>
    <x v="0"/>
    <x v="0"/>
    <n v="1074.5417"/>
    <n v="11204.776883019058"/>
    <n v="400.17060296496635"/>
  </r>
  <r>
    <x v="0"/>
    <x v="0"/>
    <x v="18"/>
    <d v="2025-07-06T00:00:00"/>
    <n v="2424"/>
    <x v="0"/>
    <x v="0"/>
    <d v="2025-05-09T00:00:00"/>
    <n v="28000"/>
    <n v="430"/>
    <n v="12040000"/>
    <n v="2528400"/>
    <n v="14568400"/>
    <x v="0"/>
    <x v="5"/>
    <x v="0"/>
    <m/>
    <d v="2025-07-06T00:00:00"/>
    <d v="2025-07-07T00:00:00"/>
    <n v="-120"/>
    <x v="0"/>
    <x v="0"/>
    <d v="2025-07-14T00:00:00"/>
    <n v="11906"/>
    <d v="2025-04-01T00:00:00"/>
    <n v="560"/>
    <n v="26015"/>
    <n v="-1711.5450000000001"/>
    <n v="24303.455000000002"/>
    <n v="0"/>
    <n v="24303.455000000002"/>
    <x v="0"/>
    <x v="12"/>
    <x v="0"/>
    <x v="0"/>
    <n v="23773"/>
    <n v="530.45500000000175"/>
    <n v="2.2313338661506865E-2"/>
    <n v="297054.80000000098"/>
    <n v="13312880"/>
    <n v="13609934.800000001"/>
    <x v="0"/>
    <x v="0"/>
    <x v="5"/>
    <x v="0"/>
    <x v="0"/>
    <n v="1074.5417"/>
    <n v="11204.776883019058"/>
    <n v="400.17060296496635"/>
  </r>
  <r>
    <x v="0"/>
    <x v="0"/>
    <x v="18"/>
    <d v="2025-07-07T00:00:00"/>
    <n v="2426"/>
    <x v="0"/>
    <x v="0"/>
    <d v="2025-05-13T00:00:00"/>
    <n v="28000"/>
    <n v="430"/>
    <n v="12040000"/>
    <n v="2528400"/>
    <n v="14568400"/>
    <x v="0"/>
    <x v="0"/>
    <x v="0"/>
    <n v="14568400"/>
    <d v="2025-07-07T00:00:00"/>
    <d v="2025-07-08T00:00:00"/>
    <n v="-119"/>
    <x v="0"/>
    <x v="0"/>
    <d v="2025-07-15T00:00:00"/>
    <n v="11906"/>
    <d v="2025-04-01T00:00:00"/>
    <n v="560"/>
    <n v="26015"/>
    <n v="-1711.5450000000001"/>
    <n v="24303.455000000002"/>
    <n v="0"/>
    <n v="24303.455000000002"/>
    <x v="0"/>
    <x v="12"/>
    <x v="0"/>
    <x v="0"/>
    <n v="23773"/>
    <n v="530.45500000000175"/>
    <n v="2.2313338661506865E-2"/>
    <n v="297054.80000000098"/>
    <n v="13312880"/>
    <n v="13609934.800000001"/>
    <x v="0"/>
    <x v="0"/>
    <x v="5"/>
    <x v="0"/>
    <x v="0"/>
    <n v="1074.5417"/>
    <n v="11204.776883019058"/>
    <n v="400.17060296496635"/>
  </r>
  <r>
    <x v="0"/>
    <x v="0"/>
    <x v="18"/>
    <d v="2025-07-08T00:00:00"/>
    <n v="2428"/>
    <x v="0"/>
    <x v="0"/>
    <d v="2025-05-14T00:00:00"/>
    <n v="28000"/>
    <n v="430"/>
    <n v="12040000"/>
    <n v="2528400"/>
    <n v="14568400"/>
    <x v="0"/>
    <x v="0"/>
    <x v="0"/>
    <n v="14568400"/>
    <d v="2025-07-08T00:00:00"/>
    <d v="2025-07-09T00:00:00"/>
    <n v="-118"/>
    <x v="0"/>
    <x v="0"/>
    <d v="2025-07-16T00:00:00"/>
    <n v="11906"/>
    <d v="2025-04-01T00:00:00"/>
    <n v="560"/>
    <n v="26015"/>
    <n v="-1711.5450000000001"/>
    <n v="24303.455000000002"/>
    <n v="0"/>
    <n v="24303.455000000002"/>
    <x v="0"/>
    <x v="12"/>
    <x v="0"/>
    <x v="0"/>
    <n v="23773"/>
    <n v="530.45500000000175"/>
    <n v="2.2313338661506865E-2"/>
    <n v="297054.80000000098"/>
    <n v="13312880"/>
    <n v="13609934.800000001"/>
    <x v="0"/>
    <x v="0"/>
    <x v="5"/>
    <x v="0"/>
    <x v="0"/>
    <n v="1074.5417"/>
    <n v="11204.776883019058"/>
    <n v="400.17060296496635"/>
  </r>
  <r>
    <x v="0"/>
    <x v="0"/>
    <x v="18"/>
    <d v="2025-07-08T00:00:00"/>
    <n v="2432"/>
    <x v="0"/>
    <x v="0"/>
    <d v="2025-05-26T00:00:00"/>
    <n v="28000"/>
    <n v="430"/>
    <n v="12040000"/>
    <n v="2528400"/>
    <n v="14568400"/>
    <x v="0"/>
    <x v="0"/>
    <x v="0"/>
    <n v="14568400"/>
    <d v="2025-07-08T00:00:00"/>
    <d v="2025-07-09T00:00:00"/>
    <n v="-118"/>
    <x v="0"/>
    <x v="0"/>
    <d v="2025-07-16T00:00:00"/>
    <n v="11906"/>
    <d v="2025-04-01T00:00:00"/>
    <n v="560"/>
    <n v="26015"/>
    <n v="-1711.5450000000001"/>
    <n v="24303.455000000002"/>
    <n v="0"/>
    <n v="24303.455000000002"/>
    <x v="0"/>
    <x v="12"/>
    <x v="0"/>
    <x v="0"/>
    <n v="23773"/>
    <n v="530.45500000000175"/>
    <n v="2.2313338661506865E-2"/>
    <n v="297054.80000000098"/>
    <n v="13312880"/>
    <n v="13609934.800000001"/>
    <x v="0"/>
    <x v="0"/>
    <x v="5"/>
    <x v="0"/>
    <x v="0"/>
    <n v="1074.5417"/>
    <n v="11204.776883019058"/>
    <n v="400.17060296496635"/>
  </r>
  <r>
    <x v="2"/>
    <x v="0"/>
    <x v="30"/>
    <d v="2025-04-03T00:00:00"/>
    <n v="2369"/>
    <x v="0"/>
    <x v="0"/>
    <d v="2025-04-03T00:00:00"/>
    <n v="28000"/>
    <n v="445"/>
    <n v="12460000"/>
    <n v="2616600"/>
    <n v="15076600"/>
    <x v="0"/>
    <x v="0"/>
    <x v="0"/>
    <n v="15076600"/>
    <d v="2025-04-10T00:00:00"/>
    <d v="2025-05-03T00:00:00"/>
    <n v="-185"/>
    <x v="3"/>
    <x v="7"/>
    <d v="2025-05-10T00:00:00"/>
    <s v="WS 26/3"/>
    <d v="2025-03-26T00:00:00"/>
    <n v="560"/>
    <n v="26922.5"/>
    <n v="-1904.8425"/>
    <n v="25017.657500000001"/>
    <n v="-232.34486301369861"/>
    <n v="24785.312636986302"/>
    <x v="0"/>
    <x v="21"/>
    <x v="0"/>
    <x v="0"/>
    <n v="23780"/>
    <n v="1005.3126369863021"/>
    <n v="4.2275552438448383E-2"/>
    <n v="562975.07671232917"/>
    <n v="13316800"/>
    <n v="13879775.076712329"/>
    <x v="0"/>
    <x v="0"/>
    <x v="5"/>
    <x v="0"/>
    <x v="0"/>
    <n v="1072.0833"/>
    <n v="11622.231220279245"/>
    <n v="415.07968643854446"/>
  </r>
  <r>
    <x v="2"/>
    <x v="0"/>
    <x v="30"/>
    <d v="2025-04-03T00:00:00"/>
    <n v="2370"/>
    <x v="0"/>
    <x v="0"/>
    <d v="2025-04-03T00:00:00"/>
    <n v="28000"/>
    <n v="445"/>
    <n v="12460000"/>
    <n v="2616600"/>
    <n v="15076600"/>
    <x v="0"/>
    <x v="0"/>
    <x v="0"/>
    <n v="15076600"/>
    <d v="2025-04-10T00:00:00"/>
    <d v="2025-05-03T00:00:00"/>
    <n v="-185"/>
    <x v="3"/>
    <x v="7"/>
    <d v="2025-05-10T00:00:00"/>
    <s v="WS 26/3"/>
    <d v="2025-03-26T00:00:00"/>
    <n v="560"/>
    <n v="26922.5"/>
    <n v="-1904.8425"/>
    <n v="25017.657500000001"/>
    <n v="-232.34486301369861"/>
    <n v="24785.312636986302"/>
    <x v="0"/>
    <x v="21"/>
    <x v="0"/>
    <x v="0"/>
    <n v="23780"/>
    <n v="1005.3126369863021"/>
    <n v="4.2275552438448383E-2"/>
    <n v="562975.07671232917"/>
    <n v="13316800"/>
    <n v="13879775.076712329"/>
    <x v="0"/>
    <x v="0"/>
    <x v="5"/>
    <x v="0"/>
    <x v="0"/>
    <n v="1072.0833"/>
    <n v="11622.231220279245"/>
    <n v="415.07968643854446"/>
  </r>
  <r>
    <x v="2"/>
    <x v="0"/>
    <x v="30"/>
    <d v="2025-04-07T00:00:00"/>
    <n v="2374"/>
    <x v="0"/>
    <x v="0"/>
    <d v="2025-04-07T00:00:00"/>
    <n v="28000"/>
    <n v="445"/>
    <n v="12460000"/>
    <n v="2616600"/>
    <n v="15076600"/>
    <x v="0"/>
    <x v="0"/>
    <x v="0"/>
    <n v="15076600"/>
    <d v="2025-04-14T00:00:00"/>
    <d v="2025-05-07T00:00:00"/>
    <n v="-181"/>
    <x v="3"/>
    <x v="7"/>
    <d v="2025-05-14T00:00:00"/>
    <s v="WS 26/3"/>
    <d v="2025-03-26T00:00:00"/>
    <n v="560"/>
    <n v="26922.5"/>
    <n v="-1904.8425"/>
    <n v="25017.657500000001"/>
    <n v="-232.34486301369861"/>
    <n v="24785.312636986302"/>
    <x v="0"/>
    <x v="21"/>
    <x v="0"/>
    <x v="0"/>
    <n v="23780"/>
    <n v="1005.3126369863021"/>
    <n v="4.2275552438448383E-2"/>
    <n v="562975.07671232917"/>
    <n v="13316800"/>
    <n v="13879775.076712329"/>
    <x v="0"/>
    <x v="0"/>
    <x v="5"/>
    <x v="0"/>
    <x v="0"/>
    <n v="1072.0833"/>
    <n v="11622.231220279245"/>
    <n v="415.07968643854446"/>
  </r>
  <r>
    <x v="2"/>
    <x v="0"/>
    <x v="30"/>
    <d v="2025-04-09T00:00:00"/>
    <n v="2379"/>
    <x v="0"/>
    <x v="0"/>
    <d v="2025-04-09T00:00:00"/>
    <n v="28000"/>
    <n v="445"/>
    <n v="12460000"/>
    <n v="2616600"/>
    <n v="15076600"/>
    <x v="0"/>
    <x v="0"/>
    <x v="0"/>
    <n v="15076600"/>
    <d v="2025-04-16T00:00:00"/>
    <d v="2025-05-09T00:00:00"/>
    <n v="-179"/>
    <x v="3"/>
    <x v="7"/>
    <d v="2025-05-16T00:00:00"/>
    <s v="WS 26/3"/>
    <d v="2025-03-26T00:00:00"/>
    <n v="560"/>
    <n v="26922.5"/>
    <n v="-1904.8425"/>
    <n v="25017.657500000001"/>
    <n v="-232.34486301369861"/>
    <n v="24785.312636986302"/>
    <x v="0"/>
    <x v="21"/>
    <x v="0"/>
    <x v="0"/>
    <n v="23780"/>
    <n v="1005.3126369863021"/>
    <n v="4.2275552438448383E-2"/>
    <n v="562975.07671232917"/>
    <n v="13316800"/>
    <n v="13879775.076712329"/>
    <x v="0"/>
    <x v="0"/>
    <x v="5"/>
    <x v="0"/>
    <x v="0"/>
    <n v="1072.0833"/>
    <n v="11622.231220279245"/>
    <n v="415.07968643854446"/>
  </r>
  <r>
    <x v="2"/>
    <x v="0"/>
    <x v="30"/>
    <d v="2025-04-15T00:00:00"/>
    <n v="2388"/>
    <x v="0"/>
    <x v="0"/>
    <d v="2025-04-15T00:00:00"/>
    <n v="28000"/>
    <n v="445"/>
    <n v="12460000"/>
    <n v="2616600"/>
    <n v="15076600"/>
    <x v="0"/>
    <x v="0"/>
    <x v="0"/>
    <n v="15076600"/>
    <d v="2025-04-22T00:00:00"/>
    <d v="2025-05-15T00:00:00"/>
    <n v="-173"/>
    <x v="3"/>
    <x v="7"/>
    <d v="2025-05-22T00:00:00"/>
    <s v="WS 26/3"/>
    <d v="2025-03-26T00:00:00"/>
    <n v="560"/>
    <n v="26922.5"/>
    <n v="-1904.8425"/>
    <n v="25017.657500000001"/>
    <n v="-232.34486301369861"/>
    <n v="24785.312636986302"/>
    <x v="0"/>
    <x v="21"/>
    <x v="0"/>
    <x v="0"/>
    <n v="23780"/>
    <n v="1005.3126369863021"/>
    <n v="4.2275552438448383E-2"/>
    <n v="562975.07671232917"/>
    <n v="13316800"/>
    <n v="13879775.076712329"/>
    <x v="0"/>
    <x v="0"/>
    <x v="5"/>
    <x v="0"/>
    <x v="0"/>
    <n v="1072.0833"/>
    <n v="11622.231220279245"/>
    <n v="415.07968643854446"/>
  </r>
  <r>
    <x v="2"/>
    <x v="0"/>
    <x v="30"/>
    <d v="2025-04-16T00:00:00"/>
    <n v="2391"/>
    <x v="0"/>
    <x v="0"/>
    <d v="2025-04-16T00:00:00"/>
    <n v="28000"/>
    <n v="445"/>
    <n v="12460000"/>
    <n v="2616600"/>
    <n v="15076600"/>
    <x v="0"/>
    <x v="0"/>
    <x v="0"/>
    <n v="15076600"/>
    <d v="2025-04-23T00:00:00"/>
    <d v="2025-05-16T00:00:00"/>
    <n v="-172"/>
    <x v="3"/>
    <x v="7"/>
    <d v="2025-05-23T00:00:00"/>
    <s v="WS 26/3"/>
    <d v="2025-03-26T00:00:00"/>
    <n v="560"/>
    <n v="26922.5"/>
    <n v="-1904.8425"/>
    <n v="25017.657500000001"/>
    <n v="-232.34486301369861"/>
    <n v="24785.312636986302"/>
    <x v="0"/>
    <x v="21"/>
    <x v="0"/>
    <x v="0"/>
    <n v="23780"/>
    <n v="1005.3126369863021"/>
    <n v="4.2275552438448383E-2"/>
    <n v="562975.07671232917"/>
    <n v="13316800"/>
    <n v="13879775.076712329"/>
    <x v="0"/>
    <x v="0"/>
    <x v="5"/>
    <x v="0"/>
    <x v="0"/>
    <n v="1072.0833"/>
    <n v="11622.231220279245"/>
    <n v="415.07968643854446"/>
  </r>
  <r>
    <x v="2"/>
    <x v="0"/>
    <x v="30"/>
    <d v="2025-04-16T00:00:00"/>
    <n v="2392"/>
    <x v="0"/>
    <x v="0"/>
    <d v="2025-04-16T00:00:00"/>
    <n v="28000"/>
    <n v="445"/>
    <n v="12460000"/>
    <n v="2616600"/>
    <n v="15076600"/>
    <x v="0"/>
    <x v="0"/>
    <x v="0"/>
    <n v="15076600"/>
    <d v="2025-04-23T00:00:00"/>
    <d v="2025-05-16T00:00:00"/>
    <n v="-172"/>
    <x v="3"/>
    <x v="7"/>
    <d v="2025-05-23T00:00:00"/>
    <s v="WS 26/3"/>
    <d v="2025-03-26T00:00:00"/>
    <n v="560"/>
    <n v="26922.5"/>
    <n v="-1904.8425"/>
    <n v="25017.657500000001"/>
    <n v="-232.34486301369861"/>
    <n v="24785.312636986302"/>
    <x v="0"/>
    <x v="21"/>
    <x v="0"/>
    <x v="0"/>
    <n v="23780"/>
    <n v="1005.3126369863021"/>
    <n v="4.2275552438448383E-2"/>
    <n v="562975.07671232917"/>
    <n v="13316800"/>
    <n v="13879775.076712329"/>
    <x v="0"/>
    <x v="0"/>
    <x v="3"/>
    <x v="0"/>
    <x v="0"/>
    <n v="1072.0833"/>
    <n v="11622.231220279245"/>
    <n v="415.07968643854446"/>
  </r>
  <r>
    <x v="2"/>
    <x v="0"/>
    <x v="30"/>
    <d v="2025-04-17T00:00:00"/>
    <n v="2393"/>
    <x v="0"/>
    <x v="0"/>
    <d v="2025-04-17T00:00:00"/>
    <n v="28000"/>
    <n v="445"/>
    <n v="12460000"/>
    <n v="2616600"/>
    <n v="15076600"/>
    <x v="0"/>
    <x v="0"/>
    <x v="0"/>
    <n v="15076600"/>
    <d v="2025-04-24T00:00:00"/>
    <d v="2025-05-17T00:00:00"/>
    <n v="-171"/>
    <x v="3"/>
    <x v="7"/>
    <d v="2025-05-24T00:00:00"/>
    <s v="WS 26/3"/>
    <d v="2025-03-26T00:00:00"/>
    <n v="560"/>
    <n v="26922.5"/>
    <n v="-1904.8425"/>
    <n v="25017.657500000001"/>
    <n v="-232.34486301369861"/>
    <n v="24785.312636986302"/>
    <x v="0"/>
    <x v="21"/>
    <x v="0"/>
    <x v="0"/>
    <n v="23780"/>
    <n v="1005.3126369863021"/>
    <n v="4.2275552438448383E-2"/>
    <n v="562975.07671232917"/>
    <n v="13316800"/>
    <n v="13879775.076712329"/>
    <x v="0"/>
    <x v="0"/>
    <x v="3"/>
    <x v="0"/>
    <x v="0"/>
    <n v="1072.0833"/>
    <n v="11622.231220279245"/>
    <n v="415.07968643854446"/>
  </r>
  <r>
    <x v="2"/>
    <x v="0"/>
    <x v="30"/>
    <d v="2025-04-23T00:00:00"/>
    <n v="2397"/>
    <x v="0"/>
    <x v="0"/>
    <d v="2025-04-23T00:00:00"/>
    <n v="28000"/>
    <n v="445"/>
    <n v="12460000"/>
    <n v="2616600"/>
    <n v="15076600"/>
    <x v="0"/>
    <x v="0"/>
    <x v="0"/>
    <n v="15076600"/>
    <d v="2025-04-30T00:00:00"/>
    <d v="2025-05-23T00:00:00"/>
    <n v="-165"/>
    <x v="3"/>
    <x v="7"/>
    <d v="2025-05-30T00:00:00"/>
    <s v="WS 26/3"/>
    <d v="2025-03-26T00:00:00"/>
    <n v="560"/>
    <n v="26922.5"/>
    <n v="-1904.8425"/>
    <n v="25017.657500000001"/>
    <n v="-232.34486301369861"/>
    <n v="24785.312636986302"/>
    <x v="0"/>
    <x v="21"/>
    <x v="0"/>
    <x v="0"/>
    <n v="23780"/>
    <n v="1005.3126369863021"/>
    <n v="4.2275552438448383E-2"/>
    <n v="562975.07671232917"/>
    <n v="13316800"/>
    <n v="13879775.076712329"/>
    <x v="0"/>
    <x v="0"/>
    <x v="5"/>
    <x v="0"/>
    <x v="0"/>
    <n v="1072.0833"/>
    <n v="11622.231220279245"/>
    <n v="415.07968643854446"/>
  </r>
  <r>
    <x v="2"/>
    <x v="0"/>
    <x v="30"/>
    <d v="2025-04-24T00:00:00"/>
    <n v="2401"/>
    <x v="0"/>
    <x v="0"/>
    <d v="2025-04-24T00:00:00"/>
    <n v="28000"/>
    <n v="445"/>
    <n v="12460000"/>
    <n v="2616600"/>
    <n v="15076600"/>
    <x v="0"/>
    <x v="0"/>
    <x v="0"/>
    <n v="15076600"/>
    <d v="2025-05-01T00:00:00"/>
    <d v="2025-05-24T00:00:00"/>
    <n v="-164"/>
    <x v="3"/>
    <x v="7"/>
    <d v="2025-05-31T00:00:00"/>
    <s v="WS 26/3"/>
    <d v="2025-03-26T00:00:00"/>
    <n v="560"/>
    <n v="26922.5"/>
    <n v="-1904.8425"/>
    <n v="25017.657500000001"/>
    <n v="-232.34486301369861"/>
    <n v="24785.312636986302"/>
    <x v="0"/>
    <x v="21"/>
    <x v="0"/>
    <x v="0"/>
    <n v="23780"/>
    <n v="1005.3126369863021"/>
    <n v="4.2275552438448383E-2"/>
    <n v="562975.07671232917"/>
    <n v="13316800"/>
    <n v="13879775.076712329"/>
    <x v="0"/>
    <x v="0"/>
    <x v="5"/>
    <x v="0"/>
    <x v="0"/>
    <n v="1072.0833"/>
    <n v="11622.231220279245"/>
    <n v="415.07968643854446"/>
  </r>
  <r>
    <x v="2"/>
    <x v="0"/>
    <x v="30"/>
    <d v="2025-04-25T00:00:00"/>
    <n v="2402"/>
    <x v="0"/>
    <x v="0"/>
    <d v="2025-04-25T00:00:00"/>
    <n v="28000"/>
    <n v="445"/>
    <n v="12460000"/>
    <n v="2616600"/>
    <n v="15076600"/>
    <x v="0"/>
    <x v="0"/>
    <x v="0"/>
    <n v="15076600"/>
    <d v="2025-05-02T00:00:00"/>
    <d v="2025-05-25T00:00:00"/>
    <n v="-163"/>
    <x v="3"/>
    <x v="7"/>
    <d v="2025-06-01T00:00:00"/>
    <s v="WS 26/3"/>
    <d v="2025-03-26T00:00:00"/>
    <n v="560"/>
    <n v="26922.5"/>
    <n v="-1904.8425"/>
    <n v="25017.657500000001"/>
    <n v="-232.34486301369861"/>
    <n v="24785.312636986302"/>
    <x v="0"/>
    <x v="21"/>
    <x v="0"/>
    <x v="0"/>
    <n v="23780"/>
    <n v="1005.3126369863021"/>
    <n v="4.2275552438448383E-2"/>
    <n v="562975.07671232917"/>
    <n v="13316800"/>
    <n v="13879775.076712329"/>
    <x v="0"/>
    <x v="0"/>
    <x v="5"/>
    <x v="0"/>
    <x v="0"/>
    <n v="1072.0833"/>
    <n v="11622.231220279245"/>
    <n v="415.07968643854446"/>
  </r>
  <r>
    <x v="2"/>
    <x v="0"/>
    <x v="30"/>
    <d v="2025-04-28T00:00:00"/>
    <n v="2406"/>
    <x v="0"/>
    <x v="0"/>
    <d v="2025-04-28T00:00:00"/>
    <n v="28000"/>
    <n v="445"/>
    <n v="12460000"/>
    <n v="2616600"/>
    <n v="15076600"/>
    <x v="0"/>
    <x v="0"/>
    <x v="0"/>
    <n v="15076600"/>
    <d v="2025-05-05T00:00:00"/>
    <d v="2025-05-28T00:00:00"/>
    <n v="-160"/>
    <x v="3"/>
    <x v="7"/>
    <d v="2025-06-04T00:00:00"/>
    <s v="WS 26/3"/>
    <d v="2025-03-26T00:00:00"/>
    <n v="560"/>
    <n v="26922.5"/>
    <n v="-1904.8425"/>
    <n v="25017.657500000001"/>
    <n v="-232.34486301369861"/>
    <n v="24785.312636986302"/>
    <x v="0"/>
    <x v="21"/>
    <x v="0"/>
    <x v="0"/>
    <n v="23780"/>
    <n v="1005.3126369863021"/>
    <n v="4.2275552438448383E-2"/>
    <n v="562975.07671232917"/>
    <n v="13316800"/>
    <n v="13879775.076712329"/>
    <x v="0"/>
    <x v="0"/>
    <x v="3"/>
    <x v="0"/>
    <x v="0"/>
    <n v="1072.0833"/>
    <n v="11622.231220279245"/>
    <n v="415.07968643854446"/>
  </r>
  <r>
    <x v="2"/>
    <x v="0"/>
    <x v="30"/>
    <d v="2025-05-06T00:00:00"/>
    <n v="2418"/>
    <x v="0"/>
    <x v="0"/>
    <d v="2025-05-05T00:00:00"/>
    <n v="28000"/>
    <n v="445"/>
    <n v="12460000"/>
    <n v="2616600"/>
    <n v="15076600"/>
    <x v="0"/>
    <x v="0"/>
    <x v="0"/>
    <n v="15076600"/>
    <d v="2025-05-13T00:00:00"/>
    <d v="2025-06-05T00:00:00"/>
    <n v="-152"/>
    <x v="3"/>
    <x v="7"/>
    <d v="2025-06-12T00:00:00"/>
    <s v="WS 26/3"/>
    <d v="2025-03-26T00:00:00"/>
    <n v="560"/>
    <n v="26922.5"/>
    <n v="-1904.8425"/>
    <n v="25017.657500000001"/>
    <n v="-232.34486301369861"/>
    <n v="24785.312636986302"/>
    <x v="0"/>
    <x v="21"/>
    <x v="0"/>
    <x v="0"/>
    <n v="23780"/>
    <n v="1005.3126369863021"/>
    <n v="4.2275552438448383E-2"/>
    <n v="562975.07671232917"/>
    <n v="13316800"/>
    <n v="13879775.076712329"/>
    <x v="0"/>
    <x v="0"/>
    <x v="3"/>
    <x v="0"/>
    <x v="0"/>
    <n v="1072.0833"/>
    <n v="11622.231220279245"/>
    <n v="415.07968643854446"/>
  </r>
  <r>
    <x v="2"/>
    <x v="0"/>
    <x v="30"/>
    <d v="2025-05-06T00:00:00"/>
    <n v="2423"/>
    <x v="0"/>
    <x v="0"/>
    <d v="2025-05-09T00:00:00"/>
    <n v="28000"/>
    <n v="445"/>
    <n v="12460000"/>
    <n v="2616600"/>
    <n v="15076600"/>
    <x v="1"/>
    <x v="0"/>
    <x v="0"/>
    <n v="15076600"/>
    <d v="2025-05-13T00:00:00"/>
    <d v="2025-06-05T00:00:00"/>
    <n v="-152"/>
    <x v="3"/>
    <x v="7"/>
    <d v="2025-06-12T00:00:00"/>
    <s v="WS 26/3"/>
    <d v="2025-03-26T00:00:00"/>
    <n v="560"/>
    <n v="26922.5"/>
    <n v="-1904.8425"/>
    <n v="25017.657500000001"/>
    <n v="-232.34486301369861"/>
    <n v="24785.312636986302"/>
    <x v="0"/>
    <x v="21"/>
    <x v="0"/>
    <x v="0"/>
    <n v="23780"/>
    <n v="1005.3126369863021"/>
    <n v="4.2275552438448383E-2"/>
    <n v="562975.07671232917"/>
    <n v="13316800"/>
    <n v="13879775.076712329"/>
    <x v="0"/>
    <x v="0"/>
    <x v="5"/>
    <x v="0"/>
    <x v="0"/>
    <n v="1072.0833"/>
    <n v="11622.231220279245"/>
    <n v="415.07968643854446"/>
  </r>
  <r>
    <x v="1"/>
    <x v="0"/>
    <x v="30"/>
    <d v="2025-05-13T00:00:00"/>
    <n v="2427"/>
    <x v="0"/>
    <x v="0"/>
    <d v="2025-05-13T00:00:00"/>
    <n v="28000"/>
    <n v="478"/>
    <n v="13384000"/>
    <n v="2810640"/>
    <n v="16194640"/>
    <x v="0"/>
    <x v="1"/>
    <x v="0"/>
    <n v="16194640"/>
    <d v="2025-05-20T00:00:00"/>
    <d v="2025-06-12T00:00:00"/>
    <n v="-18"/>
    <x v="3"/>
    <x v="7"/>
    <d v="2025-06-19T00:00:00"/>
    <n v="5500001118"/>
    <d v="2025-04-24T00:00:00"/>
    <n v="560"/>
    <n v="28919"/>
    <n v="-1832.1457"/>
    <n v="27086.854299999999"/>
    <n v="-305.03602739726028"/>
    <n v="26781.818272602737"/>
    <x v="0"/>
    <x v="21"/>
    <x v="0"/>
    <x v="0"/>
    <n v="24855"/>
    <n v="1926.8182726027371"/>
    <n v="7.7522360595563722E-2"/>
    <n v="1079018.2326575327"/>
    <n v="13918800"/>
    <n v="14997818.232657533"/>
    <x v="0"/>
    <x v="3"/>
    <x v="5"/>
    <x v="0"/>
    <x v="0"/>
    <n v="1176.4167"/>
    <n v="11376.921119871895"/>
    <n v="406.31861142399623"/>
  </r>
  <r>
    <x v="0"/>
    <x v="0"/>
    <x v="35"/>
    <d v="2025-04-07T00:00:00"/>
    <n v="2378"/>
    <x v="0"/>
    <x v="0"/>
    <d v="2025-04-07T00:00:00"/>
    <n v="26736.872496300843"/>
    <n v="458"/>
    <n v="12245487.603305787"/>
    <n v="2571552.396694215"/>
    <n v="14817040.000000002"/>
    <x v="0"/>
    <x v="1"/>
    <x v="0"/>
    <n v="14817040.000000002"/>
    <d v="2025-04-12T00:00:00"/>
    <d v="2025-04-08T00:00:00"/>
    <n v="-210"/>
    <x v="10"/>
    <x v="0"/>
    <d v="2025-04-15T00:00:00"/>
    <n v="6952"/>
    <d v="2025-03-31T00:00:00"/>
    <n v="534.73744992601689"/>
    <n v="27709"/>
    <n v="-1837.627"/>
    <n v="25871.373"/>
    <n v="-208.76643835616437"/>
    <n v="25662.606561643835"/>
    <x v="0"/>
    <x v="21"/>
    <x v="0"/>
    <x v="0"/>
    <n v="23774"/>
    <n v="1888.6065616438354"/>
    <n v="7.9440000069144201E-2"/>
    <n v="1009908.6566869674"/>
    <n v="12712848.134541126"/>
    <n v="13722756.791228093"/>
    <x v="0"/>
    <x v="0"/>
    <x v="5"/>
    <x v="0"/>
    <x v="0"/>
    <n v="1073.875"/>
    <n v="11403.084719642218"/>
    <n v="426.49284134559423"/>
  </r>
  <r>
    <x v="0"/>
    <x v="0"/>
    <x v="35"/>
    <d v="2025-04-14T00:00:00"/>
    <n v="2390"/>
    <x v="0"/>
    <x v="0"/>
    <d v="2025-04-14T00:00:00"/>
    <n v="8710.41"/>
    <n v="458"/>
    <n v="3989367.78"/>
    <n v="837767.23379999993"/>
    <n v="4827135.0137999998"/>
    <x v="1"/>
    <x v="0"/>
    <x v="0"/>
    <n v="4827135.0137999998"/>
    <d v="2025-04-19T00:00:00"/>
    <d v="2025-04-15T00:00:00"/>
    <n v="-203"/>
    <x v="10"/>
    <x v="0"/>
    <d v="2025-04-22T00:00:00"/>
    <n v="6952"/>
    <d v="2025-03-31T00:00:00"/>
    <n v="174.20820000000001"/>
    <n v="27709"/>
    <n v="-1837.627"/>
    <n v="25871.373"/>
    <n v="-208.76643835616437"/>
    <n v="25662.606561643835"/>
    <x v="0"/>
    <x v="21"/>
    <x v="0"/>
    <x v="0"/>
    <n v="23774"/>
    <n v="1888.6065616438354"/>
    <n v="7.9440000069144201E-2"/>
    <n v="329010.7496121616"/>
    <n v="4141625.7468000003"/>
    <n v="4470636.4964121617"/>
    <x v="0"/>
    <x v="0"/>
    <x v="5"/>
    <x v="0"/>
    <x v="0"/>
    <n v="1073.875"/>
    <n v="3714.9275101850772"/>
    <n v="426.49284134559423"/>
  </r>
  <r>
    <x v="2"/>
    <x v="0"/>
    <x v="15"/>
    <d v="2025-03-19T00:00:00"/>
    <n v="2337"/>
    <x v="0"/>
    <x v="0"/>
    <d v="2025-03-19T00:00:00"/>
    <n v="28000"/>
    <n v="462"/>
    <n v="12936000"/>
    <n v="2716560"/>
    <n v="15652560"/>
    <x v="0"/>
    <x v="0"/>
    <x v="0"/>
    <n v="15652560"/>
    <d v="2025-03-19T00:00:00"/>
    <d v="2025-04-18T00:00:00"/>
    <n v="-200"/>
    <x v="0"/>
    <x v="4"/>
    <d v="2025-04-25T00:00:00"/>
    <s v="WP 13/03"/>
    <d v="2025-03-13T00:00:00"/>
    <n v="560"/>
    <n v="27951"/>
    <n v="-2740.3474999999999"/>
    <n v="25210.6525"/>
    <n v="0"/>
    <n v="25210.6525"/>
    <x v="0"/>
    <x v="8"/>
    <x v="1"/>
    <x v="0"/>
    <n v="23730"/>
    <n v="1480.6525000000001"/>
    <n v="6.2395806995364511E-2"/>
    <n v="829165.40000000014"/>
    <n v="13288800"/>
    <n v="14117965.4"/>
    <x v="0"/>
    <x v="0"/>
    <x v="5"/>
    <x v="0"/>
    <x v="0"/>
    <n v="1067.125"/>
    <n v="12122.291202998711"/>
    <n v="432.93897153566826"/>
  </r>
  <r>
    <x v="2"/>
    <x v="0"/>
    <x v="15"/>
    <d v="2025-03-27T00:00:00"/>
    <n v="2357"/>
    <x v="0"/>
    <x v="0"/>
    <d v="2025-03-27T00:00:00"/>
    <n v="28000"/>
    <n v="462"/>
    <n v="12936000"/>
    <n v="2716560"/>
    <n v="15652560"/>
    <x v="0"/>
    <x v="0"/>
    <x v="0"/>
    <n v="15652560"/>
    <d v="2025-03-27T00:00:00"/>
    <d v="2025-04-26T00:00:00"/>
    <n v="-192"/>
    <x v="0"/>
    <x v="4"/>
    <d v="2025-05-03T00:00:00"/>
    <s v="WP 13/03"/>
    <d v="2025-03-13T00:00:00"/>
    <n v="560"/>
    <n v="27951"/>
    <n v="-2740.3474999999999"/>
    <n v="25210.6525"/>
    <n v="0"/>
    <n v="25210.6525"/>
    <x v="0"/>
    <x v="8"/>
    <x v="1"/>
    <x v="0"/>
    <n v="23730"/>
    <n v="1480.6525000000001"/>
    <n v="6.2395806995364511E-2"/>
    <n v="829165.40000000014"/>
    <n v="13288800"/>
    <n v="14117965.4"/>
    <x v="0"/>
    <x v="0"/>
    <x v="3"/>
    <x v="0"/>
    <x v="0"/>
    <n v="1067.125"/>
    <n v="12122.291202998711"/>
    <n v="432.93897153566826"/>
  </r>
  <r>
    <x v="2"/>
    <x v="0"/>
    <x v="15"/>
    <d v="2025-04-23T00:00:00"/>
    <n v="2400"/>
    <x v="0"/>
    <x v="0"/>
    <d v="2025-04-23T00:00:00"/>
    <n v="28000"/>
    <n v="462"/>
    <n v="12936000"/>
    <n v="2716560"/>
    <n v="15652560"/>
    <x v="0"/>
    <x v="0"/>
    <x v="0"/>
    <n v="15652560"/>
    <d v="2025-04-23T00:00:00"/>
    <d v="2025-05-23T00:00:00"/>
    <n v="-165"/>
    <x v="0"/>
    <x v="4"/>
    <d v="2025-05-30T00:00:00"/>
    <s v="WP 27/03"/>
    <d v="2025-03-27T00:00:00"/>
    <n v="560"/>
    <n v="27951"/>
    <n v="-2740.3474999999999"/>
    <n v="25210.6525"/>
    <n v="0"/>
    <n v="25210.6525"/>
    <x v="0"/>
    <x v="8"/>
    <x v="1"/>
    <x v="0"/>
    <n v="23778"/>
    <n v="1432.6525000000001"/>
    <n v="6.0251177559088154E-2"/>
    <n v="802285.40000000014"/>
    <n v="13315680"/>
    <n v="14117965.4"/>
    <x v="0"/>
    <x v="0"/>
    <x v="5"/>
    <x v="0"/>
    <x v="0"/>
    <n v="1072.2917"/>
    <n v="12063.881497917031"/>
    <n v="430.85291063989399"/>
  </r>
  <r>
    <x v="2"/>
    <x v="0"/>
    <x v="15"/>
    <d v="2025-04-30T00:00:00"/>
    <n v="2417"/>
    <x v="0"/>
    <x v="0"/>
    <d v="2025-04-30T00:00:00"/>
    <n v="28000"/>
    <n v="462"/>
    <n v="12936000"/>
    <n v="2716560"/>
    <n v="15652560"/>
    <x v="0"/>
    <x v="0"/>
    <x v="0"/>
    <n v="15652560"/>
    <d v="2025-04-30T00:00:00"/>
    <d v="2025-05-30T00:00:00"/>
    <n v="-158"/>
    <x v="0"/>
    <x v="4"/>
    <d v="2025-06-06T00:00:00"/>
    <s v="WP 27/03"/>
    <d v="2025-03-27T00:00:00"/>
    <n v="560"/>
    <n v="27951"/>
    <n v="-2740.3474999999999"/>
    <n v="25210.6525"/>
    <n v="0"/>
    <n v="25210.6525"/>
    <x v="0"/>
    <x v="8"/>
    <x v="1"/>
    <x v="0"/>
    <n v="23778"/>
    <n v="1432.6525000000001"/>
    <n v="6.0251177559088154E-2"/>
    <n v="802285.40000000014"/>
    <n v="13315680"/>
    <n v="14117965.4"/>
    <x v="0"/>
    <x v="0"/>
    <x v="5"/>
    <x v="0"/>
    <x v="0"/>
    <n v="1072.2917"/>
    <n v="12063.881497917031"/>
    <n v="430.85291063989399"/>
  </r>
  <r>
    <x v="2"/>
    <x v="0"/>
    <x v="19"/>
    <d v="2025-03-14T00:00:00"/>
    <n v="2328"/>
    <x v="0"/>
    <x v="0"/>
    <d v="2025-03-14T00:00:00"/>
    <n v="27500"/>
    <n v="480"/>
    <n v="13200000"/>
    <n v="2772000"/>
    <n v="15972000"/>
    <x v="0"/>
    <x v="0"/>
    <x v="0"/>
    <n v="15972000"/>
    <d v="2025-03-14T00:00:00"/>
    <d v="2025-04-13T00:00:00"/>
    <n v="-205"/>
    <x v="0"/>
    <x v="0"/>
    <d v="2025-04-20T00:00:00"/>
    <s v="WS 11.03"/>
    <d v="2025-03-11T00:00:00"/>
    <n v="550"/>
    <n v="29040"/>
    <n v="-2743.6144999999997"/>
    <n v="26296.3855"/>
    <n v="0"/>
    <n v="26296.3855"/>
    <x v="2"/>
    <x v="13"/>
    <x v="5"/>
    <x v="0"/>
    <n v="23725"/>
    <n v="2571.3855000000003"/>
    <n v="0.10838295047418334"/>
    <n v="1414262.0250000001"/>
    <n v="13048750"/>
    <n v="14463012.025"/>
    <x v="0"/>
    <x v="0"/>
    <x v="3"/>
    <x v="0"/>
    <x v="0"/>
    <n v="1066.6667"/>
    <n v="12374.999613281263"/>
    <n v="449.99998593750047"/>
  </r>
  <r>
    <x v="2"/>
    <x v="0"/>
    <x v="19"/>
    <d v="2025-04-07T00:00:00"/>
    <n v="2377"/>
    <x v="0"/>
    <x v="0"/>
    <d v="2025-04-07T00:00:00"/>
    <n v="27500"/>
    <n v="480"/>
    <n v="13200000"/>
    <n v="2772000"/>
    <n v="15972000"/>
    <x v="0"/>
    <x v="0"/>
    <x v="0"/>
    <n v="15972000"/>
    <d v="2025-04-07T00:00:00"/>
    <d v="2025-05-07T00:00:00"/>
    <n v="-181"/>
    <x v="0"/>
    <x v="0"/>
    <d v="2025-05-14T00:00:00"/>
    <n v="6468"/>
    <d v="2025-03-28T00:00:00"/>
    <n v="550"/>
    <n v="29040"/>
    <n v="-2743.6144999999997"/>
    <n v="26296.3855"/>
    <n v="0"/>
    <n v="26296.3855"/>
    <x v="2"/>
    <x v="13"/>
    <x v="5"/>
    <x v="0"/>
    <n v="23777"/>
    <n v="2519.3855000000003"/>
    <n v="0.10595893089960895"/>
    <n v="1385662.0250000001"/>
    <n v="13077350"/>
    <n v="14463012.025"/>
    <x v="0"/>
    <x v="0"/>
    <x v="3"/>
    <x v="0"/>
    <x v="0"/>
    <n v="1073.375"/>
    <n v="12297.659252358217"/>
    <n v="447.18760917666242"/>
  </r>
  <r>
    <x v="0"/>
    <x v="0"/>
    <x v="19"/>
    <d v="2025-04-16T00:00:00"/>
    <n v="2395"/>
    <x v="0"/>
    <x v="0"/>
    <d v="2025-04-16T00:00:00"/>
    <n v="27500"/>
    <n v="480"/>
    <n v="13200000"/>
    <n v="2772000"/>
    <n v="15972000"/>
    <x v="0"/>
    <x v="1"/>
    <x v="0"/>
    <n v="15972000"/>
    <d v="2025-04-16T00:00:00"/>
    <d v="2025-05-16T00:00:00"/>
    <n v="-172"/>
    <x v="0"/>
    <x v="0"/>
    <d v="2025-05-23T00:00:00"/>
    <n v="6489"/>
    <d v="2025-04-11T00:00:00"/>
    <n v="550"/>
    <n v="29040"/>
    <n v="-2743.6144999999997"/>
    <n v="26296.3855"/>
    <n v="0"/>
    <n v="26296.3855"/>
    <x v="2"/>
    <x v="13"/>
    <x v="5"/>
    <x v="0"/>
    <n v="23820"/>
    <n v="2476.3855000000003"/>
    <n v="0.10396244752308981"/>
    <n v="1362012.0250000001"/>
    <n v="13101000"/>
    <n v="14463012.025"/>
    <x v="0"/>
    <x v="0"/>
    <x v="3"/>
    <x v="0"/>
    <x v="0"/>
    <n v="1078.375"/>
    <n v="12240.639851628608"/>
    <n v="445.11417642285846"/>
  </r>
  <r>
    <x v="1"/>
    <x v="0"/>
    <x v="19"/>
    <d v="2025-04-30T00:00:00"/>
    <n v="2416"/>
    <x v="0"/>
    <x v="0"/>
    <d v="2025-04-30T00:00:00"/>
    <n v="27500"/>
    <n v="480"/>
    <n v="13200000"/>
    <n v="2772000"/>
    <n v="15972000"/>
    <x v="0"/>
    <x v="0"/>
    <x v="0"/>
    <n v="15972000"/>
    <d v="2025-04-30T00:00:00"/>
    <d v="2025-05-30T00:00:00"/>
    <n v="-158"/>
    <x v="0"/>
    <x v="0"/>
    <d v="2025-06-06T00:00:00"/>
    <n v="6498"/>
    <d v="2025-04-23T00:00:00"/>
    <n v="550"/>
    <n v="29040"/>
    <n v="-2743.6144999999997"/>
    <n v="26296.3855"/>
    <n v="0"/>
    <n v="26296.3855"/>
    <x v="2"/>
    <x v="13"/>
    <x v="5"/>
    <x v="0"/>
    <n v="24745"/>
    <n v="1551.3855000000003"/>
    <n v="6.2694908062234767E-2"/>
    <n v="853262.02500000014"/>
    <n v="13609750"/>
    <n v="14463012.025"/>
    <x v="0"/>
    <x v="0"/>
    <x v="3"/>
    <x v="0"/>
    <x v="0"/>
    <n v="1122.5"/>
    <n v="11759.46547884187"/>
    <n v="427.61692650334072"/>
  </r>
  <r>
    <x v="0"/>
    <x v="1"/>
    <x v="26"/>
    <d v="2025-04-28T00:00:00"/>
    <n v="2405"/>
    <x v="0"/>
    <x v="0"/>
    <d v="2025-04-28T00:00:00"/>
    <n v="14000"/>
    <n v="488"/>
    <n v="6832000"/>
    <n v="1434720"/>
    <n v="8266720"/>
    <x v="0"/>
    <x v="1"/>
    <x v="0"/>
    <n v="8266720"/>
    <d v="2025-05-05T00:00:00"/>
    <d v="2025-05-28T00:00:00"/>
    <n v="-160"/>
    <x v="3"/>
    <x v="0"/>
    <d v="2025-06-04T00:00:00"/>
    <n v="2543"/>
    <d v="2025-04-17T00:00:00"/>
    <n v="280"/>
    <n v="29524"/>
    <n v="-1741.4319999999998"/>
    <n v="27782.567999999999"/>
    <n v="-311.41753424657537"/>
    <n v="27471.150465753424"/>
    <x v="0"/>
    <x v="5"/>
    <x v="1"/>
    <x v="0"/>
    <n v="24085"/>
    <n v="3386.1504657534242"/>
    <n v="0.14059167389468241"/>
    <n v="948122.13041095878"/>
    <n v="6743800"/>
    <n v="7691922.130410959"/>
    <x v="0"/>
    <x v="0"/>
    <x v="3"/>
    <x v="0"/>
    <x v="0"/>
    <n v="1100"/>
    <n v="6210.909090909091"/>
    <n v="443.6363636363636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4">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r>
    <x v="0"/>
    <s v="GALICIA SAS"/>
    <m/>
    <x v="0"/>
    <x v="0"/>
    <m/>
    <m/>
    <m/>
    <m/>
    <m/>
    <n v="0"/>
    <m/>
    <n v="-46136"/>
    <d v="1900-01-06T00:00:00"/>
    <m/>
    <m/>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4">
  <r>
    <x v="0"/>
    <n v="1"/>
    <x v="0"/>
    <d v="2026-05-26T19:02:00"/>
    <x v="0"/>
    <s v="AZÚCAR CRUDO"/>
    <x v="0"/>
    <d v="2026-05-26T19:02:00"/>
    <n v="28200"/>
    <n v="455.58481499999999"/>
    <n v="12847491.783"/>
    <n v="2697973.2744299998"/>
    <n v="15545465.057429999"/>
    <m/>
    <n v="0"/>
    <n v="0"/>
    <n v="15545465.057429999"/>
    <d v="2026-01-29T00:00:00"/>
    <x v="0"/>
    <n v="-11.206944444442343"/>
    <n v="-117.79305555555766"/>
    <m/>
    <d v="2026-06-02T19:02:00"/>
    <x v="0"/>
    <d v="2026-01-29T00:00:00"/>
    <n v="564"/>
    <n v="27562.8813075"/>
    <n v="-0.40864392249999071"/>
    <n v="27562.4726635775"/>
    <n v="257.95825825929342"/>
    <n v="27820.430921836793"/>
    <x v="0"/>
    <x v="0"/>
    <s v="TUCUMAN"/>
    <x v="0"/>
    <n v="32515"/>
    <n v="-4694.5690781632075"/>
    <n v="-0.14438164164733835"/>
    <n v="-2647736.960084049"/>
    <n v="18338460"/>
    <n v="15690723.039915951"/>
    <n v="2.9000000000000001E-2"/>
    <n v="-68"/>
    <m/>
    <m/>
    <n v="0"/>
    <n v="1446.3009999999999"/>
    <n v="8883"/>
    <m/>
    <n v="8883"/>
    <n v="315"/>
    <n v="0"/>
    <n v="3.5671448510274613"/>
    <n v="318.56714485102748"/>
    <x v="0"/>
  </r>
  <r>
    <x v="0"/>
    <n v="1"/>
    <x v="0"/>
    <d v="2026-05-26T22:31:00"/>
    <x v="0"/>
    <s v="AZÚCAR CRUDO"/>
    <x v="0"/>
    <d v="2026-05-26T22:31:00"/>
    <n v="30000"/>
    <n v="455.58481499999999"/>
    <n v="13667544.449999999"/>
    <n v="2870184.3344999999"/>
    <n v="16537728.784499999"/>
    <m/>
    <n v="0"/>
    <n v="0"/>
    <n v="16537728.784499999"/>
    <d v="2026-01-29T00:00:00"/>
    <x v="1"/>
    <n v="-11.061805555553292"/>
    <n v="-117.93819444444671"/>
    <m/>
    <d v="2026-06-02T22:31:00"/>
    <x v="0"/>
    <d v="2026-01-29T00:00:00"/>
    <n v="600"/>
    <n v="27562.8813075"/>
    <n v="-0.40864392249999071"/>
    <n v="27562.4726635775"/>
    <n v="258.27610191150978"/>
    <n v="27820.74876548901"/>
    <x v="0"/>
    <x v="0"/>
    <s v="TUCUMAN"/>
    <x v="0"/>
    <n v="32515"/>
    <n v="-4694.2512345109899"/>
    <n v="-0.14437186635432842"/>
    <n v="-2816550.7407065937"/>
    <n v="19509000"/>
    <n v="16692449.259293405"/>
    <n v="2.9000000000000001E-2"/>
    <n v="-68"/>
    <m/>
    <m/>
    <n v="0"/>
    <n v="1446.3009999999999"/>
    <n v="9450"/>
    <m/>
    <n v="9450"/>
    <n v="315"/>
    <n v="0"/>
    <n v="3.5715401138699319"/>
    <n v="318.57154011386996"/>
    <x v="0"/>
  </r>
  <r>
    <x v="0"/>
    <n v="1"/>
    <x v="0"/>
    <d v="2026-05-26T22:49:00"/>
    <x v="0"/>
    <s v="AZÚCAR CRUDO"/>
    <x v="0"/>
    <d v="2026-05-26T22:49:00"/>
    <n v="28950"/>
    <n v="455.58481499999999"/>
    <n v="13189180.39425"/>
    <n v="2769727.8827924998"/>
    <n v="15958908.277042501"/>
    <m/>
    <n v="0"/>
    <n v="0"/>
    <n v="15958908.277042501"/>
    <d v="2026-01-29T00:00:00"/>
    <x v="2"/>
    <n v="-11.049305555556202"/>
    <n v="-117.9506944444438"/>
    <m/>
    <d v="2026-06-02T22:49:00"/>
    <x v="0"/>
    <d v="2026-01-29T00:00:00"/>
    <n v="579"/>
    <n v="27562.8813075"/>
    <n v="-0.40864392249999071"/>
    <n v="27562.4726635775"/>
    <n v="258.30347600595263"/>
    <n v="27820.776139583453"/>
    <x v="0"/>
    <x v="0"/>
    <s v="TUCUMAN"/>
    <x v="0"/>
    <n v="32515"/>
    <n v="-4694.2238604165468"/>
    <n v="-0.1443710244630646"/>
    <n v="-2717955.6151811806"/>
    <n v="18826185"/>
    <n v="16108229.38481882"/>
    <n v="2.9000000000000001E-2"/>
    <n v="-68"/>
    <m/>
    <m/>
    <n v="0"/>
    <n v="1446.3009999999999"/>
    <n v="9119.25"/>
    <m/>
    <n v="9119.25"/>
    <n v="315"/>
    <n v="0"/>
    <n v="3.5719186532534053"/>
    <n v="318.57191865325342"/>
    <x v="0"/>
  </r>
  <r>
    <x v="0"/>
    <n v="1"/>
    <x v="0"/>
    <d v="2026-05-28T15:38:00"/>
    <x v="0"/>
    <s v="AZÚCAR CRUDO"/>
    <x v="0"/>
    <d v="2026-05-28T15:38:00"/>
    <n v="29400"/>
    <n v="455.58481499999999"/>
    <n v="13394193.561000001"/>
    <n v="2812780.64781"/>
    <n v="16206974.208810002"/>
    <m/>
    <n v="0"/>
    <n v="0"/>
    <n v="16206974.208810002"/>
    <d v="2026-01-29T00:00:00"/>
    <x v="3"/>
    <n v="-9.3486111111124046"/>
    <n v="-119.6513888888876"/>
    <m/>
    <d v="2026-06-04T15:38:00"/>
    <x v="0"/>
    <d v="2026-01-29T00:00:00"/>
    <n v="588"/>
    <n v="27562.8813075"/>
    <n v="-0.40864392249999071"/>
    <n v="27562.4726635775"/>
    <n v="262.0278736340714"/>
    <n v="27824.50053721157"/>
    <x v="0"/>
    <x v="0"/>
    <s v="TUCUMAN"/>
    <x v="0"/>
    <n v="32515"/>
    <n v="-4690.4994627884298"/>
    <n v="-0.14425648047942274"/>
    <n v="-2758013.6841195966"/>
    <n v="19118820"/>
    <n v="16360806.315880403"/>
    <n v="2.9000000000000001E-2"/>
    <n v="-68"/>
    <m/>
    <m/>
    <n v="0"/>
    <n v="1446.3009999999999"/>
    <n v="9261.0000000000018"/>
    <m/>
    <n v="9261.0000000000018"/>
    <n v="315.00000000000006"/>
    <n v="0"/>
    <n v="3.6234210393835231"/>
    <n v="318.62342103938357"/>
    <x v="0"/>
  </r>
  <r>
    <x v="0"/>
    <n v="1"/>
    <x v="0"/>
    <d v="2026-05-28T15:43:00"/>
    <x v="0"/>
    <s v="AZÚCAR CRUDO"/>
    <x v="0"/>
    <d v="2026-05-28T15:43:00"/>
    <n v="29050"/>
    <n v="455.58481499999999"/>
    <n v="13234738.87575"/>
    <n v="2779295.1639075"/>
    <n v="16014034.0396575"/>
    <m/>
    <n v="0"/>
    <n v="0"/>
    <n v="16014034.0396575"/>
    <d v="2026-01-29T00:00:00"/>
    <x v="4"/>
    <n v="-9.3451388888861402"/>
    <n v="-119.65486111111386"/>
    <m/>
    <d v="2026-06-04T15:43:00"/>
    <x v="0"/>
    <d v="2026-01-29T00:00:00"/>
    <n v="581"/>
    <n v="27562.8813075"/>
    <n v="-0.40864392249999071"/>
    <n v="27562.4726635775"/>
    <n v="262.03547754920504"/>
    <n v="27824.508141126706"/>
    <x v="0"/>
    <x v="0"/>
    <s v="TUCUMAN"/>
    <x v="0"/>
    <n v="32515"/>
    <n v="-4690.4918588732944"/>
    <n v="-0.14425624662073799"/>
    <n v="-2725175.770005384"/>
    <n v="18891215"/>
    <n v="16166039.229994616"/>
    <n v="2.9000000000000001E-2"/>
    <n v="-68"/>
    <m/>
    <m/>
    <n v="0"/>
    <n v="1446.3009999999999"/>
    <n v="9150.75"/>
    <m/>
    <n v="9150.75"/>
    <n v="315"/>
    <n v="0"/>
    <n v="3.6235261892124124"/>
    <n v="318.62352618921238"/>
    <x v="0"/>
  </r>
  <r>
    <x v="0"/>
    <n v="1"/>
    <x v="0"/>
    <d v="2026-05-28T18:11:00"/>
    <x v="0"/>
    <s v="AZÚCAR CRUDO"/>
    <x v="0"/>
    <d v="2026-05-28T18:11:00"/>
    <n v="29300"/>
    <n v="455.58481499999999"/>
    <n v="13348635.079499999"/>
    <n v="2803213.3666949999"/>
    <n v="16151848.446194999"/>
    <m/>
    <n v="0"/>
    <n v="0"/>
    <n v="16151848.446194999"/>
    <d v="2026-01-29T00:00:00"/>
    <x v="5"/>
    <n v="-9.242361111108039"/>
    <n v="-119.75763888889196"/>
    <m/>
    <d v="2026-06-04T18:11:00"/>
    <x v="0"/>
    <d v="2026-01-29T00:00:00"/>
    <n v="586"/>
    <n v="27562.8813075"/>
    <n v="-0.40864392249999071"/>
    <n v="27562.4726635775"/>
    <n v="262.26055343689939"/>
    <n v="27824.7332170144"/>
    <x v="0"/>
    <x v="0"/>
    <s v="TUCUMAN"/>
    <x v="0"/>
    <n v="32515"/>
    <n v="-4690.2667829856"/>
    <n v="-0.14424932440367833"/>
    <n v="-2748496.3348295614"/>
    <n v="19053790"/>
    <n v="16305293.665170439"/>
    <n v="2.9000000000000001E-2"/>
    <n v="-68"/>
    <m/>
    <m/>
    <n v="0"/>
    <n v="1446.3009999999999"/>
    <n v="9229.5"/>
    <m/>
    <n v="9229.5"/>
    <n v="315"/>
    <n v="0"/>
    <n v="3.6266386241439288"/>
    <n v="318.62663862414394"/>
    <x v="0"/>
  </r>
  <r>
    <x v="0"/>
    <n v="1"/>
    <x v="0"/>
    <d v="2026-05-28T19:24:00"/>
    <x v="0"/>
    <s v="AZÚCAR CRUDO"/>
    <x v="0"/>
    <d v="2026-05-28T19:24:00"/>
    <n v="36400"/>
    <n v="455.58481499999999"/>
    <n v="16583287.265999999"/>
    <n v="3482490.3258599997"/>
    <n v="20065777.59186"/>
    <m/>
    <n v="0"/>
    <n v="0"/>
    <n v="20065777.59186"/>
    <d v="2026-01-29T00:00:00"/>
    <x v="6"/>
    <n v="-9.1916666666656965"/>
    <n v="-119.8083333333343"/>
    <m/>
    <d v="2026-06-04T19:24:00"/>
    <x v="0"/>
    <d v="2026-01-29T00:00:00"/>
    <n v="728"/>
    <n v="27562.8813075"/>
    <n v="-0.40864392249999071"/>
    <n v="27562.4726635775"/>
    <n v="262.3715705977167"/>
    <n v="27824.844234175216"/>
    <x v="0"/>
    <x v="0"/>
    <s v="TUCUMAN"/>
    <x v="0"/>
    <n v="32515"/>
    <n v="-4690.1557658247839"/>
    <n v="-0.14424591006688559"/>
    <n v="-3414433.3975204425"/>
    <n v="23670920"/>
    <n v="20256486.602479558"/>
    <n v="2.9000000000000001E-2"/>
    <n v="-68"/>
    <m/>
    <m/>
    <n v="0"/>
    <n v="1446.3009999999999"/>
    <n v="11466"/>
    <m/>
    <n v="11466"/>
    <n v="315"/>
    <n v="0"/>
    <n v="3.6281738116438658"/>
    <n v="318.62817381164388"/>
    <x v="0"/>
  </r>
  <r>
    <x v="0"/>
    <n v="1"/>
    <x v="0"/>
    <d v="2026-05-30T08:40:00"/>
    <x v="0"/>
    <s v="AZÚCAR CRUDO"/>
    <x v="0"/>
    <d v="2026-05-30T08:40:00"/>
    <n v="36600"/>
    <n v="455.58481499999999"/>
    <n v="16674404.229"/>
    <n v="3501624.88809"/>
    <n v="20176029.117090002"/>
    <m/>
    <n v="0"/>
    <n v="0"/>
    <n v="20176029.117090002"/>
    <d v="2026-01-29T00:00:00"/>
    <x v="7"/>
    <n v="-7.6388888888905058"/>
    <n v="-121.36111111110949"/>
    <m/>
    <d v="2026-06-06T08:40:00"/>
    <x v="0"/>
    <d v="2026-01-29T00:00:00"/>
    <n v="732"/>
    <n v="27562.8813075"/>
    <n v="-0.40864392249999071"/>
    <n v="27562.4726635775"/>
    <n v="265.77204144151528"/>
    <n v="27828.244705019017"/>
    <x v="0"/>
    <x v="0"/>
    <s v="TUCUMAN"/>
    <x v="0"/>
    <n v="32515"/>
    <n v="-4686.7552949809833"/>
    <n v="-0.14414132846320105"/>
    <n v="-3430704.8759260797"/>
    <n v="23800980"/>
    <n v="20370275.124073919"/>
    <n v="2.9000000000000001E-2"/>
    <n v="-68"/>
    <m/>
    <m/>
    <n v="0"/>
    <n v="1446.3009999999999"/>
    <n v="11529"/>
    <m/>
    <n v="11529"/>
    <n v="315"/>
    <n v="0"/>
    <n v="3.6751968150684444"/>
    <n v="318.67519681506843"/>
    <x v="0"/>
  </r>
  <r>
    <x v="0"/>
    <n v="1"/>
    <x v="0"/>
    <d v="2026-05-30T09:27:00"/>
    <x v="0"/>
    <s v="AZÚCAR CRUDO"/>
    <x v="0"/>
    <d v="2026-05-30T09:27:00"/>
    <n v="29400"/>
    <n v="455.58481499999999"/>
    <n v="13394193.561000001"/>
    <n v="2812780.64781"/>
    <n v="16206974.208810002"/>
    <m/>
    <n v="0"/>
    <n v="0"/>
    <n v="16206974.208810002"/>
    <d v="2026-01-29T00:00:00"/>
    <x v="8"/>
    <n v="-7.6062499999970896"/>
    <n v="-121.39375000000291"/>
    <m/>
    <d v="2026-06-06T09:27:00"/>
    <x v="0"/>
    <d v="2026-01-29T00:00:00"/>
    <n v="588"/>
    <n v="27562.8813075"/>
    <n v="-0.40864392249999071"/>
    <n v="27562.4726635775"/>
    <n v="265.84351824369821"/>
    <n v="27828.316181821199"/>
    <x v="0"/>
    <x v="0"/>
    <s v="TUCUMAN"/>
    <x v="0"/>
    <n v="32515"/>
    <n v="-4686.6838181788007"/>
    <n v="-0.14413913019156699"/>
    <n v="-2755770.085089135"/>
    <n v="19118820"/>
    <n v="16363049.914910866"/>
    <n v="2.9000000000000001E-2"/>
    <n v="-68"/>
    <m/>
    <m/>
    <n v="0"/>
    <n v="1446.3009999999999"/>
    <n v="9261.0000000000018"/>
    <m/>
    <n v="9261.0000000000018"/>
    <n v="315.00000000000006"/>
    <n v="0"/>
    <n v="3.6761852234589929"/>
    <n v="318.67618522345907"/>
    <x v="0"/>
  </r>
  <r>
    <x v="0"/>
    <n v="1"/>
    <x v="0"/>
    <d v="2026-05-31T09:19:00"/>
    <x v="0"/>
    <s v="AZÚCAR CRUDO"/>
    <x v="0"/>
    <d v="2026-05-31T09:19:00"/>
    <n v="28750"/>
    <n v="455.58481499999999"/>
    <n v="13098063.43125"/>
    <n v="2750593.3205625"/>
    <n v="15848656.751812501"/>
    <m/>
    <n v="0"/>
    <n v="0"/>
    <n v="15848656.751812501"/>
    <d v="2026-01-29T00:00:00"/>
    <x v="9"/>
    <n v="-6.6118055555562023"/>
    <n v="-122.3881944444438"/>
    <m/>
    <d v="2026-06-07T09:19:00"/>
    <x v="0"/>
    <d v="2026-01-29T00:00:00"/>
    <n v="575"/>
    <n v="27562.8813075"/>
    <n v="-0.40864392249999071"/>
    <n v="27562.4726635775"/>
    <n v="268.02127953542913"/>
    <n v="27830.493943112931"/>
    <x v="0"/>
    <x v="0"/>
    <s v="TUCUMAN"/>
    <x v="0"/>
    <n v="32515"/>
    <n v="-4684.5060568870686"/>
    <n v="-0.14407215306434162"/>
    <n v="-2693590.9827100644"/>
    <n v="18696125"/>
    <n v="16002534.017289935"/>
    <n v="2.9000000000000001E-2"/>
    <n v="-68"/>
    <m/>
    <m/>
    <n v="0"/>
    <n v="1446.3009999999999"/>
    <n v="9056.25"/>
    <m/>
    <n v="9056.25"/>
    <n v="315"/>
    <n v="0"/>
    <n v="3.706300134417789"/>
    <n v="318.7063001344178"/>
    <x v="0"/>
  </r>
  <r>
    <x v="0"/>
    <n v="1"/>
    <x v="0"/>
    <d v="2026-05-31T20:19:00"/>
    <x v="0"/>
    <s v="AZÚCAR CRUDO"/>
    <x v="0"/>
    <d v="2026-05-31T20:19:00"/>
    <n v="35350"/>
    <n v="455.58481499999999"/>
    <n v="16104923.21025"/>
    <n v="3382033.8741524997"/>
    <n v="19486957.084402498"/>
    <m/>
    <n v="0"/>
    <n v="0"/>
    <n v="19486957.084402498"/>
    <d v="2026-01-29T00:00:00"/>
    <x v="10"/>
    <n v="-6.1534722222204437"/>
    <n v="-122.84652777777956"/>
    <m/>
    <d v="2026-06-07T20:19:00"/>
    <x v="0"/>
    <d v="2026-01-29T00:00:00"/>
    <n v="707"/>
    <n v="27562.8813075"/>
    <n v="-0.40864392249999071"/>
    <n v="27562.4726635775"/>
    <n v="269.02499633190615"/>
    <n v="27831.497659909408"/>
    <x v="0"/>
    <x v="0"/>
    <s v="TUCUMAN"/>
    <x v="0"/>
    <n v="32515"/>
    <n v="-4683.502340090592"/>
    <n v="-0.14404128371799452"/>
    <n v="-3311236.1544440486"/>
    <n v="22988105"/>
    <n v="19676868.84555595"/>
    <n v="2.9000000000000001E-2"/>
    <n v="-68"/>
    <m/>
    <m/>
    <n v="0"/>
    <n v="1446.3009999999999"/>
    <n v="11135.25"/>
    <m/>
    <n v="11135.25"/>
    <n v="315"/>
    <n v="0"/>
    <n v="3.7201799118151224"/>
    <n v="318.72017991181514"/>
    <x v="0"/>
  </r>
  <r>
    <x v="0"/>
    <n v="1"/>
    <x v="0"/>
    <d v="2026-05-31T21:50:00"/>
    <x v="0"/>
    <s v="AZÚCAR CRUDO"/>
    <x v="0"/>
    <d v="2026-05-31T21:50:00"/>
    <n v="29550"/>
    <n v="455.58481499999999"/>
    <n v="13462531.28325"/>
    <n v="2827131.5694824997"/>
    <n v="16289662.8527325"/>
    <m/>
    <n v="0"/>
    <n v="0"/>
    <n v="16289662.8527325"/>
    <d v="2026-01-29T00:00:00"/>
    <x v="11"/>
    <n v="-6.0902777777810115"/>
    <n v="-122.90972222221899"/>
    <m/>
    <d v="2026-06-07T21:50:00"/>
    <x v="0"/>
    <d v="2026-01-29T00:00:00"/>
    <n v="591"/>
    <n v="27562.8813075"/>
    <n v="-0.40864392249999071"/>
    <n v="27562.4726635775"/>
    <n v="269.16338758716631"/>
    <n v="27831.636051164667"/>
    <x v="0"/>
    <x v="0"/>
    <s v="TUCUMAN"/>
    <x v="0"/>
    <n v="32515"/>
    <n v="-4683.3639488353328"/>
    <n v="-0.14403702748993796"/>
    <n v="-2767868.0937616816"/>
    <n v="19216365"/>
    <n v="16448496.906238317"/>
    <n v="2.9000000000000001E-2"/>
    <n v="-68"/>
    <m/>
    <m/>
    <n v="0"/>
    <n v="1446.3009999999999"/>
    <n v="9308.25"/>
    <m/>
    <n v="9308.25"/>
    <n v="315"/>
    <n v="0"/>
    <n v="3.7220936386985324"/>
    <n v="318.72209363869854"/>
    <x v="0"/>
  </r>
  <r>
    <x v="0"/>
    <n v="1"/>
    <x v="0"/>
    <d v="2026-05-31T22:15:00"/>
    <x v="0"/>
    <s v="AZÚCAR CRUDO"/>
    <x v="0"/>
    <d v="2026-05-31T22:15:00"/>
    <n v="29850"/>
    <n v="455.58481499999999"/>
    <n v="13599206.72775"/>
    <n v="2855833.4128274997"/>
    <n v="16455040.140577499"/>
    <m/>
    <n v="0"/>
    <n v="0"/>
    <n v="16455040.140577499"/>
    <d v="2026-01-29T00:00:00"/>
    <x v="12"/>
    <n v="-6.0729166666642413"/>
    <n v="-122.92708333333576"/>
    <m/>
    <d v="2026-06-07T22:15:00"/>
    <x v="0"/>
    <d v="2026-01-29T00:00:00"/>
    <n v="597"/>
    <n v="27562.8813075"/>
    <n v="-0.40864392249999071"/>
    <n v="27562.4726635775"/>
    <n v="269.20140716280264"/>
    <n v="27831.674070740304"/>
    <x v="0"/>
    <x v="0"/>
    <s v="TUCUMAN"/>
    <x v="0"/>
    <n v="32515"/>
    <n v="-4683.3259292596958"/>
    <n v="-0.14403585819651532"/>
    <n v="-2795945.5797680384"/>
    <n v="19411455"/>
    <n v="16615509.420231961"/>
    <n v="2.9000000000000001E-2"/>
    <n v="-68"/>
    <m/>
    <m/>
    <n v="0"/>
    <n v="1446.3009999999999"/>
    <n v="9402.75"/>
    <m/>
    <n v="9402.75"/>
    <n v="315"/>
    <n v="0"/>
    <n v="3.7226193878425402"/>
    <n v="318.72261938784254"/>
    <x v="0"/>
  </r>
  <r>
    <x v="0"/>
    <n v="1"/>
    <x v="0"/>
    <d v="2026-06-02T00:00:00"/>
    <x v="0"/>
    <s v="AZÚCAR CRUDO"/>
    <x v="1"/>
    <d v="2026-06-02T00:00:00"/>
    <n v="30000"/>
    <n v="455.58481499999999"/>
    <n v="13667544.449999999"/>
    <n v="2870184.3344999999"/>
    <n v="16537728.784499999"/>
    <m/>
    <n v="0"/>
    <n v="0"/>
    <n v="16537728.784499999"/>
    <d v="2026-01-29T00:00:00"/>
    <x v="13"/>
    <n v="-5"/>
    <n v="-124"/>
    <m/>
    <d v="2026-06-09T00:00:00"/>
    <x v="0"/>
    <d v="2026-01-29T00:00:00"/>
    <n v="600"/>
    <n v="27562.8813075"/>
    <n v="-0.40864392249999071"/>
    <n v="27562.4726635775"/>
    <n v="271.55101693635618"/>
    <n v="27834.023680513856"/>
    <x v="0"/>
    <x v="0"/>
    <s v="TUCUMAN"/>
    <x v="0"/>
    <n v="32515"/>
    <n v="-4680.9763194861443"/>
    <n v="-0.14396359586302154"/>
    <n v="-2808585.7916916865"/>
    <n v="19509000"/>
    <n v="16700414.208308313"/>
    <n v="2.9000000000000001E-2"/>
    <n v="-68"/>
    <m/>
    <m/>
    <n v="0"/>
    <n v="1446.3009999999999"/>
    <n v="9450"/>
    <m/>
    <n v="9450"/>
    <n v="315"/>
    <n v="0"/>
    <n v="3.7551106849315068"/>
    <n v="318.75511068493148"/>
    <x v="0"/>
  </r>
  <r>
    <x v="0"/>
    <n v="1"/>
    <x v="0"/>
    <d v="2026-06-02T00:00:00"/>
    <x v="0"/>
    <s v="AZÚCAR CRUDO"/>
    <x v="1"/>
    <d v="2026-06-02T00:00:00"/>
    <n v="35000"/>
    <n v="455.58481499999999"/>
    <n v="15945468.525"/>
    <n v="3348548.3902500002"/>
    <n v="19294016.91525"/>
    <m/>
    <n v="0"/>
    <n v="0"/>
    <n v="19294016.91525"/>
    <d v="2026-01-29T00:00:00"/>
    <x v="13"/>
    <n v="-5"/>
    <n v="-124"/>
    <m/>
    <d v="2026-06-09T00:00:00"/>
    <x v="0"/>
    <d v="2026-01-29T00:00:00"/>
    <n v="700"/>
    <n v="27562.8813075"/>
    <n v="-0.40864392249999071"/>
    <n v="27562.4726635775"/>
    <n v="271.55101693635618"/>
    <n v="27834.023680513856"/>
    <x v="0"/>
    <x v="0"/>
    <s v="TUCUMAN"/>
    <x v="0"/>
    <n v="32515"/>
    <n v="-4680.9763194861443"/>
    <n v="-0.14396359586302154"/>
    <n v="-3276683.423640301"/>
    <n v="22760500"/>
    <n v="19483816.5763597"/>
    <n v="2.9000000000000001E-2"/>
    <n v="-68"/>
    <m/>
    <m/>
    <n v="0"/>
    <n v="1446.3009999999999"/>
    <n v="11025"/>
    <m/>
    <n v="11025"/>
    <n v="315"/>
    <n v="0"/>
    <n v="3.7551106849315068"/>
    <n v="318.75511068493148"/>
    <x v="0"/>
  </r>
  <r>
    <x v="0"/>
    <n v="1"/>
    <x v="0"/>
    <d v="2026-06-03T00:00:00"/>
    <x v="0"/>
    <s v="AZÚCAR CRUDO"/>
    <x v="1"/>
    <d v="2026-06-03T00:00:00"/>
    <n v="35000"/>
    <n v="455.58481499999999"/>
    <n v="15945468.525"/>
    <n v="3348548.3902500002"/>
    <n v="19294016.91525"/>
    <m/>
    <n v="0"/>
    <n v="0"/>
    <n v="19294016.91525"/>
    <d v="2026-01-29T00:00:00"/>
    <x v="14"/>
    <n v="-4"/>
    <n v="-125"/>
    <m/>
    <d v="2026-06-10T00:00:00"/>
    <x v="0"/>
    <d v="2026-01-29T00:00:00"/>
    <n v="700"/>
    <n v="27562.8813075"/>
    <n v="-0.40864392249999071"/>
    <n v="27562.4726635775"/>
    <n v="273.74094449229455"/>
    <n v="27836.213608069796"/>
    <x v="0"/>
    <x v="0"/>
    <s v="TUCUMAN"/>
    <x v="0"/>
    <n v="32515"/>
    <n v="-4678.7863919302035"/>
    <n v="-0.14389624456190075"/>
    <n v="-3275150.4743511425"/>
    <n v="22760500"/>
    <n v="19485349.525648858"/>
    <n v="2.9000000000000001E-2"/>
    <n v="-68"/>
    <m/>
    <m/>
    <n v="0"/>
    <n v="1446.3009999999999"/>
    <n v="11025"/>
    <m/>
    <n v="11025"/>
    <n v="315"/>
    <n v="0"/>
    <n v="3.7853938356164392"/>
    <n v="318.78539383561645"/>
    <x v="0"/>
  </r>
  <r>
    <x v="0"/>
    <n v="1"/>
    <x v="0"/>
    <d v="2026-06-04T00:00:00"/>
    <x v="0"/>
    <s v="AZÚCAR CRUDO"/>
    <x v="1"/>
    <d v="2026-06-04T00:00:00"/>
    <n v="35000"/>
    <n v="455.58481499999999"/>
    <n v="15945468.525"/>
    <n v="3348548.3902500002"/>
    <n v="19294016.91525"/>
    <m/>
    <n v="0"/>
    <n v="0"/>
    <n v="19294016.91525"/>
    <d v="2026-01-29T00:00:00"/>
    <x v="15"/>
    <n v="-3"/>
    <n v="-126"/>
    <m/>
    <d v="2026-06-11T00:00:00"/>
    <x v="0"/>
    <d v="2026-01-29T00:00:00"/>
    <n v="700"/>
    <n v="27562.8813075"/>
    <n v="-0.40864392249999071"/>
    <n v="27562.4726635775"/>
    <n v="275.93087204823286"/>
    <n v="27838.403535625734"/>
    <x v="0"/>
    <x v="0"/>
    <s v="TUCUMAN"/>
    <x v="0"/>
    <n v="32515"/>
    <n v="-4676.5964643742664"/>
    <n v="-0.14382889326078019"/>
    <n v="-3273617.5250619864"/>
    <n v="22760500"/>
    <n v="19486882.474938013"/>
    <n v="2.9000000000000001E-2"/>
    <n v="-68"/>
    <m/>
    <m/>
    <n v="0"/>
    <n v="1446.3009999999999"/>
    <n v="11025"/>
    <m/>
    <n v="11025"/>
    <n v="315"/>
    <n v="0"/>
    <n v="3.8156769863013698"/>
    <n v="318.81567698630136"/>
    <x v="0"/>
  </r>
  <r>
    <x v="0"/>
    <n v="1"/>
    <x v="0"/>
    <d v="2026-06-05T00:00:00"/>
    <x v="0"/>
    <s v="AZÚCAR CRUDO"/>
    <x v="1"/>
    <d v="2026-06-05T00:00:00"/>
    <n v="35000"/>
    <n v="455.58481499999999"/>
    <n v="15945468.525"/>
    <n v="3348548.3902500002"/>
    <n v="19294016.91525"/>
    <m/>
    <n v="0"/>
    <n v="0"/>
    <n v="19294016.91525"/>
    <d v="2026-01-29T00:00:00"/>
    <x v="16"/>
    <n v="-2"/>
    <n v="-127"/>
    <m/>
    <d v="2026-06-12T00:00:00"/>
    <x v="0"/>
    <d v="2026-01-29T00:00:00"/>
    <n v="700"/>
    <n v="27562.8813075"/>
    <n v="-0.40864392249999071"/>
    <n v="27562.4726635775"/>
    <n v="278.12079960417122"/>
    <n v="27840.593463181671"/>
    <x v="0"/>
    <x v="0"/>
    <s v="TUCUMAN"/>
    <x v="0"/>
    <n v="32515"/>
    <n v="-4674.4065368183292"/>
    <n v="-0.14376154195965951"/>
    <n v="-3272084.5757728303"/>
    <n v="22760500"/>
    <n v="19488415.424227171"/>
    <n v="2.9000000000000001E-2"/>
    <n v="-68"/>
    <m/>
    <m/>
    <n v="0"/>
    <n v="1446.3009999999999"/>
    <n v="11025"/>
    <m/>
    <n v="11025"/>
    <n v="315"/>
    <n v="0"/>
    <n v="3.8459601369863012"/>
    <n v="318.84596013698632"/>
    <x v="0"/>
  </r>
  <r>
    <x v="0"/>
    <n v="1"/>
    <x v="0"/>
    <d v="2026-06-05T00:00:00"/>
    <x v="0"/>
    <s v="AZÚCAR CRUDO"/>
    <x v="1"/>
    <d v="2026-06-05T00:00:00"/>
    <n v="35000"/>
    <n v="455.58481499999999"/>
    <n v="15945468.525"/>
    <n v="3348548.3902500002"/>
    <n v="19294016.91525"/>
    <m/>
    <n v="0"/>
    <n v="0"/>
    <n v="19294016.91525"/>
    <d v="2026-01-29T00:00:00"/>
    <x v="16"/>
    <n v="-2"/>
    <n v="-127"/>
    <m/>
    <d v="2026-06-12T00:00:00"/>
    <x v="0"/>
    <d v="2026-01-29T00:00:00"/>
    <n v="700"/>
    <n v="27562.8813075"/>
    <n v="-0.40864392249999071"/>
    <n v="27562.4726635775"/>
    <n v="278.12079960417122"/>
    <n v="27840.593463181671"/>
    <x v="0"/>
    <x v="0"/>
    <s v="TUCUMAN"/>
    <x v="0"/>
    <n v="32515"/>
    <n v="-4674.4065368183292"/>
    <n v="-0.14376154195965951"/>
    <n v="-3272084.5757728303"/>
    <n v="22760500"/>
    <n v="19488415.424227171"/>
    <n v="2.9000000000000001E-2"/>
    <n v="-68"/>
    <m/>
    <m/>
    <n v="0"/>
    <n v="1446.3009999999999"/>
    <n v="11025"/>
    <m/>
    <n v="11025"/>
    <n v="315"/>
    <n v="0"/>
    <n v="3.8459601369863012"/>
    <n v="318.84596013698632"/>
    <x v="0"/>
  </r>
  <r>
    <x v="0"/>
    <n v="1"/>
    <x v="0"/>
    <d v="2026-02-06T00:00:00"/>
    <x v="0"/>
    <s v="AZÚCAR CRUDO"/>
    <x v="1"/>
    <d v="2026-02-06T00:00:00"/>
    <n v="35000"/>
    <n v="455.58481499999999"/>
    <n v="15945468.525"/>
    <n v="3348548.3902500002"/>
    <n v="19294016.91525"/>
    <m/>
    <n v="0"/>
    <n v="0"/>
    <n v="19294016.91525"/>
    <d v="2026-01-29T00:00:00"/>
    <x v="17"/>
    <n v="-121"/>
    <n v="-8"/>
    <m/>
    <d v="2026-02-13T00:00:00"/>
    <x v="0"/>
    <d v="2026-01-29T00:00:00"/>
    <n v="700"/>
    <n v="27562.8813075"/>
    <n v="-0.40864392249999071"/>
    <n v="27562.4726635775"/>
    <n v="17.51942044750685"/>
    <n v="27579.992084025009"/>
    <x v="0"/>
    <x v="0"/>
    <s v="TUCUMAN"/>
    <x v="0"/>
    <n v="32515"/>
    <n v="-4935.0079159749912"/>
    <n v="-0.15177634679301832"/>
    <n v="-3454505.5411824938"/>
    <n v="22760500"/>
    <n v="19305994.458817504"/>
    <n v="2.9000000000000001E-2"/>
    <n v="-68"/>
    <m/>
    <m/>
    <n v="0"/>
    <n v="1446.3009999999999"/>
    <n v="11025"/>
    <m/>
    <n v="11025"/>
    <n v="315"/>
    <n v="0"/>
    <n v="0.24226520547945207"/>
    <n v="315.24226520547944"/>
    <x v="0"/>
  </r>
  <r>
    <x v="0"/>
    <n v="1"/>
    <x v="0"/>
    <d v="2026-02-06T00:00:00"/>
    <x v="0"/>
    <s v="AZÚCAR CRUDO"/>
    <x v="1"/>
    <d v="2026-02-06T00:00:00"/>
    <n v="35000"/>
    <n v="455.58481499999999"/>
    <n v="15945468.525"/>
    <n v="3348548.3902500002"/>
    <n v="19294016.91525"/>
    <m/>
    <n v="0"/>
    <n v="0"/>
    <n v="19294016.91525"/>
    <d v="2026-01-29T00:00:00"/>
    <x v="17"/>
    <n v="-121"/>
    <n v="-8"/>
    <m/>
    <d v="2026-02-13T00:00:00"/>
    <x v="0"/>
    <d v="2026-01-29T00:00:00"/>
    <n v="700"/>
    <n v="27562.8813075"/>
    <n v="-0.40864392249999071"/>
    <n v="27562.4726635775"/>
    <n v="17.51942044750685"/>
    <n v="27579.992084025009"/>
    <x v="0"/>
    <x v="0"/>
    <s v="TUCUMAN"/>
    <x v="0"/>
    <n v="32515"/>
    <n v="-4935.0079159749912"/>
    <n v="-0.15177634679301832"/>
    <n v="-3454505.5411824938"/>
    <n v="22760500"/>
    <n v="19305994.458817504"/>
    <n v="2.9000000000000001E-2"/>
    <n v="-68"/>
    <m/>
    <m/>
    <n v="0"/>
    <n v="1446.3009999999999"/>
    <n v="11025"/>
    <m/>
    <n v="11025"/>
    <n v="315"/>
    <n v="0"/>
    <n v="0.24226520547945207"/>
    <n v="315.24226520547944"/>
    <x v="0"/>
  </r>
  <r>
    <x v="0"/>
    <n v="1"/>
    <x v="0"/>
    <d v="2026-06-07T00:00:00"/>
    <x v="0"/>
    <s v="AZÚCAR CRUDO"/>
    <x v="1"/>
    <d v="2026-06-07T00:00:00"/>
    <n v="35000"/>
    <n v="455.58481499999999"/>
    <n v="15945468.525"/>
    <n v="3348548.3902500002"/>
    <n v="19294016.91525"/>
    <m/>
    <n v="0"/>
    <n v="0"/>
    <n v="19294016.91525"/>
    <d v="2026-01-29T00:00:00"/>
    <x v="18"/>
    <n v="0"/>
    <n v="-129"/>
    <m/>
    <d v="2026-06-14T00:00:00"/>
    <x v="0"/>
    <d v="2026-01-29T00:00:00"/>
    <n v="700"/>
    <n v="27562.8813075"/>
    <n v="-0.40864392249999071"/>
    <n v="27562.4726635775"/>
    <n v="282.50065471604796"/>
    <n v="27844.973318293549"/>
    <x v="0"/>
    <x v="0"/>
    <s v="TUCUMAN"/>
    <x v="0"/>
    <n v="32515"/>
    <n v="-4670.0266817064512"/>
    <n v="-0.14362683935741816"/>
    <n v="-3269018.6771945157"/>
    <n v="22760500"/>
    <n v="19491481.322805483"/>
    <n v="2.9000000000000001E-2"/>
    <n v="-68"/>
    <m/>
    <m/>
    <n v="0"/>
    <n v="1446.3009999999999"/>
    <n v="11025"/>
    <m/>
    <n v="11025"/>
    <n v="315"/>
    <n v="0"/>
    <n v="3.9065264383561646"/>
    <n v="318.90652643835614"/>
    <x v="0"/>
  </r>
  <r>
    <x v="0"/>
    <n v="1"/>
    <x v="1"/>
    <d v="2026-05-29T00:00:00"/>
    <x v="1"/>
    <s v="AZUCAR GRADO 4"/>
    <x v="1"/>
    <d v="2026-05-29T00:00:00"/>
    <n v="28006"/>
    <n v="647.26694459999999"/>
    <n v="18127358.050467599"/>
    <s v=""/>
    <n v="18127358.050467599"/>
    <n v="18127358.050467599"/>
    <n v="0"/>
    <n v="0"/>
    <n v="0"/>
    <d v="2026-05-29T00:00:00"/>
    <x v="19"/>
    <n v="-6"/>
    <n v="0"/>
    <m/>
    <d v="2026-06-08T00:00:00"/>
    <x v="1"/>
    <d v="2026-01-05T00:00:00"/>
    <n v="560.12"/>
    <n v="32363.347229999999"/>
    <n v="-6627"/>
    <n v="25736.347229999999"/>
    <n v="0"/>
    <n v="25736.347229999999"/>
    <x v="1"/>
    <x v="1"/>
    <s v="CHILE"/>
    <x v="1"/>
    <n v="25502.479338842975"/>
    <n v="233.86789115702413"/>
    <n v="9.1703982208828361E-3"/>
    <n v="130994.08319487236"/>
    <n v="14284448.727272727"/>
    <n v="14415442.810467599"/>
    <n v="2.9000000000000001E-2"/>
    <n v="6627.3065999999999"/>
    <n v="3"/>
    <m/>
    <n v="0"/>
    <n v="1472.7348"/>
    <n v="12308.637000000001"/>
    <m/>
    <n v="12308.637000000001"/>
    <n v="439.5"/>
    <n v="-89.999999999999986"/>
    <n v="0"/>
    <n v="349.5"/>
    <x v="1"/>
  </r>
  <r>
    <x v="0"/>
    <n v="1"/>
    <x v="1"/>
    <d v="2026-06-02T00:00:00"/>
    <x v="1"/>
    <s v="AZUCAR GRADO 4"/>
    <x v="1"/>
    <d v="2026-06-02T00:00:00"/>
    <n v="28006"/>
    <n v="647.26694459999999"/>
    <n v="18127358.050467599"/>
    <s v=""/>
    <n v="18127358.050467599"/>
    <n v="18127358.050467599"/>
    <n v="0"/>
    <n v="0"/>
    <n v="0"/>
    <d v="2026-06-02T00:00:00"/>
    <x v="16"/>
    <n v="-2"/>
    <n v="0"/>
    <m/>
    <d v="2026-06-12T00:00:00"/>
    <x v="1"/>
    <d v="2026-01-05T00:00:00"/>
    <n v="560.12"/>
    <n v="32363.347229999999"/>
    <n v="-6627"/>
    <n v="25736.347229999999"/>
    <n v="0"/>
    <n v="25736.347229999999"/>
    <x v="1"/>
    <x v="1"/>
    <s v="CHILE"/>
    <x v="1"/>
    <n v="25502.479338842975"/>
    <n v="233.86789115702413"/>
    <n v="9.1703982208828361E-3"/>
    <n v="130994.08319487236"/>
    <n v="14284448.727272727"/>
    <n v="14415442.810467599"/>
    <n v="2.9000000000000001E-2"/>
    <n v="6627.3065999999999"/>
    <n v="3"/>
    <m/>
    <n v="0"/>
    <n v="1472.7348"/>
    <n v="12308.637000000001"/>
    <m/>
    <n v="12308.637000000001"/>
    <n v="439.5"/>
    <n v="-89.999999999999986"/>
    <n v="0"/>
    <n v="349.5"/>
    <x v="1"/>
  </r>
  <r>
    <x v="0"/>
    <n v="1"/>
    <x v="1"/>
    <d v="2026-06-02T00:00:00"/>
    <x v="1"/>
    <s v="AZUCAR GRADO 4"/>
    <x v="1"/>
    <d v="2026-06-02T00:00:00"/>
    <n v="28006"/>
    <n v="647.26694459999999"/>
    <n v="18127358.050467599"/>
    <s v=""/>
    <n v="18127358.050467599"/>
    <n v="18127358.050467599"/>
    <n v="0"/>
    <n v="0"/>
    <n v="0"/>
    <d v="2026-06-02T00:00:00"/>
    <x v="16"/>
    <n v="-2"/>
    <n v="0"/>
    <m/>
    <d v="2026-06-12T00:00:00"/>
    <x v="1"/>
    <d v="2026-01-05T00:00:00"/>
    <n v="560.12"/>
    <n v="32363.347229999999"/>
    <n v="-6627"/>
    <n v="25736.347229999999"/>
    <n v="0"/>
    <n v="25736.347229999999"/>
    <x v="1"/>
    <x v="1"/>
    <s v="CHILE"/>
    <x v="1"/>
    <n v="25502.479338842975"/>
    <n v="233.86789115702413"/>
    <n v="9.1703982208828361E-3"/>
    <n v="130994.08319487236"/>
    <n v="14284448.727272727"/>
    <n v="14415442.810467599"/>
    <n v="2.9000000000000001E-2"/>
    <n v="6627.3065999999999"/>
    <n v="3"/>
    <m/>
    <n v="0"/>
    <n v="1472.7348"/>
    <n v="12308.637000000001"/>
    <m/>
    <n v="12308.637000000001"/>
    <n v="439.5"/>
    <n v="-89.999999999999986"/>
    <n v="0"/>
    <n v="349.5"/>
    <x v="1"/>
  </r>
  <r>
    <x v="0"/>
    <n v="1"/>
    <x v="1"/>
    <d v="2026-06-05T00:00:00"/>
    <x v="1"/>
    <s v="AZUCAR GRADO 4"/>
    <x v="1"/>
    <d v="2026-06-05T00:00:00"/>
    <n v="28006"/>
    <n v="647.26694459999999"/>
    <n v="18127358.050467599"/>
    <s v=""/>
    <n v="18127358.050467599"/>
    <n v="18127358.050467599"/>
    <n v="0"/>
    <n v="0"/>
    <n v="0"/>
    <d v="2026-06-05T00:00:00"/>
    <x v="20"/>
    <n v="1"/>
    <n v="0"/>
    <m/>
    <d v="2026-06-15T00:00:00"/>
    <x v="1"/>
    <d v="2026-01-05T00:00:00"/>
    <n v="560.12"/>
    <n v="32363.347229999999"/>
    <n v="-6627"/>
    <n v="25736.347229999999"/>
    <n v="0"/>
    <n v="25736.347229999999"/>
    <x v="1"/>
    <x v="1"/>
    <s v="CHILE"/>
    <x v="1"/>
    <n v="25502.479338842975"/>
    <n v="233.86789115702413"/>
    <n v="9.1703982208828361E-3"/>
    <n v="130994.08319487236"/>
    <n v="14284448.727272727"/>
    <n v="14415442.810467599"/>
    <n v="2.9000000000000001E-2"/>
    <n v="6627.3065999999999"/>
    <n v="3"/>
    <m/>
    <n v="0"/>
    <n v="1472.7348"/>
    <n v="12308.637000000001"/>
    <m/>
    <n v="12308.637000000001"/>
    <n v="439.5"/>
    <n v="-89.999999999999986"/>
    <n v="0"/>
    <n v="349.5"/>
    <x v="1"/>
  </r>
  <r>
    <x v="0"/>
    <n v="1"/>
    <x v="1"/>
    <d v="2026-06-05T00:00:00"/>
    <x v="1"/>
    <s v="AZUCAR GRADO 4"/>
    <x v="1"/>
    <d v="2026-06-05T00:00:00"/>
    <n v="28006"/>
    <n v="647.26694459999999"/>
    <n v="18127358.050467599"/>
    <s v=""/>
    <n v="18127358.050467599"/>
    <n v="18127358.050467599"/>
    <n v="0"/>
    <n v="0"/>
    <n v="0"/>
    <d v="2026-06-05T00:00:00"/>
    <x v="20"/>
    <n v="1"/>
    <n v="0"/>
    <m/>
    <d v="2026-06-15T00:00:00"/>
    <x v="1"/>
    <d v="2026-01-05T00:00:00"/>
    <n v="560.12"/>
    <n v="32363.347229999999"/>
    <n v="-6627"/>
    <n v="25736.347229999999"/>
    <n v="0"/>
    <n v="25736.347229999999"/>
    <x v="1"/>
    <x v="1"/>
    <s v="CHILE"/>
    <x v="1"/>
    <n v="25502.479338842975"/>
    <n v="233.86789115702413"/>
    <n v="9.1703982208828361E-3"/>
    <n v="130994.08319487236"/>
    <n v="14284448.727272727"/>
    <n v="14415442.810467599"/>
    <n v="2.9000000000000001E-2"/>
    <n v="6627.3065999999999"/>
    <n v="3"/>
    <m/>
    <n v="0"/>
    <n v="1472.7348"/>
    <n v="12308.637000000001"/>
    <m/>
    <n v="12308.637000000001"/>
    <n v="439.5"/>
    <n v="-89.999999999999986"/>
    <n v="0"/>
    <n v="349.5"/>
    <x v="1"/>
  </r>
  <r>
    <x v="0"/>
    <n v="1"/>
    <x v="1"/>
    <d v="2026-06-09T00:00:00"/>
    <x v="1"/>
    <s v="AZUCAR GRADO 4"/>
    <x v="1"/>
    <d v="2026-06-09T00:00:00"/>
    <n v="28006"/>
    <n v="647.26694459999999"/>
    <n v="18127358.050467599"/>
    <s v=""/>
    <n v="18127358.050467599"/>
    <n v="18127358.050467599"/>
    <n v="0"/>
    <n v="0"/>
    <n v="0"/>
    <d v="2026-06-09T00:00:00"/>
    <x v="21"/>
    <n v="5"/>
    <n v="0"/>
    <m/>
    <d v="2026-06-19T00:00:00"/>
    <x v="1"/>
    <d v="2026-01-05T00:00:00"/>
    <n v="560.12"/>
    <n v="32363.347229999999"/>
    <n v="-6627"/>
    <n v="25736.347229999999"/>
    <n v="0"/>
    <n v="25736.347229999999"/>
    <x v="1"/>
    <x v="1"/>
    <s v="CHILE"/>
    <x v="1"/>
    <n v="25502.479338842975"/>
    <n v="233.86789115702413"/>
    <n v="9.1703982208828361E-3"/>
    <n v="130994.08319487236"/>
    <n v="14284448.727272727"/>
    <n v="14415442.810467599"/>
    <n v="2.9000000000000001E-2"/>
    <n v="6627.3065999999999"/>
    <n v="3"/>
    <m/>
    <n v="0"/>
    <n v="1472.7348"/>
    <n v="12308.637000000001"/>
    <m/>
    <n v="12308.637000000001"/>
    <n v="439.5"/>
    <n v="-89.999999999999986"/>
    <n v="0"/>
    <n v="349.5"/>
    <x v="1"/>
  </r>
  <r>
    <x v="0"/>
    <n v="1"/>
    <x v="1"/>
    <d v="2026-06-09T00:00:00"/>
    <x v="1"/>
    <s v="AZUCAR GRADO 4"/>
    <x v="1"/>
    <d v="2026-06-09T00:00:00"/>
    <n v="28006"/>
    <n v="647.26694459999999"/>
    <n v="18127358.050467599"/>
    <s v=""/>
    <n v="18127358.050467599"/>
    <n v="18127358.050467599"/>
    <n v="0"/>
    <n v="0"/>
    <n v="0"/>
    <d v="2026-06-09T00:00:00"/>
    <x v="21"/>
    <n v="5"/>
    <n v="0"/>
    <m/>
    <d v="2026-06-19T00:00:00"/>
    <x v="1"/>
    <d v="2026-01-05T00:00:00"/>
    <n v="560.12"/>
    <n v="32363.347229999999"/>
    <n v="-6627"/>
    <n v="25736.347229999999"/>
    <n v="0"/>
    <n v="25736.347229999999"/>
    <x v="1"/>
    <x v="1"/>
    <s v="CHILE"/>
    <x v="1"/>
    <n v="25502.479338842975"/>
    <n v="233.86789115702413"/>
    <n v="9.1703982208828361E-3"/>
    <n v="130994.08319487236"/>
    <n v="14284448.727272727"/>
    <n v="14415442.810467599"/>
    <n v="2.9000000000000001E-2"/>
    <n v="6627.3065999999999"/>
    <n v="3"/>
    <m/>
    <n v="0"/>
    <n v="1472.7348"/>
    <n v="12308.637000000001"/>
    <m/>
    <n v="12308.637000000001"/>
    <n v="439.5"/>
    <n v="-89.999999999999986"/>
    <n v="0"/>
    <n v="349.5"/>
    <x v="1"/>
  </r>
  <r>
    <x v="0"/>
    <n v="1"/>
    <x v="1"/>
    <d v="2026-06-09T00:00:00"/>
    <x v="1"/>
    <s v="AZUCAR GRADO 4"/>
    <x v="1"/>
    <d v="2026-06-09T00:00:00"/>
    <n v="28006"/>
    <n v="647.26694459999999"/>
    <n v="18127358.050467599"/>
    <s v=""/>
    <n v="18127358.050467599"/>
    <n v="18127358.050467599"/>
    <n v="0"/>
    <n v="0"/>
    <n v="0"/>
    <d v="2026-06-09T00:00:00"/>
    <x v="21"/>
    <n v="5"/>
    <n v="0"/>
    <m/>
    <d v="2026-06-19T00:00:00"/>
    <x v="1"/>
    <d v="2026-01-05T00:00:00"/>
    <n v="560.12"/>
    <n v="32363.347229999999"/>
    <n v="-6627"/>
    <n v="25736.347229999999"/>
    <n v="0"/>
    <n v="25736.347229999999"/>
    <x v="1"/>
    <x v="1"/>
    <s v="CHILE"/>
    <x v="1"/>
    <n v="25502.479338842975"/>
    <n v="233.86789115702413"/>
    <n v="9.1703982208828361E-3"/>
    <n v="130994.08319487236"/>
    <n v="14284448.727272727"/>
    <n v="14415442.810467599"/>
    <n v="2.9000000000000001E-2"/>
    <n v="6627.3065999999999"/>
    <n v="3"/>
    <m/>
    <n v="0"/>
    <n v="1472.7348"/>
    <n v="12308.637000000001"/>
    <m/>
    <n v="12308.637000000001"/>
    <n v="439.5"/>
    <n v="-89.999999999999986"/>
    <n v="0"/>
    <n v="349.5"/>
    <x v="1"/>
  </r>
  <r>
    <x v="0"/>
    <n v="1"/>
    <x v="2"/>
    <d v="2026-05-31T00:00:00"/>
    <x v="2"/>
    <s v="AZUCAR COMUN TIPO A"/>
    <x v="1"/>
    <d v="2026-05-31T00:00:00"/>
    <n v="28000"/>
    <n v="675"/>
    <n v="18900000"/>
    <n v="3969000"/>
    <n v="22869000"/>
    <n v="0"/>
    <n v="0"/>
    <n v="0"/>
    <n v="22869000"/>
    <d v="2026-05-22T00:00:00"/>
    <x v="22"/>
    <n v="23"/>
    <n v="-9"/>
    <m/>
    <d v="2026-07-07T00:00:00"/>
    <x v="2"/>
    <d v="2026-05-07T00:00:00"/>
    <n v="560"/>
    <n v="40837.5"/>
    <n v="-2784.5124999999998"/>
    <n v="38052.987500000003"/>
    <n v="29.201609589041094"/>
    <n v="38082.189109589046"/>
    <x v="2"/>
    <x v="2"/>
    <s v="CORDOBA"/>
    <x v="2"/>
    <n v="36780"/>
    <n v="1302.189109589046"/>
    <n v="3.5404815377624965E-2"/>
    <n v="729225.90136986575"/>
    <n v="20596800"/>
    <n v="21326025.901369866"/>
    <n v="2.9000000000000001E-2"/>
    <n v="2200"/>
    <n v="30"/>
    <m/>
    <n v="0"/>
    <n v="1390.6369999999999"/>
    <n v="13590.893957229673"/>
    <m/>
    <n v="13590.893957229673"/>
    <n v="485.38906990105971"/>
    <n v="-31.640176408365377"/>
    <n v="0.41997458127521553"/>
    <n v="454.16886807396952"/>
    <x v="2"/>
  </r>
  <r>
    <x v="0"/>
    <n v="1"/>
    <x v="3"/>
    <d v="2026-06-07T00:00:00"/>
    <x v="2"/>
    <s v="AZUCAR COMUN TIPO A"/>
    <x v="1"/>
    <d v="2026-06-07T00:00:00"/>
    <n v="28000"/>
    <n v="710"/>
    <n v="19880000"/>
    <n v="4174800"/>
    <n v="24054800"/>
    <n v="24054800"/>
    <n v="0"/>
    <n v="0"/>
    <n v="0"/>
    <d v="2026-06-14T00:00:00"/>
    <x v="23"/>
    <n v="15"/>
    <n v="7"/>
    <m/>
    <d v="2026-06-29T00:00:00"/>
    <x v="3"/>
    <d v="2026-05-13T00:00:00"/>
    <n v="560"/>
    <n v="42955"/>
    <n v="-5271.3649999999998"/>
    <n v="37683.635000000002"/>
    <n v="-23.89004109589041"/>
    <n v="37659.744958904113"/>
    <x v="2"/>
    <x v="3"/>
    <s v="BUENOS AIRES"/>
    <x v="2"/>
    <n v="37095"/>
    <n v="564.74495890411345"/>
    <n v="1.522428787987895E-2"/>
    <n v="316257.17698630353"/>
    <n v="20773200"/>
    <n v="21089457.176986303"/>
    <n v="2.9000000000000001E-2"/>
    <n v="4250"/>
    <n v="15"/>
    <m/>
    <n v="0"/>
    <n v="1389.2073"/>
    <n v="14310.319273444647"/>
    <m/>
    <n v="14310.319273444647"/>
    <n v="511.08283119445173"/>
    <n v="-61.185972748631535"/>
    <n v="-0.34393774198984428"/>
    <n v="449.55292070383035"/>
    <x v="2"/>
  </r>
  <r>
    <x v="0"/>
    <n v="1"/>
    <x v="4"/>
    <d v="2026-06-02T00:00:00"/>
    <x v="2"/>
    <s v="AZUCAR COMUN TIPO A"/>
    <x v="1"/>
    <d v="2026-06-02T00:00:00"/>
    <n v="27500"/>
    <n v="705"/>
    <n v="19387500"/>
    <n v="4071375"/>
    <n v="23458875"/>
    <n v="23458875"/>
    <n v="0"/>
    <n v="0"/>
    <n v="0"/>
    <d v="2026-07-02T00:00:00"/>
    <x v="24"/>
    <n v="25"/>
    <n v="30"/>
    <m/>
    <d v="2026-07-09T00:00:00"/>
    <x v="4"/>
    <d v="2026-04-24T00:00:00"/>
    <n v="550"/>
    <n v="42652.5"/>
    <n v="-3576.4575"/>
    <n v="39076.042500000003"/>
    <n v="-101.66486301369864"/>
    <n v="38974.377636986304"/>
    <x v="3"/>
    <x v="4"/>
    <s v="BUENOS AIRES"/>
    <x v="2"/>
    <n v="35460"/>
    <n v="3514.3776369863044"/>
    <n v="9.9108224393296807E-2"/>
    <n v="1932907.7003424675"/>
    <n v="19503000"/>
    <n v="21435907.700342469"/>
    <n v="2.9000000000000001E-2"/>
    <n v="2850"/>
    <n v="30"/>
    <m/>
    <n v="0"/>
    <n v="1397.2063000000001"/>
    <n v="13875.903651450755"/>
    <m/>
    <n v="13875.903651450755"/>
    <n v="504.5783145982092"/>
    <n v="-40.79569352070628"/>
    <n v="-1.4552591555548904"/>
    <n v="462.32736192194807"/>
    <x v="2"/>
  </r>
  <r>
    <x v="0"/>
    <n v="1"/>
    <x v="4"/>
    <d v="2026-06-05T00:00:00"/>
    <x v="2"/>
    <s v="AZUCAR COMUN TIPO A"/>
    <x v="1"/>
    <d v="2026-06-05T00:00:00"/>
    <n v="27500"/>
    <n v="705"/>
    <n v="19387500"/>
    <n v="4071375"/>
    <n v="23458875"/>
    <n v="23458875"/>
    <n v="0"/>
    <n v="0"/>
    <n v="0"/>
    <d v="2026-07-05T00:00:00"/>
    <x v="25"/>
    <n v="28"/>
    <n v="30"/>
    <m/>
    <d v="2026-07-12T00:00:00"/>
    <x v="5"/>
    <d v="2026-04-24T00:00:00"/>
    <n v="550"/>
    <n v="42652.5"/>
    <n v="-3576.4575"/>
    <n v="39076.042500000003"/>
    <n v="-101.66486301369864"/>
    <n v="38974.377636986304"/>
    <x v="3"/>
    <x v="4"/>
    <s v="BUENOS AIRES"/>
    <x v="2"/>
    <n v="35460"/>
    <n v="3514.3776369863044"/>
    <n v="9.9108224393296807E-2"/>
    <n v="1932907.7003424675"/>
    <n v="19503000"/>
    <n v="21435907.700342469"/>
    <n v="2.9000000000000001E-2"/>
    <n v="2850"/>
    <n v="30"/>
    <m/>
    <n v="0"/>
    <n v="1397.2063000000001"/>
    <n v="13875.903651450755"/>
    <m/>
    <n v="13875.903651450755"/>
    <n v="504.5783145982092"/>
    <n v="-40.79569352070628"/>
    <n v="-1.4552591555548904"/>
    <n v="462.32736192194807"/>
    <x v="2"/>
  </r>
  <r>
    <x v="0"/>
    <n v="1"/>
    <x v="5"/>
    <d v="2026-06-01T00:00:00"/>
    <x v="2"/>
    <s v="AZUCAR COMUN TIPO A"/>
    <x v="0"/>
    <d v="2026-06-01T00:00:00"/>
    <n v="27500"/>
    <n v="738"/>
    <n v="20295000"/>
    <n v="4261950"/>
    <n v="24556950"/>
    <n v="0"/>
    <n v="24556950"/>
    <n v="0"/>
    <n v="0"/>
    <d v="2026-06-16T00:00:00"/>
    <x v="26"/>
    <n v="54"/>
    <n v="15"/>
    <m/>
    <d v="2026-08-07T00:00:00"/>
    <x v="6"/>
    <d v="2026-05-08T00:00:00"/>
    <n v="550"/>
    <n v="44649"/>
    <n v="-3582.4470000000001"/>
    <n v="41066.553"/>
    <n v="-53.211821917808223"/>
    <n v="41013.341178082192"/>
    <x v="3"/>
    <x v="5"/>
    <s v="BUENOS AIRES"/>
    <x v="2"/>
    <n v="37085"/>
    <n v="3928.3411780821916"/>
    <n v="0.10592803500289039"/>
    <n v="2160587.6479452052"/>
    <n v="20396750"/>
    <n v="22557337.647945207"/>
    <n v="2.9000000000000001E-2"/>
    <n v="2850"/>
    <n v="60"/>
    <m/>
    <n v="0"/>
    <n v="1394.1232"/>
    <n v="14557.536952257879"/>
    <m/>
    <n v="14557.536952257879"/>
    <n v="529.36498008210469"/>
    <n v="-40.88591309577231"/>
    <n v="-0.76337330757867339"/>
    <n v="487.71569367875372"/>
    <x v="3"/>
  </r>
  <r>
    <x v="0"/>
    <n v="1"/>
    <x v="5"/>
    <d v="2026-06-02T00:00:00"/>
    <x v="2"/>
    <s v="AZUCAR COMUN TIPO A"/>
    <x v="0"/>
    <d v="2026-06-02T00:00:00"/>
    <n v="27500"/>
    <n v="738"/>
    <n v="20295000"/>
    <n v="4261950"/>
    <n v="24556950"/>
    <n v="0"/>
    <n v="24556950"/>
    <n v="0"/>
    <n v="0"/>
    <d v="2026-06-17T00:00:00"/>
    <x v="27"/>
    <n v="55"/>
    <n v="15"/>
    <m/>
    <d v="2026-08-08T00:00:00"/>
    <x v="6"/>
    <d v="2026-05-08T00:00:00"/>
    <n v="550"/>
    <n v="44649"/>
    <n v="-3582.4470000000001"/>
    <n v="41066.553"/>
    <n v="-53.211821917808223"/>
    <n v="41013.341178082192"/>
    <x v="3"/>
    <x v="5"/>
    <s v="BUENOS AIRES"/>
    <x v="2"/>
    <n v="37085"/>
    <n v="3928.3411780821916"/>
    <n v="0.10592803500289039"/>
    <n v="2160587.6479452052"/>
    <n v="20396750"/>
    <n v="22557337.647945207"/>
    <n v="2.9000000000000001E-2"/>
    <n v="2850"/>
    <n v="60"/>
    <m/>
    <n v="0"/>
    <n v="1394.1232"/>
    <n v="14557.536952257879"/>
    <m/>
    <n v="14557.536952257879"/>
    <n v="529.36498008210469"/>
    <n v="-40.88591309577231"/>
    <n v="-0.76337330757867339"/>
    <n v="487.71569367875372"/>
    <x v="3"/>
  </r>
  <r>
    <x v="0"/>
    <n v="1"/>
    <x v="5"/>
    <d v="2026-06-03T00:00:00"/>
    <x v="2"/>
    <s v="AZUCAR COMUN TIPO A"/>
    <x v="1"/>
    <d v="2026-06-03T00:00:00"/>
    <n v="27500"/>
    <n v="738"/>
    <n v="20295000"/>
    <n v="4261950"/>
    <n v="24556950"/>
    <n v="24556950"/>
    <n v="0"/>
    <n v="0"/>
    <n v="0"/>
    <d v="2026-06-18T00:00:00"/>
    <x v="28"/>
    <n v="56"/>
    <n v="15"/>
    <m/>
    <d v="2026-08-09T00:00:00"/>
    <x v="6"/>
    <d v="2026-05-08T00:00:00"/>
    <n v="550"/>
    <n v="44649"/>
    <n v="-3582.4470000000001"/>
    <n v="41066.553"/>
    <n v="-53.211821917808223"/>
    <n v="41013.341178082192"/>
    <x v="3"/>
    <x v="5"/>
    <s v="BUENOS AIRES"/>
    <x v="2"/>
    <n v="37085"/>
    <n v="3928.3411780821916"/>
    <n v="0.10592803500289039"/>
    <n v="2160587.6479452052"/>
    <n v="20396750"/>
    <n v="22557337.647945207"/>
    <n v="2.9000000000000001E-2"/>
    <n v="2850"/>
    <n v="60"/>
    <m/>
    <n v="0"/>
    <n v="1394.1232"/>
    <n v="14557.536952257879"/>
    <m/>
    <n v="14557.536952257879"/>
    <n v="529.36498008210469"/>
    <n v="-40.88591309577231"/>
    <n v="-0.76337330757867339"/>
    <n v="487.71569367875372"/>
    <x v="3"/>
  </r>
  <r>
    <x v="0"/>
    <n v="1"/>
    <x v="5"/>
    <d v="2026-05-29T00:00:00"/>
    <x v="2"/>
    <s v="AZUCAR COMUN TIPO A"/>
    <x v="1"/>
    <d v="2026-05-29T00:00:00"/>
    <n v="26000"/>
    <n v="748"/>
    <n v="19448000"/>
    <n v="4084080"/>
    <n v="23532080"/>
    <n v="23532080"/>
    <n v="0"/>
    <n v="0"/>
    <n v="0"/>
    <d v="2026-06-13T00:00:00"/>
    <x v="29"/>
    <n v="51"/>
    <n v="15"/>
    <m/>
    <d v="2026-08-04T00:00:00"/>
    <x v="7"/>
    <d v="2026-05-08T00:00:00"/>
    <n v="520"/>
    <n v="45254"/>
    <n v="-3584.2620000000002"/>
    <n v="41669.737999999998"/>
    <n v="-53.932849315068495"/>
    <n v="41615.80515068493"/>
    <x v="4"/>
    <x v="5"/>
    <s v="BUENOS AIRES"/>
    <x v="2"/>
    <n v="37085"/>
    <n v="4530.8051506849297"/>
    <n v="0.12217352435445417"/>
    <n v="2356018.6783561632"/>
    <n v="19284200"/>
    <n v="21640218.678356163"/>
    <n v="2.9000000000000001E-2"/>
    <n v="2850"/>
    <n v="60"/>
    <m/>
    <n v="0"/>
    <n v="1394.1232"/>
    <n v="13949.986629589121"/>
    <m/>
    <n v="13949.986629589121"/>
    <n v="536.53794729188928"/>
    <n v="-40.88591309577231"/>
    <n v="-0.77371711933448195"/>
    <n v="494.87831707678248"/>
    <x v="3"/>
  </r>
  <r>
    <x v="0"/>
    <n v="1"/>
    <x v="5"/>
    <d v="2026-06-04T00:00:00"/>
    <x v="2"/>
    <s v="AZUCAR COMUN TIPO A"/>
    <x v="1"/>
    <d v="2026-06-04T00:00:00"/>
    <n v="26000"/>
    <n v="748"/>
    <n v="19448000"/>
    <n v="4084080"/>
    <n v="23532080"/>
    <n v="23532080"/>
    <n v="0"/>
    <n v="0"/>
    <n v="0"/>
    <d v="2026-06-19T00:00:00"/>
    <x v="30"/>
    <n v="57"/>
    <n v="15"/>
    <m/>
    <d v="2026-08-10T00:00:00"/>
    <x v="7"/>
    <d v="2026-05-08T00:00:00"/>
    <n v="520"/>
    <n v="45254"/>
    <n v="-3584.2620000000002"/>
    <n v="41669.737999999998"/>
    <n v="-53.932849315068495"/>
    <n v="41615.80515068493"/>
    <x v="4"/>
    <x v="5"/>
    <s v="BUENOS AIRES"/>
    <x v="2"/>
    <n v="37085"/>
    <n v="4530.8051506849297"/>
    <n v="0.12217352435445417"/>
    <n v="2356018.6783561632"/>
    <n v="19284200"/>
    <n v="21640218.678356163"/>
    <n v="2.9000000000000001E-2"/>
    <n v="2850"/>
    <n v="60"/>
    <m/>
    <n v="0"/>
    <n v="1394.1232"/>
    <n v="13949.986629589121"/>
    <m/>
    <n v="13949.986629589121"/>
    <n v="536.53794729188928"/>
    <n v="-40.88591309577231"/>
    <n v="-0.77371711933448195"/>
    <n v="494.87831707678248"/>
    <x v="3"/>
  </r>
  <r>
    <x v="0"/>
    <n v="1"/>
    <x v="5"/>
    <d v="2026-05-05T00:00:00"/>
    <x v="2"/>
    <s v="AZUCAR COMUN TIPO A"/>
    <x v="1"/>
    <d v="2026-05-05T00:00:00"/>
    <n v="26000"/>
    <n v="748"/>
    <n v="19448000"/>
    <n v="4084080"/>
    <n v="23532080"/>
    <n v="23532080"/>
    <n v="0"/>
    <n v="0"/>
    <n v="0"/>
    <d v="2026-05-20T00:00:00"/>
    <x v="31"/>
    <n v="27"/>
    <n v="15"/>
    <m/>
    <d v="2026-07-11T00:00:00"/>
    <x v="7"/>
    <d v="2026-05-08T00:00:00"/>
    <n v="520"/>
    <n v="45254"/>
    <n v="-3584.2620000000002"/>
    <n v="41669.737999999998"/>
    <n v="-53.932849315068495"/>
    <n v="41615.80515068493"/>
    <x v="4"/>
    <x v="5"/>
    <s v="BUENOS AIRES"/>
    <x v="2"/>
    <n v="37085"/>
    <n v="4530.8051506849297"/>
    <n v="0.12217352435445417"/>
    <n v="2356018.6783561632"/>
    <n v="19284200"/>
    <n v="21640218.678356163"/>
    <n v="2.9000000000000001E-2"/>
    <n v="2850"/>
    <n v="60"/>
    <m/>
    <n v="0"/>
    <n v="1394.1232"/>
    <n v="13949.986629589121"/>
    <m/>
    <n v="13949.986629589121"/>
    <n v="536.53794729188928"/>
    <n v="-40.88591309577231"/>
    <n v="-0.77371711933448195"/>
    <n v="494.87831707678248"/>
    <x v="3"/>
  </r>
  <r>
    <x v="0"/>
    <n v="1"/>
    <x v="6"/>
    <d v="2026-05-29T00:00:00"/>
    <x v="2"/>
    <s v="AZUCAR COMUN TIPO A"/>
    <x v="1"/>
    <d v="2026-05-29T00:00:00"/>
    <n v="40000"/>
    <n v="495.86776859504135"/>
    <n v="19834710.743801653"/>
    <n v="4165289.2561983471"/>
    <n v="24000000"/>
    <n v="0"/>
    <n v="0"/>
    <n v="0"/>
    <n v="24000000"/>
    <d v="2026-03-12T00:00:00"/>
    <x v="32"/>
    <n v="-9"/>
    <n v="-78"/>
    <m/>
    <d v="2026-06-05T00:00:00"/>
    <x v="8"/>
    <d v="2026-03-13T00:00:00"/>
    <n v="800"/>
    <n v="30000"/>
    <n v="0.14499999999999602"/>
    <n v="30000.145"/>
    <n v="185.91780821917808"/>
    <n v="30186.06280821918"/>
    <x v="2"/>
    <x v="0"/>
    <s v="TUCUMAN"/>
    <x v="3"/>
    <n v="35314"/>
    <n v="-5127.9371917808203"/>
    <n v="-0.14520975227334254"/>
    <n v="-4102349.7534246561"/>
    <n v="28251200"/>
    <n v="24148850.246575344"/>
    <n v="2.9000000000000001E-2"/>
    <n v="-74.5"/>
    <n v="0"/>
    <s v="PREVENTA ZAFRA 26"/>
    <n v="0"/>
    <n v="1392.9851000000001"/>
    <n v="14238.997060199461"/>
    <m/>
    <n v="14238.997060199461"/>
    <n v="355.97492650498651"/>
    <n v="1.0696453249930669"/>
    <n v="2.6693438173772006"/>
    <n v="359.71391564735677"/>
    <x v="4"/>
  </r>
  <r>
    <x v="0"/>
    <n v="1"/>
    <x v="6"/>
    <d v="2026-05-29T00:00:00"/>
    <x v="2"/>
    <s v="AZUCAR COMUN TIPO A"/>
    <x v="1"/>
    <d v="2026-05-29T00:00:00"/>
    <n v="40000"/>
    <n v="495.86776859504135"/>
    <n v="19834710.743801653"/>
    <n v="4165289.2561983471"/>
    <n v="24000000"/>
    <n v="0"/>
    <n v="0"/>
    <n v="0"/>
    <n v="24000000"/>
    <d v="2026-03-12T00:00:00"/>
    <x v="32"/>
    <n v="-9"/>
    <n v="-78"/>
    <m/>
    <d v="2026-06-05T00:00:00"/>
    <x v="8"/>
    <d v="2026-03-13T00:00:00"/>
    <n v="800"/>
    <n v="30000"/>
    <n v="0.14499999999999602"/>
    <n v="30000.145"/>
    <n v="185.91780821917808"/>
    <n v="30186.06280821918"/>
    <x v="2"/>
    <x v="0"/>
    <s v="TUCUMAN"/>
    <x v="3"/>
    <n v="35314"/>
    <n v="-5127.9371917808203"/>
    <n v="-0.14520975227334254"/>
    <n v="-4102349.7534246561"/>
    <n v="28251200"/>
    <n v="24148850.246575344"/>
    <n v="2.9000000000000001E-2"/>
    <n v="-74.5"/>
    <n v="0"/>
    <s v="PREVENTA ZAFRA 26"/>
    <n v="0"/>
    <n v="1392.9851000000001"/>
    <n v="14238.997060199461"/>
    <m/>
    <n v="14238.997060199461"/>
    <n v="355.97492650498651"/>
    <n v="1.0696453249930669"/>
    <n v="2.6693438173772006"/>
    <n v="359.71391564735677"/>
    <x v="4"/>
  </r>
  <r>
    <x v="0"/>
    <n v="1"/>
    <x v="6"/>
    <d v="2026-05-30T00:00:00"/>
    <x v="2"/>
    <s v="AZUCAR COMUN TIPO A"/>
    <x v="1"/>
    <d v="2026-05-30T00:00:00"/>
    <n v="40000"/>
    <n v="495.86776859504135"/>
    <n v="19834710.743801653"/>
    <n v="4165289.2561983471"/>
    <n v="24000000"/>
    <n v="0"/>
    <n v="0"/>
    <n v="0"/>
    <n v="24000000"/>
    <d v="2026-03-12T00:00:00"/>
    <x v="33"/>
    <n v="-8"/>
    <n v="-79"/>
    <m/>
    <d v="2026-06-06T00:00:00"/>
    <x v="8"/>
    <d v="2026-03-13T00:00:00"/>
    <n v="800"/>
    <n v="30000"/>
    <n v="0.14499999999999602"/>
    <n v="30000.145"/>
    <n v="188.30136986301372"/>
    <n v="30188.446369863013"/>
    <x v="2"/>
    <x v="0"/>
    <s v="TUCUMAN"/>
    <x v="3"/>
    <n v="35314"/>
    <n v="-5125.5536301369866"/>
    <n v="-0.14514225604964004"/>
    <n v="-4100442.9041095893"/>
    <n v="28251200"/>
    <n v="24150757.09589041"/>
    <n v="2.9000000000000001E-2"/>
    <n v="-74.5"/>
    <n v="0"/>
    <s v="PREVENTA ZAFRA 26"/>
    <n v="0"/>
    <n v="1392.9851000000001"/>
    <n v="14238.997060199461"/>
    <m/>
    <n v="14238.997060199461"/>
    <n v="355.97492650498651"/>
    <n v="1.0696453249930669"/>
    <n v="2.7035661740102417"/>
    <n v="359.74813800398982"/>
    <x v="4"/>
  </r>
  <r>
    <x v="0"/>
    <n v="1"/>
    <x v="7"/>
    <d v="2026-05-27T00:00:00"/>
    <x v="2"/>
    <s v="AZÚCAR BAJA CALIDAD Z26"/>
    <x v="0"/>
    <d v="2026-05-27T00:00:00"/>
    <n v="30000"/>
    <n v="495.86776859504135"/>
    <n v="14876033.05785124"/>
    <n v="3123966.9421487604"/>
    <n v="18000000"/>
    <n v="0"/>
    <n v="0"/>
    <n v="0"/>
    <n v="18000000"/>
    <d v="2026-05-14T00:00:00"/>
    <x v="34"/>
    <n v="4"/>
    <n v="-13"/>
    <m/>
    <d v="2026-06-18T00:00:00"/>
    <x v="0"/>
    <d v="2026-05-14T00:00:00"/>
    <n v="600"/>
    <n v="30000"/>
    <n v="0.14499999999999602"/>
    <n v="30000.145"/>
    <n v="30.986301369863018"/>
    <n v="30031.131301369864"/>
    <x v="2"/>
    <x v="0"/>
    <s v="TUCUMAN"/>
    <x v="2"/>
    <n v="37097"/>
    <n v="-7065.8686986301364"/>
    <n v="-0.19047008379734576"/>
    <n v="-4239521.2191780815"/>
    <n v="22258200"/>
    <n v="18018678.780821919"/>
    <n v="2.9000000000000001E-2"/>
    <n v="-74.5"/>
    <n v="15"/>
    <m/>
    <n v="0"/>
    <n v="1393.2321999999999"/>
    <n v="10677.353751837807"/>
    <m/>
    <n v="10677.353751837807"/>
    <n v="355.91179172792692"/>
    <n v="1.0694556155104655"/>
    <n v="0.44481173159596832"/>
    <n v="357.42605907503338"/>
    <x v="4"/>
  </r>
  <r>
    <x v="0"/>
    <n v="1"/>
    <x v="7"/>
    <d v="2026-05-31T00:00:00"/>
    <x v="2"/>
    <s v="AZÚCAR BAJA CALIDAD Z26"/>
    <x v="0"/>
    <d v="2026-05-31T00:00:00"/>
    <n v="30000"/>
    <n v="495.86776859504135"/>
    <n v="14876033.05785124"/>
    <n v="3123966.9421487604"/>
    <n v="18000000"/>
    <n v="0"/>
    <n v="0"/>
    <n v="0"/>
    <n v="18000000"/>
    <d v="2026-05-14T00:00:00"/>
    <x v="35"/>
    <n v="8"/>
    <n v="-17"/>
    <m/>
    <d v="2026-06-22T00:00:00"/>
    <x v="0"/>
    <d v="2026-05-14T00:00:00"/>
    <n v="600"/>
    <n v="30000"/>
    <n v="0.14499999999999602"/>
    <n v="30000.145"/>
    <n v="40.520547945205486"/>
    <n v="30040.665547945206"/>
    <x v="2"/>
    <x v="0"/>
    <s v="TUCUMAN"/>
    <x v="2"/>
    <n v="37097"/>
    <n v="-7056.3344520547944"/>
    <n v="-0.1902130752366713"/>
    <n v="-4233800.6712328764"/>
    <n v="22258200"/>
    <n v="18024399.328767125"/>
    <n v="2.9000000000000001E-2"/>
    <n v="-74.5"/>
    <n v="15"/>
    <m/>
    <n v="0"/>
    <n v="1393.2321999999999"/>
    <n v="10677.353751837807"/>
    <m/>
    <n v="10677.353751837807"/>
    <n v="355.91179172792692"/>
    <n v="1.0694556155104655"/>
    <n v="0.58167687977934313"/>
    <n v="357.56292422321678"/>
    <x v="4"/>
  </r>
  <r>
    <x v="0"/>
    <n v="1"/>
    <x v="7"/>
    <d v="2026-06-03T00:00:00"/>
    <x v="2"/>
    <s v="AZÚCAR BAJA CALIDAD Z26"/>
    <x v="0"/>
    <d v="2026-06-03T00:00:00"/>
    <n v="30000"/>
    <n v="495.86776859504135"/>
    <n v="14876033.05785124"/>
    <n v="3123966.9421487604"/>
    <n v="18000000"/>
    <n v="0"/>
    <n v="0"/>
    <n v="0"/>
    <n v="18000000"/>
    <d v="2026-05-14T00:00:00"/>
    <x v="36"/>
    <n v="26"/>
    <n v="-20"/>
    <m/>
    <d v="2026-07-10T00:00:00"/>
    <x v="0"/>
    <d v="2026-05-14T00:00:00"/>
    <n v="600"/>
    <n v="30000"/>
    <n v="0.14499999999999602"/>
    <n v="30000.145"/>
    <n v="47.671232876712331"/>
    <n v="30047.816232876714"/>
    <x v="2"/>
    <x v="0"/>
    <s v="TUCUMAN"/>
    <x v="2"/>
    <n v="37097"/>
    <n v="-7049.1837671232861"/>
    <n v="-0.19002031881616532"/>
    <n v="-4229510.2602739716"/>
    <n v="22258200"/>
    <n v="18028689.739726029"/>
    <n v="2.9000000000000001E-2"/>
    <n v="-74.5"/>
    <n v="30"/>
    <m/>
    <n v="0"/>
    <n v="1393.2321999999999"/>
    <n v="10677.353751837807"/>
    <m/>
    <n v="10677.353751837807"/>
    <n v="355.91179172792692"/>
    <n v="1.0694556155104655"/>
    <n v="0.68432574091687426"/>
    <n v="357.66557308435426"/>
    <x v="4"/>
  </r>
  <r>
    <x v="0"/>
    <n v="1"/>
    <x v="7"/>
    <d v="2026-06-05T00:00:00"/>
    <x v="2"/>
    <s v="AZÚCAR BAJA CALIDAD Z26"/>
    <x v="1"/>
    <d v="2026-06-05T00:00:00"/>
    <n v="30000"/>
    <n v="495.86776859504135"/>
    <n v="14876033.05785124"/>
    <n v="3123966.9421487604"/>
    <n v="18000000"/>
    <n v="0"/>
    <n v="0"/>
    <n v="0"/>
    <n v="18000000"/>
    <d v="2026-05-14T00:00:00"/>
    <x v="25"/>
    <n v="28"/>
    <n v="-22"/>
    <m/>
    <d v="2026-07-12T00:00:00"/>
    <x v="0"/>
    <d v="2026-05-14T00:00:00"/>
    <n v="600"/>
    <n v="30000"/>
    <n v="0.14499999999999602"/>
    <n v="30000.145"/>
    <n v="52.438356164383563"/>
    <n v="30052.583356164385"/>
    <x v="2"/>
    <x v="0"/>
    <s v="TUCUMAN"/>
    <x v="2"/>
    <n v="37097"/>
    <n v="-7044.4166438356151"/>
    <n v="-0.18989181453582815"/>
    <n v="-4226649.986301369"/>
    <n v="22258200"/>
    <n v="18031550.01369863"/>
    <n v="2.9000000000000001E-2"/>
    <n v="-74.5"/>
    <n v="30"/>
    <m/>
    <n v="0"/>
    <n v="1393.2321999999999"/>
    <n v="10677.353751837807"/>
    <m/>
    <n v="10677.353751837807"/>
    <n v="355.91179172792692"/>
    <n v="1.0694556155104655"/>
    <n v="0.75275831500856161"/>
    <n v="357.73400565844599"/>
    <x v="4"/>
  </r>
  <r>
    <x v="0"/>
    <n v="1"/>
    <x v="7"/>
    <d v="2026-06-06T00:00:00"/>
    <x v="2"/>
    <s v="AZÚCAR BAJA CALIDAD Z26"/>
    <x v="1"/>
    <d v="2026-06-06T00:00:00"/>
    <n v="30000"/>
    <n v="495.86776859504135"/>
    <n v="14876033.05785124"/>
    <n v="3123966.9421487604"/>
    <n v="18000000"/>
    <n v="0"/>
    <n v="0"/>
    <n v="0"/>
    <n v="18000000"/>
    <d v="2026-05-14T00:00:00"/>
    <x v="37"/>
    <n v="29"/>
    <n v="-23"/>
    <m/>
    <d v="2026-07-13T00:00:00"/>
    <x v="0"/>
    <d v="2026-05-14T00:00:00"/>
    <n v="600"/>
    <n v="30000"/>
    <n v="0.14499999999999602"/>
    <n v="30000.145"/>
    <n v="54.821917808219183"/>
    <n v="30054.966917808219"/>
    <x v="2"/>
    <x v="0"/>
    <s v="TUCUMAN"/>
    <x v="2"/>
    <n v="37097"/>
    <n v="-7042.0330821917814"/>
    <n v="-0.18982756239565957"/>
    <n v="-4225219.8493150687"/>
    <n v="22258200"/>
    <n v="18032980.15068493"/>
    <n v="2.9000000000000001E-2"/>
    <n v="-74.5"/>
    <n v="30"/>
    <m/>
    <n v="0"/>
    <n v="1393.2321999999999"/>
    <n v="10677.353751837807"/>
    <m/>
    <n v="10677.353751837807"/>
    <n v="355.91179172792692"/>
    <n v="1.0694556155104655"/>
    <n v="0.78697460205440528"/>
    <n v="357.7682219454918"/>
    <x v="4"/>
  </r>
  <r>
    <x v="0"/>
    <n v="1"/>
    <x v="8"/>
    <d v="2026-06-01T00:00:00"/>
    <x v="2"/>
    <s v="AZUCAR COMUN TIPO A"/>
    <x v="0"/>
    <d v="2026-06-01T00:00:00"/>
    <n v="28000"/>
    <n v="699"/>
    <n v="19572000"/>
    <n v="4110120"/>
    <n v="23682120"/>
    <n v="0"/>
    <n v="23682120"/>
    <n v="0"/>
    <n v="0"/>
    <d v="2026-06-08T00:00:00"/>
    <x v="38"/>
    <n v="24"/>
    <n v="7"/>
    <m/>
    <d v="2026-07-08T00:00:00"/>
    <x v="9"/>
    <d v="2026-04-29T00:00:00"/>
    <n v="560"/>
    <n v="42289.5"/>
    <n v="-3030.8685"/>
    <n v="39258.631500000003"/>
    <n v="-23.519913698630138"/>
    <n v="39235.111586301377"/>
    <x v="2"/>
    <x v="2"/>
    <s v="CORDOBA"/>
    <x v="2"/>
    <n v="35900"/>
    <n v="3335.1115863013765"/>
    <n v="9.2900044186667863E-2"/>
    <n v="1867662.4883287707"/>
    <n v="20104000"/>
    <n v="21971662.48832877"/>
    <n v="2.9000000000000001E-2"/>
    <n v="2400"/>
    <n v="30"/>
    <m/>
    <n v="0"/>
    <n v="1395.2865999999999"/>
    <n v="14027.225661021901"/>
    <m/>
    <n v="14027.225661021901"/>
    <n v="500.97234503649645"/>
    <n v="-34.401534423107051"/>
    <n v="-0.33713380030497159"/>
    <n v="466.23367681308446"/>
    <x v="2"/>
  </r>
  <r>
    <x v="0"/>
    <n v="1"/>
    <x v="8"/>
    <d v="2026-06-04T00:00:00"/>
    <x v="2"/>
    <s v="AZUCAR COMUN TIPO A"/>
    <x v="1"/>
    <d v="2026-06-04T00:00:00"/>
    <n v="28000"/>
    <n v="699"/>
    <n v="19572000"/>
    <n v="4110120"/>
    <n v="23682120"/>
    <n v="23682120"/>
    <n v="0"/>
    <n v="0"/>
    <n v="0"/>
    <d v="2026-06-11T00:00:00"/>
    <x v="31"/>
    <n v="27"/>
    <n v="7"/>
    <m/>
    <d v="2026-07-11T00:00:00"/>
    <x v="9"/>
    <d v="2026-04-29T00:00:00"/>
    <n v="560"/>
    <n v="42289.5"/>
    <n v="-3030.8685"/>
    <n v="39258.631500000003"/>
    <n v="-23.519913698630138"/>
    <n v="39235.111586301377"/>
    <x v="2"/>
    <x v="2"/>
    <s v="CORDOBA"/>
    <x v="2"/>
    <n v="35900"/>
    <n v="3335.1115863013765"/>
    <n v="9.2900044186667863E-2"/>
    <n v="1867662.4883287707"/>
    <n v="20104000"/>
    <n v="21971662.48832877"/>
    <n v="2.9000000000000001E-2"/>
    <n v="2400"/>
    <n v="30"/>
    <m/>
    <n v="0"/>
    <n v="1395.2865999999999"/>
    <n v="14027.225661021901"/>
    <m/>
    <n v="14027.225661021901"/>
    <n v="500.97234503649645"/>
    <n v="-34.401534423107051"/>
    <n v="-0.33713380030497159"/>
    <n v="466.23367681308446"/>
    <x v="2"/>
  </r>
  <r>
    <x v="0"/>
    <n v="1"/>
    <x v="8"/>
    <d v="2026-06-07T00:00:00"/>
    <x v="2"/>
    <s v="AZUCAR COMUN TIPO A"/>
    <x v="1"/>
    <d v="2026-06-07T00:00:00"/>
    <n v="28000"/>
    <n v="699"/>
    <n v="19572000"/>
    <n v="4110120"/>
    <n v="23682120"/>
    <n v="23682120"/>
    <n v="0"/>
    <n v="0"/>
    <n v="0"/>
    <d v="2026-06-14T00:00:00"/>
    <x v="39"/>
    <n v="30"/>
    <n v="7"/>
    <m/>
    <d v="2026-07-14T00:00:00"/>
    <x v="9"/>
    <d v="2026-04-29T00:00:00"/>
    <n v="560"/>
    <n v="42289.5"/>
    <n v="-3030.8685"/>
    <n v="39258.631500000003"/>
    <n v="-23.519913698630138"/>
    <n v="39235.111586301377"/>
    <x v="2"/>
    <x v="2"/>
    <s v="CORDOBA"/>
    <x v="2"/>
    <n v="35900"/>
    <n v="3335.1115863013765"/>
    <n v="9.2900044186667863E-2"/>
    <n v="1867662.4883287707"/>
    <n v="20104000"/>
    <n v="21971662.48832877"/>
    <n v="2.9000000000000001E-2"/>
    <n v="2400"/>
    <n v="30"/>
    <m/>
    <n v="0"/>
    <n v="1395.2865999999999"/>
    <n v="14027.225661021901"/>
    <m/>
    <n v="14027.225661021901"/>
    <n v="500.97234503649645"/>
    <n v="-34.401534423107051"/>
    <n v="-0.33713380030497159"/>
    <n v="466.23367681308446"/>
    <x v="2"/>
  </r>
  <r>
    <x v="0"/>
    <n v="1"/>
    <x v="8"/>
    <d v="2026-06-08T00:00:00"/>
    <x v="2"/>
    <s v="AZUCAR COMUN TIPO A"/>
    <x v="1"/>
    <d v="2026-06-08T00:00:00"/>
    <n v="28000"/>
    <n v="699"/>
    <n v="19572000"/>
    <n v="4110120"/>
    <n v="23682120"/>
    <n v="23682120"/>
    <n v="0"/>
    <n v="0"/>
    <n v="0"/>
    <d v="2026-06-15T00:00:00"/>
    <x v="40"/>
    <n v="31"/>
    <n v="7"/>
    <m/>
    <d v="2026-07-15T00:00:00"/>
    <x v="9"/>
    <d v="2026-04-29T00:00:00"/>
    <n v="560"/>
    <n v="42289.5"/>
    <n v="-3030.8685"/>
    <n v="39258.631500000003"/>
    <n v="-23.519913698630138"/>
    <n v="39235.111586301377"/>
    <x v="2"/>
    <x v="2"/>
    <s v="CORDOBA"/>
    <x v="2"/>
    <n v="35900"/>
    <n v="3335.1115863013765"/>
    <n v="9.2900044186667863E-2"/>
    <n v="1867662.4883287707"/>
    <n v="20104000"/>
    <n v="21971662.48832877"/>
    <n v="2.9000000000000001E-2"/>
    <n v="2400"/>
    <n v="30"/>
    <m/>
    <n v="0"/>
    <n v="1395.2865999999999"/>
    <n v="14027.225661021901"/>
    <m/>
    <n v="14027.225661021901"/>
    <n v="500.97234503649645"/>
    <n v="-34.401534423107051"/>
    <n v="-0.33713380030497159"/>
    <n v="466.23367681308446"/>
    <x v="2"/>
  </r>
  <r>
    <x v="0"/>
    <n v="1"/>
    <x v="8"/>
    <d v="2026-06-09T00:00:00"/>
    <x v="2"/>
    <s v="AZUCAR COMUN TIPO A"/>
    <x v="1"/>
    <d v="2026-06-09T00:00:00"/>
    <n v="28000"/>
    <n v="699"/>
    <n v="19572000"/>
    <n v="4110120"/>
    <n v="23682120"/>
    <n v="23682120"/>
    <n v="0"/>
    <n v="0"/>
    <n v="0"/>
    <d v="2026-06-16T00:00:00"/>
    <x v="41"/>
    <n v="32"/>
    <n v="7"/>
    <m/>
    <d v="2026-07-16T00:00:00"/>
    <x v="9"/>
    <d v="2026-04-29T00:00:00"/>
    <n v="560"/>
    <n v="42289.5"/>
    <n v="-3030.8685"/>
    <n v="39258.631500000003"/>
    <n v="-23.519913698630138"/>
    <n v="39235.111586301377"/>
    <x v="2"/>
    <x v="2"/>
    <s v="CORDOBA"/>
    <x v="2"/>
    <n v="35900"/>
    <n v="3335.1115863013765"/>
    <n v="9.2900044186667863E-2"/>
    <n v="1867662.4883287707"/>
    <n v="20104000"/>
    <n v="21971662.48832877"/>
    <n v="2.9000000000000001E-2"/>
    <n v="2400"/>
    <n v="30"/>
    <m/>
    <n v="0"/>
    <n v="1395.2865999999999"/>
    <n v="14027.225661021901"/>
    <m/>
    <n v="14027.225661021901"/>
    <n v="500.97234503649645"/>
    <n v="-34.401534423107051"/>
    <n v="-0.33713380030497159"/>
    <n v="466.23367681308446"/>
    <x v="2"/>
  </r>
  <r>
    <x v="0"/>
    <n v="1"/>
    <x v="9"/>
    <d v="2026-06-03T00:00:00"/>
    <x v="2"/>
    <s v="AZUCAR COMUN TIPO A"/>
    <x v="0"/>
    <d v="2026-06-03T00:00:00"/>
    <n v="28000"/>
    <n v="675"/>
    <n v="18900000"/>
    <n v="3969000"/>
    <n v="22869000"/>
    <n v="0"/>
    <n v="22869000"/>
    <n v="0"/>
    <n v="0"/>
    <d v="2026-06-10T00:00:00"/>
    <x v="36"/>
    <n v="26"/>
    <n v="7"/>
    <m/>
    <d v="2026-07-10T00:00:00"/>
    <x v="10"/>
    <d v="2026-05-26T00:00:00"/>
    <n v="560"/>
    <n v="40837.5"/>
    <n v="-2784.5124999999998"/>
    <n v="38052.987500000003"/>
    <n v="-22.712363013698631"/>
    <n v="38030.275136986304"/>
    <x v="2"/>
    <x v="2"/>
    <s v="CORDOBA"/>
    <x v="2"/>
    <n v="37115"/>
    <n v="915.27513698630355"/>
    <n v="2.4660518307592749E-2"/>
    <n v="512554.07671232999"/>
    <n v="20784400"/>
    <n v="21296954.076712329"/>
    <n v="2.9000000000000001E-2"/>
    <n v="2200"/>
    <n v="30"/>
    <m/>
    <n v="0"/>
    <n v="1407.8893"/>
    <n v="13424.350905998077"/>
    <m/>
    <n v="13424.350905998077"/>
    <n v="479.44110378564557"/>
    <n v="-31.252457135656901"/>
    <n v="-0.32264415978867983"/>
    <n v="447.86600249019995"/>
    <x v="2"/>
  </r>
  <r>
    <x v="0"/>
    <n v="1"/>
    <x v="9"/>
    <d v="2026-06-08T00:00:00"/>
    <x v="2"/>
    <s v="AZUCAR COMUN TIPO A"/>
    <x v="1"/>
    <d v="2026-06-08T00:00:00"/>
    <n v="30000"/>
    <n v="675"/>
    <n v="20250000"/>
    <n v="4252500"/>
    <n v="24502500"/>
    <n v="24502500"/>
    <n v="0"/>
    <n v="0"/>
    <n v="0"/>
    <d v="2026-06-15T00:00:00"/>
    <x v="40"/>
    <n v="31"/>
    <n v="7"/>
    <m/>
    <d v="2026-07-15T00:00:00"/>
    <x v="10"/>
    <d v="2026-05-26T00:00:00"/>
    <n v="600"/>
    <n v="40837.5"/>
    <n v="-2784.5124999999998"/>
    <n v="38052.987500000003"/>
    <n v="-22.712363013698631"/>
    <n v="38030.275136986304"/>
    <x v="2"/>
    <x v="2"/>
    <s v="CORDOBA"/>
    <x v="2"/>
    <n v="37115"/>
    <n v="915.27513698630355"/>
    <n v="2.4660518307592749E-2"/>
    <n v="549165.08219178207"/>
    <n v="22269000"/>
    <n v="22818165.082191784"/>
    <n v="2.9000000000000001E-2"/>
    <n v="2200"/>
    <n v="30"/>
    <m/>
    <n v="0"/>
    <n v="1407.8893"/>
    <n v="14383.233113569369"/>
    <m/>
    <n v="14383.233113569369"/>
    <n v="479.44110378564562"/>
    <n v="-31.252457135656901"/>
    <n v="-0.32264415978867983"/>
    <n v="447.8660024902"/>
    <x v="2"/>
  </r>
  <r>
    <x v="0"/>
    <n v="1"/>
    <x v="10"/>
    <d v="2026-05-23T00:00:00"/>
    <x v="2"/>
    <s v="AZÚCAR BAJA CALIDAD Z26"/>
    <x v="0"/>
    <d v="2026-05-23T00:00:00"/>
    <n v="39500"/>
    <n v="495.86776859504135"/>
    <n v="19586776.859504133"/>
    <n v="4113223.1404958679"/>
    <n v="23700000"/>
    <n v="0"/>
    <n v="0"/>
    <n v="0"/>
    <n v="23700000"/>
    <d v="2026-05-14T00:00:00"/>
    <x v="42"/>
    <n v="-15"/>
    <n v="-9"/>
    <m/>
    <d v="2026-05-30T00:00:00"/>
    <x v="11"/>
    <d v="2026-05-14T00:00:00"/>
    <n v="790"/>
    <n v="30000"/>
    <n v="-0.46000000000000796"/>
    <n v="29999.54"/>
    <n v="21.452054794520549"/>
    <n v="30020.992054794522"/>
    <x v="2"/>
    <x v="0"/>
    <s v="TUCUMAN"/>
    <x v="3"/>
    <n v="37097"/>
    <n v="-7076.0079452054779"/>
    <n v="-0.19074340095440268"/>
    <n v="-5590046.2767123273"/>
    <n v="29306630"/>
    <n v="23716583.723287672"/>
    <n v="2.9000000000000001E-2"/>
    <n v="-74"/>
    <n v="0"/>
    <s v="PREVENTA  BC ZAFRA 26"/>
    <n v="0"/>
    <n v="1393.2321999999999"/>
    <n v="14058.515773253112"/>
    <m/>
    <n v="14058.515773253112"/>
    <n v="355.91179172792687"/>
    <n v="1.0622780610439524"/>
    <n v="0.3079465834125934"/>
    <n v="357.28201637238345"/>
    <x v="4"/>
  </r>
  <r>
    <x v="0"/>
    <n v="1"/>
    <x v="11"/>
    <d v="2026-05-26T00:00:00"/>
    <x v="2"/>
    <s v="AZÚCAR BAJA CALIDAD Z26"/>
    <x v="0"/>
    <d v="2026-05-26T00:00:00"/>
    <n v="31650"/>
    <n v="495.86776859504135"/>
    <n v="15694214.876033058"/>
    <n v="3295785.1239669421"/>
    <n v="18990000"/>
    <n v="0"/>
    <n v="0"/>
    <n v="0"/>
    <n v="18990000"/>
    <d v="2026-05-14T00:00:00"/>
    <x v="13"/>
    <n v="-5"/>
    <n v="-12"/>
    <m/>
    <d v="2026-06-09T00:00:00"/>
    <x v="11"/>
    <d v="2026-05-14T00:00:00"/>
    <n v="633"/>
    <n v="30000"/>
    <n v="-0.46000000000000796"/>
    <n v="29999.54"/>
    <n v="28.602739726027401"/>
    <n v="30028.142739726027"/>
    <x v="2"/>
    <x v="0"/>
    <s v="TUCUMAN"/>
    <x v="3"/>
    <n v="37097"/>
    <n v="-7068.8572602739732"/>
    <n v="-0.19055064453389692"/>
    <n v="-4474586.6457534246"/>
    <n v="23482401"/>
    <n v="19007814.354246575"/>
    <n v="2.9000000000000001E-2"/>
    <n v="-74"/>
    <n v="7"/>
    <s v="PREVENTA  BC ZAFRA 26"/>
    <n v="0"/>
    <n v="1393.2321999999999"/>
    <n v="11264.608208188885"/>
    <m/>
    <n v="11264.608208188885"/>
    <n v="355.91179172792687"/>
    <n v="1.0622780610439524"/>
    <n v="0.41059544455012459"/>
    <n v="357.38466523352093"/>
    <x v="4"/>
  </r>
  <r>
    <x v="0"/>
    <n v="1"/>
    <x v="12"/>
    <d v="2026-05-26T00:00:00"/>
    <x v="3"/>
    <s v="AZÚCAR BAJA CALIDAD Z26"/>
    <x v="0"/>
    <d v="2026-05-26T00:00:00"/>
    <n v="32000"/>
    <n v="495.86776859504135"/>
    <n v="15867768.595041323"/>
    <n v="3332231.4049586779"/>
    <n v="19200000"/>
    <n v="0"/>
    <n v="0"/>
    <n v="0"/>
    <n v="19200000"/>
    <d v="2026-05-14T00:00:00"/>
    <x v="43"/>
    <n v="3"/>
    <n v="-12"/>
    <m/>
    <d v="2026-06-17T00:00:00"/>
    <x v="11"/>
    <d v="2026-05-14T00:00:00"/>
    <n v="640"/>
    <n v="30000"/>
    <n v="0.14499999999999602"/>
    <n v="30000.145"/>
    <n v="28.602739726027401"/>
    <n v="30028.747739726026"/>
    <x v="2"/>
    <x v="0"/>
    <s v="TUCUMAN"/>
    <x v="3"/>
    <n v="37097"/>
    <n v="-7068.2522602739737"/>
    <n v="-0.19053433593751445"/>
    <n v="-4523681.4465753436"/>
    <n v="23742080"/>
    <n v="19218398.553424656"/>
    <n v="2.9000000000000001E-2"/>
    <n v="-74.5"/>
    <n v="15"/>
    <s v="PREVENTA  BC ZAFRA 26"/>
    <n v="0"/>
    <n v="1393.2321999999999"/>
    <n v="11389.17733529366"/>
    <m/>
    <n v="11389.17733529366"/>
    <n v="355.91179172792687"/>
    <n v="1.0694556155104655"/>
    <n v="0.41059544455012459"/>
    <n v="357.39184278798746"/>
    <x v="4"/>
  </r>
  <r>
    <x v="0"/>
    <n v="1"/>
    <x v="13"/>
    <d v="2026-05-30T00:00:00"/>
    <x v="2"/>
    <s v="AZÚCAR BAJA CALIDAD Z26"/>
    <x v="0"/>
    <d v="2026-05-30T00:00:00"/>
    <n v="27500"/>
    <n v="495.86776859504135"/>
    <n v="13636363.636363637"/>
    <n v="2863636.3636363638"/>
    <n v="16500000"/>
    <n v="0"/>
    <n v="0"/>
    <n v="0"/>
    <n v="16500000"/>
    <d v="2026-05-14T00:00:00"/>
    <x v="33"/>
    <n v="-8"/>
    <n v="-16"/>
    <m/>
    <d v="2026-06-06T00:00:00"/>
    <x v="11"/>
    <d v="2026-05-14T00:00:00"/>
    <n v="550"/>
    <n v="30000"/>
    <n v="-0.46000000000000796"/>
    <n v="29999.54"/>
    <n v="38.136986301369866"/>
    <n v="30037.676986301372"/>
    <x v="2"/>
    <x v="0"/>
    <s v="TUCUMAN"/>
    <x v="3"/>
    <n v="37097"/>
    <n v="-7059.3230136986276"/>
    <n v="-0.19029363597322235"/>
    <n v="-3882627.6575342454"/>
    <n v="20403350"/>
    <n v="16520722.342465755"/>
    <n v="2.9000000000000001E-2"/>
    <n v="-74"/>
    <n v="0"/>
    <s v="PREVENTA  BC ZAFRA 26"/>
    <n v="0"/>
    <n v="1393.2321999999999"/>
    <n v="9787.5742725179898"/>
    <m/>
    <n v="9787.5742725179898"/>
    <n v="355.91179172792692"/>
    <n v="1.0622780610439524"/>
    <n v="0.54746059273349934"/>
    <n v="357.52153038170439"/>
    <x v="4"/>
  </r>
  <r>
    <x v="0"/>
    <n v="1"/>
    <x v="14"/>
    <d v="2026-05-28T00:00:00"/>
    <x v="2"/>
    <s v="AZÚCAR BAJA CALIDAD Z26"/>
    <x v="0"/>
    <d v="2026-05-28T00:00:00"/>
    <n v="24500"/>
    <n v="495.86776859504135"/>
    <n v="12148760.330578513"/>
    <n v="2551239.669421488"/>
    <n v="14700000.000000002"/>
    <n v="0"/>
    <n v="0"/>
    <n v="0"/>
    <n v="14700000.000000002"/>
    <d v="2026-05-14T00:00:00"/>
    <x v="44"/>
    <n v="-10"/>
    <n v="-14"/>
    <m/>
    <d v="2026-06-04T00:00:00"/>
    <x v="11"/>
    <d v="2026-05-14T00:00:00"/>
    <n v="490"/>
    <n v="30000"/>
    <n v="-0.46000000000000796"/>
    <n v="29999.54"/>
    <n v="33.369863013698634"/>
    <n v="30032.909863013698"/>
    <x v="2"/>
    <x v="0"/>
    <s v="TUCUMAN"/>
    <x v="3"/>
    <n v="37097"/>
    <n v="-7064.0901369863022"/>
    <n v="-0.19042214025355964"/>
    <n v="-3461404.1671232879"/>
    <n v="18177530"/>
    <n v="14716125.832876712"/>
    <n v="2.9000000000000001E-2"/>
    <n v="-74"/>
    <n v="0"/>
    <s v="PREVENTA  BC ZAFRA 26"/>
    <n v="0"/>
    <n v="1393.2321999999999"/>
    <n v="8719.8388973342098"/>
    <m/>
    <n v="8719.8388973342098"/>
    <n v="355.91179172792692"/>
    <n v="1.0622780610439524"/>
    <n v="0.47902801864181199"/>
    <n v="357.45309780761272"/>
    <x v="4"/>
  </r>
  <r>
    <x v="0"/>
    <n v="1"/>
    <x v="11"/>
    <d v="2026-05-28T00:00:00"/>
    <x v="2"/>
    <s v="AZÚCAR BAJA CALIDAD Z26"/>
    <x v="0"/>
    <d v="2026-05-28T00:00:00"/>
    <n v="21900"/>
    <n v="462.80991735537191"/>
    <n v="10135537.190082645"/>
    <n v="2128462.8099173554"/>
    <n v="12264000"/>
    <n v="0"/>
    <n v="0"/>
    <n v="0"/>
    <n v="12264000"/>
    <d v="2026-05-14T00:00:00"/>
    <x v="15"/>
    <n v="-3"/>
    <n v="-14"/>
    <m/>
    <d v="2026-06-11T00:00:00"/>
    <x v="11"/>
    <d v="2026-05-14T00:00:00"/>
    <n v="438"/>
    <n v="27999.999999999996"/>
    <n v="9.4999999999998863E-2"/>
    <n v="28000.094999999998"/>
    <n v="31.145205479452052"/>
    <n v="28031.240205479451"/>
    <x v="2"/>
    <x v="0"/>
    <s v="TUCUMAN"/>
    <x v="3"/>
    <n v="37097"/>
    <n v="-9065.7597945205489"/>
    <n v="-0.24437986345312424"/>
    <n v="-3970802.7900000005"/>
    <n v="16248486"/>
    <n v="12277683.209999999"/>
    <n v="2.9000000000000001E-2"/>
    <n v="-69.5"/>
    <n v="7"/>
    <s v="BC ZAFRA 25"/>
    <n v="0"/>
    <n v="1393.2321999999999"/>
    <n v="7274.8370229188258"/>
    <m/>
    <n v="7274.8370229188258"/>
    <n v="332.18433894606511"/>
    <n v="0.99768007084533361"/>
    <n v="0.4470928173990244"/>
    <n v="333.62911183430947"/>
    <x v="4"/>
  </r>
  <r>
    <x v="0"/>
    <n v="1"/>
    <x v="15"/>
    <d v="2026-05-29T00:00:00"/>
    <x v="4"/>
    <s v="AZUCAR COMUN TIPO A"/>
    <x v="1"/>
    <d v="2026-05-29T00:00:00"/>
    <n v="28000"/>
    <n v="525"/>
    <n v="14700000"/>
    <n v="3087000"/>
    <n v="17787000"/>
    <n v="17787000"/>
    <n v="0"/>
    <n v="0"/>
    <n v="17787000"/>
    <d v="2026-02-21T00:00:00"/>
    <x v="29"/>
    <n v="51"/>
    <n v="-97"/>
    <m/>
    <d v="2026-08-04T00:00:00"/>
    <x v="12"/>
    <d v="2026-04-22T00:00:00"/>
    <n v="560"/>
    <n v="31762.5"/>
    <n v="-2757.2874999999999"/>
    <n v="29005.212500000001"/>
    <n v="244.78880136986302"/>
    <n v="29250.001301369866"/>
    <x v="2"/>
    <x v="6"/>
    <s v="CORDOBA"/>
    <x v="2"/>
    <n v="35435"/>
    <n v="-6184.9986986301337"/>
    <n v="-0.17454490471652695"/>
    <n v="-3463599.2712328751"/>
    <n v="19843600"/>
    <n v="16380000.728767125"/>
    <n v="2.9000000000000001E-2"/>
    <n v="2200"/>
    <n v="60"/>
    <s v="PREVENTA ZAFRA 26"/>
    <n v="-17787000"/>
    <n v="1378.1258"/>
    <n v="10666.660474682354"/>
    <m/>
    <n v="10666.660474682354"/>
    <n v="380.95215981008408"/>
    <n v="-31.927419107892764"/>
    <n v="3.5524884792065143"/>
    <n v="352.5772291813978"/>
    <x v="2"/>
  </r>
  <r>
    <x v="0"/>
    <n v="1"/>
    <x v="15"/>
    <d v="2026-05-30T00:00:00"/>
    <x v="4"/>
    <s v="AZUCAR COMUN TIPO A"/>
    <x v="1"/>
    <d v="2026-05-30T00:00:00"/>
    <n v="28000"/>
    <n v="525"/>
    <n v="14700000"/>
    <n v="3087000"/>
    <n v="17787000"/>
    <n v="17787000"/>
    <n v="0"/>
    <n v="0"/>
    <n v="17787000"/>
    <d v="2026-02-21T00:00:00"/>
    <x v="45"/>
    <n v="52"/>
    <n v="-98"/>
    <m/>
    <d v="2026-08-05T00:00:00"/>
    <x v="12"/>
    <d v="2026-04-22T00:00:00"/>
    <n v="560"/>
    <n v="31762.5"/>
    <n v="-2757.2874999999999"/>
    <n v="29005.212500000001"/>
    <n v="247.31239726027397"/>
    <n v="29252.524897260275"/>
    <x v="2"/>
    <x v="6"/>
    <s v="CORDOBA"/>
    <x v="2"/>
    <n v="35435"/>
    <n v="-6182.4751027397251"/>
    <n v="-0.17447368710991185"/>
    <n v="-3462186.0575342462"/>
    <n v="19843600"/>
    <n v="16381413.942465754"/>
    <n v="2.9000000000000001E-2"/>
    <n v="2200"/>
    <n v="60"/>
    <s v="PREVENTA ZAFRA 26"/>
    <n v="-17787000"/>
    <n v="1378.1258"/>
    <n v="10666.660474682354"/>
    <m/>
    <n v="10666.660474682354"/>
    <n v="380.95215981008408"/>
    <n v="-31.927419107892764"/>
    <n v="3.5891120717756531"/>
    <n v="352.61385277396698"/>
    <x v="2"/>
  </r>
  <r>
    <x v="0"/>
    <n v="1"/>
    <x v="15"/>
    <d v="2026-06-03T00:00:00"/>
    <x v="4"/>
    <s v="AZUCAR COMUN TIPO A"/>
    <x v="1"/>
    <d v="2026-06-03T00:00:00"/>
    <n v="28000"/>
    <n v="525"/>
    <n v="14700000"/>
    <n v="3087000"/>
    <n v="17787000"/>
    <n v="17787000"/>
    <n v="0"/>
    <n v="0"/>
    <n v="17787000"/>
    <d v="2026-02-21T00:00:00"/>
    <x v="28"/>
    <n v="56"/>
    <n v="-102"/>
    <m/>
    <d v="2026-08-09T00:00:00"/>
    <x v="12"/>
    <d v="2026-04-22T00:00:00"/>
    <n v="560"/>
    <n v="31762.5"/>
    <n v="-2757.2874999999999"/>
    <n v="29005.212500000001"/>
    <n v="257.40678082191783"/>
    <n v="29262.61928082192"/>
    <x v="2"/>
    <x v="6"/>
    <s v="CORDOBA"/>
    <x v="2"/>
    <n v="35435"/>
    <n v="-6172.3807191780797"/>
    <n v="-0.17418881668345076"/>
    <n v="-3456533.2027397249"/>
    <n v="19843600"/>
    <n v="16387066.797260275"/>
    <n v="2.9000000000000001E-2"/>
    <n v="2200"/>
    <n v="60"/>
    <s v="PREVENTA ZAFRA 26"/>
    <n v="-17787000"/>
    <n v="1378.1258"/>
    <n v="10666.660474682354"/>
    <m/>
    <n v="10666.660474682354"/>
    <n v="380.95215981008408"/>
    <n v="-31.927419107892764"/>
    <n v="3.735606442052211"/>
    <n v="352.7603471442435"/>
    <x v="2"/>
  </r>
  <r>
    <x v="0"/>
    <n v="1"/>
    <x v="15"/>
    <d v="2026-06-05T00:00:00"/>
    <x v="4"/>
    <s v="AZUCAR COMUN TIPO A"/>
    <x v="1"/>
    <d v="2026-06-05T00:00:00"/>
    <n v="28000"/>
    <n v="525"/>
    <n v="14700000"/>
    <n v="3087000"/>
    <n v="17787000"/>
    <n v="17787000"/>
    <n v="0"/>
    <n v="0"/>
    <n v="17787000"/>
    <d v="2026-02-21T00:00:00"/>
    <x v="46"/>
    <n v="58"/>
    <n v="-104"/>
    <m/>
    <d v="2026-08-11T00:00:00"/>
    <x v="12"/>
    <d v="2026-04-22T00:00:00"/>
    <n v="560"/>
    <n v="31762.5"/>
    <n v="-2757.2874999999999"/>
    <n v="29005.212500000001"/>
    <n v="262.45397260273973"/>
    <n v="29267.666472602741"/>
    <x v="2"/>
    <x v="6"/>
    <s v="CORDOBA"/>
    <x v="2"/>
    <n v="35435"/>
    <n v="-6167.3335273972589"/>
    <n v="-0.17404638147022033"/>
    <n v="-3453706.7753424649"/>
    <n v="19843600"/>
    <n v="16389893.224657536"/>
    <n v="2.9000000000000001E-2"/>
    <n v="2200"/>
    <n v="60"/>
    <s v="PREVENTA ZAFRA 26"/>
    <n v="-17787000"/>
    <n v="1378.1258"/>
    <n v="10666.660474682354"/>
    <m/>
    <n v="10666.660474682354"/>
    <n v="380.95215981008408"/>
    <n v="-31.927419107892764"/>
    <n v="3.8088536271904889"/>
    <n v="352.83359432938181"/>
    <x v="2"/>
  </r>
  <r>
    <x v="0"/>
    <n v="1"/>
    <x v="15"/>
    <d v="2026-06-05T00:00:00"/>
    <x v="4"/>
    <s v="AZUCAR COMUN TIPO A"/>
    <x v="1"/>
    <d v="2026-06-05T00:00:00"/>
    <n v="28000"/>
    <n v="525"/>
    <n v="14700000"/>
    <n v="3087000"/>
    <n v="17787000"/>
    <n v="17787000"/>
    <n v="0"/>
    <n v="0"/>
    <n v="17787000"/>
    <d v="2026-02-21T00:00:00"/>
    <x v="46"/>
    <n v="58"/>
    <n v="-104"/>
    <m/>
    <d v="2026-08-11T00:00:00"/>
    <x v="12"/>
    <d v="2026-04-22T00:00:00"/>
    <n v="560"/>
    <n v="31762.5"/>
    <n v="-2757.2874999999999"/>
    <n v="29005.212500000001"/>
    <n v="262.45397260273973"/>
    <n v="29267.666472602741"/>
    <x v="2"/>
    <x v="6"/>
    <s v="CORDOBA"/>
    <x v="2"/>
    <n v="35435"/>
    <n v="-6167.3335273972589"/>
    <n v="-0.17404638147022033"/>
    <n v="-3453706.7753424649"/>
    <n v="19843600"/>
    <n v="16389893.224657536"/>
    <n v="2.9000000000000001E-2"/>
    <n v="2200"/>
    <n v="60"/>
    <s v="PREVENTA ZAFRA 26"/>
    <n v="-17787000"/>
    <n v="1378.1258"/>
    <n v="10666.660474682354"/>
    <m/>
    <n v="10666.660474682354"/>
    <n v="380.95215981008408"/>
    <n v="-31.927419107892764"/>
    <n v="3.8088536271904889"/>
    <n v="352.83359432938181"/>
    <x v="2"/>
  </r>
  <r>
    <x v="0"/>
    <n v="1"/>
    <x v="15"/>
    <d v="2026-06-06T00:00:00"/>
    <x v="4"/>
    <s v="AZUCAR COMUN TIPO A"/>
    <x v="1"/>
    <d v="2026-06-06T00:00:00"/>
    <n v="28000"/>
    <n v="525"/>
    <n v="14700000"/>
    <n v="3087000"/>
    <n v="17787000"/>
    <n v="17787000"/>
    <n v="0"/>
    <n v="0"/>
    <n v="17787000"/>
    <d v="2026-02-21T00:00:00"/>
    <x v="47"/>
    <n v="59"/>
    <n v="-105"/>
    <m/>
    <d v="2026-08-12T00:00:00"/>
    <x v="12"/>
    <d v="2026-04-22T00:00:00"/>
    <n v="560"/>
    <n v="31762.5"/>
    <n v="-2757.2874999999999"/>
    <n v="29005.212500000001"/>
    <n v="264.97756849315067"/>
    <n v="29270.190068493153"/>
    <x v="2"/>
    <x v="6"/>
    <s v="CORDOBA"/>
    <x v="2"/>
    <n v="35435"/>
    <n v="-6164.8099315068466"/>
    <n v="-0.17397516386360512"/>
    <n v="-3452293.5616438342"/>
    <n v="19843600"/>
    <n v="16391306.438356167"/>
    <n v="2.9000000000000001E-2"/>
    <n v="2200"/>
    <n v="60"/>
    <s v="PREVENTA ZAFRA 26"/>
    <n v="-17787000"/>
    <n v="1378.1258"/>
    <n v="10666.660474682354"/>
    <m/>
    <n v="10666.660474682354"/>
    <n v="380.95215981008408"/>
    <n v="-31.927419107892764"/>
    <n v="3.8454772197596276"/>
    <n v="352.87021792195094"/>
    <x v="2"/>
  </r>
  <r>
    <x v="0"/>
    <n v="1"/>
    <x v="16"/>
    <d v="2026-05-27T00:00:00"/>
    <x v="2"/>
    <s v="AZUCAR COMUN TIPO A"/>
    <x v="1"/>
    <d v="2026-05-27T00:00:00"/>
    <n v="28000"/>
    <n v="722"/>
    <n v="20216000"/>
    <n v="4245360"/>
    <n v="24461360"/>
    <n v="24461360"/>
    <n v="0"/>
    <n v="0"/>
    <n v="0"/>
    <d v="2026-06-26T00:00:00"/>
    <x v="48"/>
    <n v="19"/>
    <n v="30"/>
    <m/>
    <d v="2026-07-03T00:00:00"/>
    <x v="13"/>
    <d v="2026-05-19T00:00:00"/>
    <n v="560"/>
    <n v="43681"/>
    <n v="-3579.5430000000001"/>
    <n v="40101.457000000002"/>
    <n v="-104.11635616438356"/>
    <n v="39997.340643835618"/>
    <x v="2"/>
    <x v="7"/>
    <s v="BUENOS AIRES"/>
    <x v="2"/>
    <n v="37107"/>
    <n v="2890.3406438356178"/>
    <n v="7.789205928357501E-2"/>
    <n v="1618590.760547946"/>
    <n v="20779920"/>
    <n v="22398510.760547947"/>
    <n v="2.9000000000000001E-2"/>
    <n v="2850"/>
    <n v="30"/>
    <m/>
    <n v="0"/>
    <n v="1398.9159999999999"/>
    <n v="14451.189349467732"/>
    <m/>
    <n v="14451.189349467732"/>
    <n v="516.11390533813324"/>
    <n v="-40.745834631957891"/>
    <n v="-1.4885290634231587"/>
    <n v="473.87954164275214"/>
    <x v="2"/>
  </r>
  <r>
    <x v="0"/>
    <n v="1"/>
    <x v="16"/>
    <d v="2026-05-27T00:00:00"/>
    <x v="2"/>
    <s v="AZUCAR COMUN TIPO A"/>
    <x v="1"/>
    <d v="2026-05-27T00:00:00"/>
    <n v="28000"/>
    <n v="722"/>
    <n v="20216000"/>
    <n v="4245360"/>
    <n v="24461360"/>
    <n v="24461360"/>
    <n v="0"/>
    <n v="0"/>
    <n v="0"/>
    <d v="2026-06-26T00:00:00"/>
    <x v="48"/>
    <n v="19"/>
    <n v="30"/>
    <m/>
    <d v="2026-07-03T00:00:00"/>
    <x v="14"/>
    <d v="2026-05-19T00:00:00"/>
    <n v="560"/>
    <n v="43681"/>
    <n v="-3579.5430000000001"/>
    <n v="40101.457000000002"/>
    <n v="-104.11635616438356"/>
    <n v="39997.340643835618"/>
    <x v="2"/>
    <x v="7"/>
    <s v="BUENOS AIRES"/>
    <x v="2"/>
    <n v="37107"/>
    <n v="2890.3406438356178"/>
    <n v="7.789205928357501E-2"/>
    <n v="1618590.760547946"/>
    <n v="20779920"/>
    <n v="22398510.760547947"/>
    <n v="2.9000000000000001E-2"/>
    <n v="2850"/>
    <n v="30"/>
    <m/>
    <n v="0"/>
    <n v="1398.9159999999999"/>
    <n v="14451.189349467732"/>
    <m/>
    <n v="14451.189349467732"/>
    <n v="516.11390533813324"/>
    <n v="-40.745834631957891"/>
    <n v="-1.4885290634231587"/>
    <n v="473.87954164275214"/>
    <x v="2"/>
  </r>
  <r>
    <x v="0"/>
    <n v="1"/>
    <x v="16"/>
    <d v="2026-06-05T00:00:00"/>
    <x v="2"/>
    <s v="AZUCAR COMUN TIPO A"/>
    <x v="1"/>
    <d v="2026-06-05T00:00:00"/>
    <n v="28000"/>
    <n v="722"/>
    <n v="20216000"/>
    <n v="4245360"/>
    <n v="24461360"/>
    <n v="24461360"/>
    <n v="0"/>
    <n v="0"/>
    <n v="0"/>
    <d v="2026-07-05T00:00:00"/>
    <x v="25"/>
    <n v="28"/>
    <n v="30"/>
    <m/>
    <d v="2026-07-12T00:00:00"/>
    <x v="15"/>
    <d v="2026-05-19T00:00:00"/>
    <n v="560"/>
    <n v="43681"/>
    <n v="-3579.5430000000001"/>
    <n v="40101.457000000002"/>
    <n v="-104.11635616438356"/>
    <n v="39997.340643835618"/>
    <x v="2"/>
    <x v="7"/>
    <s v="BUENOS AIRES"/>
    <x v="2"/>
    <n v="37107"/>
    <n v="2890.3406438356178"/>
    <n v="7.789205928357501E-2"/>
    <n v="1618590.760547946"/>
    <n v="20779920"/>
    <n v="22398510.760547947"/>
    <n v="2.9000000000000001E-2"/>
    <n v="2850"/>
    <n v="30"/>
    <m/>
    <n v="0"/>
    <n v="1398.9159999999999"/>
    <n v="14451.189349467732"/>
    <m/>
    <n v="14451.189349467732"/>
    <n v="516.11390533813324"/>
    <n v="-40.745834631957891"/>
    <n v="-1.4885290634231587"/>
    <n v="473.87954164275214"/>
    <x v="2"/>
  </r>
  <r>
    <x v="0"/>
    <n v="1"/>
    <x v="16"/>
    <d v="2026-06-05T00:00:00"/>
    <x v="2"/>
    <s v="AZUCAR COMUN TIPO A"/>
    <x v="1"/>
    <d v="2026-06-05T00:00:00"/>
    <n v="28000"/>
    <n v="722"/>
    <n v="20216000"/>
    <n v="4245360"/>
    <n v="24461360"/>
    <n v="24461360"/>
    <n v="0"/>
    <n v="0"/>
    <n v="0"/>
    <d v="2026-07-05T00:00:00"/>
    <x v="25"/>
    <n v="28"/>
    <n v="30"/>
    <m/>
    <d v="2026-07-12T00:00:00"/>
    <x v="16"/>
    <d v="2026-05-19T00:00:00"/>
    <n v="560"/>
    <n v="43681"/>
    <n v="-3579.5430000000001"/>
    <n v="40101.457000000002"/>
    <n v="-104.11635616438356"/>
    <n v="39997.340643835618"/>
    <x v="2"/>
    <x v="7"/>
    <s v="BUENOS AIRES"/>
    <x v="2"/>
    <n v="37107"/>
    <n v="2890.3406438356178"/>
    <n v="7.789205928357501E-2"/>
    <n v="1618590.760547946"/>
    <n v="20779920"/>
    <n v="22398510.760547947"/>
    <n v="2.9000000000000001E-2"/>
    <n v="2850"/>
    <n v="30"/>
    <m/>
    <n v="0"/>
    <n v="1398.9159999999999"/>
    <n v="14451.189349467732"/>
    <m/>
    <n v="14451.189349467732"/>
    <n v="516.11390533813324"/>
    <n v="-40.745834631957891"/>
    <n v="-1.4885290634231587"/>
    <n v="473.87954164275214"/>
    <x v="2"/>
  </r>
  <r>
    <x v="0"/>
    <n v="1"/>
    <x v="16"/>
    <d v="2026-05-29T00:00:00"/>
    <x v="2"/>
    <s v="AZUCAR COMUN TIPO A"/>
    <x v="1"/>
    <d v="2026-05-29T00:00:00"/>
    <n v="28000"/>
    <n v="729"/>
    <n v="20412000"/>
    <n v="4286520"/>
    <n v="24698520"/>
    <n v="24698520"/>
    <n v="0"/>
    <n v="0"/>
    <n v="0"/>
    <d v="2026-06-28T00:00:00"/>
    <x v="49"/>
    <n v="21"/>
    <n v="30"/>
    <m/>
    <d v="2026-07-05T00:00:00"/>
    <x v="17"/>
    <d v="2026-05-19T00:00:00"/>
    <n v="560"/>
    <n v="44104.5"/>
    <n v="-3580.8135000000002"/>
    <n v="40523.686499999996"/>
    <n v="-105.12579452054794"/>
    <n v="40418.560705479445"/>
    <x v="2"/>
    <x v="8"/>
    <s v="BUENOS AIRES"/>
    <x v="2"/>
    <n v="37107"/>
    <n v="3311.5607054794455"/>
    <n v="8.9243557966945497E-2"/>
    <n v="1854473.9950684896"/>
    <n v="20779920"/>
    <n v="22634393.995068491"/>
    <n v="2.9000000000000001E-2"/>
    <n v="2850"/>
    <n v="30"/>
    <m/>
    <n v="0"/>
    <n v="1398.9159999999999"/>
    <n v="14591.297833465342"/>
    <m/>
    <n v="14591.297833465342"/>
    <n v="521.11777976661938"/>
    <n v="-40.745834631957891"/>
    <n v="-1.5029607856447127"/>
    <n v="478.86898434901678"/>
    <x v="2"/>
  </r>
  <r>
    <x v="0"/>
    <n v="1"/>
    <x v="16"/>
    <d v="2026-06-03T00:00:00"/>
    <x v="2"/>
    <s v="AZUCAR COMUN TIPO A"/>
    <x v="1"/>
    <d v="2026-06-03T00:00:00"/>
    <n v="28000"/>
    <n v="729"/>
    <n v="20412000"/>
    <n v="4286520"/>
    <n v="24698520"/>
    <n v="24698520"/>
    <n v="0"/>
    <n v="0"/>
    <n v="0"/>
    <d v="2026-07-03T00:00:00"/>
    <x v="36"/>
    <n v="26"/>
    <n v="30"/>
    <m/>
    <d v="2026-07-10T00:00:00"/>
    <x v="18"/>
    <d v="2026-05-19T00:00:00"/>
    <n v="560"/>
    <n v="44104.5"/>
    <n v="-3762.3135000000002"/>
    <n v="40342.186499999996"/>
    <n v="-105.12579452054794"/>
    <n v="40237.060705479445"/>
    <x v="2"/>
    <x v="8"/>
    <s v="BUENOS AIRES"/>
    <x v="2"/>
    <n v="37107"/>
    <n v="3130.0607054794455"/>
    <n v="8.4352297557858336E-2"/>
    <n v="1752833.9950684896"/>
    <n v="20779920"/>
    <n v="22532753.995068491"/>
    <n v="2.9000000000000001E-2"/>
    <n v="3000"/>
    <n v="30"/>
    <m/>
    <n v="0"/>
    <n v="1398.9159999999999"/>
    <n v="14591.297833465342"/>
    <m/>
    <n v="14591.297833465342"/>
    <n v="521.11777976661938"/>
    <n v="-42.890352244166202"/>
    <n v="-1.5029607856447127"/>
    <n v="476.72446673680849"/>
    <x v="2"/>
  </r>
  <r>
    <x v="0"/>
    <n v="1"/>
    <x v="16"/>
    <d v="2026-06-04T00:00:00"/>
    <x v="2"/>
    <s v="AZUCAR COMUN TIPO A"/>
    <x v="1"/>
    <d v="2026-06-04T00:00:00"/>
    <n v="28000"/>
    <n v="729"/>
    <n v="20412000"/>
    <n v="4286520"/>
    <n v="24698520"/>
    <n v="24698520"/>
    <n v="0"/>
    <n v="0"/>
    <n v="0"/>
    <d v="2026-07-04T00:00:00"/>
    <x v="31"/>
    <n v="27"/>
    <n v="30"/>
    <m/>
    <d v="2026-07-11T00:00:00"/>
    <x v="19"/>
    <d v="2026-05-19T00:00:00"/>
    <n v="560"/>
    <n v="44104.5"/>
    <n v="-3762.3135000000002"/>
    <n v="40342.186499999996"/>
    <n v="-105.12579452054794"/>
    <n v="40237.060705479445"/>
    <x v="2"/>
    <x v="8"/>
    <s v="BUENOS AIRES"/>
    <x v="2"/>
    <n v="37107"/>
    <n v="3130.0607054794455"/>
    <n v="8.4352297557858336E-2"/>
    <n v="1752833.9950684896"/>
    <n v="20779920"/>
    <n v="22532753.995068491"/>
    <n v="2.9000000000000001E-2"/>
    <n v="3000"/>
    <n v="30"/>
    <m/>
    <n v="0"/>
    <n v="1398.9159999999999"/>
    <n v="14591.297833465342"/>
    <m/>
    <n v="14591.297833465342"/>
    <n v="521.11777976661938"/>
    <n v="-42.890352244166202"/>
    <n v="-1.5029607856447127"/>
    <n v="476.72446673680849"/>
    <x v="2"/>
  </r>
  <r>
    <x v="0"/>
    <n v="1"/>
    <x v="16"/>
    <d v="2026-06-05T00:00:00"/>
    <x v="2"/>
    <s v="AZUCAR COMUN TIPO A"/>
    <x v="1"/>
    <d v="2026-06-05T00:00:00"/>
    <n v="28000"/>
    <n v="729"/>
    <n v="20412000"/>
    <n v="4286520"/>
    <n v="24698520"/>
    <n v="24698520"/>
    <n v="0"/>
    <n v="0"/>
    <n v="0"/>
    <d v="2026-07-05T00:00:00"/>
    <x v="25"/>
    <n v="28"/>
    <n v="30"/>
    <m/>
    <d v="2026-07-12T00:00:00"/>
    <x v="20"/>
    <d v="2026-05-19T00:00:00"/>
    <n v="560"/>
    <n v="44104.5"/>
    <n v="-3762.3135000000002"/>
    <n v="40342.186499999996"/>
    <n v="-105.12579452054794"/>
    <n v="40237.060705479445"/>
    <x v="2"/>
    <x v="8"/>
    <s v="BUENOS AIRES"/>
    <x v="2"/>
    <n v="37107"/>
    <n v="3130.0607054794455"/>
    <n v="8.4352297557858336E-2"/>
    <n v="1752833.9950684896"/>
    <n v="20779920"/>
    <n v="22532753.995068491"/>
    <n v="2.9000000000000001E-2"/>
    <n v="3000"/>
    <n v="30"/>
    <m/>
    <n v="0"/>
    <n v="1398.9159999999999"/>
    <n v="14591.297833465342"/>
    <m/>
    <n v="14591.297833465342"/>
    <n v="521.11777976661938"/>
    <n v="-42.890352244166202"/>
    <n v="-1.5029607856447127"/>
    <n v="476.72446673680849"/>
    <x v="2"/>
  </r>
  <r>
    <x v="0"/>
    <n v="1"/>
    <x v="17"/>
    <d v="2026-05-26T00:00:00"/>
    <x v="5"/>
    <s v="AZUCAR COMUN TIPO A"/>
    <x v="1"/>
    <d v="2026-05-26T00:00:00"/>
    <n v="40000"/>
    <n v="495.86776859504135"/>
    <n v="19834710.743801653"/>
    <n v="4165289.2561983471"/>
    <n v="24000000"/>
    <n v="0"/>
    <n v="0"/>
    <n v="0"/>
    <n v="24000000"/>
    <d v="2026-04-14T00:00:00"/>
    <x v="50"/>
    <n v="-12"/>
    <n v="-42"/>
    <m/>
    <d v="2026-06-02T00:00:00"/>
    <x v="21"/>
    <d v="2026-04-14T00:00:00"/>
    <n v="800"/>
    <n v="30000"/>
    <n v="3.1700000000000017"/>
    <n v="30003.17"/>
    <n v="100.1095890410959"/>
    <n v="30103.279589041093"/>
    <x v="2"/>
    <x v="0"/>
    <s v="TUCUMAN"/>
    <x v="3"/>
    <n v="35355"/>
    <n v="-5251.7204109589075"/>
    <n v="-0.14854250914888723"/>
    <n v="-4201376.3287671264"/>
    <n v="28284000"/>
    <n v="24082623.671232875"/>
    <n v="2.9000000000000001E-2"/>
    <n v="-77"/>
    <m/>
    <s v="PREVENTA ZAFRA 26"/>
    <n v="0"/>
    <n v="1358.5219999999999"/>
    <n v="14600.213131477925"/>
    <m/>
    <n v="14600.213131477925"/>
    <n v="365.00532828694816"/>
    <n v="1.1335848812164986"/>
    <n v="1.4738015143088725"/>
    <n v="367.61271468247355"/>
    <x v="4"/>
  </r>
  <r>
    <x v="0"/>
    <n v="1"/>
    <x v="17"/>
    <d v="2026-05-27T00:00:00"/>
    <x v="5"/>
    <s v="AZUCAR COMUN TIPO A"/>
    <x v="1"/>
    <d v="2026-05-27T00:00:00"/>
    <n v="40000"/>
    <n v="495.86776859504135"/>
    <n v="19834710.743801653"/>
    <n v="4165289.2561983471"/>
    <n v="24000000"/>
    <n v="0"/>
    <n v="0"/>
    <n v="0"/>
    <n v="24000000"/>
    <d v="2026-04-14T00:00:00"/>
    <x v="51"/>
    <n v="-11"/>
    <n v="-43"/>
    <m/>
    <d v="2026-06-03T00:00:00"/>
    <x v="21"/>
    <d v="2026-04-14T00:00:00"/>
    <n v="800"/>
    <n v="30000"/>
    <n v="0.14499999999999602"/>
    <n v="30000.145"/>
    <n v="102.49315068493152"/>
    <n v="30102.638150684932"/>
    <x v="2"/>
    <x v="0"/>
    <s v="TUCUMAN"/>
    <x v="3"/>
    <n v="35355"/>
    <n v="-5252.361849315068"/>
    <n v="-0.14856065193933155"/>
    <n v="-4201889.479452054"/>
    <n v="28284000"/>
    <n v="24082110.520547945"/>
    <n v="2.9000000000000001E-2"/>
    <n v="-74.5"/>
    <m/>
    <s v="PREVENTA ZAFRA 26"/>
    <n v="0"/>
    <n v="1358.5219999999999"/>
    <n v="14600.213131477925"/>
    <m/>
    <n v="14600.213131477925"/>
    <n v="365.00532828694816"/>
    <n v="1.096780177280898"/>
    <n v="1.5088920265543218"/>
    <n v="367.6110004907834"/>
    <x v="4"/>
  </r>
  <r>
    <x v="0"/>
    <n v="1"/>
    <x v="17"/>
    <d v="2026-05-28T00:00:00"/>
    <x v="5"/>
    <s v="AZUCAR COMUN TIPO A"/>
    <x v="1"/>
    <d v="2026-05-28T00:00:00"/>
    <n v="40000"/>
    <n v="495.86776859504135"/>
    <n v="19834710.743801653"/>
    <n v="4165289.2561983471"/>
    <n v="24000000"/>
    <n v="0"/>
    <n v="0"/>
    <n v="0"/>
    <n v="24000000"/>
    <d v="2026-04-14T00:00:00"/>
    <x v="44"/>
    <n v="-10"/>
    <n v="-44"/>
    <m/>
    <d v="2026-06-04T00:00:00"/>
    <x v="21"/>
    <d v="2026-04-14T00:00:00"/>
    <n v="800"/>
    <n v="30000"/>
    <n v="0.14499999999999602"/>
    <n v="30000.145"/>
    <n v="104.87671232876713"/>
    <n v="30105.021712328769"/>
    <x v="2"/>
    <x v="0"/>
    <s v="TUCUMAN"/>
    <x v="3"/>
    <n v="35355"/>
    <n v="-5249.9782876712306"/>
    <n v="-0.14849323398872094"/>
    <n v="-4199982.6301369844"/>
    <n v="28284000"/>
    <n v="24084017.369863015"/>
    <n v="2.9000000000000001E-2"/>
    <n v="-74.5"/>
    <m/>
    <s v="PREVENTA ZAFRA 26"/>
    <n v="0"/>
    <n v="1358.5219999999999"/>
    <n v="14600.213131477925"/>
    <m/>
    <n v="14600.213131477925"/>
    <n v="365.00532828694816"/>
    <n v="1.096780177280898"/>
    <n v="1.543982538799771"/>
    <n v="367.6460910030288"/>
    <x v="4"/>
  </r>
  <r>
    <x v="0"/>
    <n v="1"/>
    <x v="17"/>
    <d v="2026-05-29T00:00:00"/>
    <x v="5"/>
    <s v="AZUCAR COMUN TIPO A"/>
    <x v="1"/>
    <d v="2026-05-29T00:00:00"/>
    <n v="40000"/>
    <n v="495.86776859504135"/>
    <n v="19834710.743801653"/>
    <n v="4165289.2561983471"/>
    <n v="24000000"/>
    <n v="0"/>
    <n v="0"/>
    <m/>
    <n v="24000000"/>
    <d v="2026-04-14T00:00:00"/>
    <x v="32"/>
    <n v="-9"/>
    <n v="-45"/>
    <m/>
    <d v="2026-06-05T00:00:00"/>
    <x v="21"/>
    <d v="2026-04-14T00:00:00"/>
    <n v="800"/>
    <n v="30000"/>
    <n v="0.14499999999999602"/>
    <n v="30000.145"/>
    <n v="107.26027397260275"/>
    <n v="30107.405273972603"/>
    <x v="2"/>
    <x v="0"/>
    <s v="TUCUMAN"/>
    <x v="3"/>
    <n v="35355"/>
    <n v="-5247.594726027397"/>
    <n v="-0.14842581603811056"/>
    <n v="-4198075.7808219176"/>
    <n v="28284000"/>
    <n v="24085924.219178081"/>
    <n v="2.9000000000000001E-2"/>
    <n v="-74.5"/>
    <m/>
    <s v="PREVENTA ZAFRA 26"/>
    <n v="0"/>
    <n v="1358.5219999999999"/>
    <n v="14600.213131477925"/>
    <m/>
    <n v="14600.213131477925"/>
    <n v="365.00532828694816"/>
    <n v="1.096780177280898"/>
    <n v="1.5790730510452204"/>
    <n v="367.68118151527426"/>
    <x v="4"/>
  </r>
  <r>
    <x v="0"/>
    <n v="1"/>
    <x v="17"/>
    <d v="2026-05-30T00:00:00"/>
    <x v="5"/>
    <s v="AZUCAR COMUN TIPO A"/>
    <x v="1"/>
    <d v="2026-05-30T00:00:00"/>
    <n v="40000"/>
    <n v="495.86776859504135"/>
    <n v="19834710.743801653"/>
    <n v="4165289.2561983471"/>
    <n v="24000000"/>
    <n v="0"/>
    <n v="0"/>
    <n v="0"/>
    <n v="24000000"/>
    <d v="2026-04-14T00:00:00"/>
    <x v="33"/>
    <n v="-8"/>
    <n v="-46"/>
    <m/>
    <d v="2026-06-06T00:00:00"/>
    <x v="21"/>
    <d v="2026-04-14T00:00:00"/>
    <n v="800"/>
    <n v="30000"/>
    <n v="0.14499999999999602"/>
    <n v="30000.145"/>
    <n v="109.64383561643837"/>
    <n v="30109.78883561644"/>
    <x v="2"/>
    <x v="0"/>
    <s v="TUCUMAN"/>
    <x v="3"/>
    <n v="35355"/>
    <n v="-5245.2111643835597"/>
    <n v="-0.14835839808749995"/>
    <n v="-4196168.931506848"/>
    <n v="28284000"/>
    <n v="24087831.068493154"/>
    <n v="2.9000000000000001E-2"/>
    <n v="-74.5"/>
    <m/>
    <s v="PREVENTA ZAFRA 26"/>
    <n v="0"/>
    <n v="1358.5219999999999"/>
    <n v="14600.213131477925"/>
    <m/>
    <n v="14600.213131477925"/>
    <n v="365.00532828694816"/>
    <n v="1.096780177280898"/>
    <n v="1.6141635632906697"/>
    <n v="367.71627202751972"/>
    <x v="4"/>
  </r>
  <r>
    <x v="0"/>
    <n v="1"/>
    <x v="17"/>
    <d v="2026-05-31T00:00:00"/>
    <x v="5"/>
    <s v="AZUCAR COMUN TIPO A"/>
    <x v="1"/>
    <d v="2026-05-31T00:00:00"/>
    <n v="40000"/>
    <n v="495.86776859504135"/>
    <n v="19834710.743801653"/>
    <n v="4165289.2561983471"/>
    <n v="24000000"/>
    <n v="0"/>
    <n v="0"/>
    <n v="0"/>
    <n v="24000000"/>
    <d v="2026-04-14T00:00:00"/>
    <x v="52"/>
    <n v="-7"/>
    <n v="-47"/>
    <m/>
    <d v="2026-06-07T00:00:00"/>
    <x v="21"/>
    <d v="2026-04-14T00:00:00"/>
    <n v="800"/>
    <n v="30000"/>
    <n v="0.14499999999999602"/>
    <n v="30000.145"/>
    <n v="112.02739726027399"/>
    <n v="30112.172397260274"/>
    <x v="2"/>
    <x v="0"/>
    <s v="TUCUMAN"/>
    <x v="3"/>
    <n v="35355"/>
    <n v="-5242.827602739726"/>
    <n v="-0.14829098013688946"/>
    <n v="-4194262.0821917807"/>
    <n v="28284000"/>
    <n v="24089737.91780822"/>
    <n v="2.9000000000000001E-2"/>
    <n v="-74.5"/>
    <m/>
    <s v="PREVENTA ZAFRA 26"/>
    <n v="0"/>
    <n v="1358.5219999999999"/>
    <n v="14600.213131477925"/>
    <m/>
    <n v="14600.213131477925"/>
    <n v="365.00532828694816"/>
    <n v="1.096780177280898"/>
    <n v="1.6492540755361191"/>
    <n v="367.75136253976518"/>
    <x v="4"/>
  </r>
  <r>
    <x v="0"/>
    <n v="1"/>
    <x v="17"/>
    <d v="2026-06-05T00:00:00"/>
    <x v="6"/>
    <s v="AZUCAR COMUN TIPO A"/>
    <x v="1"/>
    <d v="2026-06-05T00:00:00"/>
    <n v="40000"/>
    <n v="616.52892561983469"/>
    <n v="24661157.024793386"/>
    <n v="5178842.9752066107"/>
    <n v="29839999.999999996"/>
    <n v="0"/>
    <n v="0"/>
    <n v="0"/>
    <n v="29839999.999999996"/>
    <d v="2026-05-26T00:00:00"/>
    <x v="16"/>
    <n v="-2"/>
    <n v="-10"/>
    <m/>
    <d v="2026-06-12T00:00:00"/>
    <x v="22"/>
    <d v="2026-05-25T00:00:00"/>
    <n v="800"/>
    <n v="37300"/>
    <n v="2.4999999999991473E-2"/>
    <n v="37300.025000000001"/>
    <n v="29.635616438356163"/>
    <n v="37329.660616438356"/>
    <x v="2"/>
    <x v="0"/>
    <s v="TUCUMAN"/>
    <x v="3"/>
    <n v="37115"/>
    <n v="214.66061643835565"/>
    <n v="5.7836620352513801E-3"/>
    <n v="171728.49315068452"/>
    <n v="29692000"/>
    <n v="29863728.493150685"/>
    <n v="2.9000000000000001E-2"/>
    <n v="-92.5"/>
    <m/>
    <s v="COMBUSTIBLE"/>
    <n v="0"/>
    <n v="1393.5019"/>
    <n v="17697.253964844531"/>
    <m/>
    <n v="17697.253964844531"/>
    <n v="442.43134912111327"/>
    <n v="1.3275905831201236"/>
    <n v="0.42534016549753056"/>
    <n v="444.18427986973091"/>
    <x v="4"/>
  </r>
  <r>
    <x v="0"/>
    <n v="1"/>
    <x v="17"/>
    <d v="2026-06-05T00:00:00"/>
    <x v="6"/>
    <s v="AZUCAR COMUN TIPO A"/>
    <x v="1"/>
    <d v="2026-06-05T00:00:00"/>
    <n v="40000"/>
    <n v="616.52892561983469"/>
    <n v="24661157.024793386"/>
    <n v="5178842.9752066107"/>
    <n v="29839999.999999996"/>
    <n v="0"/>
    <n v="0"/>
    <n v="0"/>
    <n v="29839999.999999996"/>
    <d v="2026-05-26T00:00:00"/>
    <x v="16"/>
    <n v="-2"/>
    <n v="-10"/>
    <m/>
    <d v="2026-06-12T00:00:00"/>
    <x v="22"/>
    <d v="2026-05-25T00:00:00"/>
    <n v="800"/>
    <n v="37300"/>
    <n v="2.4999999999991473E-2"/>
    <n v="37300.025000000001"/>
    <n v="29.635616438356163"/>
    <n v="37329.660616438356"/>
    <x v="2"/>
    <x v="0"/>
    <s v="TUCUMAN"/>
    <x v="3"/>
    <n v="37115"/>
    <n v="214.66061643835565"/>
    <n v="5.7836620352513801E-3"/>
    <n v="171728.49315068452"/>
    <n v="29692000"/>
    <n v="29863728.493150685"/>
    <n v="2.9000000000000001E-2"/>
    <n v="-92.5"/>
    <m/>
    <s v="COMBUSTIBLE"/>
    <n v="0"/>
    <n v="1393.5019"/>
    <n v="17697.253964844531"/>
    <m/>
    <n v="17697.253964844531"/>
    <n v="442.43134912111327"/>
    <n v="1.3275905831201236"/>
    <n v="0.42534016549753056"/>
    <n v="444.18427986973091"/>
    <x v="4"/>
  </r>
  <r>
    <x v="0"/>
    <n v="1"/>
    <x v="17"/>
    <d v="2026-06-05T00:00:00"/>
    <x v="6"/>
    <s v="AZUCAR COMUN TIPO A"/>
    <x v="1"/>
    <d v="2026-06-05T00:00:00"/>
    <n v="40000"/>
    <n v="616.52892561983469"/>
    <n v="24661157.024793386"/>
    <n v="5178842.9752066107"/>
    <n v="29839999.999999996"/>
    <n v="0"/>
    <n v="0"/>
    <n v="0"/>
    <n v="29839999.999999996"/>
    <d v="2026-05-26T00:00:00"/>
    <x v="16"/>
    <n v="-2"/>
    <n v="-10"/>
    <m/>
    <d v="2026-06-12T00:00:00"/>
    <x v="22"/>
    <d v="2026-05-25T00:00:00"/>
    <n v="800"/>
    <n v="37300"/>
    <n v="2.4999999999991473E-2"/>
    <n v="37300.025000000001"/>
    <n v="29.635616438356163"/>
    <n v="37329.660616438356"/>
    <x v="2"/>
    <x v="0"/>
    <s v="TUCUMAN"/>
    <x v="3"/>
    <n v="37115"/>
    <n v="214.66061643835565"/>
    <n v="5.7836620352513801E-3"/>
    <n v="171728.49315068452"/>
    <n v="29692000"/>
    <n v="29863728.493150685"/>
    <n v="2.9000000000000001E-2"/>
    <n v="-92.5"/>
    <m/>
    <s v="COMBUSTIBLE"/>
    <n v="0"/>
    <n v="1393.5019"/>
    <n v="17697.253964844531"/>
    <m/>
    <n v="17697.253964844531"/>
    <n v="442.43134912111327"/>
    <n v="1.3275905831201236"/>
    <n v="0.42534016549753056"/>
    <n v="444.18427986973091"/>
    <x v="4"/>
  </r>
  <r>
    <x v="0"/>
    <n v="1"/>
    <x v="18"/>
    <d v="2026-05-27T00:00:00"/>
    <x v="2"/>
    <s v="AZUCAR COMUN TIPO A"/>
    <x v="1"/>
    <d v="2026-05-27T00:00:00"/>
    <n v="28000"/>
    <n v="726"/>
    <n v="20328000"/>
    <n v="4268880"/>
    <n v="24596880"/>
    <n v="24596880"/>
    <n v="0"/>
    <n v="0"/>
    <n v="0"/>
    <d v="2026-06-11T00:00:00"/>
    <x v="48"/>
    <n v="19"/>
    <n v="15"/>
    <m/>
    <d v="2026-07-03T00:00:00"/>
    <x v="23"/>
    <d v="2026-05-18T00:00:00"/>
    <n v="560"/>
    <n v="43923"/>
    <n v="-3580.2690000000002"/>
    <n v="40342.731"/>
    <n v="-52.346589041095889"/>
    <n v="40290.384410958904"/>
    <x v="2"/>
    <x v="9"/>
    <s v="BUENOS AIRES"/>
    <x v="2"/>
    <n v="37105"/>
    <n v="3185.3844109589045"/>
    <n v="8.584784829427039E-2"/>
    <n v="1783815.2701369864"/>
    <n v="20778800"/>
    <n v="22562615.270136986"/>
    <n v="2.9000000000000001E-2"/>
    <n v="2850"/>
    <n v="30"/>
    <m/>
    <n v="-20328000"/>
    <n v="1394.9739999999999"/>
    <n v="14572.314609447918"/>
    <m/>
    <n v="14572.314609447918"/>
    <n v="520.43980748028275"/>
    <n v="-40.86097662035278"/>
    <n v="-0.75050271963629267"/>
    <n v="478.82832814029365"/>
    <x v="3"/>
  </r>
  <r>
    <x v="0"/>
    <n v="1"/>
    <x v="19"/>
    <d v="2026-06-17T00:00:00"/>
    <x v="2"/>
    <s v="AZUCAR COMUN TIPO A"/>
    <x v="1"/>
    <d v="2026-06-17T00:00:00"/>
    <n v="30000"/>
    <n v="578.51239669421489"/>
    <n v="17355371.900826447"/>
    <n v="3644628.0991735538"/>
    <n v="21000000"/>
    <n v="0"/>
    <n v="0"/>
    <n v="0"/>
    <n v="21000000"/>
    <d v="2026-05-14T00:00:00"/>
    <x v="53"/>
    <n v="10"/>
    <n v="-34"/>
    <m/>
    <d v="2026-06-24T00:00:00"/>
    <x v="11"/>
    <d v="2026-05-14T00:00:00"/>
    <n v="600"/>
    <n v="35000"/>
    <n v="0.26999999999999602"/>
    <n v="35000.269999999997"/>
    <n v="94.547945205479451"/>
    <n v="35094.817945205476"/>
    <x v="2"/>
    <x v="0"/>
    <s v="TUCUMAN"/>
    <x v="3"/>
    <n v="37097"/>
    <n v="-2002.1820547945244"/>
    <n v="-5.3971535563375084E-2"/>
    <n v="-1201309.2328767148"/>
    <n v="22258200"/>
    <n v="21056890.767123286"/>
    <n v="2.9000000000000001E-2"/>
    <n v="-87"/>
    <n v="0"/>
    <s v="PREVENTA ZAFRA 26"/>
    <n v="0"/>
    <n v="1393.2321999999999"/>
    <n v="12456.91271047744"/>
    <m/>
    <n v="12456.91271047744"/>
    <n v="415.23042368258132"/>
    <n v="1.2488944771732953"/>
    <n v="1.3572460528184671"/>
    <n v="417.83656421257308"/>
    <x v="4"/>
  </r>
  <r>
    <x v="0"/>
    <n v="1"/>
    <x v="20"/>
    <d v="2026-05-27T00:00:00"/>
    <x v="2"/>
    <s v="AZUCAR COMUN TIPO A"/>
    <x v="1"/>
    <d v="2026-05-27T00:00:00"/>
    <n v="28000"/>
    <n v="699"/>
    <n v="19572000"/>
    <n v="4110120"/>
    <n v="23682120"/>
    <n v="23682120"/>
    <n v="0"/>
    <n v="0"/>
    <n v="0"/>
    <d v="2026-06-26T00:00:00"/>
    <x v="48"/>
    <n v="19"/>
    <n v="30"/>
    <m/>
    <d v="2026-07-03T00:00:00"/>
    <x v="24"/>
    <d v="2026-05-19T00:00:00"/>
    <n v="560"/>
    <n v="42289.5"/>
    <n v="0.18150000000001398"/>
    <n v="42289.681499999999"/>
    <n v="-100.79963013698629"/>
    <n v="42188.881869863013"/>
    <x v="2"/>
    <x v="0"/>
    <s v="ENTRE RIOS"/>
    <x v="2"/>
    <n v="37107"/>
    <n v="5081.881869863013"/>
    <n v="0.13695210795437562"/>
    <n v="2845853.8471232872"/>
    <n v="20779920"/>
    <n v="23625773.847123288"/>
    <n v="2.9000000000000001E-2"/>
    <n v="-105"/>
    <n v="30"/>
    <m/>
    <n v="0"/>
    <n v="1398.9159999999999"/>
    <n v="13990.832902047014"/>
    <m/>
    <n v="13990.832902047014"/>
    <n v="499.6726036445362"/>
    <n v="1.5011623285458169"/>
    <n v="-1.4411105475523378"/>
    <n v="499.73265542552969"/>
    <x v="3"/>
  </r>
  <r>
    <x v="0"/>
    <n v="1"/>
    <x v="2"/>
    <d v="2026-06-01T00:00:00"/>
    <x v="2"/>
    <s v="AZUCAR COMUN TIPO A"/>
    <x v="1"/>
    <d v="2026-06-01T00:00:00"/>
    <n v="28000"/>
    <n v="620"/>
    <n v="17360000"/>
    <n v="3645600"/>
    <n v="21005600"/>
    <n v="21005600"/>
    <n v="0"/>
    <n v="0"/>
    <n v="0"/>
    <d v="2026-06-07T00:00:00"/>
    <x v="38"/>
    <n v="24"/>
    <n v="6"/>
    <m/>
    <d v="2026-07-08T00:00:00"/>
    <x v="25"/>
    <d v="2026-05-22T00:00:00"/>
    <n v="560"/>
    <n v="37510"/>
    <n v="-2774.53"/>
    <n v="34735.47"/>
    <n v="-17.881479452054794"/>
    <n v="34717.58852054795"/>
    <x v="2"/>
    <x v="2"/>
    <s v="CORDOBA"/>
    <x v="2"/>
    <n v="37115"/>
    <n v="-2397.4114794520501"/>
    <n v="-6.4594139282016738E-2"/>
    <n v="-1342550.4284931482"/>
    <n v="20784400"/>
    <n v="19441849.57150685"/>
    <n v="2.9000000000000001E-2"/>
    <n v="2200"/>
    <n v="30"/>
    <m/>
    <n v="0"/>
    <n v="1393.5019"/>
    <n v="12457.822985386672"/>
    <m/>
    <n v="12457.822985386672"/>
    <n v="444.92224947809547"/>
    <n v="-31.575127382316452"/>
    <n v="-0.25664090521950195"/>
    <n v="413.0904811905595"/>
    <x v="2"/>
  </r>
  <r>
    <x v="0"/>
    <n v="1"/>
    <x v="2"/>
    <d v="2026-06-03T00:00:00"/>
    <x v="2"/>
    <s v="AZUCAR COMUN TIPO A"/>
    <x v="1"/>
    <d v="2026-06-03T00:00:00"/>
    <n v="28000"/>
    <n v="620"/>
    <n v="17360000"/>
    <n v="3645600"/>
    <n v="21005600"/>
    <n v="21005600"/>
    <n v="0"/>
    <n v="0"/>
    <n v="0"/>
    <d v="2026-06-07T00:00:00"/>
    <x v="36"/>
    <n v="26"/>
    <n v="4"/>
    <m/>
    <d v="2026-07-10T00:00:00"/>
    <x v="25"/>
    <d v="2026-05-22T00:00:00"/>
    <n v="560"/>
    <n v="37510"/>
    <n v="-2774.53"/>
    <n v="34735.47"/>
    <n v="-11.920986301369863"/>
    <n v="34723.549013698634"/>
    <x v="2"/>
    <x v="2"/>
    <s v="CORDOBA"/>
    <x v="2"/>
    <n v="37115"/>
    <n v="-2391.4509863013664"/>
    <n v="-6.4433544019974809E-2"/>
    <n v="-1339212.5523287652"/>
    <n v="20784400"/>
    <n v="19445187.447671235"/>
    <n v="2.9000000000000001E-2"/>
    <n v="2200"/>
    <n v="30"/>
    <m/>
    <n v="0"/>
    <n v="1393.5019"/>
    <n v="12457.822985386672"/>
    <m/>
    <n v="12457.822985386672"/>
    <n v="444.92224947809547"/>
    <n v="-31.575127382316452"/>
    <n v="-0.17109393681300131"/>
    <n v="413.17602815896601"/>
    <x v="2"/>
  </r>
  <r>
    <x v="0"/>
    <n v="1"/>
    <x v="2"/>
    <d v="2026-06-05T00:00:00"/>
    <x v="2"/>
    <s v="AZUCAR COMUN TIPO A"/>
    <x v="1"/>
    <d v="2026-06-05T00:00:00"/>
    <n v="28000"/>
    <n v="620"/>
    <n v="17360000"/>
    <n v="3645600"/>
    <n v="21005600"/>
    <n v="21005600"/>
    <n v="0"/>
    <n v="0"/>
    <n v="0"/>
    <d v="2026-06-07T00:00:00"/>
    <x v="25"/>
    <n v="28"/>
    <n v="2"/>
    <m/>
    <d v="2026-07-12T00:00:00"/>
    <x v="25"/>
    <d v="2026-05-22T00:00:00"/>
    <n v="560"/>
    <n v="37510"/>
    <n v="-2774.53"/>
    <n v="34735.47"/>
    <n v="-5.9604931506849317"/>
    <n v="34729.509506849317"/>
    <x v="2"/>
    <x v="2"/>
    <s v="CORDOBA"/>
    <x v="2"/>
    <n v="37115"/>
    <n v="-2385.4904931506826"/>
    <n v="-6.4272948757932991E-2"/>
    <n v="-1335874.6761643821"/>
    <n v="20784400"/>
    <n v="19448525.323835619"/>
    <n v="2.9000000000000001E-2"/>
    <n v="2200"/>
    <n v="30"/>
    <m/>
    <n v="0"/>
    <n v="1393.5019"/>
    <n v="12457.822985386672"/>
    <m/>
    <n v="12457.822985386672"/>
    <n v="444.92224947809547"/>
    <n v="-31.575127382316452"/>
    <n v="-8.5546968406500654E-2"/>
    <n v="413.26157512737251"/>
    <x v="2"/>
  </r>
  <r>
    <x v="0"/>
    <n v="1"/>
    <x v="2"/>
    <d v="2026-06-09T00:00:00"/>
    <x v="2"/>
    <s v="AZUCAR COMUN TIPO A"/>
    <x v="1"/>
    <d v="2026-06-09T00:00:00"/>
    <n v="28000"/>
    <n v="620"/>
    <n v="17360000"/>
    <n v="3645600"/>
    <n v="21005600"/>
    <n v="21005600"/>
    <n v="0"/>
    <n v="0"/>
    <n v="0"/>
    <d v="2026-06-07T00:00:00"/>
    <x v="41"/>
    <n v="32"/>
    <n v="-2"/>
    <m/>
    <d v="2026-07-16T00:00:00"/>
    <x v="25"/>
    <d v="2026-05-22T00:00:00"/>
    <n v="560"/>
    <n v="37510"/>
    <n v="-2774.53"/>
    <n v="34735.47"/>
    <n v="5.9604931506849317"/>
    <n v="34741.430493150685"/>
    <x v="2"/>
    <x v="2"/>
    <s v="CORDOBA"/>
    <x v="2"/>
    <n v="37115"/>
    <n v="-2373.5695068493151"/>
    <n v="-6.3951758233849243E-2"/>
    <n v="-1329198.9238356166"/>
    <n v="20784400"/>
    <n v="19455201.076164383"/>
    <n v="2.9000000000000001E-2"/>
    <n v="2200"/>
    <n v="30"/>
    <m/>
    <n v="0"/>
    <n v="1393.5019"/>
    <n v="12457.822985386672"/>
    <m/>
    <n v="12457.822985386672"/>
    <n v="444.92224947809547"/>
    <n v="-31.575127382316452"/>
    <n v="8.5546968406500654E-2"/>
    <n v="413.43266906418552"/>
    <x v="2"/>
  </r>
  <r>
    <x v="0"/>
    <n v="1"/>
    <x v="2"/>
    <d v="2026-06-11T00:00:00"/>
    <x v="2"/>
    <s v="AZUCAR COMUN TIPO A"/>
    <x v="1"/>
    <d v="2026-06-11T00:00:00"/>
    <n v="28000"/>
    <n v="620"/>
    <n v="17360000"/>
    <n v="3645600"/>
    <n v="21005600"/>
    <n v="21005600"/>
    <n v="0"/>
    <n v="0"/>
    <n v="0"/>
    <d v="2026-06-07T00:00:00"/>
    <x v="54"/>
    <n v="34"/>
    <n v="-4"/>
    <m/>
    <d v="2026-07-18T00:00:00"/>
    <x v="25"/>
    <d v="2026-05-22T00:00:00"/>
    <n v="560"/>
    <n v="37510"/>
    <n v="-2774.53"/>
    <n v="34735.47"/>
    <n v="11.920986301369863"/>
    <n v="34747.390986301369"/>
    <x v="2"/>
    <x v="2"/>
    <s v="CORDOBA"/>
    <x v="2"/>
    <n v="37115"/>
    <n v="-2367.6090136986313"/>
    <n v="-6.3791162971807425E-2"/>
    <n v="-1325861.0476712335"/>
    <n v="20784400"/>
    <n v="19458538.952328768"/>
    <n v="2.9000000000000001E-2"/>
    <n v="2200"/>
    <n v="30"/>
    <m/>
    <n v="0"/>
    <n v="1393.5019"/>
    <n v="12457.822985386672"/>
    <m/>
    <n v="12457.822985386672"/>
    <n v="444.92224947809547"/>
    <n v="-31.575127382316452"/>
    <n v="0.17109393681300131"/>
    <n v="413.51821603259202"/>
    <x v="2"/>
  </r>
  <r>
    <x v="0"/>
    <n v="1"/>
    <x v="2"/>
    <d v="2026-06-16T00:00:00"/>
    <x v="2"/>
    <s v="AZUCAR COMUN TIPO A"/>
    <x v="1"/>
    <d v="2026-06-16T00:00:00"/>
    <n v="28000"/>
    <n v="620"/>
    <n v="17360000"/>
    <n v="3645600"/>
    <n v="21005600"/>
    <n v="21005600"/>
    <n v="0"/>
    <n v="0"/>
    <n v="0"/>
    <d v="2026-06-07T00:00:00"/>
    <x v="55"/>
    <n v="39"/>
    <n v="-9"/>
    <m/>
    <d v="2026-07-23T00:00:00"/>
    <x v="25"/>
    <d v="2026-05-22T00:00:00"/>
    <n v="560"/>
    <n v="37510"/>
    <n v="-2774.53"/>
    <n v="34735.47"/>
    <n v="26.822219178082193"/>
    <n v="34762.292219178082"/>
    <x v="2"/>
    <x v="2"/>
    <s v="CORDOBA"/>
    <x v="2"/>
    <n v="37115"/>
    <n v="-2352.7077808219183"/>
    <n v="-6.3389674816702657E-2"/>
    <n v="-1317516.3572602742"/>
    <n v="20784400"/>
    <n v="19466883.642739724"/>
    <n v="2.9000000000000001E-2"/>
    <n v="2200"/>
    <n v="30"/>
    <m/>
    <n v="0"/>
    <n v="1393.5019"/>
    <n v="12457.822985386672"/>
    <m/>
    <n v="12457.822985386672"/>
    <n v="444.92224947809547"/>
    <n v="-31.575127382316452"/>
    <n v="0.384961357829253"/>
    <n v="413.73208345360825"/>
    <x v="2"/>
  </r>
  <r>
    <x v="0"/>
    <n v="1"/>
    <x v="2"/>
    <d v="2026-06-18T00:00:00"/>
    <x v="2"/>
    <s v="AZUCAR COMUN TIPO A"/>
    <x v="1"/>
    <d v="2026-06-18T00:00:00"/>
    <n v="28000"/>
    <n v="620"/>
    <n v="17360000"/>
    <n v="3645600"/>
    <n v="21005600"/>
    <n v="21005600"/>
    <n v="0"/>
    <n v="0"/>
    <n v="0"/>
    <d v="2026-06-07T00:00:00"/>
    <x v="56"/>
    <n v="41"/>
    <n v="-11"/>
    <m/>
    <d v="2026-07-25T00:00:00"/>
    <x v="25"/>
    <d v="2026-05-22T00:00:00"/>
    <n v="560"/>
    <n v="37510"/>
    <n v="-2774.53"/>
    <n v="34735.47"/>
    <n v="32.782712328767126"/>
    <n v="34768.252712328765"/>
    <x v="2"/>
    <x v="2"/>
    <s v="CORDOBA"/>
    <x v="2"/>
    <n v="37115"/>
    <n v="-2346.7472876712345"/>
    <n v="-6.3229079554660728E-2"/>
    <n v="-1314178.4810958914"/>
    <n v="20784400"/>
    <n v="19470221.518904109"/>
    <n v="2.9000000000000001E-2"/>
    <n v="2200"/>
    <n v="30"/>
    <m/>
    <n v="0"/>
    <n v="1393.5019"/>
    <n v="12457.822985386672"/>
    <m/>
    <n v="12457.822985386672"/>
    <n v="444.92224947809547"/>
    <n v="-31.575127382316452"/>
    <n v="0.47050832623575367"/>
    <n v="413.81763042201476"/>
    <x v="2"/>
  </r>
  <r>
    <x v="0"/>
    <n v="1"/>
    <x v="2"/>
    <d v="2026-06-22T00:00:00"/>
    <x v="2"/>
    <s v="AZUCAR COMUN TIPO A"/>
    <x v="1"/>
    <d v="2026-06-22T00:00:00"/>
    <n v="28000"/>
    <n v="620"/>
    <n v="17360000"/>
    <n v="3645600"/>
    <n v="21005600"/>
    <n v="21005600"/>
    <n v="0"/>
    <n v="0"/>
    <n v="0"/>
    <d v="2026-06-07T00:00:00"/>
    <x v="57"/>
    <n v="45"/>
    <n v="-15"/>
    <m/>
    <d v="2026-07-29T00:00:00"/>
    <x v="25"/>
    <d v="2026-05-22T00:00:00"/>
    <n v="560"/>
    <n v="37510"/>
    <n v="-2774.53"/>
    <n v="34735.47"/>
    <n v="44.703698630136991"/>
    <n v="34780.17369863014"/>
    <x v="2"/>
    <x v="2"/>
    <s v="CORDOBA"/>
    <x v="2"/>
    <n v="37115"/>
    <n v="-2334.8263013698597"/>
    <n v="-6.2907889030576869E-2"/>
    <n v="-1307502.7287671214"/>
    <n v="20784400"/>
    <n v="19476897.271232877"/>
    <n v="2.9000000000000001E-2"/>
    <n v="2200"/>
    <n v="30"/>
    <m/>
    <n v="0"/>
    <n v="1393.5019"/>
    <n v="12457.822985386672"/>
    <m/>
    <n v="12457.822985386672"/>
    <n v="444.92224947809547"/>
    <n v="-31.575127382316452"/>
    <n v="0.6416022630487549"/>
    <n v="413.98872435882777"/>
    <x v="2"/>
  </r>
  <r>
    <x v="0"/>
    <n v="1"/>
    <x v="2"/>
    <d v="2026-06-24T00:00:00"/>
    <x v="2"/>
    <s v="AZUCAR COMUN TIPO A"/>
    <x v="1"/>
    <d v="2026-06-24T00:00:00"/>
    <n v="28000"/>
    <n v="620"/>
    <n v="17360000"/>
    <n v="3645600"/>
    <n v="21005600"/>
    <n v="21005600"/>
    <n v="0"/>
    <n v="0"/>
    <n v="0"/>
    <d v="2026-06-07T00:00:00"/>
    <x v="58"/>
    <n v="47"/>
    <n v="-17"/>
    <m/>
    <d v="2026-07-31T00:00:00"/>
    <x v="25"/>
    <d v="2026-05-22T00:00:00"/>
    <n v="560"/>
    <n v="37510"/>
    <n v="-2774.53"/>
    <n v="34735.47"/>
    <n v="50.664191780821916"/>
    <n v="34786.134191780824"/>
    <x v="2"/>
    <x v="2"/>
    <s v="CORDOBA"/>
    <x v="2"/>
    <n v="37115"/>
    <n v="-2328.865808219176"/>
    <n v="-6.274729376853494E-2"/>
    <n v="-1304164.8526027384"/>
    <n v="20784400"/>
    <n v="19480235.147397261"/>
    <n v="2.9000000000000001E-2"/>
    <n v="2200"/>
    <n v="30"/>
    <m/>
    <n v="0"/>
    <n v="1393.5019"/>
    <n v="12457.822985386672"/>
    <m/>
    <n v="12457.822985386672"/>
    <n v="444.92224947809547"/>
    <n v="-31.575127382316452"/>
    <n v="0.72714923145525545"/>
    <n v="414.07427132723427"/>
    <x v="2"/>
  </r>
  <r>
    <x v="0"/>
    <n v="1"/>
    <x v="2"/>
    <d v="2026-06-29T00:00:00"/>
    <x v="2"/>
    <s v="AZUCAR COMUN TIPO A"/>
    <x v="1"/>
    <d v="2026-06-29T00:00:00"/>
    <n v="28000"/>
    <n v="620"/>
    <n v="17360000"/>
    <n v="3645600"/>
    <n v="21005600"/>
    <n v="21005600"/>
    <n v="0"/>
    <n v="0"/>
    <n v="0"/>
    <d v="2026-06-07T00:00:00"/>
    <x v="45"/>
    <n v="52"/>
    <n v="-22"/>
    <m/>
    <d v="2026-08-05T00:00:00"/>
    <x v="25"/>
    <d v="2026-05-22T00:00:00"/>
    <n v="560"/>
    <n v="37510"/>
    <n v="-2774.53"/>
    <n v="34735.47"/>
    <n v="65.565424657534251"/>
    <n v="34801.035424657537"/>
    <x v="2"/>
    <x v="2"/>
    <s v="CORDOBA"/>
    <x v="2"/>
    <n v="37115"/>
    <n v="-2313.9645753424629"/>
    <n v="-6.2345805613430283E-2"/>
    <n v="-1295820.1621917794"/>
    <n v="20784400"/>
    <n v="19488579.837808222"/>
    <n v="2.9000000000000001E-2"/>
    <n v="2200"/>
    <n v="30"/>
    <m/>
    <n v="0"/>
    <n v="1393.5019"/>
    <n v="12457.822985386672"/>
    <m/>
    <n v="12457.822985386672"/>
    <n v="444.92224947809547"/>
    <n v="-31.575127382316452"/>
    <n v="0.94101665247150734"/>
    <n v="414.2881387482505"/>
    <x v="2"/>
  </r>
  <r>
    <x v="0"/>
    <n v="1"/>
    <x v="21"/>
    <d v="2026-05-28T00:00:00"/>
    <x v="2"/>
    <s v="AZUCAR COMUN TIPO A"/>
    <x v="0"/>
    <d v="2026-05-28T00:00:00"/>
    <n v="40000"/>
    <n v="595.04132231404958"/>
    <n v="23801652.892561983"/>
    <s v=""/>
    <n v="23801652.892561983"/>
    <n v="0"/>
    <n v="0"/>
    <n v="0"/>
    <n v="23801652.892561983"/>
    <d v="2026-05-28T00:00:00"/>
    <x v="44"/>
    <n v="-10"/>
    <n v="0"/>
    <m/>
    <d v="2026-06-04T00:00:00"/>
    <x v="26"/>
    <d v="2026-05-27T00:00:00"/>
    <n v="800"/>
    <n v="29752.066115702481"/>
    <n v="-0.31000000000000227"/>
    <n v="29751.756115702479"/>
    <n v="0"/>
    <n v="29751.756115702479"/>
    <x v="2"/>
    <x v="0"/>
    <s v="TUCUMAN"/>
    <x v="4"/>
    <n v="30673.553719008265"/>
    <n v="-921.79760330578574"/>
    <n v="-3.0051868516772218E-2"/>
    <n v="-737438.08264462859"/>
    <n v="24538842.975206614"/>
    <n v="23801404.892561983"/>
    <n v="2.9000000000000001E-2"/>
    <n v="-89"/>
    <m/>
    <s v="COMBUSTIBLE"/>
    <n v="0"/>
    <n v="1411.1795999999999"/>
    <n v="16866.494450856564"/>
    <m/>
    <n v="16866.494450856564"/>
    <n v="421.66236127141411"/>
    <n v="1.2613561023699607"/>
    <n v="0"/>
    <n v="422.92371737378409"/>
    <x v="0"/>
  </r>
  <r>
    <x v="0"/>
    <n v="1"/>
    <x v="21"/>
    <d v="2026-05-28T00:00:00"/>
    <x v="2"/>
    <s v="AZUCAR COMUN TIPO A"/>
    <x v="0"/>
    <d v="2026-05-28T00:00:00"/>
    <n v="35000"/>
    <n v="595.04132231404958"/>
    <n v="20826446.280991737"/>
    <s v=""/>
    <n v="20826446.280991737"/>
    <n v="0"/>
    <n v="0"/>
    <n v="0"/>
    <n v="20826446.280991737"/>
    <d v="2026-05-28T00:00:00"/>
    <x v="44"/>
    <n v="-10"/>
    <n v="0"/>
    <m/>
    <d v="2026-06-04T00:00:00"/>
    <x v="26"/>
    <d v="2026-05-27T00:00:00"/>
    <n v="700"/>
    <n v="29752.066115702481"/>
    <n v="-0.31000000000000227"/>
    <n v="29751.756115702479"/>
    <n v="0"/>
    <n v="29751.756115702479"/>
    <x v="2"/>
    <x v="0"/>
    <s v="TUCUMAN"/>
    <x v="4"/>
    <n v="30673.553719008265"/>
    <n v="-921.79760330578574"/>
    <n v="-3.0051868516772218E-2"/>
    <n v="-645258.32231405005"/>
    <n v="21471487.603305787"/>
    <n v="20826229.280991737"/>
    <n v="2.9000000000000001E-2"/>
    <n v="-89"/>
    <m/>
    <s v="COMBUSTIBLE"/>
    <n v="0"/>
    <n v="1411.1795999999999"/>
    <n v="14758.182644499493"/>
    <m/>
    <n v="14758.182644499493"/>
    <n v="421.66236127141411"/>
    <n v="1.2613561023699607"/>
    <n v="0"/>
    <n v="422.92371737378409"/>
    <x v="0"/>
  </r>
  <r>
    <x v="0"/>
    <n v="1"/>
    <x v="21"/>
    <d v="2026-05-29T00:00:00"/>
    <x v="2"/>
    <s v="AZUCAR COMUN TIPO A"/>
    <x v="0"/>
    <d v="2026-05-29T00:00:00"/>
    <n v="35000"/>
    <n v="595.04132231404958"/>
    <n v="20826446.280991737"/>
    <s v=""/>
    <n v="20826446.280991737"/>
    <n v="0"/>
    <n v="0"/>
    <n v="0"/>
    <n v="20826446.280991737"/>
    <d v="2026-05-29T00:00:00"/>
    <x v="32"/>
    <n v="-9"/>
    <n v="0"/>
    <m/>
    <d v="2026-06-05T00:00:00"/>
    <x v="26"/>
    <d v="2026-05-27T00:00:00"/>
    <n v="700"/>
    <n v="29752.066115702481"/>
    <n v="-0.31000000000000227"/>
    <n v="29751.756115702479"/>
    <n v="0"/>
    <n v="29751.756115702479"/>
    <x v="2"/>
    <x v="0"/>
    <s v="TUCUMAN"/>
    <x v="4"/>
    <n v="30673.553719008265"/>
    <n v="-921.79760330578574"/>
    <n v="-3.0051868516772218E-2"/>
    <n v="-645258.32231405005"/>
    <n v="21471487.603305787"/>
    <n v="20826229.280991737"/>
    <n v="2.9000000000000001E-2"/>
    <n v="-89"/>
    <m/>
    <s v="COMBUSTIBLE"/>
    <n v="0"/>
    <n v="1411.1795999999999"/>
    <n v="14758.182644499493"/>
    <m/>
    <n v="14758.182644499493"/>
    <n v="421.66236127141411"/>
    <n v="1.2613561023699607"/>
    <n v="0"/>
    <n v="422.92371737378409"/>
    <x v="0"/>
  </r>
  <r>
    <x v="0"/>
    <n v="1"/>
    <x v="21"/>
    <d v="2026-05-30T00:00:00"/>
    <x v="2"/>
    <s v="AZUCAR COMUN TIPO A"/>
    <x v="0"/>
    <d v="2026-05-30T00:00:00"/>
    <n v="40000"/>
    <n v="595.04132231404958"/>
    <n v="23801652.892561983"/>
    <s v=""/>
    <n v="23801652.892561983"/>
    <n v="0"/>
    <n v="0"/>
    <n v="0"/>
    <n v="23801652.892561983"/>
    <d v="2026-05-30T00:00:00"/>
    <x v="33"/>
    <n v="-8"/>
    <n v="0"/>
    <m/>
    <d v="2026-06-06T00:00:00"/>
    <x v="26"/>
    <d v="2026-05-27T00:00:00"/>
    <n v="800"/>
    <n v="29752.066115702481"/>
    <n v="-0.31000000000000227"/>
    <n v="29751.756115702479"/>
    <n v="0"/>
    <n v="29751.756115702479"/>
    <x v="2"/>
    <x v="0"/>
    <s v="TUCUMAN"/>
    <x v="4"/>
    <n v="30673.553719008265"/>
    <n v="-921.79760330578574"/>
    <n v="-3.0051868516772218E-2"/>
    <n v="-737438.08264462859"/>
    <n v="24538842.975206614"/>
    <n v="23801404.892561983"/>
    <n v="2.9000000000000001E-2"/>
    <n v="-89"/>
    <m/>
    <s v="COMBUSTIBLE"/>
    <n v="0"/>
    <n v="1411.1795999999999"/>
    <n v="16866.494450856564"/>
    <m/>
    <n v="16866.494450856564"/>
    <n v="421.66236127141411"/>
    <n v="1.2613561023699607"/>
    <n v="0"/>
    <n v="422.92371737378409"/>
    <x v="0"/>
  </r>
  <r>
    <x v="0"/>
    <n v="1"/>
    <x v="21"/>
    <d v="2026-06-01T00:00:00"/>
    <x v="2"/>
    <s v="AZUCAR COMUN TIPO A"/>
    <x v="0"/>
    <d v="2026-06-01T00:00:00"/>
    <n v="40000"/>
    <n v="595.04132231404958"/>
    <n v="23801652.892561983"/>
    <s v=""/>
    <n v="23801652.892561983"/>
    <n v="0"/>
    <n v="0"/>
    <n v="0"/>
    <n v="23801652.892561983"/>
    <d v="2026-06-01T00:00:00"/>
    <x v="19"/>
    <n v="-6"/>
    <n v="0"/>
    <m/>
    <d v="2026-06-08T00:00:00"/>
    <x v="26"/>
    <d v="2026-05-27T00:00:00"/>
    <n v="800"/>
    <n v="29752.066115702481"/>
    <n v="-0.31000000000000227"/>
    <n v="29751.756115702479"/>
    <n v="0"/>
    <n v="29751.756115702479"/>
    <x v="2"/>
    <x v="0"/>
    <s v="TUCUMAN"/>
    <x v="4"/>
    <n v="30673.553719008265"/>
    <n v="-921.79760330578574"/>
    <n v="-3.0051868516772218E-2"/>
    <n v="-737438.08264462859"/>
    <n v="24538842.975206614"/>
    <n v="23801404.892561983"/>
    <n v="2.9000000000000001E-2"/>
    <n v="-89"/>
    <m/>
    <s v="COMBUSTIBLE"/>
    <n v="0"/>
    <n v="1411.1795999999999"/>
    <n v="16866.494450856564"/>
    <m/>
    <n v="16866.494450856564"/>
    <n v="421.66236127141411"/>
    <n v="1.2613561023699607"/>
    <n v="0"/>
    <n v="422.92371737378409"/>
    <x v="0"/>
  </r>
  <r>
    <x v="0"/>
    <n v="1"/>
    <x v="21"/>
    <d v="2026-06-02T00:00:00"/>
    <x v="2"/>
    <s v="AZUCAR COMUN TIPO A"/>
    <x v="1"/>
    <d v="2026-06-02T00:00:00"/>
    <n v="40000"/>
    <n v="595.04132231404958"/>
    <n v="23801652.892561983"/>
    <s v=""/>
    <n v="23801652.892561983"/>
    <n v="0"/>
    <n v="0"/>
    <n v="0"/>
    <n v="23801652.892561983"/>
    <d v="2026-06-02T00:00:00"/>
    <x v="13"/>
    <n v="-5"/>
    <n v="0"/>
    <m/>
    <d v="2026-06-09T00:00:00"/>
    <x v="26"/>
    <d v="2026-05-27T00:00:00"/>
    <n v="800"/>
    <n v="29752.066115702481"/>
    <n v="-0.31000000000000227"/>
    <n v="29751.756115702479"/>
    <n v="0"/>
    <n v="29751.756115702479"/>
    <x v="2"/>
    <x v="0"/>
    <s v="TUCUMAN"/>
    <x v="4"/>
    <n v="30673.553719008265"/>
    <n v="-921.79760330578574"/>
    <n v="-3.0051868516772218E-2"/>
    <n v="-737438.08264462859"/>
    <n v="24538842.975206614"/>
    <n v="23801404.892561983"/>
    <n v="2.9000000000000001E-2"/>
    <n v="-89"/>
    <m/>
    <s v="COMBUSTIBLE"/>
    <n v="0"/>
    <n v="1411.1795999999999"/>
    <n v="16866.494450856564"/>
    <m/>
    <n v="16866.494450856564"/>
    <n v="421.66236127141411"/>
    <n v="1.2613561023699607"/>
    <n v="0"/>
    <n v="422.92371737378409"/>
    <x v="0"/>
  </r>
  <r>
    <x v="0"/>
    <n v="1"/>
    <x v="21"/>
    <d v="2026-06-04T00:00:00"/>
    <x v="2"/>
    <s v="AZUCAR COMUN TIPO A"/>
    <x v="1"/>
    <d v="2026-06-04T00:00:00"/>
    <n v="40000"/>
    <n v="595.04132231404958"/>
    <n v="23801652.892561983"/>
    <s v=""/>
    <n v="23801652.892561983"/>
    <n v="0"/>
    <n v="0"/>
    <n v="0"/>
    <n v="23801652.892561983"/>
    <d v="2026-06-04T00:00:00"/>
    <x v="15"/>
    <n v="-3"/>
    <n v="0"/>
    <m/>
    <d v="2026-06-11T00:00:00"/>
    <x v="26"/>
    <d v="2026-05-27T00:00:00"/>
    <n v="800"/>
    <n v="29752.066115702481"/>
    <n v="-0.31000000000000227"/>
    <n v="29751.756115702479"/>
    <n v="0"/>
    <n v="29751.756115702479"/>
    <x v="2"/>
    <x v="0"/>
    <s v="TUCUMAN"/>
    <x v="4"/>
    <n v="30673.553719008265"/>
    <n v="-921.79760330578574"/>
    <n v="-3.0051868516772218E-2"/>
    <n v="-737438.08264462859"/>
    <n v="24538842.975206614"/>
    <n v="23801404.892561983"/>
    <n v="2.9000000000000001E-2"/>
    <n v="-89"/>
    <m/>
    <s v="COMBUSTIBLE"/>
    <n v="0"/>
    <n v="1411.1795999999999"/>
    <n v="16866.494450856564"/>
    <m/>
    <n v="16866.494450856564"/>
    <n v="421.66236127141411"/>
    <n v="1.2613561023699607"/>
    <n v="0"/>
    <n v="422.92371737378409"/>
    <x v="0"/>
  </r>
  <r>
    <x v="0"/>
    <n v="1"/>
    <x v="21"/>
    <d v="2026-06-05T00:00:00"/>
    <x v="2"/>
    <s v="AZUCAR COMUN TIPO A"/>
    <x v="1"/>
    <d v="2026-06-05T00:00:00"/>
    <n v="35000"/>
    <n v="595.04132231404958"/>
    <n v="20826446.280991737"/>
    <s v=""/>
    <n v="20826446.280991737"/>
    <n v="0"/>
    <n v="0"/>
    <n v="0"/>
    <n v="20826446.280991737"/>
    <d v="2026-06-05T00:00:00"/>
    <x v="16"/>
    <n v="-2"/>
    <n v="0"/>
    <m/>
    <d v="2026-06-12T00:00:00"/>
    <x v="26"/>
    <d v="2026-05-27T00:00:00"/>
    <n v="700"/>
    <n v="29752.066115702481"/>
    <n v="-0.31000000000000227"/>
    <n v="29751.756115702479"/>
    <n v="0"/>
    <n v="29751.756115702479"/>
    <x v="2"/>
    <x v="0"/>
    <s v="TUCUMAN"/>
    <x v="4"/>
    <n v="30673.553719008265"/>
    <n v="-921.79760330578574"/>
    <n v="-3.0051868516772218E-2"/>
    <n v="-645258.32231405005"/>
    <n v="21471487.603305787"/>
    <n v="20826229.280991737"/>
    <n v="2.9000000000000001E-2"/>
    <n v="-89"/>
    <m/>
    <s v="COMBUSTIBLE"/>
    <n v="0"/>
    <n v="1411.1795999999999"/>
    <n v="14758.182644499493"/>
    <m/>
    <n v="14758.182644499493"/>
    <n v="421.66236127141411"/>
    <n v="1.2613561023699607"/>
    <n v="0"/>
    <n v="422.92371737378409"/>
    <x v="0"/>
  </r>
  <r>
    <x v="0"/>
    <n v="1"/>
    <x v="22"/>
    <d v="2026-05-28T00:00:00"/>
    <x v="2"/>
    <s v="AZUCAR GRADO 4"/>
    <x v="1"/>
    <d v="2026-05-28T00:00:00"/>
    <n v="28006"/>
    <n v="547.67773050000005"/>
    <n v="15338262.520383002"/>
    <s v=""/>
    <n v="15338262.520383002"/>
    <n v="0"/>
    <n v="0"/>
    <n v="0"/>
    <n v="15338262.520383002"/>
    <d v="2026-05-24T00:00:00"/>
    <x v="59"/>
    <n v="-14"/>
    <n v="-4"/>
    <m/>
    <d v="2026-05-31T00:00:00"/>
    <x v="27"/>
    <d v="2026-05-12T00:00:00"/>
    <n v="560.12"/>
    <n v="27383.886525000002"/>
    <n v="-99.403508085750019"/>
    <n v="27284.483016914251"/>
    <n v="8.7028242106849323"/>
    <n v="27293.185841124938"/>
    <x v="1"/>
    <x v="0"/>
    <s v="CHILE"/>
    <x v="1"/>
    <n v="30655.371900826449"/>
    <n v="-3362.1860597015111"/>
    <n v="-0.10967689677941461"/>
    <n v="-1883227.6557600105"/>
    <n v="17170686.90909091"/>
    <n v="15287459.253330899"/>
    <n v="2.9000000000000001E-2"/>
    <n v="0"/>
    <n v="-4"/>
    <m/>
    <n v="0"/>
    <n v="1386.5259000000001"/>
    <n v="11062.37"/>
    <m/>
    <n v="11062.37"/>
    <n v="395"/>
    <n v="0"/>
    <n v="0.12553424657534246"/>
    <n v="395.12553424657534"/>
    <x v="1"/>
  </r>
  <r>
    <x v="0"/>
    <n v="1"/>
    <x v="22"/>
    <d v="2026-05-28T00:00:00"/>
    <x v="2"/>
    <s v="AZUCAR GRADO 4"/>
    <x v="1"/>
    <d v="2026-05-28T00:00:00"/>
    <n v="28006"/>
    <n v="547.67773050000005"/>
    <n v="15338262.520383002"/>
    <s v=""/>
    <n v="15338262.520383002"/>
    <n v="15338262.520383002"/>
    <n v="0"/>
    <n v="0"/>
    <n v="0"/>
    <d v="2026-05-24T00:00:00"/>
    <x v="59"/>
    <n v="-14"/>
    <n v="-4"/>
    <m/>
    <d v="2026-05-31T00:00:00"/>
    <x v="27"/>
    <d v="2026-05-12T00:00:00"/>
    <n v="560.12"/>
    <n v="27383.886525000002"/>
    <n v="-99.403508085750019"/>
    <n v="27284.483016914251"/>
    <n v="8.7028242106849323"/>
    <n v="27293.185841124938"/>
    <x v="1"/>
    <x v="0"/>
    <s v="CHILE"/>
    <x v="1"/>
    <n v="30655.371900826449"/>
    <n v="-3362.1860597015111"/>
    <n v="-0.10967689677941461"/>
    <n v="-1883227.6557600105"/>
    <n v="17170686.90909091"/>
    <n v="15287459.253330899"/>
    <n v="2.9000000000000001E-2"/>
    <n v="0"/>
    <n v="-4"/>
    <m/>
    <n v="0"/>
    <n v="1386.5259000000001"/>
    <n v="11062.37"/>
    <m/>
    <n v="11062.37"/>
    <n v="395"/>
    <n v="0"/>
    <n v="0.12553424657534246"/>
    <n v="395.12553424657534"/>
    <x v="1"/>
  </r>
  <r>
    <x v="0"/>
    <n v="1"/>
    <x v="22"/>
    <d v="2026-06-03T00:00:00"/>
    <x v="2"/>
    <s v="AZUCAR GRADO 4"/>
    <x v="1"/>
    <d v="2026-06-03T00:00:00"/>
    <n v="28006"/>
    <n v="547.67773050000005"/>
    <n v="15338262.520383002"/>
    <s v=""/>
    <n v="15338262.520383002"/>
    <n v="15338262.520383002"/>
    <n v="0"/>
    <n v="0"/>
    <n v="0"/>
    <d v="2026-05-30T00:00:00"/>
    <x v="33"/>
    <n v="-8"/>
    <n v="-4"/>
    <m/>
    <d v="2026-06-06T00:00:00"/>
    <x v="27"/>
    <d v="2026-05-12T00:00:00"/>
    <n v="560.12"/>
    <n v="27383.886525000002"/>
    <n v="-99.403508085750019"/>
    <n v="27284.483016914251"/>
    <n v="8.7028242106849323"/>
    <n v="27293.185841124938"/>
    <x v="1"/>
    <x v="0"/>
    <s v="CHILE"/>
    <x v="1"/>
    <n v="30655.371900826449"/>
    <n v="-3362.1860597015111"/>
    <n v="-0.10967689677941461"/>
    <n v="-1883227.6557600105"/>
    <n v="17170686.90909091"/>
    <n v="15287459.253330899"/>
    <n v="2.9000000000000001E-2"/>
    <n v="0"/>
    <n v="-4"/>
    <m/>
    <n v="0"/>
    <n v="1386.5259000000001"/>
    <n v="11062.37"/>
    <m/>
    <n v="11062.37"/>
    <n v="395"/>
    <n v="0"/>
    <n v="0.12553424657534246"/>
    <n v="395.12553424657534"/>
    <x v="1"/>
  </r>
  <r>
    <x v="0"/>
    <n v="1"/>
    <x v="22"/>
    <d v="2026-06-03T00:00:00"/>
    <x v="2"/>
    <s v="AZUCAR GRADO 4"/>
    <x v="1"/>
    <d v="2026-06-03T00:00:00"/>
    <n v="28006"/>
    <n v="547.67773050000005"/>
    <n v="15338262.520383002"/>
    <s v=""/>
    <n v="15338262.520383002"/>
    <n v="15338262.520383002"/>
    <n v="0"/>
    <n v="0"/>
    <n v="0"/>
    <d v="2026-05-30T00:00:00"/>
    <x v="33"/>
    <n v="-8"/>
    <n v="-4"/>
    <m/>
    <d v="2026-06-06T00:00:00"/>
    <x v="27"/>
    <d v="2026-05-12T00:00:00"/>
    <n v="560.12"/>
    <n v="27383.886525000002"/>
    <n v="-99.403508085750019"/>
    <n v="27284.483016914251"/>
    <n v="8.7028242106849323"/>
    <n v="27293.185841124938"/>
    <x v="1"/>
    <x v="0"/>
    <s v="CHILE"/>
    <x v="1"/>
    <n v="30655.371900826449"/>
    <n v="-3362.1860597015111"/>
    <n v="-0.10967689677941461"/>
    <n v="-1883227.6557600105"/>
    <n v="17170686.90909091"/>
    <n v="15287459.253330899"/>
    <n v="2.9000000000000001E-2"/>
    <n v="0"/>
    <n v="-4"/>
    <m/>
    <n v="0"/>
    <n v="1386.5259000000001"/>
    <n v="11062.37"/>
    <m/>
    <n v="11062.37"/>
    <n v="395"/>
    <n v="0"/>
    <n v="0.12553424657534246"/>
    <n v="395.12553424657534"/>
    <x v="1"/>
  </r>
  <r>
    <x v="0"/>
    <n v="1"/>
    <x v="22"/>
    <d v="2026-06-06T00:00:00"/>
    <x v="2"/>
    <s v="AZUCAR GRADO 4"/>
    <x v="1"/>
    <d v="2026-06-06T00:00:00"/>
    <n v="28006"/>
    <n v="547.67773050000005"/>
    <n v="15338262.520383002"/>
    <s v=""/>
    <n v="15338262.520383002"/>
    <n v="15338262.520383002"/>
    <n v="0"/>
    <n v="0"/>
    <n v="0"/>
    <d v="2026-06-02T00:00:00"/>
    <x v="13"/>
    <n v="-5"/>
    <n v="-4"/>
    <m/>
    <d v="2026-06-09T00:00:00"/>
    <x v="27"/>
    <d v="2026-05-12T00:00:00"/>
    <n v="560.12"/>
    <n v="27383.886525000002"/>
    <n v="-99.403508085750019"/>
    <n v="27284.483016914251"/>
    <n v="8.7028242106849323"/>
    <n v="27293.185841124938"/>
    <x v="1"/>
    <x v="0"/>
    <s v="CHILE"/>
    <x v="1"/>
    <n v="30655.371900826449"/>
    <n v="-3362.1860597015111"/>
    <n v="-0.10967689677941461"/>
    <n v="-1883227.6557600105"/>
    <n v="17170686.90909091"/>
    <n v="15287459.253330899"/>
    <n v="2.9000000000000001E-2"/>
    <n v="0"/>
    <n v="-4"/>
    <m/>
    <n v="0"/>
    <n v="1386.5259000000001"/>
    <n v="11062.37"/>
    <m/>
    <n v="11062.37"/>
    <n v="395"/>
    <n v="0"/>
    <n v="0.12553424657534246"/>
    <n v="395.12553424657534"/>
    <x v="1"/>
  </r>
  <r>
    <x v="0"/>
    <n v="1"/>
    <x v="22"/>
    <d v="2026-06-06T00:00:00"/>
    <x v="2"/>
    <s v="AZUCAR GRADO 4"/>
    <x v="1"/>
    <d v="2026-06-06T00:00:00"/>
    <n v="28006"/>
    <n v="547.67773050000005"/>
    <n v="15338262.520383002"/>
    <s v=""/>
    <n v="15338262.520383002"/>
    <n v="15338262.520383002"/>
    <n v="0"/>
    <n v="0"/>
    <n v="0"/>
    <d v="2026-06-02T00:00:00"/>
    <x v="13"/>
    <n v="-5"/>
    <n v="-4"/>
    <m/>
    <d v="2026-06-09T00:00:00"/>
    <x v="27"/>
    <d v="2026-05-12T00:00:00"/>
    <n v="560.12"/>
    <n v="27383.886525000002"/>
    <n v="-99.403508085750019"/>
    <n v="27284.483016914251"/>
    <n v="8.7028242106849323"/>
    <n v="27293.185841124938"/>
    <x v="1"/>
    <x v="0"/>
    <s v="CHILE"/>
    <x v="1"/>
    <n v="30655.371900826449"/>
    <n v="-3362.1860597015111"/>
    <n v="-0.10967689677941461"/>
    <n v="-1883227.6557600105"/>
    <n v="17170686.90909091"/>
    <n v="15287459.253330899"/>
    <n v="2.9000000000000001E-2"/>
    <n v="0"/>
    <n v="-4"/>
    <m/>
    <n v="0"/>
    <n v="1386.5259000000001"/>
    <n v="11062.37"/>
    <m/>
    <n v="11062.37"/>
    <n v="395"/>
    <n v="0"/>
    <n v="0.12553424657534246"/>
    <n v="395.12553424657534"/>
    <x v="1"/>
  </r>
  <r>
    <x v="0"/>
    <n v="1"/>
    <x v="22"/>
    <d v="2026-06-10T00:00:00"/>
    <x v="2"/>
    <s v="AZUCAR GRADO 4"/>
    <x v="1"/>
    <d v="2026-06-10T00:00:00"/>
    <n v="28006"/>
    <n v="547.67773050000005"/>
    <n v="15338262.520383002"/>
    <s v=""/>
    <n v="15338262.520383002"/>
    <n v="15338262.520383002"/>
    <n v="0"/>
    <n v="0"/>
    <n v="0"/>
    <d v="2026-06-06T00:00:00"/>
    <x v="60"/>
    <n v="-1"/>
    <n v="-4"/>
    <m/>
    <d v="2026-06-13T00:00:00"/>
    <x v="27"/>
    <d v="2026-05-12T00:00:00"/>
    <n v="560.12"/>
    <n v="27383.886525000002"/>
    <n v="-99.403508085750019"/>
    <n v="27284.483016914251"/>
    <n v="8.7028242106849323"/>
    <n v="27293.185841124938"/>
    <x v="1"/>
    <x v="0"/>
    <s v="CHILE"/>
    <x v="1"/>
    <n v="30655.371900826449"/>
    <n v="-3362.1860597015111"/>
    <n v="-0.10967689677941461"/>
    <n v="-1883227.6557600105"/>
    <n v="17170686.90909091"/>
    <n v="15287459.253330899"/>
    <n v="2.9000000000000001E-2"/>
    <n v="0"/>
    <n v="-4"/>
    <m/>
    <n v="0"/>
    <n v="1386.5259000000001"/>
    <n v="11062.37"/>
    <m/>
    <n v="11062.37"/>
    <n v="395"/>
    <n v="0"/>
    <n v="0.12553424657534246"/>
    <n v="395.12553424657534"/>
    <x v="1"/>
  </r>
  <r>
    <x v="0"/>
    <n v="1"/>
    <x v="22"/>
    <d v="2026-06-10T00:00:00"/>
    <x v="2"/>
    <s v="AZUCAR GRADO 4"/>
    <x v="1"/>
    <d v="2026-06-10T00:00:00"/>
    <n v="28006"/>
    <n v="547.67773050000005"/>
    <n v="15338262.520383002"/>
    <s v=""/>
    <n v="15338262.520383002"/>
    <n v="15338262.520383002"/>
    <n v="0"/>
    <n v="0"/>
    <n v="0"/>
    <d v="2026-06-06T00:00:00"/>
    <x v="60"/>
    <n v="-1"/>
    <n v="-4"/>
    <m/>
    <d v="2026-06-13T00:00:00"/>
    <x v="27"/>
    <d v="2026-05-12T00:00:00"/>
    <n v="560.12"/>
    <n v="27383.886525000002"/>
    <n v="-99.403508085750019"/>
    <n v="27284.483016914251"/>
    <n v="8.7028242106849323"/>
    <n v="27293.185841124938"/>
    <x v="1"/>
    <x v="0"/>
    <s v="CHILE"/>
    <x v="1"/>
    <n v="30655.371900826449"/>
    <n v="-3362.1860597015111"/>
    <n v="-0.10967689677941461"/>
    <n v="-1883227.6557600105"/>
    <n v="17170686.90909091"/>
    <n v="15287459.253330899"/>
    <n v="2.9000000000000001E-2"/>
    <n v="0"/>
    <n v="-4"/>
    <m/>
    <n v="0"/>
    <n v="1386.5259000000001"/>
    <n v="11062.37"/>
    <m/>
    <n v="11062.37"/>
    <n v="395"/>
    <n v="0"/>
    <n v="0.12553424657534246"/>
    <n v="395.12553424657534"/>
    <x v="1"/>
  </r>
  <r>
    <x v="1"/>
    <n v="1"/>
    <x v="0"/>
    <d v="2026-06-07T00:00:00"/>
    <x v="0"/>
    <s v="AZÚCAR CRUDO"/>
    <x v="1"/>
    <d v="2026-06-07T00:00:00"/>
    <n v="35000"/>
    <n v="455.58481499999999"/>
    <n v="15945468.525"/>
    <n v="3348548.3902500002"/>
    <n v="19294016.91525"/>
    <m/>
    <n v="0"/>
    <n v="0"/>
    <n v="19294016.91525"/>
    <d v="2026-01-29T00:00:00"/>
    <x v="18"/>
    <n v="0"/>
    <n v="-129"/>
    <m/>
    <d v="2026-06-14T00:00:00"/>
    <x v="28"/>
    <d v="2026-01-29T00:00:00"/>
    <n v="700"/>
    <n v="27562.8813075"/>
    <n v="-0.40864392249999071"/>
    <n v="27562.4726635775"/>
    <n v="282.50065471604796"/>
    <n v="27844.973318293549"/>
    <x v="0"/>
    <x v="0"/>
    <s v="TUCUMAN"/>
    <x v="0"/>
    <n v="32515"/>
    <n v="-4670.0266817064512"/>
    <n v="-0.14362683935741816"/>
    <n v="-3269018.6771945157"/>
    <n v="22760500"/>
    <n v="19491481.322805483"/>
    <n v="2.9000000000000001E-2"/>
    <n v="-68"/>
    <m/>
    <m/>
    <n v="0"/>
    <n v="1446.3009999999999"/>
    <n v="11025"/>
    <m/>
    <n v="11025"/>
    <n v="315"/>
    <n v="0"/>
    <n v="3.9065264383561646"/>
    <n v="318.90652643835614"/>
    <x v="0"/>
  </r>
  <r>
    <x v="1"/>
    <n v="1"/>
    <x v="0"/>
    <d v="2026-06-08T00:00:00"/>
    <x v="0"/>
    <s v="AZÚCAR CRUDO"/>
    <x v="1"/>
    <d v="2026-06-08T00:00:00"/>
    <n v="35000"/>
    <n v="455.58481499999999"/>
    <n v="15945468.525"/>
    <n v="3348548.3902500002"/>
    <n v="19294016.91525"/>
    <m/>
    <n v="0"/>
    <n v="0"/>
    <n v="19294016.91525"/>
    <d v="2026-01-29T00:00:00"/>
    <x v="20"/>
    <n v="1"/>
    <n v="-130"/>
    <m/>
    <d v="2026-06-15T00:00:00"/>
    <x v="28"/>
    <d v="2026-01-29T00:00:00"/>
    <n v="700"/>
    <n v="27562.8813075"/>
    <n v="-0.40864392249999071"/>
    <n v="27562.4726635775"/>
    <n v="284.69058227198633"/>
    <n v="27847.163245849486"/>
    <x v="0"/>
    <x v="0"/>
    <s v="TUCUMAN"/>
    <x v="0"/>
    <n v="32515"/>
    <n v="-4667.836754150514"/>
    <n v="-0.14355948805629748"/>
    <n v="-3267485.7279053601"/>
    <n v="22760500"/>
    <n v="19493014.272094641"/>
    <n v="2.9000000000000001E-2"/>
    <n v="-68"/>
    <m/>
    <m/>
    <n v="0"/>
    <n v="1446.3009999999999"/>
    <n v="11025"/>
    <m/>
    <n v="11025"/>
    <n v="315"/>
    <n v="0"/>
    <n v="3.9368095890410966"/>
    <n v="318.9368095890411"/>
    <x v="0"/>
  </r>
  <r>
    <x v="1"/>
    <n v="1"/>
    <x v="0"/>
    <d v="2026-06-08T00:00:00"/>
    <x v="0"/>
    <s v="AZÚCAR CRUDO"/>
    <x v="1"/>
    <d v="2026-06-08T00:00:00"/>
    <n v="35000"/>
    <n v="455.58481499999999"/>
    <n v="15945468.525"/>
    <n v="3348548.3902500002"/>
    <n v="19294016.91525"/>
    <m/>
    <n v="0"/>
    <n v="0"/>
    <n v="19294016.91525"/>
    <d v="2026-01-29T00:00:00"/>
    <x v="20"/>
    <n v="1"/>
    <n v="-130"/>
    <m/>
    <d v="2026-06-15T00:00:00"/>
    <x v="28"/>
    <d v="2026-01-29T00:00:00"/>
    <n v="700"/>
    <n v="27562.8813075"/>
    <n v="-0.40864392249999071"/>
    <n v="27562.4726635775"/>
    <n v="284.69058227198633"/>
    <n v="27847.163245849486"/>
    <x v="0"/>
    <x v="0"/>
    <s v="TUCUMAN"/>
    <x v="0"/>
    <n v="32515"/>
    <n v="-4667.836754150514"/>
    <n v="-0.14355948805629748"/>
    <n v="-3267485.7279053601"/>
    <n v="22760500"/>
    <n v="19493014.272094641"/>
    <n v="2.9000000000000001E-2"/>
    <n v="-68"/>
    <m/>
    <m/>
    <n v="0"/>
    <n v="1446.3009999999999"/>
    <n v="11025"/>
    <m/>
    <n v="11025"/>
    <n v="315"/>
    <n v="0"/>
    <n v="3.9368095890410966"/>
    <n v="318.9368095890411"/>
    <x v="0"/>
  </r>
  <r>
    <x v="1"/>
    <n v="1"/>
    <x v="0"/>
    <d v="2026-06-09T00:00:00"/>
    <x v="0"/>
    <s v="AZÚCAR CRUDO"/>
    <x v="1"/>
    <d v="2026-06-09T00:00:00"/>
    <n v="35000"/>
    <n v="455.58481499999999"/>
    <n v="15945468.525"/>
    <n v="3348548.3902500002"/>
    <n v="19294016.91525"/>
    <m/>
    <n v="0"/>
    <n v="0"/>
    <n v="19294016.91525"/>
    <d v="2026-01-29T00:00:00"/>
    <x v="61"/>
    <n v="2"/>
    <n v="-131"/>
    <m/>
    <d v="2026-06-16T00:00:00"/>
    <x v="28"/>
    <d v="2026-01-29T00:00:00"/>
    <n v="700"/>
    <n v="27562.8813075"/>
    <n v="-0.40864392249999071"/>
    <n v="27562.4726635775"/>
    <n v="286.88050982792464"/>
    <n v="27849.353173405427"/>
    <x v="0"/>
    <x v="0"/>
    <s v="TUCUMAN"/>
    <x v="0"/>
    <n v="32515"/>
    <n v="-4665.6468265945732"/>
    <n v="-0.1434921367551768"/>
    <n v="-3265952.7786162011"/>
    <n v="22760500"/>
    <n v="19494547.221383799"/>
    <n v="2.9000000000000001E-2"/>
    <n v="-68"/>
    <m/>
    <m/>
    <n v="0"/>
    <n v="1446.3009999999999"/>
    <n v="11025"/>
    <m/>
    <n v="11025"/>
    <n v="315"/>
    <n v="0"/>
    <n v="3.9670927397260276"/>
    <n v="318.96709273972601"/>
    <x v="0"/>
  </r>
  <r>
    <x v="1"/>
    <n v="1"/>
    <x v="0"/>
    <d v="2026-06-09T00:00:00"/>
    <x v="0"/>
    <s v="AZÚCAR CRUDO"/>
    <x v="1"/>
    <d v="2026-06-09T00:00:00"/>
    <n v="35000"/>
    <n v="455.58481499999999"/>
    <n v="15945468.525"/>
    <n v="3348548.3902500002"/>
    <n v="19294016.91525"/>
    <m/>
    <n v="0"/>
    <n v="0"/>
    <n v="19294016.91525"/>
    <d v="2026-01-29T00:00:00"/>
    <x v="61"/>
    <n v="2"/>
    <n v="-131"/>
    <m/>
    <d v="2026-06-16T00:00:00"/>
    <x v="28"/>
    <d v="2026-01-29T00:00:00"/>
    <n v="700"/>
    <n v="27562.8813075"/>
    <n v="-0.40864392249999071"/>
    <n v="27562.4726635775"/>
    <n v="286.88050982792464"/>
    <n v="27849.353173405427"/>
    <x v="0"/>
    <x v="0"/>
    <s v="TUCUMAN"/>
    <x v="0"/>
    <n v="32515"/>
    <n v="-4665.6468265945732"/>
    <n v="-0.1434921367551768"/>
    <n v="-3265952.7786162011"/>
    <n v="22760500"/>
    <n v="19494547.221383799"/>
    <n v="2.9000000000000001E-2"/>
    <n v="-68"/>
    <m/>
    <m/>
    <n v="0"/>
    <n v="1446.3009999999999"/>
    <n v="11025"/>
    <m/>
    <n v="11025"/>
    <n v="315"/>
    <n v="0"/>
    <n v="3.9670927397260276"/>
    <n v="318.96709273972601"/>
    <x v="0"/>
  </r>
  <r>
    <x v="1"/>
    <n v="1"/>
    <x v="0"/>
    <d v="2026-06-10T00:00:00"/>
    <x v="0"/>
    <s v="AZÚCAR CRUDO"/>
    <x v="1"/>
    <d v="2026-06-10T00:00:00"/>
    <n v="35000"/>
    <n v="455.58481499999999"/>
    <n v="15945468.525"/>
    <n v="3348548.3902500002"/>
    <n v="19294016.91525"/>
    <m/>
    <n v="0"/>
    <n v="0"/>
    <n v="19294016.91525"/>
    <d v="2026-01-29T00:00:00"/>
    <x v="43"/>
    <n v="3"/>
    <n v="-132"/>
    <m/>
    <d v="2026-06-17T00:00:00"/>
    <x v="28"/>
    <d v="2026-01-29T00:00:00"/>
    <n v="700"/>
    <n v="27562.8813075"/>
    <n v="-0.40864392249999071"/>
    <n v="27562.4726635775"/>
    <n v="289.07043738386301"/>
    <n v="27851.543100961364"/>
    <x v="0"/>
    <x v="0"/>
    <s v="TUCUMAN"/>
    <x v="0"/>
    <n v="32515"/>
    <n v="-4663.456899038636"/>
    <n v="-0.14342478545405613"/>
    <n v="-3264419.829327045"/>
    <n v="22760500"/>
    <n v="19496080.170672953"/>
    <n v="2.9000000000000001E-2"/>
    <n v="-68"/>
    <m/>
    <m/>
    <n v="0"/>
    <n v="1446.3009999999999"/>
    <n v="11025"/>
    <m/>
    <n v="11025"/>
    <n v="315"/>
    <n v="0"/>
    <n v="3.9973758904109591"/>
    <n v="318.99737589041098"/>
    <x v="0"/>
  </r>
  <r>
    <x v="1"/>
    <n v="1"/>
    <x v="0"/>
    <d v="2026-06-10T00:00:00"/>
    <x v="0"/>
    <s v="AZÚCAR CRUDO"/>
    <x v="1"/>
    <d v="2026-06-10T00:00:00"/>
    <n v="35000"/>
    <n v="455.58481499999999"/>
    <n v="15945468.525"/>
    <n v="3348548.3902500002"/>
    <n v="19294016.91525"/>
    <m/>
    <n v="0"/>
    <n v="0"/>
    <n v="19294016.91525"/>
    <d v="2026-01-29T00:00:00"/>
    <x v="43"/>
    <n v="3"/>
    <n v="-132"/>
    <m/>
    <d v="2026-06-17T00:00:00"/>
    <x v="28"/>
    <d v="2026-01-29T00:00:00"/>
    <n v="700"/>
    <n v="27562.8813075"/>
    <n v="-0.40864392249999071"/>
    <n v="27562.4726635775"/>
    <n v="289.07043738386301"/>
    <n v="27851.543100961364"/>
    <x v="0"/>
    <x v="0"/>
    <s v="TUCUMAN"/>
    <x v="0"/>
    <n v="32515"/>
    <n v="-4663.456899038636"/>
    <n v="-0.14342478545405613"/>
    <n v="-3264419.829327045"/>
    <n v="22760500"/>
    <n v="19496080.170672953"/>
    <n v="2.9000000000000001E-2"/>
    <n v="-68"/>
    <m/>
    <m/>
    <n v="0"/>
    <n v="1446.3009999999999"/>
    <n v="11025"/>
    <m/>
    <n v="11025"/>
    <n v="315"/>
    <n v="0"/>
    <n v="3.9973758904109591"/>
    <n v="318.99737589041098"/>
    <x v="0"/>
  </r>
  <r>
    <x v="1"/>
    <n v="1"/>
    <x v="0"/>
    <d v="2026-06-11T00:00:00"/>
    <x v="0"/>
    <s v="AZÚCAR CRUDO"/>
    <x v="1"/>
    <d v="2026-06-11T00:00:00"/>
    <n v="35000"/>
    <n v="455.58481499999999"/>
    <n v="15945468.525"/>
    <n v="3348548.3902500002"/>
    <n v="19294016.91525"/>
    <m/>
    <n v="0"/>
    <n v="0"/>
    <n v="19294016.91525"/>
    <d v="2026-01-29T00:00:00"/>
    <x v="34"/>
    <n v="4"/>
    <n v="-133"/>
    <m/>
    <d v="2026-06-18T00:00:00"/>
    <x v="28"/>
    <d v="2026-01-29T00:00:00"/>
    <n v="700"/>
    <n v="27562.8813075"/>
    <n v="-0.40864392249999071"/>
    <n v="27562.4726635775"/>
    <n v="291.26036493980138"/>
    <n v="27853.733028517301"/>
    <x v="0"/>
    <x v="0"/>
    <s v="TUCUMAN"/>
    <x v="0"/>
    <n v="32515"/>
    <n v="-4661.2669714826989"/>
    <n v="-0.14335743415293556"/>
    <n v="-3262886.8800378894"/>
    <n v="22760500"/>
    <n v="19497613.119962111"/>
    <n v="2.9000000000000001E-2"/>
    <n v="-68"/>
    <m/>
    <m/>
    <n v="0"/>
    <n v="1446.3009999999999"/>
    <n v="11025"/>
    <m/>
    <n v="11025"/>
    <n v="315"/>
    <n v="0"/>
    <n v="4.0276590410958901"/>
    <n v="319.02765904109589"/>
    <x v="0"/>
  </r>
  <r>
    <x v="1"/>
    <n v="1"/>
    <x v="0"/>
    <d v="2026-06-11T00:00:00"/>
    <x v="0"/>
    <s v="AZÚCAR CRUDO"/>
    <x v="1"/>
    <d v="2026-06-11T00:00:00"/>
    <n v="35000"/>
    <n v="455.58481499999999"/>
    <n v="15945468.525"/>
    <n v="3348548.3902500002"/>
    <n v="19294016.91525"/>
    <m/>
    <n v="0"/>
    <n v="0"/>
    <n v="19294016.91525"/>
    <d v="2026-01-29T00:00:00"/>
    <x v="34"/>
    <n v="4"/>
    <n v="-133"/>
    <m/>
    <d v="2026-06-18T00:00:00"/>
    <x v="28"/>
    <d v="2026-01-29T00:00:00"/>
    <n v="700"/>
    <n v="27562.8813075"/>
    <n v="-0.40864392249999071"/>
    <n v="27562.4726635775"/>
    <n v="291.26036493980138"/>
    <n v="27853.733028517301"/>
    <x v="0"/>
    <x v="0"/>
    <s v="TUCUMAN"/>
    <x v="0"/>
    <n v="32515"/>
    <n v="-4661.2669714826989"/>
    <n v="-0.14335743415293556"/>
    <n v="-3262886.8800378894"/>
    <n v="22760500"/>
    <n v="19497613.119962111"/>
    <n v="2.9000000000000001E-2"/>
    <n v="-68"/>
    <m/>
    <m/>
    <n v="0"/>
    <n v="1446.3009999999999"/>
    <n v="11025"/>
    <m/>
    <n v="11025"/>
    <n v="315"/>
    <n v="0"/>
    <n v="4.0276590410958901"/>
    <n v="319.02765904109589"/>
    <x v="0"/>
  </r>
  <r>
    <x v="1"/>
    <n v="1"/>
    <x v="0"/>
    <d v="2026-06-04T00:00:00"/>
    <x v="0"/>
    <s v="AZÚCAR CRUDO"/>
    <x v="1"/>
    <d v="2026-06-04T00:00:00"/>
    <n v="35000"/>
    <n v="455.58481499999999"/>
    <n v="15945468.525"/>
    <n v="3348548.3902500002"/>
    <n v="19294016.91525"/>
    <m/>
    <n v="0"/>
    <n v="0"/>
    <n v="19294016.91525"/>
    <d v="2026-01-29T00:00:00"/>
    <x v="15"/>
    <n v="-3"/>
    <n v="-126"/>
    <m/>
    <d v="2026-06-11T00:00:00"/>
    <x v="28"/>
    <d v="2026-01-29T00:00:00"/>
    <n v="700"/>
    <n v="27562.8813075"/>
    <n v="-0.40864392249999071"/>
    <n v="27562.4726635775"/>
    <n v="275.93087204823286"/>
    <n v="27838.403535625734"/>
    <x v="0"/>
    <x v="0"/>
    <s v="TUCUMAN"/>
    <x v="0"/>
    <n v="32515"/>
    <n v="-4676.5964643742664"/>
    <n v="-0.14382889326078019"/>
    <n v="-3273617.5250619864"/>
    <n v="22760500"/>
    <n v="19486882.474938013"/>
    <n v="2.9000000000000001E-2"/>
    <n v="-68"/>
    <m/>
    <m/>
    <n v="0"/>
    <n v="1446.3009999999999"/>
    <n v="11025"/>
    <m/>
    <n v="11025"/>
    <n v="315"/>
    <n v="0"/>
    <n v="3.8156769863013698"/>
    <n v="318.81567698630136"/>
    <x v="0"/>
  </r>
  <r>
    <x v="1"/>
    <n v="1"/>
    <x v="0"/>
    <d v="2026-06-04T00:00:00"/>
    <x v="0"/>
    <s v="AZÚCAR CRUDO"/>
    <x v="1"/>
    <d v="2026-06-04T00:00:00"/>
    <n v="35000"/>
    <n v="455.58481499999999"/>
    <n v="15945468.525"/>
    <n v="3348548.3902500002"/>
    <n v="19294016.91525"/>
    <m/>
    <n v="0"/>
    <n v="0"/>
    <n v="19294016.91525"/>
    <d v="2026-01-29T00:00:00"/>
    <x v="15"/>
    <n v="-3"/>
    <n v="-126"/>
    <m/>
    <d v="2026-06-11T00:00:00"/>
    <x v="28"/>
    <d v="2026-01-29T00:00:00"/>
    <n v="700"/>
    <n v="27562.8813075"/>
    <n v="-0.40864392249999071"/>
    <n v="27562.4726635775"/>
    <n v="275.93087204823286"/>
    <n v="27838.403535625734"/>
    <x v="0"/>
    <x v="0"/>
    <s v="TUCUMAN"/>
    <x v="0"/>
    <n v="32515"/>
    <n v="-4676.5964643742664"/>
    <n v="-0.14382889326078019"/>
    <n v="-3273617.5250619864"/>
    <n v="22760500"/>
    <n v="19486882.474938013"/>
    <n v="2.9000000000000001E-2"/>
    <n v="-68"/>
    <m/>
    <m/>
    <n v="0"/>
    <n v="1446.3009999999999"/>
    <n v="11025"/>
    <m/>
    <n v="11025"/>
    <n v="315"/>
    <n v="0"/>
    <n v="3.8156769863013698"/>
    <n v="318.81567698630136"/>
    <x v="0"/>
  </r>
  <r>
    <x v="1"/>
    <n v="1"/>
    <x v="0"/>
    <d v="2026-06-04T00:00:00"/>
    <x v="0"/>
    <s v="AZÚCAR CRUDO"/>
    <x v="1"/>
    <d v="2026-06-04T00:00:00"/>
    <n v="35000"/>
    <n v="455.58481499999999"/>
    <n v="15945468.525"/>
    <n v="3348548.3902500002"/>
    <n v="19294016.91525"/>
    <m/>
    <n v="0"/>
    <n v="0"/>
    <n v="19294016.91525"/>
    <d v="2026-01-29T00:00:00"/>
    <x v="15"/>
    <n v="-3"/>
    <n v="-126"/>
    <m/>
    <d v="2026-06-11T00:00:00"/>
    <x v="28"/>
    <d v="2026-01-29T00:00:00"/>
    <n v="700"/>
    <n v="27562.8813075"/>
    <n v="-0.40864392249999071"/>
    <n v="27562.4726635775"/>
    <n v="275.93087204823286"/>
    <n v="27838.403535625734"/>
    <x v="0"/>
    <x v="0"/>
    <s v="TUCUMAN"/>
    <x v="0"/>
    <n v="32515"/>
    <n v="-4676.5964643742664"/>
    <n v="-0.14382889326078019"/>
    <n v="-3273617.5250619864"/>
    <n v="22760500"/>
    <n v="19486882.474938013"/>
    <n v="2.9000000000000001E-2"/>
    <n v="-68"/>
    <m/>
    <m/>
    <n v="0"/>
    <n v="1446.3009999999999"/>
    <n v="11025"/>
    <m/>
    <n v="11025"/>
    <n v="315"/>
    <n v="0"/>
    <n v="3.8156769863013698"/>
    <n v="318.81567698630136"/>
    <x v="0"/>
  </r>
  <r>
    <x v="1"/>
    <n v="1"/>
    <x v="0"/>
    <d v="2026-06-04T00:00:00"/>
    <x v="0"/>
    <s v="AZÚCAR CRUDO"/>
    <x v="1"/>
    <d v="2026-06-04T00:00:00"/>
    <n v="35000"/>
    <n v="455.58481499999999"/>
    <n v="15945468.525"/>
    <n v="3348548.3902500002"/>
    <n v="19294016.91525"/>
    <m/>
    <n v="0"/>
    <n v="0"/>
    <n v="19294016.91525"/>
    <d v="2026-01-29T00:00:00"/>
    <x v="15"/>
    <n v="-3"/>
    <n v="-126"/>
    <m/>
    <d v="2026-06-11T00:00:00"/>
    <x v="28"/>
    <d v="2026-01-29T00:00:00"/>
    <n v="700"/>
    <n v="27562.8813075"/>
    <n v="-0.40864392249999071"/>
    <n v="27562.4726635775"/>
    <n v="275.93087204823286"/>
    <n v="27838.403535625734"/>
    <x v="0"/>
    <x v="0"/>
    <s v="TUCUMAN"/>
    <x v="0"/>
    <n v="32515"/>
    <n v="-4676.5964643742664"/>
    <n v="-0.14382889326078019"/>
    <n v="-3273617.5250619864"/>
    <n v="22760500"/>
    <n v="19486882.474938013"/>
    <n v="2.9000000000000001E-2"/>
    <n v="-68"/>
    <m/>
    <m/>
    <n v="0"/>
    <n v="1446.3009999999999"/>
    <n v="11025"/>
    <m/>
    <n v="11025"/>
    <n v="315"/>
    <n v="0"/>
    <n v="3.8156769863013698"/>
    <n v="318.81567698630136"/>
    <x v="0"/>
  </r>
  <r>
    <x v="1"/>
    <n v="1"/>
    <x v="0"/>
    <d v="2026-06-04T00:00:00"/>
    <x v="0"/>
    <s v="AZÚCAR CRUDO"/>
    <x v="1"/>
    <d v="2026-06-04T00:00:00"/>
    <n v="35000"/>
    <n v="455.58481499999999"/>
    <n v="15945468.525"/>
    <n v="3348548.3902500002"/>
    <n v="19294016.91525"/>
    <m/>
    <n v="0"/>
    <n v="0"/>
    <n v="19294016.91525"/>
    <d v="2026-01-29T00:00:00"/>
    <x v="15"/>
    <n v="-3"/>
    <n v="-126"/>
    <m/>
    <d v="2026-06-11T00:00:00"/>
    <x v="28"/>
    <d v="2026-01-29T00:00:00"/>
    <n v="700"/>
    <n v="27562.8813075"/>
    <n v="-0.40864392249999071"/>
    <n v="27562.4726635775"/>
    <n v="275.93087204823286"/>
    <n v="27838.403535625734"/>
    <x v="0"/>
    <x v="0"/>
    <s v="TUCUMAN"/>
    <x v="0"/>
    <n v="32515"/>
    <n v="-4676.5964643742664"/>
    <n v="-0.14382889326078019"/>
    <n v="-3273617.5250619864"/>
    <n v="22760500"/>
    <n v="19486882.474938013"/>
    <n v="2.9000000000000001E-2"/>
    <n v="-68"/>
    <m/>
    <m/>
    <n v="0"/>
    <n v="1446.3009999999999"/>
    <n v="11025"/>
    <m/>
    <n v="11025"/>
    <n v="315"/>
    <n v="0"/>
    <n v="3.8156769863013698"/>
    <n v="318.81567698630136"/>
    <x v="0"/>
  </r>
  <r>
    <x v="1"/>
    <n v="1"/>
    <x v="0"/>
    <d v="2026-06-05T00:00:00"/>
    <x v="0"/>
    <s v="AZÚCAR CRUDO"/>
    <x v="1"/>
    <d v="2026-06-05T00:00:00"/>
    <n v="35000"/>
    <n v="455.58481499999999"/>
    <n v="15945468.525"/>
    <n v="3348548.3902500002"/>
    <n v="19294016.91525"/>
    <m/>
    <n v="0"/>
    <n v="0"/>
    <n v="19294016.91525"/>
    <d v="2026-01-29T00:00:00"/>
    <x v="16"/>
    <n v="-2"/>
    <n v="-127"/>
    <m/>
    <d v="2026-06-12T00:00:00"/>
    <x v="28"/>
    <d v="2026-01-29T00:00:00"/>
    <n v="700"/>
    <n v="27562.8813075"/>
    <n v="-0.40864392249999071"/>
    <n v="27562.4726635775"/>
    <n v="278.12079960417122"/>
    <n v="27840.593463181671"/>
    <x v="0"/>
    <x v="0"/>
    <s v="TUCUMAN"/>
    <x v="0"/>
    <n v="32515"/>
    <n v="-4674.4065368183292"/>
    <n v="-0.14376154195965951"/>
    <n v="-3272084.5757728303"/>
    <n v="22760500"/>
    <n v="19488415.424227171"/>
    <n v="2.9000000000000001E-2"/>
    <n v="-68"/>
    <m/>
    <m/>
    <n v="0"/>
    <n v="1446.3009999999999"/>
    <n v="11025"/>
    <m/>
    <n v="11025"/>
    <n v="315"/>
    <n v="0"/>
    <n v="3.8459601369863012"/>
    <n v="318.84596013698632"/>
    <x v="0"/>
  </r>
  <r>
    <x v="1"/>
    <n v="1"/>
    <x v="0"/>
    <d v="2026-06-05T00:00:00"/>
    <x v="0"/>
    <s v="AZÚCAR CRUDO"/>
    <x v="1"/>
    <d v="2026-06-05T00:00:00"/>
    <n v="35000"/>
    <n v="455.58481499999999"/>
    <n v="15945468.525"/>
    <n v="3348548.3902500002"/>
    <n v="19294016.91525"/>
    <m/>
    <n v="0"/>
    <n v="0"/>
    <n v="19294016.91525"/>
    <d v="2026-01-29T00:00:00"/>
    <x v="16"/>
    <n v="-2"/>
    <n v="-127"/>
    <m/>
    <d v="2026-06-12T00:00:00"/>
    <x v="28"/>
    <d v="2026-01-29T00:00:00"/>
    <n v="700"/>
    <n v="27562.8813075"/>
    <n v="-0.40864392249999071"/>
    <n v="27562.4726635775"/>
    <n v="278.12079960417122"/>
    <n v="27840.593463181671"/>
    <x v="0"/>
    <x v="0"/>
    <s v="TUCUMAN"/>
    <x v="0"/>
    <n v="32515"/>
    <n v="-4674.4065368183292"/>
    <n v="-0.14376154195965951"/>
    <n v="-3272084.5757728303"/>
    <n v="22760500"/>
    <n v="19488415.424227171"/>
    <n v="2.9000000000000001E-2"/>
    <n v="-68"/>
    <m/>
    <m/>
    <n v="0"/>
    <n v="1446.3009999999999"/>
    <n v="11025"/>
    <m/>
    <n v="11025"/>
    <n v="315"/>
    <n v="0"/>
    <n v="3.8459601369863012"/>
    <n v="318.84596013698632"/>
    <x v="0"/>
  </r>
  <r>
    <x v="1"/>
    <n v="1"/>
    <x v="0"/>
    <d v="2026-06-05T00:00:00"/>
    <x v="0"/>
    <s v="AZÚCAR CRUDO"/>
    <x v="1"/>
    <d v="2026-06-05T00:00:00"/>
    <n v="35000"/>
    <n v="455.58481499999999"/>
    <n v="15945468.525"/>
    <n v="3348548.3902500002"/>
    <n v="19294016.91525"/>
    <m/>
    <n v="0"/>
    <n v="0"/>
    <n v="19294016.91525"/>
    <d v="2026-01-29T00:00:00"/>
    <x v="16"/>
    <n v="-2"/>
    <n v="-127"/>
    <m/>
    <d v="2026-06-12T00:00:00"/>
    <x v="28"/>
    <d v="2026-01-29T00:00:00"/>
    <n v="700"/>
    <n v="27562.8813075"/>
    <n v="-0.40864392249999071"/>
    <n v="27562.4726635775"/>
    <n v="278.12079960417122"/>
    <n v="27840.593463181671"/>
    <x v="0"/>
    <x v="0"/>
    <s v="TUCUMAN"/>
    <x v="0"/>
    <n v="32515"/>
    <n v="-4674.4065368183292"/>
    <n v="-0.14376154195965951"/>
    <n v="-3272084.5757728303"/>
    <n v="22760500"/>
    <n v="19488415.424227171"/>
    <n v="2.9000000000000001E-2"/>
    <n v="-68"/>
    <m/>
    <m/>
    <n v="0"/>
    <n v="1446.3009999999999"/>
    <n v="11025"/>
    <m/>
    <n v="11025"/>
    <n v="315"/>
    <n v="0"/>
    <n v="3.8459601369863012"/>
    <n v="318.84596013698632"/>
    <x v="0"/>
  </r>
  <r>
    <x v="1"/>
    <n v="1"/>
    <x v="0"/>
    <d v="2026-06-06T00:00:00"/>
    <x v="0"/>
    <s v="AZÚCAR CRUDO"/>
    <x v="1"/>
    <d v="2026-06-06T00:00:00"/>
    <n v="35000"/>
    <n v="455.58481499999999"/>
    <n v="15945468.525"/>
    <n v="3348548.3902500002"/>
    <n v="19294016.91525"/>
    <m/>
    <n v="0"/>
    <n v="0"/>
    <n v="19294016.91525"/>
    <d v="2026-01-29T00:00:00"/>
    <x v="60"/>
    <n v="-1"/>
    <n v="-128"/>
    <m/>
    <d v="2026-06-13T00:00:00"/>
    <x v="28"/>
    <d v="2026-01-29T00:00:00"/>
    <n v="700"/>
    <n v="27562.8813075"/>
    <n v="-0.40864392249999071"/>
    <n v="27562.4726635775"/>
    <n v="280.31072716010959"/>
    <n v="27842.783390737612"/>
    <x v="0"/>
    <x v="0"/>
    <s v="TUCUMAN"/>
    <x v="0"/>
    <n v="32515"/>
    <n v="-4672.2166092623884"/>
    <n v="-0.14369419065853872"/>
    <n v="-3270551.6264836718"/>
    <n v="22760500"/>
    <n v="19489948.373516329"/>
    <n v="2.9000000000000001E-2"/>
    <n v="-68"/>
    <m/>
    <m/>
    <n v="0"/>
    <n v="1446.3009999999999"/>
    <n v="11025"/>
    <m/>
    <n v="11025"/>
    <n v="315"/>
    <n v="0"/>
    <n v="3.8762432876712332"/>
    <n v="318.87624328767123"/>
    <x v="0"/>
  </r>
  <r>
    <x v="1"/>
    <n v="1"/>
    <x v="0"/>
    <d v="2026-06-06T00:00:00"/>
    <x v="0"/>
    <s v="AZÚCAR CRUDO"/>
    <x v="1"/>
    <d v="2026-06-06T00:00:00"/>
    <n v="35000"/>
    <n v="455.58481499999999"/>
    <n v="15945468.525"/>
    <n v="3348548.3902500002"/>
    <n v="19294016.91525"/>
    <m/>
    <n v="0"/>
    <n v="0"/>
    <n v="19294016.91525"/>
    <d v="2026-01-29T00:00:00"/>
    <x v="60"/>
    <n v="-1"/>
    <n v="-128"/>
    <m/>
    <d v="2026-06-13T00:00:00"/>
    <x v="28"/>
    <d v="2026-01-29T00:00:00"/>
    <n v="700"/>
    <n v="27562.8813075"/>
    <n v="-0.40864392249999071"/>
    <n v="27562.4726635775"/>
    <n v="280.31072716010959"/>
    <n v="27842.783390737612"/>
    <x v="0"/>
    <x v="0"/>
    <s v="TUCUMAN"/>
    <x v="0"/>
    <n v="32515"/>
    <n v="-4672.2166092623884"/>
    <n v="-0.14369419065853872"/>
    <n v="-3270551.6264836718"/>
    <n v="22760500"/>
    <n v="19489948.373516329"/>
    <n v="2.9000000000000001E-2"/>
    <n v="-68"/>
    <m/>
    <m/>
    <n v="0"/>
    <n v="1446.3009999999999"/>
    <n v="11025"/>
    <m/>
    <n v="11025"/>
    <n v="315"/>
    <n v="0"/>
    <n v="3.8762432876712332"/>
    <n v="318.87624328767123"/>
    <x v="0"/>
  </r>
  <r>
    <x v="1"/>
    <n v="1"/>
    <x v="0"/>
    <d v="2026-06-06T00:00:00"/>
    <x v="0"/>
    <s v="AZÚCAR CRUDO"/>
    <x v="1"/>
    <d v="2026-06-06T00:00:00"/>
    <n v="35000"/>
    <n v="455.58481499999999"/>
    <n v="15945468.525"/>
    <n v="3348548.3902500002"/>
    <n v="19294016.91525"/>
    <m/>
    <n v="0"/>
    <n v="0"/>
    <n v="19294016.91525"/>
    <d v="2026-01-29T00:00:00"/>
    <x v="60"/>
    <n v="-1"/>
    <n v="-128"/>
    <m/>
    <d v="2026-06-13T00:00:00"/>
    <x v="28"/>
    <d v="2026-01-29T00:00:00"/>
    <n v="700"/>
    <n v="27562.8813075"/>
    <n v="-0.40864392249999071"/>
    <n v="27562.4726635775"/>
    <n v="280.31072716010959"/>
    <n v="27842.783390737612"/>
    <x v="0"/>
    <x v="0"/>
    <s v="TUCUMAN"/>
    <x v="0"/>
    <n v="32515"/>
    <n v="-4672.2166092623884"/>
    <n v="-0.14369419065853872"/>
    <n v="-3270551.6264836718"/>
    <n v="22760500"/>
    <n v="19489948.373516329"/>
    <n v="2.9000000000000001E-2"/>
    <n v="-68"/>
    <m/>
    <m/>
    <n v="0"/>
    <n v="1446.3009999999999"/>
    <n v="11025"/>
    <m/>
    <n v="11025"/>
    <n v="315"/>
    <n v="0"/>
    <n v="3.8762432876712332"/>
    <n v="318.87624328767123"/>
    <x v="0"/>
  </r>
  <r>
    <x v="1"/>
    <n v="1"/>
    <x v="0"/>
    <d v="2026-06-06T00:00:00"/>
    <x v="0"/>
    <s v="AZÚCAR CRUDO"/>
    <x v="1"/>
    <d v="2026-06-06T00:00:00"/>
    <n v="35000"/>
    <n v="455.58481499999999"/>
    <n v="15945468.525"/>
    <n v="3348548.3902500002"/>
    <n v="19294016.91525"/>
    <m/>
    <n v="0"/>
    <n v="0"/>
    <n v="19294016.91525"/>
    <d v="2026-01-29T00:00:00"/>
    <x v="60"/>
    <n v="-1"/>
    <n v="-128"/>
    <m/>
    <d v="2026-06-13T00:00:00"/>
    <x v="28"/>
    <d v="2026-01-29T00:00:00"/>
    <n v="700"/>
    <n v="27562.8813075"/>
    <n v="-0.40864392249999071"/>
    <n v="27562.4726635775"/>
    <n v="280.31072716010959"/>
    <n v="27842.783390737612"/>
    <x v="0"/>
    <x v="0"/>
    <s v="TUCUMAN"/>
    <x v="0"/>
    <n v="32515"/>
    <n v="-4672.2166092623884"/>
    <n v="-0.14369419065853872"/>
    <n v="-3270551.6264836718"/>
    <n v="22760500"/>
    <n v="19489948.373516329"/>
    <n v="2.9000000000000001E-2"/>
    <n v="-68"/>
    <m/>
    <m/>
    <n v="0"/>
    <n v="1446.3009999999999"/>
    <n v="11025"/>
    <m/>
    <n v="11025"/>
    <n v="315"/>
    <n v="0"/>
    <n v="3.8762432876712332"/>
    <n v="318.87624328767123"/>
    <x v="0"/>
  </r>
  <r>
    <x v="1"/>
    <n v="1"/>
    <x v="0"/>
    <d v="2026-06-06T00:00:00"/>
    <x v="0"/>
    <s v="AZÚCAR CRUDO"/>
    <x v="1"/>
    <d v="2026-06-06T00:00:00"/>
    <n v="35000"/>
    <n v="455.58481499999999"/>
    <n v="15945468.525"/>
    <n v="3348548.3902500002"/>
    <n v="19294016.91525"/>
    <m/>
    <n v="0"/>
    <n v="0"/>
    <n v="19294016.91525"/>
    <d v="2026-01-29T00:00:00"/>
    <x v="60"/>
    <n v="-1"/>
    <n v="-128"/>
    <m/>
    <d v="2026-06-13T00:00:00"/>
    <x v="28"/>
    <d v="2026-01-29T00:00:00"/>
    <n v="700"/>
    <n v="27562.8813075"/>
    <n v="-0.40864392249999071"/>
    <n v="27562.4726635775"/>
    <n v="280.31072716010959"/>
    <n v="27842.783390737612"/>
    <x v="0"/>
    <x v="0"/>
    <s v="TUCUMAN"/>
    <x v="0"/>
    <n v="32515"/>
    <n v="-4672.2166092623884"/>
    <n v="-0.14369419065853872"/>
    <n v="-3270551.6264836718"/>
    <n v="22760500"/>
    <n v="19489948.373516329"/>
    <n v="2.9000000000000001E-2"/>
    <n v="-68"/>
    <m/>
    <m/>
    <n v="0"/>
    <n v="1446.3009999999999"/>
    <n v="11025"/>
    <m/>
    <n v="11025"/>
    <n v="315"/>
    <n v="0"/>
    <n v="3.8762432876712332"/>
    <n v="318.87624328767123"/>
    <x v="0"/>
  </r>
  <r>
    <x v="1"/>
    <n v="1"/>
    <x v="0"/>
    <d v="2026-06-07T00:00:00"/>
    <x v="0"/>
    <s v="AZÚCAR CRUDO"/>
    <x v="1"/>
    <d v="2026-06-07T00:00:00"/>
    <n v="35000"/>
    <n v="455.58481499999999"/>
    <n v="15945468.525"/>
    <n v="3348548.3902500002"/>
    <n v="19294016.91525"/>
    <m/>
    <n v="0"/>
    <n v="0"/>
    <n v="19294016.91525"/>
    <d v="2026-01-29T00:00:00"/>
    <x v="18"/>
    <n v="0"/>
    <n v="-129"/>
    <m/>
    <d v="2026-06-14T00:00:00"/>
    <x v="28"/>
    <d v="2026-01-29T00:00:00"/>
    <n v="700"/>
    <n v="27562.8813075"/>
    <n v="-0.40864392249999071"/>
    <n v="27562.4726635775"/>
    <n v="282.50065471604796"/>
    <n v="27844.973318293549"/>
    <x v="0"/>
    <x v="0"/>
    <s v="TUCUMAN"/>
    <x v="0"/>
    <n v="32515"/>
    <n v="-4670.0266817064512"/>
    <n v="-0.14362683935741816"/>
    <n v="-3269018.6771945157"/>
    <n v="22760500"/>
    <n v="19491481.322805483"/>
    <n v="2.9000000000000001E-2"/>
    <n v="-68"/>
    <m/>
    <m/>
    <n v="0"/>
    <n v="1446.3009999999999"/>
    <n v="11025"/>
    <m/>
    <n v="11025"/>
    <n v="315"/>
    <n v="0"/>
    <n v="3.9065264383561646"/>
    <n v="318.90652643835614"/>
    <x v="0"/>
  </r>
  <r>
    <x v="1"/>
    <n v="1"/>
    <x v="0"/>
    <d v="2026-06-07T00:00:00"/>
    <x v="0"/>
    <s v="AZÚCAR CRUDO"/>
    <x v="1"/>
    <d v="2026-06-07T00:00:00"/>
    <n v="35000"/>
    <n v="455.58481499999999"/>
    <n v="15945468.525"/>
    <n v="3348548.3902500002"/>
    <n v="19294016.91525"/>
    <m/>
    <n v="0"/>
    <n v="0"/>
    <n v="19294016.91525"/>
    <d v="2026-01-29T00:00:00"/>
    <x v="18"/>
    <n v="0"/>
    <n v="-129"/>
    <m/>
    <d v="2026-06-14T00:00:00"/>
    <x v="28"/>
    <d v="2026-01-29T00:00:00"/>
    <n v="700"/>
    <n v="27562.8813075"/>
    <n v="-0.40864392249999071"/>
    <n v="27562.4726635775"/>
    <n v="282.50065471604796"/>
    <n v="27844.973318293549"/>
    <x v="0"/>
    <x v="0"/>
    <s v="TUCUMAN"/>
    <x v="0"/>
    <n v="32515"/>
    <n v="-4670.0266817064512"/>
    <n v="-0.14362683935741816"/>
    <n v="-3269018.6771945157"/>
    <n v="22760500"/>
    <n v="19491481.322805483"/>
    <n v="2.9000000000000001E-2"/>
    <n v="-68"/>
    <m/>
    <m/>
    <n v="0"/>
    <n v="1446.3009999999999"/>
    <n v="11025"/>
    <m/>
    <n v="11025"/>
    <n v="315"/>
    <n v="0"/>
    <n v="3.9065264383561646"/>
    <n v="318.90652643835614"/>
    <x v="0"/>
  </r>
  <r>
    <x v="1"/>
    <n v="1"/>
    <x v="0"/>
    <d v="2026-06-07T00:00:00"/>
    <x v="0"/>
    <s v="AZÚCAR CRUDO"/>
    <x v="1"/>
    <d v="2026-06-07T00:00:00"/>
    <n v="35000"/>
    <n v="455.58481499999999"/>
    <n v="15945468.525"/>
    <n v="3348548.3902500002"/>
    <n v="19294016.91525"/>
    <m/>
    <n v="0"/>
    <n v="0"/>
    <n v="19294016.91525"/>
    <d v="2026-01-29T00:00:00"/>
    <x v="18"/>
    <n v="0"/>
    <n v="-129"/>
    <m/>
    <d v="2026-06-14T00:00:00"/>
    <x v="28"/>
    <d v="2026-01-29T00:00:00"/>
    <n v="700"/>
    <n v="27562.8813075"/>
    <n v="-0.40864392249999071"/>
    <n v="27562.4726635775"/>
    <n v="282.50065471604796"/>
    <n v="27844.973318293549"/>
    <x v="0"/>
    <x v="0"/>
    <s v="TUCUMAN"/>
    <x v="0"/>
    <n v="32515"/>
    <n v="-4670.0266817064512"/>
    <n v="-0.14362683935741816"/>
    <n v="-3269018.6771945157"/>
    <n v="22760500"/>
    <n v="19491481.322805483"/>
    <n v="2.9000000000000001E-2"/>
    <n v="-68"/>
    <m/>
    <m/>
    <n v="0"/>
    <n v="1446.3009999999999"/>
    <n v="11025"/>
    <m/>
    <n v="11025"/>
    <n v="315"/>
    <n v="0"/>
    <n v="3.9065264383561646"/>
    <n v="318.90652643835614"/>
    <x v="0"/>
  </r>
  <r>
    <x v="1"/>
    <n v="1"/>
    <x v="0"/>
    <d v="2026-06-07T00:00:00"/>
    <x v="0"/>
    <s v="AZÚCAR CRUDO"/>
    <x v="1"/>
    <d v="2026-06-07T00:00:00"/>
    <n v="35000"/>
    <n v="455.58481499999999"/>
    <n v="15945468.525"/>
    <n v="3348548.3902500002"/>
    <n v="19294016.91525"/>
    <m/>
    <n v="0"/>
    <n v="0"/>
    <n v="19294016.91525"/>
    <d v="2026-01-29T00:00:00"/>
    <x v="18"/>
    <n v="0"/>
    <n v="-129"/>
    <m/>
    <d v="2026-06-14T00:00:00"/>
    <x v="28"/>
    <d v="2026-01-29T00:00:00"/>
    <n v="700"/>
    <n v="27562.8813075"/>
    <n v="-0.40864392249999071"/>
    <n v="27562.4726635775"/>
    <n v="282.50065471604796"/>
    <n v="27844.973318293549"/>
    <x v="0"/>
    <x v="0"/>
    <s v="TUCUMAN"/>
    <x v="0"/>
    <n v="32515"/>
    <n v="-4670.0266817064512"/>
    <n v="-0.14362683935741816"/>
    <n v="-3269018.6771945157"/>
    <n v="22760500"/>
    <n v="19491481.322805483"/>
    <n v="2.9000000000000001E-2"/>
    <n v="-68"/>
    <m/>
    <m/>
    <n v="0"/>
    <n v="1446.3009999999999"/>
    <n v="11025"/>
    <m/>
    <n v="11025"/>
    <n v="315"/>
    <n v="0"/>
    <n v="3.9065264383561646"/>
    <n v="318.90652643835614"/>
    <x v="0"/>
  </r>
  <r>
    <x v="1"/>
    <n v="1"/>
    <x v="0"/>
    <d v="2026-06-07T00:00:00"/>
    <x v="0"/>
    <s v="AZÚCAR CRUDO"/>
    <x v="1"/>
    <d v="2026-06-07T00:00:00"/>
    <n v="35000"/>
    <n v="455.58481499999999"/>
    <n v="15945468.525"/>
    <n v="3348548.3902500002"/>
    <n v="19294016.91525"/>
    <m/>
    <n v="0"/>
    <n v="0"/>
    <n v="19294016.91525"/>
    <d v="2026-01-29T00:00:00"/>
    <x v="18"/>
    <n v="0"/>
    <n v="-129"/>
    <m/>
    <d v="2026-06-14T00:00:00"/>
    <x v="28"/>
    <d v="2026-01-29T00:00:00"/>
    <n v="700"/>
    <n v="27562.8813075"/>
    <n v="-0.40864392249999071"/>
    <n v="27562.4726635775"/>
    <n v="282.50065471604796"/>
    <n v="27844.973318293549"/>
    <x v="0"/>
    <x v="0"/>
    <s v="TUCUMAN"/>
    <x v="0"/>
    <n v="32515"/>
    <n v="-4670.0266817064512"/>
    <n v="-0.14362683935741816"/>
    <n v="-3269018.6771945157"/>
    <n v="22760500"/>
    <n v="19491481.322805483"/>
    <n v="2.9000000000000001E-2"/>
    <n v="-68"/>
    <m/>
    <m/>
    <n v="0"/>
    <n v="1446.3009999999999"/>
    <n v="11025"/>
    <m/>
    <n v="11025"/>
    <n v="315"/>
    <n v="0"/>
    <n v="3.9065264383561646"/>
    <n v="318.90652643835614"/>
    <x v="0"/>
  </r>
  <r>
    <x v="1"/>
    <n v="1"/>
    <x v="0"/>
    <d v="2026-06-08T00:00:00"/>
    <x v="0"/>
    <s v="AZÚCAR CRUDO"/>
    <x v="1"/>
    <d v="2026-06-08T00:00:00"/>
    <n v="35000"/>
    <n v="455.58481499999999"/>
    <n v="15945468.525"/>
    <n v="3348548.3902500002"/>
    <n v="19294016.91525"/>
    <m/>
    <n v="0"/>
    <n v="0"/>
    <n v="19294016.91525"/>
    <d v="2026-01-29T00:00:00"/>
    <x v="20"/>
    <n v="1"/>
    <n v="-130"/>
    <m/>
    <d v="2026-06-15T00:00:00"/>
    <x v="28"/>
    <d v="2026-01-29T00:00:00"/>
    <n v="700"/>
    <n v="27562.8813075"/>
    <n v="-0.40864392249999071"/>
    <n v="27562.4726635775"/>
    <n v="284.69058227198633"/>
    <n v="27847.163245849486"/>
    <x v="0"/>
    <x v="0"/>
    <s v="TUCUMAN"/>
    <x v="0"/>
    <n v="32515"/>
    <n v="-4667.836754150514"/>
    <n v="-0.14355948805629748"/>
    <n v="-3267485.7279053601"/>
    <n v="22760500"/>
    <n v="19493014.272094641"/>
    <n v="2.9000000000000001E-2"/>
    <n v="-68"/>
    <m/>
    <m/>
    <n v="0"/>
    <n v="1446.3009999999999"/>
    <n v="11025"/>
    <m/>
    <n v="11025"/>
    <n v="315"/>
    <n v="0"/>
    <n v="3.9368095890410966"/>
    <n v="318.9368095890411"/>
    <x v="0"/>
  </r>
  <r>
    <x v="1"/>
    <n v="1"/>
    <x v="0"/>
    <d v="2026-06-08T00:00:00"/>
    <x v="0"/>
    <s v="AZÚCAR CRUDO"/>
    <x v="1"/>
    <d v="2026-06-08T00:00:00"/>
    <n v="35000"/>
    <n v="455.58481499999999"/>
    <n v="15945468.525"/>
    <n v="3348548.3902500002"/>
    <n v="19294016.91525"/>
    <m/>
    <n v="0"/>
    <n v="0"/>
    <n v="19294016.91525"/>
    <d v="2026-01-29T00:00:00"/>
    <x v="20"/>
    <n v="1"/>
    <n v="-130"/>
    <m/>
    <d v="2026-06-15T00:00:00"/>
    <x v="28"/>
    <d v="2026-01-29T00:00:00"/>
    <n v="700"/>
    <n v="27562.8813075"/>
    <n v="-0.40864392249999071"/>
    <n v="27562.4726635775"/>
    <n v="284.69058227198633"/>
    <n v="27847.163245849486"/>
    <x v="0"/>
    <x v="0"/>
    <s v="TUCUMAN"/>
    <x v="0"/>
    <n v="32515"/>
    <n v="-4667.836754150514"/>
    <n v="-0.14355948805629748"/>
    <n v="-3267485.7279053601"/>
    <n v="22760500"/>
    <n v="19493014.272094641"/>
    <n v="2.9000000000000001E-2"/>
    <n v="-68"/>
    <m/>
    <m/>
    <n v="0"/>
    <n v="1446.3009999999999"/>
    <n v="11025"/>
    <m/>
    <n v="11025"/>
    <n v="315"/>
    <n v="0"/>
    <n v="3.9368095890410966"/>
    <n v="318.9368095890411"/>
    <x v="0"/>
  </r>
  <r>
    <x v="1"/>
    <n v="1"/>
    <x v="0"/>
    <d v="2026-06-08T00:00:00"/>
    <x v="0"/>
    <s v="AZÚCAR CRUDO"/>
    <x v="1"/>
    <d v="2026-06-08T00:00:00"/>
    <n v="35000"/>
    <n v="455.58481499999999"/>
    <n v="15945468.525"/>
    <n v="3348548.3902500002"/>
    <n v="19294016.91525"/>
    <m/>
    <n v="0"/>
    <n v="0"/>
    <n v="19294016.91525"/>
    <d v="2026-01-29T00:00:00"/>
    <x v="20"/>
    <n v="1"/>
    <n v="-130"/>
    <m/>
    <d v="2026-06-15T00:00:00"/>
    <x v="28"/>
    <d v="2026-01-29T00:00:00"/>
    <n v="700"/>
    <n v="27562.8813075"/>
    <n v="-0.40864392249999071"/>
    <n v="27562.4726635775"/>
    <n v="284.69058227198633"/>
    <n v="27847.163245849486"/>
    <x v="0"/>
    <x v="0"/>
    <s v="TUCUMAN"/>
    <x v="0"/>
    <n v="32515"/>
    <n v="-4667.836754150514"/>
    <n v="-0.14355948805629748"/>
    <n v="-3267485.7279053601"/>
    <n v="22760500"/>
    <n v="19493014.272094641"/>
    <n v="2.9000000000000001E-2"/>
    <n v="-68"/>
    <m/>
    <m/>
    <n v="0"/>
    <n v="1446.3009999999999"/>
    <n v="11025"/>
    <m/>
    <n v="11025"/>
    <n v="315"/>
    <n v="0"/>
    <n v="3.9368095890410966"/>
    <n v="318.9368095890411"/>
    <x v="0"/>
  </r>
  <r>
    <x v="1"/>
    <n v="1"/>
    <x v="0"/>
    <d v="2026-06-08T00:00:00"/>
    <x v="0"/>
    <s v="AZÚCAR CRUDO"/>
    <x v="1"/>
    <d v="2026-06-08T00:00:00"/>
    <n v="35000"/>
    <n v="455.58481499999999"/>
    <n v="15945468.525"/>
    <n v="3348548.3902500002"/>
    <n v="19294016.91525"/>
    <m/>
    <n v="0"/>
    <n v="0"/>
    <n v="19294016.91525"/>
    <d v="2026-01-29T00:00:00"/>
    <x v="20"/>
    <n v="1"/>
    <n v="-130"/>
    <m/>
    <d v="2026-06-15T00:00:00"/>
    <x v="28"/>
    <d v="2026-01-29T00:00:00"/>
    <n v="700"/>
    <n v="27562.8813075"/>
    <n v="-0.40864392249999071"/>
    <n v="27562.4726635775"/>
    <n v="284.69058227198633"/>
    <n v="27847.163245849486"/>
    <x v="0"/>
    <x v="0"/>
    <s v="TUCUMAN"/>
    <x v="0"/>
    <n v="32515"/>
    <n v="-4667.836754150514"/>
    <n v="-0.14355948805629748"/>
    <n v="-3267485.7279053601"/>
    <n v="22760500"/>
    <n v="19493014.272094641"/>
    <n v="2.9000000000000001E-2"/>
    <n v="-68"/>
    <m/>
    <m/>
    <n v="0"/>
    <n v="1446.3009999999999"/>
    <n v="11025"/>
    <m/>
    <n v="11025"/>
    <n v="315"/>
    <n v="0"/>
    <n v="3.9368095890410966"/>
    <n v="318.9368095890411"/>
    <x v="0"/>
  </r>
  <r>
    <x v="1"/>
    <n v="1"/>
    <x v="0"/>
    <d v="2026-06-09T00:00:00"/>
    <x v="0"/>
    <s v="AZÚCAR CRUDO"/>
    <x v="1"/>
    <d v="2026-06-09T00:00:00"/>
    <n v="35000"/>
    <n v="455.58481499999999"/>
    <n v="15945468.525"/>
    <n v="3348548.3902500002"/>
    <n v="19294016.91525"/>
    <m/>
    <n v="0"/>
    <n v="0"/>
    <n v="19294016.91525"/>
    <d v="2026-01-29T00:00:00"/>
    <x v="61"/>
    <n v="2"/>
    <n v="-131"/>
    <m/>
    <d v="2026-06-16T00:00:00"/>
    <x v="28"/>
    <d v="2026-01-29T00:00:00"/>
    <n v="700"/>
    <n v="27562.8813075"/>
    <n v="-0.40864392249999071"/>
    <n v="27562.4726635775"/>
    <n v="286.88050982792464"/>
    <n v="27849.353173405427"/>
    <x v="0"/>
    <x v="0"/>
    <s v="TUCUMAN"/>
    <x v="0"/>
    <n v="32515"/>
    <n v="-4665.6468265945732"/>
    <n v="-0.1434921367551768"/>
    <n v="-3265952.7786162011"/>
    <n v="22760500"/>
    <n v="19494547.221383799"/>
    <n v="2.9000000000000001E-2"/>
    <n v="-68"/>
    <m/>
    <m/>
    <n v="0"/>
    <n v="1446.3009999999999"/>
    <n v="11025"/>
    <m/>
    <n v="11025"/>
    <n v="315"/>
    <n v="0"/>
    <n v="3.9670927397260276"/>
    <n v="318.96709273972601"/>
    <x v="0"/>
  </r>
  <r>
    <x v="1"/>
    <n v="1"/>
    <x v="0"/>
    <d v="2026-06-10T00:00:00"/>
    <x v="0"/>
    <s v="AZÚCAR CRUDO"/>
    <x v="1"/>
    <d v="2026-06-10T00:00:00"/>
    <n v="35000"/>
    <n v="455.58481499999999"/>
    <n v="15945468.525"/>
    <n v="3348548.3902500002"/>
    <n v="19294016.91525"/>
    <m/>
    <n v="0"/>
    <n v="0"/>
    <n v="19294016.91525"/>
    <d v="2026-01-29T00:00:00"/>
    <x v="43"/>
    <n v="3"/>
    <n v="-132"/>
    <m/>
    <d v="2026-06-17T00:00:00"/>
    <x v="28"/>
    <d v="2026-01-29T00:00:00"/>
    <n v="700"/>
    <n v="27562.8813075"/>
    <n v="-0.40864392249999071"/>
    <n v="27562.4726635775"/>
    <n v="289.07043738386301"/>
    <n v="27851.543100961364"/>
    <x v="0"/>
    <x v="0"/>
    <s v="TUCUMAN"/>
    <x v="0"/>
    <n v="32515"/>
    <n v="-4663.456899038636"/>
    <n v="-0.14342478545405613"/>
    <n v="-3264419.829327045"/>
    <n v="22760500"/>
    <n v="19496080.170672953"/>
    <n v="2.9000000000000001E-2"/>
    <n v="-68"/>
    <m/>
    <m/>
    <n v="0"/>
    <n v="1446.3009999999999"/>
    <n v="11025"/>
    <m/>
    <n v="11025"/>
    <n v="315"/>
    <n v="0"/>
    <n v="3.9973758904109591"/>
    <n v="318.99737589041098"/>
    <x v="0"/>
  </r>
  <r>
    <x v="1"/>
    <n v="1"/>
    <x v="0"/>
    <d v="2026-06-10T00:00:00"/>
    <x v="0"/>
    <s v="AZÚCAR CRUDO"/>
    <x v="1"/>
    <d v="2026-06-10T00:00:00"/>
    <n v="35000"/>
    <n v="455.58481499999999"/>
    <n v="15945468.525"/>
    <n v="3348548.3902500002"/>
    <n v="19294016.91525"/>
    <m/>
    <n v="0"/>
    <n v="0"/>
    <n v="19294016.91525"/>
    <d v="2026-01-29T00:00:00"/>
    <x v="43"/>
    <n v="3"/>
    <n v="-132"/>
    <m/>
    <d v="2026-06-17T00:00:00"/>
    <x v="28"/>
    <d v="2026-01-29T00:00:00"/>
    <n v="700"/>
    <n v="27562.8813075"/>
    <n v="-0.40864392249999071"/>
    <n v="27562.4726635775"/>
    <n v="289.07043738386301"/>
    <n v="27851.543100961364"/>
    <x v="0"/>
    <x v="0"/>
    <s v="TUCUMAN"/>
    <x v="0"/>
    <n v="32515"/>
    <n v="-4663.456899038636"/>
    <n v="-0.14342478545405613"/>
    <n v="-3264419.829327045"/>
    <n v="22760500"/>
    <n v="19496080.170672953"/>
    <n v="2.9000000000000001E-2"/>
    <n v="-68"/>
    <m/>
    <m/>
    <n v="0"/>
    <n v="1446.3009999999999"/>
    <n v="11025"/>
    <m/>
    <n v="11025"/>
    <n v="315"/>
    <n v="0"/>
    <n v="3.9973758904109591"/>
    <n v="318.99737589041098"/>
    <x v="0"/>
  </r>
  <r>
    <x v="1"/>
    <n v="1"/>
    <x v="0"/>
    <d v="2026-06-10T00:00:00"/>
    <x v="0"/>
    <s v="AZÚCAR CRUDO"/>
    <x v="1"/>
    <d v="2026-06-10T00:00:00"/>
    <n v="35000"/>
    <n v="455.58481499999999"/>
    <n v="15945468.525"/>
    <n v="3348548.3902500002"/>
    <n v="19294016.91525"/>
    <m/>
    <n v="0"/>
    <n v="0"/>
    <n v="19294016.91525"/>
    <d v="2026-01-29T00:00:00"/>
    <x v="43"/>
    <n v="3"/>
    <n v="-132"/>
    <m/>
    <d v="2026-06-17T00:00:00"/>
    <x v="28"/>
    <d v="2026-01-29T00:00:00"/>
    <n v="700"/>
    <n v="27562.8813075"/>
    <n v="-0.40864392249999071"/>
    <n v="27562.4726635775"/>
    <n v="289.07043738386301"/>
    <n v="27851.543100961364"/>
    <x v="0"/>
    <x v="0"/>
    <s v="TUCUMAN"/>
    <x v="0"/>
    <n v="32515"/>
    <n v="-4663.456899038636"/>
    <n v="-0.14342478545405613"/>
    <n v="-3264419.829327045"/>
    <n v="22760500"/>
    <n v="19496080.170672953"/>
    <n v="2.9000000000000001E-2"/>
    <n v="-68"/>
    <m/>
    <m/>
    <n v="0"/>
    <n v="1446.3009999999999"/>
    <n v="11025"/>
    <m/>
    <n v="11025"/>
    <n v="315"/>
    <n v="0"/>
    <n v="3.9973758904109591"/>
    <n v="318.99737589041098"/>
    <x v="0"/>
  </r>
  <r>
    <x v="1"/>
    <n v="1"/>
    <x v="0"/>
    <d v="2026-06-11T00:00:00"/>
    <x v="0"/>
    <s v="AZÚCAR CRUDO"/>
    <x v="1"/>
    <d v="2026-06-11T00:00:00"/>
    <n v="35000"/>
    <n v="455.58481499999999"/>
    <n v="15945468.525"/>
    <n v="3348548.3902500002"/>
    <n v="19294016.91525"/>
    <m/>
    <n v="0"/>
    <n v="0"/>
    <n v="19294016.91525"/>
    <d v="2026-01-29T00:00:00"/>
    <x v="34"/>
    <n v="4"/>
    <n v="-133"/>
    <m/>
    <d v="2026-06-18T00:00:00"/>
    <x v="28"/>
    <d v="2026-01-29T00:00:00"/>
    <n v="700"/>
    <n v="27562.8813075"/>
    <n v="-0.40864392249999071"/>
    <n v="27562.4726635775"/>
    <n v="291.26036493980138"/>
    <n v="27853.733028517301"/>
    <x v="0"/>
    <x v="0"/>
    <s v="TUCUMAN"/>
    <x v="0"/>
    <n v="32515"/>
    <n v="-4661.2669714826989"/>
    <n v="-0.14335743415293556"/>
    <n v="-3262886.8800378894"/>
    <n v="22760500"/>
    <n v="19497613.119962111"/>
    <n v="2.9000000000000001E-2"/>
    <n v="-68"/>
    <m/>
    <m/>
    <n v="0"/>
    <n v="1446.3009999999999"/>
    <n v="11025"/>
    <m/>
    <n v="11025"/>
    <n v="315"/>
    <n v="0"/>
    <n v="4.0276590410958901"/>
    <n v="319.02765904109589"/>
    <x v="0"/>
  </r>
  <r>
    <x v="1"/>
    <n v="1"/>
    <x v="0"/>
    <d v="2026-06-11T00:00:00"/>
    <x v="0"/>
    <s v="AZÚCAR CRUDO"/>
    <x v="1"/>
    <d v="2026-06-11T00:00:00"/>
    <n v="35000"/>
    <n v="455.58481499999999"/>
    <n v="15945468.525"/>
    <n v="3348548.3902500002"/>
    <n v="19294016.91525"/>
    <m/>
    <n v="0"/>
    <n v="0"/>
    <n v="19294016.91525"/>
    <d v="2026-01-29T00:00:00"/>
    <x v="34"/>
    <n v="4"/>
    <n v="-133"/>
    <m/>
    <d v="2026-06-18T00:00:00"/>
    <x v="28"/>
    <d v="2026-01-29T00:00:00"/>
    <n v="700"/>
    <n v="27562.8813075"/>
    <n v="-0.40864392249999071"/>
    <n v="27562.4726635775"/>
    <n v="291.26036493980138"/>
    <n v="27853.733028517301"/>
    <x v="0"/>
    <x v="0"/>
    <s v="TUCUMAN"/>
    <x v="0"/>
    <n v="32515"/>
    <n v="-4661.2669714826989"/>
    <n v="-0.14335743415293556"/>
    <n v="-3262886.8800378894"/>
    <n v="22760500"/>
    <n v="19497613.119962111"/>
    <n v="2.9000000000000001E-2"/>
    <n v="-68"/>
    <m/>
    <m/>
    <n v="0"/>
    <n v="1446.3009999999999"/>
    <n v="11025"/>
    <m/>
    <n v="11025"/>
    <n v="315"/>
    <n v="0"/>
    <n v="4.0276590410958901"/>
    <n v="319.02765904109589"/>
    <x v="0"/>
  </r>
  <r>
    <x v="1"/>
    <n v="1"/>
    <x v="0"/>
    <d v="2026-06-11T00:00:00"/>
    <x v="0"/>
    <s v="AZÚCAR CRUDO"/>
    <x v="1"/>
    <d v="2026-06-11T00:00:00"/>
    <n v="35000"/>
    <n v="455.58481499999999"/>
    <n v="15945468.525"/>
    <n v="3348548.3902500002"/>
    <n v="19294016.91525"/>
    <m/>
    <n v="0"/>
    <n v="0"/>
    <n v="19294016.91525"/>
    <d v="2026-01-29T00:00:00"/>
    <x v="34"/>
    <n v="4"/>
    <n v="-133"/>
    <m/>
    <d v="2026-06-18T00:00:00"/>
    <x v="28"/>
    <d v="2026-01-29T00:00:00"/>
    <n v="700"/>
    <n v="27562.8813075"/>
    <n v="-0.40864392249999071"/>
    <n v="27562.4726635775"/>
    <n v="291.26036493980138"/>
    <n v="27853.733028517301"/>
    <x v="0"/>
    <x v="0"/>
    <s v="TUCUMAN"/>
    <x v="0"/>
    <n v="32515"/>
    <n v="-4661.2669714826989"/>
    <n v="-0.14335743415293556"/>
    <n v="-3262886.8800378894"/>
    <n v="22760500"/>
    <n v="19497613.119962111"/>
    <n v="2.9000000000000001E-2"/>
    <n v="-68"/>
    <m/>
    <m/>
    <n v="0"/>
    <n v="1446.3009999999999"/>
    <n v="11025"/>
    <m/>
    <n v="11025"/>
    <n v="315"/>
    <n v="0"/>
    <n v="4.0276590410958901"/>
    <n v="319.02765904109589"/>
    <x v="0"/>
  </r>
  <r>
    <x v="1"/>
    <n v="1"/>
    <x v="0"/>
    <d v="2026-06-11T00:00:00"/>
    <x v="0"/>
    <s v="AZÚCAR CRUDO"/>
    <x v="1"/>
    <d v="2026-06-11T00:00:00"/>
    <n v="35000"/>
    <n v="455.58481499999999"/>
    <n v="15945468.525"/>
    <n v="3348548.3902500002"/>
    <n v="19294016.91525"/>
    <m/>
    <n v="0"/>
    <n v="0"/>
    <n v="19294016.91525"/>
    <d v="2026-01-29T00:00:00"/>
    <x v="34"/>
    <n v="4"/>
    <n v="-133"/>
    <m/>
    <d v="2026-06-18T00:00:00"/>
    <x v="28"/>
    <d v="2026-01-29T00:00:00"/>
    <n v="700"/>
    <n v="27562.8813075"/>
    <n v="-0.40864392249999071"/>
    <n v="27562.4726635775"/>
    <n v="291.26036493980138"/>
    <n v="27853.733028517301"/>
    <x v="0"/>
    <x v="0"/>
    <s v="TUCUMAN"/>
    <x v="0"/>
    <n v="32515"/>
    <n v="-4661.2669714826989"/>
    <n v="-0.14335743415293556"/>
    <n v="-3262886.8800378894"/>
    <n v="22760500"/>
    <n v="19497613.119962111"/>
    <n v="2.9000000000000001E-2"/>
    <n v="-68"/>
    <m/>
    <m/>
    <n v="0"/>
    <n v="1446.3009999999999"/>
    <n v="11025"/>
    <m/>
    <n v="11025"/>
    <n v="315"/>
    <n v="0"/>
    <n v="4.0276590410958901"/>
    <n v="319.02765904109589"/>
    <x v="0"/>
  </r>
  <r>
    <x v="1"/>
    <n v="1"/>
    <x v="0"/>
    <d v="2026-06-12T00:00:00"/>
    <x v="0"/>
    <s v="AZÚCAR CRUDO"/>
    <x v="1"/>
    <d v="2026-06-12T00:00:00"/>
    <n v="35000"/>
    <n v="455.58481499999999"/>
    <n v="15945468.525"/>
    <n v="3348548.3902500002"/>
    <n v="19294016.91525"/>
    <m/>
    <n v="0"/>
    <n v="0"/>
    <n v="19294016.91525"/>
    <d v="2026-01-29T00:00:00"/>
    <x v="21"/>
    <n v="5"/>
    <n v="-134"/>
    <m/>
    <d v="2026-06-19T00:00:00"/>
    <x v="28"/>
    <d v="2026-01-29T00:00:00"/>
    <n v="700"/>
    <n v="27562.8813075"/>
    <n v="-0.40864392249999071"/>
    <n v="27562.4726635775"/>
    <n v="293.45029249573975"/>
    <n v="27855.922956073242"/>
    <x v="0"/>
    <x v="0"/>
    <s v="TUCUMAN"/>
    <x v="0"/>
    <n v="32515"/>
    <n v="-4659.0770439267581"/>
    <n v="-0.14329008285181477"/>
    <n v="-3261353.9307487304"/>
    <n v="22760500"/>
    <n v="19499146.069251269"/>
    <n v="2.9000000000000001E-2"/>
    <n v="-68"/>
    <m/>
    <m/>
    <n v="0"/>
    <n v="1446.3009999999999"/>
    <n v="11025"/>
    <m/>
    <n v="11025"/>
    <n v="315"/>
    <n v="0"/>
    <n v="4.057942191780822"/>
    <n v="319.0579421917808"/>
    <x v="0"/>
  </r>
  <r>
    <x v="1"/>
    <n v="1"/>
    <x v="0"/>
    <d v="2026-06-12T00:00:00"/>
    <x v="0"/>
    <s v="AZÚCAR CRUDO"/>
    <x v="1"/>
    <d v="2026-06-12T00:00:00"/>
    <n v="35000"/>
    <n v="455.58481499999999"/>
    <n v="15945468.525"/>
    <n v="3348548.3902500002"/>
    <n v="19294016.91525"/>
    <m/>
    <n v="0"/>
    <n v="0"/>
    <n v="19294016.91525"/>
    <d v="2026-01-29T00:00:00"/>
    <x v="21"/>
    <n v="5"/>
    <n v="-134"/>
    <m/>
    <d v="2026-06-19T00:00:00"/>
    <x v="28"/>
    <d v="2026-01-29T00:00:00"/>
    <n v="700"/>
    <n v="27562.8813075"/>
    <n v="-0.40864392249999071"/>
    <n v="27562.4726635775"/>
    <n v="293.45029249573975"/>
    <n v="27855.922956073242"/>
    <x v="0"/>
    <x v="0"/>
    <s v="TUCUMAN"/>
    <x v="0"/>
    <n v="32515"/>
    <n v="-4659.0770439267581"/>
    <n v="-0.14329008285181477"/>
    <n v="-3261353.9307487304"/>
    <n v="22760500"/>
    <n v="19499146.069251269"/>
    <n v="2.9000000000000001E-2"/>
    <n v="-68"/>
    <m/>
    <m/>
    <n v="0"/>
    <n v="1446.3009999999999"/>
    <n v="11025"/>
    <m/>
    <n v="11025"/>
    <n v="315"/>
    <n v="0"/>
    <n v="4.057942191780822"/>
    <n v="319.0579421917808"/>
    <x v="0"/>
  </r>
  <r>
    <x v="1"/>
    <n v="1"/>
    <x v="0"/>
    <d v="2026-06-12T00:00:00"/>
    <x v="0"/>
    <s v="AZÚCAR CRUDO"/>
    <x v="1"/>
    <d v="2026-06-12T00:00:00"/>
    <n v="35000"/>
    <n v="455.58481499999999"/>
    <n v="15945468.525"/>
    <n v="3348548.3902500002"/>
    <n v="19294016.91525"/>
    <m/>
    <n v="0"/>
    <n v="0"/>
    <n v="19294016.91525"/>
    <d v="2026-01-29T00:00:00"/>
    <x v="21"/>
    <n v="5"/>
    <n v="-134"/>
    <m/>
    <d v="2026-06-19T00:00:00"/>
    <x v="28"/>
    <d v="2026-01-29T00:00:00"/>
    <n v="700"/>
    <n v="27562.8813075"/>
    <n v="-0.40864392249999071"/>
    <n v="27562.4726635775"/>
    <n v="293.45029249573975"/>
    <n v="27855.922956073242"/>
    <x v="0"/>
    <x v="0"/>
    <s v="TUCUMAN"/>
    <x v="0"/>
    <n v="32515"/>
    <n v="-4659.0770439267581"/>
    <n v="-0.14329008285181477"/>
    <n v="-3261353.9307487304"/>
    <n v="22760500"/>
    <n v="19499146.069251269"/>
    <n v="2.9000000000000001E-2"/>
    <n v="-68"/>
    <m/>
    <m/>
    <n v="0"/>
    <n v="1446.3009999999999"/>
    <n v="11025"/>
    <m/>
    <n v="11025"/>
    <n v="315"/>
    <n v="0"/>
    <n v="4.057942191780822"/>
    <n v="319.0579421917808"/>
    <x v="0"/>
  </r>
  <r>
    <x v="1"/>
    <n v="1"/>
    <x v="0"/>
    <d v="2026-06-13T00:00:00"/>
    <x v="0"/>
    <s v="AZÚCAR CRUDO"/>
    <x v="1"/>
    <d v="2026-06-13T00:00:00"/>
    <n v="35000"/>
    <n v="455.58481499999999"/>
    <n v="15945468.525"/>
    <n v="3348548.3902500002"/>
    <n v="19294016.91525"/>
    <m/>
    <n v="0"/>
    <n v="0"/>
    <n v="19294016.91525"/>
    <d v="2026-01-29T00:00:00"/>
    <x v="62"/>
    <n v="6"/>
    <n v="-135"/>
    <m/>
    <d v="2026-06-20T00:00:00"/>
    <x v="28"/>
    <d v="2026-01-29T00:00:00"/>
    <n v="700"/>
    <n v="27562.8813075"/>
    <n v="-0.40864392249999071"/>
    <n v="27562.4726635775"/>
    <n v="295.64022005167811"/>
    <n v="27858.112883629179"/>
    <x v="0"/>
    <x v="0"/>
    <s v="TUCUMAN"/>
    <x v="0"/>
    <n v="32515"/>
    <n v="-4656.8871163708209"/>
    <n v="-0.1432227315506942"/>
    <n v="-3259820.9814595748"/>
    <n v="22760500"/>
    <n v="19500679.018540427"/>
    <n v="2.9000000000000001E-2"/>
    <n v="-68"/>
    <m/>
    <m/>
    <n v="0"/>
    <n v="1446.3009999999999"/>
    <n v="11025"/>
    <m/>
    <n v="11025"/>
    <n v="315"/>
    <n v="0"/>
    <n v="4.088225342465754"/>
    <n v="319.08822534246576"/>
    <x v="0"/>
  </r>
  <r>
    <x v="1"/>
    <n v="1"/>
    <x v="0"/>
    <d v="2026-06-16T00:00:00"/>
    <x v="0"/>
    <s v="AZÚCAR CRUDO"/>
    <x v="1"/>
    <d v="2026-06-16T00:00:00"/>
    <n v="35000"/>
    <n v="455.58481499999999"/>
    <n v="15945468.525"/>
    <n v="3348548.3902500002"/>
    <n v="19294016.91525"/>
    <m/>
    <n v="0"/>
    <n v="0"/>
    <n v="19294016.91525"/>
    <d v="2026-01-29T00:00:00"/>
    <x v="63"/>
    <n v="9"/>
    <n v="-138"/>
    <m/>
    <d v="2026-06-23T00:00:00"/>
    <x v="28"/>
    <d v="2026-01-29T00:00:00"/>
    <n v="700"/>
    <n v="27562.8813075"/>
    <n v="-0.40864392249999071"/>
    <n v="27562.4726635775"/>
    <n v="302.21000271949316"/>
    <n v="27864.682666296994"/>
    <x v="0"/>
    <x v="0"/>
    <s v="TUCUMAN"/>
    <x v="0"/>
    <n v="32515"/>
    <n v="-4650.3173337030057"/>
    <n v="-0.14302067764733217"/>
    <n v="-3255222.1335921041"/>
    <n v="22760500"/>
    <n v="19505277.866407897"/>
    <n v="2.9000000000000001E-2"/>
    <n v="-68"/>
    <m/>
    <m/>
    <n v="0"/>
    <n v="1446.3009999999999"/>
    <n v="11025"/>
    <m/>
    <n v="11025"/>
    <n v="315"/>
    <n v="0"/>
    <n v="4.179074794520548"/>
    <n v="319.17907479452055"/>
    <x v="0"/>
  </r>
  <r>
    <x v="1"/>
    <n v="1"/>
    <x v="0"/>
    <d v="2026-06-17T00:00:00"/>
    <x v="0"/>
    <s v="AZÚCAR CRUDO"/>
    <x v="1"/>
    <d v="2026-06-17T00:00:00"/>
    <n v="35000"/>
    <n v="455.58481499999999"/>
    <n v="15945468.525"/>
    <n v="3348548.3902500002"/>
    <n v="19294016.91525"/>
    <m/>
    <n v="0"/>
    <n v="0"/>
    <n v="19294016.91525"/>
    <d v="2026-01-29T00:00:00"/>
    <x v="53"/>
    <n v="10"/>
    <n v="-139"/>
    <m/>
    <d v="2026-06-24T00:00:00"/>
    <x v="28"/>
    <d v="2026-01-29T00:00:00"/>
    <n v="700"/>
    <n v="27562.8813075"/>
    <n v="-0.40864392249999071"/>
    <n v="27562.4726635775"/>
    <n v="304.39993027543153"/>
    <n v="27866.872593852931"/>
    <x v="0"/>
    <x v="0"/>
    <s v="TUCUMAN"/>
    <x v="0"/>
    <n v="32515"/>
    <n v="-4648.1274061470685"/>
    <n v="-0.1429533263462115"/>
    <n v="-3253689.1843029479"/>
    <n v="22760500"/>
    <n v="19506810.815697052"/>
    <n v="2.9000000000000001E-2"/>
    <n v="-68"/>
    <m/>
    <m/>
    <n v="0"/>
    <n v="1446.3009999999999"/>
    <n v="11025"/>
    <m/>
    <n v="11025"/>
    <n v="315"/>
    <n v="0"/>
    <n v="4.2093579452054799"/>
    <n v="319.20935794520545"/>
    <x v="0"/>
  </r>
  <r>
    <x v="1"/>
    <n v="1"/>
    <x v="0"/>
    <d v="2026-06-18T00:00:00"/>
    <x v="0"/>
    <s v="AZÚCAR CRUDO"/>
    <x v="1"/>
    <d v="2026-06-18T00:00:00"/>
    <n v="35000"/>
    <n v="455.58481499999999"/>
    <n v="15945468.525"/>
    <n v="3348548.3902500002"/>
    <n v="19294016.91525"/>
    <m/>
    <n v="0"/>
    <n v="0"/>
    <n v="19294016.91525"/>
    <d v="2026-01-29T00:00:00"/>
    <x v="64"/>
    <n v="11"/>
    <n v="-140"/>
    <m/>
    <d v="2026-06-25T00:00:00"/>
    <x v="28"/>
    <d v="2026-01-29T00:00:00"/>
    <n v="700"/>
    <n v="27562.8813075"/>
    <n v="-0.40864392249999071"/>
    <n v="27562.4726635775"/>
    <n v="306.58985783136984"/>
    <n v="27869.062521408869"/>
    <x v="0"/>
    <x v="0"/>
    <s v="TUCUMAN"/>
    <x v="0"/>
    <n v="32515"/>
    <n v="-4645.9374785911314"/>
    <n v="-0.14288597504509093"/>
    <n v="-3252156.2350137918"/>
    <n v="22760500"/>
    <n v="19508343.76498621"/>
    <n v="2.9000000000000001E-2"/>
    <n v="-68"/>
    <m/>
    <m/>
    <n v="0"/>
    <n v="1446.3009999999999"/>
    <n v="11025"/>
    <m/>
    <n v="11025"/>
    <n v="315"/>
    <n v="0"/>
    <n v="4.2396410958904109"/>
    <n v="319.23964109589042"/>
    <x v="0"/>
  </r>
  <r>
    <x v="1"/>
    <n v="1"/>
    <x v="0"/>
    <d v="2026-06-16T00:00:00"/>
    <x v="0"/>
    <s v="AZÚCAR CRUDO"/>
    <x v="1"/>
    <d v="2026-06-16T00:00:00"/>
    <n v="35000"/>
    <n v="455.58481499999999"/>
    <n v="15945468.525"/>
    <n v="3348548.3902500002"/>
    <n v="19294016.91525"/>
    <m/>
    <n v="0"/>
    <n v="0"/>
    <n v="19294016.91525"/>
    <d v="2026-01-29T00:00:00"/>
    <x v="63"/>
    <n v="9"/>
    <n v="-138"/>
    <m/>
    <d v="2026-06-23T00:00:00"/>
    <x v="28"/>
    <d v="2026-01-29T00:00:00"/>
    <n v="700"/>
    <n v="27562.8813075"/>
    <n v="-0.40864392249999071"/>
    <n v="27562.4726635775"/>
    <n v="302.21000271949316"/>
    <n v="27864.682666296994"/>
    <x v="0"/>
    <x v="0"/>
    <s v="TUCUMAN"/>
    <x v="0"/>
    <n v="32515"/>
    <n v="-4650.3173337030057"/>
    <n v="-0.14302067764733217"/>
    <n v="-3255222.1335921041"/>
    <n v="22760500"/>
    <n v="19505277.866407897"/>
    <n v="2.9000000000000001E-2"/>
    <n v="-68"/>
    <m/>
    <m/>
    <n v="0"/>
    <n v="1446.3009999999999"/>
    <n v="11025"/>
    <m/>
    <n v="11025"/>
    <n v="315"/>
    <n v="0"/>
    <n v="4.179074794520548"/>
    <n v="319.17907479452055"/>
    <x v="0"/>
  </r>
  <r>
    <x v="1"/>
    <n v="1"/>
    <x v="0"/>
    <d v="2026-06-16T00:00:00"/>
    <x v="0"/>
    <s v="AZÚCAR CRUDO"/>
    <x v="1"/>
    <d v="2026-06-16T00:00:00"/>
    <n v="35000"/>
    <n v="455.58481499999999"/>
    <n v="15945468.525"/>
    <n v="3348548.3902500002"/>
    <n v="19294016.91525"/>
    <m/>
    <n v="0"/>
    <n v="0"/>
    <n v="19294016.91525"/>
    <d v="2026-01-29T00:00:00"/>
    <x v="63"/>
    <n v="9"/>
    <n v="-138"/>
    <m/>
    <d v="2026-06-23T00:00:00"/>
    <x v="28"/>
    <d v="2026-01-29T00:00:00"/>
    <n v="700"/>
    <n v="27562.8813075"/>
    <n v="-0.40864392249999071"/>
    <n v="27562.4726635775"/>
    <n v="302.21000271949316"/>
    <n v="27864.682666296994"/>
    <x v="0"/>
    <x v="0"/>
    <s v="TUCUMAN"/>
    <x v="0"/>
    <n v="32515"/>
    <n v="-4650.3173337030057"/>
    <n v="-0.14302067764733217"/>
    <n v="-3255222.1335921041"/>
    <n v="22760500"/>
    <n v="19505277.866407897"/>
    <n v="2.9000000000000001E-2"/>
    <n v="-68"/>
    <m/>
    <m/>
    <n v="0"/>
    <n v="1446.3009999999999"/>
    <n v="11025"/>
    <m/>
    <n v="11025"/>
    <n v="315"/>
    <n v="0"/>
    <n v="4.179074794520548"/>
    <n v="319.17907479452055"/>
    <x v="0"/>
  </r>
  <r>
    <x v="1"/>
    <n v="1"/>
    <x v="0"/>
    <d v="2026-06-17T00:00:00"/>
    <x v="0"/>
    <s v="AZÚCAR CRUDO"/>
    <x v="1"/>
    <d v="2026-06-17T00:00:00"/>
    <n v="35000"/>
    <n v="455.58481499999999"/>
    <n v="15945468.525"/>
    <n v="3348548.3902500002"/>
    <n v="19294016.91525"/>
    <m/>
    <n v="0"/>
    <n v="0"/>
    <n v="19294016.91525"/>
    <d v="2026-01-29T00:00:00"/>
    <x v="53"/>
    <n v="10"/>
    <n v="-139"/>
    <m/>
    <d v="2026-06-24T00:00:00"/>
    <x v="28"/>
    <d v="2026-01-29T00:00:00"/>
    <n v="700"/>
    <n v="27562.8813075"/>
    <n v="-0.40864392249999071"/>
    <n v="27562.4726635775"/>
    <n v="304.39993027543153"/>
    <n v="27866.872593852931"/>
    <x v="0"/>
    <x v="0"/>
    <s v="TUCUMAN"/>
    <x v="0"/>
    <n v="32515"/>
    <n v="-4648.1274061470685"/>
    <n v="-0.1429533263462115"/>
    <n v="-3253689.1843029479"/>
    <n v="22760500"/>
    <n v="19506810.815697052"/>
    <n v="2.9000000000000001E-2"/>
    <n v="-68"/>
    <m/>
    <m/>
    <n v="0"/>
    <n v="1446.3009999999999"/>
    <n v="11025"/>
    <m/>
    <n v="11025"/>
    <n v="315"/>
    <n v="0"/>
    <n v="4.2093579452054799"/>
    <n v="319.20935794520545"/>
    <x v="0"/>
  </r>
  <r>
    <x v="1"/>
    <n v="1"/>
    <x v="0"/>
    <d v="2026-06-17T00:00:00"/>
    <x v="0"/>
    <s v="AZÚCAR CRUDO"/>
    <x v="1"/>
    <d v="2026-06-17T00:00:00"/>
    <n v="35000"/>
    <n v="455.58481499999999"/>
    <n v="15945468.525"/>
    <n v="3348548.3902500002"/>
    <n v="19294016.91525"/>
    <m/>
    <n v="0"/>
    <n v="0"/>
    <n v="19294016.91525"/>
    <d v="2026-01-29T00:00:00"/>
    <x v="53"/>
    <n v="10"/>
    <n v="-139"/>
    <m/>
    <d v="2026-06-24T00:00:00"/>
    <x v="28"/>
    <d v="2026-01-29T00:00:00"/>
    <n v="700"/>
    <n v="27562.8813075"/>
    <n v="-0.40864392249999071"/>
    <n v="27562.4726635775"/>
    <n v="304.39993027543153"/>
    <n v="27866.872593852931"/>
    <x v="0"/>
    <x v="0"/>
    <s v="TUCUMAN"/>
    <x v="0"/>
    <n v="32515"/>
    <n v="-4648.1274061470685"/>
    <n v="-0.1429533263462115"/>
    <n v="-3253689.1843029479"/>
    <n v="22760500"/>
    <n v="19506810.815697052"/>
    <n v="2.9000000000000001E-2"/>
    <n v="-68"/>
    <m/>
    <m/>
    <n v="0"/>
    <n v="1446.3009999999999"/>
    <n v="11025"/>
    <m/>
    <n v="11025"/>
    <n v="315"/>
    <n v="0"/>
    <n v="4.2093579452054799"/>
    <n v="319.20935794520545"/>
    <x v="0"/>
  </r>
  <r>
    <x v="1"/>
    <n v="1"/>
    <x v="0"/>
    <d v="2026-06-18T00:00:00"/>
    <x v="0"/>
    <s v="AZÚCAR CRUDO"/>
    <x v="1"/>
    <d v="2026-06-18T00:00:00"/>
    <n v="35000"/>
    <n v="455.58481499999999"/>
    <n v="15945468.525"/>
    <n v="3348548.3902500002"/>
    <n v="19294016.91525"/>
    <m/>
    <n v="0"/>
    <n v="0"/>
    <n v="19294016.91525"/>
    <d v="2026-01-29T00:00:00"/>
    <x v="64"/>
    <n v="11"/>
    <n v="-140"/>
    <m/>
    <d v="2026-06-25T00:00:00"/>
    <x v="28"/>
    <d v="2026-01-29T00:00:00"/>
    <n v="700"/>
    <n v="27562.8813075"/>
    <n v="-0.40864392249999071"/>
    <n v="27562.4726635775"/>
    <n v="306.58985783136984"/>
    <n v="27869.062521408869"/>
    <x v="0"/>
    <x v="0"/>
    <s v="TUCUMAN"/>
    <x v="0"/>
    <n v="32515"/>
    <n v="-4645.9374785911314"/>
    <n v="-0.14288597504509093"/>
    <n v="-3252156.2350137918"/>
    <n v="22760500"/>
    <n v="19508343.76498621"/>
    <n v="2.9000000000000001E-2"/>
    <n v="-68"/>
    <m/>
    <m/>
    <n v="0"/>
    <n v="1446.3009999999999"/>
    <n v="11025"/>
    <m/>
    <n v="11025"/>
    <n v="315"/>
    <n v="0"/>
    <n v="4.2396410958904109"/>
    <n v="319.23964109589042"/>
    <x v="0"/>
  </r>
  <r>
    <x v="1"/>
    <n v="1"/>
    <x v="0"/>
    <d v="2026-06-18T00:00:00"/>
    <x v="0"/>
    <s v="AZÚCAR CRUDO"/>
    <x v="1"/>
    <d v="2026-06-18T00:00:00"/>
    <n v="35000"/>
    <n v="455.58481499999999"/>
    <n v="15945468.525"/>
    <n v="3348548.3902500002"/>
    <n v="19294016.91525"/>
    <m/>
    <n v="0"/>
    <n v="0"/>
    <n v="19294016.91525"/>
    <d v="2026-01-29T00:00:00"/>
    <x v="64"/>
    <n v="11"/>
    <n v="-140"/>
    <m/>
    <d v="2026-06-25T00:00:00"/>
    <x v="28"/>
    <d v="2026-01-29T00:00:00"/>
    <n v="700"/>
    <n v="27562.8813075"/>
    <n v="-0.40864392249999071"/>
    <n v="27562.4726635775"/>
    <n v="306.58985783136984"/>
    <n v="27869.062521408869"/>
    <x v="0"/>
    <x v="0"/>
    <s v="TUCUMAN"/>
    <x v="0"/>
    <n v="32515"/>
    <n v="-4645.9374785911314"/>
    <n v="-0.14288597504509093"/>
    <n v="-3252156.2350137918"/>
    <n v="22760500"/>
    <n v="19508343.76498621"/>
    <n v="2.9000000000000001E-2"/>
    <n v="-68"/>
    <m/>
    <m/>
    <n v="0"/>
    <n v="1446.3009999999999"/>
    <n v="11025"/>
    <m/>
    <n v="11025"/>
    <n v="315"/>
    <n v="0"/>
    <n v="4.2396410958904109"/>
    <n v="319.23964109589042"/>
    <x v="0"/>
  </r>
  <r>
    <x v="1"/>
    <n v="1"/>
    <x v="0"/>
    <d v="2026-06-19T00:00:00"/>
    <x v="0"/>
    <s v="AZÚCAR CRUDO"/>
    <x v="1"/>
    <d v="2026-06-19T00:00:00"/>
    <n v="35000"/>
    <n v="455.58481499999999"/>
    <n v="15945468.525"/>
    <n v="3348548.3902500002"/>
    <n v="19294016.91525"/>
    <m/>
    <n v="0"/>
    <n v="0"/>
    <n v="19294016.91525"/>
    <d v="2026-01-29T00:00:00"/>
    <x v="65"/>
    <n v="12"/>
    <n v="-141"/>
    <m/>
    <d v="2026-06-26T00:00:00"/>
    <x v="28"/>
    <d v="2026-01-29T00:00:00"/>
    <n v="700"/>
    <n v="27562.8813075"/>
    <n v="-0.40864392249999071"/>
    <n v="27562.4726635775"/>
    <n v="308.77978538730821"/>
    <n v="27871.252448964809"/>
    <x v="0"/>
    <x v="0"/>
    <s v="TUCUMAN"/>
    <x v="0"/>
    <n v="32515"/>
    <n v="-4643.7475510351906"/>
    <n v="-0.14281862374397014"/>
    <n v="-3250623.2857246334"/>
    <n v="22760500"/>
    <n v="19509876.714275368"/>
    <n v="2.9000000000000001E-2"/>
    <n v="-68"/>
    <m/>
    <m/>
    <n v="0"/>
    <n v="1446.3009999999999"/>
    <n v="11025"/>
    <m/>
    <n v="11025"/>
    <n v="315"/>
    <n v="0"/>
    <n v="4.2699242465753429"/>
    <n v="319.26992424657533"/>
    <x v="0"/>
  </r>
  <r>
    <x v="1"/>
    <n v="1"/>
    <x v="0"/>
    <d v="2026-06-19T00:00:00"/>
    <x v="0"/>
    <s v="AZÚCAR CRUDO"/>
    <x v="1"/>
    <d v="2026-06-19T00:00:00"/>
    <n v="35000"/>
    <n v="455.58481499999999"/>
    <n v="15945468.525"/>
    <n v="3348548.3902500002"/>
    <n v="19294016.91525"/>
    <m/>
    <n v="0"/>
    <n v="0"/>
    <n v="19294016.91525"/>
    <d v="2026-01-29T00:00:00"/>
    <x v="65"/>
    <n v="12"/>
    <n v="-141"/>
    <m/>
    <d v="2026-06-26T00:00:00"/>
    <x v="28"/>
    <d v="2026-01-29T00:00:00"/>
    <n v="700"/>
    <n v="27562.8813075"/>
    <n v="-0.40864392249999071"/>
    <n v="27562.4726635775"/>
    <n v="308.77978538730821"/>
    <n v="27871.252448964809"/>
    <x v="0"/>
    <x v="0"/>
    <s v="TUCUMAN"/>
    <x v="0"/>
    <n v="32515"/>
    <n v="-4643.7475510351906"/>
    <n v="-0.14281862374397014"/>
    <n v="-3250623.2857246334"/>
    <n v="22760500"/>
    <n v="19509876.714275368"/>
    <n v="2.9000000000000001E-2"/>
    <n v="-68"/>
    <m/>
    <m/>
    <n v="0"/>
    <n v="1446.3009999999999"/>
    <n v="11025"/>
    <m/>
    <n v="11025"/>
    <n v="315"/>
    <n v="0"/>
    <n v="4.2699242465753429"/>
    <n v="319.26992424657533"/>
    <x v="0"/>
  </r>
  <r>
    <x v="1"/>
    <n v="1"/>
    <x v="0"/>
    <d v="2026-06-19T00:00:00"/>
    <x v="0"/>
    <s v="AZÚCAR CRUDO"/>
    <x v="1"/>
    <d v="2026-06-19T00:00:00"/>
    <n v="35000"/>
    <n v="455.58481499999999"/>
    <n v="15945468.525"/>
    <n v="3348548.3902500002"/>
    <n v="19294016.91525"/>
    <m/>
    <n v="0"/>
    <n v="0"/>
    <n v="19294016.91525"/>
    <d v="2026-01-29T00:00:00"/>
    <x v="65"/>
    <n v="12"/>
    <n v="-141"/>
    <m/>
    <d v="2026-06-26T00:00:00"/>
    <x v="28"/>
    <d v="2026-01-29T00:00:00"/>
    <n v="700"/>
    <n v="27562.8813075"/>
    <n v="-0.40864392249999071"/>
    <n v="27562.4726635775"/>
    <n v="308.77978538730821"/>
    <n v="27871.252448964809"/>
    <x v="0"/>
    <x v="0"/>
    <s v="TUCUMAN"/>
    <x v="0"/>
    <n v="32515"/>
    <n v="-4643.7475510351906"/>
    <n v="-0.14281862374397014"/>
    <n v="-3250623.2857246334"/>
    <n v="22760500"/>
    <n v="19509876.714275368"/>
    <n v="2.9000000000000001E-2"/>
    <n v="-68"/>
    <m/>
    <m/>
    <n v="0"/>
    <n v="1446.3009999999999"/>
    <n v="11025"/>
    <m/>
    <n v="11025"/>
    <n v="315"/>
    <n v="0"/>
    <n v="4.2699242465753429"/>
    <n v="319.26992424657533"/>
    <x v="0"/>
  </r>
  <r>
    <x v="1"/>
    <n v="1"/>
    <x v="0"/>
    <d v="2026-06-21T00:00:00"/>
    <x v="0"/>
    <s v="AZÚCAR CRUDO"/>
    <x v="1"/>
    <d v="2026-06-21T00:00:00"/>
    <n v="35000"/>
    <n v="455.58481499999999"/>
    <n v="15945468.525"/>
    <n v="3348548.3902500002"/>
    <n v="19294016.91525"/>
    <m/>
    <n v="0"/>
    <n v="0"/>
    <n v="19294016.91525"/>
    <d v="2026-01-29T00:00:00"/>
    <x v="66"/>
    <n v="14"/>
    <n v="-143"/>
    <m/>
    <d v="2026-06-28T00:00:00"/>
    <x v="28"/>
    <d v="2026-01-29T00:00:00"/>
    <n v="700"/>
    <n v="27562.8813075"/>
    <n v="-0.40864392249999071"/>
    <n v="27562.4726635775"/>
    <n v="313.15964049918495"/>
    <n v="27875.632304076684"/>
    <x v="0"/>
    <x v="0"/>
    <s v="TUCUMAN"/>
    <x v="0"/>
    <n v="32515"/>
    <n v="-4639.3676959233162"/>
    <n v="-0.1426839211417289"/>
    <n v="-3247557.3871463211"/>
    <n v="22760500"/>
    <n v="19512942.61285368"/>
    <n v="2.9000000000000001E-2"/>
    <n v="-68"/>
    <m/>
    <m/>
    <n v="0"/>
    <n v="1446.3009999999999"/>
    <n v="11025"/>
    <m/>
    <n v="11025"/>
    <n v="315"/>
    <n v="0"/>
    <n v="4.3304905479452058"/>
    <n v="319.3304905479452"/>
    <x v="0"/>
  </r>
  <r>
    <x v="1"/>
    <n v="1"/>
    <x v="0"/>
    <d v="2026-06-21T00:00:00"/>
    <x v="0"/>
    <s v="AZÚCAR CRUDO"/>
    <x v="1"/>
    <d v="2026-06-21T00:00:00"/>
    <n v="35000"/>
    <n v="455.58481499999999"/>
    <n v="15945468.525"/>
    <n v="3348548.3902500002"/>
    <n v="19294016.91525"/>
    <m/>
    <n v="0"/>
    <n v="0"/>
    <n v="19294016.91525"/>
    <d v="2026-01-29T00:00:00"/>
    <x v="66"/>
    <n v="14"/>
    <n v="-143"/>
    <m/>
    <d v="2026-06-28T00:00:00"/>
    <x v="28"/>
    <d v="2026-01-29T00:00:00"/>
    <n v="700"/>
    <n v="27562.8813075"/>
    <n v="-0.40864392249999071"/>
    <n v="27562.4726635775"/>
    <n v="313.15964049918495"/>
    <n v="27875.632304076684"/>
    <x v="0"/>
    <x v="0"/>
    <s v="TUCUMAN"/>
    <x v="0"/>
    <n v="32515"/>
    <n v="-4639.3676959233162"/>
    <n v="-0.1426839211417289"/>
    <n v="-3247557.3871463211"/>
    <n v="22760500"/>
    <n v="19512942.61285368"/>
    <n v="2.9000000000000001E-2"/>
    <n v="-68"/>
    <m/>
    <m/>
    <n v="0"/>
    <n v="1446.3009999999999"/>
    <n v="11025"/>
    <m/>
    <n v="11025"/>
    <n v="315"/>
    <n v="0"/>
    <n v="4.3304905479452058"/>
    <n v="319.3304905479452"/>
    <x v="0"/>
  </r>
  <r>
    <x v="1"/>
    <n v="1"/>
    <x v="0"/>
    <d v="2026-06-22T00:00:00"/>
    <x v="0"/>
    <s v="AZÚCAR CRUDO"/>
    <x v="1"/>
    <d v="2026-06-22T00:00:00"/>
    <n v="35000"/>
    <n v="455.58481499999999"/>
    <n v="15945468.525"/>
    <n v="3348548.3902500002"/>
    <n v="19294016.91525"/>
    <m/>
    <n v="0"/>
    <n v="0"/>
    <n v="19294016.91525"/>
    <d v="2026-01-29T00:00:00"/>
    <x v="23"/>
    <n v="15"/>
    <n v="-144"/>
    <m/>
    <d v="2026-06-29T00:00:00"/>
    <x v="28"/>
    <d v="2026-01-29T00:00:00"/>
    <n v="700"/>
    <n v="27562.8813075"/>
    <n v="-0.40864392249999071"/>
    <n v="27562.4726635775"/>
    <n v="315.34956805512331"/>
    <n v="27877.822231632625"/>
    <x v="0"/>
    <x v="0"/>
    <s v="TUCUMAN"/>
    <x v="0"/>
    <n v="32515"/>
    <n v="-4637.1777683673754"/>
    <n v="-0.14261656984060822"/>
    <n v="-3246024.4378571627"/>
    <n v="22760500"/>
    <n v="19514475.562142838"/>
    <n v="2.9000000000000001E-2"/>
    <n v="-68"/>
    <m/>
    <m/>
    <n v="0"/>
    <n v="1446.3009999999999"/>
    <n v="11025"/>
    <m/>
    <n v="11025"/>
    <n v="315"/>
    <n v="0"/>
    <n v="4.3607736986301369"/>
    <n v="319.36077369863011"/>
    <x v="0"/>
  </r>
  <r>
    <x v="1"/>
    <n v="1"/>
    <x v="0"/>
    <d v="2026-06-22T00:00:00"/>
    <x v="0"/>
    <s v="AZÚCAR CRUDO"/>
    <x v="1"/>
    <d v="2026-06-22T00:00:00"/>
    <n v="35000"/>
    <n v="455.58481499999999"/>
    <n v="15945468.525"/>
    <n v="3348548.3902500002"/>
    <n v="19294016.91525"/>
    <m/>
    <n v="0"/>
    <n v="0"/>
    <n v="19294016.91525"/>
    <d v="2026-01-29T00:00:00"/>
    <x v="23"/>
    <n v="15"/>
    <n v="-144"/>
    <m/>
    <d v="2026-06-29T00:00:00"/>
    <x v="28"/>
    <d v="2026-01-29T00:00:00"/>
    <n v="700"/>
    <n v="27562.8813075"/>
    <n v="-0.40864392249999071"/>
    <n v="27562.4726635775"/>
    <n v="315.34956805512331"/>
    <n v="27877.822231632625"/>
    <x v="0"/>
    <x v="0"/>
    <s v="TUCUMAN"/>
    <x v="0"/>
    <n v="32515"/>
    <n v="-4637.1777683673754"/>
    <n v="-0.14261656984060822"/>
    <n v="-3246024.4378571627"/>
    <n v="22760500"/>
    <n v="19514475.562142838"/>
    <n v="2.9000000000000001E-2"/>
    <n v="-68"/>
    <m/>
    <m/>
    <n v="0"/>
    <n v="1446.3009999999999"/>
    <n v="11025"/>
    <m/>
    <n v="11025"/>
    <n v="315"/>
    <n v="0"/>
    <n v="4.3607736986301369"/>
    <n v="319.36077369863011"/>
    <x v="0"/>
  </r>
  <r>
    <x v="1"/>
    <n v="1"/>
    <x v="0"/>
    <d v="2026-06-23T00:00:00"/>
    <x v="0"/>
    <s v="AZÚCAR CRUDO"/>
    <x v="1"/>
    <d v="2026-06-23T00:00:00"/>
    <n v="35000"/>
    <n v="455.58481499999999"/>
    <n v="15945468.525"/>
    <n v="3348548.3902500002"/>
    <n v="19294016.91525"/>
    <m/>
    <n v="0"/>
    <n v="0"/>
    <n v="19294016.91525"/>
    <d v="2026-01-29T00:00:00"/>
    <x v="67"/>
    <n v="16"/>
    <n v="-145"/>
    <m/>
    <d v="2026-06-30T00:00:00"/>
    <x v="28"/>
    <d v="2026-01-29T00:00:00"/>
    <n v="700"/>
    <n v="27562.8813075"/>
    <n v="-0.40864392249999071"/>
    <n v="27562.4726635775"/>
    <n v="317.53949561106162"/>
    <n v="27880.012159188562"/>
    <x v="0"/>
    <x v="0"/>
    <s v="TUCUMAN"/>
    <x v="0"/>
    <n v="32515"/>
    <n v="-4634.9878408114382"/>
    <n v="-0.14254921853948754"/>
    <n v="-3244491.4885680065"/>
    <n v="22760500"/>
    <n v="19516008.511431992"/>
    <n v="2.9000000000000001E-2"/>
    <n v="-68"/>
    <m/>
    <m/>
    <n v="0"/>
    <n v="1446.3009999999999"/>
    <n v="11025"/>
    <m/>
    <n v="11025"/>
    <n v="315"/>
    <n v="0"/>
    <n v="4.3910568493150688"/>
    <n v="319.39105684931508"/>
    <x v="0"/>
  </r>
  <r>
    <x v="1"/>
    <n v="1"/>
    <x v="0"/>
    <d v="2026-06-23T00:00:00"/>
    <x v="0"/>
    <s v="AZÚCAR CRUDO"/>
    <x v="1"/>
    <d v="2026-06-23T00:00:00"/>
    <n v="35000"/>
    <n v="455.58481499999999"/>
    <n v="15945468.525"/>
    <n v="3348548.3902500002"/>
    <n v="19294016.91525"/>
    <m/>
    <n v="0"/>
    <n v="0"/>
    <n v="19294016.91525"/>
    <d v="2026-01-29T00:00:00"/>
    <x v="67"/>
    <n v="16"/>
    <n v="-145"/>
    <m/>
    <d v="2026-06-30T00:00:00"/>
    <x v="28"/>
    <d v="2026-01-29T00:00:00"/>
    <n v="700"/>
    <n v="27562.8813075"/>
    <n v="-0.40864392249999071"/>
    <n v="27562.4726635775"/>
    <n v="317.53949561106162"/>
    <n v="27880.012159188562"/>
    <x v="0"/>
    <x v="0"/>
    <s v="TUCUMAN"/>
    <x v="0"/>
    <n v="32515"/>
    <n v="-4634.9878408114382"/>
    <n v="-0.14254921853948754"/>
    <n v="-3244491.4885680065"/>
    <n v="22760500"/>
    <n v="19516008.511431992"/>
    <n v="2.9000000000000001E-2"/>
    <n v="-68"/>
    <m/>
    <m/>
    <n v="0"/>
    <n v="1446.3009999999999"/>
    <n v="11025"/>
    <m/>
    <n v="11025"/>
    <n v="315"/>
    <n v="0"/>
    <n v="4.3910568493150688"/>
    <n v="319.39105684931508"/>
    <x v="0"/>
  </r>
  <r>
    <x v="1"/>
    <n v="1"/>
    <x v="0"/>
    <d v="2026-06-23T00:00:00"/>
    <x v="0"/>
    <s v="AZÚCAR CRUDO"/>
    <x v="1"/>
    <d v="2026-06-23T00:00:00"/>
    <n v="35000"/>
    <n v="455.58481499999999"/>
    <n v="15945468.525"/>
    <n v="3348548.3902500002"/>
    <n v="19294016.91525"/>
    <m/>
    <n v="0"/>
    <n v="0"/>
    <n v="19294016.91525"/>
    <d v="2026-01-29T00:00:00"/>
    <x v="67"/>
    <n v="16"/>
    <n v="-145"/>
    <m/>
    <d v="2026-06-30T00:00:00"/>
    <x v="28"/>
    <d v="2026-01-29T00:00:00"/>
    <n v="700"/>
    <n v="27562.8813075"/>
    <n v="-0.40864392249999071"/>
    <n v="27562.4726635775"/>
    <n v="317.53949561106162"/>
    <n v="27880.012159188562"/>
    <x v="0"/>
    <x v="0"/>
    <s v="TUCUMAN"/>
    <x v="0"/>
    <n v="32515"/>
    <n v="-4634.9878408114382"/>
    <n v="-0.14254921853948754"/>
    <n v="-3244491.4885680065"/>
    <n v="22760500"/>
    <n v="19516008.511431992"/>
    <n v="2.9000000000000001E-2"/>
    <n v="-68"/>
    <m/>
    <m/>
    <n v="0"/>
    <n v="1446.3009999999999"/>
    <n v="11025"/>
    <m/>
    <n v="11025"/>
    <n v="315"/>
    <n v="0"/>
    <n v="4.3910568493150688"/>
    <n v="319.39105684931508"/>
    <x v="0"/>
  </r>
  <r>
    <x v="1"/>
    <n v="1"/>
    <x v="0"/>
    <d v="2026-06-24T00:00:00"/>
    <x v="0"/>
    <s v="AZÚCAR CRUDO"/>
    <x v="1"/>
    <d v="2026-06-24T00:00:00"/>
    <n v="35000"/>
    <n v="455.58481499999999"/>
    <n v="15945468.525"/>
    <n v="3348548.3902500002"/>
    <n v="19294016.91525"/>
    <m/>
    <n v="0"/>
    <n v="0"/>
    <n v="19294016.91525"/>
    <d v="2026-01-29T00:00:00"/>
    <x v="68"/>
    <n v="17"/>
    <n v="-146"/>
    <m/>
    <d v="2026-07-01T00:00:00"/>
    <x v="28"/>
    <d v="2026-01-29T00:00:00"/>
    <n v="700"/>
    <n v="27562.8813075"/>
    <n v="-0.40864392249999071"/>
    <n v="27562.4726635775"/>
    <n v="319.72942316699999"/>
    <n v="27882.202086744499"/>
    <x v="0"/>
    <x v="0"/>
    <s v="TUCUMAN"/>
    <x v="0"/>
    <n v="32515"/>
    <n v="-4632.797913255501"/>
    <n v="-0.14248186723836698"/>
    <n v="-3242958.5392788509"/>
    <n v="22760500"/>
    <n v="19517541.46072115"/>
    <n v="2.9000000000000001E-2"/>
    <n v="-68"/>
    <m/>
    <m/>
    <n v="0"/>
    <n v="1446.3009999999999"/>
    <n v="11025"/>
    <m/>
    <n v="11025"/>
    <n v="315"/>
    <n v="0"/>
    <n v="4.4213400000000007"/>
    <n v="319.42133999999999"/>
    <x v="0"/>
  </r>
  <r>
    <x v="1"/>
    <n v="1"/>
    <x v="0"/>
    <d v="2026-06-24T00:00:00"/>
    <x v="0"/>
    <s v="AZÚCAR CRUDO"/>
    <x v="1"/>
    <d v="2026-06-24T00:00:00"/>
    <n v="35000"/>
    <n v="455.58481499999999"/>
    <n v="15945468.525"/>
    <n v="3348548.3902500002"/>
    <n v="19294016.91525"/>
    <m/>
    <n v="0"/>
    <n v="0"/>
    <n v="19294016.91525"/>
    <d v="2026-01-29T00:00:00"/>
    <x v="68"/>
    <n v="17"/>
    <n v="-146"/>
    <m/>
    <d v="2026-07-01T00:00:00"/>
    <x v="28"/>
    <d v="2026-01-29T00:00:00"/>
    <n v="700"/>
    <n v="27562.8813075"/>
    <n v="-0.40864392249999071"/>
    <n v="27562.4726635775"/>
    <n v="319.72942316699999"/>
    <n v="27882.202086744499"/>
    <x v="0"/>
    <x v="0"/>
    <s v="TUCUMAN"/>
    <x v="0"/>
    <n v="32515"/>
    <n v="-4632.797913255501"/>
    <n v="-0.14248186723836698"/>
    <n v="-3242958.5392788509"/>
    <n v="22760500"/>
    <n v="19517541.46072115"/>
    <n v="2.9000000000000001E-2"/>
    <n v="-68"/>
    <m/>
    <m/>
    <n v="0"/>
    <n v="1446.3009999999999"/>
    <n v="11025"/>
    <m/>
    <n v="11025"/>
    <n v="315"/>
    <n v="0"/>
    <n v="4.4213400000000007"/>
    <n v="319.42133999999999"/>
    <x v="0"/>
  </r>
  <r>
    <x v="1"/>
    <n v="1"/>
    <x v="0"/>
    <d v="2026-06-24T00:00:00"/>
    <x v="0"/>
    <s v="AZÚCAR CRUDO"/>
    <x v="1"/>
    <d v="2026-06-24T00:00:00"/>
    <n v="35000"/>
    <n v="455.58481499999999"/>
    <n v="15945468.525"/>
    <n v="3348548.3902500002"/>
    <n v="19294016.91525"/>
    <m/>
    <n v="0"/>
    <n v="0"/>
    <n v="19294016.91525"/>
    <d v="2026-01-29T00:00:00"/>
    <x v="68"/>
    <n v="17"/>
    <n v="-146"/>
    <m/>
    <d v="2026-07-01T00:00:00"/>
    <x v="28"/>
    <d v="2026-01-29T00:00:00"/>
    <n v="700"/>
    <n v="27562.8813075"/>
    <n v="-0.40864392249999071"/>
    <n v="27562.4726635775"/>
    <n v="319.72942316699999"/>
    <n v="27882.202086744499"/>
    <x v="0"/>
    <x v="0"/>
    <s v="TUCUMAN"/>
    <x v="0"/>
    <n v="32515"/>
    <n v="-4632.797913255501"/>
    <n v="-0.14248186723836698"/>
    <n v="-3242958.5392788509"/>
    <n v="22760500"/>
    <n v="19517541.46072115"/>
    <n v="2.9000000000000001E-2"/>
    <n v="-68"/>
    <m/>
    <m/>
    <n v="0"/>
    <n v="1446.3009999999999"/>
    <n v="11025"/>
    <m/>
    <n v="11025"/>
    <n v="315"/>
    <n v="0"/>
    <n v="4.4213400000000007"/>
    <n v="319.42133999999999"/>
    <x v="0"/>
  </r>
  <r>
    <x v="1"/>
    <n v="1"/>
    <x v="0"/>
    <d v="2026-06-24T00:00:00"/>
    <x v="0"/>
    <s v="AZÚCAR CRUDO"/>
    <x v="1"/>
    <d v="2026-06-24T00:00:00"/>
    <n v="35000"/>
    <n v="455.58481499999999"/>
    <n v="15945468.525"/>
    <n v="3348548.3902500002"/>
    <n v="19294016.91525"/>
    <m/>
    <n v="0"/>
    <n v="0"/>
    <n v="19294016.91525"/>
    <d v="2026-01-29T00:00:00"/>
    <x v="68"/>
    <n v="17"/>
    <n v="-146"/>
    <m/>
    <d v="2026-07-01T00:00:00"/>
    <x v="28"/>
    <d v="2026-01-29T00:00:00"/>
    <n v="700"/>
    <n v="27562.8813075"/>
    <n v="-0.40864392249999071"/>
    <n v="27562.4726635775"/>
    <n v="319.72942316699999"/>
    <n v="27882.202086744499"/>
    <x v="0"/>
    <x v="0"/>
    <s v="TUCUMAN"/>
    <x v="0"/>
    <n v="32515"/>
    <n v="-4632.797913255501"/>
    <n v="-0.14248186723836698"/>
    <n v="-3242958.5392788509"/>
    <n v="22760500"/>
    <n v="19517541.46072115"/>
    <n v="2.9000000000000001E-2"/>
    <n v="-68"/>
    <m/>
    <m/>
    <n v="0"/>
    <n v="1446.3009999999999"/>
    <n v="11025"/>
    <m/>
    <n v="11025"/>
    <n v="315"/>
    <n v="0"/>
    <n v="4.4213400000000007"/>
    <n v="319.42133999999999"/>
    <x v="0"/>
  </r>
  <r>
    <x v="1"/>
    <n v="1"/>
    <x v="0"/>
    <d v="2026-06-24T00:00:00"/>
    <x v="0"/>
    <s v="AZÚCAR CRUDO"/>
    <x v="1"/>
    <d v="2026-06-24T00:00:00"/>
    <n v="35000"/>
    <n v="455.58481499999999"/>
    <n v="15945468.525"/>
    <n v="3348548.3902500002"/>
    <n v="19294016.91525"/>
    <m/>
    <n v="0"/>
    <n v="0"/>
    <n v="19294016.91525"/>
    <d v="2026-01-29T00:00:00"/>
    <x v="68"/>
    <n v="17"/>
    <n v="-146"/>
    <m/>
    <d v="2026-07-01T00:00:00"/>
    <x v="28"/>
    <d v="2026-01-29T00:00:00"/>
    <n v="700"/>
    <n v="27562.8813075"/>
    <n v="-0.40864392249999071"/>
    <n v="27562.4726635775"/>
    <n v="319.72942316699999"/>
    <n v="27882.202086744499"/>
    <x v="0"/>
    <x v="0"/>
    <s v="TUCUMAN"/>
    <x v="0"/>
    <n v="32515"/>
    <n v="-4632.797913255501"/>
    <n v="-0.14248186723836698"/>
    <n v="-3242958.5392788509"/>
    <n v="22760500"/>
    <n v="19517541.46072115"/>
    <n v="2.9000000000000001E-2"/>
    <n v="-68"/>
    <m/>
    <m/>
    <n v="0"/>
    <n v="1446.3009999999999"/>
    <n v="11025"/>
    <m/>
    <n v="11025"/>
    <n v="315"/>
    <n v="0"/>
    <n v="4.4213400000000007"/>
    <n v="319.42133999999999"/>
    <x v="0"/>
  </r>
  <r>
    <x v="1"/>
    <n v="1"/>
    <x v="0"/>
    <d v="2026-06-25T00:00:00"/>
    <x v="0"/>
    <s v="AZÚCAR CRUDO"/>
    <x v="1"/>
    <d v="2026-06-25T00:00:00"/>
    <n v="35000"/>
    <n v="455.58481499999999"/>
    <n v="15945468.525"/>
    <n v="3348548.3902500002"/>
    <n v="19294016.91525"/>
    <m/>
    <n v="0"/>
    <n v="0"/>
    <n v="19294016.91525"/>
    <d v="2026-01-29T00:00:00"/>
    <x v="69"/>
    <n v="18"/>
    <n v="-147"/>
    <m/>
    <d v="2026-07-02T00:00:00"/>
    <x v="28"/>
    <d v="2026-01-29T00:00:00"/>
    <n v="700"/>
    <n v="27562.8813075"/>
    <n v="-0.40864392249999071"/>
    <n v="27562.4726635775"/>
    <n v="321.91935072293836"/>
    <n v="27884.39201430044"/>
    <x v="0"/>
    <x v="0"/>
    <s v="TUCUMAN"/>
    <x v="0"/>
    <n v="32515"/>
    <n v="-4630.6079856995602"/>
    <n v="-0.14241451593724619"/>
    <n v="-3241425.589989692"/>
    <n v="22760500"/>
    <n v="19519074.410010308"/>
    <n v="2.9000000000000001E-2"/>
    <n v="-68"/>
    <m/>
    <m/>
    <n v="0"/>
    <n v="1446.3009999999999"/>
    <n v="11025"/>
    <m/>
    <n v="11025"/>
    <n v="315"/>
    <n v="0"/>
    <n v="4.4516231506849318"/>
    <n v="319.45162315068495"/>
    <x v="0"/>
  </r>
  <r>
    <x v="1"/>
    <n v="1"/>
    <x v="0"/>
    <d v="2026-06-25T00:00:00"/>
    <x v="0"/>
    <s v="AZÚCAR CRUDO"/>
    <x v="1"/>
    <d v="2026-06-25T00:00:00"/>
    <n v="35000"/>
    <n v="455.58481499999999"/>
    <n v="15945468.525"/>
    <n v="3348548.3902500002"/>
    <n v="19294016.91525"/>
    <m/>
    <n v="0"/>
    <n v="0"/>
    <n v="19294016.91525"/>
    <d v="2026-01-29T00:00:00"/>
    <x v="69"/>
    <n v="18"/>
    <n v="-147"/>
    <m/>
    <d v="2026-07-02T00:00:00"/>
    <x v="28"/>
    <d v="2026-01-29T00:00:00"/>
    <n v="700"/>
    <n v="27562.8813075"/>
    <n v="-0.40864392249999071"/>
    <n v="27562.4726635775"/>
    <n v="321.91935072293836"/>
    <n v="27884.39201430044"/>
    <x v="0"/>
    <x v="0"/>
    <s v="TUCUMAN"/>
    <x v="0"/>
    <n v="32515"/>
    <n v="-4630.6079856995602"/>
    <n v="-0.14241451593724619"/>
    <n v="-3241425.589989692"/>
    <n v="22760500"/>
    <n v="19519074.410010308"/>
    <n v="2.9000000000000001E-2"/>
    <n v="-68"/>
    <m/>
    <m/>
    <n v="0"/>
    <n v="1446.3009999999999"/>
    <n v="11025"/>
    <m/>
    <n v="11025"/>
    <n v="315"/>
    <n v="0"/>
    <n v="4.4516231506849318"/>
    <n v="319.45162315068495"/>
    <x v="0"/>
  </r>
  <r>
    <x v="1"/>
    <n v="1"/>
    <x v="0"/>
    <d v="2026-06-26T00:00:00"/>
    <x v="0"/>
    <s v="AZÚCAR CRUDO"/>
    <x v="1"/>
    <d v="2026-06-26T00:00:00"/>
    <n v="35000"/>
    <n v="455.58481499999999"/>
    <n v="15945468.525"/>
    <n v="3348548.3902500002"/>
    <n v="19294016.91525"/>
    <m/>
    <n v="0"/>
    <n v="0"/>
    <n v="19294016.91525"/>
    <d v="2026-01-29T00:00:00"/>
    <x v="48"/>
    <n v="19"/>
    <n v="-148"/>
    <m/>
    <d v="2026-07-03T00:00:00"/>
    <x v="28"/>
    <d v="2026-01-29T00:00:00"/>
    <n v="700"/>
    <n v="27562.8813075"/>
    <n v="-0.40864392249999071"/>
    <n v="27562.4726635775"/>
    <n v="324.10927827887673"/>
    <n v="27886.581941856377"/>
    <x v="0"/>
    <x v="0"/>
    <s v="TUCUMAN"/>
    <x v="0"/>
    <n v="32515"/>
    <n v="-4628.4180581436231"/>
    <n v="-0.14234716463612562"/>
    <n v="-3239892.6407005363"/>
    <n v="22760500"/>
    <n v="19520607.359299462"/>
    <n v="2.9000000000000001E-2"/>
    <n v="-68"/>
    <m/>
    <m/>
    <n v="0"/>
    <n v="1446.3009999999999"/>
    <n v="11025"/>
    <m/>
    <n v="11025"/>
    <n v="315"/>
    <n v="0"/>
    <n v="4.4819063013698637"/>
    <n v="319.48190630136986"/>
    <x v="0"/>
  </r>
  <r>
    <x v="1"/>
    <n v="1"/>
    <x v="0"/>
    <d v="2026-06-26T00:00:00"/>
    <x v="0"/>
    <s v="AZÚCAR CRUDO"/>
    <x v="1"/>
    <d v="2026-06-26T00:00:00"/>
    <n v="35000"/>
    <n v="455.58481499999999"/>
    <n v="15945468.525"/>
    <n v="3348548.3902500002"/>
    <n v="19294016.91525"/>
    <m/>
    <n v="0"/>
    <n v="0"/>
    <n v="19294016.91525"/>
    <d v="2026-01-29T00:00:00"/>
    <x v="48"/>
    <n v="19"/>
    <n v="-148"/>
    <m/>
    <d v="2026-07-03T00:00:00"/>
    <x v="28"/>
    <d v="2026-01-29T00:00:00"/>
    <n v="700"/>
    <n v="27562.8813075"/>
    <n v="-0.40864392249999071"/>
    <n v="27562.4726635775"/>
    <n v="324.10927827887673"/>
    <n v="27886.581941856377"/>
    <x v="0"/>
    <x v="0"/>
    <s v="TUCUMAN"/>
    <x v="0"/>
    <n v="32515"/>
    <n v="-4628.4180581436231"/>
    <n v="-0.14234716463612562"/>
    <n v="-3239892.6407005363"/>
    <n v="22760500"/>
    <n v="19520607.359299462"/>
    <n v="2.9000000000000001E-2"/>
    <n v="-68"/>
    <m/>
    <m/>
    <n v="0"/>
    <n v="1446.3009999999999"/>
    <n v="11025"/>
    <m/>
    <n v="11025"/>
    <n v="315"/>
    <n v="0"/>
    <n v="4.4819063013698637"/>
    <n v="319.48190630136986"/>
    <x v="0"/>
  </r>
  <r>
    <x v="1"/>
    <n v="1"/>
    <x v="0"/>
    <d v="2026-06-27T00:00:00"/>
    <x v="0"/>
    <s v="AZÚCAR CRUDO"/>
    <x v="1"/>
    <d v="2026-06-27T00:00:00"/>
    <n v="35000"/>
    <n v="455.58481499999999"/>
    <n v="15945468.525"/>
    <n v="3348548.3902500002"/>
    <n v="19294016.91525"/>
    <m/>
    <n v="0"/>
    <n v="0"/>
    <n v="19294016.91525"/>
    <d v="2026-01-29T00:00:00"/>
    <x v="70"/>
    <n v="20"/>
    <n v="-149"/>
    <m/>
    <d v="2026-07-04T00:00:00"/>
    <x v="28"/>
    <d v="2026-01-29T00:00:00"/>
    <n v="700"/>
    <n v="27562.8813075"/>
    <n v="-0.40864392249999071"/>
    <n v="27562.4726635775"/>
    <n v="326.2992058348151"/>
    <n v="27888.771869412314"/>
    <x v="0"/>
    <x v="0"/>
    <s v="TUCUMAN"/>
    <x v="0"/>
    <n v="32515"/>
    <n v="-4626.2281305876859"/>
    <n v="-0.14227981333500495"/>
    <n v="-3238359.6914113802"/>
    <n v="22760500"/>
    <n v="19522140.30858862"/>
    <n v="2.9000000000000001E-2"/>
    <n v="-68"/>
    <m/>
    <m/>
    <n v="0"/>
    <n v="1446.3009999999999"/>
    <n v="11025"/>
    <m/>
    <n v="11025"/>
    <n v="315"/>
    <n v="0"/>
    <n v="4.5121894520547947"/>
    <n v="319.51218945205477"/>
    <x v="0"/>
  </r>
  <r>
    <x v="1"/>
    <n v="1"/>
    <x v="0"/>
    <d v="2026-06-27T00:00:00"/>
    <x v="0"/>
    <s v="AZÚCAR CRUDO"/>
    <x v="1"/>
    <d v="2026-06-27T00:00:00"/>
    <n v="35000"/>
    <n v="455.58481499999999"/>
    <n v="15945468.525"/>
    <n v="3348548.3902500002"/>
    <n v="19294016.91525"/>
    <m/>
    <n v="0"/>
    <n v="0"/>
    <n v="19294016.91525"/>
    <d v="2026-01-29T00:00:00"/>
    <x v="70"/>
    <n v="20"/>
    <n v="-149"/>
    <m/>
    <d v="2026-07-04T00:00:00"/>
    <x v="28"/>
    <d v="2026-01-29T00:00:00"/>
    <n v="700"/>
    <n v="27562.8813075"/>
    <n v="-0.40864392249999071"/>
    <n v="27562.4726635775"/>
    <n v="326.2992058348151"/>
    <n v="27888.771869412314"/>
    <x v="0"/>
    <x v="0"/>
    <s v="TUCUMAN"/>
    <x v="0"/>
    <n v="32515"/>
    <n v="-4626.2281305876859"/>
    <n v="-0.14227981333500495"/>
    <n v="-3238359.6914113802"/>
    <n v="22760500"/>
    <n v="19522140.30858862"/>
    <n v="2.9000000000000001E-2"/>
    <n v="-68"/>
    <m/>
    <m/>
    <n v="0"/>
    <n v="1446.3009999999999"/>
    <n v="11025"/>
    <m/>
    <n v="11025"/>
    <n v="315"/>
    <n v="0"/>
    <n v="4.5121894520547947"/>
    <n v="319.51218945205477"/>
    <x v="0"/>
  </r>
  <r>
    <x v="1"/>
    <n v="1"/>
    <x v="0"/>
    <d v="2026-06-28T00:00:00"/>
    <x v="0"/>
    <s v="AZÚCAR CRUDO"/>
    <x v="1"/>
    <d v="2026-06-28T00:00:00"/>
    <n v="35000"/>
    <n v="455.58481499999999"/>
    <n v="15945468.525"/>
    <n v="3348548.3902500002"/>
    <n v="19294016.91525"/>
    <m/>
    <n v="0"/>
    <n v="0"/>
    <n v="19294016.91525"/>
    <d v="2026-01-29T00:00:00"/>
    <x v="49"/>
    <n v="21"/>
    <n v="-150"/>
    <m/>
    <d v="2026-07-05T00:00:00"/>
    <x v="28"/>
    <d v="2026-01-29T00:00:00"/>
    <n v="700"/>
    <n v="27562.8813075"/>
    <n v="-0.40864392249999071"/>
    <n v="27562.4726635775"/>
    <n v="328.48913339075341"/>
    <n v="27890.961796968255"/>
    <x v="0"/>
    <x v="0"/>
    <s v="TUCUMAN"/>
    <x v="0"/>
    <n v="32515"/>
    <n v="-4624.0382030317451"/>
    <n v="-0.14221246203388416"/>
    <n v="-3236826.7421222217"/>
    <n v="22760500"/>
    <n v="19523673.257877778"/>
    <n v="2.9000000000000001E-2"/>
    <n v="-68"/>
    <m/>
    <m/>
    <n v="0"/>
    <n v="1446.3009999999999"/>
    <n v="11025"/>
    <m/>
    <n v="11025"/>
    <n v="315"/>
    <n v="0"/>
    <n v="4.5424726027397266"/>
    <n v="319.54247260273974"/>
    <x v="0"/>
  </r>
  <r>
    <x v="1"/>
    <n v="1"/>
    <x v="0"/>
    <d v="2026-06-28T00:00:00"/>
    <x v="0"/>
    <s v="AZÚCAR CRUDO"/>
    <x v="1"/>
    <d v="2026-06-28T00:00:00"/>
    <n v="35000"/>
    <n v="455.58481499999999"/>
    <n v="15945468.525"/>
    <n v="3348548.3902500002"/>
    <n v="19294016.91525"/>
    <m/>
    <n v="0"/>
    <n v="0"/>
    <n v="19294016.91525"/>
    <d v="2026-01-29T00:00:00"/>
    <x v="49"/>
    <n v="21"/>
    <n v="-150"/>
    <m/>
    <d v="2026-07-05T00:00:00"/>
    <x v="28"/>
    <d v="2026-01-29T00:00:00"/>
    <n v="700"/>
    <n v="27562.8813075"/>
    <n v="-0.40864392249999071"/>
    <n v="27562.4726635775"/>
    <n v="328.48913339075341"/>
    <n v="27890.961796968255"/>
    <x v="0"/>
    <x v="0"/>
    <s v="TUCUMAN"/>
    <x v="0"/>
    <n v="32515"/>
    <n v="-4624.0382030317451"/>
    <n v="-0.14221246203388416"/>
    <n v="-3236826.7421222217"/>
    <n v="22760500"/>
    <n v="19523673.257877778"/>
    <n v="2.9000000000000001E-2"/>
    <n v="-68"/>
    <m/>
    <m/>
    <n v="0"/>
    <n v="1446.3009999999999"/>
    <n v="11025"/>
    <m/>
    <n v="11025"/>
    <n v="315"/>
    <n v="0"/>
    <n v="4.5424726027397266"/>
    <n v="319.54247260273974"/>
    <x v="0"/>
  </r>
  <r>
    <x v="1"/>
    <n v="1"/>
    <x v="0"/>
    <d v="2026-06-29T00:00:00"/>
    <x v="0"/>
    <s v="AZÚCAR CRUDO"/>
    <x v="1"/>
    <d v="2026-06-29T00:00:00"/>
    <n v="35000"/>
    <n v="455.58481499999999"/>
    <n v="15945468.525"/>
    <n v="3348548.3902500002"/>
    <n v="19294016.91525"/>
    <m/>
    <n v="0"/>
    <n v="0"/>
    <n v="19294016.91525"/>
    <d v="2026-01-29T00:00:00"/>
    <x v="71"/>
    <n v="22"/>
    <n v="-151"/>
    <m/>
    <d v="2026-07-06T00:00:00"/>
    <x v="28"/>
    <d v="2026-01-29T00:00:00"/>
    <n v="700"/>
    <n v="27562.8813075"/>
    <n v="-0.40864392249999071"/>
    <n v="27562.4726635775"/>
    <n v="330.67906094669178"/>
    <n v="27893.151724524192"/>
    <x v="0"/>
    <x v="0"/>
    <s v="TUCUMAN"/>
    <x v="0"/>
    <n v="32515"/>
    <n v="-4621.8482754758079"/>
    <n v="-0.14214511073276359"/>
    <n v="-3235293.7928330656"/>
    <n v="22760500"/>
    <n v="19525206.207166936"/>
    <n v="2.9000000000000001E-2"/>
    <n v="-68"/>
    <m/>
    <m/>
    <n v="0"/>
    <n v="1446.3009999999999"/>
    <n v="11025"/>
    <m/>
    <n v="11025"/>
    <n v="315"/>
    <n v="0"/>
    <n v="4.5727557534246577"/>
    <n v="319.57275575342464"/>
    <x v="0"/>
  </r>
  <r>
    <x v="1"/>
    <n v="1"/>
    <x v="0"/>
    <d v="2026-06-29T00:00:00"/>
    <x v="0"/>
    <s v="AZÚCAR CRUDO"/>
    <x v="1"/>
    <d v="2026-06-29T00:00:00"/>
    <n v="35000"/>
    <n v="455.58481499999999"/>
    <n v="15945468.525"/>
    <n v="3348548.3902500002"/>
    <n v="19294016.91525"/>
    <m/>
    <n v="0"/>
    <n v="0"/>
    <n v="19294016.91525"/>
    <d v="2026-01-29T00:00:00"/>
    <x v="71"/>
    <n v="22"/>
    <n v="-151"/>
    <m/>
    <d v="2026-07-06T00:00:00"/>
    <x v="28"/>
    <d v="2026-01-29T00:00:00"/>
    <n v="700"/>
    <n v="27562.8813075"/>
    <n v="-0.40864392249999071"/>
    <n v="27562.4726635775"/>
    <n v="330.67906094669178"/>
    <n v="27893.151724524192"/>
    <x v="0"/>
    <x v="0"/>
    <s v="TUCUMAN"/>
    <x v="0"/>
    <n v="32515"/>
    <n v="-4621.8482754758079"/>
    <n v="-0.14214511073276359"/>
    <n v="-3235293.7928330656"/>
    <n v="22760500"/>
    <n v="19525206.207166936"/>
    <n v="2.9000000000000001E-2"/>
    <n v="-68"/>
    <m/>
    <m/>
    <n v="0"/>
    <n v="1446.3009999999999"/>
    <n v="11025"/>
    <m/>
    <n v="11025"/>
    <n v="315"/>
    <n v="0"/>
    <n v="4.5727557534246577"/>
    <n v="319.57275575342464"/>
    <x v="0"/>
  </r>
  <r>
    <x v="1"/>
    <n v="1"/>
    <x v="0"/>
    <d v="2026-06-29T00:00:00"/>
    <x v="0"/>
    <s v="AZÚCAR CRUDO"/>
    <x v="1"/>
    <d v="2026-06-29T00:00:00"/>
    <n v="35000"/>
    <n v="455.58481499999999"/>
    <n v="15945468.525"/>
    <n v="3348548.3902500002"/>
    <n v="19294016.91525"/>
    <m/>
    <n v="0"/>
    <n v="0"/>
    <n v="19294016.91525"/>
    <d v="2026-01-29T00:00:00"/>
    <x v="71"/>
    <n v="22"/>
    <n v="-151"/>
    <m/>
    <d v="2026-07-06T00:00:00"/>
    <x v="28"/>
    <d v="2026-01-29T00:00:00"/>
    <n v="700"/>
    <n v="27562.8813075"/>
    <n v="-0.40864392249999071"/>
    <n v="27562.4726635775"/>
    <n v="330.67906094669178"/>
    <n v="27893.151724524192"/>
    <x v="0"/>
    <x v="0"/>
    <s v="TUCUMAN"/>
    <x v="0"/>
    <n v="32515"/>
    <n v="-4621.8482754758079"/>
    <n v="-0.14214511073276359"/>
    <n v="-3235293.7928330656"/>
    <n v="22760500"/>
    <n v="19525206.207166936"/>
    <n v="2.9000000000000001E-2"/>
    <n v="-68"/>
    <m/>
    <m/>
    <n v="0"/>
    <n v="1446.3009999999999"/>
    <n v="11025"/>
    <m/>
    <n v="11025"/>
    <n v="315"/>
    <n v="0"/>
    <n v="4.5727557534246577"/>
    <n v="319.57275575342464"/>
    <x v="0"/>
  </r>
  <r>
    <x v="1"/>
    <n v="1"/>
    <x v="0"/>
    <d v="2026-06-29T00:00:00"/>
    <x v="0"/>
    <s v="AZÚCAR CRUDO"/>
    <x v="1"/>
    <d v="2026-06-29T00:00:00"/>
    <n v="35000"/>
    <n v="455.58481499999999"/>
    <n v="15945468.525"/>
    <n v="3348548.3902500002"/>
    <n v="19294016.91525"/>
    <m/>
    <n v="0"/>
    <n v="0"/>
    <n v="19294016.91525"/>
    <d v="2026-01-29T00:00:00"/>
    <x v="71"/>
    <n v="22"/>
    <n v="-151"/>
    <m/>
    <d v="2026-07-06T00:00:00"/>
    <x v="28"/>
    <d v="2026-01-29T00:00:00"/>
    <n v="700"/>
    <n v="27562.8813075"/>
    <n v="-0.40864392249999071"/>
    <n v="27562.4726635775"/>
    <n v="330.67906094669178"/>
    <n v="27893.151724524192"/>
    <x v="0"/>
    <x v="0"/>
    <s v="TUCUMAN"/>
    <x v="0"/>
    <n v="32515"/>
    <n v="-4621.8482754758079"/>
    <n v="-0.14214511073276359"/>
    <n v="-3235293.7928330656"/>
    <n v="22760500"/>
    <n v="19525206.207166936"/>
    <n v="2.9000000000000001E-2"/>
    <n v="-68"/>
    <m/>
    <m/>
    <n v="0"/>
    <n v="1446.3009999999999"/>
    <n v="11025"/>
    <m/>
    <n v="11025"/>
    <n v="315"/>
    <n v="0"/>
    <n v="4.5727557534246577"/>
    <n v="319.57275575342464"/>
    <x v="0"/>
  </r>
  <r>
    <x v="1"/>
    <n v="1"/>
    <x v="0"/>
    <d v="2026-06-29T00:00:00"/>
    <x v="0"/>
    <s v="AZÚCAR CRUDO"/>
    <x v="1"/>
    <d v="2026-06-29T00:00:00"/>
    <n v="35000"/>
    <n v="455.58481499999999"/>
    <n v="15945468.525"/>
    <n v="3348548.3902500002"/>
    <n v="19294016.91525"/>
    <m/>
    <n v="0"/>
    <n v="0"/>
    <n v="19294016.91525"/>
    <d v="2026-01-29T00:00:00"/>
    <x v="71"/>
    <n v="22"/>
    <n v="-151"/>
    <m/>
    <d v="2026-07-06T00:00:00"/>
    <x v="28"/>
    <d v="2026-01-29T00:00:00"/>
    <n v="700"/>
    <n v="27562.8813075"/>
    <n v="-0.40864392249999071"/>
    <n v="27562.4726635775"/>
    <n v="330.67906094669178"/>
    <n v="27893.151724524192"/>
    <x v="0"/>
    <x v="0"/>
    <s v="TUCUMAN"/>
    <x v="0"/>
    <n v="32515"/>
    <n v="-4621.8482754758079"/>
    <n v="-0.14214511073276359"/>
    <n v="-3235293.7928330656"/>
    <n v="22760500"/>
    <n v="19525206.207166936"/>
    <n v="2.9000000000000001E-2"/>
    <n v="-68"/>
    <m/>
    <m/>
    <n v="0"/>
    <n v="1446.3009999999999"/>
    <n v="11025"/>
    <m/>
    <n v="11025"/>
    <n v="315"/>
    <n v="0"/>
    <n v="4.5727557534246577"/>
    <n v="319.57275575342464"/>
    <x v="0"/>
  </r>
  <r>
    <x v="1"/>
    <n v="1"/>
    <x v="0"/>
    <d v="2026-06-29T00:00:00"/>
    <x v="0"/>
    <s v="AZÚCAR CRUDO"/>
    <x v="1"/>
    <d v="2026-06-29T00:00:00"/>
    <n v="35000"/>
    <n v="455.58481499999999"/>
    <n v="15945468.525"/>
    <n v="3348548.3902500002"/>
    <n v="19294016.91525"/>
    <m/>
    <n v="0"/>
    <n v="0"/>
    <n v="19294016.91525"/>
    <d v="2026-01-29T00:00:00"/>
    <x v="71"/>
    <n v="22"/>
    <n v="-151"/>
    <m/>
    <d v="2026-07-06T00:00:00"/>
    <x v="28"/>
    <d v="2026-01-29T00:00:00"/>
    <n v="700"/>
    <n v="27562.8813075"/>
    <n v="-0.40864392249999071"/>
    <n v="27562.4726635775"/>
    <n v="330.67906094669178"/>
    <n v="27893.151724524192"/>
    <x v="0"/>
    <x v="0"/>
    <s v="TUCUMAN"/>
    <x v="0"/>
    <n v="32515"/>
    <n v="-4621.8482754758079"/>
    <n v="-0.14214511073276359"/>
    <n v="-3235293.7928330656"/>
    <n v="22760500"/>
    <n v="19525206.207166936"/>
    <n v="2.9000000000000001E-2"/>
    <n v="-68"/>
    <m/>
    <m/>
    <n v="0"/>
    <n v="1446.3009999999999"/>
    <n v="11025"/>
    <m/>
    <n v="11025"/>
    <n v="315"/>
    <n v="0"/>
    <n v="4.5727557534246577"/>
    <n v="319.57275575342464"/>
    <x v="0"/>
  </r>
  <r>
    <x v="1"/>
    <n v="1"/>
    <x v="0"/>
    <d v="2026-06-30T00:00:00"/>
    <x v="0"/>
    <s v="AZÚCAR CRUDO"/>
    <x v="1"/>
    <d v="2026-06-30T00:00:00"/>
    <n v="35000"/>
    <n v="455.58481499999999"/>
    <n v="15945468.525"/>
    <n v="3348548.3902500002"/>
    <n v="19294016.91525"/>
    <m/>
    <n v="0"/>
    <n v="0"/>
    <n v="19294016.91525"/>
    <d v="2026-01-29T00:00:00"/>
    <x v="22"/>
    <n v="23"/>
    <n v="-152"/>
    <m/>
    <d v="2026-07-07T00:00:00"/>
    <x v="28"/>
    <d v="2026-01-29T00:00:00"/>
    <n v="700"/>
    <n v="27562.8813075"/>
    <n v="-0.40864392249999071"/>
    <n v="27562.4726635775"/>
    <n v="332.86898850263015"/>
    <n v="27895.341652080129"/>
    <x v="0"/>
    <x v="0"/>
    <s v="TUCUMAN"/>
    <x v="0"/>
    <n v="32515"/>
    <n v="-4619.6583479198707"/>
    <n v="-0.14207775943164291"/>
    <n v="-3233760.8435439095"/>
    <n v="22760500"/>
    <n v="19526739.156456091"/>
    <n v="2.9000000000000001E-2"/>
    <n v="-68"/>
    <m/>
    <m/>
    <n v="0"/>
    <n v="1446.3009999999999"/>
    <n v="11025"/>
    <m/>
    <n v="11025"/>
    <n v="315"/>
    <n v="0"/>
    <n v="4.6030389041095896"/>
    <n v="319.60303890410961"/>
    <x v="0"/>
  </r>
  <r>
    <x v="1"/>
    <n v="1"/>
    <x v="0"/>
    <d v="2026-06-30T00:00:00"/>
    <x v="0"/>
    <s v="AZÚCAR CRUDO"/>
    <x v="1"/>
    <d v="2026-06-30T00:00:00"/>
    <n v="35000"/>
    <n v="455.58481499999999"/>
    <n v="15945468.525"/>
    <n v="3348548.3902500002"/>
    <n v="19294016.91525"/>
    <m/>
    <n v="0"/>
    <n v="0"/>
    <n v="19294016.91525"/>
    <d v="2026-01-29T00:00:00"/>
    <x v="22"/>
    <n v="23"/>
    <n v="-152"/>
    <m/>
    <d v="2026-07-07T00:00:00"/>
    <x v="28"/>
    <d v="2026-01-29T00:00:00"/>
    <n v="700"/>
    <n v="27562.8813075"/>
    <n v="-0.40864392249999071"/>
    <n v="27562.4726635775"/>
    <n v="332.86898850263015"/>
    <n v="27895.341652080129"/>
    <x v="0"/>
    <x v="0"/>
    <s v="TUCUMAN"/>
    <x v="0"/>
    <n v="32515"/>
    <n v="-4619.6583479198707"/>
    <n v="-0.14207775943164291"/>
    <n v="-3233760.8435439095"/>
    <n v="22760500"/>
    <n v="19526739.156456091"/>
    <n v="2.9000000000000001E-2"/>
    <n v="-68"/>
    <m/>
    <m/>
    <n v="0"/>
    <n v="1446.3009999999999"/>
    <n v="11025"/>
    <m/>
    <n v="11025"/>
    <n v="315"/>
    <n v="0"/>
    <n v="4.6030389041095896"/>
    <n v="319.60303890410961"/>
    <x v="0"/>
  </r>
  <r>
    <x v="1"/>
    <n v="1"/>
    <x v="0"/>
    <d v="2026-06-30T00:00:00"/>
    <x v="0"/>
    <s v="AZÚCAR CRUDO"/>
    <x v="1"/>
    <d v="2026-06-30T00:00:00"/>
    <n v="35000"/>
    <n v="455.58481499999999"/>
    <n v="15945468.525"/>
    <n v="3348548.3902500002"/>
    <n v="19294016.91525"/>
    <m/>
    <n v="0"/>
    <n v="0"/>
    <n v="19294016.91525"/>
    <d v="2026-01-29T00:00:00"/>
    <x v="22"/>
    <n v="23"/>
    <n v="-152"/>
    <m/>
    <d v="2026-07-07T00:00:00"/>
    <x v="28"/>
    <d v="2026-01-29T00:00:00"/>
    <n v="700"/>
    <n v="27562.8813075"/>
    <n v="-0.40864392249999071"/>
    <n v="27562.4726635775"/>
    <n v="332.86898850263015"/>
    <n v="27895.341652080129"/>
    <x v="0"/>
    <x v="0"/>
    <s v="TUCUMAN"/>
    <x v="0"/>
    <n v="32515"/>
    <n v="-4619.6583479198707"/>
    <n v="-0.14207775943164291"/>
    <n v="-3233760.8435439095"/>
    <n v="22760500"/>
    <n v="19526739.156456091"/>
    <n v="2.9000000000000001E-2"/>
    <n v="-68"/>
    <m/>
    <m/>
    <n v="0"/>
    <n v="1446.3009999999999"/>
    <n v="11025"/>
    <m/>
    <n v="11025"/>
    <n v="315"/>
    <n v="0"/>
    <n v="4.6030389041095896"/>
    <n v="319.60303890410961"/>
    <x v="0"/>
  </r>
  <r>
    <x v="1"/>
    <n v="1"/>
    <x v="0"/>
    <d v="2026-06-30T00:00:00"/>
    <x v="0"/>
    <s v="AZÚCAR CRUDO"/>
    <x v="1"/>
    <d v="2026-06-30T00:00:00"/>
    <n v="35000"/>
    <n v="455.58481499999999"/>
    <n v="15945468.525"/>
    <n v="3348548.3902500002"/>
    <n v="19294016.91525"/>
    <m/>
    <n v="0"/>
    <n v="0"/>
    <n v="19294016.91525"/>
    <d v="2026-01-29T00:00:00"/>
    <x v="22"/>
    <n v="23"/>
    <n v="-152"/>
    <m/>
    <d v="2026-07-07T00:00:00"/>
    <x v="28"/>
    <d v="2026-01-29T00:00:00"/>
    <n v="700"/>
    <n v="27562.8813075"/>
    <n v="-0.40864392249999071"/>
    <n v="27562.4726635775"/>
    <n v="332.86898850263015"/>
    <n v="27895.341652080129"/>
    <x v="0"/>
    <x v="0"/>
    <s v="TUCUMAN"/>
    <x v="0"/>
    <n v="32515"/>
    <n v="-4619.6583479198707"/>
    <n v="-0.14207775943164291"/>
    <n v="-3233760.8435439095"/>
    <n v="22760500"/>
    <n v="19526739.156456091"/>
    <n v="2.9000000000000001E-2"/>
    <n v="-68"/>
    <m/>
    <m/>
    <n v="0"/>
    <n v="1446.3009999999999"/>
    <n v="11025"/>
    <m/>
    <n v="11025"/>
    <n v="315"/>
    <n v="0"/>
    <n v="4.6030389041095896"/>
    <n v="319.60303890410961"/>
    <x v="0"/>
  </r>
  <r>
    <x v="1"/>
    <n v="1"/>
    <x v="6"/>
    <d v="2026-06-03T00:00:00"/>
    <x v="2"/>
    <s v="AZUCAR COMUN TIPO A"/>
    <x v="1"/>
    <d v="2026-06-03T00:00:00"/>
    <n v="40000"/>
    <n v="495.86776859504135"/>
    <n v="19834710.743801653"/>
    <n v="4165289.2561983471"/>
    <n v="24000000"/>
    <n v="0"/>
    <n v="0"/>
    <n v="0"/>
    <n v="24000000"/>
    <d v="2026-03-12T00:00:00"/>
    <x v="14"/>
    <n v="-4"/>
    <n v="-83"/>
    <m/>
    <d v="2026-06-10T00:00:00"/>
    <x v="8"/>
    <d v="2026-03-13T00:00:00"/>
    <n v="800"/>
    <n v="30000"/>
    <n v="0.14499999999999602"/>
    <n v="30000.145"/>
    <n v="197.83561643835617"/>
    <n v="30197.980616438355"/>
    <x v="2"/>
    <x v="0"/>
    <s v="TUCUMAN"/>
    <x v="3"/>
    <n v="35314"/>
    <n v="-5116.0193835616446"/>
    <n v="-0.14487227115482937"/>
    <n v="-4092815.5068493159"/>
    <n v="28251200"/>
    <n v="24158384.493150685"/>
    <n v="2.9000000000000001E-2"/>
    <n v="-74.5"/>
    <n v="0"/>
    <s v="PREVENTA ZAFRA 26"/>
    <n v="0"/>
    <n v="1392.9851000000001"/>
    <n v="14238.997060199461"/>
    <m/>
    <n v="14238.997060199461"/>
    <n v="355.97492650498651"/>
    <n v="1.0696453249930669"/>
    <n v="2.8404556005424055"/>
    <n v="359.88502743052197"/>
    <x v="4"/>
  </r>
  <r>
    <x v="1"/>
    <n v="1"/>
    <x v="6"/>
    <d v="2026-06-03T00:00:00"/>
    <x v="2"/>
    <s v="AZUCAR COMUN TIPO A"/>
    <x v="1"/>
    <d v="2026-06-03T00:00:00"/>
    <n v="40000"/>
    <n v="495.86776859504135"/>
    <n v="19834710.743801653"/>
    <n v="4165289.2561983471"/>
    <n v="24000000"/>
    <n v="0"/>
    <n v="0"/>
    <n v="0"/>
    <n v="24000000"/>
    <d v="2026-03-12T00:00:00"/>
    <x v="14"/>
    <n v="-4"/>
    <n v="-83"/>
    <m/>
    <d v="2026-06-10T00:00:00"/>
    <x v="8"/>
    <d v="2026-03-13T00:00:00"/>
    <n v="800"/>
    <n v="30000"/>
    <n v="0.14499999999999602"/>
    <n v="30000.145"/>
    <n v="197.83561643835617"/>
    <n v="30197.980616438355"/>
    <x v="2"/>
    <x v="0"/>
    <s v="TUCUMAN"/>
    <x v="3"/>
    <n v="35314"/>
    <n v="-5116.0193835616446"/>
    <n v="-0.14487227115482937"/>
    <n v="-4092815.5068493159"/>
    <n v="28251200"/>
    <n v="24158384.493150685"/>
    <n v="2.9000000000000001E-2"/>
    <n v="-74.5"/>
    <n v="0"/>
    <s v="PREVENTA ZAFRA 26"/>
    <n v="0"/>
    <n v="1392.9851000000001"/>
    <n v="14238.997060199461"/>
    <m/>
    <n v="14238.997060199461"/>
    <n v="355.97492650498651"/>
    <n v="1.0696453249930669"/>
    <n v="2.8404556005424055"/>
    <n v="359.88502743052197"/>
    <x v="4"/>
  </r>
  <r>
    <x v="1"/>
    <n v="1"/>
    <x v="6"/>
    <d v="2026-06-08T00:00:00"/>
    <x v="2"/>
    <s v="AZUCAR COMUN TIPO A"/>
    <x v="1"/>
    <d v="2026-06-08T00:00:00"/>
    <n v="40000"/>
    <n v="495.86776859504135"/>
    <n v="19834710.743801653"/>
    <n v="4165289.2561983471"/>
    <n v="24000000"/>
    <n v="0"/>
    <n v="0"/>
    <n v="0"/>
    <n v="24000000"/>
    <d v="2026-03-12T00:00:00"/>
    <x v="20"/>
    <n v="1"/>
    <n v="-88"/>
    <m/>
    <d v="2026-06-15T00:00:00"/>
    <x v="8"/>
    <d v="2026-03-13T00:00:00"/>
    <n v="800"/>
    <n v="30000"/>
    <n v="0.14499999999999602"/>
    <n v="30000.145"/>
    <n v="209.75342465753425"/>
    <n v="30209.898424657535"/>
    <x v="2"/>
    <x v="0"/>
    <s v="TUCUMAN"/>
    <x v="3"/>
    <n v="35314"/>
    <n v="-5104.1015753424654"/>
    <n v="-0.14453479003631609"/>
    <n v="-4083281.2602739725"/>
    <n v="28251200"/>
    <n v="24167918.739726029"/>
    <n v="2.9000000000000001E-2"/>
    <n v="-74.5"/>
    <n v="0"/>
    <s v="PREVENTA ZAFRA 26"/>
    <n v="0"/>
    <n v="1392.9851000000001"/>
    <n v="14238.997060199461"/>
    <m/>
    <n v="14238.997060199461"/>
    <n v="355.97492650498651"/>
    <n v="1.0696453249930669"/>
    <n v="3.0115673837076109"/>
    <n v="360.05613921368717"/>
    <x v="4"/>
  </r>
  <r>
    <x v="1"/>
    <n v="1"/>
    <x v="6"/>
    <d v="2026-06-10T00:00:00"/>
    <x v="2"/>
    <s v="AZUCAR COMUN TIPO A"/>
    <x v="1"/>
    <d v="2026-06-10T00:00:00"/>
    <n v="40000"/>
    <n v="495.86776859504135"/>
    <n v="19834710.743801653"/>
    <n v="4165289.2561983471"/>
    <n v="24000000"/>
    <n v="0"/>
    <n v="0"/>
    <n v="0"/>
    <n v="24000000"/>
    <d v="2026-03-12T00:00:00"/>
    <x v="43"/>
    <n v="3"/>
    <n v="-90"/>
    <m/>
    <d v="2026-06-17T00:00:00"/>
    <x v="8"/>
    <d v="2026-03-13T00:00:00"/>
    <n v="800"/>
    <n v="30000"/>
    <n v="0.14499999999999602"/>
    <n v="30000.145"/>
    <n v="214.52054794520549"/>
    <n v="30214.665547945206"/>
    <x v="2"/>
    <x v="0"/>
    <s v="TUCUMAN"/>
    <x v="3"/>
    <n v="35314"/>
    <n v="-5099.3344520547944"/>
    <n v="-0.14439979758891075"/>
    <n v="-4079467.5616438356"/>
    <n v="28251200"/>
    <n v="24171732.438356165"/>
    <n v="2.9000000000000001E-2"/>
    <n v="-74.5"/>
    <n v="0"/>
    <s v="PREVENTA ZAFRA 26"/>
    <n v="0"/>
    <n v="1392.9851000000001"/>
    <n v="14238.997060199461"/>
    <m/>
    <n v="14238.997060199461"/>
    <n v="355.97492650498651"/>
    <n v="1.0696453249930669"/>
    <n v="3.080012096973693"/>
    <n v="360.12458392695328"/>
    <x v="4"/>
  </r>
  <r>
    <x v="1"/>
    <n v="1"/>
    <x v="6"/>
    <d v="2026-06-12T00:00:00"/>
    <x v="2"/>
    <s v="AZUCAR COMUN TIPO A"/>
    <x v="1"/>
    <d v="2026-06-12T00:00:00"/>
    <n v="40000"/>
    <n v="495.86776859504135"/>
    <n v="19834710.743801653"/>
    <n v="4165289.2561983471"/>
    <n v="24000000"/>
    <n v="0"/>
    <n v="0"/>
    <n v="0"/>
    <n v="24000000"/>
    <d v="2026-03-12T00:00:00"/>
    <x v="21"/>
    <n v="5"/>
    <n v="-92"/>
    <m/>
    <d v="2026-06-19T00:00:00"/>
    <x v="8"/>
    <d v="2026-03-13T00:00:00"/>
    <n v="800"/>
    <n v="30000"/>
    <n v="0.14499999999999602"/>
    <n v="30000.145"/>
    <n v="219.28767123287673"/>
    <n v="30219.432671232877"/>
    <x v="2"/>
    <x v="0"/>
    <s v="TUCUMAN"/>
    <x v="3"/>
    <n v="35314"/>
    <n v="-5094.5673287671234"/>
    <n v="-0.14426480514150541"/>
    <n v="-4075653.8630136987"/>
    <n v="28251200"/>
    <n v="24175546.1369863"/>
    <n v="2.9000000000000001E-2"/>
    <n v="-74.5"/>
    <n v="0"/>
    <s v="PREVENTA ZAFRA 26"/>
    <n v="0"/>
    <n v="1392.9851000000001"/>
    <n v="14238.997060199461"/>
    <m/>
    <n v="14238.997060199461"/>
    <n v="355.97492650498651"/>
    <n v="1.0696453249930669"/>
    <n v="3.1484568102397748"/>
    <n v="360.19302864021938"/>
    <x v="4"/>
  </r>
  <r>
    <x v="1"/>
    <n v="1"/>
    <x v="6"/>
    <d v="2026-06-15T00:00:00"/>
    <x v="2"/>
    <s v="AZUCAR COMUN TIPO A"/>
    <x v="1"/>
    <d v="2026-06-15T00:00:00"/>
    <n v="40000"/>
    <n v="495.86776859504135"/>
    <n v="19834710.743801653"/>
    <n v="4165289.2561983471"/>
    <n v="24000000"/>
    <n v="0"/>
    <n v="0"/>
    <n v="0"/>
    <n v="24000000"/>
    <d v="2026-03-12T00:00:00"/>
    <x v="35"/>
    <n v="8"/>
    <n v="-95"/>
    <m/>
    <d v="2026-06-22T00:00:00"/>
    <x v="8"/>
    <d v="2026-03-13T00:00:00"/>
    <n v="800"/>
    <n v="30000"/>
    <n v="0.14499999999999602"/>
    <n v="30000.145"/>
    <n v="226.43835616438358"/>
    <n v="30226.583356164385"/>
    <x v="2"/>
    <x v="0"/>
    <s v="TUCUMAN"/>
    <x v="3"/>
    <n v="35314"/>
    <n v="-5087.4166438356151"/>
    <n v="-0.14406231647039747"/>
    <n v="-4069933.3150684922"/>
    <n v="28251200"/>
    <n v="24181266.684931509"/>
    <n v="2.9000000000000001E-2"/>
    <n v="-74.5"/>
    <n v="0"/>
    <s v="PREVENTA ZAFRA 26"/>
    <n v="0"/>
    <n v="1392.9851000000001"/>
    <n v="14238.997060199461"/>
    <m/>
    <n v="14238.997060199461"/>
    <n v="355.97492650498651"/>
    <n v="1.0696453249930669"/>
    <n v="3.2511238801388984"/>
    <n v="360.29569571011848"/>
    <x v="4"/>
  </r>
  <r>
    <x v="1"/>
    <n v="1"/>
    <x v="6"/>
    <d v="2026-06-23T00:00:00"/>
    <x v="2"/>
    <s v="AZUCAR COMUN TIPO A"/>
    <x v="1"/>
    <d v="2026-06-23T00:00:00"/>
    <n v="40000"/>
    <n v="495.86776859504135"/>
    <n v="19834710.743801653"/>
    <n v="4165289.2561983471"/>
    <n v="24000000"/>
    <n v="0"/>
    <n v="0"/>
    <n v="0"/>
    <n v="24000000"/>
    <d v="2026-03-12T00:00:00"/>
    <x v="22"/>
    <n v="23"/>
    <n v="-103"/>
    <m/>
    <d v="2026-07-07T00:00:00"/>
    <x v="8"/>
    <d v="2026-03-13T00:00:00"/>
    <n v="800"/>
    <n v="30000"/>
    <n v="0.14499999999999602"/>
    <n v="30000.145"/>
    <n v="245.50684931506851"/>
    <n v="30245.651849315069"/>
    <x v="2"/>
    <x v="0"/>
    <s v="TUCUMAN"/>
    <x v="3"/>
    <n v="35314"/>
    <n v="-5068.3481506849312"/>
    <n v="-0.14352234668077624"/>
    <n v="-4054678.5205479451"/>
    <n v="28251200"/>
    <n v="24196521.479452055"/>
    <n v="2.9000000000000001E-2"/>
    <n v="-74.5"/>
    <n v="7"/>
    <s v="PREVENTA ZAFRA 26"/>
    <n v="0"/>
    <n v="1392.9851000000001"/>
    <n v="14238.997060199461"/>
    <m/>
    <n v="14238.997060199461"/>
    <n v="355.97492650498651"/>
    <n v="1.0696453249930669"/>
    <n v="3.5249027332032261"/>
    <n v="360.56947456318284"/>
    <x v="4"/>
  </r>
  <r>
    <x v="1"/>
    <n v="1"/>
    <x v="6"/>
    <d v="2026-06-23T00:00:00"/>
    <x v="2"/>
    <s v="AZUCAR COMUN TIPO A"/>
    <x v="1"/>
    <d v="2026-06-23T00:00:00"/>
    <n v="40000"/>
    <n v="495.86776859504135"/>
    <n v="19834710.743801653"/>
    <n v="4165289.2561983471"/>
    <n v="24000000"/>
    <n v="0"/>
    <n v="0"/>
    <n v="0"/>
    <n v="24000000"/>
    <d v="2026-03-12T00:00:00"/>
    <x v="22"/>
    <n v="23"/>
    <n v="-103"/>
    <m/>
    <d v="2026-07-07T00:00:00"/>
    <x v="8"/>
    <d v="2026-03-13T00:00:00"/>
    <n v="800"/>
    <n v="30000"/>
    <n v="0.14499999999999602"/>
    <n v="30000.145"/>
    <n v="245.50684931506851"/>
    <n v="30245.651849315069"/>
    <x v="2"/>
    <x v="0"/>
    <s v="TUCUMAN"/>
    <x v="3"/>
    <n v="35314"/>
    <n v="-5068.3481506849312"/>
    <n v="-0.14352234668077624"/>
    <n v="-4054678.5205479451"/>
    <n v="28251200"/>
    <n v="24196521.479452055"/>
    <n v="2.9000000000000001E-2"/>
    <n v="-74.5"/>
    <n v="7"/>
    <s v="PREVENTA ZAFRA 26"/>
    <n v="0"/>
    <n v="1392.9851000000001"/>
    <n v="14238.997060199461"/>
    <m/>
    <n v="14238.997060199461"/>
    <n v="355.97492650498651"/>
    <n v="1.0696453249930669"/>
    <n v="3.5249027332032261"/>
    <n v="360.56947456318284"/>
    <x v="4"/>
  </r>
  <r>
    <x v="1"/>
    <n v="1"/>
    <x v="23"/>
    <d v="2026-06-30T00:00:00"/>
    <x v="2"/>
    <s v="AZUCAR COMUN TIPO A"/>
    <x v="1"/>
    <d v="2026-06-30T00:00:00"/>
    <n v="30000"/>
    <n v="578.51239669421489"/>
    <n v="17355371.900826447"/>
    <n v="3644628.0991735538"/>
    <n v="21000000"/>
    <n v="0"/>
    <n v="0"/>
    <n v="0"/>
    <n v="21000000"/>
    <d v="2026-05-14T00:00:00"/>
    <x v="22"/>
    <n v="23"/>
    <n v="-47"/>
    <m/>
    <d v="2026-07-07T00:00:00"/>
    <x v="11"/>
    <d v="2026-05-14T00:00:00"/>
    <n v="600"/>
    <n v="35000"/>
    <n v="0.26999999999999602"/>
    <n v="35000.269999999997"/>
    <n v="135.20547945205479"/>
    <n v="35135.475479452049"/>
    <x v="2"/>
    <x v="0"/>
    <s v="TUCUMAN"/>
    <x v="3"/>
    <n v="37097"/>
    <n v="-1961.5245205479514"/>
    <n v="-5.2875556528774625E-2"/>
    <n v="-1176914.7123287709"/>
    <n v="22258200"/>
    <n v="21081285.287671231"/>
    <n v="0.03"/>
    <n v="-87"/>
    <n v="0"/>
    <s v="PREVENTA ZAFRA 26"/>
    <n v="0"/>
    <n v="1393.2321999999999"/>
    <n v="12456.91271047744"/>
    <m/>
    <n v="12456.91271047744"/>
    <n v="415.23042368258132"/>
    <n v="1.2488944771732953"/>
    <n v="1.9408893858763068"/>
    <n v="418.42020754563089"/>
    <x v="4"/>
  </r>
  <r>
    <x v="1"/>
    <n v="1"/>
    <x v="23"/>
    <d v="2026-06-30T00:00:00"/>
    <x v="2"/>
    <s v="AZUCAR COMUN TIPO A"/>
    <x v="1"/>
    <d v="2026-06-30T00:00:00"/>
    <n v="30000"/>
    <n v="578.51239669421489"/>
    <n v="17355371.900826447"/>
    <n v="3644628.0991735538"/>
    <n v="21000000"/>
    <n v="0"/>
    <n v="0"/>
    <n v="0"/>
    <n v="21000000"/>
    <d v="2026-05-14T00:00:00"/>
    <x v="22"/>
    <n v="23"/>
    <n v="-47"/>
    <m/>
    <d v="2026-07-07T00:00:00"/>
    <x v="11"/>
    <d v="2026-05-14T00:00:00"/>
    <n v="600"/>
    <n v="35000"/>
    <n v="0.26999999999999602"/>
    <n v="35000.269999999997"/>
    <n v="135.20547945205479"/>
    <n v="35135.475479452049"/>
    <x v="2"/>
    <x v="0"/>
    <s v="TUCUMAN"/>
    <x v="3"/>
    <n v="37097"/>
    <n v="-1961.5245205479514"/>
    <n v="-5.2875556528774625E-2"/>
    <n v="-1176914.7123287709"/>
    <n v="22258200"/>
    <n v="21081285.287671231"/>
    <n v="0.03"/>
    <n v="-87"/>
    <n v="0"/>
    <s v="PREVENTA ZAFRA 26"/>
    <n v="0"/>
    <n v="1393.2321999999999"/>
    <n v="12456.91271047744"/>
    <m/>
    <n v="12456.91271047744"/>
    <n v="415.23042368258132"/>
    <n v="1.2488944771732953"/>
    <n v="1.9408893858763068"/>
    <n v="418.42020754563089"/>
    <x v="4"/>
  </r>
  <r>
    <x v="1"/>
    <n v="1"/>
    <x v="24"/>
    <d v="2026-06-30T00:00:00"/>
    <x v="2"/>
    <s v="AZUCAR COMUN TIPO A"/>
    <x v="1"/>
    <d v="2026-06-30T00:00:00"/>
    <n v="30000"/>
    <n v="578.51239669421489"/>
    <n v="17355371.900826447"/>
    <n v="3644628.0991735538"/>
    <n v="21000000"/>
    <n v="0"/>
    <n v="0"/>
    <n v="0"/>
    <n v="21000000"/>
    <d v="2026-05-14T00:00:00"/>
    <x v="22"/>
    <n v="23"/>
    <n v="-47"/>
    <m/>
    <d v="2026-07-07T00:00:00"/>
    <x v="11"/>
    <d v="2026-05-14T00:00:00"/>
    <n v="600"/>
    <n v="35000"/>
    <n v="0.26999999999999602"/>
    <n v="35000.269999999997"/>
    <n v="130.69863013698631"/>
    <n v="35130.96863013698"/>
    <x v="2"/>
    <x v="0"/>
    <s v="TUCUMAN"/>
    <x v="3"/>
    <n v="37097"/>
    <n v="-1966.0313698630198"/>
    <n v="-5.299704477081757E-2"/>
    <n v="-1179618.8219178119"/>
    <n v="22258200"/>
    <n v="21078581.178082187"/>
    <n v="2.9000000000000001E-2"/>
    <n v="-87"/>
    <n v="0"/>
    <s v="PREVENTA ZAFRA 26"/>
    <n v="0"/>
    <n v="1393.2321999999999"/>
    <n v="12456.91271047744"/>
    <m/>
    <n v="12456.91271047744"/>
    <n v="415.23042368258132"/>
    <n v="1.2488944771732953"/>
    <n v="1.8761930730137637"/>
    <n v="418.35551123276838"/>
    <x v="4"/>
  </r>
  <r>
    <x v="1"/>
    <n v="1"/>
    <x v="24"/>
    <d v="2026-07-15T00:00:00"/>
    <x v="2"/>
    <s v="AZUCAR COMUN TIPO A"/>
    <x v="1"/>
    <d v="2026-07-15T00:00:00"/>
    <n v="30000"/>
    <n v="578.51239669421489"/>
    <n v="17355371.900826447"/>
    <n v="3644628.0991735538"/>
    <n v="21000000"/>
    <n v="0"/>
    <n v="0"/>
    <n v="0"/>
    <n v="21000000"/>
    <d v="2026-05-14T00:00:00"/>
    <x v="72"/>
    <n v="38"/>
    <n v="-62"/>
    <m/>
    <d v="2026-07-22T00:00:00"/>
    <x v="11"/>
    <d v="2026-05-14T00:00:00"/>
    <n v="600"/>
    <n v="35000"/>
    <n v="0.26999999999999602"/>
    <n v="35000.269999999997"/>
    <n v="172.41095890410958"/>
    <n v="35172.680958904108"/>
    <x v="2"/>
    <x v="0"/>
    <s v="TUCUMAN"/>
    <x v="3"/>
    <n v="37097"/>
    <n v="-1924.3190410958923"/>
    <n v="-5.1872632317866429E-2"/>
    <n v="-1154591.4246575353"/>
    <n v="22258200"/>
    <n v="21103608.575342465"/>
    <n v="2.9000000000000001E-2"/>
    <n v="-87"/>
    <n v="0"/>
    <s v="PREVENTA ZAFRA 26"/>
    <n v="0"/>
    <n v="1393.2321999999999"/>
    <n v="12456.91271047744"/>
    <m/>
    <n v="12456.91271047744"/>
    <n v="415.23042368258132"/>
    <n v="1.2488944771732953"/>
    <n v="2.4749780963160282"/>
    <n v="418.95429625607062"/>
    <x v="4"/>
  </r>
  <r>
    <x v="1"/>
    <n v="1"/>
    <x v="25"/>
    <d v="2026-06-30T00:00:00"/>
    <x v="2"/>
    <s v="AZUCAR COMUN TIPO A"/>
    <x v="1"/>
    <d v="2026-06-30T00:00:00"/>
    <n v="30000"/>
    <n v="578.51239669421489"/>
    <n v="17355371.900826447"/>
    <n v="3644628.0991735538"/>
    <n v="21000000"/>
    <n v="0"/>
    <n v="0"/>
    <n v="0"/>
    <n v="21000000"/>
    <d v="2026-05-14T00:00:00"/>
    <x v="22"/>
    <n v="23"/>
    <n v="-47"/>
    <m/>
    <d v="2026-07-07T00:00:00"/>
    <x v="11"/>
    <d v="2026-05-14T00:00:00"/>
    <n v="600"/>
    <n v="35000"/>
    <n v="0.26999999999999602"/>
    <n v="35000.269999999997"/>
    <n v="130.69863013698631"/>
    <n v="35130.96863013698"/>
    <x v="2"/>
    <x v="0"/>
    <s v="TUCUMAN"/>
    <x v="3"/>
    <n v="37097"/>
    <n v="-1966.0313698630198"/>
    <n v="-5.299704477081757E-2"/>
    <n v="-1179618.8219178119"/>
    <n v="22258200"/>
    <n v="21078581.178082187"/>
    <n v="2.9000000000000001E-2"/>
    <n v="-87"/>
    <n v="0"/>
    <s v="PREVENTA ZAFRA 26"/>
    <n v="0"/>
    <n v="1393.2321999999999"/>
    <n v="12456.91271047744"/>
    <m/>
    <n v="12456.91271047744"/>
    <n v="415.23042368258132"/>
    <n v="1.2488944771732953"/>
    <n v="1.8761930730137637"/>
    <n v="418.35551123276838"/>
    <x v="4"/>
  </r>
  <r>
    <x v="1"/>
    <n v="1"/>
    <x v="26"/>
    <d v="2026-06-15T00:00:00"/>
    <x v="2"/>
    <s v="AZUCAR COMUN TIPO A"/>
    <x v="1"/>
    <d v="2026-06-15T00:00:00"/>
    <n v="30000"/>
    <n v="578.51239669421489"/>
    <n v="17355371.900826447"/>
    <n v="3644628.0991735538"/>
    <n v="21000000"/>
    <n v="0"/>
    <n v="0"/>
    <n v="0"/>
    <n v="21000000"/>
    <d v="2026-05-14T00:00:00"/>
    <x v="35"/>
    <n v="8"/>
    <n v="-32"/>
    <m/>
    <d v="2026-06-22T00:00:00"/>
    <x v="11"/>
    <d v="2026-05-14T00:00:00"/>
    <n v="600"/>
    <n v="35000"/>
    <n v="0.26999999999999602"/>
    <n v="35000.269999999997"/>
    <n v="88.986301369863014"/>
    <n v="35089.25630136986"/>
    <x v="2"/>
    <x v="0"/>
    <s v="TUCUMAN"/>
    <x v="3"/>
    <n v="37097"/>
    <n v="-2007.74369863014"/>
    <n v="-5.4121457223768488E-2"/>
    <n v="-1204646.2191780841"/>
    <n v="22258200"/>
    <n v="21053553.780821916"/>
    <n v="2.9000000000000001E-2"/>
    <n v="-87"/>
    <n v="0"/>
    <s v="PREVENTA ZAFRA 26"/>
    <n v="0"/>
    <n v="1393.2321999999999"/>
    <n v="12456.91271047744"/>
    <m/>
    <n v="12456.91271047744"/>
    <n v="415.23042368258132"/>
    <n v="1.2488944771732953"/>
    <n v="1.2774080497114984"/>
    <n v="417.75672620946608"/>
    <x v="4"/>
  </r>
  <r>
    <x v="1"/>
    <n v="1"/>
    <x v="26"/>
    <d v="2026-06-15T00:00:00"/>
    <x v="2"/>
    <s v="AZUCAR COMUN TIPO A"/>
    <x v="1"/>
    <d v="2026-06-15T00:00:00"/>
    <n v="30000"/>
    <n v="578.51239669421489"/>
    <n v="17355371.900826447"/>
    <n v="3644628.0991735538"/>
    <n v="21000000"/>
    <n v="0"/>
    <n v="0"/>
    <n v="0"/>
    <n v="21000000"/>
    <d v="2026-05-14T00:00:00"/>
    <x v="35"/>
    <n v="8"/>
    <n v="-32"/>
    <m/>
    <d v="2026-06-22T00:00:00"/>
    <x v="11"/>
    <d v="2026-05-14T00:00:00"/>
    <n v="600"/>
    <n v="35000"/>
    <n v="0.26999999999999602"/>
    <n v="35000.269999999997"/>
    <n v="88.986301369863014"/>
    <n v="35089.25630136986"/>
    <x v="2"/>
    <x v="0"/>
    <s v="TUCUMAN"/>
    <x v="3"/>
    <n v="37097"/>
    <n v="-2007.74369863014"/>
    <n v="-5.4121457223768488E-2"/>
    <n v="-1204646.2191780841"/>
    <n v="22258200"/>
    <n v="21053553.780821916"/>
    <n v="2.9000000000000001E-2"/>
    <n v="-87"/>
    <n v="0"/>
    <s v="PREVENTA ZAFRA 26"/>
    <n v="0"/>
    <n v="1393.2321999999999"/>
    <n v="12456.91271047744"/>
    <m/>
    <n v="12456.91271047744"/>
    <n v="415.23042368258132"/>
    <n v="1.2488944771732953"/>
    <n v="1.2774080497114984"/>
    <n v="417.75672620946608"/>
    <x v="4"/>
  </r>
  <r>
    <x v="1"/>
    <n v="1"/>
    <x v="26"/>
    <d v="2026-06-30T00:00:00"/>
    <x v="2"/>
    <s v="AZUCAR COMUN TIPO A"/>
    <x v="1"/>
    <d v="2026-06-30T00:00:00"/>
    <n v="30000"/>
    <n v="578.51239669421489"/>
    <n v="17355371.900826447"/>
    <n v="3644628.0991735538"/>
    <n v="21000000"/>
    <n v="0"/>
    <n v="0"/>
    <n v="0"/>
    <n v="21000000"/>
    <d v="2026-05-14T00:00:00"/>
    <x v="22"/>
    <n v="23"/>
    <n v="-47"/>
    <m/>
    <d v="2026-07-07T00:00:00"/>
    <x v="11"/>
    <d v="2026-05-14T00:00:00"/>
    <n v="600"/>
    <n v="35000"/>
    <n v="0.26999999999999602"/>
    <n v="35000.269999999997"/>
    <n v="130.69863013698631"/>
    <n v="35130.96863013698"/>
    <x v="2"/>
    <x v="0"/>
    <s v="TUCUMAN"/>
    <x v="3"/>
    <n v="37097"/>
    <n v="-1966.0313698630198"/>
    <n v="-5.299704477081757E-2"/>
    <n v="-1179618.8219178119"/>
    <n v="22258200"/>
    <n v="21078581.178082187"/>
    <n v="2.9000000000000001E-2"/>
    <n v="-87"/>
    <n v="0"/>
    <s v="PREVENTA ZAFRA 26"/>
    <n v="0"/>
    <n v="1393.2321999999999"/>
    <n v="12456.91271047744"/>
    <m/>
    <n v="12456.91271047744"/>
    <n v="415.23042368258132"/>
    <n v="1.2488944771732953"/>
    <n v="1.8761930730137637"/>
    <n v="418.35551123276838"/>
    <x v="4"/>
  </r>
  <r>
    <x v="1"/>
    <n v="1"/>
    <x v="27"/>
    <d v="2026-06-02T00:00:00"/>
    <x v="2"/>
    <s v="AZUCAR GRADO 4"/>
    <x v="1"/>
    <d v="2026-06-02T00:00:00"/>
    <n v="28006"/>
    <n v="551.16238099999998"/>
    <n v="15435853.642285999"/>
    <s v=""/>
    <n v="15435853.642285999"/>
    <n v="15435853.642285999"/>
    <n v="0"/>
    <n v="0"/>
    <n v="0"/>
    <d v="2026-05-26T00:00:00"/>
    <x v="50"/>
    <n v="-12"/>
    <n v="-7"/>
    <m/>
    <d v="2026-06-02T00:00:00"/>
    <x v="29"/>
    <d v="2026-05-15T00:00:00"/>
    <n v="560.12"/>
    <n v="27558.119049999998"/>
    <n v="0.39402784850000216"/>
    <n v="27558.513077848496"/>
    <n v="15.326844293561644"/>
    <n v="27573.839922142059"/>
    <x v="1"/>
    <x v="0"/>
    <s v="CHILE"/>
    <x v="1"/>
    <n v="30660.330578512399"/>
    <n v="-3086.4906563703407"/>
    <n v="-0.10066723346203699"/>
    <n v="-1728805.1464461552"/>
    <n v="17173464.363636367"/>
    <n v="15444659.21719021"/>
    <n v="2.9000000000000001E-2"/>
    <n v="-83"/>
    <n v="-7"/>
    <m/>
    <n v="0"/>
    <n v="1395.3478"/>
    <n v="11062.369999999999"/>
    <m/>
    <n v="11062.369999999999"/>
    <n v="394.99999999999994"/>
    <n v="1.1896675509862129"/>
    <n v="0.21968493150684931"/>
    <n v="396.40935248249298"/>
    <x v="1"/>
  </r>
  <r>
    <x v="1"/>
    <n v="1"/>
    <x v="27"/>
    <d v="2026-06-02T00:00:00"/>
    <x v="2"/>
    <s v="AZUCAR GRADO 4"/>
    <x v="1"/>
    <d v="2026-06-02T00:00:00"/>
    <n v="28006"/>
    <n v="551.16238099999998"/>
    <n v="15435853.642285999"/>
    <s v=""/>
    <n v="15435853.642285999"/>
    <n v="15435853.642285999"/>
    <n v="0"/>
    <n v="0"/>
    <n v="0"/>
    <d v="2026-05-26T00:00:00"/>
    <x v="50"/>
    <n v="-12"/>
    <n v="-7"/>
    <m/>
    <d v="2026-06-02T00:00:00"/>
    <x v="29"/>
    <d v="2026-05-15T00:00:00"/>
    <n v="560.12"/>
    <n v="27558.119049999998"/>
    <n v="0.39402784850000216"/>
    <n v="27558.513077848496"/>
    <n v="15.326844293561644"/>
    <n v="27573.839922142059"/>
    <x v="1"/>
    <x v="0"/>
    <s v="CHILE"/>
    <x v="1"/>
    <n v="30660.330578512399"/>
    <n v="-3086.4906563703407"/>
    <n v="-0.10066723346203699"/>
    <n v="-1728805.1464461552"/>
    <n v="17173464.363636367"/>
    <n v="15444659.21719021"/>
    <n v="2.9000000000000001E-2"/>
    <n v="-83"/>
    <n v="-7"/>
    <m/>
    <n v="0"/>
    <n v="1395.3478"/>
    <n v="11062.369999999999"/>
    <m/>
    <n v="11062.369999999999"/>
    <n v="394.99999999999994"/>
    <n v="1.1896675509862129"/>
    <n v="0.21968493150684931"/>
    <n v="396.40935248249298"/>
    <x v="1"/>
  </r>
  <r>
    <x v="1"/>
    <n v="1"/>
    <x v="27"/>
    <d v="2026-06-09T00:00:00"/>
    <x v="2"/>
    <s v="AZUCAR GRADO 4"/>
    <x v="1"/>
    <d v="2026-06-09T00:00:00"/>
    <n v="28006"/>
    <n v="551.16238099999998"/>
    <n v="15435853.642285999"/>
    <s v=""/>
    <n v="15435853.642285999"/>
    <n v="15435853.642285999"/>
    <n v="0"/>
    <n v="0"/>
    <n v="0"/>
    <d v="2026-06-02T00:00:00"/>
    <x v="13"/>
    <n v="-5"/>
    <n v="-7"/>
    <m/>
    <d v="2026-06-09T00:00:00"/>
    <x v="29"/>
    <d v="2026-05-15T00:00:00"/>
    <n v="560.12"/>
    <n v="27558.119049999998"/>
    <n v="0.39402784850000216"/>
    <n v="27558.513077848496"/>
    <n v="15.326844293561644"/>
    <n v="27573.839922142059"/>
    <x v="1"/>
    <x v="0"/>
    <s v="CHILE"/>
    <x v="1"/>
    <n v="30660.330578512399"/>
    <n v="-3086.4906563703407"/>
    <n v="-0.10066723346203699"/>
    <n v="-1728805.1464461552"/>
    <n v="17173464.363636367"/>
    <n v="15444659.21719021"/>
    <n v="2.9000000000000001E-2"/>
    <n v="-83"/>
    <n v="-7"/>
    <m/>
    <n v="0"/>
    <n v="1395.3478"/>
    <n v="11062.369999999999"/>
    <m/>
    <n v="11062.369999999999"/>
    <n v="394.99999999999994"/>
    <n v="1.1896675509862129"/>
    <n v="0.21968493150684931"/>
    <n v="396.40935248249298"/>
    <x v="1"/>
  </r>
  <r>
    <x v="1"/>
    <n v="1"/>
    <x v="27"/>
    <d v="2026-06-09T00:00:00"/>
    <x v="2"/>
    <s v="AZUCAR GRADO 4"/>
    <x v="1"/>
    <d v="2026-06-09T00:00:00"/>
    <n v="28006"/>
    <n v="551.16238099999998"/>
    <n v="15435853.642285999"/>
    <s v=""/>
    <n v="15435853.642285999"/>
    <n v="15435853.642285999"/>
    <n v="0"/>
    <n v="0"/>
    <n v="0"/>
    <d v="2026-06-02T00:00:00"/>
    <x v="13"/>
    <n v="-5"/>
    <n v="-7"/>
    <m/>
    <d v="2026-06-09T00:00:00"/>
    <x v="29"/>
    <d v="2026-05-15T00:00:00"/>
    <n v="560.12"/>
    <n v="27558.119049999998"/>
    <n v="0.39402784850000216"/>
    <n v="27558.513077848496"/>
    <n v="15.326844293561644"/>
    <n v="27573.839922142059"/>
    <x v="1"/>
    <x v="0"/>
    <s v="CHILE"/>
    <x v="1"/>
    <n v="30660.330578512399"/>
    <n v="-3086.4906563703407"/>
    <n v="-0.10066723346203699"/>
    <n v="-1728805.1464461552"/>
    <n v="17173464.363636367"/>
    <n v="15444659.21719021"/>
    <n v="2.9000000000000001E-2"/>
    <n v="-83"/>
    <n v="-7"/>
    <m/>
    <n v="0"/>
    <n v="1395.3478"/>
    <n v="11062.369999999999"/>
    <m/>
    <n v="11062.369999999999"/>
    <n v="394.99999999999994"/>
    <n v="1.1896675509862129"/>
    <n v="0.21968493150684931"/>
    <n v="396.40935248249298"/>
    <x v="1"/>
  </r>
  <r>
    <x v="1"/>
    <n v="1"/>
    <x v="27"/>
    <d v="2026-06-17T00:00:00"/>
    <x v="2"/>
    <s v="AZUCAR GRADO 4"/>
    <x v="1"/>
    <d v="2026-06-17T00:00:00"/>
    <n v="28006"/>
    <n v="551.16238099999998"/>
    <n v="15435853.642285999"/>
    <s v=""/>
    <n v="15435853.642285999"/>
    <n v="15435853.642285999"/>
    <n v="0"/>
    <n v="0"/>
    <n v="0"/>
    <d v="2026-06-10T00:00:00"/>
    <x v="43"/>
    <n v="3"/>
    <n v="-7"/>
    <m/>
    <d v="2026-06-17T00:00:00"/>
    <x v="29"/>
    <d v="2026-05-15T00:00:00"/>
    <n v="560.12"/>
    <n v="27558.119049999998"/>
    <n v="0.39402784850000216"/>
    <n v="27558.513077848496"/>
    <n v="15.326844293561644"/>
    <n v="27573.839922142059"/>
    <x v="1"/>
    <x v="0"/>
    <s v="CHILE"/>
    <x v="1"/>
    <n v="30660.330578512399"/>
    <n v="-3086.4906563703407"/>
    <n v="-0.10066723346203699"/>
    <n v="-1728805.1464461552"/>
    <n v="17173464.363636367"/>
    <n v="15444659.21719021"/>
    <n v="2.9000000000000001E-2"/>
    <n v="-83"/>
    <n v="-7"/>
    <m/>
    <n v="0"/>
    <n v="1395.3478"/>
    <n v="11062.369999999999"/>
    <m/>
    <n v="11062.369999999999"/>
    <n v="394.99999999999994"/>
    <n v="1.1896675509862129"/>
    <n v="0.21968493150684931"/>
    <n v="396.40935248249298"/>
    <x v="1"/>
  </r>
  <r>
    <x v="1"/>
    <n v="1"/>
    <x v="17"/>
    <d v="2026-06-01T00:00:00"/>
    <x v="5"/>
    <s v="AZUCAR COMUN TIPO A"/>
    <x v="1"/>
    <d v="2026-06-01T00:00:00"/>
    <n v="40000"/>
    <n v="495.86776859504135"/>
    <n v="19834710.743801653"/>
    <n v="4165289.2561983471"/>
    <n v="24000000"/>
    <n v="0"/>
    <n v="0"/>
    <n v="0"/>
    <n v="24000000"/>
    <d v="2026-04-14T00:00:00"/>
    <x v="19"/>
    <n v="-6"/>
    <n v="-48"/>
    <m/>
    <d v="2026-06-08T00:00:00"/>
    <x v="21"/>
    <d v="2026-04-14T00:00:00"/>
    <n v="800"/>
    <n v="30000"/>
    <n v="0.14499999999999602"/>
    <n v="30000.145"/>
    <n v="114.41095890410961"/>
    <n v="30114.555958904111"/>
    <x v="2"/>
    <x v="0"/>
    <s v="TUCUMAN"/>
    <x v="3"/>
    <n v="35355"/>
    <n v="-5240.4440410958887"/>
    <n v="-0.14822356218627886"/>
    <n v="-4192355.2328767111"/>
    <n v="28284000"/>
    <n v="24091644.767123289"/>
    <n v="2.9000000000000001E-2"/>
    <n v="-74.5"/>
    <m/>
    <s v="PREVENTA ZAFRA 26"/>
    <n v="0"/>
    <n v="1358.5219999999999"/>
    <n v="14600.213131477925"/>
    <m/>
    <n v="14600.213131477925"/>
    <n v="365.00532828694816"/>
    <n v="1.096780177280898"/>
    <n v="1.6843445877815688"/>
    <n v="367.78645305201064"/>
    <x v="4"/>
  </r>
  <r>
    <x v="1"/>
    <n v="1"/>
    <x v="17"/>
    <d v="2026-06-02T00:00:00"/>
    <x v="5"/>
    <s v="AZUCAR COMUN TIPO A"/>
    <x v="1"/>
    <d v="2026-06-02T00:00:00"/>
    <n v="40000"/>
    <n v="495.86776859504135"/>
    <n v="19834710.743801653"/>
    <n v="4165289.2561983471"/>
    <n v="24000000"/>
    <n v="0"/>
    <n v="0"/>
    <n v="0"/>
    <n v="24000000"/>
    <d v="2026-04-14T00:00:00"/>
    <x v="13"/>
    <n v="-5"/>
    <n v="-49"/>
    <m/>
    <d v="2026-06-09T00:00:00"/>
    <x v="21"/>
    <d v="2026-04-14T00:00:00"/>
    <n v="800"/>
    <n v="30000"/>
    <n v="0.14499999999999602"/>
    <n v="30000.145"/>
    <n v="116.79452054794521"/>
    <n v="30116.939520547945"/>
    <x v="2"/>
    <x v="0"/>
    <s v="TUCUMAN"/>
    <x v="3"/>
    <n v="35355"/>
    <n v="-5238.060479452055"/>
    <n v="-0.14815614423566836"/>
    <n v="-4190448.3835616438"/>
    <n v="28284000"/>
    <n v="24093551.616438355"/>
    <n v="2.9000000000000001E-2"/>
    <n v="-74.5"/>
    <m/>
    <s v="PREVENTA ZAFRA 26"/>
    <n v="0"/>
    <n v="1358.5219999999999"/>
    <n v="14600.213131477925"/>
    <m/>
    <n v="14600.213131477925"/>
    <n v="365.00532828694816"/>
    <n v="1.096780177280898"/>
    <n v="1.7194351000270178"/>
    <n v="367.82154356425605"/>
    <x v="4"/>
  </r>
  <r>
    <x v="1"/>
    <n v="1"/>
    <x v="17"/>
    <d v="2026-06-03T00:00:00"/>
    <x v="5"/>
    <s v="AZUCAR COMUN TIPO A"/>
    <x v="1"/>
    <d v="2026-06-03T00:00:00"/>
    <n v="40000"/>
    <n v="495.86776859504135"/>
    <n v="19834710.743801653"/>
    <n v="4165289.2561983471"/>
    <n v="24000000"/>
    <n v="0"/>
    <n v="0"/>
    <n v="0"/>
    <n v="24000000"/>
    <d v="2026-04-14T00:00:00"/>
    <x v="14"/>
    <n v="-4"/>
    <n v="-50"/>
    <m/>
    <d v="2026-06-10T00:00:00"/>
    <x v="21"/>
    <d v="2026-04-14T00:00:00"/>
    <n v="800"/>
    <n v="30000"/>
    <n v="0.14499999999999602"/>
    <n v="30000.145"/>
    <n v="119.17808219178083"/>
    <n v="30119.323082191782"/>
    <x v="2"/>
    <x v="0"/>
    <s v="TUCUMAN"/>
    <x v="3"/>
    <n v="35355"/>
    <n v="-5235.6769178082177"/>
    <n v="-0.14808872628505776"/>
    <n v="-4188541.5342465742"/>
    <n v="28284000"/>
    <n v="24095458.465753425"/>
    <n v="2.9000000000000001E-2"/>
    <n v="-74.5"/>
    <m/>
    <s v="PREVENTA ZAFRA 26"/>
    <n v="0"/>
    <n v="1358.5219999999999"/>
    <n v="14600.213131477925"/>
    <m/>
    <n v="14600.213131477925"/>
    <n v="365.00532828694816"/>
    <n v="1.096780177280898"/>
    <n v="1.7545256122724671"/>
    <n v="367.85663407650151"/>
    <x v="4"/>
  </r>
  <r>
    <x v="1"/>
    <n v="1"/>
    <x v="17"/>
    <d v="2026-06-04T00:00:00"/>
    <x v="5"/>
    <s v="AZUCAR COMUN TIPO A"/>
    <x v="1"/>
    <d v="2026-06-04T00:00:00"/>
    <n v="40000"/>
    <n v="495.86776859504135"/>
    <n v="19834710.743801653"/>
    <n v="4165289.2561983471"/>
    <n v="24000000"/>
    <n v="0"/>
    <n v="0"/>
    <n v="0"/>
    <n v="24000000"/>
    <d v="2026-04-14T00:00:00"/>
    <x v="15"/>
    <n v="-3"/>
    <n v="-51"/>
    <m/>
    <d v="2026-06-11T00:00:00"/>
    <x v="21"/>
    <d v="2026-04-14T00:00:00"/>
    <n v="800"/>
    <n v="30000"/>
    <n v="0.14499999999999602"/>
    <n v="30000.145"/>
    <n v="121.56164383561645"/>
    <n v="30121.706643835616"/>
    <x v="2"/>
    <x v="0"/>
    <s v="TUCUMAN"/>
    <x v="3"/>
    <n v="35355"/>
    <n v="-5233.293356164384"/>
    <n v="-0.14802130833444727"/>
    <n v="-4186634.6849315073"/>
    <n v="28284000"/>
    <n v="24097365.315068495"/>
    <n v="2.9000000000000001E-2"/>
    <n v="-74.5"/>
    <m/>
    <s v="PREVENTA ZAFRA 26"/>
    <n v="0"/>
    <n v="1358.5219999999999"/>
    <n v="14600.213131477925"/>
    <m/>
    <n v="14600.213131477925"/>
    <n v="365.00532828694816"/>
    <n v="1.096780177280898"/>
    <n v="1.7896161245179165"/>
    <n v="367.89172458874697"/>
    <x v="4"/>
  </r>
  <r>
    <x v="1"/>
    <n v="1"/>
    <x v="17"/>
    <d v="2026-06-05T00:00:00"/>
    <x v="5"/>
    <s v="AZUCAR COMUN TIPO A"/>
    <x v="1"/>
    <d v="2026-06-05T00:00:00"/>
    <n v="40000"/>
    <n v="495.86776859504135"/>
    <n v="19834710.743801653"/>
    <n v="4165289.2561983471"/>
    <n v="24000000"/>
    <n v="0"/>
    <n v="0"/>
    <n v="0"/>
    <n v="24000000"/>
    <d v="2026-04-14T00:00:00"/>
    <x v="16"/>
    <n v="-2"/>
    <n v="-52"/>
    <m/>
    <d v="2026-06-12T00:00:00"/>
    <x v="21"/>
    <d v="2026-04-14T00:00:00"/>
    <n v="800"/>
    <n v="30000"/>
    <n v="0.14499999999999602"/>
    <n v="30000.145"/>
    <n v="123.94520547945207"/>
    <n v="30124.090205479453"/>
    <x v="2"/>
    <x v="0"/>
    <s v="TUCUMAN"/>
    <x v="3"/>
    <n v="35355"/>
    <n v="-5230.9097945205467"/>
    <n v="-0.14795389038383666"/>
    <n v="-4184727.8356164373"/>
    <n v="28284000"/>
    <n v="24099272.164383564"/>
    <n v="2.9000000000000001E-2"/>
    <n v="-74.5"/>
    <m/>
    <s v="PREVENTA ZAFRA 26"/>
    <n v="0"/>
    <n v="1358.5219999999999"/>
    <n v="14600.213131477925"/>
    <m/>
    <n v="14600.213131477925"/>
    <n v="365.00532828694816"/>
    <n v="1.096780177280898"/>
    <n v="1.8247066367633662"/>
    <n v="367.92681510099243"/>
    <x v="4"/>
  </r>
  <r>
    <x v="1"/>
    <n v="1"/>
    <x v="17"/>
    <d v="2026-06-06T00:00:00"/>
    <x v="5"/>
    <s v="AZUCAR COMUN TIPO A"/>
    <x v="1"/>
    <d v="2026-06-06T00:00:00"/>
    <n v="40000"/>
    <n v="495.86776859504135"/>
    <n v="19834710.743801653"/>
    <n v="4165289.2561983471"/>
    <n v="24000000"/>
    <n v="0"/>
    <n v="0"/>
    <n v="0"/>
    <n v="24000000"/>
    <d v="2026-04-14T00:00:00"/>
    <x v="60"/>
    <n v="-1"/>
    <n v="-53"/>
    <m/>
    <d v="2026-06-13T00:00:00"/>
    <x v="21"/>
    <d v="2026-04-14T00:00:00"/>
    <n v="800"/>
    <n v="30000"/>
    <n v="0.14499999999999602"/>
    <n v="30000.145"/>
    <n v="126.32876712328768"/>
    <n v="30126.473767123287"/>
    <x v="2"/>
    <x v="0"/>
    <s v="TUCUMAN"/>
    <x v="3"/>
    <n v="35355"/>
    <n v="-5228.526232876713"/>
    <n v="-0.14788647243322617"/>
    <n v="-4182820.9863013704"/>
    <n v="28284000"/>
    <n v="24101179.01369863"/>
    <n v="2.9000000000000001E-2"/>
    <n v="-74.5"/>
    <m/>
    <s v="PREVENTA ZAFRA 26"/>
    <n v="0"/>
    <n v="1358.5219999999999"/>
    <n v="14600.213131477925"/>
    <m/>
    <n v="14600.213131477925"/>
    <n v="365.00532828694816"/>
    <n v="1.096780177280898"/>
    <n v="1.8597971490088154"/>
    <n v="367.96190561323789"/>
    <x v="4"/>
  </r>
  <r>
    <x v="1"/>
    <n v="1"/>
    <x v="17"/>
    <d v="2026-06-07T00:00:00"/>
    <x v="5"/>
    <s v="AZUCAR COMUN TIPO A"/>
    <x v="1"/>
    <d v="2026-06-07T00:00:00"/>
    <n v="40000"/>
    <n v="495.86776859504135"/>
    <n v="19834710.743801653"/>
    <n v="4165289.2561983471"/>
    <n v="24000000"/>
    <n v="0"/>
    <n v="0"/>
    <n v="0"/>
    <n v="24000000"/>
    <d v="2026-04-14T00:00:00"/>
    <x v="18"/>
    <n v="0"/>
    <n v="-54"/>
    <m/>
    <d v="2026-06-14T00:00:00"/>
    <x v="21"/>
    <d v="2026-04-14T00:00:00"/>
    <n v="800"/>
    <n v="30000"/>
    <n v="0.14499999999999602"/>
    <n v="30000.145"/>
    <n v="128.7123287671233"/>
    <n v="30128.857328767124"/>
    <x v="2"/>
    <x v="0"/>
    <s v="TUCUMAN"/>
    <x v="3"/>
    <n v="35355"/>
    <n v="-5226.1426712328757"/>
    <n v="-0.14781905448261567"/>
    <n v="-4180914.1369863003"/>
    <n v="28284000"/>
    <n v="24103085.8630137"/>
    <n v="2.9000000000000001E-2"/>
    <n v="-74.5"/>
    <m/>
    <s v="PREVENTA ZAFRA 26"/>
    <n v="0"/>
    <n v="1358.5219999999999"/>
    <n v="14600.213131477925"/>
    <m/>
    <n v="14600.213131477925"/>
    <n v="365.00532828694816"/>
    <n v="1.096780177280898"/>
    <n v="1.8948876612542644"/>
    <n v="367.99699612548329"/>
    <x v="4"/>
  </r>
  <r>
    <x v="1"/>
    <n v="1"/>
    <x v="17"/>
    <d v="2026-06-08T00:00:00"/>
    <x v="5"/>
    <s v="AZUCAR COMUN TIPO A"/>
    <x v="1"/>
    <d v="2026-06-08T00:00:00"/>
    <n v="40000"/>
    <n v="495.86776859504135"/>
    <n v="19834710.743801653"/>
    <n v="4165289.2561983471"/>
    <n v="24000000"/>
    <n v="0"/>
    <n v="0"/>
    <n v="0"/>
    <n v="24000000"/>
    <d v="2026-04-14T00:00:00"/>
    <x v="20"/>
    <n v="1"/>
    <n v="-55"/>
    <m/>
    <d v="2026-06-15T00:00:00"/>
    <x v="21"/>
    <d v="2026-04-14T00:00:00"/>
    <n v="800"/>
    <n v="30000"/>
    <n v="0.14499999999999602"/>
    <n v="30000.145"/>
    <n v="131.0958904109589"/>
    <n v="30131.240890410958"/>
    <x v="2"/>
    <x v="0"/>
    <s v="TUCUMAN"/>
    <x v="3"/>
    <n v="35355"/>
    <n v="-5223.7591095890421"/>
    <n v="-0.14775163653200518"/>
    <n v="-4179007.2876712335"/>
    <n v="28284000"/>
    <n v="24104992.712328766"/>
    <n v="2.9000000000000001E-2"/>
    <n v="-74.5"/>
    <m/>
    <s v="PREVENTA ZAFRA 26"/>
    <n v="0"/>
    <n v="1358.5219999999999"/>
    <n v="14600.213131477925"/>
    <m/>
    <n v="14600.213131477925"/>
    <n v="365.00532828694816"/>
    <n v="1.096780177280898"/>
    <n v="1.9299781734997137"/>
    <n v="368.03208663772875"/>
    <x v="4"/>
  </r>
  <r>
    <x v="1"/>
    <n v="1"/>
    <x v="17"/>
    <d v="2026-06-09T00:00:00"/>
    <x v="5"/>
    <s v="AZUCAR COMUN TIPO A"/>
    <x v="1"/>
    <d v="2026-06-09T00:00:00"/>
    <n v="40000"/>
    <n v="495.86776859504135"/>
    <n v="19834710.743801653"/>
    <n v="4165289.2561983471"/>
    <n v="24000000"/>
    <n v="0"/>
    <n v="0"/>
    <n v="0"/>
    <n v="24000000"/>
    <d v="2026-04-14T00:00:00"/>
    <x v="61"/>
    <n v="2"/>
    <n v="-56"/>
    <m/>
    <d v="2026-06-16T00:00:00"/>
    <x v="21"/>
    <d v="2026-04-14T00:00:00"/>
    <n v="800"/>
    <n v="30000"/>
    <n v="0.14499999999999602"/>
    <n v="30000.145"/>
    <n v="133.47945205479454"/>
    <n v="30133.624452054795"/>
    <x v="2"/>
    <x v="0"/>
    <s v="TUCUMAN"/>
    <x v="3"/>
    <n v="35355"/>
    <n v="-5221.3755479452047"/>
    <n v="-0.14768421858139458"/>
    <n v="-4177100.4383561639"/>
    <n v="28284000"/>
    <n v="24106899.561643835"/>
    <n v="2.9000000000000001E-2"/>
    <n v="-74.5"/>
    <m/>
    <s v="PREVENTA ZAFRA 26"/>
    <n v="0"/>
    <n v="1358.5219999999999"/>
    <n v="14600.213131477925"/>
    <m/>
    <n v="14600.213131477925"/>
    <n v="365.00532828694816"/>
    <n v="1.096780177280898"/>
    <n v="1.9650686857451636"/>
    <n v="368.06717714997421"/>
    <x v="4"/>
  </r>
  <r>
    <x v="1"/>
    <n v="1"/>
    <x v="17"/>
    <d v="2026-06-10T00:00:00"/>
    <x v="5"/>
    <s v="AZUCAR COMUN TIPO A"/>
    <x v="1"/>
    <d v="2026-06-10T00:00:00"/>
    <n v="40000"/>
    <n v="495.86776859504135"/>
    <n v="19834710.743801653"/>
    <n v="4165289.2561983471"/>
    <n v="24000000"/>
    <n v="0"/>
    <n v="0"/>
    <n v="0"/>
    <n v="24000000"/>
    <d v="2026-04-14T00:00:00"/>
    <x v="43"/>
    <n v="3"/>
    <n v="-57"/>
    <m/>
    <d v="2026-06-17T00:00:00"/>
    <x v="21"/>
    <d v="2026-04-14T00:00:00"/>
    <n v="800"/>
    <n v="30000"/>
    <n v="0.14499999999999602"/>
    <n v="30000.145"/>
    <n v="135.86301369863014"/>
    <n v="30136.008013698629"/>
    <x v="2"/>
    <x v="0"/>
    <s v="TUCUMAN"/>
    <x v="3"/>
    <n v="35355"/>
    <n v="-5218.9919863013711"/>
    <n v="-0.14761680063078408"/>
    <n v="-4175193.5890410971"/>
    <n v="28284000"/>
    <n v="24108806.410958905"/>
    <n v="2.9000000000000001E-2"/>
    <n v="-74.5"/>
    <m/>
    <s v="PREVENTA ZAFRA 26"/>
    <n v="0"/>
    <n v="1358.5219999999999"/>
    <n v="14600.213131477925"/>
    <m/>
    <n v="14600.213131477925"/>
    <n v="365.00532828694816"/>
    <n v="1.096780177280898"/>
    <n v="2.0001591979906124"/>
    <n v="368.10226766221967"/>
    <x v="4"/>
  </r>
  <r>
    <x v="1"/>
    <n v="1"/>
    <x v="17"/>
    <d v="2026-06-11T00:00:00"/>
    <x v="5"/>
    <s v="AZUCAR COMUN TIPO A"/>
    <x v="1"/>
    <d v="2026-06-11T00:00:00"/>
    <n v="40000"/>
    <n v="495.86776859504135"/>
    <n v="19834710.743801653"/>
    <n v="4165289.2561983471"/>
    <n v="24000000"/>
    <n v="0"/>
    <n v="0"/>
    <n v="0"/>
    <n v="24000000"/>
    <d v="2026-04-14T00:00:00"/>
    <x v="34"/>
    <n v="4"/>
    <n v="-58"/>
    <m/>
    <d v="2026-06-18T00:00:00"/>
    <x v="21"/>
    <d v="2026-04-14T00:00:00"/>
    <n v="800"/>
    <n v="30000"/>
    <n v="0.14499999999999602"/>
    <n v="30000.145"/>
    <n v="138.24657534246577"/>
    <n v="30138.391575342466"/>
    <x v="2"/>
    <x v="0"/>
    <s v="TUCUMAN"/>
    <x v="3"/>
    <n v="35355"/>
    <n v="-5216.6084246575338"/>
    <n v="-0.14754938268017348"/>
    <n v="-4173286.739726027"/>
    <n v="28284000"/>
    <n v="24110713.260273974"/>
    <n v="2.9000000000000001E-2"/>
    <n v="-74.5"/>
    <m/>
    <s v="PREVENTA ZAFRA 26"/>
    <n v="0"/>
    <n v="1358.5219999999999"/>
    <n v="14600.213131477925"/>
    <m/>
    <n v="14600.213131477925"/>
    <n v="365.00532828694816"/>
    <n v="1.096780177280898"/>
    <n v="2.0352497102360623"/>
    <n v="368.13735817446513"/>
    <x v="4"/>
  </r>
  <r>
    <x v="1"/>
    <n v="1"/>
    <x v="17"/>
    <d v="2026-06-12T00:00:00"/>
    <x v="5"/>
    <s v="AZUCAR COMUN TIPO A"/>
    <x v="1"/>
    <d v="2026-06-12T00:00:00"/>
    <n v="40000"/>
    <n v="495.86776859504135"/>
    <n v="19834710.743801653"/>
    <n v="4165289.2561983471"/>
    <n v="24000000"/>
    <n v="0"/>
    <n v="0"/>
    <n v="0"/>
    <n v="24000000"/>
    <d v="2026-04-14T00:00:00"/>
    <x v="21"/>
    <n v="5"/>
    <n v="-59"/>
    <m/>
    <d v="2026-06-19T00:00:00"/>
    <x v="21"/>
    <d v="2026-04-14T00:00:00"/>
    <n v="800"/>
    <n v="30000"/>
    <n v="0.14499999999999602"/>
    <n v="30000.145"/>
    <n v="140.63013698630138"/>
    <n v="30140.775136986304"/>
    <x v="2"/>
    <x v="0"/>
    <s v="TUCUMAN"/>
    <x v="3"/>
    <n v="35355"/>
    <n v="-5214.2248630136964"/>
    <n v="-0.14748196472956288"/>
    <n v="-4171379.8904109569"/>
    <n v="28284000"/>
    <n v="24112620.109589044"/>
    <n v="2.9000000000000001E-2"/>
    <n v="-74.5"/>
    <m/>
    <s v="PREVENTA ZAFRA 26"/>
    <n v="0"/>
    <n v="1358.5219999999999"/>
    <n v="14600.213131477925"/>
    <m/>
    <n v="14600.213131477925"/>
    <n v="365.00532828694816"/>
    <n v="1.096780177280898"/>
    <n v="2.0703402224815113"/>
    <n v="368.17244868671054"/>
    <x v="4"/>
  </r>
  <r>
    <x v="1"/>
    <n v="1"/>
    <x v="17"/>
    <d v="2026-06-13T00:00:00"/>
    <x v="5"/>
    <s v="AZUCAR COMUN TIPO A"/>
    <x v="1"/>
    <d v="2026-06-13T00:00:00"/>
    <n v="40000"/>
    <n v="495.86776859504135"/>
    <n v="19834710.743801653"/>
    <n v="4165289.2561983471"/>
    <n v="24000000"/>
    <n v="0"/>
    <n v="0"/>
    <n v="0"/>
    <n v="24000000"/>
    <d v="2026-04-14T00:00:00"/>
    <x v="62"/>
    <n v="6"/>
    <n v="-60"/>
    <m/>
    <d v="2026-06-20T00:00:00"/>
    <x v="21"/>
    <d v="2026-04-14T00:00:00"/>
    <n v="800"/>
    <n v="30000"/>
    <n v="0.14499999999999602"/>
    <n v="30000.145"/>
    <n v="143.01369863013699"/>
    <n v="30143.158698630137"/>
    <x v="2"/>
    <x v="0"/>
    <s v="TUCUMAN"/>
    <x v="3"/>
    <n v="35355"/>
    <n v="-5211.8413013698628"/>
    <n v="-0.14741454677895238"/>
    <n v="-4169473.0410958901"/>
    <n v="28284000"/>
    <n v="24114526.95890411"/>
    <n v="2.9000000000000001E-2"/>
    <n v="-74.5"/>
    <m/>
    <s v="PREVENTA ZAFRA 26"/>
    <n v="0"/>
    <n v="1358.5219999999999"/>
    <n v="14600.213131477925"/>
    <m/>
    <n v="14600.213131477925"/>
    <n v="365.00532828694816"/>
    <n v="1.096780177280898"/>
    <n v="2.1054307347269607"/>
    <n v="368.207539198956"/>
    <x v="4"/>
  </r>
  <r>
    <x v="1"/>
    <n v="1"/>
    <x v="17"/>
    <d v="2026-06-14T00:00:00"/>
    <x v="5"/>
    <s v="AZUCAR COMUN TIPO A"/>
    <x v="1"/>
    <d v="2026-06-14T00:00:00"/>
    <n v="40000"/>
    <n v="495.86776859504135"/>
    <n v="19834710.743801653"/>
    <n v="4165289.2561983471"/>
    <n v="24000000"/>
    <n v="0"/>
    <n v="0"/>
    <n v="0"/>
    <n v="24000000"/>
    <d v="2026-04-14T00:00:00"/>
    <x v="73"/>
    <n v="7"/>
    <n v="-61"/>
    <m/>
    <d v="2026-06-21T00:00:00"/>
    <x v="21"/>
    <d v="2026-04-14T00:00:00"/>
    <n v="800"/>
    <n v="30000"/>
    <n v="0.14499999999999602"/>
    <n v="30000.145"/>
    <n v="145.39726027397262"/>
    <n v="30145.542260273975"/>
    <x v="2"/>
    <x v="0"/>
    <s v="TUCUMAN"/>
    <x v="3"/>
    <n v="35355"/>
    <n v="-5209.4577397260255"/>
    <n v="-0.14734712882834178"/>
    <n v="-4167566.1917808205"/>
    <n v="28284000"/>
    <n v="24116433.80821918"/>
    <n v="2.9000000000000001E-2"/>
    <n v="-74.5"/>
    <m/>
    <s v="PREVENTA ZAFRA 26"/>
    <n v="0"/>
    <n v="1358.5219999999999"/>
    <n v="14600.213131477925"/>
    <m/>
    <n v="14600.213131477925"/>
    <n v="365.00532828694816"/>
    <n v="1.096780177280898"/>
    <n v="2.1405212469724102"/>
    <n v="368.24262971120146"/>
    <x v="4"/>
  </r>
  <r>
    <x v="1"/>
    <n v="1"/>
    <x v="17"/>
    <d v="2026-06-15T00:00:00"/>
    <x v="5"/>
    <s v="AZUCAR COMUN TIPO A"/>
    <x v="1"/>
    <d v="2026-06-15T00:00:00"/>
    <n v="40000"/>
    <n v="495.86776859504135"/>
    <n v="19834710.743801653"/>
    <n v="4165289.2561983471"/>
    <n v="24000000"/>
    <n v="0"/>
    <n v="0"/>
    <n v="0"/>
    <n v="24000000"/>
    <d v="2026-04-14T00:00:00"/>
    <x v="35"/>
    <n v="8"/>
    <n v="-62"/>
    <m/>
    <d v="2026-06-22T00:00:00"/>
    <x v="21"/>
    <d v="2026-04-14T00:00:00"/>
    <n v="800"/>
    <n v="30000"/>
    <n v="0.14499999999999602"/>
    <n v="30000.145"/>
    <n v="147.78082191780823"/>
    <n v="30147.925821917808"/>
    <x v="2"/>
    <x v="0"/>
    <s v="TUCUMAN"/>
    <x v="3"/>
    <n v="35355"/>
    <n v="-5207.0741780821918"/>
    <n v="-0.1472797108777314"/>
    <n v="-4165659.3424657537"/>
    <n v="28284000"/>
    <n v="24118340.657534245"/>
    <n v="2.9000000000000001E-2"/>
    <n v="-74.5"/>
    <m/>
    <s v="PREVENTA ZAFRA 26"/>
    <n v="0"/>
    <n v="1358.5219999999999"/>
    <n v="14600.213131477925"/>
    <m/>
    <n v="14600.213131477925"/>
    <n v="365.00532828694816"/>
    <n v="1.096780177280898"/>
    <n v="2.1756117592178592"/>
    <n v="368.27772022344692"/>
    <x v="4"/>
  </r>
  <r>
    <x v="1"/>
    <n v="1"/>
    <x v="17"/>
    <d v="2026-06-16T00:00:00"/>
    <x v="5"/>
    <s v="AZUCAR COMUN TIPO A"/>
    <x v="1"/>
    <d v="2026-06-16T00:00:00"/>
    <n v="40000"/>
    <n v="495.86776859504135"/>
    <n v="19834710.743801653"/>
    <n v="4165289.2561983471"/>
    <n v="24000000"/>
    <n v="0"/>
    <n v="0"/>
    <n v="0"/>
    <n v="24000000"/>
    <d v="2026-04-14T00:00:00"/>
    <x v="63"/>
    <n v="9"/>
    <n v="-63"/>
    <m/>
    <d v="2026-06-23T00:00:00"/>
    <x v="21"/>
    <d v="2026-04-14T00:00:00"/>
    <n v="800"/>
    <n v="30000"/>
    <n v="0.14499999999999602"/>
    <n v="30000.145"/>
    <n v="150.16438356164386"/>
    <n v="30150.309383561646"/>
    <x v="2"/>
    <x v="0"/>
    <s v="TUCUMAN"/>
    <x v="3"/>
    <n v="35355"/>
    <n v="-5204.6906164383545"/>
    <n v="-0.14721229292712079"/>
    <n v="-4163752.4931506836"/>
    <n v="28284000"/>
    <n v="24120247.506849315"/>
    <n v="2.9000000000000001E-2"/>
    <n v="-74.5"/>
    <m/>
    <s v="PREVENTA ZAFRA 26"/>
    <n v="0"/>
    <n v="1358.5219999999999"/>
    <n v="14600.213131477925"/>
    <m/>
    <n v="14600.213131477925"/>
    <n v="365.00532828694816"/>
    <n v="1.096780177280898"/>
    <n v="2.2107022714633087"/>
    <n v="368.31281073569238"/>
    <x v="4"/>
  </r>
  <r>
    <x v="1"/>
    <n v="1"/>
    <x v="17"/>
    <d v="2026-06-17T00:00:00"/>
    <x v="5"/>
    <s v="AZUCAR COMUN TIPO A"/>
    <x v="1"/>
    <d v="2026-06-17T00:00:00"/>
    <n v="40000"/>
    <n v="495.86776859504135"/>
    <n v="19834710.743801653"/>
    <n v="4165289.2561983471"/>
    <n v="24000000"/>
    <n v="0"/>
    <n v="0"/>
    <n v="0"/>
    <n v="24000000"/>
    <d v="2026-04-14T00:00:00"/>
    <x v="53"/>
    <n v="10"/>
    <n v="-64"/>
    <m/>
    <d v="2026-06-24T00:00:00"/>
    <x v="21"/>
    <d v="2026-04-14T00:00:00"/>
    <n v="800"/>
    <n v="30000"/>
    <n v="0.14499999999999602"/>
    <n v="30000.145"/>
    <n v="152.54794520547946"/>
    <n v="30152.692945205479"/>
    <x v="2"/>
    <x v="0"/>
    <s v="TUCUMAN"/>
    <x v="3"/>
    <n v="35355"/>
    <n v="-5202.3070547945208"/>
    <n v="-0.1471448749765103"/>
    <n v="-4161845.6438356168"/>
    <n v="28284000"/>
    <n v="24122154.356164385"/>
    <n v="2.9000000000000001E-2"/>
    <n v="-74.5"/>
    <m/>
    <s v="PREVENTA ZAFRA 26"/>
    <n v="0"/>
    <n v="1358.5219999999999"/>
    <n v="14600.213131477925"/>
    <m/>
    <n v="14600.213131477925"/>
    <n v="365.00532828694816"/>
    <n v="1.096780177280898"/>
    <n v="2.2457927837087581"/>
    <n v="368.34790124793778"/>
    <x v="4"/>
  </r>
  <r>
    <x v="1"/>
    <n v="1"/>
    <x v="17"/>
    <d v="2026-06-18T00:00:00"/>
    <x v="5"/>
    <s v="AZUCAR COMUN TIPO A"/>
    <x v="1"/>
    <d v="2026-06-18T00:00:00"/>
    <n v="40000"/>
    <n v="495.86776859504135"/>
    <n v="19834710.743801653"/>
    <n v="4165289.2561983471"/>
    <n v="24000000"/>
    <n v="0"/>
    <n v="0"/>
    <n v="0"/>
    <n v="24000000"/>
    <d v="2026-04-14T00:00:00"/>
    <x v="64"/>
    <n v="11"/>
    <n v="-65"/>
    <m/>
    <d v="2026-06-25T00:00:00"/>
    <x v="21"/>
    <d v="2026-04-14T00:00:00"/>
    <n v="800"/>
    <n v="30000"/>
    <n v="0.14499999999999602"/>
    <n v="30000.145"/>
    <n v="154.93150684931507"/>
    <n v="30155.076506849317"/>
    <x v="2"/>
    <x v="0"/>
    <s v="TUCUMAN"/>
    <x v="3"/>
    <n v="35355"/>
    <n v="-5199.9234931506835"/>
    <n v="-0.14707745702589969"/>
    <n v="-4159938.7945205467"/>
    <n v="28284000"/>
    <n v="24124061.205479454"/>
    <n v="2.9000000000000001E-2"/>
    <n v="-74.5"/>
    <m/>
    <s v="PREVENTA ZAFRA 26"/>
    <n v="0"/>
    <n v="1358.5219999999999"/>
    <n v="14600.213131477925"/>
    <m/>
    <n v="14600.213131477925"/>
    <n v="365.00532828694816"/>
    <n v="1.096780177280898"/>
    <n v="2.2808832959542071"/>
    <n v="368.38299176018324"/>
    <x v="4"/>
  </r>
  <r>
    <x v="1"/>
    <n v="1"/>
    <x v="17"/>
    <d v="2026-06-19T00:00:00"/>
    <x v="5"/>
    <s v="AZUCAR COMUN TIPO A"/>
    <x v="1"/>
    <d v="2026-06-19T00:00:00"/>
    <n v="40000"/>
    <n v="495.86776859504135"/>
    <n v="19834710.743801653"/>
    <n v="4165289.2561983471"/>
    <n v="24000000"/>
    <n v="0"/>
    <n v="0"/>
    <n v="0"/>
    <n v="24000000"/>
    <d v="2026-04-14T00:00:00"/>
    <x v="65"/>
    <n v="12"/>
    <n v="-66"/>
    <m/>
    <d v="2026-06-26T00:00:00"/>
    <x v="21"/>
    <d v="2026-04-14T00:00:00"/>
    <n v="800"/>
    <n v="30000"/>
    <n v="0.14499999999999602"/>
    <n v="30000.145"/>
    <n v="157.3150684931507"/>
    <n v="30157.46006849315"/>
    <x v="2"/>
    <x v="0"/>
    <s v="TUCUMAN"/>
    <x v="3"/>
    <n v="35355"/>
    <n v="-5197.5399315068498"/>
    <n v="-0.1470100390752892"/>
    <n v="-4158031.9452054799"/>
    <n v="28284000"/>
    <n v="24125968.05479452"/>
    <n v="2.9000000000000001E-2"/>
    <n v="-74.5"/>
    <m/>
    <s v="PREVENTA ZAFRA 26"/>
    <n v="0"/>
    <n v="1358.5219999999999"/>
    <n v="14600.213131477925"/>
    <m/>
    <n v="14600.213131477925"/>
    <n v="365.00532828694816"/>
    <n v="1.096780177280898"/>
    <n v="2.3159738081996566"/>
    <n v="368.41808227242871"/>
    <x v="4"/>
  </r>
  <r>
    <x v="1"/>
    <n v="1"/>
    <x v="17"/>
    <d v="2026-06-20T00:00:00"/>
    <x v="5"/>
    <s v="AZUCAR COMUN TIPO A"/>
    <x v="1"/>
    <d v="2026-06-20T00:00:00"/>
    <n v="40000"/>
    <n v="495.86776859504135"/>
    <n v="19834710.743801653"/>
    <n v="4165289.2561983471"/>
    <n v="24000000"/>
    <n v="0"/>
    <n v="0"/>
    <n v="0"/>
    <n v="24000000"/>
    <d v="2026-04-14T00:00:00"/>
    <x v="74"/>
    <n v="13"/>
    <n v="-67"/>
    <m/>
    <d v="2026-06-27T00:00:00"/>
    <x v="21"/>
    <d v="2026-04-14T00:00:00"/>
    <n v="800"/>
    <n v="30000"/>
    <n v="0.14499999999999602"/>
    <n v="30000.145"/>
    <n v="159.69863013698631"/>
    <n v="30159.843630136987"/>
    <x v="2"/>
    <x v="0"/>
    <s v="TUCUMAN"/>
    <x v="3"/>
    <n v="35355"/>
    <n v="-5195.1563698630125"/>
    <n v="-0.1469426211246786"/>
    <n v="-4156125.0958904102"/>
    <n v="28284000"/>
    <n v="24127874.90410959"/>
    <n v="2.9000000000000001E-2"/>
    <n v="-74.5"/>
    <m/>
    <s v="PREVENTA ZAFRA 26"/>
    <n v="0"/>
    <n v="1358.5219999999999"/>
    <n v="14600.213131477925"/>
    <m/>
    <n v="14600.213131477925"/>
    <n v="365.00532828694816"/>
    <n v="1.096780177280898"/>
    <n v="2.351064320445106"/>
    <n v="368.45317278467417"/>
    <x v="4"/>
  </r>
  <r>
    <x v="1"/>
    <n v="1"/>
    <x v="17"/>
    <d v="2026-06-21T00:00:00"/>
    <x v="5"/>
    <s v="AZUCAR COMUN TIPO A"/>
    <x v="1"/>
    <d v="2026-06-21T00:00:00"/>
    <n v="40000"/>
    <n v="495.86776859504135"/>
    <n v="19834710.743801653"/>
    <n v="4165289.2561983471"/>
    <n v="24000000"/>
    <n v="0"/>
    <n v="0"/>
    <n v="0"/>
    <n v="24000000"/>
    <d v="2026-04-14T00:00:00"/>
    <x v="66"/>
    <n v="14"/>
    <n v="-68"/>
    <m/>
    <d v="2026-06-28T00:00:00"/>
    <x v="21"/>
    <d v="2026-04-14T00:00:00"/>
    <n v="800"/>
    <n v="30000"/>
    <n v="0.14499999999999602"/>
    <n v="30000.145"/>
    <n v="162.08219178082194"/>
    <n v="30162.227191780821"/>
    <x v="2"/>
    <x v="0"/>
    <s v="TUCUMAN"/>
    <x v="3"/>
    <n v="35355"/>
    <n v="-5192.7728082191788"/>
    <n v="-0.1468752031740681"/>
    <n v="-4154218.246575343"/>
    <n v="28284000"/>
    <n v="24129781.753424656"/>
    <n v="2.9000000000000001E-2"/>
    <n v="-74.5"/>
    <m/>
    <s v="PREVENTA ZAFRA 26"/>
    <n v="0"/>
    <n v="1358.5219999999999"/>
    <n v="14600.213131477925"/>
    <m/>
    <n v="14600.213131477925"/>
    <n v="365.00532828694816"/>
    <n v="1.096780177280898"/>
    <n v="2.3861548326905559"/>
    <n v="368.48826329691963"/>
    <x v="4"/>
  </r>
  <r>
    <x v="1"/>
    <n v="1"/>
    <x v="17"/>
    <d v="2026-06-22T00:00:00"/>
    <x v="5"/>
    <s v="AZUCAR COMUN TIPO A"/>
    <x v="1"/>
    <d v="2026-06-22T00:00:00"/>
    <n v="40000"/>
    <n v="495.86776859504135"/>
    <n v="19834710.743801653"/>
    <n v="4165289.2561983471"/>
    <n v="24000000"/>
    <n v="0"/>
    <n v="0"/>
    <n v="0"/>
    <n v="24000000"/>
    <d v="2026-04-14T00:00:00"/>
    <x v="23"/>
    <n v="15"/>
    <n v="-69"/>
    <m/>
    <d v="2026-06-29T00:00:00"/>
    <x v="21"/>
    <d v="2026-04-14T00:00:00"/>
    <n v="800"/>
    <n v="30000"/>
    <n v="0.14499999999999602"/>
    <n v="30000.145"/>
    <n v="164.46575342465755"/>
    <n v="30164.610753424658"/>
    <x v="2"/>
    <x v="0"/>
    <s v="TUCUMAN"/>
    <x v="3"/>
    <n v="35355"/>
    <n v="-5190.3892465753415"/>
    <n v="-0.1468077852234575"/>
    <n v="-4152311.3972602733"/>
    <n v="28284000"/>
    <n v="24131688.602739725"/>
    <n v="2.9000000000000001E-2"/>
    <n v="-74.5"/>
    <m/>
    <s v="PREVENTA ZAFRA 26"/>
    <n v="0"/>
    <n v="1358.5219999999999"/>
    <n v="14600.213131477925"/>
    <m/>
    <n v="14600.213131477925"/>
    <n v="365.00532828694816"/>
    <n v="1.096780177280898"/>
    <n v="2.421245344936005"/>
    <n v="368.52335380916503"/>
    <x v="4"/>
  </r>
  <r>
    <x v="1"/>
    <n v="1"/>
    <x v="17"/>
    <d v="2026-06-23T00:00:00"/>
    <x v="5"/>
    <s v="AZUCAR COMUN TIPO A"/>
    <x v="1"/>
    <d v="2026-06-23T00:00:00"/>
    <n v="40000"/>
    <n v="495.86776859504135"/>
    <n v="19834710.743801653"/>
    <n v="4165289.2561983471"/>
    <n v="24000000"/>
    <n v="0"/>
    <n v="0"/>
    <n v="0"/>
    <n v="24000000"/>
    <d v="2026-04-14T00:00:00"/>
    <x v="67"/>
    <n v="16"/>
    <n v="-70"/>
    <m/>
    <d v="2026-06-30T00:00:00"/>
    <x v="21"/>
    <d v="2026-04-14T00:00:00"/>
    <n v="800"/>
    <n v="30000"/>
    <n v="0.14499999999999602"/>
    <n v="30000.145"/>
    <n v="166.84931506849315"/>
    <n v="30166.994315068492"/>
    <x v="2"/>
    <x v="0"/>
    <s v="TUCUMAN"/>
    <x v="3"/>
    <n v="35355"/>
    <n v="-5188.0056849315079"/>
    <n v="-0.14674036727284712"/>
    <n v="-4150404.5479452061"/>
    <n v="28284000"/>
    <n v="24133595.452054795"/>
    <n v="2.9000000000000001E-2"/>
    <n v="-74.5"/>
    <m/>
    <s v="PREVENTA ZAFRA 26"/>
    <n v="0"/>
    <n v="1358.5219999999999"/>
    <n v="14600.213131477925"/>
    <m/>
    <n v="14600.213131477925"/>
    <n v="365.00532828694816"/>
    <n v="1.096780177280898"/>
    <n v="2.456335857181454"/>
    <n v="368.55844432141049"/>
    <x v="4"/>
  </r>
  <r>
    <x v="1"/>
    <n v="1"/>
    <x v="17"/>
    <d v="2026-06-24T00:00:00"/>
    <x v="5"/>
    <s v="AZUCAR COMUN TIPO A"/>
    <x v="1"/>
    <d v="2026-06-24T00:00:00"/>
    <n v="40000"/>
    <n v="495.86776859504135"/>
    <n v="19834710.743801653"/>
    <n v="4165289.2561983471"/>
    <n v="24000000"/>
    <n v="0"/>
    <n v="0"/>
    <n v="0"/>
    <n v="24000000"/>
    <d v="2026-04-14T00:00:00"/>
    <x v="68"/>
    <n v="17"/>
    <n v="-71"/>
    <m/>
    <d v="2026-07-01T00:00:00"/>
    <x v="21"/>
    <d v="2026-04-14T00:00:00"/>
    <n v="800"/>
    <n v="30000"/>
    <n v="0.14499999999999602"/>
    <n v="30000.145"/>
    <n v="169.23287671232879"/>
    <n v="30169.377876712329"/>
    <x v="2"/>
    <x v="0"/>
    <s v="TUCUMAN"/>
    <x v="3"/>
    <n v="35355"/>
    <n v="-5185.6221232876705"/>
    <n v="-0.14667294932223651"/>
    <n v="-4148497.6986301364"/>
    <n v="28284000"/>
    <n v="24135502.301369864"/>
    <n v="2.9000000000000001E-2"/>
    <n v="-74.5"/>
    <m/>
    <s v="PREVENTA ZAFRA 26"/>
    <n v="0"/>
    <n v="1358.5219999999999"/>
    <n v="14600.213131477925"/>
    <m/>
    <n v="14600.213131477925"/>
    <n v="365.00532828694816"/>
    <n v="1.096780177280898"/>
    <n v="2.4914263694269034"/>
    <n v="368.59353483365595"/>
    <x v="4"/>
  </r>
  <r>
    <x v="1"/>
    <n v="1"/>
    <x v="17"/>
    <d v="2026-06-25T00:00:00"/>
    <x v="5"/>
    <s v="AZUCAR COMUN TIPO A"/>
    <x v="1"/>
    <d v="2026-06-25T00:00:00"/>
    <n v="40000"/>
    <n v="495.86776859504135"/>
    <n v="19834710.743801653"/>
    <n v="4165289.2561983471"/>
    <n v="24000000"/>
    <n v="0"/>
    <n v="0"/>
    <n v="0"/>
    <n v="24000000"/>
    <d v="2026-04-14T00:00:00"/>
    <x v="69"/>
    <n v="18"/>
    <n v="-72"/>
    <m/>
    <d v="2026-07-02T00:00:00"/>
    <x v="21"/>
    <d v="2026-04-14T00:00:00"/>
    <n v="800"/>
    <n v="30000"/>
    <n v="0.14499999999999602"/>
    <n v="30000.145"/>
    <n v="171.61643835616439"/>
    <n v="30171.761438356163"/>
    <x v="2"/>
    <x v="0"/>
    <s v="TUCUMAN"/>
    <x v="3"/>
    <n v="35355"/>
    <n v="-5183.2385616438369"/>
    <n v="-0.14660553137162602"/>
    <n v="-4146590.8493150696"/>
    <n v="28284000"/>
    <n v="24137409.15068493"/>
    <n v="2.9000000000000001E-2"/>
    <n v="-74.5"/>
    <m/>
    <s v="PREVENTA ZAFRA 26"/>
    <n v="0"/>
    <n v="1358.5219999999999"/>
    <n v="14600.213131477925"/>
    <m/>
    <n v="14600.213131477925"/>
    <n v="365.00532828694816"/>
    <n v="1.096780177280898"/>
    <n v="2.5265168816723529"/>
    <n v="368.62862534590141"/>
    <x v="4"/>
  </r>
  <r>
    <x v="1"/>
    <n v="1"/>
    <x v="17"/>
    <d v="2026-06-26T00:00:00"/>
    <x v="5"/>
    <s v="AZUCAR COMUN TIPO A"/>
    <x v="1"/>
    <d v="2026-06-26T00:00:00"/>
    <n v="40000"/>
    <n v="495.86776859504135"/>
    <n v="19834710.743801653"/>
    <n v="4165289.2561983471"/>
    <n v="24000000"/>
    <n v="0"/>
    <n v="0"/>
    <n v="0"/>
    <n v="24000000"/>
    <d v="2026-04-14T00:00:00"/>
    <x v="48"/>
    <n v="19"/>
    <n v="-73"/>
    <m/>
    <d v="2026-07-03T00:00:00"/>
    <x v="21"/>
    <d v="2026-04-14T00:00:00"/>
    <n v="800"/>
    <n v="30000"/>
    <n v="0.14499999999999602"/>
    <n v="30000.145"/>
    <n v="174.00000000000003"/>
    <n v="30174.145"/>
    <x v="2"/>
    <x v="0"/>
    <s v="TUCUMAN"/>
    <x v="3"/>
    <n v="35355"/>
    <n v="-5180.8549999999996"/>
    <n v="-0.14653811342101541"/>
    <n v="-4144683.9999999995"/>
    <n v="28284000"/>
    <n v="24139316"/>
    <n v="2.9000000000000001E-2"/>
    <n v="-74.5"/>
    <m/>
    <s v="PREVENTA ZAFRA 26"/>
    <n v="0"/>
    <n v="1358.5219999999999"/>
    <n v="14600.213131477925"/>
    <m/>
    <n v="14600.213131477925"/>
    <n v="365.00532828694816"/>
    <n v="1.096780177280898"/>
    <n v="2.5616073939178023"/>
    <n v="368.66371585814687"/>
    <x v="4"/>
  </r>
  <r>
    <x v="1"/>
    <n v="1"/>
    <x v="17"/>
    <d v="2026-06-27T00:00:00"/>
    <x v="5"/>
    <s v="AZUCAR COMUN TIPO A"/>
    <x v="1"/>
    <d v="2026-06-27T00:00:00"/>
    <n v="40000"/>
    <n v="495.86776859504135"/>
    <n v="19834710.743801653"/>
    <n v="4165289.2561983471"/>
    <n v="24000000"/>
    <n v="0"/>
    <n v="0"/>
    <n v="0"/>
    <n v="24000000"/>
    <d v="2026-04-14T00:00:00"/>
    <x v="70"/>
    <n v="20"/>
    <n v="-74"/>
    <m/>
    <d v="2026-07-04T00:00:00"/>
    <x v="21"/>
    <d v="2026-04-14T00:00:00"/>
    <n v="800"/>
    <n v="30000"/>
    <n v="0.14499999999999602"/>
    <n v="30000.145"/>
    <n v="176.38356164383563"/>
    <n v="30176.528561643838"/>
    <x v="2"/>
    <x v="0"/>
    <s v="TUCUMAN"/>
    <x v="3"/>
    <n v="35355"/>
    <n v="-5178.4714383561623"/>
    <n v="-0.14647069547040481"/>
    <n v="-4142777.1506849299"/>
    <n v="28284000"/>
    <n v="24141222.84931507"/>
    <n v="2.9000000000000001E-2"/>
    <n v="-74.5"/>
    <m/>
    <s v="PREVENTA ZAFRA 26"/>
    <n v="0"/>
    <n v="1358.5219999999999"/>
    <n v="14600.213131477925"/>
    <m/>
    <n v="14600.213131477925"/>
    <n v="365.00532828694816"/>
    <n v="1.096780177280898"/>
    <n v="2.5966979061632514"/>
    <n v="368.69880637039228"/>
    <x v="4"/>
  </r>
  <r>
    <x v="1"/>
    <n v="1"/>
    <x v="17"/>
    <d v="2026-06-28T00:00:00"/>
    <x v="5"/>
    <s v="AZUCAR COMUN TIPO A"/>
    <x v="1"/>
    <d v="2026-06-28T00:00:00"/>
    <n v="40000"/>
    <n v="495.86776859504135"/>
    <n v="19834710.743801653"/>
    <n v="4165289.2561983471"/>
    <n v="24000000"/>
    <n v="0"/>
    <n v="0"/>
    <n v="0"/>
    <n v="24000000"/>
    <d v="2026-04-14T00:00:00"/>
    <x v="49"/>
    <n v="21"/>
    <n v="-75"/>
    <m/>
    <d v="2026-07-05T00:00:00"/>
    <x v="21"/>
    <d v="2026-04-14T00:00:00"/>
    <n v="800"/>
    <n v="30000"/>
    <n v="0.14499999999999602"/>
    <n v="30000.145"/>
    <n v="178.76712328767124"/>
    <n v="30178.912123287671"/>
    <x v="2"/>
    <x v="0"/>
    <s v="TUCUMAN"/>
    <x v="3"/>
    <n v="35355"/>
    <n v="-5176.0878767123286"/>
    <n v="-0.14640327751979432"/>
    <n v="-4140870.3013698626"/>
    <n v="28284000"/>
    <n v="24143129.698630136"/>
    <n v="2.9000000000000001E-2"/>
    <n v="-74.5"/>
    <m/>
    <s v="PREVENTA ZAFRA 26"/>
    <n v="0"/>
    <n v="1358.5219999999999"/>
    <n v="14600.213131477925"/>
    <m/>
    <n v="14600.213131477925"/>
    <n v="365.00532828694816"/>
    <n v="1.096780177280898"/>
    <n v="2.6317884184087008"/>
    <n v="368.73389688263774"/>
    <x v="4"/>
  </r>
  <r>
    <x v="1"/>
    <n v="1"/>
    <x v="17"/>
    <d v="2026-06-28T00:00:00"/>
    <x v="5"/>
    <s v="AZUCAR COMUN TIPO A"/>
    <x v="1"/>
    <d v="2026-06-28T00:00:00"/>
    <n v="40000"/>
    <n v="495.86776859504135"/>
    <n v="19834710.743801653"/>
    <n v="4165289.2561983471"/>
    <n v="24000000"/>
    <n v="0"/>
    <n v="0"/>
    <n v="0"/>
    <n v="24000000"/>
    <d v="2026-04-14T00:00:00"/>
    <x v="49"/>
    <n v="21"/>
    <n v="-75"/>
    <m/>
    <d v="2026-07-05T00:00:00"/>
    <x v="21"/>
    <d v="2026-04-14T00:00:00"/>
    <n v="800"/>
    <n v="30000"/>
    <n v="0.14499999999999602"/>
    <n v="30000.145"/>
    <n v="178.76712328767124"/>
    <n v="30178.912123287671"/>
    <x v="2"/>
    <x v="0"/>
    <s v="TUCUMAN"/>
    <x v="3"/>
    <n v="35355"/>
    <n v="-5176.0878767123286"/>
    <n v="-0.14640327751979432"/>
    <n v="-4140870.3013698626"/>
    <n v="28284000"/>
    <n v="24143129.698630136"/>
    <n v="2.9000000000000001E-2"/>
    <n v="-74.5"/>
    <m/>
    <s v="PREVENTA ZAFRA 26"/>
    <n v="0"/>
    <n v="1358.5219999999999"/>
    <n v="14600.213131477925"/>
    <m/>
    <n v="14600.213131477925"/>
    <n v="365.00532828694816"/>
    <n v="1.096780177280898"/>
    <n v="2.6317884184087008"/>
    <n v="368.73389688263774"/>
    <x v="4"/>
  </r>
  <r>
    <x v="1"/>
    <n v="1"/>
    <x v="28"/>
    <d v="2026-06-12T00:00:00"/>
    <x v="2"/>
    <s v="AZUCAR COMUN TIPO A"/>
    <x v="1"/>
    <d v="2026-06-12T00:00:00"/>
    <n v="27500"/>
    <n v="745"/>
    <n v="20487500"/>
    <n v="4302375"/>
    <n v="24789875"/>
    <n v="24789875"/>
    <n v="0"/>
    <n v="0"/>
    <n v="0"/>
    <d v="2026-05-28T00:00:00"/>
    <x v="75"/>
    <n v="35"/>
    <n v="-15"/>
    <m/>
    <d v="2026-07-19T00:00:00"/>
    <x v="30"/>
    <d v="2026-06-05T00:00:00"/>
    <n v="550"/>
    <n v="45072.5"/>
    <n v="-5277.7174999999997"/>
    <n v="39794.782500000001"/>
    <n v="55.568835616438356"/>
    <n v="39850.35133561644"/>
    <x v="3"/>
    <x v="10"/>
    <s v="BUENOS AIRES"/>
    <x v="2"/>
    <n v="37115"/>
    <n v="2735.3513356164403"/>
    <n v="7.3699348932141806E-2"/>
    <n v="1504443.2345890421"/>
    <n v="20413250"/>
    <n v="21917693.234589044"/>
    <n v="0.03"/>
    <n v="4250"/>
    <n v="30"/>
    <m/>
    <n v="-20440000"/>
    <n v="1442.4148"/>
    <n v="14203.611887509751"/>
    <m/>
    <n v="14203.611887509751"/>
    <n v="516.49497772762732"/>
    <n v="-58.928957190400432"/>
    <n v="0.77049730239093994"/>
    <n v="458.33651783961784"/>
    <x v="3"/>
  </r>
  <r>
    <x v="1"/>
    <n v="1"/>
    <x v="29"/>
    <d v="2026-06-19T00:00:00"/>
    <x v="2"/>
    <s v="AZUCAR COMUN TIPO A"/>
    <x v="1"/>
    <d v="2026-06-19T00:00:00"/>
    <n v="28000"/>
    <n v="740"/>
    <n v="20720000"/>
    <n v="4351200"/>
    <n v="25071200"/>
    <n v="25071200"/>
    <n v="0"/>
    <n v="0"/>
    <n v="0"/>
    <d v="2026-06-04T00:00:00"/>
    <x v="76"/>
    <n v="42"/>
    <n v="-15"/>
    <m/>
    <d v="2026-07-26T00:00:00"/>
    <x v="31"/>
    <d v="2026-06-04T00:00:00"/>
    <n v="560"/>
    <n v="44770"/>
    <n v="-4066.81"/>
    <n v="40703.19"/>
    <n v="55.19589041095891"/>
    <n v="40758.385890410958"/>
    <x v="2"/>
    <x v="11"/>
    <s v="SANTA FE"/>
    <x v="2"/>
    <n v="37115"/>
    <n v="3643.3858904109584"/>
    <n v="9.8164782174618326E-2"/>
    <n v="2040296.0986301368"/>
    <n v="20784400"/>
    <n v="22824696.098630138"/>
    <n v="0.03"/>
    <n v="3250"/>
    <n v="30"/>
    <m/>
    <n v="-20440000"/>
    <n v="1438.8159000000001"/>
    <n v="14400.73048956437"/>
    <m/>
    <n v="14400.73048956437"/>
    <n v="514.31180319872749"/>
    <n v="-45.176036767455791"/>
    <n v="0.76724048449782778"/>
    <n v="469.90300691576954"/>
    <x v="3"/>
  </r>
  <r>
    <x v="1"/>
    <n v="1"/>
    <x v="7"/>
    <d v="2026-06-07T00:00:00"/>
    <x v="2"/>
    <s v="AZÚCAR BAJA CALIDAD Z26"/>
    <x v="1"/>
    <d v="2026-06-07T00:00:00"/>
    <n v="30000"/>
    <n v="495.86776859504135"/>
    <n v="14876033.05785124"/>
    <n v="3123966.9421487604"/>
    <n v="18000000"/>
    <n v="0"/>
    <n v="0"/>
    <n v="0"/>
    <n v="18000000"/>
    <d v="2026-05-31T00:00:00"/>
    <x v="73"/>
    <n v="7"/>
    <n v="-7"/>
    <m/>
    <d v="2026-06-21T00:00:00"/>
    <x v="0"/>
    <d v="2026-06-04T00:00:00"/>
    <n v="600"/>
    <n v="30000"/>
    <n v="0.14499999999999602"/>
    <n v="30000.145"/>
    <n v="16.684931506849317"/>
    <n v="30016.829931506851"/>
    <x v="2"/>
    <x v="0"/>
    <s v="TUCUMAN"/>
    <x v="2"/>
    <n v="37115"/>
    <n v="-7098.1700684931493"/>
    <n v="-0.19124801477820685"/>
    <n v="-4258902.0410958892"/>
    <n v="22269000"/>
    <n v="18010097.95890411"/>
    <n v="2.9000000000000001E-2"/>
    <n v="-74.5"/>
    <n v="7"/>
    <m/>
    <n v="0"/>
    <n v="1438.8159000000001"/>
    <n v="10339.080251928854"/>
    <m/>
    <n v="10339.080251928854"/>
    <n v="344.63600839762847"/>
    <n v="1.0355737659001405"/>
    <n v="0.2319258705279712"/>
    <n v="345.90350803405659"/>
    <x v="4"/>
  </r>
  <r>
    <x v="1"/>
    <n v="1"/>
    <x v="7"/>
    <d v="2026-06-09T00:00:00"/>
    <x v="2"/>
    <s v="AZÚCAR BAJA CALIDAD Z26"/>
    <x v="1"/>
    <d v="2026-06-09T00:00:00"/>
    <n v="30000"/>
    <n v="495.86776859504135"/>
    <n v="14876033.05785124"/>
    <n v="3123966.9421487604"/>
    <n v="18000000"/>
    <n v="0"/>
    <n v="0"/>
    <n v="0"/>
    <n v="18000000"/>
    <d v="2026-06-02T00:00:00"/>
    <x v="63"/>
    <n v="9"/>
    <n v="-7"/>
    <m/>
    <d v="2026-06-23T00:00:00"/>
    <x v="0"/>
    <d v="2026-06-04T00:00:00"/>
    <n v="600"/>
    <n v="30000"/>
    <n v="0.14499999999999602"/>
    <n v="30000.145"/>
    <n v="16.684931506849317"/>
    <n v="30016.829931506851"/>
    <x v="2"/>
    <x v="0"/>
    <s v="TUCUMAN"/>
    <x v="2"/>
    <n v="37115"/>
    <n v="-7098.1700684931493"/>
    <n v="-0.19124801477820685"/>
    <n v="-4258902.0410958892"/>
    <n v="22269000"/>
    <n v="18010097.95890411"/>
    <n v="2.9000000000000001E-2"/>
    <n v="-74.5"/>
    <n v="7"/>
    <m/>
    <n v="0"/>
    <n v="1438.8159000000001"/>
    <n v="10339.080251928854"/>
    <m/>
    <n v="10339.080251928854"/>
    <n v="344.63600839762847"/>
    <n v="1.0355737659001405"/>
    <n v="0.2319258705279712"/>
    <n v="345.90350803405659"/>
    <x v="4"/>
  </r>
  <r>
    <x v="1"/>
    <n v="1"/>
    <x v="7"/>
    <d v="2026-06-10T00:00:00"/>
    <x v="2"/>
    <s v="AZÚCAR BAJA CALIDAD Z26"/>
    <x v="1"/>
    <d v="2026-06-10T00:00:00"/>
    <n v="30000"/>
    <n v="495.86776859504135"/>
    <n v="14876033.05785124"/>
    <n v="3123966.9421487604"/>
    <n v="18000000"/>
    <n v="0"/>
    <n v="0"/>
    <n v="0"/>
    <n v="18000000"/>
    <d v="2026-06-03T00:00:00"/>
    <x v="53"/>
    <n v="10"/>
    <n v="-7"/>
    <m/>
    <d v="2026-06-24T00:00:00"/>
    <x v="0"/>
    <d v="2026-06-04T00:00:00"/>
    <n v="600"/>
    <n v="30000"/>
    <n v="0.14499999999999602"/>
    <n v="30000.145"/>
    <n v="16.684931506849317"/>
    <n v="30016.829931506851"/>
    <x v="2"/>
    <x v="0"/>
    <s v="TUCUMAN"/>
    <x v="2"/>
    <n v="37115"/>
    <n v="-7098.1700684931493"/>
    <n v="-0.19124801477820685"/>
    <n v="-4258902.0410958892"/>
    <n v="22269000"/>
    <n v="18010097.95890411"/>
    <n v="2.9000000000000001E-2"/>
    <n v="-74.5"/>
    <n v="7"/>
    <m/>
    <n v="0"/>
    <n v="1438.8159000000001"/>
    <n v="10339.080251928854"/>
    <m/>
    <n v="10339.080251928854"/>
    <n v="344.63600839762847"/>
    <n v="1.0355737659001405"/>
    <n v="0.2319258705279712"/>
    <n v="345.90350803405659"/>
    <x v="4"/>
  </r>
  <r>
    <x v="1"/>
    <n v="1"/>
    <x v="14"/>
    <d v="2026-06-05T00:00:00"/>
    <x v="2"/>
    <s v="AZÚCAR BAJA CALIDAD Z26"/>
    <x v="1"/>
    <d v="2026-06-05T00:00:00"/>
    <n v="32000"/>
    <n v="495.86776859504135"/>
    <n v="15867768.595041323"/>
    <n v="3332231.4049586779"/>
    <n v="19200000"/>
    <n v="0"/>
    <n v="0"/>
    <n v="0"/>
    <n v="19200000"/>
    <d v="2026-05-29T00:00:00"/>
    <x v="74"/>
    <n v="13"/>
    <n v="-7"/>
    <m/>
    <d v="2026-06-27T00:00:00"/>
    <x v="32"/>
    <d v="2026-06-04T00:00:00"/>
    <n v="640"/>
    <n v="30000"/>
    <n v="0.14499999999999602"/>
    <n v="30000.145"/>
    <n v="16.684931506849317"/>
    <n v="30016.829931506851"/>
    <x v="2"/>
    <x v="0"/>
    <s v="TUCUMAN"/>
    <x v="3"/>
    <n v="37115"/>
    <n v="-7098.1700684931493"/>
    <n v="-0.19124801477820685"/>
    <n v="-4542828.8438356156"/>
    <n v="23753600"/>
    <n v="19210771.156164385"/>
    <n v="2.9000000000000001E-2"/>
    <n v="-74.5"/>
    <n v="15"/>
    <s v="BC ZAFRA 26"/>
    <n v="0"/>
    <n v="1438.8159000000001"/>
    <n v="11028.352268724111"/>
    <m/>
    <n v="11028.352268724111"/>
    <n v="344.63600839762847"/>
    <n v="1.0355737659001405"/>
    <n v="0.2319258705279712"/>
    <n v="345.90350803405659"/>
    <x v="4"/>
  </r>
  <r>
    <x v="1"/>
    <n v="1"/>
    <x v="11"/>
    <d v="2026-06-05T00:00:00"/>
    <x v="2"/>
    <s v="AZÚCAR BAJA CALIDAD Z26"/>
    <x v="1"/>
    <d v="2026-06-05T00:00:00"/>
    <n v="30000"/>
    <n v="495.86776859504135"/>
    <n v="14876033.05785124"/>
    <n v="3123966.9421487604"/>
    <n v="18000000"/>
    <n v="0"/>
    <n v="0"/>
    <n v="0"/>
    <n v="18000000"/>
    <d v="2026-05-29T00:00:00"/>
    <x v="74"/>
    <n v="13"/>
    <n v="-7"/>
    <m/>
    <d v="2026-06-27T00:00:00"/>
    <x v="32"/>
    <d v="2026-06-04T00:00:00"/>
    <n v="600"/>
    <n v="30000"/>
    <n v="0.14499999999999602"/>
    <n v="30000.145"/>
    <n v="16.684931506849317"/>
    <n v="30016.829931506851"/>
    <x v="2"/>
    <x v="0"/>
    <s v="TUCUMAN"/>
    <x v="3"/>
    <n v="37115"/>
    <n v="-7098.1700684931493"/>
    <n v="-0.19124801477820685"/>
    <n v="-4258902.0410958892"/>
    <n v="22269000"/>
    <n v="18010097.95890411"/>
    <n v="2.9000000000000001E-2"/>
    <n v="-74.5"/>
    <n v="15"/>
    <s v="BC ZAFRA 26"/>
    <n v="0"/>
    <n v="1438.8159000000001"/>
    <n v="10339.080251928854"/>
    <m/>
    <n v="10339.080251928854"/>
    <n v="344.63600839762847"/>
    <n v="1.0355737659001405"/>
    <n v="0.2319258705279712"/>
    <n v="345.90350803405659"/>
    <x v="4"/>
  </r>
  <r>
    <x v="1"/>
    <n v="1"/>
    <x v="11"/>
    <d v="2026-06-09T00:00:00"/>
    <x v="2"/>
    <s v="AZÚCAR BAJA CALIDAD Z26"/>
    <x v="1"/>
    <d v="2026-06-09T00:00:00"/>
    <n v="56700"/>
    <n v="479.3388429752066"/>
    <n v="27178512.396694213"/>
    <n v="5707487.603305785"/>
    <n v="32886000"/>
    <n v="0"/>
    <n v="0"/>
    <n v="0"/>
    <n v="32886000"/>
    <d v="2026-06-02T00:00:00"/>
    <x v="68"/>
    <n v="17"/>
    <n v="-7"/>
    <m/>
    <d v="2026-07-01T00:00:00"/>
    <x v="32"/>
    <d v="2026-06-04T00:00:00"/>
    <n v="1134"/>
    <n v="28999.999999999996"/>
    <n v="0.12000000000000455"/>
    <n v="29000.119999999995"/>
    <n v="16.128767123287666"/>
    <n v="29016.248767123285"/>
    <x v="2"/>
    <x v="0"/>
    <s v="TUCUMAN"/>
    <x v="3"/>
    <n v="37115"/>
    <n v="-8098.7512328767152"/>
    <n v="-0.21820695764183529"/>
    <n v="-9183983.8980821948"/>
    <n v="42088410"/>
    <n v="32904426.101917803"/>
    <n v="2.9000000000000001E-2"/>
    <n v="-72"/>
    <n v="15"/>
    <s v="BC ZAFRA 26"/>
    <n v="0"/>
    <n v="1438.8159000000001"/>
    <n v="18889.499620274011"/>
    <m/>
    <n v="18889.499620274011"/>
    <n v="333.14814145104077"/>
    <n v="1.0008229683867129"/>
    <n v="0.22419500817703872"/>
    <n v="334.37315942760455"/>
    <x v="4"/>
  </r>
  <r>
    <x v="1"/>
    <n v="1"/>
    <x v="11"/>
    <d v="2026-06-09T00:00:00"/>
    <x v="2"/>
    <s v="AZÚCAR BAJA CALIDAD Z26"/>
    <x v="1"/>
    <d v="2026-06-09T00:00:00"/>
    <n v="54300"/>
    <n v="479.3388429752066"/>
    <n v="26028099.17355372"/>
    <n v="5465900.8264462808"/>
    <n v="31494000"/>
    <n v="0"/>
    <n v="0"/>
    <n v="0"/>
    <n v="31494000"/>
    <d v="2026-06-02T00:00:00"/>
    <x v="68"/>
    <n v="17"/>
    <n v="-7"/>
    <m/>
    <d v="2026-07-01T00:00:00"/>
    <x v="32"/>
    <d v="2026-06-04T00:00:00"/>
    <n v="1086"/>
    <n v="28999.999999999996"/>
    <n v="0.12000000000000455"/>
    <n v="29000.119999999995"/>
    <n v="16.128767123287666"/>
    <n v="29016.248767123285"/>
    <x v="2"/>
    <x v="0"/>
    <s v="TUCUMAN"/>
    <x v="3"/>
    <n v="37115"/>
    <n v="-8098.7512328767152"/>
    <n v="-0.21820695764183529"/>
    <n v="-8795243.8389041126"/>
    <n v="40306890"/>
    <n v="31511646.161095887"/>
    <n v="2.9000000000000001E-2"/>
    <n v="-72"/>
    <n v="15"/>
    <s v="BC ZAFRA 26"/>
    <n v="0"/>
    <n v="1438.8159000000001"/>
    <n v="18089.944080791516"/>
    <m/>
    <n v="18089.944080791516"/>
    <n v="333.14814145104083"/>
    <n v="1.0008229683867129"/>
    <n v="0.22419500817703872"/>
    <n v="334.37315942760461"/>
    <x v="4"/>
  </r>
  <r>
    <x v="1"/>
    <n v="1"/>
    <x v="13"/>
    <d v="2026-06-09T00:00:00"/>
    <x v="2"/>
    <s v="AZÚCAR BAJA CALIDAD Z26"/>
    <x v="1"/>
    <d v="2026-06-09T00:00:00"/>
    <n v="13150"/>
    <n v="495.86776859504135"/>
    <n v="6520661.1570247943"/>
    <n v="1369338.8429752067"/>
    <n v="7890000.0000000009"/>
    <n v="0"/>
    <n v="0"/>
    <n v="0"/>
    <n v="7890000.0000000009"/>
    <d v="2026-06-02T00:00:00"/>
    <x v="68"/>
    <n v="17"/>
    <n v="-7"/>
    <m/>
    <d v="2026-07-01T00:00:00"/>
    <x v="32"/>
    <d v="2026-06-04T00:00:00"/>
    <n v="263"/>
    <n v="30000"/>
    <n v="0.14499999999999602"/>
    <n v="30000.145"/>
    <n v="16.684931506849317"/>
    <n v="30016.829931506851"/>
    <x v="2"/>
    <x v="0"/>
    <s v="TUCUMAN"/>
    <x v="3"/>
    <n v="37115"/>
    <n v="-7098.1700684931493"/>
    <n v="-0.19124801477820685"/>
    <n v="-1866818.7280136982"/>
    <n v="9761245"/>
    <n v="7894426.271986302"/>
    <n v="2.9000000000000001E-2"/>
    <n v="-74.5"/>
    <n v="15"/>
    <s v="BC ZAFRA 26"/>
    <n v="0"/>
    <n v="1438.8159000000001"/>
    <n v="4531.9635104288145"/>
    <m/>
    <n v="4531.9635104288145"/>
    <n v="344.63600839762847"/>
    <n v="1.0355737659001405"/>
    <n v="0.2319258705279712"/>
    <n v="345.90350803405659"/>
    <x v="4"/>
  </r>
  <r>
    <x v="1"/>
    <n v="1"/>
    <x v="30"/>
    <d v="1899-12-30T00:00:00"/>
    <x v="2"/>
    <s v="AZUCAR COMUN TIPO A"/>
    <x v="1"/>
    <m/>
    <m/>
    <m/>
    <n v="0"/>
    <n v="0"/>
    <n v="0"/>
    <n v="0"/>
    <n v="0"/>
    <n v="0"/>
    <n v="0"/>
    <d v="1899-12-30T00:00:00"/>
    <x v="77"/>
    <n v="-46180"/>
    <m/>
    <m/>
    <d v="1900-01-06T00:00:00"/>
    <x v="0"/>
    <d v="2026-05-20T00:00:00"/>
    <n v="0"/>
    <n v="0"/>
    <n v="-3932.5"/>
    <n v="-3932.5"/>
    <n v="0"/>
    <n v="-3932.5"/>
    <x v="4"/>
    <x v="12"/>
    <m/>
    <x v="2"/>
    <n v="37109"/>
    <n v="-41041.5"/>
    <n v="-1.1059715971866664"/>
    <n v="0"/>
    <n v="0"/>
    <n v="0"/>
    <n v="0.03"/>
    <n v="3250"/>
    <m/>
    <m/>
    <n v="-20440000"/>
    <n v="1398.8345999999999"/>
    <n v="0"/>
    <m/>
    <n v="0"/>
    <e v="#DIV/0!"/>
    <n v="-46.467252096852626"/>
    <n v="0"/>
    <e v="#DIV/0!"/>
    <x v="5"/>
  </r>
  <r>
    <x v="1"/>
    <n v="1"/>
    <x v="31"/>
    <d v="2026-06-12T00:00:00"/>
    <x v="2"/>
    <s v="AZUCAR COMUN TIPO A"/>
    <x v="1"/>
    <d v="2026-06-12T00:00:00"/>
    <n v="28000"/>
    <n v="730"/>
    <n v="20440000"/>
    <n v="4292400"/>
    <n v="24732400"/>
    <n v="24732400"/>
    <n v="0"/>
    <n v="0"/>
    <n v="0"/>
    <d v="2026-06-12T00:00:00"/>
    <x v="78"/>
    <n v="50"/>
    <m/>
    <m/>
    <d v="2026-08-03T00:00:00"/>
    <x v="0"/>
    <d v="2026-05-20T00:00:00"/>
    <n v="560"/>
    <n v="44165"/>
    <n v="-4064.9949999999999"/>
    <n v="40100.004999999997"/>
    <n v="0"/>
    <n v="40100.004999999997"/>
    <x v="4"/>
    <x v="13"/>
    <s v="BUENOS AIRES"/>
    <x v="2"/>
    <n v="37109"/>
    <n v="2991.0049999999974"/>
    <n v="8.060052817375829E-2"/>
    <n v="1674962.7999999984"/>
    <n v="20781040"/>
    <n v="22456002.799999997"/>
    <n v="0.03"/>
    <n v="3250"/>
    <n v="45"/>
    <m/>
    <n v="-20440000"/>
    <n v="1398.8345999999999"/>
    <n v="14612.163582456426"/>
    <m/>
    <n v="14612.163582456426"/>
    <n v="521.86298508772938"/>
    <n v="-46.467252096852626"/>
    <n v="0"/>
    <n v="475.39573299087675"/>
    <x v="3"/>
  </r>
  <r>
    <x v="2"/>
    <n v="1"/>
    <x v="0"/>
    <d v="2026-07-01T00:00:00"/>
    <x v="0"/>
    <s v="AZÚCAR CRUDO"/>
    <x v="1"/>
    <d v="2026-07-01T00:00:00"/>
    <n v="35000"/>
    <n v="455.58481499999999"/>
    <n v="15945468.525"/>
    <n v="3348548.3902500002"/>
    <n v="19294016.91525"/>
    <m/>
    <n v="0"/>
    <n v="0"/>
    <n v="19294016.91525"/>
    <d v="2026-01-29T00:00:00"/>
    <x v="38"/>
    <n v="24"/>
    <n v="-153"/>
    <m/>
    <d v="2026-07-08T00:00:00"/>
    <x v="28"/>
    <d v="2026-01-29T00:00:00"/>
    <n v="700"/>
    <n v="27562.8813075"/>
    <n v="-0.40864392249999071"/>
    <n v="27562.4726635775"/>
    <n v="335.05891605856851"/>
    <n v="27897.53157963607"/>
    <x v="0"/>
    <x v="0"/>
    <s v="TUCUMAN"/>
    <x v="0"/>
    <n v="32515"/>
    <n v="-4617.4684203639299"/>
    <n v="-0.14201040813052224"/>
    <n v="-3232227.894254751"/>
    <n v="22760500"/>
    <n v="19528272.105745248"/>
    <n v="2.9000000000000001E-2"/>
    <n v="-68"/>
    <m/>
    <m/>
    <n v="0"/>
    <n v="1446.3009999999999"/>
    <n v="11025"/>
    <m/>
    <n v="11025"/>
    <n v="315"/>
    <n v="0"/>
    <n v="4.6333220547945206"/>
    <n v="319.63332205479452"/>
    <x v="0"/>
  </r>
  <r>
    <x v="2"/>
    <n v="1"/>
    <x v="0"/>
    <d v="2026-07-02T00:00:00"/>
    <x v="0"/>
    <s v="AZÚCAR CRUDO"/>
    <x v="1"/>
    <d v="2026-07-02T00:00:00"/>
    <n v="35000"/>
    <n v="455.58481499999999"/>
    <n v="15945468.525"/>
    <n v="3348548.3902500002"/>
    <n v="19294016.91525"/>
    <m/>
    <n v="0"/>
    <n v="0"/>
    <n v="19294016.91525"/>
    <d v="2026-01-29T00:00:00"/>
    <x v="24"/>
    <n v="25"/>
    <n v="-154"/>
    <m/>
    <d v="2026-07-09T00:00:00"/>
    <x v="28"/>
    <d v="2026-01-29T00:00:00"/>
    <n v="700"/>
    <n v="27562.8813075"/>
    <n v="-0.40864392249999071"/>
    <n v="27562.4726635775"/>
    <n v="337.24884361450688"/>
    <n v="27899.721507192007"/>
    <x v="0"/>
    <x v="0"/>
    <s v="TUCUMAN"/>
    <x v="0"/>
    <n v="32515"/>
    <n v="-4615.2784928079927"/>
    <n v="-0.14194305682940156"/>
    <n v="-3230694.9449655949"/>
    <n v="22760500"/>
    <n v="19529805.055034406"/>
    <n v="2.9000000000000001E-2"/>
    <n v="-68"/>
    <m/>
    <m/>
    <n v="0"/>
    <n v="1446.3009999999999"/>
    <n v="11025"/>
    <m/>
    <n v="11025"/>
    <n v="315"/>
    <n v="0"/>
    <n v="4.6636052054794526"/>
    <n v="319.66360520547943"/>
    <x v="0"/>
  </r>
  <r>
    <x v="2"/>
    <n v="1"/>
    <x v="0"/>
    <d v="2026-07-02T00:00:00"/>
    <x v="0"/>
    <s v="AZÚCAR CRUDO"/>
    <x v="1"/>
    <d v="2026-07-02T00:00:00"/>
    <n v="35000"/>
    <n v="455.58481499999999"/>
    <n v="15945468.525"/>
    <n v="3348548.3902500002"/>
    <n v="19294016.91525"/>
    <m/>
    <n v="0"/>
    <n v="0"/>
    <n v="19294016.91525"/>
    <d v="2026-01-29T00:00:00"/>
    <x v="24"/>
    <n v="25"/>
    <n v="-154"/>
    <m/>
    <d v="2026-07-09T00:00:00"/>
    <x v="28"/>
    <d v="2026-01-29T00:00:00"/>
    <n v="700"/>
    <n v="27562.8813075"/>
    <n v="-0.40864392249999071"/>
    <n v="27562.4726635775"/>
    <n v="337.24884361450688"/>
    <n v="27899.721507192007"/>
    <x v="0"/>
    <x v="0"/>
    <s v="TUCUMAN"/>
    <x v="0"/>
    <n v="32515"/>
    <n v="-4615.2784928079927"/>
    <n v="-0.14194305682940156"/>
    <n v="-3230694.9449655949"/>
    <n v="22760500"/>
    <n v="19529805.055034406"/>
    <n v="2.9000000000000001E-2"/>
    <n v="-68"/>
    <m/>
    <m/>
    <n v="0"/>
    <n v="1446.3009999999999"/>
    <n v="11025"/>
    <m/>
    <n v="11025"/>
    <n v="315"/>
    <n v="0"/>
    <n v="4.6636052054794526"/>
    <n v="319.66360520547943"/>
    <x v="0"/>
  </r>
  <r>
    <x v="2"/>
    <n v="1"/>
    <x v="0"/>
    <d v="2026-07-03T00:00:00"/>
    <x v="0"/>
    <s v="AZÚCAR CRUDO"/>
    <x v="1"/>
    <d v="2026-07-03T00:00:00"/>
    <n v="35000"/>
    <n v="455.58481499999999"/>
    <n v="15945468.525"/>
    <n v="3348548.3902500002"/>
    <n v="19294016.91525"/>
    <m/>
    <n v="0"/>
    <n v="0"/>
    <n v="19294016.91525"/>
    <d v="2026-01-29T00:00:00"/>
    <x v="36"/>
    <n v="26"/>
    <n v="-155"/>
    <m/>
    <d v="2026-07-10T00:00:00"/>
    <x v="28"/>
    <d v="2026-01-29T00:00:00"/>
    <n v="700"/>
    <n v="27562.8813075"/>
    <n v="-0.40864392249999071"/>
    <n v="27562.4726635775"/>
    <n v="339.43877117044519"/>
    <n v="27901.911434747944"/>
    <x v="0"/>
    <x v="0"/>
    <s v="TUCUMAN"/>
    <x v="0"/>
    <n v="32515"/>
    <n v="-4613.0885652520556"/>
    <n v="-0.14187570552828099"/>
    <n v="-3229161.9956764388"/>
    <n v="22760500"/>
    <n v="19531338.004323561"/>
    <n v="2.9000000000000001E-2"/>
    <n v="-68"/>
    <m/>
    <m/>
    <n v="0"/>
    <n v="1446.3009999999999"/>
    <n v="11025"/>
    <m/>
    <n v="11025"/>
    <n v="315"/>
    <n v="0"/>
    <n v="4.6938883561643836"/>
    <n v="319.69388835616439"/>
    <x v="0"/>
  </r>
  <r>
    <x v="2"/>
    <n v="1"/>
    <x v="0"/>
    <d v="2026-07-03T00:00:00"/>
    <x v="0"/>
    <s v="AZÚCAR CRUDO"/>
    <x v="1"/>
    <d v="2026-07-03T00:00:00"/>
    <n v="35000"/>
    <n v="455.58481499999999"/>
    <n v="15945468.525"/>
    <n v="3348548.3902500002"/>
    <n v="19294016.91525"/>
    <m/>
    <n v="0"/>
    <n v="0"/>
    <n v="19294016.91525"/>
    <d v="2026-01-29T00:00:00"/>
    <x v="36"/>
    <n v="26"/>
    <n v="-155"/>
    <m/>
    <d v="2026-07-10T00:00:00"/>
    <x v="28"/>
    <d v="2026-01-29T00:00:00"/>
    <n v="700"/>
    <n v="27562.8813075"/>
    <n v="-0.40864392249999071"/>
    <n v="27562.4726635775"/>
    <n v="339.43877117044519"/>
    <n v="27901.911434747944"/>
    <x v="0"/>
    <x v="0"/>
    <s v="TUCUMAN"/>
    <x v="0"/>
    <n v="32515"/>
    <n v="-4613.0885652520556"/>
    <n v="-0.14187570552828099"/>
    <n v="-3229161.9956764388"/>
    <n v="22760500"/>
    <n v="19531338.004323561"/>
    <n v="2.9000000000000001E-2"/>
    <n v="-68"/>
    <m/>
    <m/>
    <n v="0"/>
    <n v="1446.3009999999999"/>
    <n v="11025"/>
    <m/>
    <n v="11025"/>
    <n v="315"/>
    <n v="0"/>
    <n v="4.6938883561643836"/>
    <n v="319.69388835616439"/>
    <x v="0"/>
  </r>
  <r>
    <x v="2"/>
    <n v="1"/>
    <x v="0"/>
    <d v="2026-07-04T00:00:00"/>
    <x v="0"/>
    <s v="AZÚCAR CRUDO"/>
    <x v="1"/>
    <d v="2026-07-04T00:00:00"/>
    <n v="35000"/>
    <n v="455.58481499999999"/>
    <n v="15945468.525"/>
    <n v="3348548.3902500002"/>
    <n v="19294016.91525"/>
    <m/>
    <n v="0"/>
    <n v="0"/>
    <n v="19294016.91525"/>
    <d v="2026-01-29T00:00:00"/>
    <x v="31"/>
    <n v="27"/>
    <n v="-156"/>
    <m/>
    <d v="2026-07-11T00:00:00"/>
    <x v="28"/>
    <d v="2026-01-29T00:00:00"/>
    <n v="700"/>
    <n v="27562.8813075"/>
    <n v="-0.40864392249999071"/>
    <n v="27562.4726635775"/>
    <n v="341.62869872638356"/>
    <n v="27904.101362303885"/>
    <x v="0"/>
    <x v="0"/>
    <s v="TUCUMAN"/>
    <x v="0"/>
    <n v="32515"/>
    <n v="-4610.8986376961147"/>
    <n v="-0.1418083542271602"/>
    <n v="-3227629.0463872803"/>
    <n v="22760500"/>
    <n v="19532870.953612719"/>
    <n v="2.9000000000000001E-2"/>
    <n v="-68"/>
    <m/>
    <m/>
    <n v="0"/>
    <n v="1446.3009999999999"/>
    <n v="11025"/>
    <m/>
    <n v="11025"/>
    <n v="315"/>
    <n v="0"/>
    <n v="4.7241715068493155"/>
    <n v="319.7241715068493"/>
    <x v="0"/>
  </r>
  <r>
    <x v="2"/>
    <n v="1"/>
    <x v="0"/>
    <d v="2026-07-04T00:00:00"/>
    <x v="0"/>
    <s v="AZÚCAR CRUDO"/>
    <x v="1"/>
    <d v="2026-07-04T00:00:00"/>
    <n v="35000"/>
    <n v="455.58481499999999"/>
    <n v="15945468.525"/>
    <n v="3348548.3902500002"/>
    <n v="19294016.91525"/>
    <m/>
    <n v="0"/>
    <n v="0"/>
    <n v="19294016.91525"/>
    <d v="2026-01-29T00:00:00"/>
    <x v="31"/>
    <n v="27"/>
    <n v="-156"/>
    <m/>
    <d v="2026-07-11T00:00:00"/>
    <x v="28"/>
    <d v="2026-01-29T00:00:00"/>
    <n v="700"/>
    <n v="27562.8813075"/>
    <n v="-0.40864392249999071"/>
    <n v="27562.4726635775"/>
    <n v="341.62869872638356"/>
    <n v="27904.101362303885"/>
    <x v="0"/>
    <x v="0"/>
    <s v="TUCUMAN"/>
    <x v="0"/>
    <n v="32515"/>
    <n v="-4610.8986376961147"/>
    <n v="-0.1418083542271602"/>
    <n v="-3227629.0463872803"/>
    <n v="22760500"/>
    <n v="19532870.953612719"/>
    <n v="2.9000000000000001E-2"/>
    <n v="-68"/>
    <m/>
    <m/>
    <n v="0"/>
    <n v="1446.3009999999999"/>
    <n v="11025"/>
    <m/>
    <n v="11025"/>
    <n v="315"/>
    <n v="0"/>
    <n v="4.7241715068493155"/>
    <n v="319.7241715068493"/>
    <x v="0"/>
  </r>
  <r>
    <x v="2"/>
    <n v="1"/>
    <x v="0"/>
    <d v="2026-07-04T00:00:00"/>
    <x v="0"/>
    <s v="AZÚCAR CRUDO"/>
    <x v="1"/>
    <d v="2026-07-04T00:00:00"/>
    <n v="35000"/>
    <n v="455.58481499999999"/>
    <n v="15945468.525"/>
    <n v="3348548.3902500002"/>
    <n v="19294016.91525"/>
    <m/>
    <n v="0"/>
    <n v="0"/>
    <n v="19294016.91525"/>
    <d v="2026-01-29T00:00:00"/>
    <x v="31"/>
    <n v="27"/>
    <n v="-156"/>
    <m/>
    <d v="2026-07-11T00:00:00"/>
    <x v="28"/>
    <d v="2026-01-29T00:00:00"/>
    <n v="700"/>
    <n v="27562.8813075"/>
    <n v="-0.40864392249999071"/>
    <n v="27562.4726635775"/>
    <n v="341.62869872638356"/>
    <n v="27904.101362303885"/>
    <x v="0"/>
    <x v="0"/>
    <s v="TUCUMAN"/>
    <x v="0"/>
    <n v="32515"/>
    <n v="-4610.8986376961147"/>
    <n v="-0.1418083542271602"/>
    <n v="-3227629.0463872803"/>
    <n v="22760500"/>
    <n v="19532870.953612719"/>
    <n v="2.9000000000000001E-2"/>
    <n v="-68"/>
    <m/>
    <m/>
    <n v="0"/>
    <n v="1446.3009999999999"/>
    <n v="11025"/>
    <m/>
    <n v="11025"/>
    <n v="315"/>
    <n v="0"/>
    <n v="4.7241715068493155"/>
    <n v="319.7241715068493"/>
    <x v="0"/>
  </r>
  <r>
    <x v="2"/>
    <n v="1"/>
    <x v="0"/>
    <d v="2026-07-04T00:00:00"/>
    <x v="0"/>
    <s v="AZÚCAR CRUDO"/>
    <x v="1"/>
    <d v="2026-07-04T00:00:00"/>
    <n v="35000"/>
    <n v="455.58481499999999"/>
    <n v="15945468.525"/>
    <n v="3348548.3902500002"/>
    <n v="19294016.91525"/>
    <m/>
    <n v="0"/>
    <n v="0"/>
    <n v="19294016.91525"/>
    <d v="2026-01-29T00:00:00"/>
    <x v="31"/>
    <n v="27"/>
    <n v="-156"/>
    <m/>
    <d v="2026-07-11T00:00:00"/>
    <x v="28"/>
    <d v="2026-01-29T00:00:00"/>
    <n v="700"/>
    <n v="27562.8813075"/>
    <n v="-0.40864392249999071"/>
    <n v="27562.4726635775"/>
    <n v="341.62869872638356"/>
    <n v="27904.101362303885"/>
    <x v="0"/>
    <x v="0"/>
    <s v="TUCUMAN"/>
    <x v="0"/>
    <n v="32515"/>
    <n v="-4610.8986376961147"/>
    <n v="-0.1418083542271602"/>
    <n v="-3227629.0463872803"/>
    <n v="22760500"/>
    <n v="19532870.953612719"/>
    <n v="2.9000000000000001E-2"/>
    <n v="-68"/>
    <m/>
    <m/>
    <n v="0"/>
    <n v="1446.3009999999999"/>
    <n v="11025"/>
    <m/>
    <n v="11025"/>
    <n v="315"/>
    <n v="0"/>
    <n v="4.7241715068493155"/>
    <n v="319.7241715068493"/>
    <x v="0"/>
  </r>
  <r>
    <x v="2"/>
    <n v="1"/>
    <x v="0"/>
    <d v="2026-07-05T00:00:00"/>
    <x v="0"/>
    <s v="AZÚCAR CRUDO"/>
    <x v="1"/>
    <d v="2026-07-05T00:00:00"/>
    <n v="35000"/>
    <n v="455.58481499999999"/>
    <n v="15945468.525"/>
    <n v="3348548.3902500002"/>
    <n v="19294016.91525"/>
    <m/>
    <n v="0"/>
    <n v="0"/>
    <n v="19294016.91525"/>
    <d v="2026-01-29T00:00:00"/>
    <x v="25"/>
    <n v="28"/>
    <n v="-157"/>
    <m/>
    <d v="2026-07-12T00:00:00"/>
    <x v="28"/>
    <d v="2026-01-29T00:00:00"/>
    <n v="700"/>
    <n v="27562.8813075"/>
    <n v="-0.40864392249999071"/>
    <n v="27562.4726635775"/>
    <n v="343.81862628232193"/>
    <n v="27906.291289859822"/>
    <x v="0"/>
    <x v="0"/>
    <s v="TUCUMAN"/>
    <x v="0"/>
    <n v="32515"/>
    <n v="-4608.7087101401776"/>
    <n v="-0.14174100292603964"/>
    <n v="-3226096.0970981242"/>
    <n v="22760500"/>
    <n v="19534403.902901877"/>
    <n v="2.9000000000000001E-2"/>
    <n v="-68"/>
    <m/>
    <m/>
    <n v="0"/>
    <n v="1446.3009999999999"/>
    <n v="11025"/>
    <m/>
    <n v="11025"/>
    <n v="315"/>
    <n v="0"/>
    <n v="4.7544546575342466"/>
    <n v="319.75445465753427"/>
    <x v="0"/>
  </r>
  <r>
    <x v="2"/>
    <n v="1"/>
    <x v="0"/>
    <d v="2026-07-05T00:00:00"/>
    <x v="0"/>
    <s v="AZÚCAR CRUDO"/>
    <x v="1"/>
    <d v="2026-07-05T00:00:00"/>
    <n v="35000"/>
    <n v="455.58481499999999"/>
    <n v="15945468.525"/>
    <n v="3348548.3902500002"/>
    <n v="19294016.91525"/>
    <m/>
    <n v="0"/>
    <n v="0"/>
    <n v="19294016.91525"/>
    <d v="2026-01-29T00:00:00"/>
    <x v="25"/>
    <n v="28"/>
    <n v="-157"/>
    <m/>
    <d v="2026-07-12T00:00:00"/>
    <x v="28"/>
    <d v="2026-01-29T00:00:00"/>
    <n v="700"/>
    <n v="27562.8813075"/>
    <n v="-0.40864392249999071"/>
    <n v="27562.4726635775"/>
    <n v="343.81862628232193"/>
    <n v="27906.291289859822"/>
    <x v="0"/>
    <x v="0"/>
    <s v="TUCUMAN"/>
    <x v="0"/>
    <n v="32515"/>
    <n v="-4608.7087101401776"/>
    <n v="-0.14174100292603964"/>
    <n v="-3226096.0970981242"/>
    <n v="22760500"/>
    <n v="19534403.902901877"/>
    <n v="2.9000000000000001E-2"/>
    <n v="-68"/>
    <m/>
    <m/>
    <n v="0"/>
    <n v="1446.3009999999999"/>
    <n v="11025"/>
    <m/>
    <n v="11025"/>
    <n v="315"/>
    <n v="0"/>
    <n v="4.7544546575342466"/>
    <n v="319.75445465753427"/>
    <x v="0"/>
  </r>
  <r>
    <x v="2"/>
    <n v="1"/>
    <x v="0"/>
    <d v="2026-07-06T00:00:00"/>
    <x v="0"/>
    <s v="AZÚCAR CRUDO"/>
    <x v="1"/>
    <d v="2026-07-06T00:00:00"/>
    <n v="35000"/>
    <n v="455.58481499999999"/>
    <n v="15945468.525"/>
    <n v="3348548.3902500002"/>
    <n v="19294016.91525"/>
    <m/>
    <n v="0"/>
    <n v="0"/>
    <n v="19294016.91525"/>
    <d v="2026-01-29T00:00:00"/>
    <x v="37"/>
    <n v="29"/>
    <n v="-158"/>
    <m/>
    <d v="2026-07-13T00:00:00"/>
    <x v="28"/>
    <d v="2026-01-29T00:00:00"/>
    <n v="700"/>
    <n v="27562.8813075"/>
    <n v="-0.40864392249999071"/>
    <n v="27562.4726635775"/>
    <n v="346.0085538382603"/>
    <n v="27908.48121741576"/>
    <x v="0"/>
    <x v="0"/>
    <s v="TUCUMAN"/>
    <x v="0"/>
    <n v="32515"/>
    <n v="-4606.5187825842404"/>
    <n v="-0.14167365162491896"/>
    <n v="-3224563.1478089681"/>
    <n v="22760500"/>
    <n v="19535936.852191031"/>
    <n v="2.9000000000000001E-2"/>
    <n v="-68"/>
    <m/>
    <m/>
    <n v="0"/>
    <n v="1446.3009999999999"/>
    <n v="11025"/>
    <m/>
    <n v="11025"/>
    <n v="315"/>
    <n v="0"/>
    <n v="4.7847378082191785"/>
    <n v="319.78473780821918"/>
    <x v="0"/>
  </r>
  <r>
    <x v="2"/>
    <n v="1"/>
    <x v="0"/>
    <d v="2026-07-06T00:00:00"/>
    <x v="0"/>
    <s v="AZÚCAR CRUDO"/>
    <x v="1"/>
    <d v="2026-07-06T00:00:00"/>
    <n v="35000"/>
    <n v="455.58481499999999"/>
    <n v="15945468.525"/>
    <n v="3348548.3902500002"/>
    <n v="19294016.91525"/>
    <m/>
    <n v="0"/>
    <n v="0"/>
    <n v="19294016.91525"/>
    <d v="2026-01-29T00:00:00"/>
    <x v="37"/>
    <n v="29"/>
    <n v="-158"/>
    <m/>
    <d v="2026-07-13T00:00:00"/>
    <x v="28"/>
    <d v="2026-01-29T00:00:00"/>
    <n v="700"/>
    <n v="27562.8813075"/>
    <n v="-0.40864392249999071"/>
    <n v="27562.4726635775"/>
    <n v="346.0085538382603"/>
    <n v="27908.48121741576"/>
    <x v="0"/>
    <x v="0"/>
    <s v="TUCUMAN"/>
    <x v="0"/>
    <n v="32515"/>
    <n v="-4606.5187825842404"/>
    <n v="-0.14167365162491896"/>
    <n v="-3224563.1478089681"/>
    <n v="22760500"/>
    <n v="19535936.852191031"/>
    <n v="2.9000000000000001E-2"/>
    <n v="-68"/>
    <m/>
    <m/>
    <n v="0"/>
    <n v="1446.3009999999999"/>
    <n v="11025"/>
    <m/>
    <n v="11025"/>
    <n v="315"/>
    <n v="0"/>
    <n v="4.7847378082191785"/>
    <n v="319.78473780821918"/>
    <x v="0"/>
  </r>
  <r>
    <x v="2"/>
    <n v="1"/>
    <x v="0"/>
    <d v="2026-07-07T00:00:00"/>
    <x v="0"/>
    <s v="AZÚCAR CRUDO"/>
    <x v="1"/>
    <d v="2026-07-07T00:00:00"/>
    <n v="35000"/>
    <n v="455.58481499999999"/>
    <n v="15945468.525"/>
    <n v="3348548.3902500002"/>
    <n v="19294016.91525"/>
    <m/>
    <n v="0"/>
    <n v="0"/>
    <n v="19294016.91525"/>
    <d v="2026-01-29T00:00:00"/>
    <x v="39"/>
    <n v="30"/>
    <n v="-159"/>
    <m/>
    <d v="2026-07-14T00:00:00"/>
    <x v="28"/>
    <d v="2026-01-29T00:00:00"/>
    <n v="700"/>
    <n v="27562.8813075"/>
    <n v="-0.40864392249999071"/>
    <n v="27562.4726635775"/>
    <n v="348.19848139419861"/>
    <n v="27910.6711449717"/>
    <x v="0"/>
    <x v="0"/>
    <s v="TUCUMAN"/>
    <x v="0"/>
    <n v="32515"/>
    <n v="-4604.3288550282996"/>
    <n v="-0.14160630032379828"/>
    <n v="-3223030.1985198096"/>
    <n v="22760500"/>
    <n v="19537469.801480189"/>
    <n v="2.9000000000000001E-2"/>
    <n v="-68"/>
    <m/>
    <m/>
    <n v="0"/>
    <n v="1446.3009999999999"/>
    <n v="11025"/>
    <m/>
    <n v="11025"/>
    <n v="315"/>
    <n v="0"/>
    <n v="4.8150209589041095"/>
    <n v="319.81502095890409"/>
    <x v="0"/>
  </r>
  <r>
    <x v="2"/>
    <n v="1"/>
    <x v="0"/>
    <d v="2026-07-07T00:00:00"/>
    <x v="0"/>
    <s v="AZÚCAR CRUDO"/>
    <x v="1"/>
    <d v="2026-07-07T00:00:00"/>
    <n v="35000"/>
    <n v="455.58481499999999"/>
    <n v="15945468.525"/>
    <n v="3348548.3902500002"/>
    <n v="19294016.91525"/>
    <m/>
    <n v="0"/>
    <n v="0"/>
    <n v="19294016.91525"/>
    <d v="2026-01-29T00:00:00"/>
    <x v="39"/>
    <n v="30"/>
    <n v="-159"/>
    <m/>
    <d v="2026-07-14T00:00:00"/>
    <x v="28"/>
    <d v="2026-01-29T00:00:00"/>
    <n v="700"/>
    <n v="27562.8813075"/>
    <n v="-0.40864392249999071"/>
    <n v="27562.4726635775"/>
    <n v="348.19848139419861"/>
    <n v="27910.6711449717"/>
    <x v="0"/>
    <x v="0"/>
    <s v="TUCUMAN"/>
    <x v="0"/>
    <n v="32515"/>
    <n v="-4604.3288550282996"/>
    <n v="-0.14160630032379828"/>
    <n v="-3223030.1985198096"/>
    <n v="22760500"/>
    <n v="19537469.801480189"/>
    <n v="2.9000000000000001E-2"/>
    <n v="-68"/>
    <m/>
    <m/>
    <n v="0"/>
    <n v="1446.3009999999999"/>
    <n v="11025"/>
    <m/>
    <n v="11025"/>
    <n v="315"/>
    <n v="0"/>
    <n v="4.8150209589041095"/>
    <n v="319.81502095890409"/>
    <x v="0"/>
  </r>
  <r>
    <x v="2"/>
    <n v="1"/>
    <x v="0"/>
    <d v="2026-07-07T00:00:00"/>
    <x v="0"/>
    <s v="AZÚCAR CRUDO"/>
    <x v="1"/>
    <d v="2026-07-07T00:00:00"/>
    <n v="35000"/>
    <n v="455.58481499999999"/>
    <n v="15945468.525"/>
    <n v="3348548.3902500002"/>
    <n v="19294016.91525"/>
    <m/>
    <n v="0"/>
    <n v="0"/>
    <n v="19294016.91525"/>
    <d v="2026-01-29T00:00:00"/>
    <x v="39"/>
    <n v="30"/>
    <n v="-159"/>
    <m/>
    <d v="2026-07-14T00:00:00"/>
    <x v="28"/>
    <d v="2026-01-29T00:00:00"/>
    <n v="700"/>
    <n v="27562.8813075"/>
    <n v="-0.40864392249999071"/>
    <n v="27562.4726635775"/>
    <n v="348.19848139419861"/>
    <n v="27910.6711449717"/>
    <x v="0"/>
    <x v="0"/>
    <s v="TUCUMAN"/>
    <x v="0"/>
    <n v="32515"/>
    <n v="-4604.3288550282996"/>
    <n v="-0.14160630032379828"/>
    <n v="-3223030.1985198096"/>
    <n v="22760500"/>
    <n v="19537469.801480189"/>
    <n v="2.9000000000000001E-2"/>
    <n v="-68"/>
    <m/>
    <m/>
    <n v="0"/>
    <n v="1446.3009999999999"/>
    <n v="11025"/>
    <m/>
    <n v="11025"/>
    <n v="315"/>
    <n v="0"/>
    <n v="4.8150209589041095"/>
    <n v="319.81502095890409"/>
    <x v="0"/>
  </r>
  <r>
    <x v="2"/>
    <n v="1"/>
    <x v="0"/>
    <d v="2026-07-07T00:00:00"/>
    <x v="0"/>
    <s v="AZÚCAR CRUDO"/>
    <x v="1"/>
    <d v="2026-07-07T00:00:00"/>
    <n v="35000"/>
    <n v="455.58481499999999"/>
    <n v="15945468.525"/>
    <n v="3348548.3902500002"/>
    <n v="19294016.91525"/>
    <m/>
    <n v="0"/>
    <n v="0"/>
    <n v="19294016.91525"/>
    <d v="2026-01-29T00:00:00"/>
    <x v="39"/>
    <n v="30"/>
    <n v="-159"/>
    <m/>
    <d v="2026-07-14T00:00:00"/>
    <x v="28"/>
    <d v="2026-01-29T00:00:00"/>
    <n v="700"/>
    <n v="27562.8813075"/>
    <n v="-0.40864392249999071"/>
    <n v="27562.4726635775"/>
    <n v="348.19848139419861"/>
    <n v="27910.6711449717"/>
    <x v="0"/>
    <x v="0"/>
    <s v="TUCUMAN"/>
    <x v="0"/>
    <n v="32515"/>
    <n v="-4604.3288550282996"/>
    <n v="-0.14160630032379828"/>
    <n v="-3223030.1985198096"/>
    <n v="22760500"/>
    <n v="19537469.801480189"/>
    <n v="2.9000000000000001E-2"/>
    <n v="-68"/>
    <m/>
    <m/>
    <n v="0"/>
    <n v="1446.3009999999999"/>
    <n v="11025"/>
    <m/>
    <n v="11025"/>
    <n v="315"/>
    <n v="0"/>
    <n v="4.8150209589041095"/>
    <n v="319.81502095890409"/>
    <x v="0"/>
  </r>
  <r>
    <x v="2"/>
    <n v="1"/>
    <x v="0"/>
    <d v="2026-07-08T00:00:00"/>
    <x v="0"/>
    <s v="AZÚCAR CRUDO"/>
    <x v="1"/>
    <d v="2026-07-08T00:00:00"/>
    <n v="35000"/>
    <n v="455.58481499999999"/>
    <n v="15945468.525"/>
    <n v="3348548.3902500002"/>
    <n v="19294016.91525"/>
    <m/>
    <n v="0"/>
    <n v="0"/>
    <n v="19294016.91525"/>
    <d v="2026-01-29T00:00:00"/>
    <x v="40"/>
    <n v="31"/>
    <n v="-160"/>
    <m/>
    <d v="2026-07-15T00:00:00"/>
    <x v="28"/>
    <d v="2026-01-29T00:00:00"/>
    <n v="700"/>
    <n v="27562.8813075"/>
    <n v="-0.40864392249999071"/>
    <n v="27562.4726635775"/>
    <n v="350.38840895013698"/>
    <n v="27912.861072527638"/>
    <x v="0"/>
    <x v="0"/>
    <s v="TUCUMAN"/>
    <x v="0"/>
    <n v="32515"/>
    <n v="-4602.1389274723624"/>
    <n v="-0.14153894902267761"/>
    <n v="-3221497.2492306535"/>
    <n v="22760500"/>
    <n v="19539002.750769347"/>
    <n v="2.9000000000000001E-2"/>
    <n v="-68"/>
    <m/>
    <m/>
    <n v="0"/>
    <n v="1446.3009999999999"/>
    <n v="11025"/>
    <m/>
    <n v="11025"/>
    <n v="315"/>
    <n v="0"/>
    <n v="4.8453041095890415"/>
    <n v="319.84530410958905"/>
    <x v="0"/>
  </r>
  <r>
    <x v="2"/>
    <n v="1"/>
    <x v="0"/>
    <d v="2026-07-08T00:00:00"/>
    <x v="0"/>
    <s v="AZÚCAR CRUDO"/>
    <x v="1"/>
    <d v="2026-07-08T00:00:00"/>
    <n v="35000"/>
    <n v="455.58481499999999"/>
    <n v="15945468.525"/>
    <n v="3348548.3902500002"/>
    <n v="19294016.91525"/>
    <m/>
    <n v="0"/>
    <n v="0"/>
    <n v="19294016.91525"/>
    <d v="2026-01-29T00:00:00"/>
    <x v="40"/>
    <n v="31"/>
    <n v="-160"/>
    <m/>
    <d v="2026-07-15T00:00:00"/>
    <x v="28"/>
    <d v="2026-01-29T00:00:00"/>
    <n v="700"/>
    <n v="27562.8813075"/>
    <n v="-0.40864392249999071"/>
    <n v="27562.4726635775"/>
    <n v="350.38840895013698"/>
    <n v="27912.861072527638"/>
    <x v="0"/>
    <x v="0"/>
    <s v="TUCUMAN"/>
    <x v="0"/>
    <n v="32515"/>
    <n v="-4602.1389274723624"/>
    <n v="-0.14153894902267761"/>
    <n v="-3221497.2492306535"/>
    <n v="22760500"/>
    <n v="19539002.750769347"/>
    <n v="2.9000000000000001E-2"/>
    <n v="-68"/>
    <m/>
    <m/>
    <n v="0"/>
    <n v="1446.3009999999999"/>
    <n v="11025"/>
    <m/>
    <n v="11025"/>
    <n v="315"/>
    <n v="0"/>
    <n v="4.8453041095890415"/>
    <n v="319.84530410958905"/>
    <x v="0"/>
  </r>
  <r>
    <x v="2"/>
    <n v="1"/>
    <x v="0"/>
    <d v="2026-07-08T00:00:00"/>
    <x v="0"/>
    <s v="AZÚCAR CRUDO"/>
    <x v="1"/>
    <d v="2026-07-08T00:00:00"/>
    <n v="35000"/>
    <n v="455.58481499999999"/>
    <n v="15945468.525"/>
    <n v="3348548.3902500002"/>
    <n v="19294016.91525"/>
    <m/>
    <n v="0"/>
    <n v="0"/>
    <n v="19294016.91525"/>
    <d v="2026-01-29T00:00:00"/>
    <x v="40"/>
    <n v="31"/>
    <n v="-160"/>
    <m/>
    <d v="2026-07-15T00:00:00"/>
    <x v="28"/>
    <d v="2026-01-29T00:00:00"/>
    <n v="700"/>
    <n v="27562.8813075"/>
    <n v="-0.40864392249999071"/>
    <n v="27562.4726635775"/>
    <n v="350.38840895013698"/>
    <n v="27912.861072527638"/>
    <x v="0"/>
    <x v="0"/>
    <s v="TUCUMAN"/>
    <x v="0"/>
    <n v="32515"/>
    <n v="-4602.1389274723624"/>
    <n v="-0.14153894902267761"/>
    <n v="-3221497.2492306535"/>
    <n v="22760500"/>
    <n v="19539002.750769347"/>
    <n v="2.9000000000000001E-2"/>
    <n v="-68"/>
    <m/>
    <m/>
    <n v="0"/>
    <n v="1446.3009999999999"/>
    <n v="11025"/>
    <m/>
    <n v="11025"/>
    <n v="315"/>
    <n v="0"/>
    <n v="4.8453041095890415"/>
    <n v="319.84530410958905"/>
    <x v="0"/>
  </r>
  <r>
    <x v="2"/>
    <n v="1"/>
    <x v="0"/>
    <d v="2026-07-08T00:00:00"/>
    <x v="0"/>
    <s v="AZÚCAR CRUDO"/>
    <x v="1"/>
    <d v="2026-07-08T00:00:00"/>
    <n v="35000"/>
    <n v="455.58481499999999"/>
    <n v="15945468.525"/>
    <n v="3348548.3902500002"/>
    <n v="19294016.91525"/>
    <m/>
    <n v="0"/>
    <n v="0"/>
    <n v="19294016.91525"/>
    <d v="2026-01-29T00:00:00"/>
    <x v="40"/>
    <n v="31"/>
    <n v="-160"/>
    <m/>
    <d v="2026-07-15T00:00:00"/>
    <x v="28"/>
    <d v="2026-01-29T00:00:00"/>
    <n v="700"/>
    <n v="27562.8813075"/>
    <n v="-0.40864392249999071"/>
    <n v="27562.4726635775"/>
    <n v="350.38840895013698"/>
    <n v="27912.861072527638"/>
    <x v="0"/>
    <x v="0"/>
    <s v="TUCUMAN"/>
    <x v="0"/>
    <n v="32515"/>
    <n v="-4602.1389274723624"/>
    <n v="-0.14153894902267761"/>
    <n v="-3221497.2492306535"/>
    <n v="22760500"/>
    <n v="19539002.750769347"/>
    <n v="2.9000000000000001E-2"/>
    <n v="-68"/>
    <m/>
    <m/>
    <n v="0"/>
    <n v="1446.3009999999999"/>
    <n v="11025"/>
    <m/>
    <n v="11025"/>
    <n v="315"/>
    <n v="0"/>
    <n v="4.8453041095890415"/>
    <n v="319.84530410958905"/>
    <x v="0"/>
  </r>
  <r>
    <x v="2"/>
    <n v="1"/>
    <x v="0"/>
    <d v="2026-07-10T00:00:00"/>
    <x v="0"/>
    <s v="AZÚCAR CRUDO"/>
    <x v="1"/>
    <d v="2026-07-10T00:00:00"/>
    <n v="35000"/>
    <n v="455.58481499999999"/>
    <n v="15945468.525"/>
    <n v="3348548.3902500002"/>
    <n v="19294016.91525"/>
    <m/>
    <n v="0"/>
    <n v="0"/>
    <n v="19294016.91525"/>
    <d v="2026-01-29T00:00:00"/>
    <x v="79"/>
    <n v="33"/>
    <n v="-162"/>
    <m/>
    <d v="2026-07-17T00:00:00"/>
    <x v="28"/>
    <d v="2026-01-29T00:00:00"/>
    <n v="700"/>
    <n v="27562.8813075"/>
    <n v="-0.40864392249999071"/>
    <n v="27562.4726635775"/>
    <n v="354.76826406201371"/>
    <n v="27917.240927639516"/>
    <x v="0"/>
    <x v="0"/>
    <s v="TUCUMAN"/>
    <x v="0"/>
    <n v="32515"/>
    <n v="-4597.7590723604844"/>
    <n v="-0.14140424642043625"/>
    <n v="-3218431.3506523389"/>
    <n v="22760500"/>
    <n v="19542068.649347659"/>
    <n v="2.9000000000000001E-2"/>
    <n v="-68"/>
    <m/>
    <m/>
    <n v="0"/>
    <n v="1446.3009999999999"/>
    <n v="11025"/>
    <m/>
    <n v="11025"/>
    <n v="315"/>
    <n v="0"/>
    <n v="4.9058704109589044"/>
    <n v="319.90587041095893"/>
    <x v="0"/>
  </r>
  <r>
    <x v="2"/>
    <n v="1"/>
    <x v="0"/>
    <d v="2026-07-10T00:00:00"/>
    <x v="0"/>
    <s v="AZÚCAR CRUDO"/>
    <x v="1"/>
    <d v="2026-07-10T00:00:00"/>
    <n v="35000"/>
    <n v="455.58481499999999"/>
    <n v="15945468.525"/>
    <n v="3348548.3902500002"/>
    <n v="19294016.91525"/>
    <m/>
    <n v="0"/>
    <n v="0"/>
    <n v="19294016.91525"/>
    <d v="2026-01-29T00:00:00"/>
    <x v="79"/>
    <n v="33"/>
    <n v="-162"/>
    <m/>
    <d v="2026-07-17T00:00:00"/>
    <x v="28"/>
    <d v="2026-01-29T00:00:00"/>
    <n v="700"/>
    <n v="27562.8813075"/>
    <n v="-0.40864392249999071"/>
    <n v="27562.4726635775"/>
    <n v="354.76826406201371"/>
    <n v="27917.240927639516"/>
    <x v="0"/>
    <x v="0"/>
    <s v="TUCUMAN"/>
    <x v="0"/>
    <n v="32515"/>
    <n v="-4597.7590723604844"/>
    <n v="-0.14140424642043625"/>
    <n v="-3218431.3506523389"/>
    <n v="22760500"/>
    <n v="19542068.649347659"/>
    <n v="2.9000000000000001E-2"/>
    <n v="-68"/>
    <m/>
    <m/>
    <n v="0"/>
    <n v="1446.3009999999999"/>
    <n v="11025"/>
    <m/>
    <n v="11025"/>
    <n v="315"/>
    <n v="0"/>
    <n v="4.9058704109589044"/>
    <n v="319.90587041095893"/>
    <x v="0"/>
  </r>
  <r>
    <x v="2"/>
    <n v="1"/>
    <x v="0"/>
    <d v="2026-07-10T00:00:00"/>
    <x v="0"/>
    <s v="AZÚCAR CRUDO"/>
    <x v="1"/>
    <d v="2026-07-10T00:00:00"/>
    <n v="35000"/>
    <n v="455.58481499999999"/>
    <n v="15945468.525"/>
    <n v="3348548.3902500002"/>
    <n v="19294016.91525"/>
    <m/>
    <n v="0"/>
    <n v="0"/>
    <n v="19294016.91525"/>
    <d v="2026-01-29T00:00:00"/>
    <x v="79"/>
    <n v="33"/>
    <n v="-162"/>
    <m/>
    <d v="2026-07-17T00:00:00"/>
    <x v="28"/>
    <d v="2026-01-29T00:00:00"/>
    <n v="700"/>
    <n v="27562.8813075"/>
    <n v="-0.40864392249999071"/>
    <n v="27562.4726635775"/>
    <n v="354.76826406201371"/>
    <n v="27917.240927639516"/>
    <x v="0"/>
    <x v="0"/>
    <s v="TUCUMAN"/>
    <x v="0"/>
    <n v="32515"/>
    <n v="-4597.7590723604844"/>
    <n v="-0.14140424642043625"/>
    <n v="-3218431.3506523389"/>
    <n v="22760500"/>
    <n v="19542068.649347659"/>
    <n v="2.9000000000000001E-2"/>
    <n v="-68"/>
    <m/>
    <m/>
    <n v="0"/>
    <n v="1446.3009999999999"/>
    <n v="11025"/>
    <m/>
    <n v="11025"/>
    <n v="315"/>
    <n v="0"/>
    <n v="4.9058704109589044"/>
    <n v="319.90587041095893"/>
    <x v="0"/>
  </r>
  <r>
    <x v="2"/>
    <n v="1"/>
    <x v="0"/>
    <d v="2026-07-10T00:00:00"/>
    <x v="0"/>
    <s v="AZÚCAR CRUDO"/>
    <x v="1"/>
    <d v="2026-07-10T00:00:00"/>
    <n v="35000"/>
    <n v="455.58481499999999"/>
    <n v="15945468.525"/>
    <n v="3348548.3902500002"/>
    <n v="19294016.91525"/>
    <m/>
    <n v="0"/>
    <n v="0"/>
    <n v="19294016.91525"/>
    <d v="2026-01-29T00:00:00"/>
    <x v="79"/>
    <n v="33"/>
    <n v="-162"/>
    <m/>
    <d v="2026-07-17T00:00:00"/>
    <x v="28"/>
    <d v="2026-01-29T00:00:00"/>
    <n v="700"/>
    <n v="27562.8813075"/>
    <n v="-0.40864392249999071"/>
    <n v="27562.4726635775"/>
    <n v="354.76826406201371"/>
    <n v="27917.240927639516"/>
    <x v="0"/>
    <x v="0"/>
    <s v="TUCUMAN"/>
    <x v="0"/>
    <n v="32515"/>
    <n v="-4597.7590723604844"/>
    <n v="-0.14140424642043625"/>
    <n v="-3218431.3506523389"/>
    <n v="22760500"/>
    <n v="19542068.649347659"/>
    <n v="2.9000000000000001E-2"/>
    <n v="-68"/>
    <m/>
    <m/>
    <n v="0"/>
    <n v="1446.3009999999999"/>
    <n v="11025"/>
    <m/>
    <n v="11025"/>
    <n v="315"/>
    <n v="0"/>
    <n v="4.9058704109589044"/>
    <n v="319.90587041095893"/>
    <x v="0"/>
  </r>
  <r>
    <x v="2"/>
    <n v="1"/>
    <x v="0"/>
    <d v="2026-07-11T00:00:00"/>
    <x v="0"/>
    <s v="AZÚCAR CRUDO"/>
    <x v="1"/>
    <d v="2026-07-11T00:00:00"/>
    <n v="35000"/>
    <n v="455.58481499999999"/>
    <n v="15945468.525"/>
    <n v="3348548.3902500002"/>
    <n v="19294016.91525"/>
    <m/>
    <n v="0"/>
    <n v="0"/>
    <n v="19294016.91525"/>
    <d v="2026-01-29T00:00:00"/>
    <x v="54"/>
    <n v="34"/>
    <n v="-163"/>
    <m/>
    <d v="2026-07-18T00:00:00"/>
    <x v="28"/>
    <d v="2026-01-29T00:00:00"/>
    <n v="700"/>
    <n v="27562.8813075"/>
    <n v="-0.40864392249999071"/>
    <n v="27562.4726635775"/>
    <n v="356.95819161795208"/>
    <n v="27919.430855195453"/>
    <x v="0"/>
    <x v="0"/>
    <s v="TUCUMAN"/>
    <x v="0"/>
    <n v="32515"/>
    <n v="-4595.5691448045472"/>
    <n v="-0.14133689511931558"/>
    <n v="-3216898.4013631833"/>
    <n v="22760500"/>
    <n v="19543601.598636817"/>
    <n v="2.9000000000000001E-2"/>
    <n v="-68"/>
    <m/>
    <m/>
    <n v="0"/>
    <n v="1446.3009999999999"/>
    <n v="11025"/>
    <m/>
    <n v="11025"/>
    <n v="315"/>
    <n v="0"/>
    <n v="4.9361535616438363"/>
    <n v="319.93615356164383"/>
    <x v="0"/>
  </r>
  <r>
    <x v="2"/>
    <n v="1"/>
    <x v="0"/>
    <d v="2026-07-11T00:00:00"/>
    <x v="0"/>
    <s v="AZÚCAR CRUDO"/>
    <x v="1"/>
    <d v="2026-07-11T00:00:00"/>
    <n v="35000"/>
    <n v="455.58481499999999"/>
    <n v="15945468.525"/>
    <n v="3348548.3902500002"/>
    <n v="19294016.91525"/>
    <m/>
    <n v="0"/>
    <n v="0"/>
    <n v="19294016.91525"/>
    <d v="2026-01-29T00:00:00"/>
    <x v="54"/>
    <n v="34"/>
    <n v="-163"/>
    <m/>
    <d v="2026-07-18T00:00:00"/>
    <x v="28"/>
    <d v="2026-01-29T00:00:00"/>
    <n v="700"/>
    <n v="27562.8813075"/>
    <n v="-0.40864392249999071"/>
    <n v="27562.4726635775"/>
    <n v="356.95819161795208"/>
    <n v="27919.430855195453"/>
    <x v="0"/>
    <x v="0"/>
    <s v="TUCUMAN"/>
    <x v="0"/>
    <n v="32515"/>
    <n v="-4595.5691448045472"/>
    <n v="-0.14133689511931558"/>
    <n v="-3216898.4013631833"/>
    <n v="22760500"/>
    <n v="19543601.598636817"/>
    <n v="2.9000000000000001E-2"/>
    <n v="-68"/>
    <m/>
    <m/>
    <n v="0"/>
    <n v="1446.3009999999999"/>
    <n v="11025"/>
    <m/>
    <n v="11025"/>
    <n v="315"/>
    <n v="0"/>
    <n v="4.9361535616438363"/>
    <n v="319.93615356164383"/>
    <x v="0"/>
  </r>
  <r>
    <x v="2"/>
    <n v="1"/>
    <x v="0"/>
    <d v="2026-07-11T00:00:00"/>
    <x v="0"/>
    <s v="AZÚCAR CRUDO"/>
    <x v="1"/>
    <d v="2026-07-11T00:00:00"/>
    <n v="35000"/>
    <n v="455.58481499999999"/>
    <n v="15945468.525"/>
    <n v="3348548.3902500002"/>
    <n v="19294016.91525"/>
    <m/>
    <n v="0"/>
    <n v="0"/>
    <n v="19294016.91525"/>
    <d v="2026-01-29T00:00:00"/>
    <x v="54"/>
    <n v="34"/>
    <n v="-163"/>
    <m/>
    <d v="2026-07-18T00:00:00"/>
    <x v="28"/>
    <d v="2026-01-29T00:00:00"/>
    <n v="700"/>
    <n v="27562.8813075"/>
    <n v="-0.40864392249999071"/>
    <n v="27562.4726635775"/>
    <n v="356.95819161795208"/>
    <n v="27919.430855195453"/>
    <x v="0"/>
    <x v="0"/>
    <s v="TUCUMAN"/>
    <x v="0"/>
    <n v="32515"/>
    <n v="-4595.5691448045472"/>
    <n v="-0.14133689511931558"/>
    <n v="-3216898.4013631833"/>
    <n v="22760500"/>
    <n v="19543601.598636817"/>
    <n v="2.9000000000000001E-2"/>
    <n v="-68"/>
    <m/>
    <m/>
    <n v="0"/>
    <n v="1446.3009999999999"/>
    <n v="11025"/>
    <m/>
    <n v="11025"/>
    <n v="315"/>
    <n v="0"/>
    <n v="4.9361535616438363"/>
    <n v="319.93615356164383"/>
    <x v="0"/>
  </r>
  <r>
    <x v="2"/>
    <n v="1"/>
    <x v="0"/>
    <d v="2026-07-12T00:00:00"/>
    <x v="0"/>
    <s v="AZÚCAR CRUDO"/>
    <x v="1"/>
    <d v="2026-07-12T00:00:00"/>
    <n v="35000"/>
    <n v="455.58481499999999"/>
    <n v="15945468.525"/>
    <n v="3348548.3902500002"/>
    <n v="19294016.91525"/>
    <m/>
    <n v="0"/>
    <n v="0"/>
    <n v="19294016.91525"/>
    <d v="2026-01-29T00:00:00"/>
    <x v="75"/>
    <n v="35"/>
    <n v="-164"/>
    <m/>
    <d v="2026-07-19T00:00:00"/>
    <x v="28"/>
    <d v="2026-01-29T00:00:00"/>
    <n v="700"/>
    <n v="27562.8813075"/>
    <n v="-0.40864392249999071"/>
    <n v="27562.4726635775"/>
    <n v="359.14811917389039"/>
    <n v="27921.62078275139"/>
    <x v="0"/>
    <x v="0"/>
    <s v="TUCUMAN"/>
    <x v="0"/>
    <n v="32515"/>
    <n v="-4593.3792172486101"/>
    <n v="-0.14126954381819501"/>
    <n v="-3215365.4520740272"/>
    <n v="22760500"/>
    <n v="19545134.547925971"/>
    <n v="2.9000000000000001E-2"/>
    <n v="-68"/>
    <m/>
    <m/>
    <n v="0"/>
    <n v="1446.3009999999999"/>
    <n v="11025"/>
    <m/>
    <n v="11025"/>
    <n v="315"/>
    <n v="0"/>
    <n v="4.9664367123287674"/>
    <n v="319.96643671232874"/>
    <x v="0"/>
  </r>
  <r>
    <x v="2"/>
    <n v="1"/>
    <x v="0"/>
    <d v="2026-07-12T00:00:00"/>
    <x v="0"/>
    <s v="AZÚCAR CRUDO"/>
    <x v="1"/>
    <d v="2026-07-12T00:00:00"/>
    <n v="35000"/>
    <n v="455.58481499999999"/>
    <n v="15945468.525"/>
    <n v="3348548.3902500002"/>
    <n v="19294016.91525"/>
    <m/>
    <n v="0"/>
    <n v="0"/>
    <n v="19294016.91525"/>
    <d v="2026-01-29T00:00:00"/>
    <x v="75"/>
    <n v="35"/>
    <n v="-164"/>
    <m/>
    <d v="2026-07-19T00:00:00"/>
    <x v="28"/>
    <d v="2026-01-29T00:00:00"/>
    <n v="700"/>
    <n v="27562.8813075"/>
    <n v="-0.40864392249999071"/>
    <n v="27562.4726635775"/>
    <n v="359.14811917389039"/>
    <n v="27921.62078275139"/>
    <x v="0"/>
    <x v="0"/>
    <s v="TUCUMAN"/>
    <x v="0"/>
    <n v="32515"/>
    <n v="-4593.3792172486101"/>
    <n v="-0.14126954381819501"/>
    <n v="-3215365.4520740272"/>
    <n v="22760500"/>
    <n v="19545134.547925971"/>
    <n v="2.9000000000000001E-2"/>
    <n v="-68"/>
    <m/>
    <m/>
    <n v="0"/>
    <n v="1446.3009999999999"/>
    <n v="11025"/>
    <m/>
    <n v="11025"/>
    <n v="315"/>
    <n v="0"/>
    <n v="4.9664367123287674"/>
    <n v="319.96643671232874"/>
    <x v="0"/>
  </r>
  <r>
    <x v="2"/>
    <n v="1"/>
    <x v="0"/>
    <d v="2026-07-12T00:00:00"/>
    <x v="0"/>
    <s v="AZÚCAR CRUDO"/>
    <x v="1"/>
    <d v="2026-07-12T00:00:00"/>
    <n v="35000"/>
    <n v="455.58481499999999"/>
    <n v="15945468.525"/>
    <n v="3348548.3902500002"/>
    <n v="19294016.91525"/>
    <m/>
    <n v="0"/>
    <n v="0"/>
    <n v="19294016.91525"/>
    <d v="2026-01-29T00:00:00"/>
    <x v="75"/>
    <n v="35"/>
    <n v="-164"/>
    <m/>
    <d v="2026-07-19T00:00:00"/>
    <x v="28"/>
    <d v="2026-01-29T00:00:00"/>
    <n v="700"/>
    <n v="27562.8813075"/>
    <n v="-0.40864392249999071"/>
    <n v="27562.4726635775"/>
    <n v="359.14811917389039"/>
    <n v="27921.62078275139"/>
    <x v="0"/>
    <x v="0"/>
    <s v="TUCUMAN"/>
    <x v="0"/>
    <n v="32515"/>
    <n v="-4593.3792172486101"/>
    <n v="-0.14126954381819501"/>
    <n v="-3215365.4520740272"/>
    <n v="22760500"/>
    <n v="19545134.547925971"/>
    <n v="2.9000000000000001E-2"/>
    <n v="-68"/>
    <m/>
    <m/>
    <n v="0"/>
    <n v="1446.3009999999999"/>
    <n v="11025"/>
    <m/>
    <n v="11025"/>
    <n v="315"/>
    <n v="0"/>
    <n v="4.9664367123287674"/>
    <n v="319.96643671232874"/>
    <x v="0"/>
  </r>
  <r>
    <x v="2"/>
    <n v="1"/>
    <x v="0"/>
    <d v="2026-07-13T00:00:00"/>
    <x v="0"/>
    <s v="AZÚCAR CRUDO"/>
    <x v="1"/>
    <d v="2026-07-13T00:00:00"/>
    <n v="35000"/>
    <n v="455.58481499999999"/>
    <n v="15945468.525"/>
    <n v="3348548.3902500002"/>
    <n v="19294016.91525"/>
    <m/>
    <n v="0"/>
    <n v="0"/>
    <n v="19294016.91525"/>
    <d v="2026-01-29T00:00:00"/>
    <x v="80"/>
    <n v="36"/>
    <n v="-165"/>
    <m/>
    <d v="2026-07-20T00:00:00"/>
    <x v="28"/>
    <d v="2026-01-29T00:00:00"/>
    <n v="700"/>
    <n v="27562.8813075"/>
    <n v="-0.40864392249999071"/>
    <n v="27562.4726635775"/>
    <n v="361.33804672982876"/>
    <n v="27923.810710307331"/>
    <x v="0"/>
    <x v="0"/>
    <s v="TUCUMAN"/>
    <x v="0"/>
    <n v="32515"/>
    <n v="-4591.1892896926693"/>
    <n v="-0.14120219251707422"/>
    <n v="-3213832.5027848687"/>
    <n v="22760500"/>
    <n v="19546667.497215133"/>
    <n v="2.9000000000000001E-2"/>
    <n v="-68"/>
    <m/>
    <m/>
    <n v="0"/>
    <n v="1446.3009999999999"/>
    <n v="11025"/>
    <m/>
    <n v="11025"/>
    <n v="315"/>
    <n v="0"/>
    <n v="4.9967198630136993"/>
    <n v="319.99671986301371"/>
    <x v="0"/>
  </r>
  <r>
    <x v="2"/>
    <n v="1"/>
    <x v="0"/>
    <d v="2026-07-13T00:00:00"/>
    <x v="0"/>
    <s v="AZÚCAR CRUDO"/>
    <x v="1"/>
    <d v="2026-07-13T00:00:00"/>
    <n v="35000"/>
    <n v="455.58481499999999"/>
    <n v="15945468.525"/>
    <n v="3348548.3902500002"/>
    <n v="19294016.91525"/>
    <m/>
    <n v="0"/>
    <n v="0"/>
    <n v="19294016.91525"/>
    <d v="2026-01-29T00:00:00"/>
    <x v="80"/>
    <n v="36"/>
    <n v="-165"/>
    <m/>
    <d v="2026-07-20T00:00:00"/>
    <x v="28"/>
    <d v="2026-01-29T00:00:00"/>
    <n v="700"/>
    <n v="27562.8813075"/>
    <n v="-0.40864392249999071"/>
    <n v="27562.4726635775"/>
    <n v="361.33804672982876"/>
    <n v="27923.810710307331"/>
    <x v="0"/>
    <x v="0"/>
    <s v="TUCUMAN"/>
    <x v="0"/>
    <n v="32515"/>
    <n v="-4591.1892896926693"/>
    <n v="-0.14120219251707422"/>
    <n v="-3213832.5027848687"/>
    <n v="22760500"/>
    <n v="19546667.497215133"/>
    <n v="2.9000000000000001E-2"/>
    <n v="-68"/>
    <m/>
    <m/>
    <n v="0"/>
    <n v="1446.3009999999999"/>
    <n v="11025"/>
    <m/>
    <n v="11025"/>
    <n v="315"/>
    <n v="0"/>
    <n v="4.9967198630136993"/>
    <n v="319.99671986301371"/>
    <x v="0"/>
  </r>
  <r>
    <x v="2"/>
    <n v="1"/>
    <x v="0"/>
    <d v="2026-07-13T00:00:00"/>
    <x v="0"/>
    <s v="AZÚCAR CRUDO"/>
    <x v="1"/>
    <d v="2026-07-13T00:00:00"/>
    <n v="35000"/>
    <n v="455.58481499999999"/>
    <n v="15945468.525"/>
    <n v="3348548.3902500002"/>
    <n v="19294016.91525"/>
    <m/>
    <n v="0"/>
    <n v="0"/>
    <n v="19294016.91525"/>
    <d v="2026-01-29T00:00:00"/>
    <x v="80"/>
    <n v="36"/>
    <n v="-165"/>
    <m/>
    <d v="2026-07-20T00:00:00"/>
    <x v="28"/>
    <d v="2026-01-29T00:00:00"/>
    <n v="700"/>
    <n v="27562.8813075"/>
    <n v="-0.40864392249999071"/>
    <n v="27562.4726635775"/>
    <n v="361.33804672982876"/>
    <n v="27923.810710307331"/>
    <x v="0"/>
    <x v="0"/>
    <s v="TUCUMAN"/>
    <x v="0"/>
    <n v="32515"/>
    <n v="-4591.1892896926693"/>
    <n v="-0.14120219251707422"/>
    <n v="-3213832.5027848687"/>
    <n v="22760500"/>
    <n v="19546667.497215133"/>
    <n v="2.9000000000000001E-2"/>
    <n v="-68"/>
    <m/>
    <m/>
    <n v="0"/>
    <n v="1446.3009999999999"/>
    <n v="11025"/>
    <m/>
    <n v="11025"/>
    <n v="315"/>
    <n v="0"/>
    <n v="4.9967198630136993"/>
    <n v="319.99671986301371"/>
    <x v="0"/>
  </r>
  <r>
    <x v="2"/>
    <n v="1"/>
    <x v="0"/>
    <d v="2026-07-13T00:00:00"/>
    <x v="0"/>
    <s v="AZÚCAR CRUDO"/>
    <x v="1"/>
    <d v="2026-07-13T00:00:00"/>
    <n v="35000"/>
    <n v="455.58481499999999"/>
    <n v="15945468.525"/>
    <n v="3348548.3902500002"/>
    <n v="19294016.91525"/>
    <m/>
    <n v="0"/>
    <n v="0"/>
    <n v="19294016.91525"/>
    <d v="2026-01-29T00:00:00"/>
    <x v="80"/>
    <n v="36"/>
    <n v="-165"/>
    <m/>
    <d v="2026-07-20T00:00:00"/>
    <x v="28"/>
    <d v="2026-01-29T00:00:00"/>
    <n v="700"/>
    <n v="27562.8813075"/>
    <n v="-0.40864392249999071"/>
    <n v="27562.4726635775"/>
    <n v="361.33804672982876"/>
    <n v="27923.810710307331"/>
    <x v="0"/>
    <x v="0"/>
    <s v="TUCUMAN"/>
    <x v="0"/>
    <n v="32515"/>
    <n v="-4591.1892896926693"/>
    <n v="-0.14120219251707422"/>
    <n v="-3213832.5027848687"/>
    <n v="22760500"/>
    <n v="19546667.497215133"/>
    <n v="2.9000000000000001E-2"/>
    <n v="-68"/>
    <m/>
    <m/>
    <n v="0"/>
    <n v="1446.3009999999999"/>
    <n v="11025"/>
    <m/>
    <n v="11025"/>
    <n v="315"/>
    <n v="0"/>
    <n v="4.9967198630136993"/>
    <n v="319.99671986301371"/>
    <x v="0"/>
  </r>
  <r>
    <x v="2"/>
    <n v="1"/>
    <x v="0"/>
    <d v="2026-07-14T00:00:00"/>
    <x v="0"/>
    <s v="AZÚCAR CRUDO"/>
    <x v="1"/>
    <d v="2026-07-14T00:00:00"/>
    <n v="35000"/>
    <n v="455.58481499999999"/>
    <n v="15945468.525"/>
    <n v="3348548.3902500002"/>
    <n v="19294016.91525"/>
    <m/>
    <n v="0"/>
    <n v="0"/>
    <n v="19294016.91525"/>
    <d v="2026-01-29T00:00:00"/>
    <x v="81"/>
    <n v="37"/>
    <n v="-166"/>
    <m/>
    <d v="2026-07-21T00:00:00"/>
    <x v="28"/>
    <d v="2026-01-29T00:00:00"/>
    <n v="700"/>
    <n v="27562.8813075"/>
    <n v="-0.40864392249999071"/>
    <n v="27562.4726635775"/>
    <n v="363.52797428576713"/>
    <n v="27926.000637863268"/>
    <x v="0"/>
    <x v="0"/>
    <s v="TUCUMAN"/>
    <x v="0"/>
    <n v="32515"/>
    <n v="-4588.9993621367321"/>
    <n v="-0.14113484121595365"/>
    <n v="-3212299.5534957126"/>
    <n v="22760500"/>
    <n v="19548200.446504287"/>
    <n v="2.9000000000000001E-2"/>
    <n v="-68"/>
    <m/>
    <m/>
    <n v="0"/>
    <n v="1446.3009999999999"/>
    <n v="11025"/>
    <m/>
    <n v="11025"/>
    <n v="315"/>
    <n v="0"/>
    <n v="5.0270030136986303"/>
    <n v="320.02700301369862"/>
    <x v="0"/>
  </r>
  <r>
    <x v="2"/>
    <n v="1"/>
    <x v="0"/>
    <d v="2026-07-14T00:00:00"/>
    <x v="0"/>
    <s v="AZÚCAR CRUDO"/>
    <x v="1"/>
    <d v="2026-07-14T00:00:00"/>
    <n v="35000"/>
    <n v="455.58481499999999"/>
    <n v="15945468.525"/>
    <n v="3348548.3902500002"/>
    <n v="19294016.91525"/>
    <m/>
    <n v="0"/>
    <n v="0"/>
    <n v="19294016.91525"/>
    <d v="2026-01-29T00:00:00"/>
    <x v="81"/>
    <n v="37"/>
    <n v="-166"/>
    <m/>
    <d v="2026-07-21T00:00:00"/>
    <x v="28"/>
    <d v="2026-01-29T00:00:00"/>
    <n v="700"/>
    <n v="27562.8813075"/>
    <n v="-0.40864392249999071"/>
    <n v="27562.4726635775"/>
    <n v="363.52797428576713"/>
    <n v="27926.000637863268"/>
    <x v="0"/>
    <x v="0"/>
    <s v="TUCUMAN"/>
    <x v="0"/>
    <n v="32515"/>
    <n v="-4588.9993621367321"/>
    <n v="-0.14113484121595365"/>
    <n v="-3212299.5534957126"/>
    <n v="22760500"/>
    <n v="19548200.446504287"/>
    <n v="2.9000000000000001E-2"/>
    <n v="-68"/>
    <m/>
    <m/>
    <n v="0"/>
    <n v="1446.3009999999999"/>
    <n v="11025"/>
    <m/>
    <n v="11025"/>
    <n v="315"/>
    <n v="0"/>
    <n v="5.0270030136986303"/>
    <n v="320.02700301369862"/>
    <x v="0"/>
  </r>
  <r>
    <x v="2"/>
    <n v="1"/>
    <x v="0"/>
    <d v="2026-07-14T00:00:00"/>
    <x v="0"/>
    <s v="AZÚCAR CRUDO"/>
    <x v="1"/>
    <d v="2026-07-14T00:00:00"/>
    <n v="35000"/>
    <n v="455.58481499999999"/>
    <n v="15945468.525"/>
    <n v="3348548.3902500002"/>
    <n v="19294016.91525"/>
    <m/>
    <n v="0"/>
    <n v="0"/>
    <n v="19294016.91525"/>
    <d v="2026-01-29T00:00:00"/>
    <x v="81"/>
    <n v="37"/>
    <n v="-166"/>
    <m/>
    <d v="2026-07-21T00:00:00"/>
    <x v="28"/>
    <d v="2026-01-29T00:00:00"/>
    <n v="700"/>
    <n v="27562.8813075"/>
    <n v="-0.40864392249999071"/>
    <n v="27562.4726635775"/>
    <n v="363.52797428576713"/>
    <n v="27926.000637863268"/>
    <x v="0"/>
    <x v="0"/>
    <s v="TUCUMAN"/>
    <x v="0"/>
    <n v="32515"/>
    <n v="-4588.9993621367321"/>
    <n v="-0.14113484121595365"/>
    <n v="-3212299.5534957126"/>
    <n v="22760500"/>
    <n v="19548200.446504287"/>
    <n v="2.9000000000000001E-2"/>
    <n v="-68"/>
    <m/>
    <m/>
    <n v="0"/>
    <n v="1446.3009999999999"/>
    <n v="11025"/>
    <m/>
    <n v="11025"/>
    <n v="315"/>
    <n v="0"/>
    <n v="5.0270030136986303"/>
    <n v="320.02700301369862"/>
    <x v="0"/>
  </r>
  <r>
    <x v="2"/>
    <n v="1"/>
    <x v="0"/>
    <d v="2026-07-14T00:00:00"/>
    <x v="0"/>
    <s v="AZÚCAR CRUDO"/>
    <x v="1"/>
    <d v="2026-07-14T00:00:00"/>
    <n v="35000"/>
    <n v="455.58481499999999"/>
    <n v="15945468.525"/>
    <n v="3348548.3902500002"/>
    <n v="19294016.91525"/>
    <m/>
    <n v="0"/>
    <n v="0"/>
    <n v="19294016.91525"/>
    <d v="2026-01-29T00:00:00"/>
    <x v="81"/>
    <n v="37"/>
    <n v="-166"/>
    <m/>
    <d v="2026-07-21T00:00:00"/>
    <x v="28"/>
    <d v="2026-01-29T00:00:00"/>
    <n v="700"/>
    <n v="27562.8813075"/>
    <n v="-0.40864392249999071"/>
    <n v="27562.4726635775"/>
    <n v="363.52797428576713"/>
    <n v="27926.000637863268"/>
    <x v="0"/>
    <x v="0"/>
    <s v="TUCUMAN"/>
    <x v="0"/>
    <n v="32515"/>
    <n v="-4588.9993621367321"/>
    <n v="-0.14113484121595365"/>
    <n v="-3212299.5534957126"/>
    <n v="22760500"/>
    <n v="19548200.446504287"/>
    <n v="2.9000000000000001E-2"/>
    <n v="-68"/>
    <m/>
    <m/>
    <n v="0"/>
    <n v="1446.3009999999999"/>
    <n v="11025"/>
    <m/>
    <n v="11025"/>
    <n v="315"/>
    <n v="0"/>
    <n v="5.0270030136986303"/>
    <n v="320.02700301369862"/>
    <x v="0"/>
  </r>
  <r>
    <x v="2"/>
    <n v="1"/>
    <x v="0"/>
    <d v="2026-07-15T00:00:00"/>
    <x v="0"/>
    <s v="AZÚCAR CRUDO"/>
    <x v="1"/>
    <d v="2026-07-15T00:00:00"/>
    <n v="35000"/>
    <n v="455.58481499999999"/>
    <n v="15945468.525"/>
    <n v="3348548.3902500002"/>
    <n v="19294016.91525"/>
    <m/>
    <n v="0"/>
    <n v="0"/>
    <n v="19294016.91525"/>
    <d v="2026-01-29T00:00:00"/>
    <x v="72"/>
    <n v="38"/>
    <n v="-167"/>
    <m/>
    <d v="2026-07-22T00:00:00"/>
    <x v="28"/>
    <d v="2026-01-29T00:00:00"/>
    <n v="700"/>
    <n v="27562.8813075"/>
    <n v="-0.40864392249999071"/>
    <n v="27562.4726635775"/>
    <n v="365.7179018417055"/>
    <n v="27928.190565419205"/>
    <x v="0"/>
    <x v="0"/>
    <s v="TUCUMAN"/>
    <x v="0"/>
    <n v="32515"/>
    <n v="-4586.8094345807949"/>
    <n v="-0.14106748991483298"/>
    <n v="-3210766.6042065565"/>
    <n v="22760500"/>
    <n v="19549733.395793445"/>
    <n v="2.9000000000000001E-2"/>
    <n v="-68"/>
    <m/>
    <m/>
    <n v="0"/>
    <n v="1446.3009999999999"/>
    <n v="11025"/>
    <m/>
    <n v="11025"/>
    <n v="315"/>
    <n v="0"/>
    <n v="5.0572861643835623"/>
    <n v="320.05728616438358"/>
    <x v="0"/>
  </r>
  <r>
    <x v="2"/>
    <n v="1"/>
    <x v="0"/>
    <d v="2026-07-15T00:00:00"/>
    <x v="0"/>
    <s v="AZÚCAR CRUDO"/>
    <x v="1"/>
    <d v="2026-07-15T00:00:00"/>
    <n v="35000"/>
    <n v="455.58481499999999"/>
    <n v="15945468.525"/>
    <n v="3348548.3902500002"/>
    <n v="19294016.91525"/>
    <m/>
    <n v="0"/>
    <n v="0"/>
    <n v="19294016.91525"/>
    <d v="2026-01-29T00:00:00"/>
    <x v="72"/>
    <n v="38"/>
    <n v="-167"/>
    <m/>
    <d v="2026-07-22T00:00:00"/>
    <x v="28"/>
    <d v="2026-01-29T00:00:00"/>
    <n v="700"/>
    <n v="27562.8813075"/>
    <n v="-0.40864392249999071"/>
    <n v="27562.4726635775"/>
    <n v="365.7179018417055"/>
    <n v="27928.190565419205"/>
    <x v="0"/>
    <x v="0"/>
    <s v="TUCUMAN"/>
    <x v="0"/>
    <n v="32515"/>
    <n v="-4586.8094345807949"/>
    <n v="-0.14106748991483298"/>
    <n v="-3210766.6042065565"/>
    <n v="22760500"/>
    <n v="19549733.395793445"/>
    <n v="2.9000000000000001E-2"/>
    <n v="-68"/>
    <m/>
    <m/>
    <n v="0"/>
    <n v="1446.3009999999999"/>
    <n v="11025"/>
    <m/>
    <n v="11025"/>
    <n v="315"/>
    <n v="0"/>
    <n v="5.0572861643835623"/>
    <n v="320.05728616438358"/>
    <x v="0"/>
  </r>
  <r>
    <x v="2"/>
    <n v="1"/>
    <x v="0"/>
    <d v="2026-07-15T00:00:00"/>
    <x v="0"/>
    <s v="AZÚCAR CRUDO"/>
    <x v="1"/>
    <d v="2026-07-15T00:00:00"/>
    <n v="35000"/>
    <n v="455.58481499999999"/>
    <n v="15945468.525"/>
    <n v="3348548.3902500002"/>
    <n v="19294016.91525"/>
    <m/>
    <n v="0"/>
    <n v="0"/>
    <n v="19294016.91525"/>
    <d v="2026-01-29T00:00:00"/>
    <x v="72"/>
    <n v="38"/>
    <n v="-167"/>
    <m/>
    <d v="2026-07-22T00:00:00"/>
    <x v="28"/>
    <d v="2026-01-29T00:00:00"/>
    <n v="700"/>
    <n v="27562.8813075"/>
    <n v="-0.40864392249999071"/>
    <n v="27562.4726635775"/>
    <n v="365.7179018417055"/>
    <n v="27928.190565419205"/>
    <x v="0"/>
    <x v="0"/>
    <s v="TUCUMAN"/>
    <x v="0"/>
    <n v="32515"/>
    <n v="-4586.8094345807949"/>
    <n v="-0.14106748991483298"/>
    <n v="-3210766.6042065565"/>
    <n v="22760500"/>
    <n v="19549733.395793445"/>
    <n v="2.9000000000000001E-2"/>
    <n v="-68"/>
    <m/>
    <m/>
    <n v="0"/>
    <n v="1446.3009999999999"/>
    <n v="11025"/>
    <m/>
    <n v="11025"/>
    <n v="315"/>
    <n v="0"/>
    <n v="5.0572861643835623"/>
    <n v="320.05728616438358"/>
    <x v="0"/>
  </r>
  <r>
    <x v="2"/>
    <n v="1"/>
    <x v="0"/>
    <d v="2026-07-15T00:00:00"/>
    <x v="0"/>
    <s v="AZÚCAR CRUDO"/>
    <x v="1"/>
    <d v="2026-07-15T00:00:00"/>
    <n v="35000"/>
    <n v="455.58481499999999"/>
    <n v="15945468.525"/>
    <n v="3348548.3902500002"/>
    <n v="19294016.91525"/>
    <m/>
    <n v="0"/>
    <n v="0"/>
    <n v="19294016.91525"/>
    <d v="2026-01-29T00:00:00"/>
    <x v="72"/>
    <n v="38"/>
    <n v="-167"/>
    <m/>
    <d v="2026-07-22T00:00:00"/>
    <x v="28"/>
    <d v="2026-01-29T00:00:00"/>
    <n v="700"/>
    <n v="27562.8813075"/>
    <n v="-0.40864392249999071"/>
    <n v="27562.4726635775"/>
    <n v="365.7179018417055"/>
    <n v="27928.190565419205"/>
    <x v="0"/>
    <x v="0"/>
    <s v="TUCUMAN"/>
    <x v="0"/>
    <n v="32515"/>
    <n v="-4586.8094345807949"/>
    <n v="-0.14106748991483298"/>
    <n v="-3210766.6042065565"/>
    <n v="22760500"/>
    <n v="19549733.395793445"/>
    <n v="2.9000000000000001E-2"/>
    <n v="-68"/>
    <m/>
    <m/>
    <n v="0"/>
    <n v="1446.3009999999999"/>
    <n v="11025"/>
    <m/>
    <n v="11025"/>
    <n v="315"/>
    <n v="0"/>
    <n v="5.0572861643835623"/>
    <n v="320.05728616438358"/>
    <x v="0"/>
  </r>
  <r>
    <x v="2"/>
    <n v="1"/>
    <x v="0"/>
    <d v="2026-07-16T00:00:00"/>
    <x v="0"/>
    <s v="AZÚCAR CRUDO"/>
    <x v="1"/>
    <d v="2026-07-16T00:00:00"/>
    <n v="35000"/>
    <n v="455.58481499999999"/>
    <n v="15945468.525"/>
    <n v="3348548.3902500002"/>
    <n v="19294016.91525"/>
    <m/>
    <n v="0"/>
    <n v="0"/>
    <n v="19294016.91525"/>
    <d v="2026-01-29T00:00:00"/>
    <x v="55"/>
    <n v="39"/>
    <n v="-168"/>
    <m/>
    <d v="2026-07-23T00:00:00"/>
    <x v="28"/>
    <d v="2026-01-29T00:00:00"/>
    <n v="700"/>
    <n v="27562.8813075"/>
    <n v="-0.40864392249999071"/>
    <n v="27562.4726635775"/>
    <n v="367.90782939764387"/>
    <n v="27930.380492975146"/>
    <x v="0"/>
    <x v="0"/>
    <s v="TUCUMAN"/>
    <x v="0"/>
    <n v="32515"/>
    <n v="-4584.6195070248541"/>
    <n v="-0.1410001386137123"/>
    <n v="-3209233.654917398"/>
    <n v="22760500"/>
    <n v="19551266.345082603"/>
    <n v="2.9000000000000001E-2"/>
    <n v="-68"/>
    <m/>
    <m/>
    <n v="0"/>
    <n v="1446.3009999999999"/>
    <n v="11025"/>
    <m/>
    <n v="11025"/>
    <n v="315"/>
    <n v="0"/>
    <n v="5.0875693150684933"/>
    <n v="320.08756931506849"/>
    <x v="0"/>
  </r>
  <r>
    <x v="2"/>
    <n v="1"/>
    <x v="0"/>
    <d v="2026-07-16T00:00:00"/>
    <x v="0"/>
    <s v="AZÚCAR CRUDO"/>
    <x v="1"/>
    <d v="2026-07-16T00:00:00"/>
    <n v="35000"/>
    <n v="455.58481499999999"/>
    <n v="15945468.525"/>
    <n v="3348548.3902500002"/>
    <n v="19294016.91525"/>
    <m/>
    <n v="0"/>
    <n v="0"/>
    <n v="19294016.91525"/>
    <d v="2026-01-29T00:00:00"/>
    <x v="55"/>
    <n v="39"/>
    <n v="-168"/>
    <m/>
    <d v="2026-07-23T00:00:00"/>
    <x v="28"/>
    <d v="2026-01-29T00:00:00"/>
    <n v="700"/>
    <n v="27562.8813075"/>
    <n v="-0.40864392249999071"/>
    <n v="27562.4726635775"/>
    <n v="367.90782939764387"/>
    <n v="27930.380492975146"/>
    <x v="0"/>
    <x v="0"/>
    <s v="TUCUMAN"/>
    <x v="0"/>
    <n v="32515"/>
    <n v="-4584.6195070248541"/>
    <n v="-0.1410001386137123"/>
    <n v="-3209233.654917398"/>
    <n v="22760500"/>
    <n v="19551266.345082603"/>
    <n v="2.9000000000000001E-2"/>
    <n v="-68"/>
    <m/>
    <m/>
    <n v="0"/>
    <n v="1446.3009999999999"/>
    <n v="11025"/>
    <m/>
    <n v="11025"/>
    <n v="315"/>
    <n v="0"/>
    <n v="5.0875693150684933"/>
    <n v="320.08756931506849"/>
    <x v="0"/>
  </r>
  <r>
    <x v="2"/>
    <n v="1"/>
    <x v="0"/>
    <d v="2026-07-17T00:00:00"/>
    <x v="0"/>
    <s v="AZÚCAR CRUDO"/>
    <x v="1"/>
    <d v="2026-07-17T00:00:00"/>
    <n v="35000"/>
    <n v="455.58481499999999"/>
    <n v="15945468.525"/>
    <n v="3348548.3902500002"/>
    <n v="19294016.91525"/>
    <m/>
    <n v="0"/>
    <n v="0"/>
    <n v="19294016.91525"/>
    <d v="2026-01-29T00:00:00"/>
    <x v="82"/>
    <n v="40"/>
    <n v="-169"/>
    <m/>
    <d v="2026-07-24T00:00:00"/>
    <x v="28"/>
    <d v="2026-01-29T00:00:00"/>
    <n v="700"/>
    <n v="27562.8813075"/>
    <n v="-0.40864392249999071"/>
    <n v="27562.4726635775"/>
    <n v="370.09775695358218"/>
    <n v="27932.570420531083"/>
    <x v="0"/>
    <x v="0"/>
    <s v="TUCUMAN"/>
    <x v="0"/>
    <n v="32515"/>
    <n v="-4582.4295794689169"/>
    <n v="-0.14093278731259162"/>
    <n v="-3207700.7056282419"/>
    <n v="22760500"/>
    <n v="19552799.294371758"/>
    <n v="2.9000000000000001E-2"/>
    <n v="-68"/>
    <m/>
    <m/>
    <n v="0"/>
    <n v="1446.3009999999999"/>
    <n v="11025"/>
    <m/>
    <n v="11025"/>
    <n v="315"/>
    <n v="0"/>
    <n v="5.1178524657534243"/>
    <n v="320.1178524657534"/>
    <x v="0"/>
  </r>
  <r>
    <x v="2"/>
    <n v="1"/>
    <x v="0"/>
    <d v="2026-07-17T00:00:00"/>
    <x v="0"/>
    <s v="AZÚCAR CRUDO"/>
    <x v="1"/>
    <d v="2026-07-17T00:00:00"/>
    <n v="35000"/>
    <n v="455.58481499999999"/>
    <n v="15945468.525"/>
    <n v="3348548.3902500002"/>
    <n v="19294016.91525"/>
    <m/>
    <n v="0"/>
    <n v="0"/>
    <n v="19294016.91525"/>
    <d v="2026-01-29T00:00:00"/>
    <x v="82"/>
    <n v="40"/>
    <n v="-169"/>
    <m/>
    <d v="2026-07-24T00:00:00"/>
    <x v="28"/>
    <d v="2026-01-29T00:00:00"/>
    <n v="700"/>
    <n v="27562.8813075"/>
    <n v="-0.40864392249999071"/>
    <n v="27562.4726635775"/>
    <n v="370.09775695358218"/>
    <n v="27932.570420531083"/>
    <x v="0"/>
    <x v="0"/>
    <s v="TUCUMAN"/>
    <x v="0"/>
    <n v="32515"/>
    <n v="-4582.4295794689169"/>
    <n v="-0.14093278731259162"/>
    <n v="-3207700.7056282419"/>
    <n v="22760500"/>
    <n v="19552799.294371758"/>
    <n v="2.9000000000000001E-2"/>
    <n v="-68"/>
    <m/>
    <m/>
    <n v="0"/>
    <n v="1446.3009999999999"/>
    <n v="11025"/>
    <m/>
    <n v="11025"/>
    <n v="315"/>
    <n v="0"/>
    <n v="5.1178524657534243"/>
    <n v="320.1178524657534"/>
    <x v="0"/>
  </r>
  <r>
    <x v="2"/>
    <n v="1"/>
    <x v="0"/>
    <d v="2026-07-18T00:00:00"/>
    <x v="0"/>
    <s v="AZÚCAR CRUDO"/>
    <x v="1"/>
    <d v="2026-07-18T00:00:00"/>
    <n v="35000"/>
    <n v="455.58481499999999"/>
    <n v="15945468.525"/>
    <n v="3348548.3902500002"/>
    <n v="19294016.91525"/>
    <m/>
    <n v="0"/>
    <n v="0"/>
    <n v="19294016.91525"/>
    <d v="2026-01-29T00:00:00"/>
    <x v="56"/>
    <n v="41"/>
    <n v="-170"/>
    <m/>
    <d v="2026-07-25T00:00:00"/>
    <x v="28"/>
    <d v="2026-01-29T00:00:00"/>
    <n v="700"/>
    <n v="27562.8813075"/>
    <n v="-0.40864392249999071"/>
    <n v="27562.4726635775"/>
    <n v="372.28768450952055"/>
    <n v="27934.76034808702"/>
    <x v="0"/>
    <x v="0"/>
    <s v="TUCUMAN"/>
    <x v="0"/>
    <n v="32515"/>
    <n v="-4580.2396519129798"/>
    <n v="-0.14086543601147106"/>
    <n v="-3206167.7563390858"/>
    <n v="22760500"/>
    <n v="19554332.243660916"/>
    <n v="2.9000000000000001E-2"/>
    <n v="-68"/>
    <m/>
    <m/>
    <n v="0"/>
    <n v="1446.3009999999999"/>
    <n v="11025"/>
    <m/>
    <n v="11025"/>
    <n v="315"/>
    <n v="0"/>
    <n v="5.1481356164383563"/>
    <n v="320.14813561643837"/>
    <x v="0"/>
  </r>
  <r>
    <x v="2"/>
    <n v="1"/>
    <x v="0"/>
    <d v="2026-07-18T00:00:00"/>
    <x v="0"/>
    <s v="AZÚCAR CRUDO"/>
    <x v="1"/>
    <d v="2026-07-18T00:00:00"/>
    <n v="35000"/>
    <n v="455.58481499999999"/>
    <n v="15945468.525"/>
    <n v="3348548.3902500002"/>
    <n v="19294016.91525"/>
    <m/>
    <n v="0"/>
    <n v="0"/>
    <n v="19294016.91525"/>
    <d v="2026-01-29T00:00:00"/>
    <x v="56"/>
    <n v="41"/>
    <n v="-170"/>
    <m/>
    <d v="2026-07-25T00:00:00"/>
    <x v="28"/>
    <d v="2026-01-29T00:00:00"/>
    <n v="700"/>
    <n v="27562.8813075"/>
    <n v="-0.40864392249999071"/>
    <n v="27562.4726635775"/>
    <n v="372.28768450952055"/>
    <n v="27934.76034808702"/>
    <x v="0"/>
    <x v="0"/>
    <s v="TUCUMAN"/>
    <x v="0"/>
    <n v="32515"/>
    <n v="-4580.2396519129798"/>
    <n v="-0.14086543601147106"/>
    <n v="-3206167.7563390858"/>
    <n v="22760500"/>
    <n v="19554332.243660916"/>
    <n v="2.9000000000000001E-2"/>
    <n v="-68"/>
    <m/>
    <m/>
    <n v="0"/>
    <n v="1446.3009999999999"/>
    <n v="11025"/>
    <m/>
    <n v="11025"/>
    <n v="315"/>
    <n v="0"/>
    <n v="5.1481356164383563"/>
    <n v="320.14813561643837"/>
    <x v="0"/>
  </r>
  <r>
    <x v="2"/>
    <n v="1"/>
    <x v="0"/>
    <d v="2026-07-18T00:00:00"/>
    <x v="0"/>
    <s v="AZÚCAR CRUDO"/>
    <x v="1"/>
    <d v="2026-07-18T00:00:00"/>
    <n v="35000"/>
    <n v="455.58481499999999"/>
    <n v="15945468.525"/>
    <n v="3348548.3902500002"/>
    <n v="19294016.91525"/>
    <m/>
    <n v="0"/>
    <n v="0"/>
    <n v="19294016.91525"/>
    <d v="2026-01-29T00:00:00"/>
    <x v="56"/>
    <n v="41"/>
    <n v="-170"/>
    <m/>
    <d v="2026-07-25T00:00:00"/>
    <x v="28"/>
    <d v="2026-01-29T00:00:00"/>
    <n v="700"/>
    <n v="27562.8813075"/>
    <n v="-0.40864392249999071"/>
    <n v="27562.4726635775"/>
    <n v="372.28768450952055"/>
    <n v="27934.76034808702"/>
    <x v="0"/>
    <x v="0"/>
    <s v="TUCUMAN"/>
    <x v="0"/>
    <n v="32515"/>
    <n v="-4580.2396519129798"/>
    <n v="-0.14086543601147106"/>
    <n v="-3206167.7563390858"/>
    <n v="22760500"/>
    <n v="19554332.243660916"/>
    <n v="2.9000000000000001E-2"/>
    <n v="-68"/>
    <m/>
    <m/>
    <n v="0"/>
    <n v="1446.3009999999999"/>
    <n v="11025"/>
    <m/>
    <n v="11025"/>
    <n v="315"/>
    <n v="0"/>
    <n v="5.1481356164383563"/>
    <n v="320.14813561643837"/>
    <x v="0"/>
  </r>
  <r>
    <x v="2"/>
    <n v="1"/>
    <x v="0"/>
    <d v="2026-07-19T00:00:00"/>
    <x v="0"/>
    <s v="AZÚCAR CRUDO"/>
    <x v="1"/>
    <d v="2026-07-19T00:00:00"/>
    <n v="35000"/>
    <n v="455.58481499999999"/>
    <n v="15945468.525"/>
    <n v="3348548.3902500002"/>
    <n v="19294016.91525"/>
    <m/>
    <n v="0"/>
    <n v="0"/>
    <n v="19294016.91525"/>
    <d v="2026-01-29T00:00:00"/>
    <x v="76"/>
    <n v="42"/>
    <n v="-171"/>
    <m/>
    <d v="2026-07-26T00:00:00"/>
    <x v="28"/>
    <d v="2026-01-29T00:00:00"/>
    <n v="700"/>
    <n v="27562.8813075"/>
    <n v="-0.40864392249999071"/>
    <n v="27562.4726635775"/>
    <n v="374.47761206545891"/>
    <n v="27936.950275642961"/>
    <x v="0"/>
    <x v="0"/>
    <s v="TUCUMAN"/>
    <x v="0"/>
    <n v="32515"/>
    <n v="-4578.0497243570389"/>
    <n v="-0.14079808471035027"/>
    <n v="-3204634.8070499273"/>
    <n v="22760500"/>
    <n v="19555865.192950074"/>
    <n v="2.9000000000000001E-2"/>
    <n v="-68"/>
    <m/>
    <m/>
    <n v="0"/>
    <n v="1446.3009999999999"/>
    <n v="11025"/>
    <m/>
    <n v="11025"/>
    <n v="315"/>
    <n v="0"/>
    <n v="5.1784187671232882"/>
    <n v="320.17841876712328"/>
    <x v="0"/>
  </r>
  <r>
    <x v="2"/>
    <n v="1"/>
    <x v="0"/>
    <d v="2026-07-19T00:00:00"/>
    <x v="0"/>
    <s v="AZÚCAR CRUDO"/>
    <x v="1"/>
    <d v="2026-07-19T00:00:00"/>
    <n v="35000"/>
    <n v="455.58481499999999"/>
    <n v="15945468.525"/>
    <n v="3348548.3902500002"/>
    <n v="19294016.91525"/>
    <m/>
    <n v="0"/>
    <n v="0"/>
    <n v="19294016.91525"/>
    <d v="2026-01-29T00:00:00"/>
    <x v="76"/>
    <n v="42"/>
    <n v="-171"/>
    <m/>
    <d v="2026-07-26T00:00:00"/>
    <x v="28"/>
    <d v="2026-01-29T00:00:00"/>
    <n v="700"/>
    <n v="27562.8813075"/>
    <n v="-0.40864392249999071"/>
    <n v="27562.4726635775"/>
    <n v="374.47761206545891"/>
    <n v="27936.950275642961"/>
    <x v="0"/>
    <x v="0"/>
    <s v="TUCUMAN"/>
    <x v="0"/>
    <n v="32515"/>
    <n v="-4578.0497243570389"/>
    <n v="-0.14079808471035027"/>
    <n v="-3204634.8070499273"/>
    <n v="22760500"/>
    <n v="19555865.192950074"/>
    <n v="2.9000000000000001E-2"/>
    <n v="-68"/>
    <m/>
    <m/>
    <n v="0"/>
    <n v="1446.3009999999999"/>
    <n v="11025"/>
    <m/>
    <n v="11025"/>
    <n v="315"/>
    <n v="0"/>
    <n v="5.1784187671232882"/>
    <n v="320.17841876712328"/>
    <x v="0"/>
  </r>
  <r>
    <x v="2"/>
    <n v="1"/>
    <x v="0"/>
    <d v="2026-07-19T00:00:00"/>
    <x v="0"/>
    <s v="AZÚCAR CRUDO"/>
    <x v="1"/>
    <d v="2026-07-19T00:00:00"/>
    <n v="35000"/>
    <n v="455.58481499999999"/>
    <n v="15945468.525"/>
    <n v="3348548.3902500002"/>
    <n v="19294016.91525"/>
    <m/>
    <n v="0"/>
    <n v="0"/>
    <n v="19294016.91525"/>
    <d v="2026-01-29T00:00:00"/>
    <x v="76"/>
    <n v="42"/>
    <n v="-171"/>
    <m/>
    <d v="2026-07-26T00:00:00"/>
    <x v="28"/>
    <d v="2026-01-29T00:00:00"/>
    <n v="700"/>
    <n v="27562.8813075"/>
    <n v="-0.40864392249999071"/>
    <n v="27562.4726635775"/>
    <n v="374.47761206545891"/>
    <n v="27936.950275642961"/>
    <x v="0"/>
    <x v="0"/>
    <s v="TUCUMAN"/>
    <x v="0"/>
    <n v="32515"/>
    <n v="-4578.0497243570389"/>
    <n v="-0.14079808471035027"/>
    <n v="-3204634.8070499273"/>
    <n v="22760500"/>
    <n v="19555865.192950074"/>
    <n v="2.9000000000000001E-2"/>
    <n v="-68"/>
    <m/>
    <m/>
    <n v="0"/>
    <n v="1446.3009999999999"/>
    <n v="11025"/>
    <m/>
    <n v="11025"/>
    <n v="315"/>
    <n v="0"/>
    <n v="5.1784187671232882"/>
    <n v="320.17841876712328"/>
    <x v="0"/>
  </r>
  <r>
    <x v="2"/>
    <n v="1"/>
    <x v="0"/>
    <d v="2026-07-20T00:00:00"/>
    <x v="0"/>
    <s v="AZÚCAR CRUDO"/>
    <x v="1"/>
    <d v="2026-07-20T00:00:00"/>
    <n v="35000"/>
    <n v="455.58481499999999"/>
    <n v="15945468.525"/>
    <n v="3348548.3902500002"/>
    <n v="19294016.91525"/>
    <m/>
    <n v="0"/>
    <n v="0"/>
    <n v="19294016.91525"/>
    <d v="2026-01-29T00:00:00"/>
    <x v="83"/>
    <n v="43"/>
    <n v="-172"/>
    <m/>
    <d v="2026-07-27T00:00:00"/>
    <x v="28"/>
    <d v="2026-01-29T00:00:00"/>
    <n v="700"/>
    <n v="27562.8813075"/>
    <n v="-0.40864392249999071"/>
    <n v="27562.4726635775"/>
    <n v="376.66753962139728"/>
    <n v="27939.140203198898"/>
    <x v="0"/>
    <x v="0"/>
    <s v="TUCUMAN"/>
    <x v="0"/>
    <n v="32515"/>
    <n v="-4575.8597968011018"/>
    <n v="-0.14073073340922959"/>
    <n v="-3203101.8577607712"/>
    <n v="22760500"/>
    <n v="19557398.142239228"/>
    <n v="2.9000000000000001E-2"/>
    <n v="-68"/>
    <m/>
    <m/>
    <n v="0"/>
    <n v="1446.3009999999999"/>
    <n v="11025"/>
    <m/>
    <n v="11025"/>
    <n v="315"/>
    <n v="0"/>
    <n v="5.2087019178082201"/>
    <n v="320.20870191780824"/>
    <x v="0"/>
  </r>
  <r>
    <x v="2"/>
    <n v="1"/>
    <x v="0"/>
    <d v="2026-07-20T00:00:00"/>
    <x v="0"/>
    <s v="AZÚCAR CRUDO"/>
    <x v="1"/>
    <d v="2026-07-20T00:00:00"/>
    <n v="35000"/>
    <n v="455.58481499999999"/>
    <n v="15945468.525"/>
    <n v="3348548.3902500002"/>
    <n v="19294016.91525"/>
    <m/>
    <n v="0"/>
    <n v="0"/>
    <n v="19294016.91525"/>
    <d v="2026-01-29T00:00:00"/>
    <x v="83"/>
    <n v="43"/>
    <n v="-172"/>
    <m/>
    <d v="2026-07-27T00:00:00"/>
    <x v="28"/>
    <d v="2026-01-29T00:00:00"/>
    <n v="700"/>
    <n v="27562.8813075"/>
    <n v="-0.40864392249999071"/>
    <n v="27562.4726635775"/>
    <n v="376.66753962139728"/>
    <n v="27939.140203198898"/>
    <x v="0"/>
    <x v="0"/>
    <s v="TUCUMAN"/>
    <x v="0"/>
    <n v="32515"/>
    <n v="-4575.8597968011018"/>
    <n v="-0.14073073340922959"/>
    <n v="-3203101.8577607712"/>
    <n v="22760500"/>
    <n v="19557398.142239228"/>
    <n v="2.9000000000000001E-2"/>
    <n v="-68"/>
    <m/>
    <m/>
    <n v="0"/>
    <n v="1446.3009999999999"/>
    <n v="11025"/>
    <m/>
    <n v="11025"/>
    <n v="315"/>
    <n v="0"/>
    <n v="5.2087019178082201"/>
    <n v="320.20870191780824"/>
    <x v="0"/>
  </r>
  <r>
    <x v="2"/>
    <n v="1"/>
    <x v="0"/>
    <d v="2026-07-20T00:00:00"/>
    <x v="0"/>
    <s v="AZÚCAR CRUDO"/>
    <x v="1"/>
    <d v="2026-07-20T00:00:00"/>
    <n v="35000"/>
    <n v="455.58481499999999"/>
    <n v="15945468.525"/>
    <n v="3348548.3902500002"/>
    <n v="19294016.91525"/>
    <m/>
    <n v="0"/>
    <n v="0"/>
    <n v="19294016.91525"/>
    <d v="2026-01-29T00:00:00"/>
    <x v="83"/>
    <n v="43"/>
    <n v="-172"/>
    <m/>
    <d v="2026-07-27T00:00:00"/>
    <x v="28"/>
    <d v="2026-01-29T00:00:00"/>
    <n v="700"/>
    <n v="27562.8813075"/>
    <n v="-0.40864392249999071"/>
    <n v="27562.4726635775"/>
    <n v="376.66753962139728"/>
    <n v="27939.140203198898"/>
    <x v="0"/>
    <x v="0"/>
    <s v="TUCUMAN"/>
    <x v="0"/>
    <n v="32515"/>
    <n v="-4575.8597968011018"/>
    <n v="-0.14073073340922959"/>
    <n v="-3203101.8577607712"/>
    <n v="22760500"/>
    <n v="19557398.142239228"/>
    <n v="2.9000000000000001E-2"/>
    <n v="-68"/>
    <m/>
    <m/>
    <n v="0"/>
    <n v="1446.3009999999999"/>
    <n v="11025"/>
    <m/>
    <n v="11025"/>
    <n v="315"/>
    <n v="0"/>
    <n v="5.2087019178082201"/>
    <n v="320.20870191780824"/>
    <x v="0"/>
  </r>
  <r>
    <x v="2"/>
    <n v="1"/>
    <x v="0"/>
    <d v="2026-07-21T00:00:00"/>
    <x v="0"/>
    <s v="AZÚCAR CRUDO"/>
    <x v="1"/>
    <d v="2026-07-21T00:00:00"/>
    <n v="35000"/>
    <n v="455.58481499999999"/>
    <n v="15945468.525"/>
    <n v="3348548.3902500002"/>
    <n v="19294016.91525"/>
    <m/>
    <n v="0"/>
    <n v="0"/>
    <n v="19294016.91525"/>
    <d v="2026-01-29T00:00:00"/>
    <x v="84"/>
    <n v="44"/>
    <n v="-173"/>
    <m/>
    <d v="2026-07-28T00:00:00"/>
    <x v="28"/>
    <d v="2026-01-29T00:00:00"/>
    <n v="700"/>
    <n v="27562.8813075"/>
    <n v="-0.40864392249999071"/>
    <n v="27562.4726635775"/>
    <n v="378.85746717733565"/>
    <n v="27941.330130754835"/>
    <x v="0"/>
    <x v="0"/>
    <s v="TUCUMAN"/>
    <x v="0"/>
    <n v="32515"/>
    <n v="-4573.6698692451646"/>
    <n v="-0.14066338210810903"/>
    <n v="-3201568.9084716151"/>
    <n v="22760500"/>
    <n v="19558931.091528386"/>
    <n v="2.9000000000000001E-2"/>
    <n v="-68"/>
    <m/>
    <m/>
    <n v="0"/>
    <n v="1446.3009999999999"/>
    <n v="11025"/>
    <m/>
    <n v="11025"/>
    <n v="315"/>
    <n v="0"/>
    <n v="5.2389850684931512"/>
    <n v="320.23898506849315"/>
    <x v="0"/>
  </r>
  <r>
    <x v="2"/>
    <n v="1"/>
    <x v="0"/>
    <d v="2026-07-21T00:00:00"/>
    <x v="0"/>
    <s v="AZÚCAR CRUDO"/>
    <x v="1"/>
    <d v="2026-07-21T00:00:00"/>
    <n v="35000"/>
    <n v="455.58481499999999"/>
    <n v="15945468.525"/>
    <n v="3348548.3902500002"/>
    <n v="19294016.91525"/>
    <m/>
    <n v="0"/>
    <n v="0"/>
    <n v="19294016.91525"/>
    <d v="2026-01-29T00:00:00"/>
    <x v="84"/>
    <n v="44"/>
    <n v="-173"/>
    <m/>
    <d v="2026-07-28T00:00:00"/>
    <x v="28"/>
    <d v="2026-01-29T00:00:00"/>
    <n v="700"/>
    <n v="27562.8813075"/>
    <n v="-0.40864392249999071"/>
    <n v="27562.4726635775"/>
    <n v="378.85746717733565"/>
    <n v="27941.330130754835"/>
    <x v="0"/>
    <x v="0"/>
    <s v="TUCUMAN"/>
    <x v="0"/>
    <n v="32515"/>
    <n v="-4573.6698692451646"/>
    <n v="-0.14066338210810903"/>
    <n v="-3201568.9084716151"/>
    <n v="22760500"/>
    <n v="19558931.091528386"/>
    <n v="2.9000000000000001E-2"/>
    <n v="-68"/>
    <m/>
    <m/>
    <n v="0"/>
    <n v="1446.3009999999999"/>
    <n v="11025"/>
    <m/>
    <n v="11025"/>
    <n v="315"/>
    <n v="0"/>
    <n v="5.2389850684931512"/>
    <n v="320.23898506849315"/>
    <x v="0"/>
  </r>
  <r>
    <x v="2"/>
    <n v="1"/>
    <x v="0"/>
    <d v="2026-07-21T00:00:00"/>
    <x v="0"/>
    <s v="AZÚCAR CRUDO"/>
    <x v="1"/>
    <d v="2026-07-21T00:00:00"/>
    <n v="35000"/>
    <n v="455.58481499999999"/>
    <n v="15945468.525"/>
    <n v="3348548.3902500002"/>
    <n v="19294016.91525"/>
    <m/>
    <n v="0"/>
    <n v="0"/>
    <n v="19294016.91525"/>
    <d v="2026-01-29T00:00:00"/>
    <x v="84"/>
    <n v="44"/>
    <n v="-173"/>
    <m/>
    <d v="2026-07-28T00:00:00"/>
    <x v="28"/>
    <d v="2026-01-29T00:00:00"/>
    <n v="700"/>
    <n v="27562.8813075"/>
    <n v="-0.40864392249999071"/>
    <n v="27562.4726635775"/>
    <n v="378.85746717733565"/>
    <n v="27941.330130754835"/>
    <x v="0"/>
    <x v="0"/>
    <s v="TUCUMAN"/>
    <x v="0"/>
    <n v="32515"/>
    <n v="-4573.6698692451646"/>
    <n v="-0.14066338210810903"/>
    <n v="-3201568.9084716151"/>
    <n v="22760500"/>
    <n v="19558931.091528386"/>
    <n v="2.9000000000000001E-2"/>
    <n v="-68"/>
    <m/>
    <m/>
    <n v="0"/>
    <n v="1446.3009999999999"/>
    <n v="11025"/>
    <m/>
    <n v="11025"/>
    <n v="315"/>
    <n v="0"/>
    <n v="5.2389850684931512"/>
    <n v="320.23898506849315"/>
    <x v="0"/>
  </r>
  <r>
    <x v="2"/>
    <n v="1"/>
    <x v="0"/>
    <d v="2026-07-22T00:00:00"/>
    <x v="0"/>
    <s v="AZÚCAR CRUDO"/>
    <x v="1"/>
    <d v="2026-07-22T00:00:00"/>
    <n v="35000"/>
    <n v="455.58481499999999"/>
    <n v="15945468.525"/>
    <n v="3348548.3902500002"/>
    <n v="19294016.91525"/>
    <m/>
    <n v="0"/>
    <n v="0"/>
    <n v="19294016.91525"/>
    <d v="2026-01-29T00:00:00"/>
    <x v="57"/>
    <n v="45"/>
    <n v="-174"/>
    <m/>
    <d v="2026-07-29T00:00:00"/>
    <x v="28"/>
    <d v="2026-01-29T00:00:00"/>
    <n v="700"/>
    <n v="27562.8813075"/>
    <n v="-0.40864392249999071"/>
    <n v="27562.4726635775"/>
    <n v="381.04739473327396"/>
    <n v="27943.520058310776"/>
    <x v="0"/>
    <x v="0"/>
    <s v="TUCUMAN"/>
    <x v="0"/>
    <n v="32515"/>
    <n v="-4571.4799416892238"/>
    <n v="-0.14059603080698824"/>
    <n v="-3200035.9591824566"/>
    <n v="22760500"/>
    <n v="19560464.040817544"/>
    <n v="2.9000000000000001E-2"/>
    <n v="-68"/>
    <m/>
    <m/>
    <n v="0"/>
    <n v="1446.3009999999999"/>
    <n v="11025"/>
    <m/>
    <n v="11025"/>
    <n v="315"/>
    <n v="0"/>
    <n v="5.2692682191780822"/>
    <n v="320.26926821917806"/>
    <x v="0"/>
  </r>
  <r>
    <x v="2"/>
    <n v="1"/>
    <x v="0"/>
    <d v="2026-07-22T00:00:00"/>
    <x v="0"/>
    <s v="AZÚCAR CRUDO"/>
    <x v="1"/>
    <d v="2026-07-22T00:00:00"/>
    <n v="35000"/>
    <n v="455.58481499999999"/>
    <n v="15945468.525"/>
    <n v="3348548.3902500002"/>
    <n v="19294016.91525"/>
    <m/>
    <n v="0"/>
    <n v="0"/>
    <n v="19294016.91525"/>
    <d v="2026-01-29T00:00:00"/>
    <x v="57"/>
    <n v="45"/>
    <n v="-174"/>
    <m/>
    <d v="2026-07-29T00:00:00"/>
    <x v="28"/>
    <d v="2026-01-29T00:00:00"/>
    <n v="700"/>
    <n v="27562.8813075"/>
    <n v="-0.40864392249999071"/>
    <n v="27562.4726635775"/>
    <n v="381.04739473327396"/>
    <n v="27943.520058310776"/>
    <x v="0"/>
    <x v="0"/>
    <s v="TUCUMAN"/>
    <x v="0"/>
    <n v="32515"/>
    <n v="-4571.4799416892238"/>
    <n v="-0.14059603080698824"/>
    <n v="-3200035.9591824566"/>
    <n v="22760500"/>
    <n v="19560464.040817544"/>
    <n v="2.9000000000000001E-2"/>
    <n v="-68"/>
    <m/>
    <m/>
    <n v="0"/>
    <n v="1446.3009999999999"/>
    <n v="11025"/>
    <m/>
    <n v="11025"/>
    <n v="315"/>
    <n v="0"/>
    <n v="5.2692682191780822"/>
    <n v="320.26926821917806"/>
    <x v="0"/>
  </r>
  <r>
    <x v="2"/>
    <n v="1"/>
    <x v="0"/>
    <d v="2026-07-28T00:00:00"/>
    <x v="0"/>
    <s v="AZÚCAR CRUDO"/>
    <x v="1"/>
    <d v="2026-07-28T00:00:00"/>
    <n v="35000"/>
    <n v="455.58481499999999"/>
    <n v="15945468.525"/>
    <n v="3348548.3902500002"/>
    <n v="19294016.91525"/>
    <m/>
    <n v="0"/>
    <n v="0"/>
    <n v="19294016.91525"/>
    <d v="2026-01-29T00:00:00"/>
    <x v="29"/>
    <n v="51"/>
    <n v="-180"/>
    <m/>
    <d v="2026-08-04T00:00:00"/>
    <x v="28"/>
    <d v="2026-01-29T00:00:00"/>
    <n v="700"/>
    <n v="27562.8813075"/>
    <n v="-0.40864392249999071"/>
    <n v="27562.4726635775"/>
    <n v="394.18696006890411"/>
    <n v="27956.659623646403"/>
    <x v="0"/>
    <x v="0"/>
    <s v="TUCUMAN"/>
    <x v="0"/>
    <n v="32515"/>
    <n v="-4558.3403763535971"/>
    <n v="-0.1401919230002644"/>
    <n v="-3190838.263447518"/>
    <n v="22760500"/>
    <n v="19569661.736552481"/>
    <n v="2.9000000000000001E-2"/>
    <n v="-68"/>
    <m/>
    <m/>
    <n v="0"/>
    <n v="1446.3009999999999"/>
    <n v="11025"/>
    <m/>
    <n v="11025"/>
    <n v="315"/>
    <n v="0"/>
    <n v="5.450967123287672"/>
    <n v="320.45096712328768"/>
    <x v="0"/>
  </r>
  <r>
    <x v="2"/>
    <n v="1"/>
    <x v="0"/>
    <d v="2026-07-28T00:00:00"/>
    <x v="0"/>
    <s v="AZÚCAR CRUDO"/>
    <x v="1"/>
    <d v="2026-07-28T00:00:00"/>
    <n v="35000"/>
    <n v="455.58481499999999"/>
    <n v="15945468.525"/>
    <n v="3348548.3902500002"/>
    <n v="19294016.91525"/>
    <m/>
    <n v="0"/>
    <n v="0"/>
    <n v="19294016.91525"/>
    <d v="2026-01-29T00:00:00"/>
    <x v="29"/>
    <n v="51"/>
    <n v="-180"/>
    <m/>
    <d v="2026-08-04T00:00:00"/>
    <x v="28"/>
    <d v="2026-01-29T00:00:00"/>
    <n v="700"/>
    <n v="27562.8813075"/>
    <n v="-0.40864392249999071"/>
    <n v="27562.4726635775"/>
    <n v="394.18696006890411"/>
    <n v="27956.659623646403"/>
    <x v="0"/>
    <x v="0"/>
    <s v="TUCUMAN"/>
    <x v="0"/>
    <n v="32515"/>
    <n v="-4558.3403763535971"/>
    <n v="-0.1401919230002644"/>
    <n v="-3190838.263447518"/>
    <n v="22760500"/>
    <n v="19569661.736552481"/>
    <n v="2.9000000000000001E-2"/>
    <n v="-68"/>
    <m/>
    <m/>
    <n v="0"/>
    <n v="1446.3009999999999"/>
    <n v="11025"/>
    <m/>
    <n v="11025"/>
    <n v="315"/>
    <n v="0"/>
    <n v="5.450967123287672"/>
    <n v="320.45096712328768"/>
    <x v="0"/>
  </r>
  <r>
    <x v="2"/>
    <n v="1"/>
    <x v="0"/>
    <d v="2026-07-29T00:00:00"/>
    <x v="0"/>
    <s v="AZÚCAR CRUDO"/>
    <x v="1"/>
    <d v="2026-07-29T00:00:00"/>
    <n v="35000"/>
    <n v="455.58481499999999"/>
    <n v="15945468.525"/>
    <n v="3348548.3902500002"/>
    <n v="19294016.91525"/>
    <m/>
    <n v="0"/>
    <n v="0"/>
    <n v="19294016.91525"/>
    <d v="2026-01-29T00:00:00"/>
    <x v="45"/>
    <n v="52"/>
    <n v="-181"/>
    <m/>
    <d v="2026-08-05T00:00:00"/>
    <x v="28"/>
    <d v="2026-01-29T00:00:00"/>
    <n v="700"/>
    <n v="27562.8813075"/>
    <n v="-0.40864392249999071"/>
    <n v="27562.4726635775"/>
    <n v="396.37688762484248"/>
    <n v="27958.849551202344"/>
    <x v="0"/>
    <x v="0"/>
    <s v="TUCUMAN"/>
    <x v="0"/>
    <n v="32515"/>
    <n v="-4556.1504487976563"/>
    <n v="-0.14012457169914372"/>
    <n v="-3189305.3141583595"/>
    <n v="22760500"/>
    <n v="19571194.685841642"/>
    <n v="2.9000000000000001E-2"/>
    <n v="-68"/>
    <m/>
    <m/>
    <n v="0"/>
    <n v="1446.3009999999999"/>
    <n v="11025"/>
    <m/>
    <n v="11025"/>
    <n v="315"/>
    <n v="0"/>
    <n v="5.481250273972603"/>
    <n v="320.48125027397259"/>
    <x v="0"/>
  </r>
  <r>
    <x v="2"/>
    <n v="1"/>
    <x v="0"/>
    <d v="2026-07-29T00:00:00"/>
    <x v="0"/>
    <s v="AZÚCAR CRUDO"/>
    <x v="1"/>
    <d v="2026-07-29T00:00:00"/>
    <n v="74200"/>
    <n v="455.58481499999999"/>
    <n v="33804393.273000002"/>
    <n v="7098922.5873300005"/>
    <n v="40903315.860330001"/>
    <m/>
    <n v="0"/>
    <n v="0"/>
    <n v="40903315.860330001"/>
    <d v="2026-01-29T00:00:00"/>
    <x v="45"/>
    <n v="52"/>
    <n v="-181"/>
    <m/>
    <d v="2026-08-05T00:00:00"/>
    <x v="28"/>
    <d v="2026-01-29T00:00:00"/>
    <n v="1484"/>
    <n v="27562.8813075"/>
    <n v="-0.40864392249999071"/>
    <n v="27562.4726635775"/>
    <n v="396.37688762484248"/>
    <n v="27958.849551202344"/>
    <x v="0"/>
    <x v="0"/>
    <s v="TUCUMAN"/>
    <x v="0"/>
    <n v="32515"/>
    <n v="-4556.1504487976563"/>
    <n v="-0.14012457169914372"/>
    <n v="-6761327.2660157215"/>
    <n v="48252260"/>
    <n v="41490932.733984277"/>
    <n v="2.9000000000000001E-2"/>
    <n v="-68"/>
    <m/>
    <m/>
    <n v="0"/>
    <n v="1446.3009999999999"/>
    <n v="23373.000000000004"/>
    <m/>
    <n v="23373.000000000004"/>
    <n v="315.00000000000006"/>
    <n v="0"/>
    <n v="5.481250273972603"/>
    <n v="320.48125027397265"/>
    <x v="0"/>
  </r>
  <r>
    <x v="2"/>
    <n v="1"/>
    <x v="6"/>
    <d v="2026-07-01T00:00:00"/>
    <x v="2"/>
    <s v="AZUCAR COMUN TIPO A"/>
    <x v="1"/>
    <d v="2026-07-01T00:00:00"/>
    <n v="40000"/>
    <n v="495.86776859504135"/>
    <n v="19834710.743801653"/>
    <n v="4165289.2561983471"/>
    <n v="24000000"/>
    <n v="0"/>
    <n v="0"/>
    <n v="0"/>
    <n v="24000000"/>
    <d v="2026-03-12T00:00:00"/>
    <x v="38"/>
    <n v="24"/>
    <n v="-111"/>
    <m/>
    <d v="2026-07-08T00:00:00"/>
    <x v="8"/>
    <d v="2026-03-13T00:00:00"/>
    <n v="800"/>
    <n v="30000"/>
    <n v="0.14499999999999602"/>
    <n v="30000.145"/>
    <n v="264.57534246575347"/>
    <n v="30264.720342465753"/>
    <x v="2"/>
    <x v="0"/>
    <s v="TUCUMAN"/>
    <x v="3"/>
    <n v="35314"/>
    <n v="-5049.2796575342472"/>
    <n v="-0.14298237689115501"/>
    <n v="-4039423.7260273979"/>
    <n v="28251200"/>
    <n v="24211776.273972601"/>
    <n v="2.9000000000000001E-2"/>
    <n v="-74.5"/>
    <m/>
    <s v="PREVENTA ZAFRA 26"/>
    <n v="0"/>
    <n v="1392.9851000000001"/>
    <n v="14238.997060199461"/>
    <m/>
    <n v="14238.997060199461"/>
    <n v="355.97492650498651"/>
    <n v="1.0696453249930669"/>
    <n v="3.7986815862675551"/>
    <n v="360.84325341624714"/>
    <x v="4"/>
  </r>
  <r>
    <x v="2"/>
    <n v="1"/>
    <x v="6"/>
    <d v="2026-07-01T00:00:00"/>
    <x v="2"/>
    <s v="AZUCAR COMUN TIPO A"/>
    <x v="1"/>
    <d v="2026-07-01T00:00:00"/>
    <n v="40000"/>
    <n v="495.86776859504135"/>
    <n v="19834710.743801653"/>
    <n v="4165289.2561983471"/>
    <n v="24000000"/>
    <n v="0"/>
    <n v="0"/>
    <n v="0"/>
    <n v="24000000"/>
    <d v="2026-03-12T00:00:00"/>
    <x v="38"/>
    <n v="24"/>
    <n v="-111"/>
    <m/>
    <d v="2026-07-08T00:00:00"/>
    <x v="8"/>
    <d v="2026-03-13T00:00:00"/>
    <n v="800"/>
    <n v="30000"/>
    <n v="0.14499999999999602"/>
    <n v="30000.145"/>
    <n v="264.57534246575347"/>
    <n v="30264.720342465753"/>
    <x v="2"/>
    <x v="0"/>
    <s v="TUCUMAN"/>
    <x v="3"/>
    <n v="35314"/>
    <n v="-5049.2796575342472"/>
    <n v="-0.14298237689115501"/>
    <n v="-4039423.7260273979"/>
    <n v="28251200"/>
    <n v="24211776.273972601"/>
    <n v="2.9000000000000001E-2"/>
    <n v="-74.5"/>
    <m/>
    <s v="PREVENTA ZAFRA 26"/>
    <n v="0"/>
    <n v="1392.9851000000001"/>
    <n v="14238.997060199461"/>
    <m/>
    <n v="14238.997060199461"/>
    <n v="355.97492650498651"/>
    <n v="1.0696453249930669"/>
    <n v="3.7986815862675551"/>
    <n v="360.84325341624714"/>
    <x v="4"/>
  </r>
  <r>
    <x v="2"/>
    <n v="1"/>
    <x v="6"/>
    <d v="2026-07-02T00:00:00"/>
    <x v="2"/>
    <s v="AZUCAR COMUN TIPO A"/>
    <x v="1"/>
    <d v="2026-07-02T00:00:00"/>
    <n v="40000"/>
    <n v="495.86776859504135"/>
    <n v="19834710.743801653"/>
    <n v="4165289.2561983471"/>
    <n v="24000000"/>
    <n v="0"/>
    <n v="0"/>
    <n v="0"/>
    <n v="24000000"/>
    <d v="2026-03-12T00:00:00"/>
    <x v="24"/>
    <n v="25"/>
    <n v="-112"/>
    <m/>
    <d v="2026-07-09T00:00:00"/>
    <x v="33"/>
    <d v="2026-04-14T00:00:00"/>
    <n v="800"/>
    <n v="30000"/>
    <n v="0.14499999999999602"/>
    <n v="30000.145"/>
    <n v="266.95890410958907"/>
    <n v="30267.10390410959"/>
    <x v="2"/>
    <x v="0"/>
    <s v="TUCUMAN"/>
    <x v="3"/>
    <n v="35355"/>
    <n v="-5087.8960958904099"/>
    <n v="-0.1439088133472044"/>
    <n v="-4070316.8767123278"/>
    <n v="28284000"/>
    <n v="24213683.12328767"/>
    <n v="2.9000000000000001E-2"/>
    <n v="-74.5"/>
    <m/>
    <s v="PREVENTA ZAFRA 26"/>
    <n v="0"/>
    <n v="1358.5219999999999"/>
    <n v="14600.213131477925"/>
    <m/>
    <n v="14600.213131477925"/>
    <n v="365.00532828694816"/>
    <n v="1.096780177280898"/>
    <n v="3.9301373714903272"/>
    <n v="370.03224583571938"/>
    <x v="4"/>
  </r>
  <r>
    <x v="2"/>
    <n v="1"/>
    <x v="6"/>
    <d v="2026-07-03T00:00:00"/>
    <x v="2"/>
    <s v="AZUCAR COMUN TIPO A"/>
    <x v="1"/>
    <d v="2026-07-03T00:00:00"/>
    <n v="40000"/>
    <n v="495.86776859504135"/>
    <n v="19834710.743801653"/>
    <n v="4165289.2561983471"/>
    <n v="24000000"/>
    <n v="0"/>
    <n v="0"/>
    <n v="0"/>
    <n v="24000000"/>
    <d v="2026-03-12T00:00:00"/>
    <x v="36"/>
    <n v="26"/>
    <n v="-113"/>
    <m/>
    <d v="2026-07-10T00:00:00"/>
    <x v="33"/>
    <d v="2026-04-14T00:00:00"/>
    <n v="800"/>
    <n v="30000"/>
    <n v="0.14499999999999602"/>
    <n v="30000.145"/>
    <n v="269.34246575342468"/>
    <n v="30269.487465753424"/>
    <x v="2"/>
    <x v="0"/>
    <s v="TUCUMAN"/>
    <x v="3"/>
    <n v="35355"/>
    <n v="-5085.5125342465763"/>
    <n v="-0.14384139539659391"/>
    <n v="-4068410.027397261"/>
    <n v="28284000"/>
    <n v="24215589.97260274"/>
    <n v="2.9000000000000001E-2"/>
    <n v="-74.5"/>
    <m/>
    <s v="PREVENTA ZAFRA 26"/>
    <n v="0"/>
    <n v="1358.5219999999999"/>
    <n v="14600.213131477925"/>
    <m/>
    <n v="14600.213131477925"/>
    <n v="365.00532828694816"/>
    <n v="1.096780177280898"/>
    <n v="3.9652278837357757"/>
    <n v="370.06733634796484"/>
    <x v="4"/>
  </r>
  <r>
    <x v="2"/>
    <n v="1"/>
    <x v="6"/>
    <d v="2026-07-04T00:00:00"/>
    <x v="2"/>
    <s v="AZUCAR COMUN TIPO A"/>
    <x v="1"/>
    <d v="2026-07-04T00:00:00"/>
    <n v="40000"/>
    <n v="495.86776859504135"/>
    <n v="19834710.743801653"/>
    <n v="4165289.2561983471"/>
    <n v="24000000"/>
    <n v="0"/>
    <n v="0"/>
    <n v="0"/>
    <n v="24000000"/>
    <d v="2026-03-12T00:00:00"/>
    <x v="31"/>
    <n v="27"/>
    <n v="-114"/>
    <m/>
    <d v="2026-07-11T00:00:00"/>
    <x v="33"/>
    <d v="2026-04-14T00:00:00"/>
    <n v="800"/>
    <n v="30000"/>
    <n v="0.14499999999999602"/>
    <n v="30000.145"/>
    <n v="271.72602739726028"/>
    <n v="30271.871027397261"/>
    <x v="2"/>
    <x v="0"/>
    <s v="TUCUMAN"/>
    <x v="3"/>
    <n v="35355"/>
    <n v="-5083.1289726027389"/>
    <n v="-0.1437739774459833"/>
    <n v="-4066503.1780821914"/>
    <n v="28284000"/>
    <n v="24217496.82191781"/>
    <n v="2.9000000000000001E-2"/>
    <n v="-74.5"/>
    <m/>
    <s v="PREVENTA ZAFRA 26"/>
    <n v="0"/>
    <n v="1358.5219999999999"/>
    <n v="14600.213131477925"/>
    <m/>
    <n v="14600.213131477925"/>
    <n v="365.00532828694816"/>
    <n v="1.096780177280898"/>
    <n v="4.0003183959812247"/>
    <n v="370.10242686021024"/>
    <x v="4"/>
  </r>
  <r>
    <x v="2"/>
    <n v="1"/>
    <x v="6"/>
    <d v="2026-07-04T00:00:00"/>
    <x v="2"/>
    <s v="AZUCAR COMUN TIPO A"/>
    <x v="1"/>
    <d v="2026-07-04T00:00:00"/>
    <n v="40000"/>
    <n v="495.86776859504135"/>
    <n v="19834710.743801653"/>
    <n v="4165289.2561983471"/>
    <n v="24000000"/>
    <n v="0"/>
    <n v="0"/>
    <n v="0"/>
    <n v="24000000"/>
    <d v="2026-03-12T00:00:00"/>
    <x v="31"/>
    <n v="27"/>
    <n v="-114"/>
    <m/>
    <d v="2026-07-11T00:00:00"/>
    <x v="33"/>
    <d v="2026-04-14T00:00:00"/>
    <n v="800"/>
    <n v="30000"/>
    <n v="0.14499999999999602"/>
    <n v="30000.145"/>
    <n v="271.72602739726028"/>
    <n v="30271.871027397261"/>
    <x v="2"/>
    <x v="0"/>
    <s v="TUCUMAN"/>
    <x v="3"/>
    <n v="35355"/>
    <n v="-5083.1289726027389"/>
    <n v="-0.1437739774459833"/>
    <n v="-4066503.1780821914"/>
    <n v="28284000"/>
    <n v="24217496.82191781"/>
    <n v="2.9000000000000001E-2"/>
    <n v="-74.5"/>
    <m/>
    <s v="PREVENTA ZAFRA 26"/>
    <n v="0"/>
    <n v="1358.5219999999999"/>
    <n v="14600.213131477925"/>
    <m/>
    <n v="14600.213131477925"/>
    <n v="365.00532828694816"/>
    <n v="1.096780177280898"/>
    <n v="4.0003183959812247"/>
    <n v="370.10242686021024"/>
    <x v="4"/>
  </r>
  <r>
    <x v="2"/>
    <n v="1"/>
    <x v="6"/>
    <d v="2026-07-06T00:00:00"/>
    <x v="2"/>
    <s v="AZUCAR COMUN TIPO A"/>
    <x v="1"/>
    <d v="2026-07-06T00:00:00"/>
    <n v="40000"/>
    <n v="495.86776859504135"/>
    <n v="19834710.743801653"/>
    <n v="4165289.2561983471"/>
    <n v="24000000"/>
    <n v="0"/>
    <n v="0"/>
    <n v="0"/>
    <n v="24000000"/>
    <d v="2026-03-12T00:00:00"/>
    <x v="37"/>
    <n v="29"/>
    <n v="-116"/>
    <m/>
    <d v="2026-07-13T00:00:00"/>
    <x v="33"/>
    <d v="2026-04-14T00:00:00"/>
    <n v="800"/>
    <n v="30000"/>
    <n v="0.14499999999999602"/>
    <n v="30000.145"/>
    <n v="276.49315068493155"/>
    <n v="30276.638150684932"/>
    <x v="2"/>
    <x v="0"/>
    <s v="TUCUMAN"/>
    <x v="3"/>
    <n v="35355"/>
    <n v="-5078.361849315068"/>
    <n v="-0.14363914154476221"/>
    <n v="-4062689.4794520545"/>
    <n v="28284000"/>
    <n v="24221310.520547945"/>
    <n v="2.9000000000000001E-2"/>
    <n v="-74.5"/>
    <m/>
    <s v="PREVENTA ZAFRA 26"/>
    <n v="0"/>
    <n v="1358.5219999999999"/>
    <n v="14600.213131477925"/>
    <m/>
    <n v="14600.213131477925"/>
    <n v="365.00532828694816"/>
    <n v="1.096780177280898"/>
    <n v="4.0704994204721245"/>
    <n v="370.17260788470116"/>
    <x v="4"/>
  </r>
  <r>
    <x v="2"/>
    <n v="1"/>
    <x v="6"/>
    <d v="2026-07-06T00:00:00"/>
    <x v="2"/>
    <s v="AZUCAR COMUN TIPO A"/>
    <x v="1"/>
    <d v="2026-07-06T00:00:00"/>
    <n v="40000"/>
    <n v="495.86776859504135"/>
    <n v="19834710.743801653"/>
    <n v="4165289.2561983471"/>
    <n v="24000000"/>
    <n v="0"/>
    <n v="0"/>
    <n v="0"/>
    <n v="24000000"/>
    <d v="2026-03-12T00:00:00"/>
    <x v="37"/>
    <n v="29"/>
    <n v="-116"/>
    <m/>
    <d v="2026-07-13T00:00:00"/>
    <x v="33"/>
    <d v="2026-04-14T00:00:00"/>
    <n v="800"/>
    <n v="30000"/>
    <n v="0.14499999999999602"/>
    <n v="30000.145"/>
    <n v="276.49315068493155"/>
    <n v="30276.638150684932"/>
    <x v="2"/>
    <x v="0"/>
    <s v="TUCUMAN"/>
    <x v="3"/>
    <n v="35355"/>
    <n v="-5078.361849315068"/>
    <n v="-0.14363914154476221"/>
    <n v="-4062689.4794520545"/>
    <n v="28284000"/>
    <n v="24221310.520547945"/>
    <n v="2.9000000000000001E-2"/>
    <n v="-74.5"/>
    <m/>
    <s v="PREVENTA ZAFRA 26"/>
    <n v="0"/>
    <n v="1358.5219999999999"/>
    <n v="14600.213131477925"/>
    <m/>
    <n v="14600.213131477925"/>
    <n v="365.00532828694816"/>
    <n v="1.096780177280898"/>
    <n v="4.0704994204721245"/>
    <n v="370.17260788470116"/>
    <x v="4"/>
  </r>
  <r>
    <x v="2"/>
    <n v="1"/>
    <x v="6"/>
    <d v="2026-07-08T00:00:00"/>
    <x v="2"/>
    <s v="AZUCAR COMUN TIPO A"/>
    <x v="1"/>
    <d v="2026-07-08T00:00:00"/>
    <n v="40000"/>
    <n v="495.86776859504135"/>
    <n v="19834710.743801653"/>
    <n v="4165289.2561983471"/>
    <n v="24000000"/>
    <n v="0"/>
    <n v="0"/>
    <n v="0"/>
    <n v="24000000"/>
    <d v="2026-03-12T00:00:00"/>
    <x v="40"/>
    <n v="31"/>
    <n v="-118"/>
    <m/>
    <d v="2026-07-15T00:00:00"/>
    <x v="33"/>
    <d v="2026-04-14T00:00:00"/>
    <n v="800"/>
    <n v="30000"/>
    <n v="0.14499999999999602"/>
    <n v="30000.145"/>
    <n v="281.26027397260276"/>
    <n v="30281.405273972603"/>
    <x v="2"/>
    <x v="0"/>
    <s v="TUCUMAN"/>
    <x v="3"/>
    <n v="35355"/>
    <n v="-5073.594726027397"/>
    <n v="-0.14350430564354111"/>
    <n v="-4058875.7808219176"/>
    <n v="28284000"/>
    <n v="24225124.219178081"/>
    <n v="2.9000000000000001E-2"/>
    <n v="-74.5"/>
    <m/>
    <s v="PREVENTA ZAFRA 26"/>
    <n v="0"/>
    <n v="1358.5219999999999"/>
    <n v="14600.213131477925"/>
    <m/>
    <n v="14600.213131477925"/>
    <n v="365.00532828694816"/>
    <n v="1.096780177280898"/>
    <n v="4.1406804449630226"/>
    <n v="370.24278890919209"/>
    <x v="4"/>
  </r>
  <r>
    <x v="2"/>
    <n v="1"/>
    <x v="6"/>
    <d v="2026-07-08T00:00:00"/>
    <x v="2"/>
    <s v="AZUCAR COMUN TIPO A"/>
    <x v="1"/>
    <d v="2026-07-08T00:00:00"/>
    <n v="50000"/>
    <n v="495.86776859504135"/>
    <n v="24793388.429752067"/>
    <n v="5206611.5702479342"/>
    <n v="30000000"/>
    <n v="0"/>
    <n v="0"/>
    <n v="0"/>
    <n v="30000000"/>
    <d v="2026-03-12T00:00:00"/>
    <x v="40"/>
    <n v="31"/>
    <n v="-118"/>
    <m/>
    <d v="2026-07-15T00:00:00"/>
    <x v="33"/>
    <d v="2026-04-14T00:00:00"/>
    <n v="1000"/>
    <n v="30000"/>
    <n v="0.14499999999999602"/>
    <n v="30000.145"/>
    <n v="281.26027397260276"/>
    <n v="30281.405273972603"/>
    <x v="2"/>
    <x v="0"/>
    <s v="TUCUMAN"/>
    <x v="3"/>
    <n v="35355"/>
    <n v="-5073.594726027397"/>
    <n v="-0.14350430564354111"/>
    <n v="-5073594.7260273974"/>
    <n v="35355000"/>
    <n v="30281405.273972604"/>
    <n v="2.9000000000000001E-2"/>
    <n v="-74.5"/>
    <m/>
    <s v="PREVENTA ZAFRA 26"/>
    <n v="0"/>
    <n v="1358.5219999999999"/>
    <n v="18250.266414347407"/>
    <m/>
    <n v="18250.266414347407"/>
    <n v="365.00532828694816"/>
    <n v="1.096780177280898"/>
    <n v="4.1406804449630226"/>
    <n v="370.24278890919209"/>
    <x v="4"/>
  </r>
  <r>
    <x v="2"/>
    <n v="1"/>
    <x v="23"/>
    <d v="2026-07-15T00:00:00"/>
    <x v="2"/>
    <s v="AZUCAR COMUN TIPO A"/>
    <x v="1"/>
    <d v="2026-07-15T00:00:00"/>
    <n v="30000"/>
    <n v="578.51239669421489"/>
    <n v="17355371.900826447"/>
    <n v="3644628.0991735538"/>
    <n v="21000000"/>
    <n v="0"/>
    <n v="0"/>
    <n v="0"/>
    <n v="21000000"/>
    <d v="2026-05-14T00:00:00"/>
    <x v="72"/>
    <n v="38"/>
    <n v="-62"/>
    <m/>
    <d v="2026-07-22T00:00:00"/>
    <x v="11"/>
    <d v="2026-05-14T00:00:00"/>
    <n v="600"/>
    <n v="35000"/>
    <n v="0.26999999999999602"/>
    <n v="35000.269999999997"/>
    <n v="178.35616438356163"/>
    <n v="35178.626164383561"/>
    <x v="2"/>
    <x v="0"/>
    <s v="TUCUMAN"/>
    <x v="3"/>
    <n v="37097"/>
    <n v="-1918.3738356164395"/>
    <n v="-5.1712371232618293E-2"/>
    <n v="-1151024.3013698636"/>
    <n v="22258200"/>
    <n v="21107175.698630136"/>
    <n v="0.03"/>
    <n v="-87"/>
    <n v="0"/>
    <s v="PREVENTA ZAFRA 26"/>
    <n v="0"/>
    <n v="1393.2321999999999"/>
    <n v="12456.91271047744"/>
    <m/>
    <n v="12456.91271047744"/>
    <n v="415.23042368258132"/>
    <n v="1.2488944771732953"/>
    <n v="2.5603221686027879"/>
    <n v="419.03964032835739"/>
    <x v="4"/>
  </r>
  <r>
    <x v="2"/>
    <n v="1"/>
    <x v="24"/>
    <d v="2026-07-16T00:00:00"/>
    <x v="2"/>
    <s v="AZUCAR COMUN TIPO A"/>
    <x v="1"/>
    <d v="2026-07-16T00:00:00"/>
    <n v="30000"/>
    <n v="578.51239669421489"/>
    <n v="17355371.900826447"/>
    <n v="3644628.0991735538"/>
    <n v="21000000"/>
    <n v="0"/>
    <n v="0"/>
    <n v="0"/>
    <n v="21000000"/>
    <d v="2026-05-14T00:00:00"/>
    <x v="55"/>
    <n v="39"/>
    <n v="-63"/>
    <m/>
    <d v="2026-07-23T00:00:00"/>
    <x v="11"/>
    <d v="2026-05-14T00:00:00"/>
    <n v="600"/>
    <n v="35000"/>
    <n v="0.26999999999999602"/>
    <n v="35000.269999999997"/>
    <n v="175.1917808219178"/>
    <n v="35175.461780821912"/>
    <x v="2"/>
    <x v="0"/>
    <s v="TUCUMAN"/>
    <x v="3"/>
    <n v="37097"/>
    <n v="-1921.5382191780882"/>
    <n v="-5.1797671487669894E-2"/>
    <n v="-1152922.9315068529"/>
    <n v="22258200"/>
    <n v="21105277.068493146"/>
    <n v="2.9000000000000001E-2"/>
    <n v="-87"/>
    <n v="0"/>
    <s v="PREVENTA ZAFRA 26"/>
    <n v="0"/>
    <n v="1393.2321999999999"/>
    <n v="12456.91271047744"/>
    <m/>
    <n v="12456.91271047744"/>
    <n v="415.23042368258132"/>
    <n v="1.2488944771732953"/>
    <n v="2.5148970978695124"/>
    <n v="418.99421525762409"/>
    <x v="4"/>
  </r>
  <r>
    <x v="2"/>
    <n v="1"/>
    <x v="25"/>
    <d v="2026-07-16T00:00:00"/>
    <x v="2"/>
    <s v="AZUCAR COMUN TIPO A"/>
    <x v="1"/>
    <d v="2026-07-16T00:00:00"/>
    <n v="30000"/>
    <n v="578.51239669421489"/>
    <n v="17355371.900826447"/>
    <n v="3644628.0991735538"/>
    <n v="21000000"/>
    <n v="0"/>
    <n v="0"/>
    <n v="0"/>
    <n v="21000000"/>
    <d v="2026-05-14T00:00:00"/>
    <x v="55"/>
    <n v="39"/>
    <n v="-63"/>
    <m/>
    <d v="2026-07-23T00:00:00"/>
    <x v="11"/>
    <d v="2026-05-14T00:00:00"/>
    <n v="600"/>
    <n v="35000"/>
    <n v="0.26999999999999602"/>
    <n v="35000.269999999997"/>
    <n v="175.1917808219178"/>
    <n v="35175.461780821912"/>
    <x v="2"/>
    <x v="0"/>
    <s v="TUCUMAN"/>
    <x v="3"/>
    <n v="37097"/>
    <n v="-1921.5382191780882"/>
    <n v="-5.1797671487669894E-2"/>
    <n v="-1152922.9315068529"/>
    <n v="22258200"/>
    <n v="21105277.068493146"/>
    <n v="2.9000000000000001E-2"/>
    <n v="-87"/>
    <n v="0"/>
    <s v="PREVENTA ZAFRA 26"/>
    <n v="0"/>
    <n v="1393.2321999999999"/>
    <n v="12456.91271047744"/>
    <m/>
    <n v="12456.91271047744"/>
    <n v="415.23042368258132"/>
    <n v="1.2488944771732953"/>
    <n v="2.5148970978695124"/>
    <n v="418.99421525762409"/>
    <x v="4"/>
  </r>
  <r>
    <x v="2"/>
    <n v="1"/>
    <x v="26"/>
    <d v="2026-07-15T00:00:00"/>
    <x v="2"/>
    <s v="AZUCAR COMUN TIPO A"/>
    <x v="1"/>
    <d v="2026-07-15T00:00:00"/>
    <n v="30000"/>
    <n v="578.51239669421489"/>
    <n v="17355371.900826447"/>
    <n v="3644628.0991735538"/>
    <n v="21000000"/>
    <n v="0"/>
    <n v="0"/>
    <n v="0"/>
    <n v="21000000"/>
    <d v="2026-05-14T00:00:00"/>
    <x v="72"/>
    <n v="38"/>
    <n v="-62"/>
    <m/>
    <d v="2026-07-22T00:00:00"/>
    <x v="11"/>
    <d v="2026-05-14T00:00:00"/>
    <n v="600"/>
    <n v="35000"/>
    <n v="0.26999999999999602"/>
    <n v="35000.269999999997"/>
    <n v="172.41095890410958"/>
    <n v="35172.680958904108"/>
    <x v="2"/>
    <x v="0"/>
    <s v="TUCUMAN"/>
    <x v="3"/>
    <n v="37097"/>
    <n v="-1924.3190410958923"/>
    <n v="-5.1872632317866429E-2"/>
    <n v="-1154591.4246575353"/>
    <n v="22258200"/>
    <n v="21103608.575342465"/>
    <n v="2.9000000000000001E-2"/>
    <n v="-87"/>
    <n v="0"/>
    <s v="PREVENTA ZAFRA 26"/>
    <n v="0"/>
    <n v="1393.2321999999999"/>
    <n v="12456.91271047744"/>
    <m/>
    <n v="12456.91271047744"/>
    <n v="415.23042368258132"/>
    <n v="1.2488944771732953"/>
    <n v="2.4749780963160282"/>
    <n v="418.95429625607062"/>
    <x v="4"/>
  </r>
  <r>
    <x v="2"/>
    <n v="1"/>
    <x v="26"/>
    <d v="2026-07-15T00:00:00"/>
    <x v="2"/>
    <s v="AZUCAR COMUN TIPO A"/>
    <x v="1"/>
    <d v="2026-07-15T00:00:00"/>
    <n v="30000"/>
    <n v="578.51239669421489"/>
    <n v="17355371.900826447"/>
    <n v="3644628.0991735538"/>
    <n v="21000000"/>
    <n v="0"/>
    <n v="0"/>
    <n v="0"/>
    <n v="21000000"/>
    <d v="2026-05-14T00:00:00"/>
    <x v="72"/>
    <n v="38"/>
    <n v="-62"/>
    <m/>
    <d v="2026-07-22T00:00:00"/>
    <x v="11"/>
    <d v="2026-05-14T00:00:00"/>
    <n v="600"/>
    <n v="35000"/>
    <n v="0.26999999999999602"/>
    <n v="35000.269999999997"/>
    <n v="172.41095890410958"/>
    <n v="35172.680958904108"/>
    <x v="2"/>
    <x v="0"/>
    <s v="TUCUMAN"/>
    <x v="3"/>
    <n v="37097"/>
    <n v="-1924.3190410958923"/>
    <n v="-5.1872632317866429E-2"/>
    <n v="-1154591.4246575353"/>
    <n v="22258200"/>
    <n v="21103608.575342465"/>
    <n v="2.9000000000000001E-2"/>
    <n v="-87"/>
    <n v="0"/>
    <s v="PREVENTA ZAFRA 26"/>
    <n v="0"/>
    <n v="1393.2321999999999"/>
    <n v="12456.91271047744"/>
    <m/>
    <n v="12456.91271047744"/>
    <n v="415.23042368258132"/>
    <n v="1.2488944771732953"/>
    <n v="2.4749780963160282"/>
    <n v="418.95429625607062"/>
    <x v="4"/>
  </r>
  <r>
    <x v="2"/>
    <n v="1"/>
    <x v="17"/>
    <d v="2026-07-01T00:00:00"/>
    <x v="5"/>
    <s v="AZUCAR COMUN TIPO A"/>
    <x v="1"/>
    <d v="2026-07-01T00:00:00"/>
    <n v="40000"/>
    <n v="495.86776859504135"/>
    <n v="19834710.743801653"/>
    <n v="4165289.2561983471"/>
    <n v="24000000"/>
    <n v="0"/>
    <n v="0"/>
    <n v="0"/>
    <n v="24000000"/>
    <d v="2026-04-14T00:00:00"/>
    <x v="38"/>
    <n v="24"/>
    <n v="-78"/>
    <m/>
    <d v="2026-07-08T00:00:00"/>
    <x v="21"/>
    <d v="2026-04-14T00:00:00"/>
    <n v="800"/>
    <n v="30000"/>
    <n v="0.14499999999999602"/>
    <n v="30000.145"/>
    <n v="185.91780821917808"/>
    <n v="30186.06280821918"/>
    <x v="2"/>
    <x v="0"/>
    <s v="TUCUMAN"/>
    <x v="3"/>
    <n v="35355"/>
    <n v="-5168.9371917808203"/>
    <n v="-0.14620102366796273"/>
    <n v="-4135149.7534246561"/>
    <n v="28284000"/>
    <n v="24148850.246575344"/>
    <n v="2.9000000000000001E-2"/>
    <n v="-74.5"/>
    <m/>
    <s v="PREVENTA ZAFRA 26"/>
    <n v="0"/>
    <n v="1358.5219999999999"/>
    <n v="14600.213131477925"/>
    <m/>
    <n v="14600.213131477925"/>
    <n v="365.00532828694816"/>
    <n v="1.096780177280898"/>
    <n v="2.7370599551450487"/>
    <n v="368.83916841937412"/>
    <x v="4"/>
  </r>
  <r>
    <x v="2"/>
    <n v="1"/>
    <x v="17"/>
    <d v="2026-07-01T00:00:00"/>
    <x v="5"/>
    <s v="AZUCAR COMUN TIPO A"/>
    <x v="1"/>
    <d v="2026-07-01T00:00:00"/>
    <n v="40000"/>
    <n v="495.86776859504135"/>
    <n v="19834710.743801653"/>
    <n v="4165289.2561983471"/>
    <n v="24000000"/>
    <n v="0"/>
    <n v="0"/>
    <n v="0"/>
    <n v="24000000"/>
    <d v="2026-04-14T00:00:00"/>
    <x v="38"/>
    <n v="24"/>
    <n v="-78"/>
    <m/>
    <d v="2026-07-08T00:00:00"/>
    <x v="21"/>
    <d v="2026-04-14T00:00:00"/>
    <n v="800"/>
    <n v="30000"/>
    <n v="0.14499999999999602"/>
    <n v="30000.145"/>
    <n v="185.91780821917808"/>
    <n v="30186.06280821918"/>
    <x v="2"/>
    <x v="0"/>
    <s v="TUCUMAN"/>
    <x v="3"/>
    <n v="35355"/>
    <n v="-5168.9371917808203"/>
    <n v="-0.14620102366796273"/>
    <n v="-4135149.7534246561"/>
    <n v="28284000"/>
    <n v="24148850.246575344"/>
    <n v="2.9000000000000001E-2"/>
    <n v="-74.5"/>
    <m/>
    <s v="PREVENTA ZAFRA 26"/>
    <n v="0"/>
    <n v="1358.5219999999999"/>
    <n v="14600.213131477925"/>
    <m/>
    <n v="14600.213131477925"/>
    <n v="365.00532828694816"/>
    <n v="1.096780177280898"/>
    <n v="2.7370599551450487"/>
    <n v="368.83916841937412"/>
    <x v="4"/>
  </r>
  <r>
    <x v="2"/>
    <n v="1"/>
    <x v="17"/>
    <d v="2026-07-02T00:00:00"/>
    <x v="5"/>
    <s v="AZUCAR COMUN TIPO A"/>
    <x v="1"/>
    <d v="2026-07-02T00:00:00"/>
    <n v="40000"/>
    <n v="495.86776859504135"/>
    <n v="19834710.743801653"/>
    <n v="4165289.2561983471"/>
    <n v="24000000"/>
    <n v="0"/>
    <n v="0"/>
    <n v="0"/>
    <n v="24000000"/>
    <d v="2026-04-14T00:00:00"/>
    <x v="24"/>
    <n v="25"/>
    <n v="-79"/>
    <m/>
    <d v="2026-07-09T00:00:00"/>
    <x v="21"/>
    <d v="2026-04-14T00:00:00"/>
    <n v="800"/>
    <n v="30000"/>
    <n v="0.14499999999999602"/>
    <n v="30000.145"/>
    <n v="188.30136986301372"/>
    <n v="30188.446369863013"/>
    <x v="2"/>
    <x v="0"/>
    <s v="TUCUMAN"/>
    <x v="3"/>
    <n v="35355"/>
    <n v="-5166.5536301369866"/>
    <n v="-0.14613360571735223"/>
    <n v="-4133242.9041095893"/>
    <n v="28284000"/>
    <n v="24150757.09589041"/>
    <n v="2.9000000000000001E-2"/>
    <n v="-74.5"/>
    <m/>
    <s v="PREVENTA ZAFRA 26"/>
    <n v="0"/>
    <n v="1358.5219999999999"/>
    <n v="14600.213131477925"/>
    <m/>
    <n v="14600.213131477925"/>
    <n v="365.00532828694816"/>
    <n v="1.096780177280898"/>
    <n v="2.7721504673904982"/>
    <n v="368.87425893161952"/>
    <x v="4"/>
  </r>
  <r>
    <x v="2"/>
    <n v="1"/>
    <x v="17"/>
    <d v="2026-07-03T00:00:00"/>
    <x v="7"/>
    <s v="AZUCAR COMUN TIPO A"/>
    <x v="1"/>
    <d v="2026-07-03T00:00:00"/>
    <n v="40000"/>
    <n v="495.86776859504135"/>
    <n v="19834710.743801653"/>
    <n v="4165289.2561983471"/>
    <n v="24000000"/>
    <n v="0"/>
    <n v="0"/>
    <n v="0"/>
    <n v="24000000"/>
    <d v="2026-05-26T00:00:00"/>
    <x v="36"/>
    <n v="26"/>
    <n v="-38"/>
    <m/>
    <d v="2026-07-10T00:00:00"/>
    <x v="34"/>
    <d v="2026-05-20T00:00:00"/>
    <n v="800"/>
    <n v="30000"/>
    <n v="0.14499999999999602"/>
    <n v="30000.145"/>
    <n v="90.575342465753437"/>
    <n v="30090.720342465753"/>
    <x v="2"/>
    <x v="0"/>
    <s v="TUCUMAN"/>
    <x v="3"/>
    <n v="37109"/>
    <n v="-7018.2796575342472"/>
    <n v="-0.18912607878235055"/>
    <n v="-5614623.7260273974"/>
    <n v="29687200"/>
    <n v="24072576.273972601"/>
    <n v="2.9000000000000001E-2"/>
    <n v="-74.5"/>
    <m/>
    <s v="PREVENTA ZAFRA 26"/>
    <n v="0"/>
    <n v="1398.8345999999999"/>
    <n v="14179.453913852041"/>
    <m/>
    <n v="14179.453913852041"/>
    <n v="354.48634784630099"/>
    <n v="1.0651723942201603"/>
    <n v="1.2950114683430543"/>
    <n v="356.84653170886418"/>
    <x v="4"/>
  </r>
  <r>
    <x v="2"/>
    <n v="1"/>
    <x v="17"/>
    <d v="2026-07-04T00:00:00"/>
    <x v="7"/>
    <s v="AZUCAR COMUN TIPO A"/>
    <x v="1"/>
    <d v="2026-07-04T00:00:00"/>
    <n v="40000"/>
    <n v="495.86776859504135"/>
    <n v="19834710.743801653"/>
    <n v="4165289.2561983471"/>
    <n v="24000000"/>
    <n v="0"/>
    <n v="0"/>
    <n v="0"/>
    <n v="24000000"/>
    <d v="2026-05-26T00:00:00"/>
    <x v="31"/>
    <n v="27"/>
    <n v="-39"/>
    <m/>
    <d v="2026-07-11T00:00:00"/>
    <x v="34"/>
    <d v="2026-05-20T00:00:00"/>
    <n v="800"/>
    <n v="30000"/>
    <n v="0.14499999999999602"/>
    <n v="30000.145"/>
    <n v="92.958904109589042"/>
    <n v="30093.10390410959"/>
    <x v="2"/>
    <x v="0"/>
    <s v="TUCUMAN"/>
    <x v="3"/>
    <n v="37109"/>
    <n v="-7015.8960958904099"/>
    <n v="-0.18906184741950494"/>
    <n v="-5612716.8767123278"/>
    <n v="29687200"/>
    <n v="24074483.12328767"/>
    <n v="2.9000000000000001E-2"/>
    <n v="-74.5"/>
    <m/>
    <s v="PREVENTA ZAFRA 26"/>
    <n v="0"/>
    <n v="1398.8345999999999"/>
    <n v="14179.453913852041"/>
    <m/>
    <n v="14179.453913852041"/>
    <n v="354.48634784630099"/>
    <n v="1.0651723942201603"/>
    <n v="1.3290907175099766"/>
    <n v="356.88061095803113"/>
    <x v="4"/>
  </r>
  <r>
    <x v="2"/>
    <n v="1"/>
    <x v="17"/>
    <d v="2026-07-05T00:00:00"/>
    <x v="7"/>
    <s v="AZUCAR COMUN TIPO A"/>
    <x v="1"/>
    <d v="2026-07-05T00:00:00"/>
    <n v="40000"/>
    <n v="495.86776859504135"/>
    <n v="19834710.743801653"/>
    <n v="4165289.2561983471"/>
    <n v="24000000"/>
    <n v="0"/>
    <n v="0"/>
    <n v="0"/>
    <n v="24000000"/>
    <d v="2026-05-26T00:00:00"/>
    <x v="25"/>
    <n v="28"/>
    <n v="-40"/>
    <m/>
    <d v="2026-07-12T00:00:00"/>
    <x v="34"/>
    <d v="2026-05-20T00:00:00"/>
    <n v="800"/>
    <n v="30000"/>
    <n v="0.14499999999999602"/>
    <n v="30000.145"/>
    <n v="95.342465753424662"/>
    <n v="30095.487465753424"/>
    <x v="2"/>
    <x v="0"/>
    <s v="TUCUMAN"/>
    <x v="3"/>
    <n v="37109"/>
    <n v="-7013.5125342465763"/>
    <n v="-0.18899761605665943"/>
    <n v="-5610810.027397261"/>
    <n v="29687200"/>
    <n v="24076389.97260274"/>
    <n v="2.9000000000000001E-2"/>
    <n v="-74.5"/>
    <m/>
    <s v="PREVENTA ZAFRA 26"/>
    <n v="0"/>
    <n v="1398.8345999999999"/>
    <n v="14179.453913852041"/>
    <m/>
    <n v="14179.453913852041"/>
    <n v="354.48634784630099"/>
    <n v="1.0651723942201603"/>
    <n v="1.363169966676899"/>
    <n v="356.91469020719802"/>
    <x v="4"/>
  </r>
  <r>
    <x v="2"/>
    <n v="1"/>
    <x v="17"/>
    <d v="2026-07-06T00:00:00"/>
    <x v="7"/>
    <s v="AZUCAR COMUN TIPO A"/>
    <x v="1"/>
    <d v="2026-07-06T00:00:00"/>
    <n v="40000"/>
    <n v="495.86776859504135"/>
    <n v="19834710.743801653"/>
    <n v="4165289.2561983471"/>
    <n v="24000000"/>
    <n v="0"/>
    <n v="0"/>
    <n v="0"/>
    <n v="24000000"/>
    <d v="2026-05-26T00:00:00"/>
    <x v="37"/>
    <n v="29"/>
    <n v="-41"/>
    <m/>
    <d v="2026-07-13T00:00:00"/>
    <x v="34"/>
    <d v="2026-05-20T00:00:00"/>
    <n v="800"/>
    <n v="30000"/>
    <n v="0.14499999999999602"/>
    <n v="30000.145"/>
    <n v="97.726027397260282"/>
    <n v="30097.871027397261"/>
    <x v="2"/>
    <x v="0"/>
    <s v="TUCUMAN"/>
    <x v="3"/>
    <n v="37109"/>
    <n v="-7011.1289726027389"/>
    <n v="-0.18893338469381382"/>
    <n v="-5608903.1780821914"/>
    <n v="29687200"/>
    <n v="24078296.82191781"/>
    <n v="2.9000000000000001E-2"/>
    <n v="-74.5"/>
    <m/>
    <s v="PREVENTA ZAFRA 26"/>
    <n v="0"/>
    <n v="1398.8345999999999"/>
    <n v="14179.453913852041"/>
    <m/>
    <n v="14179.453913852041"/>
    <n v="354.48634784630099"/>
    <n v="1.0651723942201603"/>
    <n v="1.3972492158438214"/>
    <n v="356.94876945636497"/>
    <x v="4"/>
  </r>
  <r>
    <x v="2"/>
    <n v="1"/>
    <x v="17"/>
    <d v="2026-07-08T00:00:00"/>
    <x v="7"/>
    <s v="AZUCAR COMUN TIPO A"/>
    <x v="1"/>
    <d v="2026-07-08T00:00:00"/>
    <n v="40000"/>
    <n v="495.86776859504135"/>
    <n v="19834710.743801653"/>
    <n v="4165289.2561983471"/>
    <n v="24000000"/>
    <n v="0"/>
    <n v="0"/>
    <n v="0"/>
    <n v="24000000"/>
    <d v="2026-05-26T00:00:00"/>
    <x v="40"/>
    <n v="31"/>
    <n v="-43"/>
    <m/>
    <d v="2026-07-15T00:00:00"/>
    <x v="34"/>
    <d v="2026-05-20T00:00:00"/>
    <n v="800"/>
    <n v="30000"/>
    <n v="0.14499999999999602"/>
    <n v="30000.145"/>
    <n v="102.49315068493152"/>
    <n v="30102.638150684932"/>
    <x v="2"/>
    <x v="0"/>
    <s v="TUCUMAN"/>
    <x v="3"/>
    <n v="37109"/>
    <n v="-7006.361849315068"/>
    <n v="-0.18880492196812282"/>
    <n v="-5605089.479452054"/>
    <n v="29687200"/>
    <n v="24082110.520547945"/>
    <n v="2.9000000000000001E-2"/>
    <n v="-74.5"/>
    <m/>
    <s v="PREVENTA ZAFRA 26"/>
    <n v="0"/>
    <n v="1398.8345999999999"/>
    <n v="14179.453913852041"/>
    <m/>
    <n v="14179.453913852041"/>
    <n v="354.48634784630099"/>
    <n v="1.0651723942201603"/>
    <n v="1.4654077141776665"/>
    <n v="357.01692795469882"/>
    <x v="4"/>
  </r>
  <r>
    <x v="2"/>
    <n v="1"/>
    <x v="17"/>
    <d v="2026-07-09T00:00:00"/>
    <x v="7"/>
    <s v="AZUCAR COMUN TIPO A"/>
    <x v="1"/>
    <d v="2026-07-09T00:00:00"/>
    <n v="40000"/>
    <n v="495.86776859504135"/>
    <n v="19834710.743801653"/>
    <n v="4165289.2561983471"/>
    <n v="24000000"/>
    <n v="0"/>
    <n v="0"/>
    <n v="0"/>
    <n v="24000000"/>
    <d v="2026-05-26T00:00:00"/>
    <x v="41"/>
    <n v="32"/>
    <n v="-44"/>
    <m/>
    <d v="2026-07-16T00:00:00"/>
    <x v="34"/>
    <d v="2026-05-20T00:00:00"/>
    <n v="800"/>
    <n v="30000"/>
    <n v="0.14499999999999602"/>
    <n v="30000.145"/>
    <n v="104.87671232876713"/>
    <n v="30105.021712328769"/>
    <x v="2"/>
    <x v="0"/>
    <s v="TUCUMAN"/>
    <x v="3"/>
    <n v="37109"/>
    <n v="-7003.9782876712306"/>
    <n v="-0.18874069060527721"/>
    <n v="-5603182.6301369844"/>
    <n v="29687200"/>
    <n v="24084017.369863015"/>
    <n v="2.9000000000000001E-2"/>
    <n v="-74.5"/>
    <m/>
    <s v="PREVENTA ZAFRA 26"/>
    <n v="0"/>
    <n v="1398.8345999999999"/>
    <n v="14179.453913852041"/>
    <m/>
    <n v="14179.453913852041"/>
    <n v="354.48634784630099"/>
    <n v="1.0651723942201603"/>
    <n v="1.4994869633445889"/>
    <n v="357.05100720386571"/>
    <x v="4"/>
  </r>
  <r>
    <x v="2"/>
    <n v="1"/>
    <x v="17"/>
    <d v="2026-07-10T00:00:00"/>
    <x v="7"/>
    <s v="AZUCAR COMUN TIPO A"/>
    <x v="1"/>
    <d v="2026-07-10T00:00:00"/>
    <n v="40000"/>
    <n v="495.86776859504135"/>
    <n v="19834710.743801653"/>
    <n v="4165289.2561983471"/>
    <n v="24000000"/>
    <n v="0"/>
    <n v="0"/>
    <n v="0"/>
    <n v="24000000"/>
    <d v="2026-05-26T00:00:00"/>
    <x v="79"/>
    <n v="33"/>
    <n v="-45"/>
    <m/>
    <d v="2026-07-17T00:00:00"/>
    <x v="34"/>
    <d v="2026-05-20T00:00:00"/>
    <n v="800"/>
    <n v="30000"/>
    <n v="0.14499999999999602"/>
    <n v="30000.145"/>
    <n v="107.26027397260275"/>
    <n v="30107.405273972603"/>
    <x v="2"/>
    <x v="0"/>
    <s v="TUCUMAN"/>
    <x v="3"/>
    <n v="37109"/>
    <n v="-7001.594726027397"/>
    <n v="-0.1886764592424317"/>
    <n v="-5601275.7808219176"/>
    <n v="29687200"/>
    <n v="24085924.219178081"/>
    <n v="2.9000000000000001E-2"/>
    <n v="-74.5"/>
    <m/>
    <s v="PREVENTA ZAFRA 26"/>
    <n v="0"/>
    <n v="1398.8345999999999"/>
    <n v="14179.453913852041"/>
    <m/>
    <n v="14179.453913852041"/>
    <n v="354.48634784630099"/>
    <n v="1.0651723942201603"/>
    <n v="1.5335662125115115"/>
    <n v="357.08508645303266"/>
    <x v="4"/>
  </r>
  <r>
    <x v="2"/>
    <n v="1"/>
    <x v="17"/>
    <d v="2026-07-11T00:00:00"/>
    <x v="7"/>
    <s v="AZUCAR COMUN TIPO A"/>
    <x v="1"/>
    <d v="2026-07-11T00:00:00"/>
    <n v="40000"/>
    <n v="495.86776859504135"/>
    <n v="19834710.743801653"/>
    <n v="4165289.2561983471"/>
    <n v="24000000"/>
    <n v="0"/>
    <n v="0"/>
    <n v="0"/>
    <n v="24000000"/>
    <d v="2026-05-26T00:00:00"/>
    <x v="54"/>
    <n v="34"/>
    <n v="-46"/>
    <m/>
    <d v="2026-07-18T00:00:00"/>
    <x v="34"/>
    <d v="2026-05-20T00:00:00"/>
    <n v="800"/>
    <n v="30000"/>
    <n v="0.14499999999999602"/>
    <n v="30000.145"/>
    <n v="109.64383561643837"/>
    <n v="30109.78883561644"/>
    <x v="2"/>
    <x v="0"/>
    <s v="TUCUMAN"/>
    <x v="3"/>
    <n v="37109"/>
    <n v="-6999.2111643835597"/>
    <n v="-0.18861222787958609"/>
    <n v="-5599368.931506848"/>
    <n v="29687200"/>
    <n v="24087831.068493154"/>
    <n v="2.9000000000000001E-2"/>
    <n v="-74.5"/>
    <m/>
    <s v="PREVENTA ZAFRA 26"/>
    <n v="0"/>
    <n v="1398.8345999999999"/>
    <n v="14179.453913852041"/>
    <m/>
    <n v="14179.453913852041"/>
    <n v="354.48634784630099"/>
    <n v="1.0651723942201603"/>
    <n v="1.5676454616784339"/>
    <n v="357.11916570219955"/>
    <x v="4"/>
  </r>
  <r>
    <x v="2"/>
    <n v="1"/>
    <x v="17"/>
    <d v="2026-07-12T00:00:00"/>
    <x v="7"/>
    <s v="AZUCAR COMUN TIPO A"/>
    <x v="1"/>
    <d v="2026-07-12T00:00:00"/>
    <n v="40000"/>
    <n v="495.86776859504135"/>
    <n v="19834710.743801653"/>
    <n v="4165289.2561983471"/>
    <n v="24000000"/>
    <n v="0"/>
    <n v="0"/>
    <n v="0"/>
    <n v="24000000"/>
    <d v="2026-05-26T00:00:00"/>
    <x v="75"/>
    <n v="35"/>
    <n v="-47"/>
    <m/>
    <d v="2026-07-19T00:00:00"/>
    <x v="34"/>
    <d v="2026-05-20T00:00:00"/>
    <n v="800"/>
    <n v="30000"/>
    <n v="0.14499999999999602"/>
    <n v="30000.145"/>
    <n v="112.02739726027399"/>
    <n v="30112.172397260274"/>
    <x v="2"/>
    <x v="0"/>
    <s v="TUCUMAN"/>
    <x v="3"/>
    <n v="37109"/>
    <n v="-6996.827602739726"/>
    <n v="-0.18854799651674059"/>
    <n v="-5597462.0821917811"/>
    <n v="29687200"/>
    <n v="24089737.91780822"/>
    <n v="2.9000000000000001E-2"/>
    <n v="-74.5"/>
    <m/>
    <s v="PREVENTA ZAFRA 26"/>
    <n v="0"/>
    <n v="1398.8345999999999"/>
    <n v="14179.453913852041"/>
    <m/>
    <n v="14179.453913852041"/>
    <n v="354.48634784630099"/>
    <n v="1.0651723942201603"/>
    <n v="1.6017247108453565"/>
    <n v="357.1532449513665"/>
    <x v="4"/>
  </r>
  <r>
    <x v="2"/>
    <n v="1"/>
    <x v="17"/>
    <d v="2026-07-13T00:00:00"/>
    <x v="7"/>
    <s v="AZUCAR COMUN TIPO A"/>
    <x v="1"/>
    <d v="2026-07-13T00:00:00"/>
    <n v="40000"/>
    <n v="495.86776859504135"/>
    <n v="19834710.743801653"/>
    <n v="4165289.2561983471"/>
    <n v="24000000"/>
    <n v="0"/>
    <n v="0"/>
    <n v="0"/>
    <n v="24000000"/>
    <d v="2026-05-26T00:00:00"/>
    <x v="80"/>
    <n v="36"/>
    <n v="-48"/>
    <m/>
    <d v="2026-07-20T00:00:00"/>
    <x v="34"/>
    <d v="2026-05-20T00:00:00"/>
    <n v="800"/>
    <n v="30000"/>
    <n v="0.14499999999999602"/>
    <n v="30000.145"/>
    <n v="114.41095890410961"/>
    <n v="30114.555958904111"/>
    <x v="2"/>
    <x v="0"/>
    <s v="TUCUMAN"/>
    <x v="3"/>
    <n v="37109"/>
    <n v="-6994.4440410958887"/>
    <n v="-0.18848376515389498"/>
    <n v="-5595555.2328767106"/>
    <n v="29687200"/>
    <n v="24091644.767123289"/>
    <n v="2.9000000000000001E-2"/>
    <n v="-74.5"/>
    <m/>
    <s v="PREVENTA ZAFRA 26"/>
    <n v="0"/>
    <n v="1398.8345999999999"/>
    <n v="14179.453913852041"/>
    <m/>
    <n v="14179.453913852041"/>
    <n v="354.48634784630099"/>
    <n v="1.0651723942201603"/>
    <n v="1.6358039600122791"/>
    <n v="357.1873242005334"/>
    <x v="4"/>
  </r>
  <r>
    <x v="2"/>
    <n v="1"/>
    <x v="17"/>
    <d v="2026-07-14T00:00:00"/>
    <x v="7"/>
    <s v="AZUCAR COMUN TIPO A"/>
    <x v="1"/>
    <d v="2026-07-14T00:00:00"/>
    <n v="40000"/>
    <n v="495.86776859504135"/>
    <n v="19834710.743801653"/>
    <n v="4165289.2561983471"/>
    <n v="24000000"/>
    <n v="0"/>
    <n v="0"/>
    <n v="0"/>
    <n v="24000000"/>
    <d v="2026-05-26T00:00:00"/>
    <x v="81"/>
    <n v="37"/>
    <n v="-49"/>
    <m/>
    <d v="2026-07-21T00:00:00"/>
    <x v="34"/>
    <d v="2026-05-20T00:00:00"/>
    <n v="800"/>
    <n v="30000"/>
    <n v="0.14499999999999602"/>
    <n v="30000.145"/>
    <n v="116.79452054794521"/>
    <n v="30116.939520547945"/>
    <x v="2"/>
    <x v="0"/>
    <s v="TUCUMAN"/>
    <x v="3"/>
    <n v="37109"/>
    <n v="-6992.060479452055"/>
    <n v="-0.18841953379104948"/>
    <n v="-5593648.3835616438"/>
    <n v="29687200"/>
    <n v="24093551.616438355"/>
    <n v="2.9000000000000001E-2"/>
    <n v="-74.5"/>
    <m/>
    <s v="PREVENTA ZAFRA 26"/>
    <n v="0"/>
    <n v="1398.8345999999999"/>
    <n v="14179.453913852041"/>
    <m/>
    <n v="14179.453913852041"/>
    <n v="354.48634784630099"/>
    <n v="1.0651723942201603"/>
    <n v="1.6698832091792013"/>
    <n v="357.22140344970035"/>
    <x v="4"/>
  </r>
  <r>
    <x v="2"/>
    <n v="1"/>
    <x v="17"/>
    <d v="2026-07-15T00:00:00"/>
    <x v="7"/>
    <s v="AZUCAR COMUN TIPO A"/>
    <x v="1"/>
    <d v="2026-07-15T00:00:00"/>
    <n v="40000"/>
    <n v="495.86776859504135"/>
    <n v="19834710.743801653"/>
    <n v="4165289.2561983471"/>
    <n v="24000000"/>
    <n v="0"/>
    <n v="0"/>
    <n v="0"/>
    <n v="24000000"/>
    <d v="2026-05-27T00:00:00"/>
    <x v="72"/>
    <n v="38"/>
    <n v="-49"/>
    <m/>
    <d v="2026-07-22T00:00:00"/>
    <x v="34"/>
    <d v="2026-05-20T00:00:00"/>
    <n v="800"/>
    <n v="30000"/>
    <n v="0.14499999999999602"/>
    <n v="30000.145"/>
    <n v="116.79452054794521"/>
    <n v="30116.939520547945"/>
    <x v="2"/>
    <x v="0"/>
    <s v="TUCUMAN"/>
    <x v="3"/>
    <n v="37109"/>
    <n v="-6992.060479452055"/>
    <n v="-0.18841953379104948"/>
    <n v="-5593648.3835616438"/>
    <n v="29687200"/>
    <n v="24093551.616438355"/>
    <n v="2.9000000000000001E-2"/>
    <n v="-74.5"/>
    <m/>
    <s v="PREVENTA ZAFRA 26"/>
    <n v="0"/>
    <n v="1398.8345999999999"/>
    <n v="14179.453913852041"/>
    <m/>
    <n v="14179.453913852041"/>
    <n v="354.48634784630099"/>
    <n v="1.0651723942201603"/>
    <n v="1.6698832091792013"/>
    <n v="357.22140344970035"/>
    <x v="4"/>
  </r>
  <r>
    <x v="2"/>
    <n v="1"/>
    <x v="17"/>
    <d v="2026-07-16T00:00:00"/>
    <x v="7"/>
    <s v="AZUCAR COMUN TIPO A"/>
    <x v="1"/>
    <d v="2026-07-16T00:00:00"/>
    <n v="40000"/>
    <n v="495.86776859504135"/>
    <n v="19834710.743801653"/>
    <n v="4165289.2561983471"/>
    <n v="24000000"/>
    <n v="0"/>
    <n v="0"/>
    <n v="0"/>
    <n v="24000000"/>
    <d v="2026-05-27T00:00:00"/>
    <x v="55"/>
    <n v="39"/>
    <n v="-50"/>
    <m/>
    <d v="2026-07-23T00:00:00"/>
    <x v="34"/>
    <d v="2026-05-20T00:00:00"/>
    <n v="800"/>
    <n v="30000"/>
    <n v="0.14499999999999602"/>
    <n v="30000.145"/>
    <n v="119.17808219178083"/>
    <n v="30119.323082191782"/>
    <x v="2"/>
    <x v="0"/>
    <s v="TUCUMAN"/>
    <x v="3"/>
    <n v="37109"/>
    <n v="-6989.6769178082177"/>
    <n v="-0.18835530242820386"/>
    <n v="-5591741.5342465742"/>
    <n v="29687200"/>
    <n v="24095458.465753425"/>
    <n v="2.9000000000000001E-2"/>
    <n v="-74.5"/>
    <m/>
    <s v="PREVENTA ZAFRA 26"/>
    <n v="0"/>
    <n v="1398.8345999999999"/>
    <n v="14179.453913852041"/>
    <m/>
    <n v="14179.453913852041"/>
    <n v="354.48634784630099"/>
    <n v="1.0651723942201603"/>
    <n v="1.7039624583461237"/>
    <n v="357.25548269886724"/>
    <x v="4"/>
  </r>
  <r>
    <x v="2"/>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3"/>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4"/>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5"/>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6"/>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7"/>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8"/>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9"/>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0"/>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0"/>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0"/>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0"/>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0"/>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0"/>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0"/>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0"/>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0"/>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0"/>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0"/>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1"/>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1"/>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1"/>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1"/>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1"/>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1"/>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1"/>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1"/>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1"/>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1"/>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1"/>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1"/>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1"/>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1"/>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r>
    <x v="11"/>
    <m/>
    <x v="30"/>
    <d v="1899-12-30T00:00:00"/>
    <x v="2"/>
    <m/>
    <x v="2"/>
    <m/>
    <m/>
    <m/>
    <n v="0"/>
    <s v=""/>
    <n v="0"/>
    <n v="0"/>
    <n v="0"/>
    <n v="0"/>
    <n v="0"/>
    <d v="1899-12-30T00:00:00"/>
    <x v="77"/>
    <n v="-46180"/>
    <m/>
    <m/>
    <d v="1900-01-06T00:00:00"/>
    <x v="0"/>
    <m/>
    <n v="0"/>
    <s v=""/>
    <n v="0"/>
    <e v="#VALUE!"/>
    <e v="#VALUE!"/>
    <e v="#VALUE!"/>
    <x v="5"/>
    <x v="12"/>
    <m/>
    <x v="5"/>
    <s v=""/>
    <e v="#VALUE!"/>
    <s v=""/>
    <e v="#VALUE!"/>
    <e v="#VALUE!"/>
    <e v="#VALUE!"/>
    <m/>
    <n v="0"/>
    <m/>
    <m/>
    <n v="0"/>
    <e v="#N/A"/>
    <e v="#N/A"/>
    <m/>
    <s v=""/>
    <e v="#N/A"/>
    <e v="#N/A"/>
    <e v="#VALUE!"/>
    <e v="#N/A"/>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29AE42-A7CA-4211-B08F-FD11045DC09B}" name="TablaDinámica2" cacheId="3" applyNumberFormats="0" applyBorderFormats="0" applyFontFormats="0" applyPatternFormats="0" applyAlignmentFormats="0" applyWidthHeightFormats="1" dataCaption="Valores" updatedVersion="7" minRefreshableVersion="3" useAutoFormatting="1" itemPrintTitles="1" createdVersion="7" indent="0" compact="0" compactData="0" multipleFieldFilters="0">
  <location ref="A144:E164" firstHeaderRow="0" firstDataRow="1" firstDataCol="2" rowPageCount="1" colPageCount="1"/>
  <pivotFields count="59">
    <pivotField axis="axisPage" compact="0" numFmtId="17" outline="0" multipleItemSelectionAllowed="1" showAll="0">
      <items count="15">
        <item x="0"/>
        <item x="1"/>
        <item x="2"/>
        <item x="3"/>
        <item x="4"/>
        <item x="5"/>
        <item x="6"/>
        <item x="7"/>
        <item x="8"/>
        <item x="9"/>
        <item x="10"/>
        <item x="11"/>
        <item x="12"/>
        <item x="13"/>
        <item t="default"/>
      </items>
    </pivotField>
    <pivotField dataField="1" compact="0" outline="0" showAll="0"/>
    <pivotField compact="0" outline="0" showAll="0">
      <items count="70">
        <item m="1" x="48"/>
        <item m="1" x="60"/>
        <item x="28"/>
        <item m="1" x="54"/>
        <item m="1" x="47"/>
        <item x="3"/>
        <item x="8"/>
        <item m="1" x="51"/>
        <item m="1" x="68"/>
        <item x="15"/>
        <item m="1" x="41"/>
        <item m="1" x="58"/>
        <item m="1" x="45"/>
        <item m="1" x="55"/>
        <item m="1" x="53"/>
        <item m="1" x="46"/>
        <item x="20"/>
        <item m="1" x="34"/>
        <item x="31"/>
        <item x="2"/>
        <item h="1" x="30"/>
        <item m="1" x="56"/>
        <item m="1" x="42"/>
        <item m="1" x="44"/>
        <item m="1" x="59"/>
        <item m="1" x="37"/>
        <item m="1" x="33"/>
        <item m="1" x="62"/>
        <item m="1" x="36"/>
        <item m="1" x="38"/>
        <item x="5"/>
        <item m="1" x="61"/>
        <item m="1" x="64"/>
        <item x="0"/>
        <item h="1" m="1" x="43"/>
        <item h="1" x="6"/>
        <item h="1" m="1" x="63"/>
        <item h="1" x="9"/>
        <item h="1" m="1" x="50"/>
        <item h="1" m="1" x="35"/>
        <item h="1" x="18"/>
        <item h="1" x="4"/>
        <item h="1" m="1" x="52"/>
        <item h="1" m="1" x="65"/>
        <item h="1" m="1" x="49"/>
        <item h="1" m="1" x="32"/>
        <item h="1" m="1" x="66"/>
        <item h="1" m="1" x="57"/>
        <item h="1" m="1" x="67"/>
        <item h="1" x="1"/>
        <item h="1" m="1" x="40"/>
        <item h="1" m="1" x="39"/>
        <item h="1" x="7"/>
        <item h="1" x="26"/>
        <item h="1" x="12"/>
        <item h="1" x="16"/>
        <item h="1" x="17"/>
        <item h="1" x="19"/>
        <item h="1" x="22"/>
        <item h="1" x="23"/>
        <item h="1" x="24"/>
        <item h="1" x="25"/>
        <item h="1" x="27"/>
        <item h="1" x="21"/>
        <item h="1" x="10"/>
        <item h="1" x="11"/>
        <item h="1" x="13"/>
        <item h="1" x="14"/>
        <item h="1" x="29"/>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numFmtId="164"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numFmtId="1" outline="0" showAll="0"/>
    <pivotField compact="0" outline="0" showAll="0"/>
    <pivotField compact="0" outline="0" showAll="0"/>
    <pivotField compact="0" numFmtId="14" outline="0" showAll="0"/>
    <pivotField compact="0" outline="0" showAll="0"/>
    <pivotField compact="0" outline="0" showAll="0"/>
    <pivotField dataField="1" compact="0" outline="0" showAll="0"/>
    <pivotField compact="0" numFmtId="164" outline="0" showAll="0"/>
    <pivotField compact="0" numFmtId="171" outline="0" showAll="0"/>
    <pivotField compact="0" numFmtId="171" outline="0" showAll="0"/>
    <pivotField compact="0" outline="0" showAll="0"/>
    <pivotField compact="0" numFmtId="171" outline="0" showAll="0"/>
    <pivotField compact="0" outline="0" showAll="0"/>
    <pivotField axis="axisRow" compact="0" outline="0" showAll="0">
      <items count="30">
        <item x="10"/>
        <item x="2"/>
        <item m="1" x="26"/>
        <item m="1" x="21"/>
        <item m="1" x="20"/>
        <item m="1" x="22"/>
        <item m="1" x="25"/>
        <item m="1" x="16"/>
        <item x="5"/>
        <item x="8"/>
        <item x="3"/>
        <item x="9"/>
        <item m="1" x="23"/>
        <item m="1" x="28"/>
        <item x="7"/>
        <item x="4"/>
        <item x="0"/>
        <item x="6"/>
        <item m="1" x="19"/>
        <item m="1" x="15"/>
        <item m="1" x="17"/>
        <item m="1" x="27"/>
        <item m="1" x="24"/>
        <item m="1" x="14"/>
        <item x="13"/>
        <item m="1" x="18"/>
        <item x="12"/>
        <item x="1"/>
        <item x="11"/>
        <item t="default"/>
      </items>
    </pivotField>
    <pivotField compact="0" outline="0" showAll="0"/>
    <pivotField axis="axisRow" compact="0" outline="0" showAll="0" defaultSubtotal="0">
      <items count="10">
        <item n="EX" m="1" x="6"/>
        <item n="IN" m="1" x="8"/>
        <item m="1" x="9"/>
        <item m="1" x="7"/>
        <item x="5"/>
        <item x="2"/>
        <item x="4"/>
        <item x="3"/>
        <item x="1"/>
        <item x="0"/>
      </items>
    </pivotField>
    <pivotField compact="0" numFmtId="164" outline="0" showAll="0"/>
    <pivotField compact="0" numFmtId="164" outline="0" showAll="0"/>
    <pivotField compact="0" numFmtId="9" outline="0" showAll="0"/>
    <pivotField compact="0" numFmtId="164" outline="0" showAll="0"/>
    <pivotField compact="0" numFmtId="164" outline="0" showAll="0"/>
    <pivotField compact="0" numFmtId="164" outline="0" showAll="0"/>
    <pivotField compact="0" outline="0" showAll="0"/>
    <pivotField compact="0" outline="0" showAll="0"/>
    <pivotField compact="0" numFmtId="1" outline="0" showAll="0"/>
    <pivotField compact="0" outline="0" showAll="0"/>
    <pivotField compact="0" numFmtId="44" outline="0" showAll="0"/>
    <pivotField compact="0" outline="0" showAll="0"/>
    <pivotField compact="0" numFmtId="192" outline="0" showAll="0"/>
    <pivotField compact="0" numFmtId="9" outline="0" showAll="0"/>
    <pivotField compact="0" numFmtId="192" outline="0" showAll="0"/>
    <pivotField compact="0" outline="0" showAll="0"/>
    <pivotField compact="0" numFmtId="192" outline="0" showAll="0"/>
    <pivotField compact="0" numFmtId="192" outline="0" showAll="0"/>
    <pivotField compact="0" outline="0" showAll="0"/>
    <pivotField compact="0" outline="0" showAll="0"/>
    <pivotField compact="0" outline="0" showAll="0">
      <items count="7">
        <item x="1"/>
        <item x="2"/>
        <item x="3"/>
        <item x="4"/>
        <item x="0"/>
        <item x="5"/>
        <item t="default"/>
      </items>
    </pivotField>
    <pivotField compact="0" outline="0" showAll="0">
      <items count="5">
        <item x="1"/>
        <item x="0"/>
        <item x="2"/>
        <item x="3"/>
        <item t="default"/>
      </items>
    </pivotField>
    <pivotField compact="0" outline="0" dragToRow="0" dragToCol="0" dragToPage="0" showAll="0" defaultSubtotal="0"/>
    <pivotField compact="0" outline="0" dragToRow="0" dragToCol="0" dragToPage="0" showAll="0" defaultSubtotal="0"/>
  </pivotFields>
  <rowFields count="2">
    <field x="34"/>
    <field x="32"/>
  </rowFields>
  <rowItems count="20">
    <i>
      <x v="4"/>
      <x v="26"/>
    </i>
    <i>
      <x v="5"/>
      <x/>
    </i>
    <i r="1">
      <x v="1"/>
    </i>
    <i r="1">
      <x v="8"/>
    </i>
    <i r="1">
      <x v="9"/>
    </i>
    <i r="1">
      <x v="10"/>
    </i>
    <i r="1">
      <x v="11"/>
    </i>
    <i r="1">
      <x v="14"/>
    </i>
    <i r="1">
      <x v="15"/>
    </i>
    <i r="1">
      <x v="16"/>
    </i>
    <i r="1">
      <x v="17"/>
    </i>
    <i r="1">
      <x v="24"/>
    </i>
    <i r="1">
      <x v="26"/>
    </i>
    <i r="1">
      <x v="28"/>
    </i>
    <i>
      <x v="6"/>
      <x v="16"/>
    </i>
    <i>
      <x v="7"/>
      <x v="16"/>
    </i>
    <i>
      <x v="8"/>
      <x v="16"/>
    </i>
    <i r="1">
      <x v="27"/>
    </i>
    <i>
      <x v="9"/>
      <x v="16"/>
    </i>
    <i t="grand">
      <x/>
    </i>
  </rowItems>
  <colFields count="1">
    <field x="-2"/>
  </colFields>
  <colItems count="3">
    <i>
      <x/>
    </i>
    <i i="1">
      <x v="1"/>
    </i>
    <i i="2">
      <x v="2"/>
    </i>
  </colItems>
  <pageFields count="1">
    <pageField fld="0" hier="-1"/>
  </pageFields>
  <dataFields count="3">
    <dataField name="Suma de CANTIDAD EQUIPOS" fld="1" baseField="0" baseItem="0" numFmtId="3"/>
    <dataField name="% EQUIPOS DESTINO" fld="1" showDataAs="percentOfCol" baseField="33" baseItem="0" numFmtId="9"/>
    <dataField name="Suma de Q Bolsas Equivalentes 50kg" fld="25" baseField="0" baseItem="0" numFmtId="3"/>
  </dataFields>
  <formats count="18">
    <format dxfId="167">
      <pivotArea outline="0" collapsedLevelsAreSubtotals="1" fieldPosition="0">
        <references count="1">
          <reference field="4294967294" count="1" selected="0">
            <x v="2"/>
          </reference>
        </references>
      </pivotArea>
    </format>
    <format dxfId="166">
      <pivotArea dataOnly="0" labelOnly="1" outline="0" fieldPosition="0">
        <references count="1">
          <reference field="4294967294" count="1">
            <x v="2"/>
          </reference>
        </references>
      </pivotArea>
    </format>
    <format dxfId="165">
      <pivotArea field="2" type="button" dataOnly="0" labelOnly="1" outline="0"/>
    </format>
    <format dxfId="164">
      <pivotArea dataOnly="0" labelOnly="1" outline="0" fieldPosition="0">
        <references count="1">
          <reference field="4294967294" count="2">
            <x v="0"/>
            <x v="2"/>
          </reference>
        </references>
      </pivotArea>
    </format>
    <format dxfId="163">
      <pivotArea outline="0" fieldPosition="0">
        <references count="1">
          <reference field="4294967294" count="1" selected="0">
            <x v="2"/>
          </reference>
        </references>
      </pivotArea>
    </format>
    <format dxfId="162">
      <pivotArea dataOnly="0" labelOnly="1" outline="0" fieldPosition="0">
        <references count="1">
          <reference field="4294967294" count="1">
            <x v="2"/>
          </reference>
        </references>
      </pivotArea>
    </format>
    <format dxfId="161">
      <pivotArea outline="0" fieldPosition="0">
        <references count="1">
          <reference field="4294967294" count="1" selected="0">
            <x v="0"/>
          </reference>
        </references>
      </pivotArea>
    </format>
    <format dxfId="160">
      <pivotArea dataOnly="0" labelOnly="1" outline="0" fieldPosition="0">
        <references count="1">
          <reference field="0" count="0"/>
        </references>
      </pivotArea>
    </format>
    <format dxfId="159">
      <pivotArea dataOnly="0" labelOnly="1" outline="0" fieldPosition="0">
        <references count="1">
          <reference field="4294967294" count="1">
            <x v="0"/>
          </reference>
        </references>
      </pivotArea>
    </format>
    <format dxfId="158">
      <pivotArea outline="0" fieldPosition="0">
        <references count="1">
          <reference field="4294967294" count="1" selected="0">
            <x v="0"/>
          </reference>
        </references>
      </pivotArea>
    </format>
    <format dxfId="157">
      <pivotArea dataOnly="0" labelOnly="1" outline="0" fieldPosition="0">
        <references count="1">
          <reference field="4294967294" count="1">
            <x v="0"/>
          </reference>
        </references>
      </pivotArea>
    </format>
    <format dxfId="156">
      <pivotArea outline="0" fieldPosition="0">
        <references count="1">
          <reference field="4294967294" count="1">
            <x v="1"/>
          </reference>
        </references>
      </pivotArea>
    </format>
    <format dxfId="155">
      <pivotArea dataOnly="0" labelOnly="1" outline="0" fieldPosition="0">
        <references count="1">
          <reference field="4294967294" count="1">
            <x v="1"/>
          </reference>
        </references>
      </pivotArea>
    </format>
    <format dxfId="154">
      <pivotArea outline="0" fieldPosition="0">
        <references count="1">
          <reference field="4294967294" count="1" selected="0">
            <x v="1"/>
          </reference>
        </references>
      </pivotArea>
    </format>
    <format dxfId="153">
      <pivotArea field="34" type="button" dataOnly="0" labelOnly="1" outline="0" axis="axisRow" fieldPosition="0"/>
    </format>
    <format dxfId="152">
      <pivotArea dataOnly="0" labelOnly="1" outline="0" fieldPosition="0">
        <references count="1">
          <reference field="4294967294" count="3">
            <x v="0"/>
            <x v="1"/>
            <x v="2"/>
          </reference>
        </references>
      </pivotArea>
    </format>
    <format dxfId="151">
      <pivotArea field="34" type="button" dataOnly="0" labelOnly="1" outline="0" axis="axisRow" fieldPosition="0"/>
    </format>
    <format dxfId="15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CBE532-B098-436C-80A7-8E9AD13BA4F3}" name="TablaDinámica7" cacheId="3" applyNumberFormats="0" applyBorderFormats="0" applyFontFormats="0" applyPatternFormats="0" applyAlignmentFormats="0" applyWidthHeightFormats="1" dataCaption="Valores" updatedVersion="7" minRefreshableVersion="3" useAutoFormatting="1" itemPrintTitles="1" createdVersion="7" indent="0" compact="0" compactData="0" multipleFieldFilters="0">
  <location ref="A190:H199" firstHeaderRow="1" firstDataRow="4" firstDataCol="1"/>
  <pivotFields count="59">
    <pivotField axis="axisCol" compact="0" numFmtId="17" outline="0" multipleItemSelectionAllowed="1" showAll="0">
      <items count="15">
        <item x="0"/>
        <item x="1"/>
        <item x="2"/>
        <item x="3"/>
        <item x="4"/>
        <item x="5"/>
        <item x="6"/>
        <item x="7"/>
        <item x="8"/>
        <item x="9"/>
        <item x="10"/>
        <item x="11"/>
        <item x="12"/>
        <item x="13"/>
        <item t="default"/>
      </items>
    </pivotField>
    <pivotField compact="0" outline="0" showAll="0"/>
    <pivotField compact="0" outline="0" showAll="0">
      <items count="70">
        <item m="1" x="48"/>
        <item m="1" x="60"/>
        <item x="28"/>
        <item m="1" x="54"/>
        <item m="1" x="47"/>
        <item x="3"/>
        <item x="8"/>
        <item m="1" x="51"/>
        <item m="1" x="68"/>
        <item x="15"/>
        <item m="1" x="41"/>
        <item m="1" x="58"/>
        <item m="1" x="45"/>
        <item m="1" x="55"/>
        <item m="1" x="53"/>
        <item m="1" x="46"/>
        <item x="20"/>
        <item m="1" x="34"/>
        <item x="31"/>
        <item x="2"/>
        <item h="1" x="30"/>
        <item m="1" x="56"/>
        <item m="1" x="42"/>
        <item m="1" x="44"/>
        <item m="1" x="59"/>
        <item m="1" x="37"/>
        <item m="1" x="33"/>
        <item m="1" x="62"/>
        <item m="1" x="36"/>
        <item m="1" x="38"/>
        <item x="5"/>
        <item m="1" x="61"/>
        <item m="1" x="64"/>
        <item x="0"/>
        <item h="1" m="1" x="43"/>
        <item h="1" x="6"/>
        <item h="1" m="1" x="63"/>
        <item h="1" x="9"/>
        <item h="1" m="1" x="50"/>
        <item h="1" m="1" x="35"/>
        <item h="1" x="18"/>
        <item h="1" x="4"/>
        <item h="1" m="1" x="52"/>
        <item h="1" m="1" x="65"/>
        <item h="1" m="1" x="49"/>
        <item h="1" m="1" x="32"/>
        <item h="1" m="1" x="66"/>
        <item h="1" m="1" x="57"/>
        <item h="1" m="1" x="67"/>
        <item h="1" x="1"/>
        <item h="1" m="1" x="40"/>
        <item h="1" m="1" x="39"/>
        <item h="1" x="7"/>
        <item h="1" x="26"/>
        <item h="1" x="12"/>
        <item h="1" x="16"/>
        <item h="1" x="17"/>
        <item h="1" x="19"/>
        <item h="1" x="22"/>
        <item h="1" x="23"/>
        <item h="1" x="24"/>
        <item h="1" x="25"/>
        <item h="1" x="27"/>
        <item h="1" x="21"/>
        <item h="1" x="10"/>
        <item h="1" x="11"/>
        <item h="1" x="13"/>
        <item h="1" x="14"/>
        <item h="1" x="29"/>
        <item t="default"/>
      </items>
    </pivotField>
    <pivotField compact="0" numFmtId="14"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64" outline="0" showAll="0"/>
    <pivotField compact="0" outline="0" showAll="0"/>
    <pivotField compact="0" numFmtId="164"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numFmtId="1" outline="0" showAll="0"/>
    <pivotField compact="0" outline="0" showAll="0"/>
    <pivotField compact="0" outline="0" showAll="0"/>
    <pivotField compact="0" numFmtId="14" outline="0" showAll="0"/>
    <pivotField compact="0" outline="0" showAll="0"/>
    <pivotField compact="0" outline="0" showAll="0"/>
    <pivotField compact="0" outline="0" showAll="0"/>
    <pivotField compact="0" numFmtId="164" outline="0" showAll="0"/>
    <pivotField compact="0" numFmtId="171" outline="0" showAll="0"/>
    <pivotField compact="0" numFmtId="171" outline="0" showAll="0"/>
    <pivotField compact="0" outline="0" showAll="0"/>
    <pivotField compact="0" numFmtId="171" outline="0" showAll="0"/>
    <pivotField compact="0" outline="0" showAll="0"/>
    <pivotField compact="0" outline="0" showAll="0"/>
    <pivotField compact="0" outline="0" showAll="0"/>
    <pivotField axis="axisRow" compact="0" outline="0" showAll="0">
      <items count="11">
        <item n="EX" m="1" x="6"/>
        <item n="IN" m="1" x="8"/>
        <item m="1" x="9"/>
        <item m="1" x="7"/>
        <item h="1" x="5"/>
        <item x="2"/>
        <item x="4"/>
        <item x="3"/>
        <item x="1"/>
        <item x="0"/>
        <item t="default"/>
      </items>
    </pivotField>
    <pivotField compact="0" numFmtId="164" outline="0" showAll="0"/>
    <pivotField compact="0" numFmtId="164" outline="0" showAll="0"/>
    <pivotField compact="0" numFmtId="9" outline="0" showAll="0"/>
    <pivotField compact="0" numFmtId="164" outline="0" showAll="0"/>
    <pivotField compact="0" numFmtId="164" outline="0" showAll="0"/>
    <pivotField compact="0" numFmtId="164" outline="0" showAll="0"/>
    <pivotField compact="0" outline="0" showAll="0"/>
    <pivotField compact="0" outline="0" showAll="0"/>
    <pivotField compact="0" numFmtId="1" outline="0" showAll="0"/>
    <pivotField compact="0" outline="0" showAll="0"/>
    <pivotField compact="0" numFmtId="44" outline="0" showAll="0"/>
    <pivotField compact="0" outline="0" showAll="0"/>
    <pivotField compact="0" numFmtId="192" outline="0" showAll="0"/>
    <pivotField compact="0" numFmtId="9" outline="0" showAll="0"/>
    <pivotField compact="0" numFmtId="192" outline="0" showAll="0"/>
    <pivotField compact="0" outline="0" showAll="0"/>
    <pivotField compact="0" numFmtId="192" outline="0" showAll="0"/>
    <pivotField compact="0" numFmtId="192" outline="0" showAll="0"/>
    <pivotField compact="0" outline="0" showAll="0"/>
    <pivotField compact="0" outline="0" showAll="0"/>
    <pivotField axis="axisCol" compact="0" outline="0" showAll="0">
      <items count="7">
        <item x="1"/>
        <item x="2"/>
        <item x="3"/>
        <item x="4"/>
        <item x="0"/>
        <item x="5"/>
        <item t="default"/>
      </items>
    </pivotField>
    <pivotField axis="axisCol" compact="0" outline="0" showAll="0">
      <items count="5">
        <item x="1"/>
        <item x="0"/>
        <item x="2"/>
        <item x="3"/>
        <item t="default"/>
      </items>
    </pivotField>
    <pivotField compact="0" outline="0" dragToRow="0" dragToCol="0" dragToPage="0" showAll="0" defaultSubtotal="0"/>
    <pivotField compact="0" outline="0" dragToRow="0" dragToCol="0" dragToPage="0" showAll="0" defaultSubtotal="0"/>
  </pivotFields>
  <rowFields count="1">
    <field x="34"/>
  </rowFields>
  <rowItems count="6">
    <i>
      <x v="5"/>
    </i>
    <i>
      <x v="6"/>
    </i>
    <i>
      <x v="7"/>
    </i>
    <i>
      <x v="8"/>
    </i>
    <i>
      <x v="9"/>
    </i>
    <i t="grand">
      <x/>
    </i>
  </rowItems>
  <colFields count="3">
    <field x="56"/>
    <field x="55"/>
    <field x="0"/>
  </colFields>
  <colItems count="7">
    <i>
      <x/>
      <x v="1"/>
      <x v="5"/>
    </i>
    <i r="2">
      <x v="6"/>
    </i>
    <i t="default" r="1">
      <x v="1"/>
    </i>
    <i r="1">
      <x v="2"/>
      <x v="7"/>
    </i>
    <i t="default" r="1">
      <x v="2"/>
    </i>
    <i t="default">
      <x/>
    </i>
    <i t="grand">
      <x/>
    </i>
  </colItems>
  <dataFields count="1">
    <dataField name="Suma de KGS" fld="8" baseField="34" baseItem="8" numFmtId="3"/>
  </dataFields>
  <formats count="21">
    <format dxfId="188">
      <pivotArea field="2" type="button" dataOnly="0" labelOnly="1" outline="0"/>
    </format>
    <format dxfId="187">
      <pivotArea field="34" type="button" dataOnly="0" labelOnly="1" outline="0" axis="axisRow" fieldPosition="0"/>
    </format>
    <format dxfId="186">
      <pivotArea dataOnly="0" grandCol="1" outline="0" axis="axisCol" fieldPosition="0"/>
    </format>
    <format dxfId="185">
      <pivotArea outline="0" collapsedLevelsAreSubtotals="1" fieldPosition="0"/>
    </format>
    <format dxfId="184">
      <pivotArea dataOnly="0" labelOnly="1" grandCol="1" outline="0" fieldPosition="0"/>
    </format>
    <format dxfId="183">
      <pivotArea field="34" grandCol="1" outline="0" axis="axisRow" fieldPosition="0">
        <references count="1">
          <reference field="34" count="0" selected="0"/>
        </references>
      </pivotArea>
    </format>
    <format dxfId="182">
      <pivotArea outline="0" fieldPosition="0">
        <references count="1">
          <reference field="4294967294" count="1">
            <x v="0"/>
          </reference>
        </references>
      </pivotArea>
    </format>
    <format dxfId="181">
      <pivotArea field="0" dataOnly="0" labelOnly="1" grandCol="1" outline="0" axis="axisCol" fieldPosition="2">
        <references count="1">
          <reference field="4294967294" count="1" selected="0">
            <x v="0"/>
          </reference>
        </references>
      </pivotArea>
    </format>
    <format dxfId="180">
      <pivotArea field="34" type="button" dataOnly="0" labelOnly="1" outline="0" axis="axisRow" fieldPosition="0"/>
    </format>
    <format dxfId="179">
      <pivotArea type="origin" dataOnly="0" labelOnly="1" outline="0" offset="A2" fieldPosition="0"/>
    </format>
    <format dxfId="178">
      <pivotArea field="0" type="button" dataOnly="0" labelOnly="1" outline="0" axis="axisCol" fieldPosition="2"/>
    </format>
    <format dxfId="177">
      <pivotArea type="topRight" dataOnly="0" labelOnly="1" outline="0" offset="M1:N1" fieldPosition="0"/>
    </format>
    <format dxfId="176">
      <pivotArea field="-2" type="button" dataOnly="0" labelOnly="1" outline="0" axis="axisValues" fieldPosition="0"/>
    </format>
    <format dxfId="175">
      <pivotArea type="topRight" dataOnly="0" labelOnly="1" outline="0" fieldPosition="0"/>
    </format>
    <format dxfId="174">
      <pivotArea type="origin" dataOnly="0" labelOnly="1" outline="0" fieldPosition="0"/>
    </format>
    <format dxfId="173">
      <pivotArea field="0" type="button" dataOnly="0" labelOnly="1" outline="0" axis="axisCol" fieldPosition="2"/>
    </format>
    <format dxfId="172">
      <pivotArea field="-2" type="button" dataOnly="0" labelOnly="1" outline="0" axis="axisValues" fieldPosition="0"/>
    </format>
    <format dxfId="171">
      <pivotArea type="topRight" dataOnly="0" labelOnly="1" outline="0" fieldPosition="0"/>
    </format>
    <format dxfId="170">
      <pivotArea type="origin" dataOnly="0" labelOnly="1" outline="0" offset="A1" fieldPosition="0"/>
    </format>
    <format dxfId="169">
      <pivotArea type="topRight" dataOnly="0" labelOnly="1" outline="0" offset="M1:N1" fieldPosition="0"/>
    </format>
    <format dxfId="168">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ABE0EF-6163-42FF-A9AD-B600D12E216B}" name="TablaDinámica5" cacheId="3" applyNumberFormats="0" applyBorderFormats="0" applyFontFormats="0" applyPatternFormats="0" applyAlignmentFormats="0" applyWidthHeightFormats="1" dataCaption="Valores" updatedVersion="7" minRefreshableVersion="3" useAutoFormatting="1" itemPrintTitles="1" createdVersion="7" indent="0" compact="0" compactData="0" multipleFieldFilters="0">
  <location ref="A4:K41" firstHeaderRow="0" firstDataRow="1" firstDataCol="2" rowPageCount="1" colPageCount="1"/>
  <pivotFields count="59">
    <pivotField axis="axisPage" compact="0" numFmtId="17" outline="0" multipleItemSelectionAllowed="1" showAll="0">
      <items count="15">
        <item x="0"/>
        <item x="1"/>
        <item x="2"/>
        <item x="3"/>
        <item x="4"/>
        <item x="5"/>
        <item x="6"/>
        <item x="7"/>
        <item x="8"/>
        <item x="9"/>
        <item x="10"/>
        <item x="11"/>
        <item x="12"/>
        <item x="13"/>
        <item t="default"/>
      </items>
    </pivotField>
    <pivotField dataField="1" compact="0" outline="0" showAll="0"/>
    <pivotField axis="axisRow" compact="0" outline="0" showAll="0" sortType="ascending">
      <items count="70">
        <item m="1" x="44"/>
        <item x="1"/>
        <item m="1" x="67"/>
        <item m="1" x="40"/>
        <item x="12"/>
        <item m="1" x="38"/>
        <item m="1" x="48"/>
        <item m="1" x="66"/>
        <item m="1" x="37"/>
        <item x="4"/>
        <item m="1" x="60"/>
        <item m="1" x="39"/>
        <item x="6"/>
        <item x="28"/>
        <item x="23"/>
        <item x="5"/>
        <item m="1" x="43"/>
        <item x="24"/>
        <item x="7"/>
        <item x="14"/>
        <item m="1" x="54"/>
        <item m="1" x="57"/>
        <item m="1" x="50"/>
        <item m="1" x="47"/>
        <item m="1" x="49"/>
        <item x="3"/>
        <item x="29"/>
        <item m="1" x="35"/>
        <item x="9"/>
        <item x="21"/>
        <item x="11"/>
        <item x="25"/>
        <item m="1" x="36"/>
        <item x="8"/>
        <item m="1" x="64"/>
        <item m="1" x="51"/>
        <item x="26"/>
        <item m="1" x="68"/>
        <item x="27"/>
        <item x="15"/>
        <item x="16"/>
        <item m="1" x="41"/>
        <item m="1" x="58"/>
        <item x="0"/>
        <item m="1" x="45"/>
        <item m="1" x="55"/>
        <item x="17"/>
        <item m="1" x="62"/>
        <item m="1" x="56"/>
        <item x="18"/>
        <item x="19"/>
        <item m="1" x="53"/>
        <item m="1" x="65"/>
        <item m="1" x="46"/>
        <item m="1" x="61"/>
        <item m="1" x="42"/>
        <item x="20"/>
        <item m="1" x="34"/>
        <item x="13"/>
        <item m="1" x="32"/>
        <item m="1" x="59"/>
        <item m="1" x="33"/>
        <item x="22"/>
        <item m="1" x="63"/>
        <item x="10"/>
        <item x="31"/>
        <item m="1" x="52"/>
        <item x="2"/>
        <item h="1" x="30"/>
        <item t="default"/>
      </items>
    </pivotField>
    <pivotField compact="0" numFmtId="14"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numFmtId="164" outline="0" showAll="0"/>
    <pivotField compact="0" outline="0" showAll="0"/>
    <pivotField dataField="1" compact="0" numFmtId="164"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numFmtId="1" outline="0" showAll="0"/>
    <pivotField compact="0" outline="0" showAll="0"/>
    <pivotField compact="0" outline="0" showAll="0"/>
    <pivotField compact="0" numFmtId="14" outline="0" showAll="0"/>
    <pivotField compact="0" outline="0" showAll="0"/>
    <pivotField compact="0" outline="0" showAll="0"/>
    <pivotField dataField="1" compact="0" outline="0" showAll="0"/>
    <pivotField compact="0" numFmtId="164" outline="0" showAll="0"/>
    <pivotField compact="0" numFmtId="171" outline="0" showAll="0"/>
    <pivotField compact="0" numFmtId="171" outline="0" showAll="0"/>
    <pivotField compact="0" outline="0" showAll="0"/>
    <pivotField compact="0" numFmtId="171" outline="0" showAll="0"/>
    <pivotField compact="0" outline="0" showAll="0"/>
    <pivotField compact="0" outline="0" showAll="0"/>
    <pivotField compact="0" outline="0" showAll="0"/>
    <pivotField axis="axisRow" compact="0" outline="0" multipleItemSelectionAllowed="1" showAll="0">
      <items count="11">
        <item m="1" x="6"/>
        <item m="1" x="8"/>
        <item m="1" x="9"/>
        <item m="1" x="7"/>
        <item h="1" x="5"/>
        <item x="1"/>
        <item x="2"/>
        <item x="4"/>
        <item x="3"/>
        <item x="0"/>
        <item t="default"/>
      </items>
    </pivotField>
    <pivotField compact="0" numFmtId="164" outline="0" showAll="0"/>
    <pivotField compact="0" numFmtId="164" outline="0" showAll="0"/>
    <pivotField dataField="1" compact="0" numFmtId="9" outline="0" showAll="0"/>
    <pivotField compact="0" numFmtId="164" outline="0" showAll="0"/>
    <pivotField compact="0" numFmtId="164" outline="0" showAll="0"/>
    <pivotField compact="0" numFmtId="164" outline="0" showAll="0"/>
    <pivotField compact="0" outline="0" showAll="0"/>
    <pivotField compact="0" outline="0" showAll="0"/>
    <pivotField compact="0" numFmtId="1" outline="0" showAll="0"/>
    <pivotField compact="0" outline="0" showAll="0"/>
    <pivotField compact="0" numFmtId="44" outline="0" showAll="0"/>
    <pivotField compact="0" outline="0" showAll="0"/>
    <pivotField compact="0" numFmtId="192" outline="0" showAll="0"/>
    <pivotField compact="0" numFmtId="9" outline="0" showAll="0"/>
    <pivotField dataField="1" compact="0" numFmtId="192" outline="0" showAll="0"/>
    <pivotField dataField="1" compact="0" outline="0" showAll="0"/>
    <pivotField compact="0" numFmtId="192" outline="0" showAll="0"/>
    <pivotField compact="0" numFmtId="192" outline="0" showAll="0"/>
    <pivotField dataField="1" compact="0" outline="0" showAll="0"/>
    <pivotField compact="0" outline="0" showAll="0"/>
    <pivotField compact="0" outline="0" showAll="0">
      <items count="7">
        <item x="1"/>
        <item x="2"/>
        <item x="3"/>
        <item x="4"/>
        <item x="0"/>
        <item x="5"/>
        <item t="default"/>
      </items>
    </pivotField>
    <pivotField compact="0" outline="0" showAll="0">
      <items count="5">
        <item x="1"/>
        <item x="0"/>
        <item x="2"/>
        <item x="3"/>
        <item t="default"/>
      </items>
    </pivotField>
    <pivotField compact="0" outline="0" dragToRow="0" dragToCol="0" dragToPage="0" showAll="0" defaultSubtotal="0"/>
    <pivotField compact="0" outline="0" dragToRow="0" dragToCol="0" dragToPage="0" showAll="0" defaultSubtotal="0"/>
  </pivotFields>
  <rowFields count="2">
    <field x="34"/>
    <field x="2"/>
  </rowFields>
  <rowItems count="37">
    <i>
      <x v="5"/>
      <x v="1"/>
    </i>
    <i r="1">
      <x v="38"/>
    </i>
    <i r="1">
      <x v="62"/>
    </i>
    <i t="default">
      <x v="5"/>
    </i>
    <i>
      <x v="6"/>
      <x v="9"/>
    </i>
    <i r="1">
      <x v="13"/>
    </i>
    <i r="1">
      <x v="15"/>
    </i>
    <i r="1">
      <x v="18"/>
    </i>
    <i r="1">
      <x v="25"/>
    </i>
    <i r="1">
      <x v="26"/>
    </i>
    <i r="1">
      <x v="28"/>
    </i>
    <i r="1">
      <x v="33"/>
    </i>
    <i r="1">
      <x v="39"/>
    </i>
    <i r="1">
      <x v="40"/>
    </i>
    <i r="1">
      <x v="49"/>
    </i>
    <i r="1">
      <x v="56"/>
    </i>
    <i r="1">
      <x v="65"/>
    </i>
    <i r="1">
      <x v="67"/>
    </i>
    <i t="default">
      <x v="6"/>
    </i>
    <i>
      <x v="7"/>
      <x v="29"/>
    </i>
    <i t="default">
      <x v="7"/>
    </i>
    <i>
      <x v="8"/>
      <x v="4"/>
    </i>
    <i r="1">
      <x v="12"/>
    </i>
    <i r="1">
      <x v="14"/>
    </i>
    <i r="1">
      <x v="17"/>
    </i>
    <i r="1">
      <x v="19"/>
    </i>
    <i r="1">
      <x v="30"/>
    </i>
    <i r="1">
      <x v="31"/>
    </i>
    <i r="1">
      <x v="36"/>
    </i>
    <i r="1">
      <x v="46"/>
    </i>
    <i r="1">
      <x v="50"/>
    </i>
    <i r="1">
      <x v="58"/>
    </i>
    <i r="1">
      <x v="64"/>
    </i>
    <i t="default">
      <x v="8"/>
    </i>
    <i>
      <x v="9"/>
      <x v="43"/>
    </i>
    <i t="default">
      <x v="9"/>
    </i>
    <i t="grand">
      <x/>
    </i>
  </rowItems>
  <colFields count="1">
    <field x="-2"/>
  </colFields>
  <colItems count="9">
    <i>
      <x/>
    </i>
    <i i="1">
      <x v="1"/>
    </i>
    <i i="2">
      <x v="2"/>
    </i>
    <i i="3">
      <x v="3"/>
    </i>
    <i i="4">
      <x v="4"/>
    </i>
    <i i="5">
      <x v="5"/>
    </i>
    <i i="6">
      <x v="6"/>
    </i>
    <i i="7">
      <x v="7"/>
    </i>
    <i i="8">
      <x v="8"/>
    </i>
  </colItems>
  <pageFields count="1">
    <pageField fld="0" hier="-1"/>
  </pageFields>
  <dataFields count="9">
    <dataField name="TOTAL CANTIDAD EQUIPOS" fld="1" baseField="0" baseItem="0" numFmtId="3"/>
    <dataField name="TOTAL BOLSAS EQUIVALENTES 50 KG" fld="25" baseField="0" baseItem="0" numFmtId="3"/>
    <dataField name="TOTAL KGS" fld="8" baseField="0" baseItem="0" numFmtId="3"/>
    <dataField name="PRECIO $ / KG A PLAZO EN CLIENTE ( SIN IVA)" fld="9" subtotal="average" baseField="2" baseItem="1" numFmtId="180"/>
    <dataField name="VENTA TOTAL $  A PLAZO EN CLIENTE (IVA INC) " fld="12" baseField="0" baseItem="0" numFmtId="180"/>
    <dataField name="PRECIO POR TN USD EN CLIENTE A  PLAZO (SIN IVA)" fld="50" subtotal="average" baseField="2" baseItem="1"/>
    <dataField name="PRECIO  PROMEDIO USD POR  TON  CDO FOB CORONA (SIN IVA)" fld="53" subtotal="average" baseField="2" baseItem="33" numFmtId="192"/>
    <dataField name="VENTA TOTAL USD A PLAZO EN CLIENTE  ( IVA INC)" fld="49" baseField="0" baseItem="0" numFmtId="175"/>
    <dataField name="Promedio de DIF % PRECIO NETO INDUSTRIA vs Neto TUCUMAN (IVA INC)" fld="37" subtotal="average" baseField="2" baseItem="6" numFmtId="9"/>
  </dataFields>
  <formats count="69">
    <format dxfId="257">
      <pivotArea outline="0" collapsedLevelsAreSubtotals="1" fieldPosition="0">
        <references count="1">
          <reference field="4294967294" count="1" selected="0">
            <x v="1"/>
          </reference>
        </references>
      </pivotArea>
    </format>
    <format dxfId="256">
      <pivotArea dataOnly="0" labelOnly="1" outline="0" fieldPosition="0">
        <references count="1">
          <reference field="4294967294" count="1">
            <x v="1"/>
          </reference>
        </references>
      </pivotArea>
    </format>
    <format dxfId="255">
      <pivotArea field="2" type="button" dataOnly="0" labelOnly="1" outline="0" axis="axisRow" fieldPosition="1"/>
    </format>
    <format dxfId="254">
      <pivotArea dataOnly="0" labelOnly="1" outline="0" fieldPosition="0">
        <references count="1">
          <reference field="4294967294" count="2">
            <x v="0"/>
            <x v="1"/>
          </reference>
        </references>
      </pivotArea>
    </format>
    <format dxfId="253">
      <pivotArea outline="0" fieldPosition="0">
        <references count="1">
          <reference field="4294967294" count="1" selected="0">
            <x v="1"/>
          </reference>
        </references>
      </pivotArea>
    </format>
    <format dxfId="252">
      <pivotArea dataOnly="0" labelOnly="1" outline="0" fieldPosition="0">
        <references count="1">
          <reference field="4294967294" count="1">
            <x v="1"/>
          </reference>
        </references>
      </pivotArea>
    </format>
    <format dxfId="251">
      <pivotArea outline="0" fieldPosition="0">
        <references count="1">
          <reference field="4294967294" count="1" selected="0">
            <x v="0"/>
          </reference>
        </references>
      </pivotArea>
    </format>
    <format dxfId="250">
      <pivotArea dataOnly="0" labelOnly="1" outline="0" fieldPosition="0">
        <references count="1">
          <reference field="0" count="0"/>
        </references>
      </pivotArea>
    </format>
    <format dxfId="249">
      <pivotArea dataOnly="0" labelOnly="1" outline="0" fieldPosition="0">
        <references count="1">
          <reference field="4294967294" count="1">
            <x v="0"/>
          </reference>
        </references>
      </pivotArea>
    </format>
    <format dxfId="248">
      <pivotArea outline="0" fieldPosition="0">
        <references count="1">
          <reference field="4294967294" count="1" selected="0">
            <x v="0"/>
          </reference>
        </references>
      </pivotArea>
    </format>
    <format dxfId="247">
      <pivotArea dataOnly="0" labelOnly="1" outline="0" fieldPosition="0">
        <references count="1">
          <reference field="4294967294" count="1">
            <x v="0"/>
          </reference>
        </references>
      </pivotArea>
    </format>
    <format dxfId="246">
      <pivotArea outline="0" fieldPosition="0">
        <references count="2">
          <reference field="4294967294" count="2" selected="0">
            <x v="0"/>
            <x v="1"/>
          </reference>
          <reference field="2" count="1" selected="0">
            <x v="16"/>
          </reference>
        </references>
      </pivotArea>
    </format>
    <format dxfId="245">
      <pivotArea dataOnly="0" labelOnly="1" outline="0" fieldPosition="0">
        <references count="1">
          <reference field="2" count="1">
            <x v="16"/>
          </reference>
        </references>
      </pivotArea>
    </format>
    <format dxfId="244">
      <pivotArea outline="0" fieldPosition="0">
        <references count="2">
          <reference field="4294967294" count="2" selected="0">
            <x v="0"/>
            <x v="1"/>
          </reference>
          <reference field="2" count="1" selected="0">
            <x v="43"/>
          </reference>
        </references>
      </pivotArea>
    </format>
    <format dxfId="243">
      <pivotArea dataOnly="0" labelOnly="1" outline="0" fieldPosition="0">
        <references count="1">
          <reference field="2" count="1">
            <x v="43"/>
          </reference>
        </references>
      </pivotArea>
    </format>
    <format dxfId="242">
      <pivotArea dataOnly="0" labelOnly="1" outline="0" fieldPosition="0">
        <references count="1">
          <reference field="4294967294" count="2">
            <x v="0"/>
            <x v="1"/>
          </reference>
        </references>
      </pivotArea>
    </format>
    <format dxfId="241">
      <pivotArea outline="0" fieldPosition="0">
        <references count="1">
          <reference field="2" count="2" selected="0">
            <x v="39"/>
            <x v="67"/>
          </reference>
        </references>
      </pivotArea>
    </format>
    <format dxfId="240">
      <pivotArea dataOnly="0" labelOnly="1" outline="0" fieldPosition="0">
        <references count="1">
          <reference field="2" count="2">
            <x v="39"/>
            <x v="67"/>
          </reference>
        </references>
      </pivotArea>
    </format>
    <format dxfId="239">
      <pivotArea dataOnly="0" outline="0" fieldPosition="0">
        <references count="1">
          <reference field="2" count="1">
            <x v="33"/>
          </reference>
        </references>
      </pivotArea>
    </format>
    <format dxfId="238">
      <pivotArea outline="0" fieldPosition="0">
        <references count="1">
          <reference field="2" count="2" selected="0">
            <x v="41"/>
            <x v="51"/>
          </reference>
        </references>
      </pivotArea>
    </format>
    <format dxfId="237">
      <pivotArea dataOnly="0" labelOnly="1" outline="0" fieldPosition="0">
        <references count="1">
          <reference field="2" count="2">
            <x v="41"/>
            <x v="51"/>
          </reference>
        </references>
      </pivotArea>
    </format>
    <format dxfId="236">
      <pivotArea outline="0" fieldPosition="0">
        <references count="1">
          <reference field="2" count="1" selected="0">
            <x v="23"/>
          </reference>
        </references>
      </pivotArea>
    </format>
    <format dxfId="235">
      <pivotArea dataOnly="0" labelOnly="1" outline="0" fieldPosition="0">
        <references count="1">
          <reference field="2" count="1">
            <x v="23"/>
          </reference>
        </references>
      </pivotArea>
    </format>
    <format dxfId="234">
      <pivotArea outline="0" fieldPosition="0">
        <references count="1">
          <reference field="2" count="1" selected="0">
            <x v="60"/>
          </reference>
        </references>
      </pivotArea>
    </format>
    <format dxfId="233">
      <pivotArea dataOnly="0" labelOnly="1" outline="0" fieldPosition="0">
        <references count="1">
          <reference field="2" count="1">
            <x v="60"/>
          </reference>
        </references>
      </pivotArea>
    </format>
    <format dxfId="232">
      <pivotArea outline="0" fieldPosition="0">
        <references count="1">
          <reference field="2" count="1" selected="0">
            <x v="44"/>
          </reference>
        </references>
      </pivotArea>
    </format>
    <format dxfId="231">
      <pivotArea dataOnly="0" labelOnly="1" outline="0" fieldPosition="0">
        <references count="1">
          <reference field="2" count="1">
            <x v="44"/>
          </reference>
        </references>
      </pivotArea>
    </format>
    <format dxfId="230">
      <pivotArea outline="0" fieldPosition="0">
        <references count="1">
          <reference field="2" count="1" selected="0">
            <x v="13"/>
          </reference>
        </references>
      </pivotArea>
    </format>
    <format dxfId="229">
      <pivotArea dataOnly="0" labelOnly="1" outline="0" fieldPosition="0">
        <references count="1">
          <reference field="2" count="1">
            <x v="13"/>
          </reference>
        </references>
      </pivotArea>
    </format>
    <format dxfId="228">
      <pivotArea outline="0" fieldPosition="0">
        <references count="1">
          <reference field="2" count="1" selected="0">
            <x v="7"/>
          </reference>
        </references>
      </pivotArea>
    </format>
    <format dxfId="227">
      <pivotArea dataOnly="0" labelOnly="1" outline="0" fieldPosition="0">
        <references count="1">
          <reference field="2" count="1">
            <x v="7"/>
          </reference>
        </references>
      </pivotArea>
    </format>
    <format dxfId="226">
      <pivotArea outline="0" fieldPosition="0">
        <references count="1">
          <reference field="2" count="1" selected="0">
            <x v="59"/>
          </reference>
        </references>
      </pivotArea>
    </format>
    <format dxfId="225">
      <pivotArea dataOnly="0" labelOnly="1" outline="0" fieldPosition="0">
        <references count="1">
          <reference field="2" count="1">
            <x v="59"/>
          </reference>
        </references>
      </pivotArea>
    </format>
    <format dxfId="224">
      <pivotArea outline="0" fieldPosition="0">
        <references count="1">
          <reference field="2" count="1" selected="0">
            <x v="42"/>
          </reference>
        </references>
      </pivotArea>
    </format>
    <format dxfId="223">
      <pivotArea dataOnly="0" labelOnly="1" outline="0" fieldPosition="0">
        <references count="1">
          <reference field="2" count="1">
            <x v="42"/>
          </reference>
        </references>
      </pivotArea>
    </format>
    <format dxfId="222">
      <pivotArea outline="0" fieldPosition="0">
        <references count="1">
          <reference field="2" count="1" selected="0">
            <x v="10"/>
          </reference>
        </references>
      </pivotArea>
    </format>
    <format dxfId="221">
      <pivotArea dataOnly="0" labelOnly="1" outline="0" fieldPosition="0">
        <references count="1">
          <reference field="2" count="1">
            <x v="10"/>
          </reference>
        </references>
      </pivotArea>
    </format>
    <format dxfId="220">
      <pivotArea outline="0" fieldPosition="0">
        <references count="1">
          <reference field="2" count="0" selected="0"/>
        </references>
      </pivotArea>
    </format>
    <format dxfId="219">
      <pivotArea dataOnly="0" labelOnly="1" outline="0" fieldPosition="0">
        <references count="1">
          <reference field="2" count="0"/>
        </references>
      </pivotArea>
    </format>
    <format dxfId="218">
      <pivotArea dataOnly="0" labelOnly="1" outline="0" fieldPosition="0">
        <references count="1">
          <reference field="4294967294" count="1">
            <x v="6"/>
          </reference>
        </references>
      </pivotArea>
    </format>
    <format dxfId="217">
      <pivotArea outline="0" fieldPosition="0">
        <references count="1">
          <reference field="4294967294" count="1" selected="0">
            <x v="6"/>
          </reference>
        </references>
      </pivotArea>
    </format>
    <format dxfId="216">
      <pivotArea outline="0" fieldPosition="0">
        <references count="1">
          <reference field="4294967294" count="1" selected="0">
            <x v="6"/>
          </reference>
        </references>
      </pivotArea>
    </format>
    <format dxfId="215">
      <pivotArea dataOnly="0" labelOnly="1" outline="0" fieldPosition="0">
        <references count="1">
          <reference field="4294967294" count="1">
            <x v="6"/>
          </reference>
        </references>
      </pivotArea>
    </format>
    <format dxfId="214">
      <pivotArea outline="0" fieldPosition="0">
        <references count="1">
          <reference field="4294967294" count="1" selected="0">
            <x v="6"/>
          </reference>
        </references>
      </pivotArea>
    </format>
    <format dxfId="213">
      <pivotArea outline="0" fieldPosition="0">
        <references count="1">
          <reference field="4294967294" count="1" selected="0">
            <x v="2"/>
          </reference>
        </references>
      </pivotArea>
    </format>
    <format dxfId="212">
      <pivotArea dataOnly="0" labelOnly="1" outline="0" fieldPosition="0">
        <references count="1">
          <reference field="4294967294" count="1">
            <x v="2"/>
          </reference>
        </references>
      </pivotArea>
    </format>
    <format dxfId="211">
      <pivotArea outline="0" fieldPosition="0">
        <references count="1">
          <reference field="4294967294" count="1" selected="0">
            <x v="3"/>
          </reference>
        </references>
      </pivotArea>
    </format>
    <format dxfId="210">
      <pivotArea dataOnly="0" labelOnly="1" outline="0" fieldPosition="0">
        <references count="1">
          <reference field="4294967294" count="1">
            <x v="3"/>
          </reference>
        </references>
      </pivotArea>
    </format>
    <format dxfId="209">
      <pivotArea dataOnly="0" labelOnly="1" outline="0" fieldPosition="0">
        <references count="1">
          <reference field="4294967294" count="1">
            <x v="3"/>
          </reference>
        </references>
      </pivotArea>
    </format>
    <format dxfId="208">
      <pivotArea field="2" type="button" dataOnly="0" labelOnly="1" outline="0" axis="axisRow" fieldPosition="1"/>
    </format>
    <format dxfId="207">
      <pivotArea dataOnly="0" labelOnly="1" outline="0" fieldPosition="0">
        <references count="1">
          <reference field="4294967294" count="5">
            <x v="0"/>
            <x v="1"/>
            <x v="2"/>
            <x v="3"/>
            <x v="6"/>
          </reference>
        </references>
      </pivotArea>
    </format>
    <format dxfId="206">
      <pivotArea field="2" type="button" dataOnly="0" labelOnly="1" outline="0" axis="axisRow" fieldPosition="1"/>
    </format>
    <format dxfId="205">
      <pivotArea dataOnly="0" labelOnly="1" outline="0" fieldPosition="0">
        <references count="1">
          <reference field="4294967294" count="5">
            <x v="0"/>
            <x v="1"/>
            <x v="2"/>
            <x v="3"/>
            <x v="6"/>
          </reference>
        </references>
      </pivotArea>
    </format>
    <format dxfId="204">
      <pivotArea outline="0" fieldPosition="0">
        <references count="1">
          <reference field="4294967294" count="1" selected="0">
            <x v="7"/>
          </reference>
        </references>
      </pivotArea>
    </format>
    <format dxfId="203">
      <pivotArea outline="0" fieldPosition="0">
        <references count="1">
          <reference field="4294967294" count="1" selected="0">
            <x v="4"/>
          </reference>
        </references>
      </pivotArea>
    </format>
    <format dxfId="202">
      <pivotArea dataOnly="0" labelOnly="1" outline="0" fieldPosition="0">
        <references count="1">
          <reference field="4294967294" count="1">
            <x v="7"/>
          </reference>
        </references>
      </pivotArea>
    </format>
    <format dxfId="201">
      <pivotArea dataOnly="0" labelOnly="1" outline="0" fieldPosition="0">
        <references count="1">
          <reference field="4294967294" count="1">
            <x v="4"/>
          </reference>
        </references>
      </pivotArea>
    </format>
    <format dxfId="200">
      <pivotArea dataOnly="0" labelOnly="1" outline="0" fieldPosition="0">
        <references count="1">
          <reference field="4294967294" count="1">
            <x v="5"/>
          </reference>
        </references>
      </pivotArea>
    </format>
    <format dxfId="199">
      <pivotArea outline="0" fieldPosition="0">
        <references count="1">
          <reference field="4294967294" count="1" selected="0">
            <x v="5"/>
          </reference>
        </references>
      </pivotArea>
    </format>
    <format dxfId="198">
      <pivotArea dataOnly="0" labelOnly="1" outline="0" fieldPosition="0">
        <references count="1">
          <reference field="4294967294" count="1">
            <x v="5"/>
          </reference>
        </references>
      </pivotArea>
    </format>
    <format dxfId="197">
      <pivotArea dataOnly="0" labelOnly="1" outline="0" fieldPosition="0">
        <references count="1">
          <reference field="4294967294" count="1">
            <x v="6"/>
          </reference>
        </references>
      </pivotArea>
    </format>
    <format dxfId="196">
      <pivotArea dataOnly="0" labelOnly="1" outline="0" fieldPosition="0">
        <references count="1">
          <reference field="4294967294" count="1">
            <x v="7"/>
          </reference>
        </references>
      </pivotArea>
    </format>
    <format dxfId="195">
      <pivotArea outline="0" fieldPosition="0">
        <references count="2">
          <reference field="4294967294" count="1" selected="0">
            <x v="5"/>
          </reference>
          <reference field="2" count="1" selected="0">
            <x v="10"/>
          </reference>
        </references>
      </pivotArea>
    </format>
    <format dxfId="194">
      <pivotArea field="2" grandRow="1" outline="0" axis="axisRow" fieldPosition="1">
        <references count="1">
          <reference field="4294967294" count="1" selected="0">
            <x v="5"/>
          </reference>
        </references>
      </pivotArea>
    </format>
    <format dxfId="193">
      <pivotArea outline="0" fieldPosition="0">
        <references count="1">
          <reference field="4294967294" count="1" selected="0">
            <x v="8"/>
          </reference>
        </references>
      </pivotArea>
    </format>
    <format dxfId="192">
      <pivotArea dataOnly="0" labelOnly="1" outline="0" fieldPosition="0">
        <references count="1">
          <reference field="4294967294" count="1">
            <x v="8"/>
          </reference>
        </references>
      </pivotArea>
    </format>
    <format dxfId="191">
      <pivotArea dataOnly="0" labelOnly="1" outline="0" fieldPosition="0">
        <references count="1">
          <reference field="4294967294" count="1">
            <x v="4"/>
          </reference>
        </references>
      </pivotArea>
    </format>
    <format dxfId="190">
      <pivotArea dataOnly="0" labelOnly="1" outline="0" fieldPosition="0">
        <references count="1">
          <reference field="4294967294" count="9">
            <x v="0"/>
            <x v="1"/>
            <x v="2"/>
            <x v="3"/>
            <x v="4"/>
            <x v="5"/>
            <x v="6"/>
            <x v="7"/>
            <x v="8"/>
          </reference>
        </references>
      </pivotArea>
    </format>
    <format dxfId="189">
      <pivotArea field="34"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1803B5-9097-41A2-A239-8DB6A87F2A94}" name="TablaDinámica1" cacheId="3" applyNumberFormats="0" applyBorderFormats="0" applyFontFormats="0" applyPatternFormats="0" applyAlignmentFormats="0" applyWidthHeightFormats="1" dataCaption="Valores" updatedVersion="7" minRefreshableVersion="3" useAutoFormatting="1" colGrandTotals="0" itemPrintTitles="1" createdVersion="7" indent="0" compact="0" compactData="0" multipleFieldFilters="0">
  <location ref="A86:C129" firstHeaderRow="1" firstDataRow="1" firstDataCol="2" rowPageCount="2" colPageCount="1"/>
  <pivotFields count="59">
    <pivotField axis="axisPage" compact="0" numFmtId="17" outline="0" multipleItemSelectionAllowed="1" showAll="0" defaultSubtotal="0">
      <items count="14">
        <item x="0"/>
        <item x="1"/>
        <item x="2"/>
        <item x="3"/>
        <item x="4"/>
        <item x="5"/>
        <item x="6"/>
        <item x="7"/>
        <item x="8"/>
        <item x="9"/>
        <item x="10"/>
        <item x="11"/>
        <item x="12"/>
        <item x="13"/>
      </items>
    </pivotField>
    <pivotField compact="0" outline="0" showAll="0" defaultSubtotal="0"/>
    <pivotField axis="axisRow" compact="0" outline="0" showAll="0" defaultSubtotal="0">
      <items count="69">
        <item m="1" x="48"/>
        <item m="1" x="60"/>
        <item x="28"/>
        <item m="1" x="54"/>
        <item m="1" x="47"/>
        <item x="3"/>
        <item x="8"/>
        <item m="1" x="51"/>
        <item m="1" x="68"/>
        <item x="15"/>
        <item m="1" x="41"/>
        <item m="1" x="58"/>
        <item m="1" x="45"/>
        <item m="1" x="55"/>
        <item m="1" x="53"/>
        <item m="1" x="46"/>
        <item x="20"/>
        <item m="1" x="34"/>
        <item x="31"/>
        <item x="2"/>
        <item x="30"/>
        <item m="1" x="56"/>
        <item m="1" x="42"/>
        <item m="1" x="44"/>
        <item m="1" x="59"/>
        <item m="1" x="37"/>
        <item m="1" x="33"/>
        <item m="1" x="62"/>
        <item m="1" x="36"/>
        <item m="1" x="38"/>
        <item x="5"/>
        <item m="1" x="61"/>
        <item m="1" x="64"/>
        <item x="0"/>
        <item m="1" x="43"/>
        <item x="6"/>
        <item m="1" x="63"/>
        <item x="9"/>
        <item m="1" x="50"/>
        <item m="1" x="35"/>
        <item x="18"/>
        <item x="4"/>
        <item m="1" x="52"/>
        <item m="1" x="65"/>
        <item m="1" x="49"/>
        <item m="1" x="32"/>
        <item m="1" x="66"/>
        <item m="1" x="57"/>
        <item m="1" x="67"/>
        <item x="1"/>
        <item m="1" x="40"/>
        <item m="1" x="39"/>
        <item x="7"/>
        <item x="26"/>
        <item x="12"/>
        <item x="16"/>
        <item x="17"/>
        <item x="19"/>
        <item x="22"/>
        <item x="23"/>
        <item x="24"/>
        <item x="25"/>
        <item x="27"/>
        <item x="21"/>
        <item x="10"/>
        <item x="11"/>
        <item x="13"/>
        <item x="14"/>
        <item x="29"/>
      </items>
    </pivotField>
    <pivotField compact="0" numFmtId="14" outline="0" showAll="0" defaultSubtotal="0"/>
    <pivotField compact="0" outline="0" showAll="0" defaultSubtotal="0"/>
    <pivotField compact="0" outline="0" showAll="0" defaultSubtotal="0"/>
    <pivotField axis="axisRow" compact="0" outline="0" showAll="0" defaultSubtotal="0">
      <items count="5">
        <item x="0"/>
        <item x="1"/>
        <item x="2"/>
        <item m="1" x="3"/>
        <item m="1" x="4"/>
      </items>
    </pivotField>
    <pivotField compact="0" outline="0" showAll="0" defaultSubtotal="0"/>
    <pivotField compact="0" outline="0" showAll="0" defaultSubtotal="0"/>
    <pivotField compact="0" outline="0" subtotalTop="0" showAll="0" defaultSubtotal="0"/>
    <pivotField compact="0" numFmtId="164" outline="0" showAll="0" defaultSubtotal="0"/>
    <pivotField compact="0" outline="0" showAll="0" defaultSubtotal="0"/>
    <pivotField compact="0" numFmtId="164"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numFmtId="1" outline="0" showAll="0" defaultSubtotal="0"/>
    <pivotField compact="0" outline="0" showAll="0" defaultSubtotal="0"/>
    <pivotField compact="0" outline="0" showAll="0" defaultSubtotal="0"/>
    <pivotField compact="0" numFmtId="14" outline="0" showAll="0" defaultSubtotal="0"/>
    <pivotField compact="0" outline="0" showAll="0" defaultSubtotal="0"/>
    <pivotField compact="0" outline="0" showAll="0" defaultSubtotal="0"/>
    <pivotField dataField="1" compact="0" outline="0" showAll="0" defaultSubtotal="0"/>
    <pivotField compact="0" numFmtId="164" outline="0" subtotalTop="0" showAll="0" defaultSubtotal="0"/>
    <pivotField compact="0" numFmtId="171" outline="0" subtotalTop="0" showAll="0" defaultSubtotal="0"/>
    <pivotField compact="0" numFmtId="171" outline="0" subtotalTop="0" showAll="0" defaultSubtotal="0"/>
    <pivotField compact="0" outline="0" subtotalTop="0" showAll="0" defaultSubtotal="0"/>
    <pivotField compact="0" numFmtId="171" outline="0" subtotalTop="0" showAll="0" defaultSubtotal="0"/>
    <pivotField compact="0" outline="0" showAll="0" defaultSubtotal="0"/>
    <pivotField compact="0" outline="0" showAll="0" defaultSubtotal="0"/>
    <pivotField compact="0" outline="0" subtotalTop="0" showAll="0" defaultSubtotal="0"/>
    <pivotField axis="axisPage" compact="0" outline="0" multipleItemSelectionAllowed="1" showAll="0" defaultSubtotal="0">
      <items count="10">
        <item n="EX" h="1" m="1" x="6"/>
        <item n="IN" h="1" m="1" x="8"/>
        <item h="1" m="1" x="9"/>
        <item h="1" m="1" x="7"/>
        <item x="5"/>
        <item x="2"/>
        <item x="4"/>
        <item x="3"/>
        <item x="1"/>
        <item x="0"/>
      </items>
    </pivotField>
    <pivotField compact="0" numFmtId="164" outline="0" subtotalTop="0" showAll="0" defaultSubtotal="0"/>
    <pivotField compact="0" numFmtId="164" outline="0" subtotalTop="0" showAll="0" defaultSubtotal="0"/>
    <pivotField compact="0" numFmtId="9" outline="0" subtotalTop="0" showAll="0" defaultSubtotal="0"/>
    <pivotField compact="0" numFmtId="164" outline="0" subtotalTop="0" showAll="0" defaultSubtotal="0"/>
    <pivotField compact="0" numFmtId="164" outline="0" subtotalTop="0" showAll="0" defaultSubtotal="0"/>
    <pivotField compact="0" numFmtId="164"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ubtotalTop="0" showAll="0" defaultSubtotal="0"/>
    <pivotField compact="0" numFmtId="44" outline="0" showAll="0" defaultSubtotal="0"/>
    <pivotField compact="0" outline="0" showAll="0" defaultSubtotal="0"/>
    <pivotField compact="0" numFmtId="192" outline="0" subtotalTop="0" showAll="0" defaultSubtotal="0"/>
    <pivotField compact="0" numFmtId="9" outline="0" subtotalTop="0" showAll="0" defaultSubtotal="0"/>
    <pivotField compact="0" numFmtId="192" outline="0" subtotalTop="0" showAll="0" defaultSubtotal="0"/>
    <pivotField compact="0" outline="0" subtotalTop="0" showAll="0" defaultSubtotal="0"/>
    <pivotField compact="0" numFmtId="192" outline="0" subtotalTop="0" showAll="0" defaultSubtotal="0"/>
    <pivotField compact="0" numFmtId="192" outline="0" subtotalTop="0" showAll="0" defaultSubtotal="0"/>
    <pivotField compact="0" outline="0" subtotalTop="0" showAll="0" defaultSubtotal="0"/>
    <pivotField compact="0" outline="0" subtotalTop="0" showAll="0" defaultSubtotal="0"/>
    <pivotField compact="0" outline="0" subtotalTop="0" showAll="0" defaultSubtotal="0">
      <items count="6">
        <item x="1"/>
        <item x="2"/>
        <item x="3"/>
        <item x="4"/>
        <item x="0"/>
        <item x="5"/>
      </items>
    </pivotField>
    <pivotField compact="0" outline="0" subtotalTop="0" showAll="0" defaultSubtotal="0">
      <items count="4">
        <item x="1"/>
        <item x="0"/>
        <item x="2"/>
        <item x="3"/>
      </items>
    </pivotField>
    <pivotField compact="0" outline="0" subtotalTop="0" dragToRow="0" dragToCol="0" dragToPage="0" showAll="0" defaultSubtotal="0"/>
    <pivotField compact="0" outline="0" subtotalTop="0" dragToRow="0" dragToCol="0" dragToPage="0" showAll="0" defaultSubtotal="0"/>
  </pivotFields>
  <rowFields count="2">
    <field x="2"/>
    <field x="6"/>
  </rowFields>
  <rowItems count="43">
    <i>
      <x v="2"/>
      <x v="1"/>
    </i>
    <i>
      <x v="5"/>
      <x v="1"/>
    </i>
    <i>
      <x v="6"/>
      <x/>
    </i>
    <i r="1">
      <x v="1"/>
    </i>
    <i>
      <x v="9"/>
      <x v="1"/>
    </i>
    <i>
      <x v="16"/>
      <x v="1"/>
    </i>
    <i>
      <x v="18"/>
      <x v="1"/>
    </i>
    <i>
      <x v="19"/>
      <x v="1"/>
    </i>
    <i>
      <x v="20"/>
      <x v="1"/>
    </i>
    <i r="1">
      <x v="2"/>
    </i>
    <i>
      <x v="30"/>
      <x/>
    </i>
    <i r="1">
      <x v="1"/>
    </i>
    <i>
      <x v="33"/>
      <x/>
    </i>
    <i r="1">
      <x v="1"/>
    </i>
    <i>
      <x v="35"/>
      <x v="1"/>
    </i>
    <i>
      <x v="37"/>
      <x/>
    </i>
    <i r="1">
      <x v="1"/>
    </i>
    <i>
      <x v="40"/>
      <x v="1"/>
    </i>
    <i>
      <x v="41"/>
      <x v="1"/>
    </i>
    <i>
      <x v="49"/>
      <x v="1"/>
    </i>
    <i>
      <x v="52"/>
      <x/>
    </i>
    <i r="1">
      <x v="1"/>
    </i>
    <i>
      <x v="53"/>
      <x v="1"/>
    </i>
    <i>
      <x v="54"/>
      <x/>
    </i>
    <i>
      <x v="55"/>
      <x v="1"/>
    </i>
    <i>
      <x v="56"/>
      <x v="1"/>
    </i>
    <i>
      <x v="57"/>
      <x v="1"/>
    </i>
    <i>
      <x v="58"/>
      <x v="1"/>
    </i>
    <i>
      <x v="59"/>
      <x v="1"/>
    </i>
    <i>
      <x v="60"/>
      <x v="1"/>
    </i>
    <i>
      <x v="61"/>
      <x v="1"/>
    </i>
    <i>
      <x v="62"/>
      <x v="1"/>
    </i>
    <i>
      <x v="63"/>
      <x/>
    </i>
    <i r="1">
      <x v="1"/>
    </i>
    <i>
      <x v="64"/>
      <x/>
    </i>
    <i>
      <x v="65"/>
      <x/>
    </i>
    <i r="1">
      <x v="1"/>
    </i>
    <i>
      <x v="66"/>
      <x/>
    </i>
    <i r="1">
      <x v="1"/>
    </i>
    <i>
      <x v="67"/>
      <x/>
    </i>
    <i r="1">
      <x v="1"/>
    </i>
    <i>
      <x v="68"/>
      <x v="1"/>
    </i>
    <i t="grand">
      <x/>
    </i>
  </rowItems>
  <colItems count="1">
    <i/>
  </colItems>
  <pageFields count="2">
    <pageField fld="0" hier="-1"/>
    <pageField fld="34" hier="-1"/>
  </pageFields>
  <dataFields count="1">
    <dataField name="Suma de Q Bolsas Equivalentes 50kg" fld="25" baseField="0" baseItem="0" numFmtId="3"/>
  </dataFields>
  <formats count="60">
    <format dxfId="317">
      <pivotArea outline="0" collapsedLevelsAreSubtotals="1" fieldPosition="0">
        <references count="1">
          <reference field="4294967294" count="1" selected="0">
            <x v="0"/>
          </reference>
        </references>
      </pivotArea>
    </format>
    <format dxfId="316">
      <pivotArea dataOnly="0" labelOnly="1" outline="0" fieldPosition="0">
        <references count="1">
          <reference field="4294967294" count="1">
            <x v="0"/>
          </reference>
        </references>
      </pivotArea>
    </format>
    <format dxfId="315">
      <pivotArea outline="0" fieldPosition="0">
        <references count="1">
          <reference field="4294967294" count="1" selected="0">
            <x v="0"/>
          </reference>
        </references>
      </pivotArea>
    </format>
    <format dxfId="314">
      <pivotArea dataOnly="0" labelOnly="1" outline="0" fieldPosition="0">
        <references count="1">
          <reference field="4294967294" count="1">
            <x v="0"/>
          </reference>
        </references>
      </pivotArea>
    </format>
    <format dxfId="313">
      <pivotArea dataOnly="0" labelOnly="1" outline="0" fieldPosition="0">
        <references count="1">
          <reference field="0" count="0"/>
        </references>
      </pivotArea>
    </format>
    <format dxfId="312">
      <pivotArea field="34" type="button" dataOnly="0" labelOnly="1" outline="0" axis="axisPage" fieldPosition="1"/>
    </format>
    <format dxfId="311">
      <pivotArea dataOnly="0" labelOnly="1" outline="0" fieldPosition="0">
        <references count="1">
          <reference field="4294967294" count="1">
            <x v="0"/>
          </reference>
        </references>
      </pivotArea>
    </format>
    <format dxfId="310">
      <pivotArea field="2" type="button" dataOnly="0" labelOnly="1" outline="0" axis="axisRow" fieldPosition="0"/>
    </format>
    <format dxfId="309">
      <pivotArea field="6" type="button" dataOnly="0" labelOnly="1" outline="0" axis="axisRow" fieldPosition="1"/>
    </format>
    <format dxfId="308">
      <pivotArea dataOnly="0" labelOnly="1" outline="0" fieldPosition="0">
        <references count="1">
          <reference field="4294967294" count="1">
            <x v="0"/>
          </reference>
        </references>
      </pivotArea>
    </format>
    <format dxfId="307">
      <pivotArea dataOnly="0" labelOnly="1" outline="0" fieldPosition="0">
        <references count="1">
          <reference field="4294967294" count="1">
            <x v="0"/>
          </reference>
        </references>
      </pivotArea>
    </format>
    <format dxfId="306">
      <pivotArea field="6" type="button" dataOnly="0" labelOnly="1" outline="0" axis="axisRow" fieldPosition="1"/>
    </format>
    <format dxfId="305">
      <pivotArea dataOnly="0" labelOnly="1" grandRow="1" outline="0" fieldPosition="0"/>
    </format>
    <format dxfId="304">
      <pivotArea dataOnly="0" labelOnly="1" outline="0" fieldPosition="0">
        <references count="2">
          <reference field="2" count="1" selected="0">
            <x v="33"/>
          </reference>
          <reference field="6" count="0"/>
        </references>
      </pivotArea>
    </format>
    <format dxfId="303">
      <pivotArea dataOnly="0" labelOnly="1" outline="0" fieldPosition="0">
        <references count="2">
          <reference field="2" count="1" selected="0">
            <x v="9"/>
          </reference>
          <reference field="6" count="0"/>
        </references>
      </pivotArea>
    </format>
    <format dxfId="302">
      <pivotArea dataOnly="0" labelOnly="1" outline="0" fieldPosition="0">
        <references count="2">
          <reference field="2" count="1" selected="0">
            <x v="19"/>
          </reference>
          <reference field="6" count="0"/>
        </references>
      </pivotArea>
    </format>
    <format dxfId="301">
      <pivotArea dataOnly="0" labelOnly="1" outline="0" fieldPosition="0">
        <references count="2">
          <reference field="2" count="1" selected="0">
            <x v="35"/>
          </reference>
          <reference field="6" count="0"/>
        </references>
      </pivotArea>
    </format>
    <format dxfId="300">
      <pivotArea dataOnly="0" labelOnly="1" outline="0" fieldPosition="0">
        <references count="2">
          <reference field="2" count="1" selected="0">
            <x v="6"/>
          </reference>
          <reference field="6" count="0"/>
        </references>
      </pivotArea>
    </format>
    <format dxfId="299">
      <pivotArea dataOnly="0" labelOnly="1" outline="0" fieldPosition="0">
        <references count="2">
          <reference field="2" count="1" selected="0">
            <x v="31"/>
          </reference>
          <reference field="6" count="0"/>
        </references>
      </pivotArea>
    </format>
    <format dxfId="298">
      <pivotArea dataOnly="0" labelOnly="1" outline="0" fieldPosition="0">
        <references count="2">
          <reference field="2" count="1" selected="0">
            <x v="14"/>
          </reference>
          <reference field="6" count="0"/>
        </references>
      </pivotArea>
    </format>
    <format dxfId="297">
      <pivotArea dataOnly="0" labelOnly="1" outline="0" fieldPosition="0">
        <references count="2">
          <reference field="2" count="1" selected="0">
            <x v="10"/>
          </reference>
          <reference field="6" count="0"/>
        </references>
      </pivotArea>
    </format>
    <format dxfId="296">
      <pivotArea dataOnly="0" labelOnly="1" outline="0" fieldPosition="0">
        <references count="2">
          <reference field="2" count="1" selected="0">
            <x v="34"/>
          </reference>
          <reference field="6" count="0"/>
        </references>
      </pivotArea>
    </format>
    <format dxfId="295">
      <pivotArea dataOnly="0" labelOnly="1" outline="0" fieldPosition="0">
        <references count="2">
          <reference field="2" count="1" selected="0">
            <x v="7"/>
          </reference>
          <reference field="6" count="0"/>
        </references>
      </pivotArea>
    </format>
    <format dxfId="294">
      <pivotArea dataOnly="0" labelOnly="1" outline="0" fieldPosition="0">
        <references count="2">
          <reference field="2" count="1" selected="0">
            <x v="5"/>
          </reference>
          <reference field="6" count="0"/>
        </references>
      </pivotArea>
    </format>
    <format dxfId="293">
      <pivotArea dataOnly="0" labelOnly="1" outline="0" fieldPosition="0">
        <references count="2">
          <reference field="2" count="1" selected="0">
            <x v="3"/>
          </reference>
          <reference field="6" count="0"/>
        </references>
      </pivotArea>
    </format>
    <format dxfId="292">
      <pivotArea dataOnly="0" labelOnly="1" outline="0" fieldPosition="0">
        <references count="2">
          <reference field="2" count="1" selected="0">
            <x v="28"/>
          </reference>
          <reference field="6" count="0"/>
        </references>
      </pivotArea>
    </format>
    <format dxfId="291">
      <pivotArea dataOnly="0" labelOnly="1" outline="0" fieldPosition="0">
        <references count="2">
          <reference field="2" count="1" selected="0">
            <x v="25"/>
          </reference>
          <reference field="6" count="0"/>
        </references>
      </pivotArea>
    </format>
    <format dxfId="290">
      <pivotArea dataOnly="0" labelOnly="1" outline="0" fieldPosition="0">
        <references count="2">
          <reference field="2" count="1" selected="0">
            <x v="2"/>
          </reference>
          <reference field="6" count="0"/>
        </references>
      </pivotArea>
    </format>
    <format dxfId="289">
      <pivotArea dataOnly="0" labelOnly="1" outline="0" fieldPosition="0">
        <references count="2">
          <reference field="2" count="1" selected="0">
            <x v="18"/>
          </reference>
          <reference field="6" count="0"/>
        </references>
      </pivotArea>
    </format>
    <format dxfId="288">
      <pivotArea dataOnly="0" labelOnly="1" outline="0" fieldPosition="0">
        <references count="2">
          <reference field="2" count="1" selected="0">
            <x v="17"/>
          </reference>
          <reference field="6" count="0"/>
        </references>
      </pivotArea>
    </format>
    <format dxfId="287">
      <pivotArea dataOnly="0" labelOnly="1" outline="0" fieldPosition="0">
        <references count="2">
          <reference field="2" count="1" selected="0">
            <x v="37"/>
          </reference>
          <reference field="6" count="0"/>
        </references>
      </pivotArea>
    </format>
    <format dxfId="286">
      <pivotArea dataOnly="0" labelOnly="1" outline="0" fieldPosition="0">
        <references count="2">
          <reference field="2" count="1" selected="0">
            <x v="12"/>
          </reference>
          <reference field="6" count="0"/>
        </references>
      </pivotArea>
    </format>
    <format dxfId="285">
      <pivotArea dataOnly="0" labelOnly="1" outline="0" fieldPosition="0">
        <references count="2">
          <reference field="2" count="1" selected="0">
            <x v="11"/>
          </reference>
          <reference field="6" count="0"/>
        </references>
      </pivotArea>
    </format>
    <format dxfId="284">
      <pivotArea dataOnly="0" labelOnly="1" outline="0" fieldPosition="0">
        <references count="2">
          <reference field="2" count="1" selected="0">
            <x v="38"/>
          </reference>
          <reference field="6" count="0"/>
        </references>
      </pivotArea>
    </format>
    <format dxfId="283">
      <pivotArea dataOnly="0" labelOnly="1" outline="0" fieldPosition="0">
        <references count="2">
          <reference field="2" count="1" selected="0">
            <x v="1"/>
          </reference>
          <reference field="6" count="0"/>
        </references>
      </pivotArea>
    </format>
    <format dxfId="282">
      <pivotArea dataOnly="0" labelOnly="1" outline="0" fieldPosition="0">
        <references count="2">
          <reference field="2" count="1" selected="0">
            <x v="16"/>
          </reference>
          <reference field="6" count="0"/>
        </references>
      </pivotArea>
    </format>
    <format dxfId="281">
      <pivotArea dataOnly="0" labelOnly="1" outline="0" fieldPosition="0">
        <references count="2">
          <reference field="2" count="1" selected="0">
            <x v="8"/>
          </reference>
          <reference field="6" count="0"/>
        </references>
      </pivotArea>
    </format>
    <format dxfId="280">
      <pivotArea dataOnly="0" labelOnly="1" outline="0" fieldPosition="0">
        <references count="2">
          <reference field="2" count="1" selected="0">
            <x v="49"/>
          </reference>
          <reference field="6" count="0"/>
        </references>
      </pivotArea>
    </format>
    <format dxfId="279">
      <pivotArea dataOnly="0" labelOnly="1" outline="0" fieldPosition="0">
        <references count="2">
          <reference field="2" count="1" selected="0">
            <x v="39"/>
          </reference>
          <reference field="6" count="0"/>
        </references>
      </pivotArea>
    </format>
    <format dxfId="278">
      <pivotArea dataOnly="0" labelOnly="1" outline="0" fieldPosition="0">
        <references count="2">
          <reference field="2" count="1" selected="0">
            <x v="36"/>
          </reference>
          <reference field="6" count="0"/>
        </references>
      </pivotArea>
    </format>
    <format dxfId="277">
      <pivotArea dataOnly="0" labelOnly="1" outline="0" fieldPosition="0">
        <references count="2">
          <reference field="2" count="1" selected="0">
            <x v="30"/>
          </reference>
          <reference field="6" count="0"/>
        </references>
      </pivotArea>
    </format>
    <format dxfId="276">
      <pivotArea dataOnly="0" labelOnly="1" outline="0" fieldPosition="0">
        <references count="2">
          <reference field="2" count="1" selected="0">
            <x v="50"/>
          </reference>
          <reference field="6" count="0"/>
        </references>
      </pivotArea>
    </format>
    <format dxfId="275">
      <pivotArea dataOnly="0" labelOnly="1" outline="0" fieldPosition="0">
        <references count="2">
          <reference field="2" count="1" selected="0">
            <x v="44"/>
          </reference>
          <reference field="6" count="0"/>
        </references>
      </pivotArea>
    </format>
    <format dxfId="274">
      <pivotArea dataOnly="0" labelOnly="1" outline="0" fieldPosition="0">
        <references count="2">
          <reference field="2" count="1" selected="0">
            <x v="21"/>
          </reference>
          <reference field="6" count="0"/>
        </references>
      </pivotArea>
    </format>
    <format dxfId="273">
      <pivotArea dataOnly="0" labelOnly="1" outline="0" fieldPosition="0">
        <references count="2">
          <reference field="2" count="1" selected="0">
            <x v="32"/>
          </reference>
          <reference field="6" count="0"/>
        </references>
      </pivotArea>
    </format>
    <format dxfId="272">
      <pivotArea dataOnly="0" labelOnly="1" outline="0" fieldPosition="0">
        <references count="2">
          <reference field="2" count="1" selected="0">
            <x v="40"/>
          </reference>
          <reference field="6" count="0"/>
        </references>
      </pivotArea>
    </format>
    <format dxfId="271">
      <pivotArea dataOnly="0" labelOnly="1" outline="0" fieldPosition="0">
        <references count="2">
          <reference field="2" count="1" selected="0">
            <x v="29"/>
          </reference>
          <reference field="6" count="0"/>
        </references>
      </pivotArea>
    </format>
    <format dxfId="270">
      <pivotArea dataOnly="0" labelOnly="1" outline="0" fieldPosition="0">
        <references count="2">
          <reference field="2" count="1" selected="0">
            <x v="45"/>
          </reference>
          <reference field="6" count="0"/>
        </references>
      </pivotArea>
    </format>
    <format dxfId="269">
      <pivotArea dataOnly="0" labelOnly="1" outline="0" fieldPosition="0">
        <references count="2">
          <reference field="2" count="1" selected="0">
            <x v="4"/>
          </reference>
          <reference field="6" count="0"/>
        </references>
      </pivotArea>
    </format>
    <format dxfId="268">
      <pivotArea dataOnly="0" labelOnly="1" outline="0" fieldPosition="0">
        <references count="2">
          <reference field="2" count="1" selected="0">
            <x v="43"/>
          </reference>
          <reference field="6" count="0"/>
        </references>
      </pivotArea>
    </format>
    <format dxfId="267">
      <pivotArea dataOnly="0" labelOnly="1" outline="0" fieldPosition="0">
        <references count="2">
          <reference field="2" count="1" selected="0">
            <x v="42"/>
          </reference>
          <reference field="6" count="0"/>
        </references>
      </pivotArea>
    </format>
    <format dxfId="266">
      <pivotArea dataOnly="0" labelOnly="1" outline="0" fieldPosition="0">
        <references count="2">
          <reference field="2" count="1" selected="0">
            <x v="27"/>
          </reference>
          <reference field="6" count="0"/>
        </references>
      </pivotArea>
    </format>
    <format dxfId="265">
      <pivotArea dataOnly="0" labelOnly="1" outline="0" fieldPosition="0">
        <references count="2">
          <reference field="2" count="1" selected="0">
            <x v="26"/>
          </reference>
          <reference field="6" count="0"/>
        </references>
      </pivotArea>
    </format>
    <format dxfId="264">
      <pivotArea dataOnly="0" labelOnly="1" outline="0" fieldPosition="0">
        <references count="2">
          <reference field="2" count="1" selected="0">
            <x v="22"/>
          </reference>
          <reference field="6" count="0"/>
        </references>
      </pivotArea>
    </format>
    <format dxfId="263">
      <pivotArea dataOnly="0" labelOnly="1" outline="0" fieldPosition="0">
        <references count="2">
          <reference field="2" count="1" selected="0">
            <x v="24"/>
          </reference>
          <reference field="6" count="0"/>
        </references>
      </pivotArea>
    </format>
    <format dxfId="262">
      <pivotArea field="2" type="button" dataOnly="0" labelOnly="1" outline="0" axis="axisRow" fieldPosition="0"/>
    </format>
    <format dxfId="261">
      <pivotArea field="6" type="button" dataOnly="0" labelOnly="1" outline="0" axis="axisRow" fieldPosition="1"/>
    </format>
    <format dxfId="260">
      <pivotArea dataOnly="0" labelOnly="1" outline="0" fieldPosition="0">
        <references count="1">
          <reference field="4294967294" count="1">
            <x v="0"/>
          </reference>
        </references>
      </pivotArea>
    </format>
    <format dxfId="259">
      <pivotArea dataOnly="0" labelOnly="1" outline="0" axis="axisValues" fieldPosition="0"/>
    </format>
    <format dxfId="2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B060B4-DB9A-413B-9206-E3777741BBD3}" name="TablaDinámica6" cacheId="3"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rowHeaderCaption="TIPO DE CLIENTE">
  <location ref="A58:M72" firstHeaderRow="0" firstDataRow="1" firstDataCol="1" rowPageCount="1" colPageCount="1"/>
  <pivotFields count="59">
    <pivotField axis="axisPage" numFmtId="17" multipleItemSelectionAllowed="1" showAll="0">
      <items count="15">
        <item x="0"/>
        <item x="1"/>
        <item x="2"/>
        <item x="3"/>
        <item x="4"/>
        <item x="5"/>
        <item x="6"/>
        <item x="7"/>
        <item x="8"/>
        <item x="9"/>
        <item x="10"/>
        <item x="11"/>
        <item x="12"/>
        <item x="13"/>
        <item t="default"/>
      </items>
    </pivotField>
    <pivotField showAll="0"/>
    <pivotField showAll="0">
      <items count="70">
        <item m="1" x="48"/>
        <item m="1" x="60"/>
        <item x="28"/>
        <item m="1" x="54"/>
        <item m="1" x="47"/>
        <item x="3"/>
        <item x="8"/>
        <item m="1" x="51"/>
        <item m="1" x="68"/>
        <item x="15"/>
        <item m="1" x="41"/>
        <item m="1" x="58"/>
        <item m="1" x="45"/>
        <item m="1" x="55"/>
        <item m="1" x="53"/>
        <item m="1" x="46"/>
        <item x="20"/>
        <item m="1" x="34"/>
        <item x="31"/>
        <item x="2"/>
        <item h="1" x="30"/>
        <item m="1" x="56"/>
        <item m="1" x="42"/>
        <item m="1" x="44"/>
        <item m="1" x="59"/>
        <item m="1" x="37"/>
        <item m="1" x="33"/>
        <item m="1" x="62"/>
        <item m="1" x="36"/>
        <item m="1" x="38"/>
        <item x="5"/>
        <item m="1" x="61"/>
        <item m="1" x="64"/>
        <item x="0"/>
        <item h="1" m="1" x="43"/>
        <item h="1" x="6"/>
        <item h="1" m="1" x="63"/>
        <item h="1" x="9"/>
        <item h="1" m="1" x="50"/>
        <item h="1" m="1" x="35"/>
        <item h="1" x="18"/>
        <item h="1" x="4"/>
        <item h="1" m="1" x="52"/>
        <item h="1" m="1" x="65"/>
        <item h="1" m="1" x="49"/>
        <item h="1" m="1" x="32"/>
        <item h="1" m="1" x="66"/>
        <item h="1" m="1" x="57"/>
        <item h="1" m="1" x="67"/>
        <item h="1" x="1"/>
        <item h="1" m="1" x="40"/>
        <item h="1" m="1" x="39"/>
        <item h="1" x="7"/>
        <item h="1" x="26"/>
        <item h="1" x="12"/>
        <item h="1" x="16"/>
        <item h="1" x="17"/>
        <item h="1" x="19"/>
        <item h="1" x="22"/>
        <item h="1" x="23"/>
        <item h="1" x="24"/>
        <item h="1" x="25"/>
        <item h="1" x="27"/>
        <item h="1" x="21"/>
        <item h="1" x="10"/>
        <item h="1" x="11"/>
        <item h="1" x="13"/>
        <item h="1" x="14"/>
        <item h="1" x="29"/>
        <item t="default"/>
      </items>
    </pivotField>
    <pivotField numFmtId="14" showAll="0"/>
    <pivotField showAll="0"/>
    <pivotField showAll="0"/>
    <pivotField showAll="0"/>
    <pivotField showAll="0"/>
    <pivotField showAll="0"/>
    <pivotField dataField="1" showAll="0"/>
    <pivotField numFmtId="164" showAll="0"/>
    <pivotField showAll="0"/>
    <pivotField dataField="1" numFmtId="164" showAll="0"/>
    <pivotField showAll="0"/>
    <pivotField showAll="0"/>
    <pivotField showAll="0"/>
    <pivotField showAll="0"/>
    <pivotField numFmtId="14" showAll="0"/>
    <pivotField numFmtId="14" showAll="0"/>
    <pivotField numFmtId="1" showAll="0"/>
    <pivotField showAll="0"/>
    <pivotField showAll="0"/>
    <pivotField numFmtId="14" showAll="0"/>
    <pivotField showAll="0"/>
    <pivotField showAll="0"/>
    <pivotField dataField="1" showAll="0"/>
    <pivotField dataField="1" numFmtId="164" showAll="0"/>
    <pivotField numFmtId="171" showAll="0"/>
    <pivotField numFmtId="171" showAll="0"/>
    <pivotField showAll="0"/>
    <pivotField dataField="1" numFmtId="171" showAll="0"/>
    <pivotField showAll="0"/>
    <pivotField showAll="0"/>
    <pivotField showAll="0"/>
    <pivotField name="TIPO DE CLIENTE" axis="axisRow" showAll="0" defaultSubtotal="0">
      <items count="10">
        <item n="EX" sd="0" m="1" x="6"/>
        <item n="IN" sd="0" m="1" x="8"/>
        <item sd="0" m="1" x="9"/>
        <item sd="0" m="1" x="7"/>
        <item h="1" sd="0" x="5"/>
        <item x="1"/>
        <item x="2"/>
        <item x="3"/>
        <item x="4"/>
        <item x="0"/>
      </items>
    </pivotField>
    <pivotField numFmtId="164" showAll="0"/>
    <pivotField numFmtId="164" showAll="0"/>
    <pivotField dataField="1" numFmtId="9" showAll="0"/>
    <pivotField numFmtId="164" showAll="0"/>
    <pivotField numFmtId="164" showAll="0"/>
    <pivotField numFmtId="164" showAll="0"/>
    <pivotField showAll="0"/>
    <pivotField showAll="0"/>
    <pivotField numFmtId="1" showAll="0"/>
    <pivotField showAll="0"/>
    <pivotField numFmtId="44" showAll="0"/>
    <pivotField showAll="0"/>
    <pivotField numFmtId="192" showAll="0"/>
    <pivotField numFmtId="9" showAll="0"/>
    <pivotField dataField="1" numFmtId="192" showAll="0"/>
    <pivotField dataField="1" showAll="0"/>
    <pivotField numFmtId="192" showAll="0"/>
    <pivotField numFmtId="192" showAll="0"/>
    <pivotField dataField="1" showAll="0"/>
    <pivotField axis="axisRow" showAll="0" includeNewItemsInFilter="1" sortType="ascending">
      <items count="7">
        <item sd="0" x="1"/>
        <item sd="0" x="3"/>
        <item sd="0" x="2"/>
        <item sd="0" x="4"/>
        <item sd="0" x="0"/>
        <item x="5"/>
        <item t="default"/>
      </items>
    </pivotField>
    <pivotField showAll="0">
      <items count="7">
        <item x="1"/>
        <item x="2"/>
        <item x="3"/>
        <item x="4"/>
        <item x="0"/>
        <item x="5"/>
        <item t="default"/>
      </items>
    </pivotField>
    <pivotField showAll="0">
      <items count="5">
        <item x="1"/>
        <item x="0"/>
        <item x="2"/>
        <item x="3"/>
        <item t="default"/>
      </items>
    </pivotField>
    <pivotField dataField="1" dragToRow="0" dragToCol="0" dragToPage="0" showAll="0" defaultSubtotal="0"/>
    <pivotField dataField="1" dragToRow="0" dragToCol="0" dragToPage="0" showAll="0" defaultSubtotal="0"/>
  </pivotFields>
  <rowFields count="2">
    <field x="34"/>
    <field x="54"/>
  </rowFields>
  <rowItems count="14">
    <i>
      <x v="5"/>
    </i>
    <i r="1">
      <x/>
    </i>
    <i>
      <x v="6"/>
    </i>
    <i r="1">
      <x v="1"/>
    </i>
    <i r="1">
      <x v="2"/>
    </i>
    <i r="1">
      <x v="3"/>
    </i>
    <i r="1">
      <x v="5"/>
    </i>
    <i>
      <x v="7"/>
    </i>
    <i r="1">
      <x v="3"/>
    </i>
    <i>
      <x v="8"/>
    </i>
    <i r="1">
      <x v="4"/>
    </i>
    <i>
      <x v="9"/>
    </i>
    <i r="1">
      <x v="4"/>
    </i>
    <i t="grand">
      <x/>
    </i>
  </rowItems>
  <colFields count="1">
    <field x="-2"/>
  </colFields>
  <colItems count="12">
    <i>
      <x/>
    </i>
    <i i="1">
      <x v="1"/>
    </i>
    <i i="2">
      <x v="2"/>
    </i>
    <i i="3">
      <x v="3"/>
    </i>
    <i i="4">
      <x v="4"/>
    </i>
    <i i="5">
      <x v="5"/>
    </i>
    <i i="6">
      <x v="6"/>
    </i>
    <i i="7">
      <x v="7"/>
    </i>
    <i i="8">
      <x v="8"/>
    </i>
    <i i="9">
      <x v="9"/>
    </i>
    <i i="10">
      <x v="10"/>
    </i>
    <i i="11">
      <x v="11"/>
    </i>
  </colItems>
  <pageFields count="1">
    <pageField fld="0" hier="-1"/>
  </pageFields>
  <dataFields count="12">
    <dataField name="TOTAL  TONELADAS" fld="57" baseField="0" baseItem="0" numFmtId="3"/>
    <dataField name="TOTAL BOLSAS EQUIVALENTES 50 KG" fld="25" baseField="0" baseItem="0" numFmtId="3"/>
    <dataField name="% PART. BOLSAS EQ." fld="25" showDataAs="percentOfCol" baseField="52" baseItem="1" numFmtId="9"/>
    <dataField name=" TOTAL BOLSAS PROMEDIO MES" fld="58" baseField="0" baseItem="0" numFmtId="3"/>
    <dataField name="PRECIO $ / KG A PLAZO EN CLIENTE ( SIN IVA)" fld="9" subtotal="average" baseField="54" baseItem="1" numFmtId="180"/>
    <dataField name="PRECIO $ BOLSA 50 KG  (IVA INC) " fld="26" subtotal="average" baseField="54" baseItem="1" numFmtId="180"/>
    <dataField name="PRECIO $ BOLSA 50KG  FOB CDO TUC  (IVA INC)" fld="30" subtotal="average" baseField="54" baseItem="1" numFmtId="180"/>
    <dataField name=" % DIF PRECIO NETO INDUSTRIA vs  TUCUMAN (IVA INC)" fld="37" subtotal="average" baseField="34" baseItem="5" numFmtId="9"/>
    <dataField name=" VENTA TOTAL $ A PLAZO EN CLIENTE  (IVA INC) " fld="12" baseField="0" baseItem="0" numFmtId="180"/>
    <dataField name="VENTA TOTAL  USD A PLAZO EN CLIENTE  (IVA INC)" fld="49" baseField="0" baseItem="0" numFmtId="192"/>
    <dataField name=" PRECIO USD/TON A PLAZO EN CLIENTE (SIN IVA)" fld="50" subtotal="average" baseField="54" baseItem="1" numFmtId="192"/>
    <dataField name="PRECIO  USD/ TON CDO FOB CORONA (SIN IVA)" fld="53" subtotal="average" baseField="54" baseItem="1" numFmtId="192"/>
  </dataFields>
  <formats count="43">
    <format dxfId="360">
      <pivotArea outline="0" collapsedLevelsAreSubtotals="1" fieldPosition="0">
        <references count="1">
          <reference field="4294967294" count="1" selected="0">
            <x v="1"/>
          </reference>
        </references>
      </pivotArea>
    </format>
    <format dxfId="359">
      <pivotArea dataOnly="0" labelOnly="1" outline="0" fieldPosition="0">
        <references count="1">
          <reference field="4294967294" count="1">
            <x v="1"/>
          </reference>
        </references>
      </pivotArea>
    </format>
    <format dxfId="358">
      <pivotArea field="2" type="button" dataOnly="0" labelOnly="1" outline="0"/>
    </format>
    <format dxfId="357">
      <pivotArea dataOnly="0" labelOnly="1" outline="0" fieldPosition="0">
        <references count="1">
          <reference field="4294967294" count="1">
            <x v="1"/>
          </reference>
        </references>
      </pivotArea>
    </format>
    <format dxfId="356">
      <pivotArea outline="0" fieldPosition="0">
        <references count="1">
          <reference field="4294967294" count="1" selected="0">
            <x v="1"/>
          </reference>
        </references>
      </pivotArea>
    </format>
    <format dxfId="355">
      <pivotArea dataOnly="0" labelOnly="1" outline="0" fieldPosition="0">
        <references count="1">
          <reference field="4294967294" count="1">
            <x v="1"/>
          </reference>
        </references>
      </pivotArea>
    </format>
    <format dxfId="354">
      <pivotArea dataOnly="0" labelOnly="1" outline="0" fieldPosition="0">
        <references count="1">
          <reference field="0" count="0"/>
        </references>
      </pivotArea>
    </format>
    <format dxfId="353">
      <pivotArea dataOnly="0" labelOnly="1" outline="0" fieldPosition="0">
        <references count="1">
          <reference field="4294967294" count="1">
            <x v="1"/>
          </reference>
        </references>
      </pivotArea>
    </format>
    <format dxfId="352">
      <pivotArea dataOnly="0" labelOnly="1" outline="0" fieldPosition="0">
        <references count="1">
          <reference field="4294967294" count="1">
            <x v="1"/>
          </reference>
        </references>
      </pivotArea>
    </format>
    <format dxfId="351">
      <pivotArea outline="0" fieldPosition="0">
        <references count="1">
          <reference field="4294967294" count="1" selected="0">
            <x v="0"/>
          </reference>
        </references>
      </pivotArea>
    </format>
    <format dxfId="350">
      <pivotArea dataOnly="0" labelOnly="1" outline="0" fieldPosition="0">
        <references count="1">
          <reference field="4294967294" count="1">
            <x v="0"/>
          </reference>
        </references>
      </pivotArea>
    </format>
    <format dxfId="349">
      <pivotArea dataOnly="0" labelOnly="1" outline="0" fieldPosition="0">
        <references count="1">
          <reference field="4294967294" count="2">
            <x v="0"/>
            <x v="1"/>
          </reference>
        </references>
      </pivotArea>
    </format>
    <format dxfId="348">
      <pivotArea field="34" type="button" dataOnly="0" labelOnly="1" outline="0" axis="axisRow" fieldPosition="0"/>
    </format>
    <format dxfId="347">
      <pivotArea field="54" type="button" dataOnly="0" labelOnly="1" outline="0" axis="axisRow" fieldPosition="1"/>
    </format>
    <format dxfId="346">
      <pivotArea dataOnly="0" labelOnly="1" outline="0" fieldPosition="0">
        <references count="1">
          <reference field="4294967294" count="2">
            <x v="0"/>
            <x v="1"/>
          </reference>
        </references>
      </pivotArea>
    </format>
    <format dxfId="345">
      <pivotArea outline="0" fieldPosition="0">
        <references count="1">
          <reference field="4294967294" count="1">
            <x v="2"/>
          </reference>
        </references>
      </pivotArea>
    </format>
    <format dxfId="344">
      <pivotArea dataOnly="0" labelOnly="1" outline="0" fieldPosition="0">
        <references count="1">
          <reference field="4294967294" count="1">
            <x v="2"/>
          </reference>
        </references>
      </pivotArea>
    </format>
    <format dxfId="343">
      <pivotArea outline="0" fieldPosition="0">
        <references count="1">
          <reference field="4294967294" count="1" selected="0">
            <x v="2"/>
          </reference>
        </references>
      </pivotArea>
    </format>
    <format dxfId="342">
      <pivotArea outline="0" fieldPosition="0">
        <references count="1">
          <reference field="4294967294" count="1" selected="0">
            <x v="2"/>
          </reference>
        </references>
      </pivotArea>
    </format>
    <format dxfId="341">
      <pivotArea outline="0" fieldPosition="0">
        <references count="1">
          <reference field="4294967294" count="1" selected="0">
            <x v="4"/>
          </reference>
        </references>
      </pivotArea>
    </format>
    <format dxfId="340">
      <pivotArea dataOnly="0" labelOnly="1" outline="0" fieldPosition="0">
        <references count="1">
          <reference field="4294967294" count="1">
            <x v="4"/>
          </reference>
        </references>
      </pivotArea>
    </format>
    <format dxfId="339">
      <pivotArea dataOnly="0" labelOnly="1" outline="0" fieldPosition="0">
        <references count="1">
          <reference field="4294967294" count="1">
            <x v="5"/>
          </reference>
        </references>
      </pivotArea>
    </format>
    <format dxfId="338">
      <pivotArea outline="0" fieldPosition="0">
        <references count="1">
          <reference field="4294967294" count="1" selected="0">
            <x v="5"/>
          </reference>
        </references>
      </pivotArea>
    </format>
    <format dxfId="337">
      <pivotArea outline="0" fieldPosition="0">
        <references count="1">
          <reference field="4294967294" count="1" selected="0">
            <x v="6"/>
          </reference>
        </references>
      </pivotArea>
    </format>
    <format dxfId="336">
      <pivotArea dataOnly="0" labelOnly="1" outline="0" fieldPosition="0">
        <references count="1">
          <reference field="4294967294" count="1">
            <x v="5"/>
          </reference>
        </references>
      </pivotArea>
    </format>
    <format dxfId="335">
      <pivotArea dataOnly="0" labelOnly="1" outline="0" fieldPosition="0">
        <references count="1">
          <reference field="4294967294" count="1">
            <x v="6"/>
          </reference>
        </references>
      </pivotArea>
    </format>
    <format dxfId="334">
      <pivotArea outline="0" fieldPosition="0">
        <references count="1">
          <reference field="4294967294" count="1" selected="0">
            <x v="7"/>
          </reference>
        </references>
      </pivotArea>
    </format>
    <format dxfId="333">
      <pivotArea dataOnly="0" labelOnly="1" outline="0" fieldPosition="0">
        <references count="1">
          <reference field="4294967294" count="1">
            <x v="7"/>
          </reference>
        </references>
      </pivotArea>
    </format>
    <format dxfId="332">
      <pivotArea outline="0" fieldPosition="0">
        <references count="1">
          <reference field="4294967294" count="1" selected="0">
            <x v="8"/>
          </reference>
        </references>
      </pivotArea>
    </format>
    <format dxfId="331">
      <pivotArea dataOnly="0" labelOnly="1" outline="0" fieldPosition="0">
        <references count="1">
          <reference field="4294967294" count="1">
            <x v="8"/>
          </reference>
        </references>
      </pivotArea>
    </format>
    <format dxfId="330">
      <pivotArea dataOnly="0" labelOnly="1" outline="0" fieldPosition="0">
        <references count="1">
          <reference field="4294967294" count="1">
            <x v="9"/>
          </reference>
        </references>
      </pivotArea>
    </format>
    <format dxfId="329">
      <pivotArea outline="0" fieldPosition="0">
        <references count="1">
          <reference field="4294967294" count="1" selected="0">
            <x v="9"/>
          </reference>
        </references>
      </pivotArea>
    </format>
    <format dxfId="328">
      <pivotArea outline="0" fieldPosition="0">
        <references count="1">
          <reference field="4294967294" count="1" selected="0">
            <x v="7"/>
          </reference>
        </references>
      </pivotArea>
    </format>
    <format dxfId="327">
      <pivotArea dataOnly="0" labelOnly="1" outline="0" fieldPosition="0">
        <references count="1">
          <reference field="4294967294" count="1">
            <x v="10"/>
          </reference>
        </references>
      </pivotArea>
    </format>
    <format dxfId="326">
      <pivotArea outline="0" fieldPosition="0">
        <references count="1">
          <reference field="4294967294" count="1" selected="0">
            <x v="10"/>
          </reference>
        </references>
      </pivotArea>
    </format>
    <format dxfId="325">
      <pivotArea outline="0" fieldPosition="0">
        <references count="1">
          <reference field="4294967294" count="1" selected="0">
            <x v="11"/>
          </reference>
        </references>
      </pivotArea>
    </format>
    <format dxfId="324">
      <pivotArea dataOnly="0" labelOnly="1" outline="0" fieldPosition="0">
        <references count="1">
          <reference field="4294967294" count="1">
            <x v="11"/>
          </reference>
        </references>
      </pivotArea>
    </format>
    <format dxfId="323">
      <pivotArea dataOnly="0" labelOnly="1" outline="0" fieldPosition="0">
        <references count="1">
          <reference field="4294967294" count="1">
            <x v="0"/>
          </reference>
        </references>
      </pivotArea>
    </format>
    <format dxfId="322">
      <pivotArea outline="0" fieldPosition="0">
        <references count="1">
          <reference field="4294967294" count="1" selected="0">
            <x v="0"/>
          </reference>
        </references>
      </pivotArea>
    </format>
    <format dxfId="321">
      <pivotArea dataOnly="0" labelOnly="1" outline="0" fieldPosition="0">
        <references count="1">
          <reference field="4294967294" count="1">
            <x v="3"/>
          </reference>
        </references>
      </pivotArea>
    </format>
    <format dxfId="320">
      <pivotArea field="54" type="button" dataOnly="0" labelOnly="1" outline="0" axis="axisRow" fieldPosition="1"/>
    </format>
    <format dxfId="319">
      <pivotArea field="34" type="button" dataOnly="0" labelOnly="1" outline="0" axis="axisRow" fieldPosition="0"/>
    </format>
    <format dxfId="318">
      <pivotArea field="34" grandRow="1" outline="0" collapsedLevelsAreSubtotals="1" axis="axisRow" fieldPosition="0">
        <references count="1">
          <reference field="4294967294" count="1" selected="0">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E5F7A3-0750-479D-9839-37108588C694}" name="TablaDinámica9"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rowHeaderCaption="TIPO OPERACIÓN" colHeaderCaption="MES">
  <location ref="A209:AE216" firstHeaderRow="1" firstDataRow="3" firstDataCol="1"/>
  <pivotFields count="49">
    <pivotField axis="axisCol" numFmtId="17" multipleItemSelectionAllowed="1" showAll="0">
      <items count="15">
        <item x="3"/>
        <item x="5"/>
        <item x="6"/>
        <item x="7"/>
        <item x="8"/>
        <item x="9"/>
        <item x="10"/>
        <item x="11"/>
        <item x="12"/>
        <item x="13"/>
        <item x="2"/>
        <item x="0"/>
        <item x="1"/>
        <item x="4"/>
        <item t="default"/>
      </items>
    </pivotField>
    <pivotField showAll="0"/>
    <pivotField showAll="0">
      <items count="38">
        <item x="29"/>
        <item x="23"/>
        <item x="24"/>
        <item x="13"/>
        <item x="26"/>
        <item x="19"/>
        <item x="17"/>
        <item x="12"/>
        <item x="15"/>
        <item x="9"/>
        <item x="35"/>
        <item m="1" x="36"/>
        <item x="33"/>
        <item x="32"/>
        <item x="22"/>
        <item x="30"/>
        <item x="25"/>
        <item x="31"/>
        <item x="18"/>
        <item x="16"/>
        <item x="11"/>
        <item x="6"/>
        <item x="20"/>
        <item x="10"/>
        <item x="28"/>
        <item x="5"/>
        <item x="27"/>
        <item x="14"/>
        <item x="7"/>
        <item x="4"/>
        <item x="3"/>
        <item x="21"/>
        <item x="2"/>
        <item x="34"/>
        <item x="1"/>
        <item x="0"/>
        <item x="8"/>
        <item t="default"/>
      </items>
    </pivotField>
    <pivotField numFmtId="14" showAll="0"/>
    <pivotField showAll="0"/>
    <pivotField showAll="0"/>
    <pivotField showAll="0"/>
    <pivotField numFmtId="14" showAll="0"/>
    <pivotField dataField="1" numFmtId="3" showAll="0"/>
    <pivotField numFmtId="170" showAll="0"/>
    <pivotField numFmtId="164" showAll="0"/>
    <pivotField showAll="0"/>
    <pivotField numFmtId="164" showAll="0"/>
    <pivotField showAll="0"/>
    <pivotField showAll="0"/>
    <pivotField numFmtId="164" showAll="0"/>
    <pivotField showAll="0"/>
    <pivotField numFmtId="14" showAll="0"/>
    <pivotField showAll="0"/>
    <pivotField showAll="0"/>
    <pivotField numFmtId="1" showAll="0"/>
    <pivotField showAll="0"/>
    <pivotField showAll="0"/>
    <pivotField showAll="0"/>
    <pivotField numFmtId="14" showAll="0"/>
    <pivotField showAll="0"/>
    <pivotField numFmtId="164" showAll="0"/>
    <pivotField numFmtId="171" showAll="0"/>
    <pivotField numFmtId="171" showAll="0"/>
    <pivotField showAll="0"/>
    <pivotField numFmtId="171" showAll="0"/>
    <pivotField showAll="0"/>
    <pivotField showAll="0"/>
    <pivotField showAll="0"/>
    <pivotField axis="axisRow" showAll="0" sortType="descending">
      <items count="6">
        <item h="1" m="1" x="4"/>
        <item x="0"/>
        <item x="2"/>
        <item x="3"/>
        <item x="1"/>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numFmtId="164" showAll="0"/>
    <pivotField numFmtId="164" showAll="0"/>
    <pivotField numFmtId="164" showAll="0"/>
    <pivotField showAll="0"/>
    <pivotField showAll="0"/>
    <pivotField showAll="0"/>
    <pivotField showAll="0"/>
    <pivotField showAll="0"/>
    <pivotField numFmtId="164" showAll="0"/>
    <pivotField numFmtId="164" showAll="0"/>
    <pivotField dataField="1" numFmtId="164" showAll="0"/>
  </pivotFields>
  <rowFields count="1">
    <field x="34"/>
  </rowFields>
  <rowItems count="5">
    <i>
      <x v="4"/>
    </i>
    <i>
      <x v="1"/>
    </i>
    <i>
      <x v="2"/>
    </i>
    <i>
      <x v="3"/>
    </i>
    <i t="grand">
      <x/>
    </i>
  </rowItems>
  <colFields count="2">
    <field x="0"/>
    <field x="-2"/>
  </colFields>
  <colItems count="30">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x v="13"/>
      <x/>
    </i>
    <i r="1" i="1">
      <x v="1"/>
    </i>
    <i t="grand">
      <x/>
    </i>
    <i t="grand" i="1">
      <x/>
    </i>
  </colItems>
  <dataFields count="2">
    <dataField name="Promedio de PRECIO POR TN en CLIENTE Sin IVA a Plazo" fld="48" subtotal="average" baseField="34" baseItem="1"/>
    <dataField name="Suma de KGS" fld="8" baseField="34" baseItem="4" numFmtId="3"/>
  </dataFields>
  <formats count="70">
    <format dxfId="430">
      <pivotArea field="2" type="button" dataOnly="0" labelOnly="1" outline="0"/>
    </format>
    <format dxfId="429">
      <pivotArea grandRow="1" outline="0" collapsedLevelsAreSubtotals="1" fieldPosition="0"/>
    </format>
    <format dxfId="428">
      <pivotArea dataOnly="0" labelOnly="1" grandRow="1" outline="0" fieldPosition="0"/>
    </format>
    <format dxfId="427">
      <pivotArea grandRow="1" outline="0" collapsedLevelsAreSubtotals="1" fieldPosition="0"/>
    </format>
    <format dxfId="426">
      <pivotArea dataOnly="0" labelOnly="1" grandRow="1" outline="0" fieldPosition="0"/>
    </format>
    <format dxfId="425">
      <pivotArea grandRow="1" outline="0" collapsedLevelsAreSubtotals="1" fieldPosition="0"/>
    </format>
    <format dxfId="424">
      <pivotArea dataOnly="0" labelOnly="1" grandRow="1" outline="0" fieldPosition="0"/>
    </format>
    <format dxfId="423">
      <pivotArea grandRow="1" outline="0" collapsedLevelsAreSubtotals="1" fieldPosition="0"/>
    </format>
    <format dxfId="422">
      <pivotArea dataOnly="0" labelOnly="1" grandRow="1" outline="0" fieldPosition="0"/>
    </format>
    <format dxfId="421">
      <pivotArea field="34" type="button" dataOnly="0" labelOnly="1" outline="0" axis="axisRow" fieldPosition="0"/>
    </format>
    <format dxfId="420">
      <pivotArea field="34" type="button" dataOnly="0" labelOnly="1" outline="0" axis="axisRow" fieldPosition="0"/>
    </format>
    <format dxfId="419">
      <pivotArea field="34" type="button" dataOnly="0" labelOnly="1" outline="0" axis="axisRow" fieldPosition="0"/>
    </format>
    <format dxfId="418">
      <pivotArea dataOnly="0" labelOnly="1" outline="0" fieldPosition="0">
        <references count="1">
          <reference field="4294967294" count="1">
            <x v="0"/>
          </reference>
        </references>
      </pivotArea>
    </format>
    <format dxfId="417">
      <pivotArea collapsedLevelsAreSubtotals="1" fieldPosition="0">
        <references count="2">
          <reference field="4294967294" count="1" selected="0">
            <x v="0"/>
          </reference>
          <reference field="34" count="0"/>
        </references>
      </pivotArea>
    </format>
    <format dxfId="416">
      <pivotArea field="34" grandRow="1" outline="0" collapsedLevelsAreSubtotals="1" axis="axisRow" fieldPosition="0">
        <references count="1">
          <reference field="4294967294" count="1" selected="0">
            <x v="0"/>
          </reference>
        </references>
      </pivotArea>
    </format>
    <format dxfId="415">
      <pivotArea field="34" grandRow="1" outline="0" collapsedLevelsAreSubtotals="1" axis="axisRow" fieldPosition="0">
        <references count="1">
          <reference field="4294967294" count="1" selected="0">
            <x v="0"/>
          </reference>
        </references>
      </pivotArea>
    </format>
    <format dxfId="414">
      <pivotArea dataOnly="0" labelOnly="1" fieldPosition="0">
        <references count="1">
          <reference field="0" count="0"/>
        </references>
      </pivotArea>
    </format>
    <format dxfId="413">
      <pivotArea dataOnly="0" labelOnly="1" grandCol="1" outline="0" fieldPosition="0"/>
    </format>
    <format dxfId="412">
      <pivotArea dataOnly="0" labelOnly="1" grandRow="1" outline="0" fieldPosition="0"/>
    </format>
    <format dxfId="411">
      <pivotArea grandRow="1" outline="0" collapsedLevelsAreSubtotals="1" fieldPosition="0"/>
    </format>
    <format dxfId="410">
      <pivotArea dataOnly="0" labelOnly="1" grandRow="1" outline="0" fieldPosition="0"/>
    </format>
    <format dxfId="409">
      <pivotArea dataOnly="0" labelOnly="1" fieldPosition="0">
        <references count="1">
          <reference field="0" count="1">
            <x v="0"/>
          </reference>
        </references>
      </pivotArea>
    </format>
    <format dxfId="408">
      <pivotArea dataOnly="0" labelOnly="1" fieldPosition="0">
        <references count="1">
          <reference field="0" count="7">
            <x v="0"/>
            <x v="1"/>
            <x v="2"/>
            <x v="3"/>
            <x v="4"/>
            <x v="5"/>
            <x v="6"/>
          </reference>
        </references>
      </pivotArea>
    </format>
    <format dxfId="407">
      <pivotArea dataOnly="0" labelOnly="1" fieldPosition="0">
        <references count="1">
          <reference field="0" count="7">
            <x v="7"/>
            <x v="8"/>
            <x v="9"/>
            <x v="10"/>
            <x v="11"/>
            <x v="12"/>
            <x v="13"/>
          </reference>
        </references>
      </pivotArea>
    </format>
    <format dxfId="406">
      <pivotArea type="origin" dataOnly="0" labelOnly="1" outline="0" fieldPosition="0"/>
    </format>
    <format dxfId="405">
      <pivotArea field="34" type="button" dataOnly="0" labelOnly="1" outline="0" axis="axisRow" fieldPosition="0"/>
    </format>
    <format dxfId="404">
      <pivotArea field="0" type="button" dataOnly="0" labelOnly="1" outline="0" axis="axisCol" fieldPosition="0"/>
    </format>
    <format dxfId="403">
      <pivotArea type="topRight" dataOnly="0" labelOnly="1" outline="0" fieldPosition="0"/>
    </format>
    <format dxfId="402">
      <pivotArea dataOnly="0" labelOnly="1" fieldPosition="0">
        <references count="1">
          <reference field="0" count="7">
            <x v="7"/>
            <x v="8"/>
            <x v="9"/>
            <x v="10"/>
            <x v="11"/>
            <x v="12"/>
            <x v="13"/>
          </reference>
        </references>
      </pivotArea>
    </format>
    <format dxfId="401">
      <pivotArea dataOnly="0" labelOnly="1" grandCol="1" outline="0" fieldPosition="0"/>
    </format>
    <format dxfId="400">
      <pivotArea dataOnly="0" labelOnly="1" grandCol="1" outline="0" fieldPosition="0"/>
    </format>
    <format dxfId="399">
      <pivotArea dataOnly="0" labelOnly="1" grandCol="1" outline="0" fieldPosition="0"/>
    </format>
    <format dxfId="398">
      <pivotArea dataOnly="0" labelOnly="1" grandCol="1" outline="0" fieldPosition="0"/>
    </format>
    <format dxfId="397">
      <pivotArea field="34" grandCol="1" collapsedLevelsAreSubtotals="1" axis="axisRow" fieldPosition="0">
        <references count="1">
          <reference field="34" count="0"/>
        </references>
      </pivotArea>
    </format>
    <format dxfId="396">
      <pivotArea field="0" grandCol="1" outline="0" collapsedLevelsAreSubtotals="1" axis="axisCol" fieldPosition="0">
        <references count="1">
          <reference field="4294967294" count="1" selected="0">
            <x v="1"/>
          </reference>
        </references>
      </pivotArea>
    </format>
    <format dxfId="395">
      <pivotArea field="0" dataOnly="0" labelOnly="1" grandCol="1" outline="0" axis="axisCol" fieldPosition="0">
        <references count="1">
          <reference field="4294967294" count="1" selected="0">
            <x v="0"/>
          </reference>
        </references>
      </pivotArea>
    </format>
    <format dxfId="394">
      <pivotArea field="0" dataOnly="0" labelOnly="1" grandCol="1" outline="0" axis="axisCol" fieldPosition="0">
        <references count="1">
          <reference field="4294967294" count="1" selected="0">
            <x v="1"/>
          </reference>
        </references>
      </pivotArea>
    </format>
    <format dxfId="393">
      <pivotArea field="0" grandCol="1" outline="0" collapsedLevelsAreSubtotals="1" axis="axisCol" fieldPosition="0">
        <references count="1">
          <reference field="4294967294" count="2" selected="0">
            <x v="0"/>
            <x v="1"/>
          </reference>
        </references>
      </pivotArea>
    </format>
    <format dxfId="392">
      <pivotArea outline="0" fieldPosition="0">
        <references count="1">
          <reference field="4294967294" count="1">
            <x v="1"/>
          </reference>
        </references>
      </pivotArea>
    </format>
    <format dxfId="391">
      <pivotArea dataOnly="0" labelOnly="1" outline="0" fieldPosition="0">
        <references count="2">
          <reference field="4294967294" count="1">
            <x v="1"/>
          </reference>
          <reference field="0" count="1" selected="0">
            <x v="0"/>
          </reference>
        </references>
      </pivotArea>
    </format>
    <format dxfId="390">
      <pivotArea dataOnly="0" labelOnly="1" outline="0" fieldPosition="0">
        <references count="2">
          <reference field="4294967294" count="2">
            <x v="0"/>
            <x v="1"/>
          </reference>
          <reference field="0" count="1" selected="0">
            <x v="1"/>
          </reference>
        </references>
      </pivotArea>
    </format>
    <format dxfId="389">
      <pivotArea dataOnly="0" labelOnly="1" outline="0" fieldPosition="0">
        <references count="2">
          <reference field="4294967294" count="2">
            <x v="0"/>
            <x v="1"/>
          </reference>
          <reference field="0" count="1" selected="0">
            <x v="2"/>
          </reference>
        </references>
      </pivotArea>
    </format>
    <format dxfId="388">
      <pivotArea dataOnly="0" labelOnly="1" outline="0" fieldPosition="0">
        <references count="2">
          <reference field="4294967294" count="2">
            <x v="0"/>
            <x v="1"/>
          </reference>
          <reference field="0" count="1" selected="0">
            <x v="3"/>
          </reference>
        </references>
      </pivotArea>
    </format>
    <format dxfId="387">
      <pivotArea dataOnly="0" labelOnly="1" outline="0" fieldPosition="0">
        <references count="2">
          <reference field="4294967294" count="2">
            <x v="0"/>
            <x v="1"/>
          </reference>
          <reference field="0" count="1" selected="0">
            <x v="4"/>
          </reference>
        </references>
      </pivotArea>
    </format>
    <format dxfId="386">
      <pivotArea dataOnly="0" labelOnly="1" outline="0" fieldPosition="0">
        <references count="2">
          <reference field="4294967294" count="2">
            <x v="0"/>
            <x v="1"/>
          </reference>
          <reference field="0" count="1" selected="0">
            <x v="5"/>
          </reference>
        </references>
      </pivotArea>
    </format>
    <format dxfId="385">
      <pivotArea dataOnly="0" labelOnly="1" outline="0" fieldPosition="0">
        <references count="2">
          <reference field="4294967294" count="2">
            <x v="0"/>
            <x v="1"/>
          </reference>
          <reference field="0" count="1" selected="0">
            <x v="6"/>
          </reference>
        </references>
      </pivotArea>
    </format>
    <format dxfId="384">
      <pivotArea dataOnly="0" labelOnly="1" outline="0" fieldPosition="0">
        <references count="2">
          <reference field="4294967294" count="2">
            <x v="0"/>
            <x v="1"/>
          </reference>
          <reference field="0" count="1" selected="0">
            <x v="7"/>
          </reference>
        </references>
      </pivotArea>
    </format>
    <format dxfId="383">
      <pivotArea dataOnly="0" labelOnly="1" outline="0" fieldPosition="0">
        <references count="2">
          <reference field="4294967294" count="2">
            <x v="0"/>
            <x v="1"/>
          </reference>
          <reference field="0" count="1" selected="0">
            <x v="8"/>
          </reference>
        </references>
      </pivotArea>
    </format>
    <format dxfId="382">
      <pivotArea dataOnly="0" labelOnly="1" outline="0" fieldPosition="0">
        <references count="2">
          <reference field="4294967294" count="2">
            <x v="0"/>
            <x v="1"/>
          </reference>
          <reference field="0" count="1" selected="0">
            <x v="9"/>
          </reference>
        </references>
      </pivotArea>
    </format>
    <format dxfId="381">
      <pivotArea dataOnly="0" labelOnly="1" outline="0" fieldPosition="0">
        <references count="2">
          <reference field="4294967294" count="2">
            <x v="0"/>
            <x v="1"/>
          </reference>
          <reference field="0" count="1" selected="0">
            <x v="10"/>
          </reference>
        </references>
      </pivotArea>
    </format>
    <format dxfId="380">
      <pivotArea dataOnly="0" labelOnly="1" outline="0" fieldPosition="0">
        <references count="2">
          <reference field="4294967294" count="2">
            <x v="0"/>
            <x v="1"/>
          </reference>
          <reference field="0" count="1" selected="0">
            <x v="11"/>
          </reference>
        </references>
      </pivotArea>
    </format>
    <format dxfId="379">
      <pivotArea dataOnly="0" labelOnly="1" outline="0" fieldPosition="0">
        <references count="2">
          <reference field="4294967294" count="2">
            <x v="0"/>
            <x v="1"/>
          </reference>
          <reference field="0" count="1" selected="0">
            <x v="12"/>
          </reference>
        </references>
      </pivotArea>
    </format>
    <format dxfId="378">
      <pivotArea dataOnly="0" labelOnly="1" outline="0" fieldPosition="0">
        <references count="2">
          <reference field="4294967294" count="2">
            <x v="0"/>
            <x v="1"/>
          </reference>
          <reference field="0" count="1" selected="0">
            <x v="13"/>
          </reference>
        </references>
      </pivotArea>
    </format>
    <format dxfId="377">
      <pivotArea dataOnly="0" labelOnly="1" fieldPosition="0">
        <references count="1">
          <reference field="0" count="13">
            <x v="1"/>
            <x v="2"/>
            <x v="3"/>
            <x v="4"/>
            <x v="5"/>
            <x v="6"/>
            <x v="7"/>
            <x v="8"/>
            <x v="9"/>
            <x v="10"/>
            <x v="11"/>
            <x v="12"/>
            <x v="13"/>
          </reference>
        </references>
      </pivotArea>
    </format>
    <format dxfId="376">
      <pivotArea dataOnly="0" labelOnly="1" fieldPosition="0">
        <references count="1">
          <reference field="0" count="1">
            <x v="0"/>
          </reference>
        </references>
      </pivotArea>
    </format>
    <format dxfId="375">
      <pivotArea field="-2" type="button" dataOnly="0" labelOnly="1" outline="0" axis="axisCol" fieldPosition="1"/>
    </format>
    <format dxfId="374">
      <pivotArea field="0" dataOnly="0" labelOnly="1" grandCol="1" outline="0" axis="axisCol" fieldPosition="0">
        <references count="1">
          <reference field="4294967294" count="1" selected="0">
            <x v="0"/>
          </reference>
        </references>
      </pivotArea>
    </format>
    <format dxfId="373">
      <pivotArea field="0" dataOnly="0" labelOnly="1" grandCol="1" outline="0" axis="axisCol" fieldPosition="0">
        <references count="1">
          <reference field="4294967294" count="1" selected="0">
            <x v="1"/>
          </reference>
        </references>
      </pivotArea>
    </format>
    <format dxfId="372">
      <pivotArea type="all" dataOnly="0" outline="0" fieldPosition="0"/>
    </format>
    <format dxfId="371">
      <pivotArea outline="0" collapsedLevelsAreSubtotals="1" fieldPosition="0"/>
    </format>
    <format dxfId="370">
      <pivotArea type="origin" dataOnly="0" labelOnly="1" outline="0" fieldPosition="0"/>
    </format>
    <format dxfId="369">
      <pivotArea field="0" type="button" dataOnly="0" labelOnly="1" outline="0" axis="axisCol" fieldPosition="0"/>
    </format>
    <format dxfId="368">
      <pivotArea field="-2" type="button" dataOnly="0" labelOnly="1" outline="0" axis="axisCol" fieldPosition="1"/>
    </format>
    <format dxfId="367">
      <pivotArea type="topRight" dataOnly="0" labelOnly="1" outline="0" fieldPosition="0"/>
    </format>
    <format dxfId="366">
      <pivotArea field="0" dataOnly="0" labelOnly="1" grandCol="1" outline="0" axis="axisCol" fieldPosition="0">
        <references count="1">
          <reference field="4294967294" count="1" selected="0">
            <x v="0"/>
          </reference>
        </references>
      </pivotArea>
    </format>
    <format dxfId="365">
      <pivotArea field="0" dataOnly="0" labelOnly="1" grandCol="1" outline="0" axis="axisCol" fieldPosition="0">
        <references count="1">
          <reference field="4294967294" count="1" selected="0">
            <x v="1"/>
          </reference>
        </references>
      </pivotArea>
    </format>
    <format dxfId="364">
      <pivotArea type="origin" dataOnly="0" labelOnly="1" outline="0" fieldPosition="0"/>
    </format>
    <format dxfId="363">
      <pivotArea field="0" type="button" dataOnly="0" labelOnly="1" outline="0" axis="axisCol" fieldPosition="0"/>
    </format>
    <format dxfId="362">
      <pivotArea field="-2" type="button" dataOnly="0" labelOnly="1" outline="0" axis="axisCol" fieldPosition="1"/>
    </format>
    <format dxfId="361">
      <pivotArea type="topRight" dataOnly="0" labelOnly="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BBE1CA-4A86-4349-A252-437735DEFF91}" name="TablaDinámica1" cacheId="3"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1:E40" firstHeaderRow="1" firstDataRow="2" firstDataCol="1"/>
  <pivotFields count="59">
    <pivotField axis="axisCol" numFmtId="17" showAll="0">
      <items count="15">
        <item x="0"/>
        <item x="1"/>
        <item x="2"/>
        <item x="3"/>
        <item x="4"/>
        <item x="5"/>
        <item x="6"/>
        <item x="7"/>
        <item x="8"/>
        <item x="9"/>
        <item x="10"/>
        <item x="11"/>
        <item x="12"/>
        <item x="13"/>
        <item t="default"/>
      </items>
    </pivotField>
    <pivotField showAll="0"/>
    <pivotField axis="axisRow" showAll="0">
      <items count="70">
        <item m="1" x="44"/>
        <item m="1" x="67"/>
        <item m="1" x="38"/>
        <item m="1" x="48"/>
        <item m="1" x="66"/>
        <item m="1" x="37"/>
        <item x="4"/>
        <item m="1" x="60"/>
        <item x="6"/>
        <item x="28"/>
        <item x="5"/>
        <item m="1" x="43"/>
        <item m="1" x="54"/>
        <item m="1" x="57"/>
        <item m="1" x="50"/>
        <item m="1" x="47"/>
        <item m="1" x="49"/>
        <item x="3"/>
        <item m="1" x="35"/>
        <item x="9"/>
        <item m="1" x="36"/>
        <item x="8"/>
        <item m="1" x="64"/>
        <item m="1" x="51"/>
        <item m="1" x="68"/>
        <item x="15"/>
        <item m="1" x="41"/>
        <item m="1" x="58"/>
        <item x="0"/>
        <item m="1" x="45"/>
        <item m="1" x="55"/>
        <item m="1" x="62"/>
        <item m="1" x="56"/>
        <item x="18"/>
        <item m="1" x="53"/>
        <item m="1" x="65"/>
        <item m="1" x="46"/>
        <item m="1" x="61"/>
        <item m="1" x="42"/>
        <item x="20"/>
        <item m="1" x="34"/>
        <item m="1" x="32"/>
        <item m="1" x="59"/>
        <item m="1" x="33"/>
        <item m="1" x="63"/>
        <item x="31"/>
        <item m="1" x="52"/>
        <item x="2"/>
        <item x="30"/>
        <item x="1"/>
        <item m="1" x="40"/>
        <item m="1" x="39"/>
        <item x="7"/>
        <item x="26"/>
        <item x="12"/>
        <item x="16"/>
        <item x="17"/>
        <item x="19"/>
        <item x="22"/>
        <item x="23"/>
        <item x="24"/>
        <item x="25"/>
        <item x="27"/>
        <item x="21"/>
        <item x="10"/>
        <item x="11"/>
        <item x="13"/>
        <item x="14"/>
        <item x="29"/>
        <item t="default"/>
      </items>
    </pivotField>
    <pivotField numFmtId="14" showAll="0"/>
    <pivotField showAll="0"/>
    <pivotField showAll="0"/>
    <pivotField showAll="0"/>
    <pivotField showAll="0"/>
    <pivotField showAll="0"/>
    <pivotField showAll="0"/>
    <pivotField numFmtId="164" showAll="0"/>
    <pivotField showAll="0"/>
    <pivotField numFmtId="164" showAll="0"/>
    <pivotField showAll="0"/>
    <pivotField numFmtId="164" showAll="0"/>
    <pivotField showAll="0"/>
    <pivotField numFmtId="164" showAll="0"/>
    <pivotField numFmtId="14" showAll="0"/>
    <pivotField numFmtId="14" showAll="0"/>
    <pivotField numFmtId="1" showAll="0"/>
    <pivotField showAll="0"/>
    <pivotField showAll="0"/>
    <pivotField numFmtId="14" showAll="0"/>
    <pivotField showAll="0"/>
    <pivotField showAll="0"/>
    <pivotField dataField="1" showAll="0"/>
    <pivotField numFmtId="164" showAll="0"/>
    <pivotField numFmtId="171" showAll="0"/>
    <pivotField numFmtId="171" showAll="0"/>
    <pivotField showAll="0"/>
    <pivotField numFmtId="171" showAll="0"/>
    <pivotField showAll="0"/>
    <pivotField showAll="0"/>
    <pivotField showAll="0"/>
    <pivotField axis="axisRow" showAll="0">
      <items count="11">
        <item m="1" x="6"/>
        <item x="1"/>
        <item m="1" x="8"/>
        <item x="2"/>
        <item x="3"/>
        <item x="4"/>
        <item m="1" x="9"/>
        <item m="1" x="7"/>
        <item h="1" x="5"/>
        <item x="0"/>
        <item t="default"/>
      </items>
    </pivotField>
    <pivotField numFmtId="164" showAll="0"/>
    <pivotField numFmtId="164" showAll="0"/>
    <pivotField numFmtId="9" showAll="0"/>
    <pivotField numFmtId="164" showAll="0"/>
    <pivotField numFmtId="164" showAll="0"/>
    <pivotField numFmtId="164" showAll="0"/>
    <pivotField showAll="0"/>
    <pivotField showAll="0"/>
    <pivotField numFmtId="1" showAll="0"/>
    <pivotField showAll="0"/>
    <pivotField numFmtId="44" showAll="0"/>
    <pivotField showAll="0"/>
    <pivotField numFmtId="192" showAll="0"/>
    <pivotField numFmtId="9" showAll="0"/>
    <pivotField numFmtId="192" showAll="0"/>
    <pivotField showAll="0"/>
    <pivotField numFmtId="192" showAll="0"/>
    <pivotField numFmtId="192" showAll="0"/>
    <pivotField showAll="0"/>
    <pivotField showAll="0"/>
    <pivotField showAll="0">
      <items count="7">
        <item x="1"/>
        <item x="2"/>
        <item x="3"/>
        <item x="4"/>
        <item x="0"/>
        <item x="5"/>
        <item t="default"/>
      </items>
    </pivotField>
    <pivotField showAll="0">
      <items count="5">
        <item x="1"/>
        <item x="0"/>
        <item x="2"/>
        <item x="3"/>
        <item t="default"/>
      </items>
    </pivotField>
    <pivotField dragToRow="0" dragToCol="0" dragToPage="0" showAll="0" defaultSubtotal="0"/>
    <pivotField dragToRow="0" dragToCol="0" dragToPage="0" showAll="0" defaultSubtotal="0"/>
  </pivotFields>
  <rowFields count="2">
    <field x="34"/>
    <field x="2"/>
  </rowFields>
  <rowItems count="38">
    <i>
      <x v="1"/>
    </i>
    <i r="1">
      <x v="49"/>
    </i>
    <i r="1">
      <x v="58"/>
    </i>
    <i r="1">
      <x v="62"/>
    </i>
    <i>
      <x v="3"/>
    </i>
    <i r="1">
      <x v="6"/>
    </i>
    <i r="1">
      <x v="9"/>
    </i>
    <i r="1">
      <x v="10"/>
    </i>
    <i r="1">
      <x v="17"/>
    </i>
    <i r="1">
      <x v="19"/>
    </i>
    <i r="1">
      <x v="21"/>
    </i>
    <i r="1">
      <x v="25"/>
    </i>
    <i r="1">
      <x v="33"/>
    </i>
    <i r="1">
      <x v="39"/>
    </i>
    <i r="1">
      <x v="45"/>
    </i>
    <i r="1">
      <x v="47"/>
    </i>
    <i r="1">
      <x v="48"/>
    </i>
    <i r="1">
      <x v="52"/>
    </i>
    <i r="1">
      <x v="55"/>
    </i>
    <i r="1">
      <x v="68"/>
    </i>
    <i>
      <x v="4"/>
    </i>
    <i r="1">
      <x v="8"/>
    </i>
    <i r="1">
      <x v="53"/>
    </i>
    <i r="1">
      <x v="54"/>
    </i>
    <i r="1">
      <x v="56"/>
    </i>
    <i r="1">
      <x v="57"/>
    </i>
    <i r="1">
      <x v="59"/>
    </i>
    <i r="1">
      <x v="60"/>
    </i>
    <i r="1">
      <x v="61"/>
    </i>
    <i r="1">
      <x v="64"/>
    </i>
    <i r="1">
      <x v="65"/>
    </i>
    <i r="1">
      <x v="66"/>
    </i>
    <i r="1">
      <x v="67"/>
    </i>
    <i>
      <x v="5"/>
    </i>
    <i r="1">
      <x v="63"/>
    </i>
    <i>
      <x v="9"/>
    </i>
    <i r="1">
      <x v="28"/>
    </i>
    <i t="grand">
      <x/>
    </i>
  </rowItems>
  <colFields count="1">
    <field x="0"/>
  </colFields>
  <colItems count="4">
    <i>
      <x v="5"/>
    </i>
    <i>
      <x v="6"/>
    </i>
    <i>
      <x v="7"/>
    </i>
    <i t="grand">
      <x/>
    </i>
  </colItems>
  <dataFields count="1">
    <dataField name="Suma de Q Bolsas Equivalentes 50kg" fld="25" baseField="0" baseItem="0" numFmtId="3"/>
  </dataFields>
  <formats count="14">
    <format dxfId="141">
      <pivotArea outline="0" collapsedLevelsAreSubtotals="1" fieldPosition="0"/>
    </format>
    <format dxfId="140">
      <pivotArea outline="0" collapsedLevelsAreSubtotals="1" fieldPosition="0"/>
    </format>
    <format dxfId="139">
      <pivotArea field="56" type="button" dataOnly="0" labelOnly="1" outline="0"/>
    </format>
    <format dxfId="138">
      <pivotArea field="55" type="button" dataOnly="0" labelOnly="1" outline="0"/>
    </format>
    <format dxfId="137">
      <pivotArea field="0" type="button" dataOnly="0" labelOnly="1" outline="0" axis="axisCol" fieldPosition="0"/>
    </format>
    <format dxfId="136">
      <pivotArea type="topRight" dataOnly="0" labelOnly="1" outline="0" fieldPosition="0"/>
    </format>
    <format dxfId="135">
      <pivotArea dataOnly="0" labelOnly="1" grandCol="1" outline="0" fieldPosition="0"/>
    </format>
    <format dxfId="134">
      <pivotArea field="56" type="button" dataOnly="0" labelOnly="1" outline="0"/>
    </format>
    <format dxfId="133">
      <pivotArea field="55" type="button" dataOnly="0" labelOnly="1" outline="0"/>
    </format>
    <format dxfId="132">
      <pivotArea field="0" type="button" dataOnly="0" labelOnly="1" outline="0" axis="axisCol" fieldPosition="0"/>
    </format>
    <format dxfId="131">
      <pivotArea type="topRight" dataOnly="0" labelOnly="1" outline="0" fieldPosition="0"/>
    </format>
    <format dxfId="130">
      <pivotArea dataOnly="0" labelOnly="1" fieldPosition="0">
        <references count="1">
          <reference field="0" count="3">
            <x v="5"/>
            <x v="6"/>
            <x v="7"/>
          </reference>
        </references>
      </pivotArea>
    </format>
    <format dxfId="129">
      <pivotArea dataOnly="0" labelOnly="1" grandCol="1" outline="0" fieldPosition="0"/>
    </format>
    <format dxfId="1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FFFD67-51EC-492A-8912-04F4C6B98619}" name="TablaDinámica3" cacheId="3"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51:E54" firstHeaderRow="0" firstDataRow="1" firstDataCol="1"/>
  <pivotFields count="59">
    <pivotField numFmtId="17" showAll="0"/>
    <pivotField dataField="1" showAll="0"/>
    <pivotField showAll="0"/>
    <pivotField numFmtId="14" showAll="0"/>
    <pivotField showAll="0"/>
    <pivotField showAll="0"/>
    <pivotField showAll="0"/>
    <pivotField showAll="0"/>
    <pivotField showAll="0"/>
    <pivotField showAll="0"/>
    <pivotField numFmtId="164" showAll="0"/>
    <pivotField showAll="0"/>
    <pivotField numFmtId="164" showAll="0"/>
    <pivotField numFmtId="164" showAll="0"/>
    <pivotField numFmtId="164" showAll="0"/>
    <pivotField showAll="0"/>
    <pivotField numFmtId="164" showAll="0"/>
    <pivotField numFmtId="14" showAll="0"/>
    <pivotField numFmtId="14" showAll="0"/>
    <pivotField numFmtId="1" showAll="0"/>
    <pivotField showAll="0"/>
    <pivotField showAll="0"/>
    <pivotField numFmtId="14" showAll="0"/>
    <pivotField showAll="0"/>
    <pivotField showAll="0"/>
    <pivotField dataField="1" showAll="0"/>
    <pivotField numFmtId="164" showAll="0"/>
    <pivotField numFmtId="171" showAll="0"/>
    <pivotField numFmtId="171" showAll="0"/>
    <pivotField showAll="0"/>
    <pivotField numFmtId="171" showAll="0"/>
    <pivotField axis="axisRow" showAll="0">
      <items count="9">
        <item m="1" x="7"/>
        <item x="4"/>
        <item x="2"/>
        <item m="1" x="6"/>
        <item h="1" x="5"/>
        <item h="1" x="0"/>
        <item h="1" x="1"/>
        <item h="1" x="3"/>
        <item t="default"/>
      </items>
    </pivotField>
    <pivotField showAll="0"/>
    <pivotField showAll="0"/>
    <pivotField showAll="0"/>
    <pivotField numFmtId="164" showAll="0"/>
    <pivotField numFmtId="164" showAll="0"/>
    <pivotField numFmtId="9" showAll="0"/>
    <pivotField numFmtId="164" showAll="0"/>
    <pivotField numFmtId="164" showAll="0"/>
    <pivotField numFmtId="164" showAll="0"/>
    <pivotField showAll="0"/>
    <pivotField showAll="0"/>
    <pivotField numFmtId="1" showAll="0"/>
    <pivotField showAll="0"/>
    <pivotField numFmtId="44" showAll="0"/>
    <pivotField showAll="0"/>
    <pivotField numFmtId="192" showAll="0"/>
    <pivotField numFmtId="9" showAll="0"/>
    <pivotField numFmtId="192" showAll="0"/>
    <pivotField showAll="0"/>
    <pivotField numFmtId="192" showAll="0"/>
    <pivotField numFmtId="192" showAll="0"/>
    <pivotField showAll="0"/>
    <pivotField showAll="0"/>
    <pivotField showAll="0" defaultSubtotal="0"/>
    <pivotField showAll="0" defaultSubtotal="0"/>
    <pivotField dragToRow="0" dragToCol="0" dragToPage="0" showAll="0" defaultSubtotal="0"/>
    <pivotField dragToRow="0" dragToCol="0" dragToPage="0" showAll="0" defaultSubtotal="0"/>
  </pivotFields>
  <rowFields count="1">
    <field x="31"/>
  </rowFields>
  <rowItems count="3">
    <i>
      <x v="1"/>
    </i>
    <i>
      <x v="2"/>
    </i>
    <i t="grand">
      <x/>
    </i>
  </rowItems>
  <colFields count="1">
    <field x="-2"/>
  </colFields>
  <colItems count="4">
    <i>
      <x/>
    </i>
    <i i="1">
      <x v="1"/>
    </i>
    <i i="2">
      <x v="2"/>
    </i>
    <i i="3">
      <x v="3"/>
    </i>
  </colItems>
  <dataFields count="4">
    <dataField name="Suma de CANTIDAD EQUIPOS" fld="1" baseField="0" baseItem="0"/>
    <dataField name="Suma de CANTIDAD EQUIPOS2" fld="1" showDataAs="percentOfTotal" baseField="31" baseItem="0" numFmtId="10"/>
    <dataField name="Suma de Q Bolsas Equivalentes 50kg" fld="25" baseField="0" baseItem="0" numFmtId="3"/>
    <dataField name="Suma de Q Bolsas Equivalentes 50kg2" fld="25" showDataAs="percentOfTotal" baseField="31" baseItem="0" numFmtId="9"/>
  </dataFields>
  <formats count="8">
    <format dxfId="149">
      <pivotArea outline="0" collapsedLevelsAreSubtotals="1" fieldPosition="0"/>
    </format>
    <format dxfId="148">
      <pivotArea outline="0" fieldPosition="0">
        <references count="1">
          <reference field="4294967294" count="1">
            <x v="3"/>
          </reference>
        </references>
      </pivotArea>
    </format>
    <format dxfId="147">
      <pivotArea outline="0" collapsedLevelsAreSubtotals="1" fieldPosition="0">
        <references count="1">
          <reference field="4294967294" count="1" selected="0">
            <x v="3"/>
          </reference>
        </references>
      </pivotArea>
    </format>
    <format dxfId="146">
      <pivotArea outline="0" fieldPosition="0">
        <references count="1">
          <reference field="4294967294" count="1">
            <x v="1"/>
          </reference>
        </references>
      </pivotArea>
    </format>
    <format dxfId="145">
      <pivotArea dataOnly="0" labelOnly="1" outline="0" fieldPosition="0">
        <references count="1">
          <reference field="4294967294" count="4">
            <x v="0"/>
            <x v="1"/>
            <x v="2"/>
            <x v="3"/>
          </reference>
        </references>
      </pivotArea>
    </format>
    <format dxfId="144">
      <pivotArea field="31" grandRow="1" outline="0" collapsedLevelsAreSubtotals="1" axis="axisRow" fieldPosition="0">
        <references count="1">
          <reference field="4294967294" count="1" selected="0">
            <x v="1"/>
          </reference>
        </references>
      </pivotArea>
    </format>
    <format dxfId="143">
      <pivotArea outline="0" collapsedLevelsAreSubtotals="1" fieldPosition="0"/>
    </format>
    <format dxfId="14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2F4848-A797-45C0-A923-2C1592F42289}" name="TablaDinámica3" cacheId="3" applyNumberFormats="0" applyBorderFormats="0" applyFontFormats="0" applyPatternFormats="0" applyAlignmentFormats="0" applyWidthHeightFormats="1" dataCaption="Valores" updatedVersion="7" minRefreshableVersion="3" useAutoFormatting="1" itemPrintTitles="1" createdVersion="7" indent="0" compact="0" compactData="0" multipleFieldFilters="0">
  <location ref="A5:B254" firstHeaderRow="1" firstDataRow="1" firstDataCol="2" rowPageCount="3" colPageCount="1"/>
  <pivotFields count="59">
    <pivotField axis="axisPage" compact="0" numFmtId="17" outline="0" multipleItemSelectionAllowed="1" showAll="0">
      <items count="15">
        <item x="0"/>
        <item x="1"/>
        <item x="2"/>
        <item x="3"/>
        <item x="4"/>
        <item x="5"/>
        <item x="6"/>
        <item x="7"/>
        <item x="8"/>
        <item x="9"/>
        <item x="10"/>
        <item x="11"/>
        <item x="12"/>
        <item x="13"/>
        <item t="default"/>
      </items>
    </pivotField>
    <pivotField compact="0" outline="0" showAll="0"/>
    <pivotField axis="axisRow" compact="0" outline="0" showAll="0">
      <items count="70">
        <item m="1" x="48"/>
        <item m="1" x="60"/>
        <item x="28"/>
        <item m="1" x="54"/>
        <item m="1" x="47"/>
        <item x="3"/>
        <item x="8"/>
        <item m="1" x="51"/>
        <item m="1" x="68"/>
        <item x="15"/>
        <item m="1" x="41"/>
        <item m="1" x="58"/>
        <item m="1" x="45"/>
        <item m="1" x="55"/>
        <item m="1" x="53"/>
        <item m="1" x="46"/>
        <item x="20"/>
        <item m="1" x="34"/>
        <item x="31"/>
        <item x="2"/>
        <item x="30"/>
        <item m="1" x="56"/>
        <item m="1" x="42"/>
        <item m="1" x="44"/>
        <item m="1" x="59"/>
        <item m="1" x="37"/>
        <item m="1" x="33"/>
        <item m="1" x="62"/>
        <item m="1" x="36"/>
        <item m="1" x="38"/>
        <item x="5"/>
        <item m="1" x="61"/>
        <item m="1" x="64"/>
        <item x="0"/>
        <item m="1" x="43"/>
        <item x="6"/>
        <item m="1" x="63"/>
        <item x="9"/>
        <item m="1" x="50"/>
        <item m="1" x="35"/>
        <item x="18"/>
        <item x="4"/>
        <item m="1" x="52"/>
        <item m="1" x="65"/>
        <item m="1" x="49"/>
        <item m="1" x="32"/>
        <item m="1" x="66"/>
        <item m="1" x="57"/>
        <item m="1" x="67"/>
        <item x="1"/>
        <item m="1" x="40"/>
        <item m="1" x="39"/>
        <item x="7"/>
        <item x="26"/>
        <item x="12"/>
        <item x="16"/>
        <item x="17"/>
        <item x="19"/>
        <item x="22"/>
        <item x="23"/>
        <item x="24"/>
        <item x="25"/>
        <item x="27"/>
        <item x="21"/>
        <item x="10"/>
        <item x="11"/>
        <item x="13"/>
        <item x="14"/>
        <item x="29"/>
        <item t="default"/>
      </items>
    </pivotField>
    <pivotField compact="0" numFmtId="14" outline="0" showAll="0"/>
    <pivotField compact="0" outline="0" showAll="0"/>
    <pivotField compact="0" outline="0" showAll="0"/>
    <pivotField axis="axisPage" compact="0" outline="0" showAll="0">
      <items count="6">
        <item m="1" x="3"/>
        <item x="0"/>
        <item x="1"/>
        <item x="2"/>
        <item m="1" x="4"/>
        <item t="default"/>
      </items>
    </pivotField>
    <pivotField compact="0" outline="0" showAll="0"/>
    <pivotField compact="0" outline="0" showAll="0"/>
    <pivotField compact="0" outline="0" showAll="0"/>
    <pivotField compact="0" numFmtId="164" outline="0" showAll="0"/>
    <pivotField compact="0" outline="0" showAll="0"/>
    <pivotField compact="0" numFmtId="164" outline="0" showAll="0"/>
    <pivotField compact="0" outline="0" showAll="0"/>
    <pivotField compact="0" outline="0" showAll="0"/>
    <pivotField compact="0" outline="0" showAll="0"/>
    <pivotField compact="0" outline="0" showAll="0"/>
    <pivotField compact="0" numFmtId="14" outline="0" showAll="0"/>
    <pivotField axis="axisRow" compact="0" numFmtId="14" outline="0" showAll="0">
      <items count="392">
        <item m="1" x="167"/>
        <item m="1" x="243"/>
        <item m="1" x="370"/>
        <item m="1" x="193"/>
        <item m="1" x="323"/>
        <item m="1" x="141"/>
        <item m="1" x="298"/>
        <item m="1" x="114"/>
        <item m="1" x="252"/>
        <item m="1" x="187"/>
        <item m="1" x="260"/>
        <item m="1" x="212"/>
        <item m="1" x="309"/>
        <item m="1" x="136"/>
        <item m="1" x="373"/>
        <item m="1" x="332"/>
        <item m="1" x="151"/>
        <item m="1" x="285"/>
        <item m="1" x="186"/>
        <item m="1" x="319"/>
        <item m="1" x="135"/>
        <item m="1" x="274"/>
        <item m="1" x="350"/>
        <item m="1" x="171"/>
        <item m="1" x="327"/>
        <item m="1" x="145"/>
        <item m="1" x="89"/>
        <item m="1" x="203"/>
        <item m="1" x="90"/>
        <item m="1" x="227"/>
        <item m="1" x="142"/>
        <item m="1" x="277"/>
        <item m="1" x="248"/>
        <item m="1" x="198"/>
        <item m="1" x="96"/>
        <item m="1" x="235"/>
        <item m="1" x="180"/>
        <item m="1" x="152"/>
        <item m="1" x="85"/>
        <item m="1" x="223"/>
        <item m="1" x="346"/>
        <item m="1" x="208"/>
        <item m="1" x="382"/>
        <item m="1" x="270"/>
        <item m="1" x="162"/>
        <item m="1" x="351"/>
        <item m="1" x="106"/>
        <item m="1" x="264"/>
        <item m="1" x="359"/>
        <item m="1" x="286"/>
        <item m="1" x="239"/>
        <item m="1" x="158"/>
        <item m="1" x="337"/>
        <item m="1" x="356"/>
        <item m="1" x="312"/>
        <item m="1" x="128"/>
        <item m="1" x="199"/>
        <item m="1" x="222"/>
        <item m="1" x="272"/>
        <item m="1" x="247"/>
        <item m="1" x="132"/>
        <item m="1" x="207"/>
        <item m="1" x="336"/>
        <item m="1" x="290"/>
        <item m="1" x="172"/>
        <item m="1" x="124"/>
        <item m="1" x="383"/>
        <item m="1" x="339"/>
        <item m="1" x="347"/>
        <item m="1" x="109"/>
        <item m="1" x="217"/>
        <item m="1" x="101"/>
        <item m="1" x="188"/>
        <item m="1" x="213"/>
        <item m="1" x="303"/>
        <item m="1" x="271"/>
        <item m="1" x="155"/>
        <item m="1" x="333"/>
        <item m="1" x="379"/>
        <item m="1" x="365"/>
        <item m="1" x="110"/>
        <item m="1" x="299"/>
        <item m="1" x="328"/>
        <item m="1" x="338"/>
        <item m="1" x="107"/>
        <item m="1" x="231"/>
        <item m="1" x="324"/>
        <item m="1" x="93"/>
        <item m="1" x="232"/>
        <item m="1" x="376"/>
        <item m="1" x="304"/>
        <item m="1" x="388"/>
        <item m="1" x="245"/>
        <item m="1" x="282"/>
        <item m="1" x="360"/>
        <item m="1" x="137"/>
        <item m="1" x="366"/>
        <item m="1" x="352"/>
        <item m="1" x="159"/>
        <item m="1" x="233"/>
        <item m="1" x="130"/>
        <item m="1" x="343"/>
        <item m="1" x="209"/>
        <item m="1" x="218"/>
        <item m="1" x="204"/>
        <item m="1" x="353"/>
        <item m="1" x="334"/>
        <item m="1" x="340"/>
        <item m="1" x="119"/>
        <item m="1" x="257"/>
        <item m="1" x="176"/>
        <item m="1" x="390"/>
        <item m="1" x="116"/>
        <item m="1" x="357"/>
        <item m="1" x="342"/>
        <item m="1" x="291"/>
        <item m="1" x="244"/>
        <item m="1" x="228"/>
        <item m="1" x="111"/>
        <item m="1" x="86"/>
        <item m="1" x="125"/>
        <item m="1" x="329"/>
        <item m="1" x="98"/>
        <item m="1" x="177"/>
        <item m="1" x="377"/>
        <item m="1" x="189"/>
        <item m="1" x="91"/>
        <item m="1" x="294"/>
        <item m="1" x="249"/>
        <item m="1" x="160"/>
        <item m="1" x="295"/>
        <item m="1" x="253"/>
        <item m="1" x="310"/>
        <item m="1" x="200"/>
        <item m="1" x="147"/>
        <item m="1" x="237"/>
        <item m="1" x="146"/>
        <item m="1" x="276"/>
        <item m="1" x="92"/>
        <item m="1" x="97"/>
        <item m="1" x="292"/>
        <item m="1" x="194"/>
        <item m="1" x="261"/>
        <item m="1" x="214"/>
        <item m="1" x="283"/>
        <item m="1" x="361"/>
        <item m="1" x="181"/>
        <item m="1" x="371"/>
        <item m="1" x="316"/>
        <item m="1" x="374"/>
        <item m="1" x="236"/>
        <item m="1" x="380"/>
        <item m="1" x="156"/>
        <item m="1" x="195"/>
        <item m="1" x="313"/>
        <item m="1" x="129"/>
        <item m="1" x="265"/>
        <item m="1" x="389"/>
        <item m="1" x="163"/>
        <item m="1" x="115"/>
        <item m="1" x="133"/>
        <item m="1" x="224"/>
        <item m="1" x="168"/>
        <item m="1" x="182"/>
        <item m="1" x="143"/>
        <item m="1" x="120"/>
        <item m="1" x="278"/>
        <item m="1" x="94"/>
        <item m="1" x="358"/>
        <item m="1" x="314"/>
        <item m="1" x="219"/>
        <item m="1" x="164"/>
        <item m="1" x="375"/>
        <item m="1" x="173"/>
        <item m="1" x="348"/>
        <item m="1" x="288"/>
        <item m="1" x="174"/>
        <item m="1" x="311"/>
        <item m="1" x="262"/>
        <item m="1" x="234"/>
        <item m="1" x="220"/>
        <item m="1" x="384"/>
        <item m="1" x="254"/>
        <item m="1" x="153"/>
        <item m="1" x="320"/>
        <item m="1" x="229"/>
        <item m="1" x="126"/>
        <item m="1" x="287"/>
        <item m="1" x="266"/>
        <item m="1" x="325"/>
        <item m="1" x="385"/>
        <item m="1" x="112"/>
        <item m="1" x="250"/>
        <item m="1" x="178"/>
        <item x="77"/>
        <item m="1" x="275"/>
        <item m="1" x="161"/>
        <item m="1" x="102"/>
        <item m="1" x="335"/>
        <item m="1" x="305"/>
        <item m="1" x="238"/>
        <item m="1" x="362"/>
        <item m="1" x="87"/>
        <item m="1" x="367"/>
        <item m="1" x="138"/>
        <item m="1" x="205"/>
        <item m="1" x="281"/>
        <item m="1" x="296"/>
        <item m="1" x="99"/>
        <item m="1" x="121"/>
        <item m="1" x="326"/>
        <item m="1" x="144"/>
        <item m="1" x="354"/>
        <item m="1" x="201"/>
        <item m="1" x="330"/>
        <item m="1" x="148"/>
        <item m="1" x="284"/>
        <item m="1" x="258"/>
        <item m="1" x="344"/>
        <item m="1" x="279"/>
        <item x="17"/>
        <item m="1" x="315"/>
        <item m="1" x="267"/>
        <item m="1" x="165"/>
        <item m="1" x="341"/>
        <item m="1" x="95"/>
        <item m="1" x="301"/>
        <item m="1" x="215"/>
        <item m="1" x="300"/>
        <item m="1" x="131"/>
        <item m="1" x="242"/>
        <item m="1" x="192"/>
        <item m="1" x="169"/>
        <item m="1" x="197"/>
        <item m="1" x="88"/>
        <item m="1" x="191"/>
        <item m="1" x="179"/>
        <item m="1" x="273"/>
        <item m="1" x="190"/>
        <item m="1" x="149"/>
        <item m="1" x="150"/>
        <item m="1" x="308"/>
        <item m="1" x="225"/>
        <item x="40"/>
        <item m="1" x="221"/>
        <item m="1" x="134"/>
        <item m="1" x="269"/>
        <item m="1" x="105"/>
        <item m="1" x="241"/>
        <item m="1" x="322"/>
        <item m="1" x="140"/>
        <item m="1" x="364"/>
        <item m="1" x="349"/>
        <item m="1" x="378"/>
        <item m="1" x="321"/>
        <item m="1" x="139"/>
        <item m="1" x="117"/>
        <item m="1" x="196"/>
        <item m="1" x="166"/>
        <item m="1" x="122"/>
        <item m="1" x="113"/>
        <item m="1" x="100"/>
        <item m="1" x="372"/>
        <item m="1" x="302"/>
        <item m="1" x="263"/>
        <item m="1" x="318"/>
        <item m="1" x="211"/>
        <item m="1" x="206"/>
        <item m="1" x="331"/>
        <item m="1" x="154"/>
        <item m="1" x="251"/>
        <item m="1" x="118"/>
        <item m="1" x="386"/>
        <item m="1" x="108"/>
        <item m="1" x="317"/>
        <item m="1" x="293"/>
        <item m="1" x="183"/>
        <item m="1" x="226"/>
        <item m="1" x="170"/>
        <item m="1" x="306"/>
        <item m="1" x="184"/>
        <item m="1" x="175"/>
        <item m="1" x="368"/>
        <item m="1" x="246"/>
        <item m="1" x="345"/>
        <item m="1" x="202"/>
        <item m="1" x="381"/>
        <item m="1" x="363"/>
        <item m="1" x="355"/>
        <item m="1" x="157"/>
        <item m="1" x="289"/>
        <item m="1" x="240"/>
        <item m="1" x="230"/>
        <item m="1" x="123"/>
        <item m="1" x="369"/>
        <item m="1" x="307"/>
        <item m="1" x="127"/>
        <item m="1" x="268"/>
        <item m="1" x="297"/>
        <item m="1" x="255"/>
        <item m="1" x="104"/>
        <item m="1" x="185"/>
        <item m="1" x="256"/>
        <item m="1" x="259"/>
        <item m="1" x="210"/>
        <item m="1" x="216"/>
        <item m="1" x="103"/>
        <item x="42"/>
        <item x="59"/>
        <item m="1" x="280"/>
        <item x="50"/>
        <item x="51"/>
        <item x="44"/>
        <item x="32"/>
        <item x="33"/>
        <item x="52"/>
        <item x="19"/>
        <item x="16"/>
        <item x="20"/>
        <item x="21"/>
        <item x="24"/>
        <item x="25"/>
        <item x="27"/>
        <item x="47"/>
        <item m="1" x="387"/>
        <item x="29"/>
        <item x="30"/>
        <item x="31"/>
        <item x="34"/>
        <item x="49"/>
        <item x="71"/>
        <item x="68"/>
        <item x="69"/>
        <item x="48"/>
        <item x="70"/>
        <item x="22"/>
        <item x="14"/>
        <item x="60"/>
        <item x="53"/>
        <item x="43"/>
        <item x="13"/>
        <item x="15"/>
        <item x="18"/>
        <item x="61"/>
        <item x="62"/>
        <item x="63"/>
        <item x="64"/>
        <item x="65"/>
        <item x="66"/>
        <item x="23"/>
        <item x="67"/>
        <item x="35"/>
        <item x="72"/>
        <item x="73"/>
        <item x="74"/>
        <item x="38"/>
        <item x="36"/>
        <item x="37"/>
        <item x="39"/>
        <item x="79"/>
        <item x="54"/>
        <item x="75"/>
        <item x="80"/>
        <item x="81"/>
        <item x="55"/>
        <item x="82"/>
        <item x="56"/>
        <item x="76"/>
        <item x="83"/>
        <item x="84"/>
        <item x="57"/>
        <item x="45"/>
        <item x="41"/>
        <item x="0"/>
        <item x="1"/>
        <item x="2"/>
        <item x="3"/>
        <item x="4"/>
        <item x="5"/>
        <item x="6"/>
        <item x="7"/>
        <item x="8"/>
        <item x="9"/>
        <item x="10"/>
        <item x="11"/>
        <item x="12"/>
        <item x="26"/>
        <item x="28"/>
        <item x="46"/>
        <item x="58"/>
        <item x="78"/>
        <item t="default"/>
      </items>
    </pivotField>
    <pivotField compact="0" numFmtId="1" outline="0" showAll="0"/>
    <pivotField compact="0" outline="0" showAll="0"/>
    <pivotField compact="0" outline="0" showAll="0"/>
    <pivotField compact="0" numFmtId="14" outline="0" showAll="0"/>
    <pivotField compact="0" outline="0" showAll="0"/>
    <pivotField compact="0" outline="0" showAll="0"/>
    <pivotField compact="0" outline="0" showAll="0"/>
    <pivotField compact="0" numFmtId="164" outline="0" showAll="0"/>
    <pivotField compact="0" numFmtId="171" outline="0" showAll="0"/>
    <pivotField compact="0" numFmtId="171" outline="0" showAll="0"/>
    <pivotField compact="0" outline="0" showAll="0"/>
    <pivotField compact="0" numFmtId="171" outline="0" showAll="0"/>
    <pivotField compact="0" outline="0" showAll="0"/>
    <pivotField compact="0" outline="0" showAll="0"/>
    <pivotField compact="0" outline="0" showAll="0"/>
    <pivotField axis="axisPage" compact="0" outline="0" multipleItemSelectionAllowed="1" showAll="0">
      <items count="11">
        <item m="1" x="6"/>
        <item m="1" x="8"/>
        <item m="1" x="9"/>
        <item m="1" x="7"/>
        <item x="5"/>
        <item x="2"/>
        <item x="4"/>
        <item x="3"/>
        <item x="1"/>
        <item x="0"/>
        <item t="default"/>
      </items>
    </pivotField>
    <pivotField compact="0" numFmtId="164" outline="0" showAll="0"/>
    <pivotField compact="0" numFmtId="164" outline="0" showAll="0"/>
    <pivotField compact="0" numFmtId="9" outline="0" showAll="0"/>
    <pivotField compact="0" numFmtId="164" outline="0" showAll="0"/>
    <pivotField compact="0" numFmtId="164" outline="0" showAll="0"/>
    <pivotField compact="0" numFmtId="164" outline="0" showAll="0"/>
    <pivotField compact="0" outline="0" showAll="0"/>
    <pivotField compact="0" outline="0" showAll="0"/>
    <pivotField compact="0" numFmtId="1" outline="0" showAll="0"/>
    <pivotField compact="0" outline="0" showAll="0"/>
    <pivotField compact="0" numFmtId="44" outline="0" showAll="0"/>
    <pivotField compact="0" outline="0" showAll="0"/>
    <pivotField compact="0" numFmtId="192" outline="0" showAll="0"/>
    <pivotField compact="0" numFmtId="9" outline="0" showAll="0"/>
    <pivotField compact="0" numFmtId="192" outline="0" showAll="0"/>
    <pivotField compact="0" outline="0" showAll="0"/>
    <pivotField compact="0" numFmtId="192" outline="0" showAll="0"/>
    <pivotField compact="0" numFmtId="192" outline="0" showAll="0"/>
    <pivotField compact="0" outline="0" showAll="0"/>
    <pivotField compact="0" outline="0" showAll="0"/>
    <pivotField compact="0" outline="0" showAll="0">
      <items count="7">
        <item x="1"/>
        <item x="2"/>
        <item x="3"/>
        <item x="4"/>
        <item x="0"/>
        <item x="5"/>
        <item t="default"/>
      </items>
    </pivotField>
    <pivotField compact="0" outline="0" showAll="0">
      <items count="5">
        <item x="1"/>
        <item x="0"/>
        <item x="2"/>
        <item x="3"/>
        <item t="default"/>
      </items>
    </pivotField>
    <pivotField compact="0" outline="0" dragToRow="0" dragToCol="0" dragToPage="0" showAll="0" defaultSubtotal="0"/>
    <pivotField compact="0" outline="0" dragToRow="0" dragToCol="0" dragToPage="0" showAll="0" defaultSubtotal="0"/>
  </pivotFields>
  <rowFields count="2">
    <field x="2"/>
    <field x="18"/>
  </rowFields>
  <rowItems count="249">
    <i>
      <x v="2"/>
      <x v="361"/>
    </i>
    <i t="default">
      <x v="2"/>
    </i>
    <i>
      <x v="5"/>
      <x v="349"/>
    </i>
    <i t="default">
      <x v="5"/>
    </i>
    <i>
      <x v="6"/>
      <x v="243"/>
    </i>
    <i r="1">
      <x v="327"/>
    </i>
    <i r="1">
      <x v="355"/>
    </i>
    <i r="1">
      <x v="358"/>
    </i>
    <i r="1">
      <x v="372"/>
    </i>
    <i t="default">
      <x v="6"/>
    </i>
    <i>
      <x v="9"/>
      <x v="323"/>
    </i>
    <i r="1">
      <x v="325"/>
    </i>
    <i r="1">
      <x v="371"/>
    </i>
    <i r="1">
      <x v="387"/>
    </i>
    <i r="1">
      <x v="388"/>
    </i>
    <i t="default">
      <x v="9"/>
    </i>
    <i>
      <x v="16"/>
      <x v="333"/>
    </i>
    <i t="default">
      <x v="16"/>
    </i>
    <i>
      <x v="18"/>
      <x v="390"/>
    </i>
    <i t="default">
      <x v="18"/>
    </i>
    <i>
      <x v="19"/>
      <x v="321"/>
    </i>
    <i r="1">
      <x v="335"/>
    </i>
    <i r="1">
      <x v="355"/>
    </i>
    <i r="1">
      <x v="356"/>
    </i>
    <i r="1">
      <x v="360"/>
    </i>
    <i r="1">
      <x v="364"/>
    </i>
    <i r="1">
      <x v="366"/>
    </i>
    <i r="1">
      <x v="370"/>
    </i>
    <i r="1">
      <x v="371"/>
    </i>
    <i r="1">
      <x v="372"/>
    </i>
    <i r="1">
      <x v="389"/>
    </i>
    <i t="default">
      <x v="19"/>
    </i>
    <i>
      <x v="20"/>
      <x v="194"/>
    </i>
    <i t="default">
      <x v="20"/>
    </i>
    <i>
      <x v="30"/>
      <x v="322"/>
    </i>
    <i r="1">
      <x v="325"/>
    </i>
    <i r="1">
      <x v="326"/>
    </i>
    <i r="1">
      <x v="327"/>
    </i>
    <i r="1">
      <x v="386"/>
    </i>
    <i r="1">
      <x v="387"/>
    </i>
    <i t="default">
      <x v="30"/>
    </i>
    <i>
      <x v="33"/>
      <x v="220"/>
    </i>
    <i r="1">
      <x v="243"/>
    </i>
    <i r="1">
      <x v="317"/>
    </i>
    <i r="1">
      <x v="318"/>
    </i>
    <i r="1">
      <x v="319"/>
    </i>
    <i r="1">
      <x v="320"/>
    </i>
    <i r="1">
      <x v="321"/>
    </i>
    <i r="1">
      <x v="325"/>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2"/>
    </i>
    <i r="1">
      <x v="355"/>
    </i>
    <i r="1">
      <x v="356"/>
    </i>
    <i r="1">
      <x v="357"/>
    </i>
    <i r="1">
      <x v="358"/>
    </i>
    <i r="1">
      <x v="359"/>
    </i>
    <i r="1">
      <x v="360"/>
    </i>
    <i r="1">
      <x v="361"/>
    </i>
    <i r="1">
      <x v="362"/>
    </i>
    <i r="1">
      <x v="363"/>
    </i>
    <i r="1">
      <x v="364"/>
    </i>
    <i r="1">
      <x v="365"/>
    </i>
    <i r="1">
      <x v="366"/>
    </i>
    <i r="1">
      <x v="367"/>
    </i>
    <i r="1">
      <x v="368"/>
    </i>
    <i r="1">
      <x v="369"/>
    </i>
    <i r="1">
      <x v="370"/>
    </i>
    <i r="1">
      <x v="371"/>
    </i>
    <i r="1">
      <x v="373"/>
    </i>
    <i r="1">
      <x v="374"/>
    </i>
    <i r="1">
      <x v="375"/>
    </i>
    <i r="1">
      <x v="376"/>
    </i>
    <i r="1">
      <x v="377"/>
    </i>
    <i r="1">
      <x v="378"/>
    </i>
    <i r="1">
      <x v="379"/>
    </i>
    <i r="1">
      <x v="380"/>
    </i>
    <i r="1">
      <x v="381"/>
    </i>
    <i r="1">
      <x v="382"/>
    </i>
    <i r="1">
      <x v="383"/>
    </i>
    <i r="1">
      <x v="384"/>
    </i>
    <i r="1">
      <x v="385"/>
    </i>
    <i t="default">
      <x v="33"/>
    </i>
    <i>
      <x v="35"/>
      <x v="243"/>
    </i>
    <i r="1">
      <x v="313"/>
    </i>
    <i r="1">
      <x v="314"/>
    </i>
    <i r="1">
      <x v="318"/>
    </i>
    <i r="1">
      <x v="319"/>
    </i>
    <i r="1">
      <x v="320"/>
    </i>
    <i r="1">
      <x v="327"/>
    </i>
    <i r="1">
      <x v="335"/>
    </i>
    <i r="1">
      <x v="336"/>
    </i>
    <i r="1">
      <x v="339"/>
    </i>
    <i r="1">
      <x v="351"/>
    </i>
    <i r="1">
      <x v="355"/>
    </i>
    <i r="1">
      <x v="356"/>
    </i>
    <i r="1">
      <x v="357"/>
    </i>
    <i t="default">
      <x v="35"/>
    </i>
    <i>
      <x v="37"/>
      <x v="243"/>
    </i>
    <i r="1">
      <x v="356"/>
    </i>
    <i t="default">
      <x v="37"/>
    </i>
    <i>
      <x v="40"/>
      <x v="333"/>
    </i>
    <i t="default">
      <x v="40"/>
    </i>
    <i>
      <x v="41"/>
      <x v="320"/>
    </i>
    <i r="1">
      <x v="321"/>
    </i>
    <i t="default">
      <x v="41"/>
    </i>
    <i>
      <x v="49"/>
      <x v="316"/>
    </i>
    <i r="1">
      <x v="317"/>
    </i>
    <i r="1">
      <x v="318"/>
    </i>
    <i r="1">
      <x v="319"/>
    </i>
    <i t="default">
      <x v="49"/>
    </i>
    <i>
      <x v="52"/>
      <x v="321"/>
    </i>
    <i r="1">
      <x v="328"/>
    </i>
    <i r="1">
      <x v="338"/>
    </i>
    <i r="1">
      <x v="345"/>
    </i>
    <i r="1">
      <x v="351"/>
    </i>
    <i r="1">
      <x v="353"/>
    </i>
    <i r="1">
      <x v="356"/>
    </i>
    <i r="1">
      <x v="357"/>
    </i>
    <i t="default">
      <x v="52"/>
    </i>
    <i>
      <x v="53"/>
      <x v="335"/>
    </i>
    <i r="1">
      <x v="351"/>
    </i>
    <i r="1">
      <x v="352"/>
    </i>
    <i t="default">
      <x v="53"/>
    </i>
    <i>
      <x v="54"/>
      <x v="339"/>
    </i>
    <i t="default">
      <x v="54"/>
    </i>
    <i>
      <x v="55"/>
      <x v="321"/>
    </i>
    <i r="1">
      <x v="327"/>
    </i>
    <i r="1">
      <x v="329"/>
    </i>
    <i r="1">
      <x v="333"/>
    </i>
    <i r="1">
      <x v="356"/>
    </i>
    <i t="default">
      <x v="55"/>
    </i>
    <i>
      <x v="56"/>
      <x v="243"/>
    </i>
    <i r="1">
      <x v="310"/>
    </i>
    <i r="1">
      <x v="311"/>
    </i>
    <i r="1">
      <x v="312"/>
    </i>
    <i r="1">
      <x v="313"/>
    </i>
    <i r="1">
      <x v="314"/>
    </i>
    <i r="1">
      <x v="315"/>
    </i>
    <i r="1">
      <x v="316"/>
    </i>
    <i r="1">
      <x v="317"/>
    </i>
    <i r="1">
      <x v="318"/>
    </i>
    <i r="1">
      <x v="319"/>
    </i>
    <i r="1">
      <x v="320"/>
    </i>
    <i r="1">
      <x v="321"/>
    </i>
    <i r="1">
      <x v="327"/>
    </i>
    <i r="1">
      <x v="328"/>
    </i>
    <i r="1">
      <x v="329"/>
    </i>
    <i r="1">
      <x v="331"/>
    </i>
    <i r="1">
      <x v="332"/>
    </i>
    <i r="1">
      <x v="333"/>
    </i>
    <i r="1">
      <x v="334"/>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9"/>
    </i>
    <i r="1">
      <x v="360"/>
    </i>
    <i r="1">
      <x v="361"/>
    </i>
    <i r="1">
      <x v="362"/>
    </i>
    <i r="1">
      <x v="363"/>
    </i>
    <i r="1">
      <x v="364"/>
    </i>
    <i r="1">
      <x v="372"/>
    </i>
    <i t="default">
      <x v="56"/>
    </i>
    <i>
      <x v="57"/>
      <x v="338"/>
    </i>
    <i t="default">
      <x v="57"/>
    </i>
    <i>
      <x v="58"/>
      <x v="308"/>
    </i>
    <i r="1">
      <x v="314"/>
    </i>
    <i r="1">
      <x v="337"/>
    </i>
    <i r="1">
      <x v="340"/>
    </i>
    <i t="default">
      <x v="58"/>
    </i>
    <i>
      <x v="59"/>
      <x v="335"/>
    </i>
    <i r="1">
      <x v="352"/>
    </i>
    <i t="default">
      <x v="59"/>
    </i>
    <i>
      <x v="60"/>
      <x v="335"/>
    </i>
    <i r="1">
      <x v="352"/>
    </i>
    <i r="1">
      <x v="364"/>
    </i>
    <i t="default">
      <x v="60"/>
    </i>
    <i>
      <x v="61"/>
      <x v="335"/>
    </i>
    <i r="1">
      <x v="364"/>
    </i>
    <i t="default">
      <x v="61"/>
    </i>
    <i>
      <x v="62"/>
      <x v="310"/>
    </i>
    <i r="1">
      <x v="339"/>
    </i>
    <i r="1">
      <x v="340"/>
    </i>
    <i t="default">
      <x v="62"/>
    </i>
    <i>
      <x v="63"/>
      <x v="312"/>
    </i>
    <i r="1">
      <x v="313"/>
    </i>
    <i r="1">
      <x v="314"/>
    </i>
    <i r="1">
      <x v="316"/>
    </i>
    <i r="1">
      <x v="317"/>
    </i>
    <i r="1">
      <x v="340"/>
    </i>
    <i r="1">
      <x v="341"/>
    </i>
    <i t="default">
      <x v="63"/>
    </i>
    <i>
      <x v="64"/>
      <x v="307"/>
    </i>
    <i t="default">
      <x v="64"/>
    </i>
    <i>
      <x v="65"/>
      <x v="331"/>
    </i>
    <i r="1">
      <x v="340"/>
    </i>
    <i r="1">
      <x v="341"/>
    </i>
    <i r="1">
      <x v="354"/>
    </i>
    <i t="default">
      <x v="65"/>
    </i>
    <i>
      <x v="66"/>
      <x v="314"/>
    </i>
    <i r="1">
      <x v="331"/>
    </i>
    <i t="default">
      <x v="66"/>
    </i>
    <i>
      <x v="67"/>
      <x v="312"/>
    </i>
    <i r="1">
      <x v="354"/>
    </i>
    <i t="default">
      <x v="67"/>
    </i>
    <i>
      <x v="68"/>
      <x v="367"/>
    </i>
    <i t="default">
      <x v="68"/>
    </i>
    <i t="grand">
      <x/>
    </i>
  </rowItems>
  <colItems count="1">
    <i/>
  </colItems>
  <pageFields count="3">
    <pageField fld="0" hier="-1"/>
    <pageField fld="34" hier="-1"/>
    <pageField fld="6" hier="-1"/>
  </pageFields>
  <formats count="5">
    <format dxfId="127">
      <pivotArea field="2" type="button" dataOnly="0" labelOnly="1" outline="0" axis="axisRow" fieldPosition="0"/>
    </format>
    <format dxfId="126">
      <pivotArea dataOnly="0" labelOnly="1" outline="0" fieldPosition="0">
        <references count="1">
          <reference field="0" count="0"/>
        </references>
      </pivotArea>
    </format>
    <format dxfId="125">
      <pivotArea dataOnly="0" labelOnly="1" outline="0" fieldPosition="0">
        <references count="1">
          <reference field="2" count="1">
            <x v="34"/>
          </reference>
        </references>
      </pivotArea>
    </format>
    <format dxfId="124">
      <pivotArea dataOnly="0" labelOnly="1" outline="0" fieldPosition="0">
        <references count="1">
          <reference field="2" count="1">
            <x v="33"/>
          </reference>
        </references>
      </pivotArea>
    </format>
    <format dxfId="123">
      <pivotArea dataOnly="0" labelOnly="1" outline="0" fieldPosition="0">
        <references count="1">
          <reference field="2" count="2">
            <x v="33"/>
            <x v="3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21F469-5A03-403D-8B18-2868EA696D55}" name="TablaDinámica4"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4:B6" firstHeaderRow="1" firstDataRow="1" firstDataCol="1" rowPageCount="2" colPageCount="1"/>
  <pivotFields count="17">
    <pivotField axis="axisPage" showAll="0">
      <items count="5">
        <item m="1" x="2"/>
        <item m="1" x="3"/>
        <item m="1" x="1"/>
        <item x="0"/>
        <item t="default"/>
      </items>
    </pivotField>
    <pivotField showAll="0"/>
    <pivotField showAll="0"/>
    <pivotField name="CLIENTE" axis="axisPage" showAll="0">
      <items count="61">
        <item m="1" x="25"/>
        <item m="1" x="52"/>
        <item m="1" x="59"/>
        <item m="1" x="3"/>
        <item m="1" x="5"/>
        <item m="1" x="29"/>
        <item m="1" x="9"/>
        <item m="1" x="28"/>
        <item m="1" x="7"/>
        <item m="1" x="54"/>
        <item m="1" x="53"/>
        <item m="1" x="34"/>
        <item m="1" x="57"/>
        <item m="1" x="11"/>
        <item m="1" x="41"/>
        <item m="1" x="49"/>
        <item m="1" x="46"/>
        <item m="1" x="35"/>
        <item m="1" x="27"/>
        <item m="1" x="8"/>
        <item m="1" x="14"/>
        <item m="1" x="32"/>
        <item m="1" x="51"/>
        <item m="1" x="6"/>
        <item m="1" x="47"/>
        <item m="1" x="24"/>
        <item m="1" x="44"/>
        <item m="1" x="55"/>
        <item m="1" x="43"/>
        <item m="1" x="2"/>
        <item m="1" x="12"/>
        <item m="1" x="33"/>
        <item m="1" x="45"/>
        <item m="1" x="18"/>
        <item m="1" x="1"/>
        <item m="1" x="30"/>
        <item m="1" x="58"/>
        <item m="1" x="20"/>
        <item x="0"/>
        <item m="1" x="15"/>
        <item m="1" x="17"/>
        <item m="1" x="31"/>
        <item m="1" x="48"/>
        <item m="1" x="56"/>
        <item m="1" x="37"/>
        <item m="1" x="38"/>
        <item m="1" x="26"/>
        <item m="1" x="22"/>
        <item m="1" x="50"/>
        <item m="1" x="36"/>
        <item m="1" x="19"/>
        <item m="1" x="16"/>
        <item m="1" x="42"/>
        <item m="1" x="23"/>
        <item m="1" x="39"/>
        <item m="1" x="21"/>
        <item m="1" x="10"/>
        <item m="1" x="13"/>
        <item m="1" x="4"/>
        <item m="1" x="40"/>
        <item t="default"/>
      </items>
    </pivotField>
    <pivotField axis="axisRow" showAll="0">
      <items count="316">
        <item m="1" x="281"/>
        <item m="1" x="285"/>
        <item m="1" x="292"/>
        <item m="1" x="298"/>
        <item m="1" x="1"/>
        <item m="1" x="13"/>
        <item m="1" x="21"/>
        <item m="1" x="24"/>
        <item m="1" x="35"/>
        <item m="1" x="40"/>
        <item m="1" x="46"/>
        <item m="1" x="283"/>
        <item m="1" x="277"/>
        <item m="1" x="124"/>
        <item m="1" x="205"/>
        <item m="1" x="282"/>
        <item m="1" x="52"/>
        <item m="1" x="130"/>
        <item m="1" x="211"/>
        <item m="1" x="288"/>
        <item m="1" x="56"/>
        <item m="1" x="132"/>
        <item m="1" x="217"/>
        <item m="1" x="295"/>
        <item m="1" x="61"/>
        <item m="1" x="139"/>
        <item m="1" x="66"/>
        <item m="1" x="145"/>
        <item m="1" x="227"/>
        <item m="1" x="306"/>
        <item m="1" x="149"/>
        <item m="1" x="231"/>
        <item m="1" x="312"/>
        <item m="1" x="75"/>
        <item m="1" x="154"/>
        <item m="1" x="236"/>
        <item m="1" x="4"/>
        <item m="1" x="81"/>
        <item m="1" x="164"/>
        <item m="1" x="15"/>
        <item m="1" x="170"/>
        <item m="1" x="19"/>
        <item m="1" x="96"/>
        <item m="1" x="174"/>
        <item m="1" x="256"/>
        <item m="1" x="102"/>
        <item m="1" x="178"/>
        <item m="1" x="260"/>
        <item m="1" x="26"/>
        <item m="1" x="107"/>
        <item m="1" x="185"/>
        <item m="1" x="265"/>
        <item m="1" x="30"/>
        <item m="1" x="111"/>
        <item m="1" x="189"/>
        <item m="1" x="193"/>
        <item m="1" x="271"/>
        <item m="1" x="37"/>
        <item m="1" x="117"/>
        <item m="1" x="199"/>
        <item m="1" x="275"/>
        <item m="1" x="43"/>
        <item m="1" x="122"/>
        <item m="1" x="204"/>
        <item m="1" x="280"/>
        <item m="1" x="49"/>
        <item m="1" x="127"/>
        <item m="1" x="208"/>
        <item m="1" x="284"/>
        <item m="1" x="53"/>
        <item m="1" x="131"/>
        <item m="1" x="214"/>
        <item m="1" x="291"/>
        <item m="1" x="59"/>
        <item m="1" x="136"/>
        <item m="1" x="220"/>
        <item m="1" x="297"/>
        <item m="1" x="64"/>
        <item m="1" x="142"/>
        <item m="1" x="224"/>
        <item m="1" x="303"/>
        <item m="1" x="69"/>
        <item m="1" x="309"/>
        <item m="1" x="152"/>
        <item m="1" x="79"/>
        <item m="1" x="157"/>
        <item m="1" x="239"/>
        <item m="1" x="7"/>
        <item m="1" x="85"/>
        <item m="1" x="161"/>
        <item m="1" x="245"/>
        <item m="1" x="12"/>
        <item m="1" x="89"/>
        <item m="1" x="167"/>
        <item m="1" x="249"/>
        <item m="1" x="18"/>
        <item m="1" x="94"/>
        <item m="1" x="172"/>
        <item m="1" x="253"/>
        <item m="1" x="99"/>
        <item m="1" x="176"/>
        <item m="1" x="257"/>
        <item m="1" x="105"/>
        <item m="1" x="181"/>
        <item m="1" x="262"/>
        <item m="1" x="28"/>
        <item m="1" x="109"/>
        <item m="1" x="186"/>
        <item m="1" x="266"/>
        <item m="1" x="31"/>
        <item m="1" x="191"/>
        <item m="1" x="195"/>
        <item m="1" x="273"/>
        <item m="1" x="39"/>
        <item m="1" x="119"/>
        <item m="1" x="201"/>
        <item m="1" x="45"/>
        <item m="1" x="51"/>
        <item m="1" x="129"/>
        <item m="1" x="210"/>
        <item m="1" x="55"/>
        <item m="1" x="216"/>
        <item m="1" x="294"/>
        <item m="1" x="60"/>
        <item m="1" x="138"/>
        <item m="1" x="222"/>
        <item m="1" x="300"/>
        <item m="1" x="65"/>
        <item m="1" x="144"/>
        <item m="1" x="226"/>
        <item m="1" x="305"/>
        <item m="1" x="148"/>
        <item m="1" x="230"/>
        <item m="1" x="311"/>
        <item m="1" x="235"/>
        <item m="1" x="3"/>
        <item m="1" x="80"/>
        <item m="1" x="158"/>
        <item m="1" x="241"/>
        <item m="1" x="9"/>
        <item m="1" x="163"/>
        <item m="1" x="247"/>
        <item m="1" x="14"/>
        <item m="1" x="91"/>
        <item m="1" x="169"/>
        <item m="1" x="251"/>
        <item m="1" x="173"/>
        <item m="1" x="255"/>
        <item m="1" x="101"/>
        <item m="1" x="177"/>
        <item m="1" x="259"/>
        <item m="1" x="25"/>
        <item m="1" x="106"/>
        <item m="1" x="184"/>
        <item m="1" x="264"/>
        <item m="1" x="29"/>
        <item m="1" x="110"/>
        <item m="1" x="188"/>
        <item m="1" x="268"/>
        <item m="1" x="33"/>
        <item m="1" x="113"/>
        <item m="1" x="116"/>
        <item m="1" x="198"/>
        <item m="1" x="42"/>
        <item m="1" x="203"/>
        <item m="1" x="279"/>
        <item m="1" x="48"/>
        <item m="1" x="126"/>
        <item m="1" x="207"/>
        <item m="1" x="213"/>
        <item m="1" x="58"/>
        <item m="1" x="135"/>
        <item m="1" x="63"/>
        <item m="1" x="141"/>
        <item m="1" x="223"/>
        <item m="1" x="302"/>
        <item m="1" x="68"/>
        <item m="1" x="146"/>
        <item m="1" x="308"/>
        <item m="1" x="73"/>
        <item m="1" x="151"/>
        <item m="1" x="314"/>
        <item m="1" x="78"/>
        <item m="1" x="156"/>
        <item m="1" x="238"/>
        <item m="1" x="84"/>
        <item m="1" x="160"/>
        <item m="1" x="11"/>
        <item m="1" x="88"/>
        <item m="1" x="93"/>
        <item m="1" x="252"/>
        <item m="1" x="98"/>
        <item m="1" x="175"/>
        <item m="1" x="242"/>
        <item m="1" x="196"/>
        <item m="1" x="182"/>
        <item m="1" x="134"/>
        <item m="1" x="120"/>
        <item m="1" x="95"/>
        <item m="1" x="76"/>
        <item x="0"/>
        <item m="1" x="104"/>
        <item m="1" x="180"/>
        <item m="1" x="272"/>
        <item m="1" x="244"/>
        <item m="1" x="276"/>
        <item m="1" x="215"/>
        <item m="1" x="219"/>
        <item m="1" x="108"/>
        <item m="1" x="248"/>
        <item m="1" x="23"/>
        <item m="1" x="290"/>
        <item m="1" x="190"/>
        <item m="1" x="269"/>
        <item m="1" x="261"/>
        <item m="1" x="118"/>
        <item m="1" x="200"/>
        <item m="1" x="6"/>
        <item m="1" x="74"/>
        <item m="1" x="258"/>
        <item m="1" x="71"/>
        <item m="1" x="114"/>
        <item m="1" x="38"/>
        <item m="1" x="54"/>
        <item m="1" x="123"/>
        <item m="1" x="233"/>
        <item m="1" x="310"/>
        <item m="1" x="34"/>
        <item m="1" x="225"/>
        <item m="1" x="82"/>
        <item m="1" x="87"/>
        <item m="1" x="206"/>
        <item m="1" x="287"/>
        <item m="1" x="221"/>
        <item m="1" x="137"/>
        <item m="1" x="267"/>
        <item m="1" x="168"/>
        <item m="1" x="299"/>
        <item m="1" x="246"/>
        <item m="1" x="240"/>
        <item m="1" x="8"/>
        <item m="1" x="86"/>
        <item m="1" x="162"/>
        <item m="1" x="41"/>
        <item m="1" x="229"/>
        <item m="1" x="153"/>
        <item m="1" x="166"/>
        <item m="1" x="197"/>
        <item m="1" x="274"/>
        <item m="1" x="2"/>
        <item m="1" x="27"/>
        <item m="1" x="62"/>
        <item m="1" x="115"/>
        <item m="1" x="278"/>
        <item m="1" x="296"/>
        <item m="1" x="57"/>
        <item m="1" x="232"/>
        <item m="1" x="72"/>
        <item m="1" x="304"/>
        <item m="1" x="147"/>
        <item m="1" x="234"/>
        <item m="1" x="90"/>
        <item m="1" x="150"/>
        <item m="1" x="289"/>
        <item m="1" x="140"/>
        <item m="1" x="228"/>
        <item m="1" x="313"/>
        <item m="1" x="77"/>
        <item m="1" x="218"/>
        <item m="1" x="112"/>
        <item m="1" x="237"/>
        <item m="1" x="128"/>
        <item m="1" x="36"/>
        <item m="1" x="50"/>
        <item m="1" x="194"/>
        <item m="1" x="270"/>
        <item m="1" x="44"/>
        <item m="1" x="209"/>
        <item m="1" x="100"/>
        <item m="1" x="250"/>
        <item m="1" x="92"/>
        <item m="1" x="17"/>
        <item m="1" x="293"/>
        <item m="1" x="263"/>
        <item m="1" x="187"/>
        <item m="1" x="202"/>
        <item m="1" x="70"/>
        <item m="1" x="254"/>
        <item m="1" x="47"/>
        <item m="1" x="159"/>
        <item m="1" x="10"/>
        <item m="1" x="143"/>
        <item m="1" x="133"/>
        <item m="1" x="155"/>
        <item m="1" x="165"/>
        <item m="1" x="20"/>
        <item m="1" x="97"/>
        <item m="1" x="22"/>
        <item m="1" x="103"/>
        <item m="1" x="286"/>
        <item m="1" x="171"/>
        <item m="1" x="192"/>
        <item m="1" x="125"/>
        <item m="1" x="67"/>
        <item m="1" x="183"/>
        <item m="1" x="121"/>
        <item m="1" x="212"/>
        <item m="1" x="307"/>
        <item m="1" x="83"/>
        <item m="1" x="16"/>
        <item m="1" x="179"/>
        <item m="1" x="32"/>
        <item m="1" x="5"/>
        <item m="1" x="243"/>
        <item m="1" x="301"/>
        <item t="default"/>
      </items>
    </pivotField>
    <pivotField showAll="0"/>
    <pivotField showAll="0"/>
    <pivotField showAll="0"/>
    <pivotField showAll="0"/>
    <pivotField dataField="1" showAll="0"/>
    <pivotField showAll="0"/>
    <pivotField showAll="0"/>
    <pivotField showAll="0"/>
    <pivotField showAll="0"/>
    <pivotField showAll="0"/>
    <pivotField showAll="0"/>
    <pivotField numFmtId="180" showAll="0"/>
  </pivotFields>
  <rowFields count="1">
    <field x="4"/>
  </rowFields>
  <rowItems count="2">
    <i>
      <x v="200"/>
    </i>
    <i t="grand">
      <x/>
    </i>
  </rowItems>
  <colItems count="1">
    <i/>
  </colItems>
  <pageFields count="2">
    <pageField fld="0" item="3" hier="-1"/>
    <pageField fld="3" hier="-1"/>
  </pageFields>
  <dataFields count="1">
    <dataField name="Suma de INGRESO" fld="9" baseField="0" baseItem="0" numFmtId="44"/>
  </dataFields>
  <formats count="9">
    <format dxfId="104">
      <pivotArea outline="0" collapsedLevelsAreSubtotals="1" fieldPosition="0"/>
    </format>
    <format dxfId="103">
      <pivotArea collapsedLevelsAreSubtotals="1" fieldPosition="0">
        <references count="1">
          <reference field="4" count="1">
            <x v="51"/>
          </reference>
        </references>
      </pivotArea>
    </format>
    <format dxfId="102">
      <pivotArea collapsedLevelsAreSubtotals="1" fieldPosition="0">
        <references count="1">
          <reference field="4" count="1">
            <x v="184"/>
          </reference>
        </references>
      </pivotArea>
    </format>
    <format dxfId="101">
      <pivotArea collapsedLevelsAreSubtotals="1" fieldPosition="0">
        <references count="1">
          <reference field="4" count="1">
            <x v="217"/>
          </reference>
        </references>
      </pivotArea>
    </format>
    <format dxfId="100">
      <pivotArea dataOnly="0" fieldPosition="0">
        <references count="2">
          <reference field="3" count="1" selected="0">
            <x v="21"/>
          </reference>
          <reference field="4" count="1">
            <x v="218"/>
          </reference>
        </references>
      </pivotArea>
    </format>
    <format dxfId="99">
      <pivotArea collapsedLevelsAreSubtotals="1" fieldPosition="0">
        <references count="1">
          <reference field="4" count="1">
            <x v="219"/>
          </reference>
        </references>
      </pivotArea>
    </format>
    <format dxfId="98">
      <pivotArea collapsedLevelsAreSubtotals="1" fieldPosition="0">
        <references count="1">
          <reference field="4" count="1">
            <x v="243"/>
          </reference>
        </references>
      </pivotArea>
    </format>
    <format dxfId="97">
      <pivotArea dataOnly="0" labelOnly="1" fieldPosition="0">
        <references count="1">
          <reference field="4" count="1">
            <x v="218"/>
          </reference>
        </references>
      </pivotArea>
    </format>
    <format dxfId="96">
      <pivotArea collapsedLevelsAreSubtotals="1" fieldPosition="0">
        <references count="1">
          <reference field="4" count="14">
            <x v="51"/>
            <x v="53"/>
            <x v="54"/>
            <x v="200"/>
            <x v="217"/>
            <x v="218"/>
            <x v="219"/>
            <x v="243"/>
            <x v="247"/>
            <x v="248"/>
            <x v="252"/>
            <x v="253"/>
            <x v="254"/>
            <x v="26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F86712-F39B-4E7C-BA22-A4CE61691662}" name="TablaDinámica1" cacheId="3" applyNumberFormats="0" applyBorderFormats="0" applyFontFormats="0" applyPatternFormats="0" applyAlignmentFormats="0" applyWidthHeightFormats="1" dataCaption="Valores" updatedVersion="7" minRefreshableVersion="3" useAutoFormatting="1" colGrandTotals="0" itemPrintTitles="1" createdVersion="7" indent="0" compact="0" compactData="0" multipleFieldFilters="0">
  <location ref="A4:H11" firstHeaderRow="0" firstDataRow="1" firstDataCol="6" rowPageCount="1" colPageCount="1"/>
  <pivotFields count="59">
    <pivotField axis="axisRow" compact="0" numFmtId="17" outline="0" subtotalTop="0" multipleItemSelectionAllowed="1" showAll="0">
      <items count="15">
        <item x="0"/>
        <item x="1"/>
        <item x="2"/>
        <item x="3"/>
        <item x="4"/>
        <item x="5"/>
        <item x="6"/>
        <item x="7"/>
        <item x="8"/>
        <item x="9"/>
        <item x="10"/>
        <item x="11"/>
        <item x="12"/>
        <item x="13"/>
        <item t="default"/>
      </items>
    </pivotField>
    <pivotField dataField="1" compact="0" outline="0" subtotalTop="0" showAll="0"/>
    <pivotField axis="axisRow" compact="0" outline="0" subtotalTop="0" showAll="0">
      <items count="70">
        <item h="1" m="1" x="48"/>
        <item h="1" m="1" x="60"/>
        <item h="1" x="28"/>
        <item h="1" m="1" x="54"/>
        <item h="1" m="1" x="47"/>
        <item h="1" x="3"/>
        <item h="1" x="8"/>
        <item h="1" m="1" x="51"/>
        <item h="1" m="1" x="68"/>
        <item x="15"/>
        <item h="1" m="1" x="41"/>
        <item h="1" m="1" x="58"/>
        <item h="1" m="1" x="45"/>
        <item h="1" m="1" x="55"/>
        <item h="1" m="1" x="53"/>
        <item h="1" m="1" x="46"/>
        <item h="1" x="20"/>
        <item h="1" m="1" x="34"/>
        <item h="1" x="31"/>
        <item h="1" x="2"/>
        <item h="1" x="30"/>
        <item h="1" m="1" x="56"/>
        <item h="1" m="1" x="42"/>
        <item h="1" m="1" x="44"/>
        <item h="1" m="1" x="59"/>
        <item h="1" m="1" x="37"/>
        <item h="1" m="1" x="33"/>
        <item h="1" m="1" x="62"/>
        <item h="1" m="1" x="36"/>
        <item h="1" m="1" x="38"/>
        <item h="1" x="5"/>
        <item h="1" m="1" x="61"/>
        <item h="1" m="1" x="64"/>
        <item h="1" x="0"/>
        <item h="1" m="1" x="43"/>
        <item h="1" x="6"/>
        <item h="1" m="1" x="63"/>
        <item h="1" x="9"/>
        <item h="1" m="1" x="50"/>
        <item h="1" m="1" x="35"/>
        <item h="1" x="18"/>
        <item h="1" x="4"/>
        <item h="1" m="1" x="52"/>
        <item h="1" m="1" x="65"/>
        <item h="1" m="1" x="49"/>
        <item h="1" m="1" x="32"/>
        <item h="1" m="1" x="66"/>
        <item h="1" m="1" x="57"/>
        <item h="1" m="1" x="67"/>
        <item h="1" x="1"/>
        <item h="1" m="1" x="40"/>
        <item h="1" m="1" x="39"/>
        <item h="1" x="7"/>
        <item h="1" x="26"/>
        <item h="1" x="12"/>
        <item h="1" x="16"/>
        <item h="1" x="17"/>
        <item h="1" x="19"/>
        <item h="1" x="22"/>
        <item h="1" x="23"/>
        <item h="1" x="24"/>
        <item h="1" x="25"/>
        <item h="1" x="27"/>
        <item h="1" x="21"/>
        <item h="1" x="10"/>
        <item h="1" x="11"/>
        <item h="1" x="13"/>
        <item h="1" x="14"/>
        <item h="1" x="29"/>
        <item t="default"/>
      </items>
    </pivotField>
    <pivotField compact="0" numFmtId="14" outline="0" subtotalTop="0" showAll="0"/>
    <pivotField axis="axisRow" compact="0" outline="0" subtotalTop="0" showAll="0" defaultSubtotal="0">
      <items count="429">
        <item m="1" x="399"/>
        <item m="1" x="335"/>
        <item m="1" x="269"/>
        <item m="1" x="201"/>
        <item m="1" x="139"/>
        <item m="1" x="73"/>
        <item m="1" x="8"/>
        <item m="1" x="365"/>
        <item m="1" x="231"/>
        <item m="1" x="167"/>
        <item m="1" x="103"/>
        <item m="1" x="37"/>
        <item m="1" x="392"/>
        <item m="1" x="329"/>
        <item m="1" x="262"/>
        <item m="1" x="195"/>
        <item m="1" x="132"/>
        <item m="1" x="67"/>
        <item m="1" x="358"/>
        <item m="1" x="257"/>
        <item m="1" x="346"/>
        <item m="1" x="14"/>
        <item m="1" x="104"/>
        <item m="1" x="190"/>
        <item m="1" x="280"/>
        <item m="1" x="370"/>
        <item m="1" x="38"/>
        <item m="1" x="126"/>
        <item m="1" x="213"/>
        <item m="1" x="304"/>
        <item m="1" x="393"/>
        <item m="1" x="61"/>
        <item m="1" x="152"/>
        <item m="1" x="238"/>
        <item m="1" x="330"/>
        <item m="1" x="174"/>
        <item m="1" x="263"/>
        <item m="1" x="353"/>
        <item m="1" x="20"/>
        <item m="1" x="196"/>
        <item m="1" x="287"/>
        <item m="1" x="376"/>
        <item m="1" x="44"/>
        <item m="1" x="133"/>
        <item m="1" x="219"/>
        <item m="1" x="310"/>
        <item m="1" x="400"/>
        <item m="1" x="423"/>
        <item m="1" x="91"/>
        <item m="1" x="179"/>
        <item m="1" x="270"/>
        <item m="1" x="359"/>
        <item m="1" x="114"/>
        <item m="1" x="202"/>
        <item m="1" x="293"/>
        <item m="1" x="381"/>
        <item m="1" x="140"/>
        <item m="1" x="226"/>
        <item m="1" x="316"/>
        <item m="1" x="406"/>
        <item m="1" x="74"/>
        <item m="1" x="163"/>
        <item m="1" x="251"/>
        <item m="1" x="341"/>
        <item m="1" x="9"/>
        <item m="1" x="98"/>
        <item m="1" x="32"/>
        <item m="1" x="120"/>
        <item m="1" x="208"/>
        <item m="1" x="299"/>
        <item m="1" x="388"/>
        <item m="1" x="56"/>
        <item m="1" x="147"/>
        <item m="1" x="233"/>
        <item m="1" x="324"/>
        <item m="1" x="412"/>
        <item m="1" x="80"/>
        <item m="1" x="169"/>
        <item m="1" x="258"/>
        <item m="1" x="347"/>
        <item m="1" x="15"/>
        <item m="1" x="105"/>
        <item m="1" x="191"/>
        <item m="1" x="281"/>
        <item m="1" x="371"/>
        <item m="1" x="39"/>
        <item m="1" x="127"/>
        <item m="1" x="214"/>
        <item m="1" x="305"/>
        <item m="1" x="394"/>
        <item m="1" x="62"/>
        <item m="1" x="153"/>
        <item m="1" x="239"/>
        <item m="1" x="85"/>
        <item m="1" x="264"/>
        <item m="1" x="110"/>
        <item m="1" x="197"/>
        <item m="1" x="288"/>
        <item m="1" x="377"/>
        <item m="1" x="45"/>
        <item m="1" x="134"/>
        <item m="1" x="220"/>
        <item m="1" x="311"/>
        <item m="1" x="401"/>
        <item m="1" x="68"/>
        <item m="1" x="158"/>
        <item m="1" x="245"/>
        <item m="1" x="336"/>
        <item m="1" x="424"/>
        <item m="1" x="92"/>
        <item m="1" x="180"/>
        <item m="1" x="271"/>
        <item m="1" x="360"/>
        <item m="1" x="25"/>
        <item m="1" x="115"/>
        <item m="1" x="203"/>
        <item m="1" x="294"/>
        <item m="1" x="382"/>
        <item m="1" x="50"/>
        <item m="1" x="141"/>
        <item m="1" x="227"/>
        <item m="1" x="317"/>
        <item m="1" x="407"/>
        <item m="1" x="75"/>
        <item m="1" x="164"/>
        <item m="1" x="252"/>
        <item m="1" x="342"/>
        <item m="1" x="10"/>
        <item m="1" x="99"/>
        <item m="1" x="185"/>
        <item m="1" x="276"/>
        <item m="1" x="366"/>
        <item m="1" x="33"/>
        <item m="1" x="121"/>
        <item m="1" x="209"/>
        <item m="1" x="300"/>
        <item m="1" x="148"/>
        <item m="1" x="234"/>
        <item m="1" x="325"/>
        <item m="1" x="413"/>
        <item m="1" x="81"/>
        <item m="1" x="170"/>
        <item m="1" x="259"/>
        <item m="1" x="348"/>
        <item m="1" x="16"/>
        <item m="1" x="106"/>
        <item m="1" x="192"/>
        <item m="1" x="282"/>
        <item m="1" x="372"/>
        <item m="1" x="40"/>
        <item m="1" x="128"/>
        <item m="1" x="215"/>
        <item m="1" x="306"/>
        <item m="1" x="395"/>
        <item m="1" x="63"/>
        <item m="1" x="154"/>
        <item m="1" x="240"/>
        <item m="1" x="331"/>
        <item m="1" x="418"/>
        <item m="1" x="86"/>
        <item m="1" x="175"/>
        <item m="1" x="265"/>
        <item m="1" x="354"/>
        <item m="1" x="21"/>
        <item m="1" x="111"/>
        <item m="1" x="198"/>
        <item m="1" x="289"/>
        <item m="1" x="378"/>
        <item m="1" x="46"/>
        <item m="1" x="135"/>
        <item m="1" x="221"/>
        <item m="1" x="312"/>
        <item m="1" x="402"/>
        <item m="1" x="159"/>
        <item m="1" x="246"/>
        <item m="1" x="337"/>
        <item m="1" x="425"/>
        <item m="1" x="93"/>
        <item m="1" x="181"/>
        <item m="1" x="272"/>
        <item m="1" x="361"/>
        <item m="1" x="26"/>
        <item m="1" x="116"/>
        <item m="1" x="204"/>
        <item m="1" x="295"/>
        <item m="1" x="383"/>
        <item m="1" x="51"/>
        <item m="1" x="142"/>
        <item m="1" x="228"/>
        <item m="1" x="318"/>
        <item m="1" x="408"/>
        <item m="1" x="76"/>
        <item m="1" x="165"/>
        <item m="1" x="253"/>
        <item m="1" x="343"/>
        <item m="1" x="100"/>
        <item m="1" x="186"/>
        <item m="1" x="277"/>
        <item m="1" x="367"/>
        <item m="1" x="34"/>
        <item m="1" x="122"/>
        <item m="1" x="210"/>
        <item m="1" x="301"/>
        <item m="1" x="389"/>
        <item m="1" x="57"/>
        <item m="1" x="149"/>
        <item m="1" x="235"/>
        <item m="1" x="326"/>
        <item m="1" x="414"/>
        <item m="1" x="82"/>
        <item m="1" x="349"/>
        <item m="1" x="17"/>
        <item m="1" x="107"/>
        <item m="1" x="193"/>
        <item m="1" x="283"/>
        <item m="1" x="373"/>
        <item m="1" x="41"/>
        <item m="1" x="129"/>
        <item m="1" x="216"/>
        <item m="1" x="307"/>
        <item m="1" x="396"/>
        <item m="1" x="155"/>
        <item m="1" x="241"/>
        <item m="1" x="332"/>
        <item m="1" x="419"/>
        <item m="1" x="87"/>
        <item m="1" x="176"/>
        <item m="1" x="266"/>
        <item m="1" x="355"/>
        <item m="1" x="22"/>
        <item m="1" x="199"/>
        <item m="1" x="379"/>
        <item m="1" x="47"/>
        <item m="1" x="136"/>
        <item m="1" x="222"/>
        <item m="1" x="313"/>
        <item m="1" x="403"/>
        <item m="1" x="70"/>
        <item m="1" x="160"/>
        <item m="1" x="338"/>
        <item m="1" x="426"/>
        <item m="1" x="94"/>
        <item m="1" x="182"/>
        <item m="1" x="273"/>
        <item m="1" x="362"/>
        <item m="1" x="27"/>
        <item m="1" x="117"/>
        <item m="1" x="205"/>
        <item m="1" x="296"/>
        <item m="1" x="52"/>
        <item m="1" x="143"/>
        <item x="2"/>
        <item m="1" x="247"/>
        <item m="1" x="422"/>
        <item m="1" x="69"/>
        <item m="1" x="11"/>
        <item m="1" x="171"/>
        <item m="1" x="244"/>
        <item m="1" x="64"/>
        <item m="1" x="229"/>
        <item m="1" x="77"/>
        <item m="1" x="384"/>
        <item m="1" x="278"/>
        <item m="1" x="319"/>
        <item m="1" x="35"/>
        <item m="1" x="12"/>
        <item m="1" x="409"/>
        <item m="1" x="344"/>
        <item m="1" x="187"/>
        <item m="1" x="101"/>
        <item m="1" x="368"/>
        <item m="1" x="162"/>
        <item m="1" x="112"/>
        <item m="1" x="123"/>
        <item m="1" x="327"/>
        <item m="1" x="390"/>
        <item m="1" x="211"/>
        <item m="1" x="58"/>
        <item m="1" x="302"/>
        <item m="1" x="150"/>
        <item m="1" x="83"/>
        <item m="1" x="236"/>
        <item m="1" x="415"/>
        <item m="1" x="397"/>
        <item m="1" x="308"/>
        <item m="1" x="217"/>
        <item m="1" x="130"/>
        <item m="1" x="260"/>
        <item m="1" x="284"/>
        <item m="1" x="42"/>
        <item m="1" x="18"/>
        <item m="1" x="156"/>
        <item m="1" x="350"/>
        <item m="1" x="65"/>
        <item m="1" x="108"/>
        <item m="1" x="374"/>
        <item m="1" x="172"/>
        <item m="1" x="194"/>
        <item m="1" x="242"/>
        <item m="1" x="420"/>
        <item m="1" x="333"/>
        <item m="1" x="183"/>
        <item m="1" x="200"/>
        <item m="1" x="274"/>
        <item m="1" x="291"/>
        <item m="1" x="88"/>
        <item m="1" x="363"/>
        <item m="1" x="28"/>
        <item m="1" x="118"/>
        <item m="1" x="137"/>
        <item m="1" x="314"/>
        <item m="1" x="404"/>
        <item m="1" x="339"/>
        <item m="1" x="95"/>
        <item m="1" x="267"/>
        <item m="1" x="71"/>
        <item m="1" x="356"/>
        <item m="1" x="113"/>
        <item m="1" x="23"/>
        <item m="1" x="248"/>
        <item m="1" x="427"/>
        <item m="1" x="223"/>
        <item m="1" x="177"/>
        <item m="1" x="48"/>
        <item m="1" x="290"/>
        <item m="1" x="206"/>
        <item m="1" x="166"/>
        <item m="1" x="188"/>
        <item m="1" x="102"/>
        <item m="1" x="385"/>
        <item m="1" x="297"/>
        <item m="1" x="320"/>
        <item m="1" x="255"/>
        <item m="1" x="97"/>
        <item m="1" x="30"/>
        <item m="1" x="387"/>
        <item m="1" x="345"/>
        <item m="1" x="410"/>
        <item m="1" x="144"/>
        <item m="1" x="53"/>
        <item m="1" x="13"/>
        <item m="1" x="78"/>
        <item m="1" x="59"/>
        <item m="1" x="303"/>
        <item m="1" x="124"/>
        <item m="1" x="36"/>
        <item m="1" x="212"/>
        <item m="1" x="151"/>
        <item m="1" x="279"/>
        <item m="1" x="322"/>
        <item m="1" x="256"/>
        <item m="1" x="351"/>
        <item m="1" x="19"/>
        <item m="1" x="261"/>
        <item m="1" x="369"/>
        <item m="1" x="173"/>
        <item m="1" x="90"/>
        <item m="1" x="109"/>
        <item m="1" x="391"/>
        <item m="1" x="416"/>
        <item m="1" x="84"/>
        <item m="1" x="237"/>
        <item m="1" x="421"/>
        <item m="1" x="398"/>
        <item m="1" x="218"/>
        <item m="1" x="131"/>
        <item m="1" x="375"/>
        <item m="1" x="309"/>
        <item m="1" x="66"/>
        <item m="1" x="157"/>
        <item m="1" x="243"/>
        <item m="1" x="89"/>
        <item m="1" x="178"/>
        <item m="1" x="43"/>
        <item m="1" x="285"/>
        <item m="1" x="268"/>
        <item m="1" x="24"/>
        <item m="1" x="357"/>
        <item m="1" x="334"/>
        <item m="1" x="189"/>
        <item m="1" x="328"/>
        <item m="1" x="225"/>
        <item m="1" x="323"/>
        <item m="1" x="254"/>
        <item m="1" x="292"/>
        <item m="1" x="224"/>
        <item m="1" x="250"/>
        <item m="1" x="49"/>
        <item m="1" x="380"/>
        <item m="1" x="138"/>
        <item m="1" x="79"/>
        <item m="1" x="72"/>
        <item m="1" x="161"/>
        <item m="1" x="146"/>
        <item m="1" x="168"/>
        <item m="1" x="31"/>
        <item m="1" x="232"/>
        <item m="1" x="405"/>
        <item m="1" x="249"/>
        <item m="1" x="340"/>
        <item m="1" x="428"/>
        <item m="1" x="96"/>
        <item m="1" x="386"/>
        <item m="1" x="275"/>
        <item m="1" x="364"/>
        <item m="1" x="298"/>
        <item m="1" x="29"/>
        <item m="1" x="119"/>
        <item m="1" x="125"/>
        <item m="1" x="60"/>
        <item m="1" x="417"/>
        <item m="1" x="315"/>
        <item m="1" x="207"/>
        <item m="1" x="54"/>
        <item m="1" x="352"/>
        <item m="1" x="230"/>
        <item m="1" x="145"/>
        <item m="1" x="55"/>
        <item m="1" x="184"/>
        <item m="1" x="411"/>
        <item m="1" x="321"/>
        <item m="1" x="286"/>
        <item x="0"/>
        <item x="1"/>
        <item x="3"/>
        <item x="4"/>
        <item x="5"/>
        <item x="7"/>
        <item x="6"/>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numFmtId="164" outline="0" subtotalTop="0" showAll="0"/>
    <pivotField compact="0" outline="0" subtotalTop="0" showAll="0"/>
    <pivotField compact="0" numFmtId="164" outline="0" subtotalTop="0" showAll="0"/>
    <pivotField compact="0" outline="0" subtotalTop="0" showAll="0"/>
    <pivotField compact="0" outline="0" subtotalTop="0" showAll="0"/>
    <pivotField compact="0" outline="0" subtotalTop="0" showAll="0"/>
    <pivotField compact="0" outline="0" subtotalTop="0" showAll="0"/>
    <pivotField compact="0" numFmtId="14" outline="0" subtotalTop="0" showAll="0"/>
    <pivotField compact="0" numFmtId="14" outline="0" subtotalTop="0" showAll="0"/>
    <pivotField compact="0" numFmtId="1" outline="0" subtotalTop="0" showAll="0"/>
    <pivotField compact="0" outline="0" subtotalTop="0" showAll="0"/>
    <pivotField compact="0" outline="0" subtotalTop="0" showAll="0"/>
    <pivotField compact="0" numFmtId="14" outline="0" subtotalTop="0" showAll="0"/>
    <pivotField axis="axisRow" compact="0" outline="0" subtotalTop="0" showAll="0">
      <items count="191">
        <item m="1" x="122"/>
        <item m="1" x="44"/>
        <item m="1" x="91"/>
        <item m="1" x="178"/>
        <item m="1" x="52"/>
        <item m="1" x="63"/>
        <item m="1" x="175"/>
        <item m="1" x="93"/>
        <item m="1" x="82"/>
        <item m="1" x="120"/>
        <item m="1" x="126"/>
        <item m="1" x="35"/>
        <item m="1" x="86"/>
        <item m="1" x="146"/>
        <item m="1" x="130"/>
        <item m="1" x="60"/>
        <item m="1" x="110"/>
        <item m="1" x="46"/>
        <item m="1" x="36"/>
        <item m="1" x="172"/>
        <item m="1" x="180"/>
        <item m="1" x="76"/>
        <item m="1" x="186"/>
        <item m="1" x="131"/>
        <item m="1" x="181"/>
        <item m="1" x="159"/>
        <item m="1" x="106"/>
        <item m="1" x="61"/>
        <item m="1" x="37"/>
        <item m="1" x="47"/>
        <item m="1" x="114"/>
        <item m="1" x="97"/>
        <item m="1" x="79"/>
        <item m="1" x="160"/>
        <item m="1" x="170"/>
        <item m="1" x="98"/>
        <item m="1" x="87"/>
        <item m="1" x="149"/>
        <item m="1" x="41"/>
        <item m="1" x="139"/>
        <item m="1" x="163"/>
        <item m="1" x="134"/>
        <item m="1" x="42"/>
        <item m="1" x="58"/>
        <item m="1" x="83"/>
        <item m="1" x="49"/>
        <item m="1" x="152"/>
        <item m="1" x="80"/>
        <item m="1" x="141"/>
        <item m="1" x="162"/>
        <item m="1" x="132"/>
        <item m="1" x="100"/>
        <item m="1" x="71"/>
        <item m="1" x="55"/>
        <item m="1" x="38"/>
        <item m="1" x="135"/>
        <item m="1" x="119"/>
        <item m="1" x="123"/>
        <item m="1" x="107"/>
        <item m="1" x="50"/>
        <item m="1" x="62"/>
        <item m="1" x="45"/>
        <item m="1" x="185"/>
        <item m="1" x="174"/>
        <item m="1" x="154"/>
        <item m="1" x="102"/>
        <item m="1" x="92"/>
        <item m="1" x="81"/>
        <item m="1" x="68"/>
        <item m="1" x="136"/>
        <item m="1" x="142"/>
        <item m="1" x="116"/>
        <item m="1" x="39"/>
        <item m="1" x="85"/>
        <item m="1" x="90"/>
        <item m="1" x="66"/>
        <item m="1" x="189"/>
        <item m="1" x="69"/>
        <item m="1" x="111"/>
        <item m="1" x="89"/>
        <item m="1" x="171"/>
        <item m="1" x="74"/>
        <item m="1" x="73"/>
        <item m="1" x="129"/>
        <item m="1" x="43"/>
        <item m="1" x="125"/>
        <item m="1" x="40"/>
        <item m="1" x="127"/>
        <item m="1" x="99"/>
        <item m="1" x="72"/>
        <item m="1" x="158"/>
        <item m="1" x="105"/>
        <item m="1" x="184"/>
        <item m="1" x="179"/>
        <item m="1" x="115"/>
        <item m="1" x="153"/>
        <item m="1" x="177"/>
        <item m="1" x="59"/>
        <item m="1" x="124"/>
        <item m="1" x="147"/>
        <item m="1" x="183"/>
        <item m="1" x="167"/>
        <item m="1" x="151"/>
        <item m="1" x="67"/>
        <item m="1" x="94"/>
        <item m="1" x="54"/>
        <item m="1" x="84"/>
        <item m="1" x="176"/>
        <item m="1" x="161"/>
        <item m="1" x="144"/>
        <item m="1" x="128"/>
        <item m="1" x="187"/>
        <item m="1" x="182"/>
        <item m="1" x="51"/>
        <item m="1" x="188"/>
        <item m="1" x="156"/>
        <item m="1" x="95"/>
        <item m="1" x="168"/>
        <item m="1" x="103"/>
        <item m="1" x="157"/>
        <item m="1" x="121"/>
        <item m="1" x="88"/>
        <item m="1" x="78"/>
        <item m="1" x="104"/>
        <item m="1" x="173"/>
        <item m="1" x="148"/>
        <item m="1" x="53"/>
        <item m="1" x="48"/>
        <item m="1" x="150"/>
        <item m="1" x="70"/>
        <item m="1" x="169"/>
        <item m="1" x="57"/>
        <item m="1" x="117"/>
        <item m="1" x="118"/>
        <item m="1" x="64"/>
        <item m="1" x="113"/>
        <item m="1" x="112"/>
        <item m="1" x="133"/>
        <item m="1" x="165"/>
        <item m="1" x="108"/>
        <item m="1" x="77"/>
        <item m="1" x="96"/>
        <item m="1" x="140"/>
        <item m="1" x="109"/>
        <item m="1" x="65"/>
        <item m="1" x="75"/>
        <item m="1" x="143"/>
        <item m="1" x="166"/>
        <item m="1" x="164"/>
        <item m="1" x="138"/>
        <item m="1" x="101"/>
        <item m="1" x="137"/>
        <item m="1" x="56"/>
        <item m="1" x="145"/>
        <item m="1" x="155"/>
        <item x="0"/>
        <item x="1"/>
        <item x="4"/>
        <item x="5"/>
        <item x="6"/>
        <item x="7"/>
        <item x="9"/>
        <item x="11"/>
        <item x="12"/>
        <item x="13"/>
        <item x="14"/>
        <item x="15"/>
        <item x="16"/>
        <item x="23"/>
        <item x="24"/>
        <item x="27"/>
        <item x="28"/>
        <item x="29"/>
        <item x="2"/>
        <item x="17"/>
        <item x="18"/>
        <item x="19"/>
        <item x="20"/>
        <item x="25"/>
        <item x="10"/>
        <item x="26"/>
        <item x="8"/>
        <item x="21"/>
        <item x="33"/>
        <item x="34"/>
        <item x="22"/>
        <item x="30"/>
        <item x="31"/>
        <item x="3"/>
        <item x="32"/>
        <item t="default"/>
      </items>
    </pivotField>
    <pivotField compact="0" outline="0" subtotalTop="0" showAll="0"/>
    <pivotField dataField="1" compact="0" outline="0" subtotalTop="0" showAll="0"/>
    <pivotField compact="0" numFmtId="164" outline="0" subtotalTop="0" showAll="0"/>
    <pivotField compact="0" numFmtId="171" outline="0" subtotalTop="0" showAll="0"/>
    <pivotField compact="0" numFmtId="171" outline="0" subtotalTop="0" showAll="0"/>
    <pivotField compact="0" outline="0" subtotalTop="0" showAll="0"/>
    <pivotField compact="0" numFmtId="171" outline="0" subtotalTop="0" showAll="0"/>
    <pivotField compact="0" outline="0" subtotalTop="0" showAll="0"/>
    <pivotField compact="0" outline="0" subtotalTop="0" showAll="0"/>
    <pivotField compact="0" outline="0" subtotalTop="0" showAll="0"/>
    <pivotField axis="axisPage" compact="0" outline="0" subtotalTop="0" multipleItemSelectionAllowed="1" showAll="0">
      <items count="11">
        <item m="1" x="6"/>
        <item m="1" x="8"/>
        <item m="1" x="9"/>
        <item m="1" x="7"/>
        <item x="5"/>
        <item x="2"/>
        <item x="4"/>
        <item x="3"/>
        <item x="1"/>
        <item x="0"/>
        <item t="default"/>
      </items>
    </pivotField>
    <pivotField compact="0" numFmtId="164" outline="0" subtotalTop="0" showAll="0"/>
    <pivotField compact="0" numFmtId="164" outline="0" subtotalTop="0" showAll="0"/>
    <pivotField compact="0" numFmtId="9" outline="0" subtotalTop="0" showAll="0"/>
    <pivotField compact="0" numFmtId="164" outline="0" subtotalTop="0" showAll="0"/>
    <pivotField compact="0" numFmtId="164" outline="0" subtotalTop="0" showAll="0"/>
    <pivotField compact="0" numFmtId="164" outline="0" subtotalTop="0" showAll="0"/>
    <pivotField compact="0" outline="0" subtotalTop="0" showAll="0"/>
    <pivotField compact="0" outline="0" subtotalTop="0" showAll="0"/>
    <pivotField compact="0" numFmtId="1" outline="0" subtotalTop="0" showAll="0"/>
    <pivotField compact="0" outline="0" subtotalTop="0" showAll="0"/>
    <pivotField compact="0" numFmtId="44" outline="0" subtotalTop="0" showAll="0"/>
    <pivotField compact="0" outline="0" subtotalTop="0" showAll="0"/>
    <pivotField compact="0" numFmtId="192" outline="0" subtotalTop="0" showAll="0"/>
    <pivotField compact="0" numFmtId="9" outline="0" subtotalTop="0" showAll="0"/>
    <pivotField compact="0" numFmtId="192" outline="0" subtotalTop="0" showAll="0"/>
    <pivotField compact="0" outline="0" subtotalTop="0" showAll="0"/>
    <pivotField compact="0" numFmtId="192" outline="0" subtotalTop="0" showAll="0"/>
    <pivotField compact="0" numFmtId="192" outline="0" subtotalTop="0" showAll="0"/>
    <pivotField compact="0" outline="0" subtotalTop="0" showAll="0"/>
    <pivotField compact="0" outline="0" subtotalTop="0" showAll="0"/>
    <pivotField axis="axisRow" compact="0" outline="0" subtotalTop="0" showAll="0">
      <items count="7">
        <item x="1"/>
        <item x="2"/>
        <item x="3"/>
        <item x="4"/>
        <item x="0"/>
        <item x="5"/>
        <item t="default"/>
      </items>
    </pivotField>
    <pivotField axis="axisRow" compact="0" outline="0" subtotalTop="0" showAll="0">
      <items count="5">
        <item x="1"/>
        <item x="0"/>
        <item x="2"/>
        <item x="3"/>
        <item t="default"/>
      </items>
    </pivotField>
    <pivotField compact="0" outline="0" subtotalTop="0" dragToRow="0" dragToCol="0" dragToPage="0" showAll="0" defaultSubtotal="0"/>
    <pivotField compact="0" outline="0" subtotalTop="0" dragToRow="0" dragToCol="0" dragToPage="0" showAll="0" defaultSubtotal="0"/>
  </pivotFields>
  <rowFields count="6">
    <field x="2"/>
    <field x="56"/>
    <field x="55"/>
    <field x="0"/>
    <field x="23"/>
    <field x="4"/>
  </rowFields>
  <rowItems count="7">
    <i>
      <x v="9"/>
      <x/>
      <x v="1"/>
      <x v="5"/>
      <x v="163"/>
      <x v="425"/>
    </i>
    <i t="default" r="4">
      <x v="163"/>
    </i>
    <i t="default" r="3">
      <x v="5"/>
    </i>
    <i t="default" r="2">
      <x v="1"/>
    </i>
    <i t="default" r="1">
      <x/>
    </i>
    <i t="default">
      <x v="9"/>
    </i>
    <i t="grand">
      <x/>
    </i>
  </rowItems>
  <colFields count="1">
    <field x="-2"/>
  </colFields>
  <colItems count="2">
    <i>
      <x/>
    </i>
    <i i="1">
      <x v="1"/>
    </i>
  </colItems>
  <pageFields count="1">
    <pageField fld="34" hier="-1"/>
  </pageFields>
  <dataFields count="2">
    <dataField name="Suma de CANTIDAD EQUIPOS" fld="1" baseField="0" baseItem="0" numFmtId="3"/>
    <dataField name="Suma de Q Bolsas Equivalentes 50kg" fld="25" baseField="0" baseItem="0" numFmtId="3"/>
  </dataFields>
  <formats count="65">
    <format dxfId="95">
      <pivotArea outline="0" collapsedLevelsAreSubtotals="1" fieldPosition="0">
        <references count="1">
          <reference field="4294967294" count="1" selected="0">
            <x v="1"/>
          </reference>
        </references>
      </pivotArea>
    </format>
    <format dxfId="94">
      <pivotArea dataOnly="0" labelOnly="1" outline="0" fieldPosition="0">
        <references count="1">
          <reference field="4294967294" count="1">
            <x v="1"/>
          </reference>
        </references>
      </pivotArea>
    </format>
    <format dxfId="93">
      <pivotArea field="2" type="button" dataOnly="0" labelOnly="1" outline="0" axis="axisRow" fieldPosition="0"/>
    </format>
    <format dxfId="92">
      <pivotArea dataOnly="0" labelOnly="1" outline="0" fieldPosition="0">
        <references count="1">
          <reference field="4294967294" count="2">
            <x v="0"/>
            <x v="1"/>
          </reference>
        </references>
      </pivotArea>
    </format>
    <format dxfId="91">
      <pivotArea outline="0" fieldPosition="0">
        <references count="1">
          <reference field="4294967294" count="1" selected="0">
            <x v="1"/>
          </reference>
        </references>
      </pivotArea>
    </format>
    <format dxfId="90">
      <pivotArea dataOnly="0" labelOnly="1" outline="0" fieldPosition="0">
        <references count="1">
          <reference field="4294967294" count="1">
            <x v="1"/>
          </reference>
        </references>
      </pivotArea>
    </format>
    <format dxfId="89">
      <pivotArea outline="0" fieldPosition="0">
        <references count="1">
          <reference field="4294967294" count="1" selected="0">
            <x v="0"/>
          </reference>
        </references>
      </pivotArea>
    </format>
    <format dxfId="88">
      <pivotArea dataOnly="0" labelOnly="1" outline="0" fieldPosition="0">
        <references count="1">
          <reference field="4294967294" count="1">
            <x v="0"/>
          </reference>
        </references>
      </pivotArea>
    </format>
    <format dxfId="87">
      <pivotArea outline="0" fieldPosition="0">
        <references count="1">
          <reference field="4294967294" count="1" selected="0">
            <x v="0"/>
          </reference>
        </references>
      </pivotArea>
    </format>
    <format dxfId="86">
      <pivotArea dataOnly="0" labelOnly="1" outline="0" fieldPosition="0">
        <references count="1">
          <reference field="4294967294" count="1">
            <x v="0"/>
          </reference>
        </references>
      </pivotArea>
    </format>
    <format dxfId="85">
      <pivotArea outline="0" fieldPosition="0">
        <references count="2">
          <reference field="4294967294" count="2" selected="0">
            <x v="0"/>
            <x v="1"/>
          </reference>
          <reference field="2" count="1" selected="0">
            <x v="34"/>
          </reference>
        </references>
      </pivotArea>
    </format>
    <format dxfId="84">
      <pivotArea dataOnly="0" labelOnly="1" outline="0" fieldPosition="0">
        <references count="1">
          <reference field="2" count="1">
            <x v="34"/>
          </reference>
        </references>
      </pivotArea>
    </format>
    <format dxfId="83">
      <pivotArea outline="0" fieldPosition="0">
        <references count="2">
          <reference field="4294967294" count="2" selected="0">
            <x v="0"/>
            <x v="1"/>
          </reference>
          <reference field="2" count="1" selected="0">
            <x v="33"/>
          </reference>
        </references>
      </pivotArea>
    </format>
    <format dxfId="82">
      <pivotArea dataOnly="0" labelOnly="1" outline="0" fieldPosition="0">
        <references count="1">
          <reference field="2" count="1">
            <x v="33"/>
          </reference>
        </references>
      </pivotArea>
    </format>
    <format dxfId="81">
      <pivotArea outline="0" fieldPosition="0">
        <references count="2">
          <reference field="4294967294" count="2" selected="0">
            <x v="0"/>
            <x v="1"/>
          </reference>
          <reference field="2" count="2" selected="0">
            <x v="33"/>
            <x v="34"/>
          </reference>
        </references>
      </pivotArea>
    </format>
    <format dxfId="80">
      <pivotArea dataOnly="0" labelOnly="1" outline="0" fieldPosition="0">
        <references count="1">
          <reference field="2" count="2">
            <x v="33"/>
            <x v="34"/>
          </reference>
        </references>
      </pivotArea>
    </format>
    <format dxfId="79">
      <pivotArea field="23" type="button" dataOnly="0" labelOnly="1" outline="0" axis="axisRow" fieldPosition="4"/>
    </format>
    <format dxfId="78">
      <pivotArea dataOnly="0" labelOnly="1" outline="0" fieldPosition="0">
        <references count="1">
          <reference field="2" count="1" defaultSubtotal="1">
            <x v="33"/>
          </reference>
        </references>
      </pivotArea>
    </format>
    <format dxfId="77">
      <pivotArea dataOnly="0" labelOnly="1" outline="0" fieldPosition="0">
        <references count="1">
          <reference field="2" count="1" defaultSubtotal="1">
            <x v="9"/>
          </reference>
        </references>
      </pivotArea>
    </format>
    <format dxfId="76">
      <pivotArea dataOnly="0" labelOnly="1" outline="0" fieldPosition="0">
        <references count="1">
          <reference field="2" count="1" defaultSubtotal="1">
            <x v="35"/>
          </reference>
        </references>
      </pivotArea>
    </format>
    <format dxfId="75">
      <pivotArea dataOnly="0" labelOnly="1" outline="0" fieldPosition="0">
        <references count="1">
          <reference field="2" count="1" defaultSubtotal="1">
            <x v="31"/>
          </reference>
        </references>
      </pivotArea>
    </format>
    <format dxfId="74">
      <pivotArea dataOnly="0" labelOnly="1" outline="0" fieldPosition="0">
        <references count="1">
          <reference field="2" count="1" defaultSubtotal="1">
            <x v="19"/>
          </reference>
        </references>
      </pivotArea>
    </format>
    <format dxfId="73">
      <pivotArea dataOnly="0" labelOnly="1" outline="0" fieldPosition="0">
        <references count="1">
          <reference field="2" count="1" defaultSubtotal="1">
            <x v="14"/>
          </reference>
        </references>
      </pivotArea>
    </format>
    <format dxfId="72">
      <pivotArea dataOnly="0" labelOnly="1" outline="0" fieldPosition="0">
        <references count="1">
          <reference field="2" count="1" defaultSubtotal="1">
            <x v="34"/>
          </reference>
        </references>
      </pivotArea>
    </format>
    <format dxfId="71">
      <pivotArea dataOnly="0" labelOnly="1" outline="0" fieldPosition="0">
        <references count="1">
          <reference field="2" count="1" defaultSubtotal="1">
            <x v="6"/>
          </reference>
        </references>
      </pivotArea>
    </format>
    <format dxfId="70">
      <pivotArea dataOnly="0" labelOnly="1" outline="0" fieldPosition="0">
        <references count="1">
          <reference field="2" count="1" defaultSubtotal="1">
            <x v="7"/>
          </reference>
        </references>
      </pivotArea>
    </format>
    <format dxfId="69">
      <pivotArea dataOnly="0" labelOnly="1" outline="0" fieldPosition="0">
        <references count="1">
          <reference field="2" count="1" defaultSubtotal="1">
            <x v="3"/>
          </reference>
        </references>
      </pivotArea>
    </format>
    <format dxfId="68">
      <pivotArea dataOnly="0" labelOnly="1" outline="0" fieldPosition="0">
        <references count="1">
          <reference field="2" count="1" defaultSubtotal="1">
            <x v="28"/>
          </reference>
        </references>
      </pivotArea>
    </format>
    <format dxfId="67">
      <pivotArea dataOnly="0" labelOnly="1" outline="0" fieldPosition="0">
        <references count="1">
          <reference field="2" count="1" defaultSubtotal="1">
            <x v="10"/>
          </reference>
        </references>
      </pivotArea>
    </format>
    <format dxfId="66">
      <pivotArea dataOnly="0" labelOnly="1" outline="0" fieldPosition="0">
        <references count="1">
          <reference field="2" count="1" defaultSubtotal="1">
            <x v="5"/>
          </reference>
        </references>
      </pivotArea>
    </format>
    <format dxfId="65">
      <pivotArea dataOnly="0" labelOnly="1" outline="0" fieldPosition="0">
        <references count="1">
          <reference field="2" count="1" defaultSubtotal="1">
            <x v="25"/>
          </reference>
        </references>
      </pivotArea>
    </format>
    <format dxfId="64">
      <pivotArea dataOnly="0" labelOnly="1" outline="0" fieldPosition="0">
        <references count="1">
          <reference field="2" count="1" defaultSubtotal="1">
            <x v="17"/>
          </reference>
        </references>
      </pivotArea>
    </format>
    <format dxfId="63">
      <pivotArea dataOnly="0" labelOnly="1" outline="0" fieldPosition="0">
        <references count="1">
          <reference field="2" count="1" defaultSubtotal="1">
            <x v="2"/>
          </reference>
        </references>
      </pivotArea>
    </format>
    <format dxfId="62">
      <pivotArea dataOnly="0" labelOnly="1" outline="0" fieldPosition="0">
        <references count="1">
          <reference field="2" count="1" defaultSubtotal="1">
            <x v="12"/>
          </reference>
        </references>
      </pivotArea>
    </format>
    <format dxfId="61">
      <pivotArea dataOnly="0" labelOnly="1" outline="0" fieldPosition="0">
        <references count="1">
          <reference field="2" count="1" defaultSubtotal="1">
            <x v="18"/>
          </reference>
        </references>
      </pivotArea>
    </format>
    <format dxfId="60">
      <pivotArea dataOnly="0" labelOnly="1" outline="0" fieldPosition="0">
        <references count="1">
          <reference field="2" count="1" defaultSubtotal="1">
            <x v="37"/>
          </reference>
        </references>
      </pivotArea>
    </format>
    <format dxfId="59">
      <pivotArea dataOnly="0" labelOnly="1" outline="0" fieldPosition="0">
        <references count="1">
          <reference field="2" count="1" defaultSubtotal="1">
            <x v="30"/>
          </reference>
        </references>
      </pivotArea>
    </format>
    <format dxfId="58">
      <pivotArea dataOnly="0" labelOnly="1" outline="0" fieldPosition="0">
        <references count="1">
          <reference field="2" count="1" defaultSubtotal="1">
            <x v="16"/>
          </reference>
        </references>
      </pivotArea>
    </format>
    <format dxfId="57">
      <pivotArea dataOnly="0" labelOnly="1" outline="0" fieldPosition="0">
        <references count="1">
          <reference field="2" count="1" defaultSubtotal="1">
            <x v="11"/>
          </reference>
        </references>
      </pivotArea>
    </format>
    <format dxfId="56">
      <pivotArea dataOnly="0" labelOnly="1" outline="0" fieldPosition="0">
        <references count="1">
          <reference field="2" count="1" defaultSubtotal="1">
            <x v="4"/>
          </reference>
        </references>
      </pivotArea>
    </format>
    <format dxfId="55">
      <pivotArea dataOnly="0" labelOnly="1" outline="0" fieldPosition="0">
        <references count="1">
          <reference field="2" count="1" defaultSubtotal="1">
            <x v="8"/>
          </reference>
        </references>
      </pivotArea>
    </format>
    <format dxfId="54">
      <pivotArea dataOnly="0" labelOnly="1" outline="0" fieldPosition="0">
        <references count="1">
          <reference field="2" count="1" defaultSubtotal="1">
            <x v="21"/>
          </reference>
        </references>
      </pivotArea>
    </format>
    <format dxfId="53">
      <pivotArea dataOnly="0" labelOnly="1" outline="0" fieldPosition="0">
        <references count="1">
          <reference field="2" count="1" defaultSubtotal="1">
            <x v="29"/>
          </reference>
        </references>
      </pivotArea>
    </format>
    <format dxfId="52">
      <pivotArea dataOnly="0" labelOnly="1" outline="0" fieldPosition="0">
        <references count="1">
          <reference field="2" count="1" defaultSubtotal="1">
            <x v="1"/>
          </reference>
        </references>
      </pivotArea>
    </format>
    <format dxfId="51">
      <pivotArea dataOnly="0" labelOnly="1" outline="0" fieldPosition="0">
        <references count="1">
          <reference field="2" count="1" defaultSubtotal="1">
            <x v="24"/>
          </reference>
        </references>
      </pivotArea>
    </format>
    <format dxfId="50">
      <pivotArea dataOnly="0" labelOnly="1" outline="0" fieldPosition="0">
        <references count="1">
          <reference field="2" count="1" defaultSubtotal="1">
            <x v="36"/>
          </reference>
        </references>
      </pivotArea>
    </format>
    <format dxfId="49">
      <pivotArea dataOnly="0" labelOnly="1" outline="0" fieldPosition="0">
        <references count="1">
          <reference field="2" count="1" defaultSubtotal="1">
            <x v="32"/>
          </reference>
        </references>
      </pivotArea>
    </format>
    <format dxfId="48">
      <pivotArea dataOnly="0" labelOnly="1" outline="0" fieldPosition="0">
        <references count="1">
          <reference field="2" count="1" defaultSubtotal="1">
            <x v="27"/>
          </reference>
        </references>
      </pivotArea>
    </format>
    <format dxfId="47">
      <pivotArea dataOnly="0" labelOnly="1" outline="0" fieldPosition="0">
        <references count="1">
          <reference field="2" count="1" defaultSubtotal="1">
            <x v="26"/>
          </reference>
        </references>
      </pivotArea>
    </format>
    <format dxfId="46">
      <pivotArea dataOnly="0" labelOnly="1" outline="0" fieldPosition="0">
        <references count="1">
          <reference field="2" count="1" defaultSubtotal="1">
            <x v="22"/>
          </reference>
        </references>
      </pivotArea>
    </format>
    <format dxfId="45">
      <pivotArea dataOnly="0" labelOnly="1" outline="0" fieldPosition="0">
        <references count="1">
          <reference field="2" count="1" defaultSubtotal="1">
            <x v="20"/>
          </reference>
        </references>
      </pivotArea>
    </format>
    <format dxfId="44">
      <pivotArea dataOnly="0" labelOnly="1" grandRow="1" outline="0" fieldPosition="0"/>
    </format>
    <format dxfId="43">
      <pivotArea dataOnly="0" labelOnly="1" outline="0" fieldPosition="0">
        <references count="2">
          <reference field="2" count="1" selected="0">
            <x v="33"/>
          </reference>
          <reference field="23" count="2">
            <x v="74"/>
            <x v="75"/>
          </reference>
        </references>
      </pivotArea>
    </format>
    <format dxfId="42">
      <pivotArea dataOnly="0" labelOnly="1" outline="0" fieldPosition="0">
        <references count="2">
          <reference field="2" count="1" selected="0">
            <x v="9"/>
          </reference>
          <reference field="23" count="13">
            <x v="19"/>
            <x v="20"/>
            <x v="21"/>
            <x v="22"/>
            <x v="23"/>
            <x v="24"/>
            <x v="25"/>
            <x v="26"/>
            <x v="27"/>
            <x v="28"/>
            <x v="29"/>
            <x v="30"/>
            <x v="31"/>
          </reference>
        </references>
      </pivotArea>
    </format>
    <format dxfId="41">
      <pivotArea dataOnly="0" labelOnly="1" outline="0" fieldPosition="0">
        <references count="2">
          <reference field="2" count="1" selected="0">
            <x v="14"/>
          </reference>
          <reference field="23" count="9">
            <x v="34"/>
            <x v="35"/>
            <x v="37"/>
            <x v="39"/>
            <x v="42"/>
            <x v="44"/>
            <x v="46"/>
            <x v="47"/>
            <x v="48"/>
          </reference>
        </references>
      </pivotArea>
    </format>
    <format dxfId="40">
      <pivotArea dataOnly="0" labelOnly="1" outline="0" fieldPosition="0">
        <references count="2">
          <reference field="2" count="1" selected="0">
            <x v="6"/>
          </reference>
          <reference field="23" count="1">
            <x v="77"/>
          </reference>
        </references>
      </pivotArea>
    </format>
    <format dxfId="39">
      <pivotArea dataOnly="0" labelOnly="1" outline="0" fieldPosition="0">
        <references count="2">
          <reference field="2" count="1" selected="0">
            <x v="10"/>
          </reference>
          <reference field="23" count="21">
            <x v="40"/>
            <x v="41"/>
            <x v="49"/>
            <x v="50"/>
            <x v="51"/>
            <x v="52"/>
            <x v="53"/>
            <x v="54"/>
            <x v="55"/>
            <x v="56"/>
            <x v="57"/>
            <x v="58"/>
            <x v="59"/>
            <x v="60"/>
            <x v="61"/>
            <x v="62"/>
            <x v="63"/>
            <x v="64"/>
            <x v="65"/>
            <x v="66"/>
            <x v="67"/>
          </reference>
        </references>
      </pivotArea>
    </format>
    <format dxfId="38">
      <pivotArea dataOnly="0" labelOnly="1" outline="0" fieldPosition="0">
        <references count="2">
          <reference field="2" count="1" selected="0">
            <x v="25"/>
          </reference>
          <reference field="23" count="6">
            <x v="11"/>
            <x v="12"/>
            <x v="13"/>
            <x v="14"/>
            <x v="15"/>
            <x v="16"/>
          </reference>
        </references>
      </pivotArea>
    </format>
    <format dxfId="37">
      <pivotArea dataOnly="0" labelOnly="1" outline="0" fieldPosition="0">
        <references count="2">
          <reference field="2" count="1" selected="0">
            <x v="2"/>
          </reference>
          <reference field="23" count="11">
            <x v="0"/>
            <x v="1"/>
            <x v="2"/>
            <x v="3"/>
            <x v="4"/>
            <x v="5"/>
            <x v="6"/>
            <x v="7"/>
            <x v="8"/>
            <x v="9"/>
            <x v="10"/>
          </reference>
        </references>
      </pivotArea>
    </format>
    <format dxfId="36">
      <pivotArea dataOnly="0" labelOnly="1" outline="0" fieldPosition="0">
        <references count="2">
          <reference field="2" count="1" selected="0">
            <x v="12"/>
          </reference>
          <reference field="23" count="6">
            <x v="32"/>
            <x v="33"/>
            <x v="36"/>
            <x v="38"/>
            <x v="43"/>
            <x v="45"/>
          </reference>
        </references>
      </pivotArea>
    </format>
    <format dxfId="35">
      <pivotArea dataOnly="0" labelOnly="1" outline="0" fieldPosition="0">
        <references count="2">
          <reference field="2" count="1" selected="0">
            <x v="18"/>
          </reference>
          <reference field="23" count="4">
            <x v="70"/>
            <x v="71"/>
            <x v="72"/>
            <x v="73"/>
          </reference>
        </references>
      </pivotArea>
    </format>
    <format dxfId="34">
      <pivotArea dataOnly="0" labelOnly="1" outline="0" fieldPosition="0">
        <references count="2">
          <reference field="2" count="1" selected="0">
            <x v="37"/>
          </reference>
          <reference field="23" count="2">
            <x v="17"/>
            <x v="18"/>
          </reference>
        </references>
      </pivotArea>
    </format>
    <format dxfId="33">
      <pivotArea dataOnly="0" labelOnly="1" outline="0" fieldPosition="0">
        <references count="2">
          <reference field="2" count="1" selected="0">
            <x v="16"/>
          </reference>
          <reference field="23" count="1">
            <x v="68"/>
          </reference>
        </references>
      </pivotArea>
    </format>
    <format dxfId="32">
      <pivotArea dataOnly="0" labelOnly="1" outline="0" fieldPosition="0">
        <references count="2">
          <reference field="2" count="1" selected="0">
            <x v="11"/>
          </reference>
          <reference field="23" count="1">
            <x v="76"/>
          </reference>
        </references>
      </pivotArea>
    </format>
    <format dxfId="31">
      <pivotArea dataOnly="0" labelOnly="1" outline="0" fieldPosition="0">
        <references count="2">
          <reference field="2" count="1" selected="0">
            <x v="1"/>
          </reference>
          <reference field="23" count="1">
            <x v="6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4317D49-2C1A-479A-85BA-FA0137E4A064}" name="TablaDinámica4" cacheId="3"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rowHeaderCaption="DESTINO">
  <location ref="A1:C2" firstHeaderRow="0" firstDataRow="1" firstDataCol="0"/>
  <pivotFields count="59">
    <pivotField numFmtId="17" showAll="0"/>
    <pivotField dataField="1" showAll="0"/>
    <pivotField showAll="0"/>
    <pivotField numFmtId="14" showAll="0"/>
    <pivotField showAll="0"/>
    <pivotField showAll="0"/>
    <pivotField showAll="0"/>
    <pivotField showAll="0"/>
    <pivotField showAll="0"/>
    <pivotField showAll="0"/>
    <pivotField numFmtId="164" showAll="0"/>
    <pivotField showAll="0"/>
    <pivotField numFmtId="164" showAll="0"/>
    <pivotField showAll="0"/>
    <pivotField numFmtId="164" showAll="0"/>
    <pivotField showAll="0"/>
    <pivotField numFmtId="164" showAll="0"/>
    <pivotField numFmtId="14" showAll="0"/>
    <pivotField numFmtId="14" showAll="0"/>
    <pivotField numFmtId="1" showAll="0"/>
    <pivotField showAll="0"/>
    <pivotField showAll="0"/>
    <pivotField numFmtId="14" showAll="0"/>
    <pivotField showAll="0"/>
    <pivotField showAll="0"/>
    <pivotField dataField="1" showAll="0"/>
    <pivotField numFmtId="164" showAll="0"/>
    <pivotField numFmtId="171" showAll="0"/>
    <pivotField numFmtId="171" showAll="0"/>
    <pivotField showAll="0"/>
    <pivotField numFmtId="171" showAll="0"/>
    <pivotField showAll="0"/>
    <pivotField showAll="0"/>
    <pivotField showAll="0"/>
    <pivotField showAll="0"/>
    <pivotField numFmtId="164" showAll="0"/>
    <pivotField numFmtId="164" showAll="0"/>
    <pivotField numFmtId="9" showAll="0"/>
    <pivotField numFmtId="164" showAll="0"/>
    <pivotField numFmtId="164" showAll="0"/>
    <pivotField numFmtId="164" showAll="0"/>
    <pivotField showAll="0"/>
    <pivotField showAll="0"/>
    <pivotField numFmtId="1" showAll="0"/>
    <pivotField showAll="0"/>
    <pivotField numFmtId="44" showAll="0"/>
    <pivotField showAll="0"/>
    <pivotField numFmtId="192" showAll="0"/>
    <pivotField numFmtId="9" showAll="0"/>
    <pivotField numFmtId="192" showAll="0"/>
    <pivotField showAll="0"/>
    <pivotField numFmtId="192" showAll="0"/>
    <pivotField numFmtId="192" showAll="0"/>
    <pivotField showAll="0"/>
    <pivotField showAll="0"/>
    <pivotField showAll="0" defaultSubtotal="0"/>
    <pivotField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TOTAL  CANTIDAD EQUIPOS DESP." fld="1" baseField="0" baseItem="0" numFmtId="1"/>
    <dataField name="% EQUIPOS POR DESTINO" fld="1" showDataAs="percentOfTotal" baseField="33" baseItem="0" numFmtId="168"/>
    <dataField name="BOLSAS  50KG EQUIVALENTES" fld="25" baseField="0" baseItem="0"/>
  </dataFields>
  <formats count="14">
    <format dxfId="13">
      <pivotArea outline="0" collapsedLevelsAreSubtotals="1" fieldPosition="0"/>
    </format>
    <format dxfId="12">
      <pivotArea dataOnly="0" labelOnly="1" outline="0" axis="axisValues" fieldPosition="0"/>
    </format>
    <format dxfId="11">
      <pivotArea outline="0" collapsedLevelsAreSubtotals="1" fieldPosition="0">
        <references count="1">
          <reference field="4294967294" count="1" selected="0">
            <x v="0"/>
          </reference>
        </references>
      </pivotArea>
    </format>
    <format dxfId="10">
      <pivotArea dataOnly="0" labelOnly="1" outline="0" fieldPosition="0">
        <references count="1">
          <reference field="4294967294" count="1">
            <x v="0"/>
          </reference>
        </references>
      </pivotArea>
    </format>
    <format dxfId="9">
      <pivotArea dataOnly="0" labelOnly="1" outline="0" fieldPosition="0">
        <references count="1">
          <reference field="4294967294" count="1">
            <x v="0"/>
          </reference>
        </references>
      </pivotArea>
    </format>
    <format dxfId="8">
      <pivotArea outline="0" collapsedLevelsAreSubtotals="1" fieldPosition="0"/>
    </format>
    <format dxfId="7">
      <pivotArea dataOnly="0" labelOnly="1" outline="0" fieldPosition="0">
        <references count="1">
          <reference field="4294967294" count="1">
            <x v="0"/>
          </reference>
        </references>
      </pivotArea>
    </format>
    <format dxfId="6">
      <pivotArea dataOnly="0" labelOnly="1" outline="0" fieldPosition="0">
        <references count="1">
          <reference field="4294967294" count="1">
            <x v="2"/>
          </reference>
        </references>
      </pivotArea>
    </format>
    <format dxfId="5">
      <pivotArea outline="0" collapsedLevelsAreSubtotals="1" fieldPosition="0">
        <references count="1">
          <reference field="4294967294" count="1" selected="0">
            <x v="2"/>
          </reference>
        </references>
      </pivotArea>
    </format>
    <format dxfId="4">
      <pivotArea dataOnly="0" labelOnly="1" outline="0" fieldPosition="0">
        <references count="1">
          <reference field="4294967294" count="1">
            <x v="2"/>
          </reference>
        </references>
      </pivotArea>
    </format>
    <format dxfId="3">
      <pivotArea outline="0" fieldPosition="0">
        <references count="1">
          <reference field="4294967294" count="1">
            <x v="1"/>
          </reference>
        </references>
      </pivotArea>
    </format>
    <format dxfId="2">
      <pivotArea dataOnly="0" labelOnly="1" outline="0" fieldPosition="0">
        <references count="1">
          <reference field="4294967294" count="1">
            <x v="1"/>
          </reference>
        </references>
      </pivotArea>
    </format>
    <format dxfId="1">
      <pivotArea dataOnly="0" labelOnly="1" outline="0" fieldPosition="0">
        <references count="1">
          <reference field="4294967294" count="3">
            <x v="0"/>
            <x v="1"/>
            <x v="2"/>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4233A21-F6BD-44CC-8D3D-EC24B190F9B8}" name="TablaDinámica5" cacheId="3"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rowHeaderCaption="DESTINO">
  <location ref="H1:K16" firstHeaderRow="0" firstDataRow="1" firstDataCol="1"/>
  <pivotFields count="59">
    <pivotField numFmtId="17" showAll="0"/>
    <pivotField dataField="1" showAll="0"/>
    <pivotField showAll="0"/>
    <pivotField numFmtId="14" showAll="0"/>
    <pivotField showAll="0"/>
    <pivotField showAll="0"/>
    <pivotField showAll="0"/>
    <pivotField showAll="0"/>
    <pivotField showAll="0"/>
    <pivotField showAll="0"/>
    <pivotField numFmtId="164" showAll="0"/>
    <pivotField showAll="0"/>
    <pivotField numFmtId="164" showAll="0"/>
    <pivotField showAll="0"/>
    <pivotField numFmtId="164" showAll="0"/>
    <pivotField showAll="0"/>
    <pivotField numFmtId="164" showAll="0"/>
    <pivotField numFmtId="14" showAll="0"/>
    <pivotField numFmtId="14" showAll="0"/>
    <pivotField numFmtId="1" showAll="0"/>
    <pivotField showAll="0"/>
    <pivotField showAll="0"/>
    <pivotField numFmtId="14" showAll="0"/>
    <pivotField showAll="0"/>
    <pivotField showAll="0"/>
    <pivotField dataField="1" showAll="0"/>
    <pivotField numFmtId="164" showAll="0"/>
    <pivotField numFmtId="171" showAll="0"/>
    <pivotField numFmtId="171" showAll="0"/>
    <pivotField showAll="0"/>
    <pivotField numFmtId="171" showAll="0"/>
    <pivotField showAll="0"/>
    <pivotField axis="axisRow" showAll="0">
      <items count="30">
        <item x="10"/>
        <item x="2"/>
        <item m="1" x="26"/>
        <item m="1" x="21"/>
        <item m="1" x="20"/>
        <item m="1" x="22"/>
        <item m="1" x="25"/>
        <item m="1" x="16"/>
        <item x="5"/>
        <item x="8"/>
        <item x="3"/>
        <item x="9"/>
        <item m="1" x="23"/>
        <item m="1" x="28"/>
        <item x="7"/>
        <item x="4"/>
        <item x="0"/>
        <item x="6"/>
        <item m="1" x="19"/>
        <item m="1" x="15"/>
        <item m="1" x="17"/>
        <item m="1" x="27"/>
        <item m="1" x="24"/>
        <item m="1" x="14"/>
        <item x="13"/>
        <item m="1" x="18"/>
        <item x="12"/>
        <item x="1"/>
        <item x="11"/>
        <item t="default"/>
      </items>
    </pivotField>
    <pivotField showAll="0"/>
    <pivotField showAll="0"/>
    <pivotField numFmtId="164" showAll="0"/>
    <pivotField numFmtId="164" showAll="0"/>
    <pivotField numFmtId="9" showAll="0"/>
    <pivotField numFmtId="164" showAll="0"/>
    <pivotField numFmtId="164" showAll="0"/>
    <pivotField numFmtId="164" showAll="0"/>
    <pivotField showAll="0"/>
    <pivotField showAll="0"/>
    <pivotField numFmtId="1" showAll="0"/>
    <pivotField showAll="0"/>
    <pivotField numFmtId="44" showAll="0"/>
    <pivotField showAll="0"/>
    <pivotField numFmtId="192" showAll="0"/>
    <pivotField numFmtId="9" showAll="0"/>
    <pivotField numFmtId="192" showAll="0"/>
    <pivotField showAll="0"/>
    <pivotField numFmtId="192" showAll="0"/>
    <pivotField numFmtId="192" showAll="0"/>
    <pivotField showAll="0"/>
    <pivotField showAll="0"/>
    <pivotField showAll="0" defaultSubtotal="0"/>
    <pivotField showAll="0" defaultSubtotal="0"/>
    <pivotField dragToRow="0" dragToCol="0" dragToPage="0" showAll="0" defaultSubtotal="0"/>
    <pivotField dragToRow="0" dragToCol="0" dragToPage="0" showAll="0" defaultSubtotal="0"/>
  </pivotFields>
  <rowFields count="1">
    <field x="32"/>
  </rowFields>
  <rowItems count="15">
    <i>
      <x/>
    </i>
    <i>
      <x v="1"/>
    </i>
    <i>
      <x v="8"/>
    </i>
    <i>
      <x v="9"/>
    </i>
    <i>
      <x v="10"/>
    </i>
    <i>
      <x v="11"/>
    </i>
    <i>
      <x v="14"/>
    </i>
    <i>
      <x v="15"/>
    </i>
    <i>
      <x v="16"/>
    </i>
    <i>
      <x v="17"/>
    </i>
    <i>
      <x v="24"/>
    </i>
    <i>
      <x v="26"/>
    </i>
    <i>
      <x v="27"/>
    </i>
    <i>
      <x v="28"/>
    </i>
    <i t="grand">
      <x/>
    </i>
  </rowItems>
  <colFields count="1">
    <field x="-2"/>
  </colFields>
  <colItems count="3">
    <i>
      <x/>
    </i>
    <i i="1">
      <x v="1"/>
    </i>
    <i i="2">
      <x v="2"/>
    </i>
  </colItems>
  <dataFields count="3">
    <dataField name="TOTAL  CANTIDAD EQUIPOS DESPACHADOS" fld="1" baseField="0" baseItem="0" numFmtId="1"/>
    <dataField name="% EQUIPOS POR DESTINO" fld="1" showDataAs="percentOfTotal" baseField="33" baseItem="0" numFmtId="168"/>
    <dataField name="BOLSAS  50KG EQUIVALENTES" fld="25" baseField="0" baseItem="0" numFmtId="3"/>
  </dataFields>
  <formats count="17">
    <format dxfId="30">
      <pivotArea outline="0" collapsedLevelsAreSubtotals="1" fieldPosition="0"/>
    </format>
    <format dxfId="29">
      <pivotArea dataOnly="0" labelOnly="1" outline="0" axis="axisValues" fieldPosition="0"/>
    </format>
    <format dxfId="28">
      <pivotArea outline="0" collapsedLevelsAreSubtotals="1" fieldPosition="0">
        <references count="1">
          <reference field="4294967294" count="1" selected="0">
            <x v="0"/>
          </reference>
        </references>
      </pivotArea>
    </format>
    <format dxfId="27">
      <pivotArea dataOnly="0" labelOnly="1" outline="0" fieldPosition="0">
        <references count="1">
          <reference field="4294967294" count="1">
            <x v="0"/>
          </reference>
        </references>
      </pivotArea>
    </format>
    <format dxfId="26">
      <pivotArea dataOnly="0" labelOnly="1" outline="0" fieldPosition="0">
        <references count="1">
          <reference field="4294967294" count="1">
            <x v="0"/>
          </reference>
        </references>
      </pivotArea>
    </format>
    <format dxfId="25">
      <pivotArea outline="0" collapsedLevelsAreSubtotals="1" fieldPosition="0"/>
    </format>
    <format dxfId="24">
      <pivotArea dataOnly="0" labelOnly="1" outline="0" fieldPosition="0">
        <references count="1">
          <reference field="4294967294" count="1">
            <x v="0"/>
          </reference>
        </references>
      </pivotArea>
    </format>
    <format dxfId="23">
      <pivotArea dataOnly="0" labelOnly="1" outline="0" fieldPosition="0">
        <references count="1">
          <reference field="4294967294" count="1">
            <x v="2"/>
          </reference>
        </references>
      </pivotArea>
    </format>
    <format dxfId="22">
      <pivotArea outline="0" collapsedLevelsAreSubtotals="1" fieldPosition="0">
        <references count="1">
          <reference field="4294967294" count="1" selected="0">
            <x v="2"/>
          </reference>
        </references>
      </pivotArea>
    </format>
    <format dxfId="21">
      <pivotArea dataOnly="0" labelOnly="1" outline="0" fieldPosition="0">
        <references count="1">
          <reference field="4294967294" count="1">
            <x v="2"/>
          </reference>
        </references>
      </pivotArea>
    </format>
    <format dxfId="20">
      <pivotArea outline="0" fieldPosition="0">
        <references count="1">
          <reference field="4294967294" count="1">
            <x v="1"/>
          </reference>
        </references>
      </pivotArea>
    </format>
    <format dxfId="19">
      <pivotArea dataOnly="0" labelOnly="1" outline="0" fieldPosition="0">
        <references count="1">
          <reference field="4294967294" count="1">
            <x v="1"/>
          </reference>
        </references>
      </pivotArea>
    </format>
    <format dxfId="18">
      <pivotArea dataOnly="0" labelOnly="1" outline="0" fieldPosition="0">
        <references count="1">
          <reference field="4294967294" count="3">
            <x v="0"/>
            <x v="1"/>
            <x v="2"/>
          </reference>
        </references>
      </pivotArea>
    </format>
    <format dxfId="17">
      <pivotArea outline="0" collapsedLevelsAreSubtotals="1" fieldPosition="0">
        <references count="1">
          <reference field="4294967294" count="1" selected="0">
            <x v="2"/>
          </reference>
        </references>
      </pivotArea>
    </format>
    <format dxfId="16">
      <pivotArea dataOnly="0" labelOnly="1" outline="0" fieldPosition="0">
        <references count="1">
          <reference field="4294967294" count="1">
            <x v="2"/>
          </reference>
        </references>
      </pivotArea>
    </format>
    <format dxfId="15">
      <pivotArea outline="0" collapsedLevelsAreSubtotals="1" fieldPosition="0">
        <references count="1">
          <reference field="4294967294" count="1" selected="0">
            <x v="1"/>
          </reference>
        </references>
      </pivotArea>
    </format>
    <format dxfId="14">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BF965E-E54B-4369-A59F-39ADA025387D}" name="Tabla1" displayName="Tabla1" ref="A3:BD880" totalsRowCount="1" headerRowDxfId="545" dataDxfId="544" totalsRowDxfId="543">
  <autoFilter ref="A3:BD879" xr:uid="{13BF965E-E54B-4369-A59F-39ADA025387D}"/>
  <sortState xmlns:xlrd2="http://schemas.microsoft.com/office/spreadsheetml/2017/richdata2" ref="A4:BC879">
    <sortCondition ref="A4:A879"/>
  </sortState>
  <tableColumns count="56">
    <tableColumn id="1" xr3:uid="{4B7190D9-1E5B-40F3-988C-83D397A61EBA}" name="MES" dataDxfId="542" totalsRowDxfId="541"/>
    <tableColumn id="2" xr3:uid="{81A0AD0F-B40B-4758-A157-296EC4B94C31}" name="CANTIDAD EQUIPOS" totalsRowFunction="sum" dataDxfId="540" totalsRowDxfId="539"/>
    <tableColumn id="3" xr3:uid="{00E40B3D-54E4-4764-865C-1116B0C2C535}" name="CLIENTE" dataDxfId="538" totalsRowDxfId="537"/>
    <tableColumn id="4" xr3:uid="{4357591A-0B7E-423B-BE82-80E0483ED025}" name="FECHA FC" dataDxfId="536" totalsRowDxfId="535"/>
    <tableColumn id="5" xr3:uid="{B14A2524-080F-4C07-9B45-1A0C99D77AA5}" name="FC SUCRO" dataDxfId="534" totalsRowDxfId="533"/>
    <tableColumn id="6" xr3:uid="{F5C45FE3-A657-4900-9C54-39003A5913A8}" name="PRODUCTO" dataDxfId="532" totalsRowDxfId="531"/>
    <tableColumn id="7" xr3:uid="{864E9FF9-BF99-4CC5-8306-5AE48867EAF3}" name="ESTADO ENTREGA" dataDxfId="530" totalsRowDxfId="529"/>
    <tableColumn id="8" xr3:uid="{5EDB87DA-744D-478A-9DDC-560D5E279861}" name="FECHA Entrega" dataDxfId="528" totalsRowDxfId="527"/>
    <tableColumn id="9" xr3:uid="{492B828F-70AC-4D66-A9A9-1F5A261D3D1D}" name="KGS" totalsRowFunction="sum" dataDxfId="526" totalsRowDxfId="525"/>
    <tableColumn id="10" xr3:uid="{5AF9535A-57FE-4AF0-8EA3-092CEC483C96}" name="PRECIO $/ KG A PLAZO EN CLIENTE ( SIN IVA)" totalsRowFunction="custom" dataDxfId="524" totalsRowDxfId="523">
      <calculatedColumnFormula>395/1000*Tabla1[[#This Row],[TIPO DE CAMBIO]]</calculatedColumnFormula>
      <totalsRowFormula>SUBTOTAL(1,Tabla1[PRECIO $/ KG A PLAZO EN CLIENTE ( SIN IVA)])</totalsRowFormula>
    </tableColumn>
    <tableColumn id="11" xr3:uid="{322DDD3E-0173-49C4-AFB7-376DB090ECA3}" name="SUBTOTAL" totalsRowFunction="sum" dataDxfId="522" totalsRowDxfId="521">
      <calculatedColumnFormula>+J4*I4</calculatedColumnFormula>
    </tableColumn>
    <tableColumn id="12" xr3:uid="{CEA975D4-FDF2-49EE-B73A-6079FAFB1121}" name="IVA" totalsRowFunction="sum" dataDxfId="520" totalsRowDxfId="519">
      <calculatedColumnFormula>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calculatedColumnFormula>
    </tableColumn>
    <tableColumn id="13" xr3:uid="{5C561E45-0AF6-4EE4-AC67-337734028D8B}" name="VENTA TOTAL $ (IVA INC) " totalsRowFunction="custom" dataDxfId="518" totalsRowDxfId="517">
      <calculatedColumnFormula>SUM(K4:L4)</calculatedColumnFormula>
      <totalsRowFormula>SUBTOTAL(9,Tabla1[VENTA TOTAL $ (IVA INC) ])</totalsRowFormula>
    </tableColumn>
    <tableColumn id="14" xr3:uid="{A35625C9-2D93-408A-8C90-88D689F2664A}" name="PENDIENTE DE ENTREGA" totalsRowFunction="custom" dataDxfId="516" totalsRowDxfId="515">
      <calculatedColumnFormula>+Tabla1[[#This Row],[VENTA TOTAL $ (IVA INC) ]]</calculatedColumnFormula>
      <totalsRowFormula>SUBTOTAL(9,Tabla1[PENDIENTE DE ENTREGA])</totalsRowFormula>
    </tableColumn>
    <tableColumn id="15" xr3:uid="{18FE0030-4CE3-420B-A544-161631C9C798}" name="PENDIENTE DE COBRO" totalsRowFunction="sum" dataDxfId="514" totalsRowDxfId="513"/>
    <tableColumn id="16" xr3:uid="{41D059CB-275B-457F-8558-5F577574C796}" name="VALORES EN CARTERA" totalsRowFunction="custom" dataDxfId="512" totalsRowDxfId="511">
      <totalsRowFormula>SUBTOTAL(9,Tabla1[VALORES EN CARTERA])</totalsRowFormula>
    </tableColumn>
    <tableColumn id="17" xr3:uid="{E4FF7B6D-050F-4304-AD7E-183D6AD286E9}" name="VALORES COBRADOS" totalsRowFunction="custom" dataDxfId="510" totalsRowDxfId="509">
      <totalsRowFormula>SUBTOTAL(9,Tabla1[VALORES COBRADOS])</totalsRowFormula>
    </tableColumn>
    <tableColumn id="18" xr3:uid="{0CB40216-C5F5-42AB-835A-D8E582F05B13}" name="FECHA RETIRO VALORES" dataDxfId="508" totalsRowDxfId="507"/>
    <tableColumn id="19" xr3:uid="{8D753B02-1E7D-4FFD-8DD1-3EDEA020CB94}" name="FECHA VTO VALORES" dataDxfId="506" totalsRowDxfId="505"/>
    <tableColumn id="20" xr3:uid="{BE64D831-8519-4418-8602-56E30F9A924D}" name="Dias Vto" dataDxfId="504" totalsRowDxfId="503">
      <calculatedColumnFormula>+S4-$U$2</calculatedColumnFormula>
    </tableColumn>
    <tableColumn id="21" xr3:uid="{7B472F14-D0C4-4452-8497-695747B1E353}" name="PLAZO ENTREGA VALORES" dataDxfId="502" totalsRowDxfId="501"/>
    <tableColumn id="22" xr3:uid="{CA5C33A9-976A-4266-896D-08EFB09D41F8}" name="Banco" dataDxfId="500" totalsRowDxfId="499"/>
    <tableColumn id="23" xr3:uid="{E623D742-4A05-4228-B9DB-43892CD2A66D}" name="SEMANA ACREDITACION PAGO " dataDxfId="498" totalsRowDxfId="497">
      <calculatedColumnFormula>+S4+7</calculatedColumnFormula>
    </tableColumn>
    <tableColumn id="24" xr3:uid="{0D86054D-4815-4A2C-95D6-2892D844E2B6}" name="OC" dataDxfId="496" totalsRowDxfId="495"/>
    <tableColumn id="25" xr3:uid="{0C41C347-0DB3-42CA-84B9-EDFD6DD58C6E}" name="FECHA OC" dataDxfId="494" totalsRowDxfId="493"/>
    <tableColumn id="26" xr3:uid="{3D0136E4-2B82-41D6-89CE-3A0E5C07FBB6}" name="Q Bolsas Equivalentes 50kg" totalsRowFunction="custom" dataDxfId="492" totalsRowDxfId="491">
      <totalsRowFormula>SUBTOTAL(9,Tabla1[Q Bolsas Equivalentes 50kg])</totalsRowFormula>
    </tableColumn>
    <tableColumn id="27" xr3:uid="{66AB0626-053D-4FC8-85D7-D00373D0648F}" name="PRECIO $ BOLSA 50 KG (IVA INC) " totalsRowFunction="average" dataDxfId="490" totalsRowDxfId="489">
      <calculatedColumnFormula>IFERROR((IF(Tabla1[[#This Row],[TIPO OPERACIÓN]]="IN",Tabla1[[#This Row],[PRECIO $/ KG A PLAZO EN CLIENTE ( SIN IVA)]]*50*1.21,IF(Tabla1[[#This Row],[TIPO OPERACIÓN]]="V2",Tabla1[[#This Row],[PRECIO $/ KG A PLAZO EN CLIENTE ( SIN IVA)]]*50,IF(Tabla1[[#This Row],[TIPO OPERACIÓN]]="EX",Tabla1[[#This Row],[PRECIO $/ KG A PLAZO EN CLIENTE ( SIN IVA)]]*50*1,IF(Tabla1[[#This Row],[TIPO OPERACIÓN]]="V1",Tabla1[[#This Row],[PRECIO $/ KG A PLAZO EN CLIENTE ( SIN IVA)]]*50*1.21,""))))),"")</calculatedColumnFormula>
    </tableColumn>
    <tableColumn id="28" xr3:uid="{D0801F2F-5FBA-4A48-8616-609684AD470A}" name="COSTO FLETE $ BOLSA 50 KG (IVA INC)" totalsRowFunction="average" dataDxfId="488" totalsRowDxfId="487">
      <calculatedColumnFormula>-Tabla1[[#This Row],[COSTO FLETE $ POR BOLSA 5O KG (SIN IVA)]]*1.21-Tabla1[[#This Row],[PRECIO $/ KG A PLAZO EN CLIENTE ( SIN IVA)]]*0.003*1.21*50</calculatedColumnFormula>
    </tableColumn>
    <tableColumn id="29" xr3:uid="{1DC3613E-B508-4670-AC53-0AB3A5A886C1}" name="PRECIO $ BOLSA50 KG  FOB TUCUMAN A PLAZO (IVA INC)" totalsRowFunction="average" dataDxfId="486" totalsRowDxfId="485">
      <calculatedColumnFormula>SUM(Tabla1[[#This Row],[PRECIO $ BOLSA 50 KG (IVA INC) ]]+Tabla1[[#This Row],[COSTO FLETE $ BOLSA 50 KG (IVA INC)]])</calculatedColumnFormula>
    </tableColumn>
    <tableColumn id="30" xr3:uid="{2AF08660-8016-40F7-8C76-2A45F32A65A1}" name="GASTOS FINANCIEROS $ BOLSA 50 KG (IVA INC)" totalsRowFunction="average" dataDxfId="484" totalsRowDxfId="483"/>
    <tableColumn id="31" xr3:uid="{62E1E21E-8B0D-4F70-BB0A-EA4ED1EEE2A9}" name="PRECIO $ BOLSA 50KG  FOB CDO TUC (IVA INC)" totalsRowFunction="average" dataDxfId="482" totalsRowDxfId="481">
      <calculatedColumnFormula>SUM(Tabla1[[#This Row],[PRECIO $ BOLSA50 KG  FOB TUCUMAN A PLAZO (IVA INC)]]+Tabla1[[#This Row],[GASTOS FINANCIEROS $ BOLSA 50 KG (IVA INC)]])</calculatedColumnFormula>
    </tableColumn>
    <tableColumn id="32" xr3:uid="{FE129B1B-EE18-4E16-B01B-7B1DD161FDF5}" name="ENVASE" dataDxfId="480" totalsRowDxfId="479"/>
    <tableColumn id="33" xr3:uid="{AD7F26B5-4485-4036-BA4A-B1C9955CB065}" name="LOCALIDAD" dataDxfId="478" totalsRowDxfId="477"/>
    <tableColumn id="34" xr3:uid="{2AAE7E38-5E9C-47B7-9FF4-5F63E9BA54B8}" name="PAIS / PROVINCIA" dataDxfId="476" totalsRowDxfId="475"/>
    <tableColumn id="35" xr3:uid="{D3DA317A-28EE-4D29-80CE-D25955DEC6EF}" name="TIPO OPERACIÓN" dataDxfId="474" totalsRowDxfId="473"/>
    <tableColumn id="36" xr3:uid="{AB7D5981-650B-49A5-89D6-768ED9678FBE}" name="PRECIO REF $ BOLSA 50 KG CACTU (IVA INC)" dataDxfId="472" totalsRowDxfId="471">
      <calculatedColumnFormula>IFERROR(IF(Tabla1[[#This Row],[TIPO OPERACIÓN]]="IN",VLOOKUP(Tabla1[[#This Row],[FECHA OC]],'PRECIO CACTU'!A:B,2,FALSE),IF(Tabla1[[#This Row],[TIPO OPERACIÓN]]="V1",VLOOKUP(Tabla1[[#This Row],[FECHA OC]],'PRECIO CACTU'!A:B,2,FALSE),IF(Tabla1[[#This Row],[TIPO OPERACIÓN]]="EX",VLOOKUP(Tabla1[[#This Row],[FECHA OC]],'PRECIO CACTU'!A:B,2,FALSE)/1.21,IF(Tabla1[[#This Row],[TIPO OPERACIÓN]]="V2",VLOOKUP(Tabla1[[#This Row],[FECHA OC]],'PRECIO CACTU'!A:B,2,FALSE)/1.21)))),"")</calculatedColumnFormula>
    </tableColumn>
    <tableColumn id="37" xr3:uid="{70C836DB-24CE-4E3B-A418-8BEB222E8950}" name="DIF $ PRECIO NETO INDUSTRIA vs Neto TUCUMAN (IVA INC)" dataDxfId="470" totalsRowDxfId="469">
      <calculatedColumnFormula>SUM(Tabla1[[#This Row],[PRECIO $ BOLSA 50KG  FOB CDO TUC (IVA INC)]]-Tabla1[[#This Row],[PRECIO REF $ BOLSA 50 KG CACTU (IVA INC)]])</calculatedColumnFormula>
    </tableColumn>
    <tableColumn id="38" xr3:uid="{AF657D64-5EE9-411E-86A2-CE39116C5F82}" name="DIF % PRECIO NETO INDUSTRIA vs Neto TUCUMAN (IVA INC)" totalsRowFunction="average" dataDxfId="468" totalsRowDxfId="467">
      <calculatedColumnFormula>IFERROR(Tabla1[[#This Row],[PRECIO $ BOLSA 50KG  FOB CDO TUC (IVA INC)]]/Tabla1[[#This Row],[PRECIO REF $ BOLSA 50 KG CACTU (IVA INC)]]-1,"")</calculatedColumnFormula>
    </tableColumn>
    <tableColumn id="39" xr3:uid="{7AFCD78A-18B7-438A-9167-99AAB6605D4A}" name="TOTAL GANANCIA $ POR OPERACIÓN  VS. CACTU (IVA INC)" totalsRowFunction="custom" dataDxfId="466" totalsRowDxfId="465">
      <calculatedColumnFormula>+Tabla1[[#This Row],[DIF $ PRECIO NETO INDUSTRIA vs Neto TUCUMAN (IVA INC)]]*Tabla1[[#This Row],[Q Bolsas Equivalentes 50kg]]</calculatedColumnFormula>
      <totalsRowFormula>SUBTOTAL(9,Tabla1[TOTAL GANANCIA $ POR OPERACIÓN  VS. CACTU (IVA INC)])</totalsRowFormula>
    </tableColumn>
    <tableColumn id="40" xr3:uid="{653C11A2-093E-41AC-BFCA-2C9D73D213BA}" name="VENTA EQUIVALENTE $ CACTU (IVA INC)" totalsRowFunction="custom" dataDxfId="464" totalsRowDxfId="463">
      <calculatedColumnFormula>Tabla1[[#This Row],[PRECIO REF $ BOLSA 50 KG CACTU (IVA INC)]]*Tabla1[[#This Row],[Q Bolsas Equivalentes 50kg]]</calculatedColumnFormula>
      <totalsRowFormula>SUBTOTAL(9,Tabla1[VENTA EQUIVALENTE $ CACTU (IVA INC)])</totalsRowFormula>
    </tableColumn>
    <tableColumn id="41" xr3:uid="{99BB12D6-A1FB-4F69-880C-F4898DD292AD}" name="VENTA EQU $  LA CORONA FOB TUC (IVA INC)" totalsRowFunction="custom" dataDxfId="462" totalsRowDxfId="461">
      <calculatedColumnFormula>+Tabla1[[#This Row],[PRECIO $ BOLSA 50KG  FOB CDO TUC (IVA INC)]]*Tabla1[[#This Row],[Q Bolsas Equivalentes 50kg]]</calculatedColumnFormula>
      <totalsRowFormula>SUBTOTAL(9,Tabla1[VENTA EQU $  LA CORONA FOB TUC (IVA INC)])</totalsRowFormula>
    </tableColumn>
    <tableColumn id="42" xr3:uid="{2164E863-125A-4A6D-8A0A-81AF68F99262}" name="TASA FINANCIACION MENSUAL" dataDxfId="460" totalsRowDxfId="459"/>
    <tableColumn id="43" xr3:uid="{10109460-C4E1-4FBA-8BE0-E3C18868D701}" name="COSTO FLETE $ POR BOLSA 5O KG (SIN IVA)" dataDxfId="458" totalsRowDxfId="457"/>
    <tableColumn id="44" xr3:uid="{59BB02C7-EBF7-4B13-8C7F-4638A4323416}" name="PLAZO PAGO (DIAS)" dataDxfId="456" totalsRowDxfId="455"/>
    <tableColumn id="45" xr3:uid="{D205B73A-3183-4CB7-821F-12DE0A41D398}" name="REMITO" dataDxfId="454" totalsRowDxfId="453"/>
    <tableColumn id="46" xr3:uid="{4A60D79A-F471-454B-A326-A7B7C5E67A32}" name="CONTROL" dataDxfId="452" totalsRowDxfId="451" dataCellStyle="Moneda">
      <calculatedColumnFormula>+Tabla1[[#This Row],[VENTA TOTAL $ (IVA INC) ]]-(SUM(Tabla1[[#This Row],[PENDIENTE DE ENTREGA]:[VALORES COBRADOS]]))</calculatedColumnFormula>
    </tableColumn>
    <tableColumn id="47" xr3:uid="{8C1E83C9-F2C8-40FE-AD49-F8638F2F75C4}" name="TIPO DE CAMBIO" dataDxfId="450" totalsRowDxfId="449">
      <calculatedColumnFormula>VLOOKUP(Tabla1[[#This Row],[FECHA OC]],'TIPO DE CAMBIO'!A:B,2,TRUE)</calculatedColumnFormula>
    </tableColumn>
    <tableColumn id="48" xr3:uid="{4D081C1F-BB48-4C15-839C-8B5692C1CECE}" name="VENTA TOTAL USD A PLAZO EN CLIENTE  (SIN IVA)" totalsRowFunction="sum" dataDxfId="448" totalsRowDxfId="447">
      <calculatedColumnFormula>+Tabla1[[#This Row],[SUBTOTAL]]/Tabla1[[#This Row],[TIPO DE CAMBIO]]</calculatedColumnFormula>
    </tableColumn>
    <tableColumn id="54" xr3:uid="{32B2D98B-B5A1-4E0D-A394-785FF9F6903A}" name="% IVA " dataDxfId="446" totalsRowDxfId="445"/>
    <tableColumn id="55" xr3:uid="{7A4D67F8-736C-42E3-A2C9-CF1B29E59B96}" name="VENTA TOTAL USD A PLAZO EN CLIENTE  (IVA INC)" totalsRowFunction="sum" dataDxfId="444" totalsRowDxfId="443" dataCellStyle="Porcentaje">
      <calculatedColumnFormula>IFERROR(Tabla1[[#This Row],[VENTA TOTAL USD A PLAZO EN CLIENTE  (SIN IVA)]]*(1+Tabla1[[#This Row],[% IVA ]]),"")</calculatedColumnFormula>
    </tableColumn>
    <tableColumn id="49" xr3:uid="{3742C351-185F-4BCE-9219-B9BED442BA7B}" name="PRECIO POR TN USD EN CLIENTE A PLAZO (SIN IVA)" totalsRowFunction="custom" dataDxfId="442" totalsRowDxfId="441">
      <calculatedColumnFormula>+Tabla1[[#This Row],[VENTA TOTAL USD A PLAZO EN CLIENTE  (SIN IVA)]]/Tabla1[[#This Row],[KGS]]*1000</calculatedColumnFormula>
      <totalsRowFormula>AVERAGE(Tabla1[PRECIO POR TN USD EN CLIENTE A PLAZO (SIN IVA)])</totalsRowFormula>
    </tableColumn>
    <tableColumn id="52" xr3:uid="{068008AC-F4CE-4246-92D9-5BE76C014203}" name="COSTO USD FLETE /TN (SIN IVA)" dataDxfId="440" totalsRowDxfId="439">
      <calculatedColumnFormula>-Tabla1[[#This Row],[COSTO FLETE $ POR BOLSA 5O KG (SIN IVA)]]*20/Tabla1[[#This Row],[TIPO DE CAMBIO]]</calculatedColumnFormula>
    </tableColumn>
    <tableColumn id="51" xr3:uid="{50D6E8D7-CADB-40C4-B5ED-8C3DACA9CF70}" name="COSTO FINANCIERO USD POR BOLSA 50KG (IVA INC)" dataDxfId="438" totalsRowDxfId="437">
      <calculatedColumnFormula>+Tabla1[[#This Row],[GASTOS FINANCIEROS $ BOLSA 50 KG (IVA INC)]]*20/Tabla1[[#This Row],[TIPO DE CAMBIO]]</calculatedColumnFormula>
    </tableColumn>
    <tableColumn id="53" xr3:uid="{64AED5D9-4406-4BC3-B1B4-48B1139A774B}" name="PRECIO  USD TON FOB CORONA" totalsRowFunction="custom" dataDxfId="436" totalsRowDxfId="435">
      <calculatedColumnFormula>+Tabla1[[#This Row],[PRECIO POR TN USD EN CLIENTE A PLAZO (SIN IVA)]]+Tabla1[[#This Row],[COSTO USD FLETE /TN (SIN IVA)]]+Tabla1[[#This Row],[COSTO FINANCIERO USD POR BOLSA 50KG (IVA INC)]]</calculatedColumnFormula>
      <totalsRowFormula>AVERAGE(Tabla1[PRECIO  USD TON FOB CORONA])</totalsRowFormula>
    </tableColumn>
    <tableColumn id="50" xr3:uid="{874C886A-9D01-48C5-8352-5C1E76ACE2D6}" name="TIER" totalsRowLabel=" " dataDxfId="434" totalsRowDxfId="433"/>
    <tableColumn id="56" xr3:uid="{30CAFDA7-0A6C-4693-B7D3-74DFE449B383}" name="COMENTARIOS2" dataDxfId="432" totalsRowDxfId="43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3D4085-BC3B-4F2B-88D5-621B918F2F2B}" name="Tabla2" displayName="Tabla2" ref="A8:Q1712" totalsRowShown="0" headerRowDxfId="122">
  <autoFilter ref="A8:Q1712" xr:uid="{5A3D4085-BC3B-4F2B-88D5-621B918F2F2B}"/>
  <tableColumns count="17">
    <tableColumn id="1" xr3:uid="{5ED88A9E-9BE1-45D9-948E-7D34B861C2F6}" name="ZAFRA" dataDxfId="121"/>
    <tableColumn id="2" xr3:uid="{0000E277-662F-426E-98CD-1524E9C818CC}" name="LUGAR FIS+B8:O9ICO" dataDxfId="120"/>
    <tableColumn id="3" xr3:uid="{4FE04A29-472C-424E-8F1C-362869F94FE9}" name="MEDIO PAGO" dataDxfId="119"/>
    <tableColumn id="4" xr3:uid="{9378EFA8-6053-4F7A-8754-5561C19EE905}" name="PROVEEDOR" dataDxfId="118"/>
    <tableColumn id="5" xr3:uid="{9D0039AB-EB50-484A-BBE9-0A8DD9CE778A}" name="FACTURA" dataDxfId="117"/>
    <tableColumn id="6" xr3:uid="{AAACBDE7-8634-4E7F-9C98-39986EDC5BF0}" name="LIBRADOR DEL CHEQUE" dataDxfId="116"/>
    <tableColumn id="7" xr3:uid="{4DBAE0A7-255A-4A98-B9EB-3C8AAAB77B54}" name="CUIT LIBRADOR " dataDxfId="115"/>
    <tableColumn id="8" xr3:uid="{D2264A56-5A26-429C-A03F-7B5F398C2B75}" name="CHEQUE NUMERO " dataDxfId="114"/>
    <tableColumn id="9" xr3:uid="{7CA86842-CD26-49A4-90CA-289D1B2053A8}" name="BANCO" dataDxfId="113"/>
    <tableColumn id="10" xr3:uid="{29743AAC-C19F-417B-B9C2-29C70E70BA01}" name="INGRESO" dataDxfId="112" dataCellStyle="Moneda"/>
    <tableColumn id="11" xr3:uid="{37F29391-1E14-4B92-A05F-1E5B6DA2A98D}" name="EGRESO" dataDxfId="111" dataCellStyle="Moneda">
      <calculatedColumnFormula>-J9</calculatedColumnFormula>
    </tableColumn>
    <tableColumn id="12" xr3:uid="{E08F403E-37B4-4621-9AA9-0C578F44BF78}" name="VENCIMIENTO " dataDxfId="110"/>
    <tableColumn id="13" xr3:uid="{7BA0B4F7-0BB7-440C-9A5E-E35DF7134CDC}" name="DIAS PARA EL VENCIMIENTO" dataDxfId="109">
      <calculatedColumnFormula>+L9-$E$6</calculatedColumnFormula>
    </tableColumn>
    <tableColumn id="14" xr3:uid="{358C2F12-AC2F-4136-922B-0B9A91296E4E}" name="SEMANA ACREDITACION PAGO " dataDxfId="108">
      <calculatedColumnFormula>+L9+7</calculatedColumnFormula>
    </tableColumn>
    <tableColumn id="15" xr3:uid="{64362E14-AA0F-4D4F-B5E2-568878729C31}" name="COMENTARIO" dataDxfId="107"/>
    <tableColumn id="16" xr3:uid="{4F04EF27-B073-4B4E-AFD7-984E7E3B5742}" name="SEMANA" dataDxfId="106"/>
    <tableColumn id="17" xr3:uid="{928AA41A-637C-4046-8465-78324E1F0853}" name="CTRL" dataDxfId="105">
      <calculatedColumnFormula>+K9+J9</calculatedColumnFormula>
    </tableColumn>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bcra.gov.ar/PublicacionesEstadisticas/Planilla_cierre_de_cotizaciones.asp"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bcra.gov.ar/PublicacionesEstadisticas/Planilla_cierre_de_cotizaciones.asp"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Z994"/>
  <sheetViews>
    <sheetView showGridLines="0" zoomScale="90" zoomScaleNormal="90" workbookViewId="0">
      <pane xSplit="1" ySplit="3" topLeftCell="B50" activePane="bottomRight" state="frozen"/>
      <selection activeCell="A95" sqref="A95"/>
      <selection pane="topRight" activeCell="A95" sqref="A95"/>
      <selection pane="bottomLeft" activeCell="A95" sqref="A95"/>
      <selection pane="bottomRight" activeCell="A95" sqref="A95"/>
    </sheetView>
  </sheetViews>
  <sheetFormatPr baseColWidth="10" defaultColWidth="14.42578125" defaultRowHeight="15" customHeight="1"/>
  <cols>
    <col min="1" max="1" width="45.28515625" customWidth="1"/>
    <col min="2" max="2" width="16.7109375" customWidth="1"/>
    <col min="3" max="9" width="12.85546875" customWidth="1"/>
    <col min="10" max="14" width="12.85546875" style="563" customWidth="1"/>
    <col min="15" max="15" width="14.28515625" customWidth="1"/>
    <col min="16" max="16" width="18.42578125" customWidth="1"/>
    <col min="17" max="17" width="10.7109375" customWidth="1"/>
    <col min="18" max="18" width="19.42578125" customWidth="1"/>
    <col min="19" max="19" width="19.28515625" customWidth="1"/>
    <col min="20" max="26" width="10.7109375" customWidth="1"/>
  </cols>
  <sheetData>
    <row r="1" spans="1:26" ht="21">
      <c r="A1" s="1" t="s">
        <v>233</v>
      </c>
      <c r="B1" s="2"/>
      <c r="C1" s="2"/>
      <c r="D1" s="2"/>
      <c r="E1" s="2"/>
      <c r="F1" s="2"/>
      <c r="G1" s="2"/>
      <c r="H1" s="2"/>
      <c r="I1" s="2"/>
      <c r="J1" s="564"/>
      <c r="K1" s="564"/>
      <c r="L1" s="564"/>
      <c r="M1" s="564"/>
      <c r="N1" s="564"/>
      <c r="O1" s="3"/>
      <c r="P1" s="3"/>
      <c r="Q1" s="3"/>
      <c r="R1" s="3"/>
      <c r="S1" s="3"/>
      <c r="T1" s="3"/>
      <c r="U1" s="3"/>
      <c r="V1" s="3"/>
      <c r="W1" s="3"/>
      <c r="X1" s="3"/>
      <c r="Y1" s="3"/>
      <c r="Z1" s="3"/>
    </row>
    <row r="2" spans="1:26">
      <c r="A2" s="3"/>
      <c r="B2" s="2"/>
      <c r="C2" s="4"/>
      <c r="D2" s="2"/>
      <c r="E2" s="2"/>
      <c r="F2" s="2"/>
      <c r="G2" s="2"/>
      <c r="H2" s="2"/>
      <c r="I2" s="2"/>
      <c r="J2" s="564"/>
      <c r="K2" s="564"/>
      <c r="L2" s="564"/>
      <c r="M2" s="564"/>
      <c r="N2" s="564"/>
      <c r="O2" s="272"/>
      <c r="P2" s="3"/>
      <c r="Q2" s="3"/>
      <c r="R2" s="3"/>
      <c r="S2" s="3"/>
      <c r="T2" s="3"/>
      <c r="U2" s="3"/>
      <c r="V2" s="3"/>
      <c r="W2" s="3"/>
      <c r="X2" s="3"/>
      <c r="Y2" s="3"/>
      <c r="Z2" s="3"/>
    </row>
    <row r="3" spans="1:26">
      <c r="A3" s="5"/>
      <c r="B3" s="6"/>
      <c r="C3" s="7">
        <v>46143</v>
      </c>
      <c r="D3" s="7">
        <f t="shared" ref="D3:N3" si="0">+C3+31</f>
        <v>46174</v>
      </c>
      <c r="E3" s="7">
        <f t="shared" si="0"/>
        <v>46205</v>
      </c>
      <c r="F3" s="7">
        <f t="shared" si="0"/>
        <v>46236</v>
      </c>
      <c r="G3" s="7">
        <f t="shared" si="0"/>
        <v>46267</v>
      </c>
      <c r="H3" s="7">
        <f t="shared" si="0"/>
        <v>46298</v>
      </c>
      <c r="I3" s="7">
        <f t="shared" si="0"/>
        <v>46329</v>
      </c>
      <c r="J3" s="7">
        <f t="shared" si="0"/>
        <v>46360</v>
      </c>
      <c r="K3" s="7">
        <f t="shared" si="0"/>
        <v>46391</v>
      </c>
      <c r="L3" s="7">
        <f t="shared" si="0"/>
        <v>46422</v>
      </c>
      <c r="M3" s="7">
        <f t="shared" si="0"/>
        <v>46453</v>
      </c>
      <c r="N3" s="7">
        <f t="shared" si="0"/>
        <v>46484</v>
      </c>
      <c r="O3" s="8" t="s">
        <v>0</v>
      </c>
      <c r="P3" s="9"/>
      <c r="Q3" s="9"/>
      <c r="R3" s="9"/>
      <c r="S3" s="9"/>
      <c r="T3" s="9"/>
      <c r="U3" s="9"/>
      <c r="V3" s="9"/>
      <c r="W3" s="9"/>
      <c r="X3" s="9"/>
      <c r="Y3" s="9"/>
      <c r="Z3" s="9"/>
    </row>
    <row r="4" spans="1:26" ht="5.25" customHeight="1">
      <c r="A4" s="3"/>
      <c r="B4" s="2"/>
      <c r="C4" s="2"/>
      <c r="D4" s="2"/>
      <c r="E4" s="2"/>
      <c r="F4" s="2"/>
      <c r="G4" s="2"/>
      <c r="H4" s="2"/>
      <c r="I4" s="2"/>
      <c r="J4" s="564"/>
      <c r="K4" s="564"/>
      <c r="L4" s="564"/>
      <c r="M4" s="564"/>
      <c r="N4" s="564"/>
      <c r="O4" s="3"/>
      <c r="P4" s="3"/>
      <c r="Q4" s="3"/>
      <c r="R4" s="3"/>
      <c r="S4" s="3"/>
      <c r="T4" s="3"/>
      <c r="U4" s="3"/>
      <c r="V4" s="3"/>
      <c r="W4" s="3"/>
      <c r="X4" s="3"/>
      <c r="Y4" s="3"/>
      <c r="Z4" s="3"/>
    </row>
    <row r="5" spans="1:26">
      <c r="A5" s="10" t="s">
        <v>247</v>
      </c>
      <c r="B5" s="11" t="s">
        <v>1</v>
      </c>
      <c r="C5" s="12">
        <f>+ACUMULADOS!Z2</f>
        <v>70186.919999999955</v>
      </c>
      <c r="D5" s="12">
        <f>+ACUMULADOS!Z4</f>
        <v>104239.59999999998</v>
      </c>
      <c r="E5" s="12">
        <f>+ACUMULADOS!Z7</f>
        <v>70284</v>
      </c>
      <c r="F5" s="12">
        <f>+ACUMULADOS!Z10</f>
        <v>0</v>
      </c>
      <c r="G5" s="12">
        <f>+ACUMULADOS!Z13</f>
        <v>0</v>
      </c>
      <c r="H5" s="12">
        <f>+ACUMULADOS!Z16</f>
        <v>0</v>
      </c>
      <c r="I5" s="12">
        <f>+ACUMULADOS!Z19</f>
        <v>0</v>
      </c>
      <c r="J5" s="565">
        <f>+ACUMULADOS!Z22</f>
        <v>0</v>
      </c>
      <c r="K5" s="565">
        <f>+ACUMULADOS!Z25</f>
        <v>0</v>
      </c>
      <c r="L5" s="565">
        <f>+ACUMULADOS!Z28</f>
        <v>0</v>
      </c>
      <c r="M5" s="565">
        <f>+ACUMULADOS!Z31</f>
        <v>0</v>
      </c>
      <c r="N5" s="565">
        <f>+ACUMULADOS!Z34</f>
        <v>0</v>
      </c>
      <c r="O5" s="14">
        <f>SUM(C5:N5)</f>
        <v>244710.51999999993</v>
      </c>
      <c r="P5" s="522"/>
      <c r="Q5" s="522"/>
      <c r="R5" s="522"/>
      <c r="S5" s="522"/>
      <c r="T5" s="522"/>
      <c r="U5" s="3"/>
      <c r="V5" s="3"/>
      <c r="W5" s="3"/>
      <c r="X5" s="3"/>
      <c r="Y5" s="3"/>
      <c r="Z5" s="3"/>
    </row>
    <row r="6" spans="1:26" ht="6" customHeight="1">
      <c r="A6" s="15"/>
      <c r="B6" s="11"/>
      <c r="C6" s="12"/>
      <c r="D6" s="12"/>
      <c r="E6" s="12"/>
      <c r="F6" s="12"/>
      <c r="G6" s="12"/>
      <c r="H6" s="12"/>
      <c r="I6" s="13"/>
      <c r="J6" s="566"/>
      <c r="K6" s="566"/>
      <c r="L6" s="566"/>
      <c r="M6" s="566"/>
      <c r="N6" s="566"/>
      <c r="O6" s="14"/>
      <c r="P6" s="3"/>
      <c r="Q6" s="3"/>
      <c r="R6" s="3"/>
      <c r="S6" s="3"/>
      <c r="T6" s="3"/>
      <c r="U6" s="3"/>
      <c r="V6" s="3"/>
      <c r="W6" s="3"/>
      <c r="X6" s="3"/>
      <c r="Y6" s="3"/>
      <c r="Z6" s="3"/>
    </row>
    <row r="7" spans="1:26">
      <c r="A7" s="16" t="s">
        <v>2</v>
      </c>
      <c r="B7" s="17"/>
      <c r="C7" s="18">
        <f>+C5*0.05</f>
        <v>3509.3459999999977</v>
      </c>
      <c r="D7" s="18">
        <f t="shared" ref="D7:N7" si="1">+D5*0.05</f>
        <v>5211.9799999999996</v>
      </c>
      <c r="E7" s="18">
        <f t="shared" si="1"/>
        <v>3514.2000000000003</v>
      </c>
      <c r="F7" s="18">
        <f t="shared" si="1"/>
        <v>0</v>
      </c>
      <c r="G7" s="18">
        <f t="shared" si="1"/>
        <v>0</v>
      </c>
      <c r="H7" s="18">
        <f t="shared" si="1"/>
        <v>0</v>
      </c>
      <c r="I7" s="18">
        <f t="shared" si="1"/>
        <v>0</v>
      </c>
      <c r="J7" s="18">
        <f t="shared" si="1"/>
        <v>0</v>
      </c>
      <c r="K7" s="18">
        <f t="shared" si="1"/>
        <v>0</v>
      </c>
      <c r="L7" s="18">
        <f t="shared" si="1"/>
        <v>0</v>
      </c>
      <c r="M7" s="18">
        <f t="shared" si="1"/>
        <v>0</v>
      </c>
      <c r="N7" s="18">
        <f t="shared" si="1"/>
        <v>0</v>
      </c>
      <c r="O7" s="578">
        <f>SUM(C7:N7)</f>
        <v>12235.525999999998</v>
      </c>
      <c r="P7" s="745"/>
      <c r="Q7" s="3"/>
      <c r="R7" s="3"/>
      <c r="S7" s="3"/>
      <c r="T7" s="3"/>
      <c r="U7" s="3"/>
      <c r="V7" s="3"/>
      <c r="W7" s="3"/>
      <c r="X7" s="3"/>
      <c r="Y7" s="3"/>
      <c r="Z7" s="3"/>
    </row>
    <row r="8" spans="1:26" ht="6" customHeight="1">
      <c r="A8" s="15"/>
      <c r="B8" s="11"/>
      <c r="C8" s="12"/>
      <c r="D8" s="12"/>
      <c r="E8" s="12"/>
      <c r="F8" s="12"/>
      <c r="G8" s="12"/>
      <c r="H8" s="12"/>
      <c r="I8" s="13"/>
      <c r="J8" s="566"/>
      <c r="K8" s="566"/>
      <c r="L8" s="566"/>
      <c r="M8" s="566"/>
      <c r="N8" s="566"/>
      <c r="O8" s="14"/>
      <c r="P8" s="3"/>
      <c r="Q8" s="3"/>
      <c r="R8" s="3"/>
      <c r="S8" s="3"/>
      <c r="T8" s="3"/>
      <c r="U8" s="3"/>
      <c r="V8" s="3"/>
      <c r="W8" s="3"/>
      <c r="X8" s="3"/>
      <c r="Y8" s="3"/>
      <c r="Z8" s="3"/>
    </row>
    <row r="9" spans="1:26">
      <c r="A9" s="19" t="s">
        <v>3</v>
      </c>
      <c r="B9" s="11" t="s">
        <v>4</v>
      </c>
      <c r="C9" s="20">
        <f>+ACUMULADOS!M2/1000000</f>
        <v>2338.6576329089235</v>
      </c>
      <c r="D9" s="20">
        <f>+ACUMULADOS!M4/1000000</f>
        <v>3022.214181007681</v>
      </c>
      <c r="E9" s="20">
        <f>+ACUMULADOS!M7/1000000</f>
        <v>2010.7203984363291</v>
      </c>
      <c r="F9" s="20">
        <f>+ACUMULADOS!M10/1000000</f>
        <v>0</v>
      </c>
      <c r="G9" s="20">
        <f>ACUMULADOS!M13/1000000</f>
        <v>0</v>
      </c>
      <c r="H9" s="20">
        <f>+ACUMULADOS!M16/1000000</f>
        <v>0</v>
      </c>
      <c r="I9" s="20">
        <f>+ACUMULADOS!M19/1000000</f>
        <v>0</v>
      </c>
      <c r="J9" s="20">
        <f>+ACUMULADOS!M22/1000000</f>
        <v>0</v>
      </c>
      <c r="K9" s="20">
        <f>ACUMULADOS!M25/1000000</f>
        <v>0</v>
      </c>
      <c r="L9" s="20">
        <f>+ACUMULADOS!M28/1000000</f>
        <v>0</v>
      </c>
      <c r="M9" s="20">
        <f>+ACUMULADOS!M31/1000000</f>
        <v>0</v>
      </c>
      <c r="N9" s="20">
        <f>ACUMULADOS!M34/1000000</f>
        <v>0</v>
      </c>
      <c r="O9" s="482">
        <f>SUM(C9:N9)</f>
        <v>7371.5922123529344</v>
      </c>
      <c r="P9" s="3"/>
      <c r="Q9" s="3"/>
      <c r="R9" s="3"/>
      <c r="S9" s="3"/>
      <c r="T9" s="3"/>
      <c r="U9" s="3"/>
      <c r="V9" s="3"/>
      <c r="W9" s="3"/>
      <c r="X9" s="3"/>
      <c r="Y9" s="3"/>
      <c r="Z9" s="3"/>
    </row>
    <row r="10" spans="1:26">
      <c r="A10" s="21"/>
      <c r="B10" s="22" t="s">
        <v>5</v>
      </c>
      <c r="C10" s="23">
        <f t="shared" ref="C10:N10" si="2">+C9/C54*1000</f>
        <v>1656.2731111252999</v>
      </c>
      <c r="D10" s="23">
        <f t="shared" si="2"/>
        <v>1989.729706941012</v>
      </c>
      <c r="E10" s="23">
        <f t="shared" si="2"/>
        <v>1300.3873940511935</v>
      </c>
      <c r="F10" s="23">
        <f t="shared" si="2"/>
        <v>0</v>
      </c>
      <c r="G10" s="23">
        <f t="shared" si="2"/>
        <v>0</v>
      </c>
      <c r="H10" s="23">
        <f t="shared" si="2"/>
        <v>0</v>
      </c>
      <c r="I10" s="23">
        <f>+I9/I54*1000</f>
        <v>0</v>
      </c>
      <c r="J10" s="23">
        <f>+J9/J54*1000</f>
        <v>0</v>
      </c>
      <c r="K10" s="23">
        <f t="shared" si="2"/>
        <v>0</v>
      </c>
      <c r="L10" s="23">
        <f t="shared" si="2"/>
        <v>0</v>
      </c>
      <c r="M10" s="23">
        <f t="shared" si="2"/>
        <v>0</v>
      </c>
      <c r="N10" s="23">
        <f t="shared" si="2"/>
        <v>0</v>
      </c>
      <c r="O10" s="24">
        <f>SUM(C10:N10)</f>
        <v>4946.3902121175051</v>
      </c>
      <c r="P10" s="3"/>
      <c r="Q10" s="745"/>
      <c r="R10" s="3"/>
      <c r="S10" s="3"/>
      <c r="T10" s="3"/>
      <c r="U10" s="3"/>
      <c r="V10" s="3"/>
      <c r="W10" s="3"/>
      <c r="X10" s="3"/>
      <c r="Y10" s="3"/>
      <c r="Z10" s="3"/>
    </row>
    <row r="11" spans="1:26" ht="6" customHeight="1">
      <c r="A11" s="26"/>
      <c r="B11" s="11"/>
      <c r="C11" s="12"/>
      <c r="D11" s="12"/>
      <c r="E11" s="12"/>
      <c r="F11" s="12"/>
      <c r="G11" s="12"/>
      <c r="H11" s="12"/>
      <c r="I11" s="13"/>
      <c r="J11" s="566"/>
      <c r="K11" s="566"/>
      <c r="L11" s="566"/>
      <c r="M11" s="566"/>
      <c r="N11" s="566"/>
      <c r="O11" s="14"/>
      <c r="P11" s="3"/>
      <c r="Q11" s="3"/>
      <c r="R11" s="3"/>
      <c r="S11" s="3"/>
      <c r="T11" s="3"/>
      <c r="U11" s="3"/>
      <c r="V11" s="3"/>
      <c r="W11" s="3"/>
      <c r="X11" s="3"/>
      <c r="Y11" s="3"/>
      <c r="Z11" s="3"/>
    </row>
    <row r="12" spans="1:26">
      <c r="A12" s="10" t="s">
        <v>6</v>
      </c>
      <c r="B12" s="11" t="s">
        <v>7</v>
      </c>
      <c r="C12" s="20">
        <f ca="1">+ACUMULADOS!AE3</f>
        <v>32106.914449402222</v>
      </c>
      <c r="D12" s="20">
        <f>+ACUMULADOS!AE5</f>
        <v>29204.471846982593</v>
      </c>
      <c r="E12" s="20" t="e">
        <f>+ACUMULADOS!AE8</f>
        <v>#VALUE!</v>
      </c>
      <c r="F12" s="20" t="e">
        <f>+ACUMULADOS!AE11</f>
        <v>#VALUE!</v>
      </c>
      <c r="G12" s="20" t="e">
        <f>+ACUMULADOS!AE14</f>
        <v>#VALUE!</v>
      </c>
      <c r="H12" s="20" t="e">
        <f>+ACUMULADOS!AE17</f>
        <v>#VALUE!</v>
      </c>
      <c r="I12" s="20" t="e">
        <f>+ACUMULADOS!AE20</f>
        <v>#VALUE!</v>
      </c>
      <c r="J12" s="567" t="e">
        <f>+ACUMULADOS!AE23</f>
        <v>#VALUE!</v>
      </c>
      <c r="K12" s="567" t="e">
        <f>+ACUMULADOS!AE26</f>
        <v>#VALUE!</v>
      </c>
      <c r="L12" s="567" t="e">
        <f>+ACUMULADOS!AE29</f>
        <v>#VALUE!</v>
      </c>
      <c r="M12" s="567" t="e">
        <f>+ACUMULADOS!AE32</f>
        <v>#VALUE!</v>
      </c>
      <c r="N12" s="567" t="e">
        <f>+ACUMULADOS!AE35</f>
        <v>#VALUE!</v>
      </c>
      <c r="O12" s="27" t="e">
        <f ca="1">AVERAGE(C12:N12)</f>
        <v>#VALUE!</v>
      </c>
      <c r="P12" s="746"/>
      <c r="Q12" s="3"/>
      <c r="R12" s="3"/>
      <c r="S12" s="3"/>
      <c r="T12" s="3"/>
      <c r="U12" s="3"/>
      <c r="V12" s="3"/>
      <c r="W12" s="3"/>
      <c r="X12" s="3"/>
      <c r="Y12" s="3"/>
      <c r="Z12" s="3"/>
    </row>
    <row r="13" spans="1:26" hidden="1">
      <c r="A13" s="19" t="s">
        <v>256</v>
      </c>
      <c r="B13" s="11" t="s">
        <v>8</v>
      </c>
      <c r="C13" s="20">
        <f ca="1">+C12/50</f>
        <v>642.13828898804445</v>
      </c>
      <c r="D13" s="20">
        <f t="shared" ref="D13:N13" si="3">+D12/50</f>
        <v>584.08943693965182</v>
      </c>
      <c r="E13" s="20" t="e">
        <f t="shared" si="3"/>
        <v>#VALUE!</v>
      </c>
      <c r="F13" s="20" t="e">
        <f t="shared" si="3"/>
        <v>#VALUE!</v>
      </c>
      <c r="G13" s="20" t="e">
        <f t="shared" si="3"/>
        <v>#VALUE!</v>
      </c>
      <c r="H13" s="20" t="e">
        <f t="shared" si="3"/>
        <v>#VALUE!</v>
      </c>
      <c r="I13" s="20" t="e">
        <f t="shared" si="3"/>
        <v>#VALUE!</v>
      </c>
      <c r="J13" s="20" t="e">
        <f t="shared" si="3"/>
        <v>#VALUE!</v>
      </c>
      <c r="K13" s="20" t="e">
        <f t="shared" si="3"/>
        <v>#VALUE!</v>
      </c>
      <c r="L13" s="20" t="e">
        <f t="shared" si="3"/>
        <v>#VALUE!</v>
      </c>
      <c r="M13" s="20" t="e">
        <f t="shared" si="3"/>
        <v>#VALUE!</v>
      </c>
      <c r="N13" s="20" t="e">
        <f t="shared" si="3"/>
        <v>#VALUE!</v>
      </c>
      <c r="O13" s="20" t="e">
        <f ca="1">+O12/50</f>
        <v>#VALUE!</v>
      </c>
      <c r="P13" s="3"/>
      <c r="Q13" s="3"/>
      <c r="R13" s="3"/>
      <c r="S13" s="3"/>
      <c r="T13" s="3"/>
      <c r="U13" s="3"/>
      <c r="V13" s="3"/>
      <c r="W13" s="3"/>
      <c r="X13" s="3"/>
      <c r="Y13" s="3"/>
      <c r="Z13" s="3"/>
    </row>
    <row r="14" spans="1:26" hidden="1">
      <c r="A14" s="19" t="s">
        <v>256</v>
      </c>
      <c r="B14" s="17" t="s">
        <v>257</v>
      </c>
      <c r="C14" s="28">
        <f ca="1">+C13/C54</f>
        <v>0.45477215933997484</v>
      </c>
      <c r="D14" s="28">
        <f t="shared" ref="D14:N14" si="4">+D13/D54</f>
        <v>0.38454591057533011</v>
      </c>
      <c r="E14" s="28" t="e">
        <f t="shared" si="4"/>
        <v>#VALUE!</v>
      </c>
      <c r="F14" s="28" t="e">
        <f t="shared" si="4"/>
        <v>#VALUE!</v>
      </c>
      <c r="G14" s="28" t="e">
        <f t="shared" si="4"/>
        <v>#VALUE!</v>
      </c>
      <c r="H14" s="28" t="e">
        <f t="shared" si="4"/>
        <v>#VALUE!</v>
      </c>
      <c r="I14" s="28" t="e">
        <f t="shared" si="4"/>
        <v>#VALUE!</v>
      </c>
      <c r="J14" s="28" t="e">
        <f t="shared" si="4"/>
        <v>#VALUE!</v>
      </c>
      <c r="K14" s="28" t="e">
        <f t="shared" si="4"/>
        <v>#VALUE!</v>
      </c>
      <c r="L14" s="28" t="e">
        <f t="shared" si="4"/>
        <v>#VALUE!</v>
      </c>
      <c r="M14" s="28" t="e">
        <f t="shared" si="4"/>
        <v>#VALUE!</v>
      </c>
      <c r="N14" s="28" t="e">
        <f t="shared" si="4"/>
        <v>#VALUE!</v>
      </c>
      <c r="O14" s="29" t="e">
        <f ca="1">+O13/O54</f>
        <v>#VALUE!</v>
      </c>
      <c r="P14" s="3"/>
      <c r="Q14" s="3"/>
      <c r="R14" s="3"/>
      <c r="S14" s="3"/>
      <c r="T14" s="3"/>
      <c r="U14" s="3"/>
      <c r="V14" s="3"/>
      <c r="W14" s="3"/>
      <c r="X14" s="3"/>
      <c r="Y14" s="3"/>
      <c r="Z14" s="3"/>
    </row>
    <row r="15" spans="1:26" ht="6" customHeight="1">
      <c r="A15" s="26"/>
      <c r="B15" s="11"/>
      <c r="C15" s="12"/>
      <c r="D15" s="12"/>
      <c r="E15" s="12"/>
      <c r="F15" s="12"/>
      <c r="G15" s="12"/>
      <c r="H15" s="12"/>
      <c r="I15" s="13"/>
      <c r="J15" s="566"/>
      <c r="K15" s="566"/>
      <c r="L15" s="566"/>
      <c r="M15" s="566"/>
      <c r="N15" s="566"/>
      <c r="O15" s="14"/>
      <c r="P15" s="3"/>
      <c r="Q15" s="3"/>
      <c r="R15" s="3"/>
      <c r="S15" s="3"/>
      <c r="T15" s="3"/>
      <c r="U15" s="3"/>
      <c r="V15" s="3"/>
      <c r="W15" s="3"/>
      <c r="X15" s="3"/>
      <c r="Y15" s="3"/>
      <c r="Z15" s="3"/>
    </row>
    <row r="16" spans="1:26" ht="15" customHeight="1">
      <c r="A16" s="30" t="s">
        <v>9</v>
      </c>
      <c r="B16" s="11"/>
      <c r="C16" s="450">
        <f>+ACUMULADOS!AJ3</f>
        <v>34174.431926924743</v>
      </c>
      <c r="D16" s="450">
        <f>+ACUMULADOS!AJ5</f>
        <v>33811.815222247045</v>
      </c>
      <c r="E16" s="450">
        <f>+ACUMULADOS!AJ8</f>
        <v>33759.479166666664</v>
      </c>
      <c r="F16" s="450" t="e">
        <f>+ACUMULADOS!AJ11</f>
        <v>#DIV/0!</v>
      </c>
      <c r="G16" s="450" t="e">
        <f>+ACUMULADOS!AJ14</f>
        <v>#DIV/0!</v>
      </c>
      <c r="H16" s="450" t="e">
        <f>+ACUMULADOS!AJ17</f>
        <v>#DIV/0!</v>
      </c>
      <c r="I16" s="450" t="e">
        <f>+ACUMULADOS!AJ20</f>
        <v>#DIV/0!</v>
      </c>
      <c r="J16" s="568" t="e">
        <f>+ACUMULADOS!AJ23</f>
        <v>#DIV/0!</v>
      </c>
      <c r="K16" s="568" t="e">
        <f>+ACUMULADOS!AJ26</f>
        <v>#DIV/0!</v>
      </c>
      <c r="L16" s="568" t="e">
        <f>+ACUMULADOS!AJ29</f>
        <v>#DIV/0!</v>
      </c>
      <c r="M16" s="568" t="e">
        <f>+ACUMULADOS!AJ32</f>
        <v>#DIV/0!</v>
      </c>
      <c r="N16" s="568" t="e">
        <f>+ACUMULADOS!AJ35</f>
        <v>#DIV/0!</v>
      </c>
      <c r="O16" s="451" t="e">
        <f>AVERAGE(C16:N16)</f>
        <v>#DIV/0!</v>
      </c>
      <c r="P16" s="782"/>
      <c r="Q16" s="3"/>
      <c r="R16" s="3"/>
      <c r="S16" s="3"/>
      <c r="T16" s="3"/>
      <c r="U16" s="3"/>
      <c r="V16" s="3"/>
      <c r="W16" s="3"/>
      <c r="X16" s="3"/>
      <c r="Y16" s="3"/>
      <c r="Z16" s="3"/>
    </row>
    <row r="17" spans="1:26" ht="15.75" customHeight="1">
      <c r="A17" s="10" t="s">
        <v>10</v>
      </c>
      <c r="B17" s="11" t="s">
        <v>11</v>
      </c>
      <c r="C17" s="31">
        <f ca="1">+ACUMULADOS!AO3</f>
        <v>-6.6345429735412798E-2</v>
      </c>
      <c r="D17" s="31">
        <f>+ACUMULADOS!AO5</f>
        <v>-0.1379705619049022</v>
      </c>
      <c r="E17" s="31" t="e">
        <f>+ACUMULADOS!AO8</f>
        <v>#VALUE!</v>
      </c>
      <c r="F17" s="31" t="e">
        <f>+ACUMULADOS!AO11</f>
        <v>#VALUE!</v>
      </c>
      <c r="G17" s="31" t="e">
        <f>+ACUMULADOS!AO14</f>
        <v>#VALUE!</v>
      </c>
      <c r="H17" s="31" t="e">
        <f>+ACUMULADOS!AO17</f>
        <v>#VALUE!</v>
      </c>
      <c r="I17" s="31" t="e">
        <f>+ACUMULADOS!AO20</f>
        <v>#VALUE!</v>
      </c>
      <c r="J17" s="569" t="e">
        <f>+ACUMULADOS!AO23</f>
        <v>#VALUE!</v>
      </c>
      <c r="K17" s="569" t="e">
        <f>+ACUMULADOS!AO26</f>
        <v>#VALUE!</v>
      </c>
      <c r="L17" s="569" t="e">
        <f>+ACUMULADOS!AO29</f>
        <v>#VALUE!</v>
      </c>
      <c r="M17" s="569" t="e">
        <f>+ACUMULADOS!AO32</f>
        <v>#VALUE!</v>
      </c>
      <c r="N17" s="569" t="e">
        <f>+ACUMULADOS!AO35</f>
        <v>#VALUE!</v>
      </c>
      <c r="O17" s="32" t="e">
        <f ca="1">AVERAGE(C17:N17)</f>
        <v>#VALUE!</v>
      </c>
      <c r="P17" s="3"/>
      <c r="Q17" s="3"/>
      <c r="R17" s="3"/>
      <c r="S17" s="3"/>
      <c r="T17" s="3"/>
      <c r="U17" s="3"/>
      <c r="V17" s="3"/>
      <c r="W17" s="3"/>
      <c r="X17" s="3"/>
      <c r="Y17" s="3"/>
      <c r="Z17" s="3"/>
    </row>
    <row r="18" spans="1:26" ht="15.75" customHeight="1">
      <c r="A18" s="16" t="s">
        <v>12</v>
      </c>
      <c r="B18" s="17" t="s">
        <v>4</v>
      </c>
      <c r="C18" s="25">
        <f t="shared" ref="C18:N18" ca="1" si="5">+C17*C9</f>
        <v>-155.1592456593458</v>
      </c>
      <c r="D18" s="25">
        <f t="shared" si="5"/>
        <v>-416.97658875059358</v>
      </c>
      <c r="E18" s="25" t="e">
        <f t="shared" si="5"/>
        <v>#VALUE!</v>
      </c>
      <c r="F18" s="25" t="e">
        <f t="shared" si="5"/>
        <v>#VALUE!</v>
      </c>
      <c r="G18" s="25" t="e">
        <f t="shared" si="5"/>
        <v>#VALUE!</v>
      </c>
      <c r="H18" s="25" t="e">
        <f t="shared" si="5"/>
        <v>#VALUE!</v>
      </c>
      <c r="I18" s="25" t="e">
        <f t="shared" si="5"/>
        <v>#VALUE!</v>
      </c>
      <c r="J18" s="25" t="e">
        <f t="shared" si="5"/>
        <v>#VALUE!</v>
      </c>
      <c r="K18" s="25" t="e">
        <f t="shared" si="5"/>
        <v>#VALUE!</v>
      </c>
      <c r="L18" s="25" t="e">
        <f t="shared" si="5"/>
        <v>#VALUE!</v>
      </c>
      <c r="M18" s="25" t="e">
        <f t="shared" si="5"/>
        <v>#VALUE!</v>
      </c>
      <c r="N18" s="25" t="e">
        <f t="shared" si="5"/>
        <v>#VALUE!</v>
      </c>
      <c r="O18" s="509" t="e">
        <f ca="1">SUM(C18:N18)</f>
        <v>#VALUE!</v>
      </c>
      <c r="P18" s="3"/>
      <c r="Q18" s="3"/>
      <c r="R18" s="3"/>
      <c r="S18" s="3"/>
      <c r="T18" s="3"/>
      <c r="U18" s="3"/>
      <c r="V18" s="3"/>
      <c r="W18" s="3"/>
      <c r="X18" s="3"/>
      <c r="Y18" s="3"/>
      <c r="Z18" s="3"/>
    </row>
    <row r="19" spans="1:26" ht="6" customHeight="1">
      <c r="A19" s="26"/>
      <c r="B19" s="11"/>
      <c r="C19" s="12"/>
      <c r="D19" s="12"/>
      <c r="E19" s="12"/>
      <c r="F19" s="12"/>
      <c r="G19" s="12"/>
      <c r="H19" s="12"/>
      <c r="I19" s="13"/>
      <c r="J19" s="566"/>
      <c r="K19" s="566"/>
      <c r="L19" s="566"/>
      <c r="M19" s="566"/>
      <c r="N19" s="566"/>
      <c r="O19" s="14"/>
      <c r="P19" s="3"/>
      <c r="Q19" s="3"/>
      <c r="R19" s="3"/>
      <c r="S19" s="3"/>
      <c r="T19" s="3"/>
      <c r="U19" s="3"/>
      <c r="V19" s="3"/>
      <c r="W19" s="3"/>
      <c r="X19" s="3"/>
      <c r="Y19" s="3"/>
      <c r="Z19" s="3"/>
    </row>
    <row r="20" spans="1:26" ht="15.75" customHeight="1">
      <c r="A20" s="10" t="s">
        <v>13</v>
      </c>
      <c r="B20" s="11"/>
      <c r="C20" s="13"/>
      <c r="D20" s="13"/>
      <c r="E20" s="13"/>
      <c r="F20" s="13"/>
      <c r="G20" s="13"/>
      <c r="H20" s="13"/>
      <c r="I20" s="13"/>
      <c r="J20" s="566"/>
      <c r="K20" s="566"/>
      <c r="L20" s="566"/>
      <c r="M20" s="566"/>
      <c r="N20" s="566"/>
      <c r="O20" s="3"/>
      <c r="P20" s="3"/>
      <c r="Q20" s="3"/>
      <c r="R20" s="3"/>
      <c r="S20" s="3"/>
      <c r="T20" s="3"/>
      <c r="U20" s="3"/>
      <c r="V20" s="3"/>
      <c r="W20" s="3"/>
      <c r="X20" s="3"/>
      <c r="Y20" s="3"/>
      <c r="Z20" s="3"/>
    </row>
    <row r="21" spans="1:26" s="302" customFormat="1" ht="15.75" customHeight="1">
      <c r="A21" s="30" t="s">
        <v>344</v>
      </c>
      <c r="B21" s="300" t="s">
        <v>8</v>
      </c>
      <c r="C21" s="301">
        <f>+C9*1000000/(C5*50)</f>
        <v>666.40839430165204</v>
      </c>
      <c r="D21" s="301">
        <f>+D9*1000000/(D5*50)</f>
        <v>579.85912858600409</v>
      </c>
      <c r="E21" s="301">
        <f t="shared" ref="E21:N21" si="6">+E9*1000000/(E5*50)</f>
        <v>572.17016630707678</v>
      </c>
      <c r="F21" s="301" t="e">
        <f t="shared" si="6"/>
        <v>#DIV/0!</v>
      </c>
      <c r="G21" s="301" t="e">
        <f t="shared" si="6"/>
        <v>#DIV/0!</v>
      </c>
      <c r="H21" s="301" t="e">
        <f>+H9*1000000/(H5*50)</f>
        <v>#DIV/0!</v>
      </c>
      <c r="I21" s="301" t="e">
        <f t="shared" si="6"/>
        <v>#DIV/0!</v>
      </c>
      <c r="J21" s="301" t="e">
        <f t="shared" si="6"/>
        <v>#DIV/0!</v>
      </c>
      <c r="K21" s="301" t="e">
        <f t="shared" si="6"/>
        <v>#DIV/0!</v>
      </c>
      <c r="L21" s="301" t="e">
        <f t="shared" si="6"/>
        <v>#DIV/0!</v>
      </c>
      <c r="M21" s="301" t="e">
        <f t="shared" si="6"/>
        <v>#DIV/0!</v>
      </c>
      <c r="N21" s="301" t="e">
        <f t="shared" si="6"/>
        <v>#DIV/0!</v>
      </c>
      <c r="O21" s="750">
        <f>+(O9*1000000)/(O7*1000)</f>
        <v>602.47448392107833</v>
      </c>
      <c r="P21" s="3"/>
      <c r="Q21" s="3"/>
      <c r="R21" s="3"/>
      <c r="S21" s="3"/>
      <c r="T21" s="3"/>
      <c r="U21" s="3"/>
      <c r="V21" s="3"/>
      <c r="W21" s="3"/>
      <c r="X21" s="3"/>
      <c r="Y21" s="3"/>
      <c r="Z21" s="3"/>
    </row>
    <row r="22" spans="1:26" ht="15.75" hidden="1" customHeight="1">
      <c r="A22" s="30" t="s">
        <v>345</v>
      </c>
      <c r="B22" s="11" t="s">
        <v>15</v>
      </c>
      <c r="C22" s="20">
        <f>+C21/(1+C63)</f>
        <v>586.62710765990494</v>
      </c>
      <c r="D22" s="20">
        <f t="shared" ref="D22:N22" si="7">+D21/(1+D63)</f>
        <v>495.54679661066547</v>
      </c>
      <c r="E22" s="20">
        <f t="shared" si="7"/>
        <v>521.57717986059868</v>
      </c>
      <c r="F22" s="20" t="e">
        <f t="shared" si="7"/>
        <v>#DIV/0!</v>
      </c>
      <c r="G22" s="20" t="e">
        <f t="shared" si="7"/>
        <v>#DIV/0!</v>
      </c>
      <c r="H22" s="20" t="e">
        <f t="shared" si="7"/>
        <v>#DIV/0!</v>
      </c>
      <c r="I22" s="20" t="e">
        <f t="shared" si="7"/>
        <v>#DIV/0!</v>
      </c>
      <c r="J22" s="20" t="e">
        <f t="shared" si="7"/>
        <v>#DIV/0!</v>
      </c>
      <c r="K22" s="20" t="e">
        <f t="shared" si="7"/>
        <v>#DIV/0!</v>
      </c>
      <c r="L22" s="20" t="e">
        <f t="shared" si="7"/>
        <v>#DIV/0!</v>
      </c>
      <c r="M22" s="20" t="e">
        <f t="shared" si="7"/>
        <v>#DIV/0!</v>
      </c>
      <c r="N22" s="20" t="e">
        <f t="shared" si="7"/>
        <v>#DIV/0!</v>
      </c>
      <c r="O22" s="750">
        <f>+((O9*1000000)/(1+'CONSOLIDADO VTAS'!L881))/(KPI´S!O7*1000)</f>
        <v>505.33715277319925</v>
      </c>
      <c r="P22" s="745"/>
      <c r="Q22" s="3"/>
      <c r="R22" s="522"/>
      <c r="S22" s="3"/>
      <c r="T22" s="3"/>
      <c r="U22" s="3"/>
      <c r="V22" s="3"/>
      <c r="W22" s="3"/>
      <c r="X22" s="3"/>
      <c r="Y22" s="3"/>
      <c r="Z22" s="3"/>
    </row>
    <row r="23" spans="1:26" ht="15.75" customHeight="1">
      <c r="A23" s="30" t="s">
        <v>346</v>
      </c>
      <c r="B23" s="11" t="s">
        <v>16</v>
      </c>
      <c r="C23" s="496">
        <f>+C22/C54*1000</f>
        <v>415.45829154384199</v>
      </c>
      <c r="D23" s="496">
        <f t="shared" ref="D23:N23" si="8">+D22/D54*1000</f>
        <v>326.25225193898683</v>
      </c>
      <c r="E23" s="496">
        <f t="shared" si="8"/>
        <v>337.31810262776912</v>
      </c>
      <c r="F23" s="496" t="e">
        <f t="shared" si="8"/>
        <v>#DIV/0!</v>
      </c>
      <c r="G23" s="496" t="e">
        <f t="shared" si="8"/>
        <v>#DIV/0!</v>
      </c>
      <c r="H23" s="496" t="e">
        <f t="shared" si="8"/>
        <v>#DIV/0!</v>
      </c>
      <c r="I23" s="496" t="e">
        <f t="shared" si="8"/>
        <v>#DIV/0!</v>
      </c>
      <c r="J23" s="496" t="e">
        <f>+J22/J54*1000</f>
        <v>#DIV/0!</v>
      </c>
      <c r="K23" s="496" t="e">
        <f t="shared" si="8"/>
        <v>#DIV/0!</v>
      </c>
      <c r="L23" s="496" t="e">
        <f t="shared" si="8"/>
        <v>#DIV/0!</v>
      </c>
      <c r="M23" s="496" t="e">
        <f t="shared" si="8"/>
        <v>#DIV/0!</v>
      </c>
      <c r="N23" s="496" t="e">
        <f t="shared" si="8"/>
        <v>#DIV/0!</v>
      </c>
      <c r="O23" s="751">
        <f>+O10*1000/(1+'CONSOLIDADO VTAS'!L881)/KPI´S!O7</f>
        <v>339.08478308227484</v>
      </c>
      <c r="P23" s="33"/>
      <c r="Q23" s="573"/>
      <c r="R23" s="746"/>
      <c r="S23" s="3"/>
      <c r="T23" s="3"/>
      <c r="U23" s="3"/>
      <c r="V23" s="3"/>
      <c r="W23" s="3"/>
      <c r="X23" s="3"/>
      <c r="Y23" s="3"/>
      <c r="Z23" s="3"/>
    </row>
    <row r="24" spans="1:26" ht="15.75" hidden="1" customHeight="1">
      <c r="A24" s="30" t="s">
        <v>17</v>
      </c>
      <c r="B24" s="11" t="s">
        <v>8</v>
      </c>
      <c r="C24" s="20">
        <f>+C9*1000000/C5</f>
        <v>33320.4197150826</v>
      </c>
      <c r="D24" s="20">
        <f t="shared" ref="D24:N24" si="9">+D9*1000000/D5</f>
        <v>28992.956429300204</v>
      </c>
      <c r="E24" s="20">
        <f t="shared" si="9"/>
        <v>28608.508315353836</v>
      </c>
      <c r="F24" s="20" t="e">
        <f t="shared" si="9"/>
        <v>#DIV/0!</v>
      </c>
      <c r="G24" s="20" t="e">
        <f t="shared" si="9"/>
        <v>#DIV/0!</v>
      </c>
      <c r="H24" s="20" t="e">
        <f t="shared" si="9"/>
        <v>#DIV/0!</v>
      </c>
      <c r="I24" s="20" t="e">
        <f t="shared" si="9"/>
        <v>#DIV/0!</v>
      </c>
      <c r="J24" s="20" t="e">
        <f t="shared" si="9"/>
        <v>#DIV/0!</v>
      </c>
      <c r="K24" s="20" t="e">
        <f t="shared" si="9"/>
        <v>#DIV/0!</v>
      </c>
      <c r="L24" s="20" t="e">
        <f t="shared" si="9"/>
        <v>#DIV/0!</v>
      </c>
      <c r="M24" s="20" t="e">
        <f t="shared" si="9"/>
        <v>#DIV/0!</v>
      </c>
      <c r="N24" s="20" t="e">
        <f t="shared" si="9"/>
        <v>#DIV/0!</v>
      </c>
      <c r="O24" s="482">
        <f>+O9*1000000/O5</f>
        <v>30123.724196053921</v>
      </c>
      <c r="P24" s="3"/>
      <c r="Q24" s="3"/>
      <c r="R24" s="745"/>
      <c r="S24" s="746"/>
      <c r="T24" s="3"/>
      <c r="U24" s="3"/>
      <c r="V24" s="3"/>
      <c r="W24" s="3"/>
      <c r="X24" s="3"/>
      <c r="Y24" s="3"/>
      <c r="Z24" s="3"/>
    </row>
    <row r="25" spans="1:26" ht="12" customHeight="1">
      <c r="A25" s="15"/>
      <c r="B25" s="11"/>
      <c r="C25" s="493"/>
      <c r="D25" s="493"/>
      <c r="E25" s="493"/>
      <c r="F25" s="12"/>
      <c r="G25" s="12"/>
      <c r="H25" s="12"/>
      <c r="I25" s="13"/>
      <c r="J25" s="566"/>
      <c r="K25" s="566"/>
      <c r="L25" s="566"/>
      <c r="M25" s="566"/>
      <c r="N25" s="566"/>
      <c r="O25" s="14"/>
      <c r="P25" s="3"/>
      <c r="Q25" s="3"/>
      <c r="R25" s="272"/>
      <c r="S25" s="3"/>
      <c r="T25" s="3"/>
      <c r="U25" s="3"/>
      <c r="V25" s="3"/>
      <c r="W25" s="3"/>
      <c r="X25" s="3"/>
      <c r="Y25" s="3"/>
      <c r="Z25" s="3"/>
    </row>
    <row r="26" spans="1:26" ht="15.75" customHeight="1">
      <c r="A26" s="10" t="s">
        <v>18</v>
      </c>
      <c r="B26" s="11"/>
      <c r="C26" s="237"/>
      <c r="D26" s="237"/>
      <c r="E26" s="237"/>
      <c r="F26" s="237"/>
      <c r="G26" s="237"/>
      <c r="H26" s="237"/>
      <c r="I26" s="237"/>
      <c r="J26" s="237"/>
      <c r="K26" s="237"/>
      <c r="L26" s="237"/>
      <c r="M26" s="237"/>
      <c r="N26" s="237"/>
      <c r="O26" s="237"/>
      <c r="P26" s="3"/>
      <c r="Q26" s="3"/>
      <c r="R26" s="747"/>
      <c r="S26" s="3"/>
      <c r="T26" s="3"/>
      <c r="U26" s="3"/>
      <c r="V26" s="3"/>
      <c r="W26" s="3"/>
      <c r="X26" s="3"/>
      <c r="Y26" s="3"/>
      <c r="Z26" s="3"/>
    </row>
    <row r="27" spans="1:26" ht="15.75" hidden="1" customHeight="1">
      <c r="A27" s="454" t="s">
        <v>19</v>
      </c>
      <c r="B27" s="11" t="s">
        <v>20</v>
      </c>
      <c r="C27" s="20">
        <f ca="1">+(C12-C57)*(1+C63)</f>
        <v>33065.454814520926</v>
      </c>
      <c r="D27" s="20">
        <f t="shared" ref="D27:N27" si="10">+(D12-D57)*(1+D63)</f>
        <v>30662.90068702821</v>
      </c>
      <c r="E27" s="20" t="e">
        <f t="shared" si="10"/>
        <v>#VALUE!</v>
      </c>
      <c r="F27" s="20" t="e">
        <f t="shared" si="10"/>
        <v>#VALUE!</v>
      </c>
      <c r="G27" s="20" t="e">
        <f t="shared" si="10"/>
        <v>#VALUE!</v>
      </c>
      <c r="H27" s="20" t="e">
        <f t="shared" si="10"/>
        <v>#VALUE!</v>
      </c>
      <c r="I27" s="20" t="e">
        <f t="shared" si="10"/>
        <v>#VALUE!</v>
      </c>
      <c r="J27" s="20" t="e">
        <f t="shared" si="10"/>
        <v>#VALUE!</v>
      </c>
      <c r="K27" s="20" t="e">
        <f t="shared" si="10"/>
        <v>#VALUE!</v>
      </c>
      <c r="L27" s="20" t="e">
        <f t="shared" si="10"/>
        <v>#VALUE!</v>
      </c>
      <c r="M27" s="20" t="e">
        <f t="shared" si="10"/>
        <v>#VALUE!</v>
      </c>
      <c r="N27" s="20" t="e">
        <f t="shared" si="10"/>
        <v>#VALUE!</v>
      </c>
      <c r="O27" s="3"/>
      <c r="P27" s="3"/>
      <c r="Q27" s="3"/>
      <c r="R27" s="3"/>
      <c r="S27" s="3"/>
      <c r="T27" s="3"/>
      <c r="U27" s="3"/>
      <c r="V27" s="3"/>
      <c r="W27" s="3"/>
      <c r="X27" s="3"/>
      <c r="Y27" s="3"/>
      <c r="Z27" s="3"/>
    </row>
    <row r="28" spans="1:26" ht="15.75" hidden="1" customHeight="1">
      <c r="A28" s="454" t="s">
        <v>21</v>
      </c>
      <c r="B28" s="11" t="s">
        <v>20</v>
      </c>
      <c r="C28" s="20">
        <f ca="1">+C56*C12</f>
        <v>923.62356635266656</v>
      </c>
      <c r="D28" s="20">
        <f t="shared" ref="D28:N28" si="11">+D56*D12</f>
        <v>840.12864217347169</v>
      </c>
      <c r="E28" s="20" t="e">
        <f t="shared" si="11"/>
        <v>#VALUE!</v>
      </c>
      <c r="F28" s="20" t="e">
        <f t="shared" si="11"/>
        <v>#VALUE!</v>
      </c>
      <c r="G28" s="20" t="e">
        <f t="shared" si="11"/>
        <v>#VALUE!</v>
      </c>
      <c r="H28" s="20" t="e">
        <f t="shared" si="11"/>
        <v>#VALUE!</v>
      </c>
      <c r="I28" s="20" t="e">
        <f t="shared" si="11"/>
        <v>#VALUE!</v>
      </c>
      <c r="J28" s="20" t="e">
        <f t="shared" si="11"/>
        <v>#VALUE!</v>
      </c>
      <c r="K28" s="20" t="e">
        <f t="shared" si="11"/>
        <v>#VALUE!</v>
      </c>
      <c r="L28" s="20" t="e">
        <f t="shared" si="11"/>
        <v>#VALUE!</v>
      </c>
      <c r="M28" s="20" t="e">
        <f t="shared" si="11"/>
        <v>#VALUE!</v>
      </c>
      <c r="N28" s="20" t="e">
        <f t="shared" si="11"/>
        <v>#VALUE!</v>
      </c>
      <c r="O28" s="3"/>
      <c r="P28" s="3"/>
      <c r="Q28" s="3"/>
      <c r="R28" s="3"/>
      <c r="S28" s="3"/>
      <c r="T28" s="3"/>
      <c r="U28" s="3"/>
      <c r="V28" s="3"/>
      <c r="W28" s="3"/>
      <c r="X28" s="3"/>
      <c r="Y28" s="3"/>
      <c r="Z28" s="3"/>
    </row>
    <row r="29" spans="1:26" ht="15.75" hidden="1" customHeight="1">
      <c r="A29" s="10" t="s">
        <v>22</v>
      </c>
      <c r="B29" s="11" t="s">
        <v>20</v>
      </c>
      <c r="C29" s="20">
        <f ca="1">SUM(C27:C28)</f>
        <v>33989.078380873594</v>
      </c>
      <c r="D29" s="20">
        <f t="shared" ref="D29:N29" si="12">SUM(D27:D28)</f>
        <v>31503.029329201683</v>
      </c>
      <c r="E29" s="20" t="e">
        <f t="shared" si="12"/>
        <v>#VALUE!</v>
      </c>
      <c r="F29" s="20" t="e">
        <f t="shared" si="12"/>
        <v>#VALUE!</v>
      </c>
      <c r="G29" s="20" t="e">
        <f t="shared" si="12"/>
        <v>#VALUE!</v>
      </c>
      <c r="H29" s="20" t="e">
        <f t="shared" si="12"/>
        <v>#VALUE!</v>
      </c>
      <c r="I29" s="20" t="e">
        <f t="shared" si="12"/>
        <v>#VALUE!</v>
      </c>
      <c r="J29" s="20" t="e">
        <f t="shared" si="12"/>
        <v>#VALUE!</v>
      </c>
      <c r="K29" s="20" t="e">
        <f t="shared" si="12"/>
        <v>#VALUE!</v>
      </c>
      <c r="L29" s="20" t="e">
        <f t="shared" si="12"/>
        <v>#VALUE!</v>
      </c>
      <c r="M29" s="20" t="e">
        <f t="shared" si="12"/>
        <v>#VALUE!</v>
      </c>
      <c r="N29" s="20" t="e">
        <f t="shared" si="12"/>
        <v>#VALUE!</v>
      </c>
      <c r="O29" s="27" t="e">
        <f ca="1">AVERAGE(C29:I29)</f>
        <v>#VALUE!</v>
      </c>
      <c r="P29" s="747"/>
      <c r="Q29" s="3"/>
      <c r="R29" s="3"/>
      <c r="S29" s="3"/>
      <c r="T29" s="3"/>
      <c r="U29" s="3"/>
      <c r="V29" s="3"/>
      <c r="W29" s="3"/>
      <c r="X29" s="3"/>
      <c r="Y29" s="3"/>
      <c r="Z29" s="3"/>
    </row>
    <row r="30" spans="1:26" ht="15.75" hidden="1" customHeight="1">
      <c r="A30" s="10" t="s">
        <v>23</v>
      </c>
      <c r="B30" s="11" t="s">
        <v>8</v>
      </c>
      <c r="C30" s="20">
        <f ca="1">+C29/50</f>
        <v>679.78156761747186</v>
      </c>
      <c r="D30" s="20">
        <f t="shared" ref="D30:N30" si="13">+D29/50</f>
        <v>630.06058658403367</v>
      </c>
      <c r="E30" s="20" t="e">
        <f t="shared" si="13"/>
        <v>#VALUE!</v>
      </c>
      <c r="F30" s="20" t="e">
        <f t="shared" si="13"/>
        <v>#VALUE!</v>
      </c>
      <c r="G30" s="20" t="e">
        <f t="shared" si="13"/>
        <v>#VALUE!</v>
      </c>
      <c r="H30" s="20" t="e">
        <f t="shared" si="13"/>
        <v>#VALUE!</v>
      </c>
      <c r="I30" s="20" t="e">
        <f t="shared" si="13"/>
        <v>#VALUE!</v>
      </c>
      <c r="J30" s="20" t="e">
        <f t="shared" si="13"/>
        <v>#VALUE!</v>
      </c>
      <c r="K30" s="20" t="e">
        <f t="shared" si="13"/>
        <v>#VALUE!</v>
      </c>
      <c r="L30" s="20" t="e">
        <f t="shared" si="13"/>
        <v>#VALUE!</v>
      </c>
      <c r="M30" s="20" t="e">
        <f t="shared" si="13"/>
        <v>#VALUE!</v>
      </c>
      <c r="N30" s="20" t="e">
        <f t="shared" si="13"/>
        <v>#VALUE!</v>
      </c>
      <c r="O30" s="27" t="e">
        <f ca="1">AVERAGE(C30:I30)</f>
        <v>#VALUE!</v>
      </c>
      <c r="P30" s="272"/>
      <c r="Q30" s="3"/>
      <c r="R30" s="3"/>
      <c r="S30" s="3"/>
      <c r="T30" s="3"/>
      <c r="U30" s="3"/>
      <c r="V30" s="3"/>
      <c r="W30" s="3"/>
      <c r="X30" s="3"/>
      <c r="Y30" s="3"/>
      <c r="Z30" s="3"/>
    </row>
    <row r="31" spans="1:26" ht="15.75" customHeight="1">
      <c r="A31" s="10" t="s">
        <v>254</v>
      </c>
      <c r="B31" s="11" t="s">
        <v>15</v>
      </c>
      <c r="C31" s="575">
        <f>+C22+(C64/50)-(C57/50)</f>
        <v>491.44710765990499</v>
      </c>
      <c r="D31" s="575">
        <f>+D22+(D64/50)-(D57/50)</f>
        <v>407.44679661066544</v>
      </c>
      <c r="E31" s="575">
        <f t="shared" ref="E31:N31" si="14">+E22+(E64/50)-(E57/50)</f>
        <v>439.57717986059868</v>
      </c>
      <c r="F31" s="575" t="e">
        <f t="shared" si="14"/>
        <v>#DIV/0!</v>
      </c>
      <c r="G31" s="575" t="e">
        <f t="shared" si="14"/>
        <v>#DIV/0!</v>
      </c>
      <c r="H31" s="575" t="e">
        <f t="shared" si="14"/>
        <v>#DIV/0!</v>
      </c>
      <c r="I31" s="575" t="e">
        <f t="shared" si="14"/>
        <v>#DIV/0!</v>
      </c>
      <c r="J31" s="575" t="e">
        <f t="shared" si="14"/>
        <v>#DIV/0!</v>
      </c>
      <c r="K31" s="575" t="e">
        <f t="shared" si="14"/>
        <v>#DIV/0!</v>
      </c>
      <c r="L31" s="575" t="e">
        <f t="shared" si="14"/>
        <v>#DIV/0!</v>
      </c>
      <c r="M31" s="575" t="e">
        <f t="shared" si="14"/>
        <v>#DIV/0!</v>
      </c>
      <c r="N31" s="575" t="e">
        <f t="shared" si="14"/>
        <v>#DIV/0!</v>
      </c>
      <c r="O31" s="482" t="e">
        <f>AVERAGE(C31:N31)</f>
        <v>#DIV/0!</v>
      </c>
      <c r="P31" s="272"/>
      <c r="Q31" s="272"/>
      <c r="R31" s="745"/>
      <c r="S31" s="3"/>
      <c r="T31" s="3"/>
      <c r="U31" s="3"/>
      <c r="V31" s="3"/>
      <c r="W31" s="3"/>
      <c r="X31" s="3"/>
      <c r="Y31" s="3"/>
      <c r="Z31" s="3"/>
    </row>
    <row r="32" spans="1:26" ht="15.75" customHeight="1">
      <c r="A32" s="30" t="s">
        <v>24</v>
      </c>
      <c r="B32" s="452" t="s">
        <v>15</v>
      </c>
      <c r="C32" s="576">
        <f>+'RESUMEN AVANCE MES'!D9</f>
        <v>850</v>
      </c>
      <c r="D32" s="576">
        <f>+'RESUMEN AVANCE MES'!D20</f>
        <v>900</v>
      </c>
      <c r="E32" s="576">
        <f>+'RESUMEN AVANCE MES'!D31</f>
        <v>900</v>
      </c>
      <c r="F32" s="576">
        <f>+'RESUMEN AVANCE MES'!D42</f>
        <v>0</v>
      </c>
      <c r="G32" s="576">
        <f>+'RESUMEN AVANCE MES'!D53</f>
        <v>0</v>
      </c>
      <c r="H32" s="576">
        <f>+'RESUMEN AVANCE MES'!D64</f>
        <v>0</v>
      </c>
      <c r="I32" s="576">
        <f>+'RESUMEN AVANCE MES'!D75</f>
        <v>0</v>
      </c>
      <c r="J32" s="576">
        <f>+'RESUMEN AVANCE MES'!D86</f>
        <v>0</v>
      </c>
      <c r="K32" s="576">
        <f>+'RESUMEN AVANCE MES'!D97</f>
        <v>0</v>
      </c>
      <c r="L32" s="576">
        <f>+'RESUMEN AVANCE MES'!D108</f>
        <v>0</v>
      </c>
      <c r="M32" s="576">
        <f>+'RESUMEN AVANCE MES'!D119</f>
        <v>0</v>
      </c>
      <c r="N32" s="576">
        <v>870</v>
      </c>
      <c r="O32" s="482">
        <f>AVERAGE(C32:N32)</f>
        <v>293.33333333333331</v>
      </c>
      <c r="P32" s="272"/>
      <c r="Q32" s="3"/>
      <c r="R32" s="747"/>
      <c r="S32" s="3"/>
      <c r="T32" s="3"/>
      <c r="U32" s="3"/>
      <c r="V32" s="3"/>
      <c r="W32" s="3"/>
      <c r="X32" s="3"/>
      <c r="Y32" s="3"/>
      <c r="Z32" s="3"/>
    </row>
    <row r="33" spans="1:26" ht="15.75" customHeight="1">
      <c r="A33" s="16" t="s">
        <v>25</v>
      </c>
      <c r="B33" s="34"/>
      <c r="C33" s="577">
        <f>+C31/C32-1</f>
        <v>-0.4218269321648177</v>
      </c>
      <c r="D33" s="577">
        <f t="shared" ref="D33:N33" si="15">+D31/D32-1</f>
        <v>-0.54728133709926063</v>
      </c>
      <c r="E33" s="577">
        <f>+E31/E32-1</f>
        <v>-0.51158091126600147</v>
      </c>
      <c r="F33" s="577" t="e">
        <f t="shared" si="15"/>
        <v>#DIV/0!</v>
      </c>
      <c r="G33" s="577" t="e">
        <f t="shared" si="15"/>
        <v>#DIV/0!</v>
      </c>
      <c r="H33" s="577" t="e">
        <f t="shared" si="15"/>
        <v>#DIV/0!</v>
      </c>
      <c r="I33" s="577" t="e">
        <f t="shared" si="15"/>
        <v>#DIV/0!</v>
      </c>
      <c r="J33" s="577" t="e">
        <f t="shared" si="15"/>
        <v>#DIV/0!</v>
      </c>
      <c r="K33" s="577" t="e">
        <f t="shared" si="15"/>
        <v>#DIV/0!</v>
      </c>
      <c r="L33" s="577" t="e">
        <f t="shared" si="15"/>
        <v>#DIV/0!</v>
      </c>
      <c r="M33" s="577" t="e">
        <f t="shared" si="15"/>
        <v>#DIV/0!</v>
      </c>
      <c r="N33" s="577" t="e">
        <f t="shared" si="15"/>
        <v>#DIV/0!</v>
      </c>
      <c r="O33" s="35" t="e">
        <f>+O31/O32-1</f>
        <v>#DIV/0!</v>
      </c>
      <c r="P33" s="3"/>
      <c r="Q33" s="3"/>
      <c r="R33" s="3"/>
      <c r="S33" s="3"/>
      <c r="T33" s="3"/>
      <c r="U33" s="3"/>
      <c r="V33" s="3"/>
      <c r="W33" s="3"/>
      <c r="X33" s="3"/>
      <c r="Y33" s="3"/>
      <c r="Z33" s="3"/>
    </row>
    <row r="34" spans="1:26" ht="15.75" customHeight="1">
      <c r="A34" s="3"/>
      <c r="B34" s="2"/>
      <c r="C34" s="31"/>
      <c r="D34" s="31"/>
      <c r="E34" s="31"/>
      <c r="F34" s="31"/>
      <c r="G34" s="31"/>
      <c r="H34" s="31"/>
      <c r="I34" s="31"/>
      <c r="J34" s="31"/>
      <c r="K34" s="31"/>
      <c r="L34" s="31"/>
      <c r="M34" s="31"/>
      <c r="N34" s="31"/>
      <c r="O34" s="31"/>
      <c r="P34" s="3"/>
      <c r="Q34" s="3"/>
      <c r="R34" s="3"/>
      <c r="S34" s="3"/>
      <c r="T34" s="3"/>
      <c r="U34" s="3"/>
      <c r="V34" s="3"/>
      <c r="W34" s="3"/>
      <c r="X34" s="3"/>
      <c r="Y34" s="3"/>
      <c r="Z34" s="3"/>
    </row>
    <row r="35" spans="1:26" ht="15.75" customHeight="1">
      <c r="A35" s="10" t="s">
        <v>248</v>
      </c>
      <c r="B35" s="2"/>
      <c r="C35" s="523"/>
      <c r="D35" s="523"/>
      <c r="E35" s="523"/>
      <c r="F35" s="523"/>
      <c r="G35" s="523"/>
      <c r="H35" s="523"/>
      <c r="I35" s="523"/>
      <c r="J35" s="523"/>
      <c r="K35" s="523"/>
      <c r="L35" s="523"/>
      <c r="M35" s="523"/>
      <c r="N35" s="564"/>
      <c r="O35" s="27"/>
      <c r="P35" s="3"/>
      <c r="Q35" s="3"/>
      <c r="R35" s="3"/>
      <c r="S35" s="3"/>
      <c r="T35" s="3"/>
      <c r="U35" s="3"/>
      <c r="V35" s="3"/>
      <c r="W35" s="3"/>
      <c r="X35" s="3"/>
      <c r="Y35" s="3"/>
      <c r="Z35" s="3"/>
    </row>
    <row r="36" spans="1:26" ht="15.75" customHeight="1">
      <c r="A36" s="30" t="s">
        <v>26</v>
      </c>
      <c r="B36" s="11" t="s">
        <v>27</v>
      </c>
      <c r="C36" s="36" t="e">
        <f>C5/'COMPARATIVO ANUAL'!I10-1</f>
        <v>#DIV/0!</v>
      </c>
      <c r="D36" s="36" t="e">
        <f>D5/'COMPARATIVO ANUAL'!I11-1</f>
        <v>#DIV/0!</v>
      </c>
      <c r="E36" s="36" t="e">
        <f>E5/'COMPARATIVO ANUAL'!I12-1</f>
        <v>#DIV/0!</v>
      </c>
      <c r="F36" s="36" t="e">
        <f>F5/'COMPARATIVO ANUAL'!I13-1</f>
        <v>#DIV/0!</v>
      </c>
      <c r="G36" s="36" t="e">
        <f>G5/'COMPARATIVO ANUAL'!I14-1</f>
        <v>#DIV/0!</v>
      </c>
      <c r="H36" s="36" t="e">
        <f>H5/'COMPARATIVO ANUAL'!I15-1</f>
        <v>#DIV/0!</v>
      </c>
      <c r="I36" s="36" t="e">
        <f>I5/'COMPARATIVO ANUAL'!I16-1</f>
        <v>#DIV/0!</v>
      </c>
      <c r="J36" s="36" t="e">
        <f>J5/'COMPARATIVO ANUAL'!I17-1</f>
        <v>#DIV/0!</v>
      </c>
      <c r="K36" s="36" t="e">
        <f>K5/'COMPARATIVO ANUAL'!I18-1</f>
        <v>#DIV/0!</v>
      </c>
      <c r="L36" s="36" t="e">
        <f>L5/'COMPARATIVO ANUAL'!I19-1</f>
        <v>#DIV/0!</v>
      </c>
      <c r="M36" s="36" t="e">
        <f>M5/'COMPARATIVO ANUAL'!I20-1</f>
        <v>#DIV/0!</v>
      </c>
      <c r="N36" s="36" t="e">
        <f>N5/'COMPARATIVO ANUAL'!I21-1</f>
        <v>#DIV/0!</v>
      </c>
      <c r="O36" s="37" t="e">
        <f>+O5/O37-1</f>
        <v>#DIV/0!</v>
      </c>
      <c r="P36" s="272"/>
      <c r="Q36" s="3"/>
      <c r="R36" s="3"/>
      <c r="S36" s="3"/>
      <c r="T36" s="3"/>
      <c r="U36" s="3"/>
      <c r="V36" s="3"/>
      <c r="W36" s="3"/>
      <c r="X36" s="3"/>
      <c r="Y36" s="3"/>
      <c r="Z36" s="3"/>
    </row>
    <row r="37" spans="1:26" ht="15.75" customHeight="1">
      <c r="A37" s="38" t="s">
        <v>249</v>
      </c>
      <c r="B37" s="39" t="s">
        <v>28</v>
      </c>
      <c r="C37" s="453">
        <f>+'COMPARATIVO ANUAL'!I10</f>
        <v>0</v>
      </c>
      <c r="D37" s="453">
        <f>+'COMPARATIVO ANUAL'!I11</f>
        <v>0</v>
      </c>
      <c r="E37" s="453">
        <f>+'COMPARATIVO ANUAL'!I12</f>
        <v>0</v>
      </c>
      <c r="F37" s="453">
        <f>+'COMPARATIVO ANUAL'!I13</f>
        <v>0</v>
      </c>
      <c r="G37" s="453">
        <f>+'COMPARATIVO ANUAL'!I14</f>
        <v>0</v>
      </c>
      <c r="H37" s="453">
        <f>+'COMPARATIVO ANUAL'!I15</f>
        <v>0</v>
      </c>
      <c r="I37" s="453">
        <f>+'COMPARATIVO ANUAL'!I16</f>
        <v>0</v>
      </c>
      <c r="J37" s="453">
        <f>+'COMPARATIVO ANUAL'!I17</f>
        <v>0</v>
      </c>
      <c r="K37" s="453">
        <f>+'COMPARATIVO ANUAL'!I18</f>
        <v>0</v>
      </c>
      <c r="L37" s="453">
        <f>+'COMPARATIVO ANUAL'!I19</f>
        <v>0</v>
      </c>
      <c r="M37" s="453">
        <f>+'COMPARATIVO ANUAL'!I20</f>
        <v>0</v>
      </c>
      <c r="N37" s="453">
        <f>+'COMPARATIVO ANUAL'!I21</f>
        <v>0</v>
      </c>
      <c r="O37" s="271">
        <f>SUM(C37:N37)</f>
        <v>0</v>
      </c>
      <c r="P37" s="3"/>
      <c r="Q37" s="3"/>
      <c r="R37" s="3"/>
      <c r="S37" s="3"/>
      <c r="T37" s="3"/>
      <c r="U37" s="3"/>
      <c r="V37" s="3"/>
      <c r="W37" s="3"/>
      <c r="X37" s="3"/>
      <c r="Y37" s="3"/>
      <c r="Z37" s="3"/>
    </row>
    <row r="38" spans="1:26" ht="15.75" customHeight="1">
      <c r="A38" s="40" t="s">
        <v>29</v>
      </c>
      <c r="B38" s="41"/>
      <c r="C38" s="3"/>
      <c r="D38" s="3"/>
      <c r="E38" s="3"/>
      <c r="F38" s="3"/>
      <c r="G38" s="3"/>
      <c r="H38" s="3"/>
      <c r="I38" s="3"/>
      <c r="J38" s="281"/>
      <c r="K38" s="281"/>
      <c r="L38" s="281"/>
      <c r="M38" s="281"/>
      <c r="N38" s="281"/>
      <c r="O38" s="37"/>
      <c r="P38" s="3"/>
      <c r="Q38" s="3"/>
      <c r="R38" s="3"/>
      <c r="S38" s="3"/>
      <c r="T38" s="3"/>
      <c r="U38" s="3"/>
      <c r="V38" s="3"/>
      <c r="W38" s="3"/>
      <c r="X38" s="3"/>
      <c r="Y38" s="3"/>
      <c r="Z38" s="3"/>
    </row>
    <row r="39" spans="1:26" ht="15.75" customHeight="1">
      <c r="A39" s="30" t="s">
        <v>30</v>
      </c>
      <c r="B39" s="42" t="s">
        <v>31</v>
      </c>
      <c r="C39" s="31">
        <f>+C22/C42-1</f>
        <v>0.29011873958429835</v>
      </c>
      <c r="D39" s="31">
        <f t="shared" ref="D39:N39" si="16">+D22/D42-1</f>
        <v>-6.4829734907662084E-3</v>
      </c>
      <c r="E39" s="31">
        <f t="shared" si="16"/>
        <v>5.2449724882263293E-2</v>
      </c>
      <c r="F39" s="31" t="e">
        <f t="shared" si="16"/>
        <v>#DIV/0!</v>
      </c>
      <c r="G39" s="31" t="e">
        <f t="shared" si="16"/>
        <v>#DIV/0!</v>
      </c>
      <c r="H39" s="31" t="e">
        <f t="shared" si="16"/>
        <v>#DIV/0!</v>
      </c>
      <c r="I39" s="31" t="e">
        <f t="shared" si="16"/>
        <v>#DIV/0!</v>
      </c>
      <c r="J39" s="31" t="e">
        <f t="shared" si="16"/>
        <v>#DIV/0!</v>
      </c>
      <c r="K39" s="31" t="e">
        <f t="shared" si="16"/>
        <v>#DIV/0!</v>
      </c>
      <c r="L39" s="31" t="e">
        <f t="shared" si="16"/>
        <v>#DIV/0!</v>
      </c>
      <c r="M39" s="31" t="e">
        <f t="shared" si="16"/>
        <v>#DIV/0!</v>
      </c>
      <c r="N39" s="31" t="e">
        <f t="shared" si="16"/>
        <v>#DIV/0!</v>
      </c>
      <c r="O39" s="37" t="e">
        <f>AVERAGE(C39:N39)</f>
        <v>#DIV/0!</v>
      </c>
      <c r="P39" s="3"/>
      <c r="Q39" s="3"/>
      <c r="R39" s="3"/>
      <c r="S39" s="3"/>
      <c r="T39" s="3"/>
      <c r="U39" s="3"/>
      <c r="V39" s="3"/>
      <c r="W39" s="3"/>
      <c r="X39" s="3"/>
      <c r="Y39" s="3"/>
      <c r="Z39" s="3"/>
    </row>
    <row r="40" spans="1:26" ht="15.75" customHeight="1">
      <c r="A40" s="43" t="s">
        <v>32</v>
      </c>
      <c r="B40" s="42" t="s">
        <v>33</v>
      </c>
      <c r="C40" s="31">
        <f t="shared" ref="C40:O40" si="17">+((C22/C54)/(C42/C61))-1</f>
        <v>4.8476575878313222E-2</v>
      </c>
      <c r="D40" s="31">
        <f t="shared" si="17"/>
        <v>-0.22727548021085175</v>
      </c>
      <c r="E40" s="31">
        <f t="shared" si="17"/>
        <v>-0.13760382481882893</v>
      </c>
      <c r="F40" s="31" t="e">
        <f t="shared" si="17"/>
        <v>#DIV/0!</v>
      </c>
      <c r="G40" s="31" t="e">
        <f t="shared" si="17"/>
        <v>#DIV/0!</v>
      </c>
      <c r="H40" s="31" t="e">
        <f t="shared" si="17"/>
        <v>#DIV/0!</v>
      </c>
      <c r="I40" s="31" t="e">
        <f t="shared" si="17"/>
        <v>#DIV/0!</v>
      </c>
      <c r="J40" s="31" t="e">
        <f t="shared" si="17"/>
        <v>#DIV/0!</v>
      </c>
      <c r="K40" s="31" t="e">
        <f t="shared" si="17"/>
        <v>#DIV/0!</v>
      </c>
      <c r="L40" s="31" t="e">
        <f t="shared" si="17"/>
        <v>#DIV/0!</v>
      </c>
      <c r="M40" s="31" t="e">
        <f t="shared" si="17"/>
        <v>#DIV/0!</v>
      </c>
      <c r="N40" s="31" t="e">
        <f t="shared" si="17"/>
        <v>#DIV/0!</v>
      </c>
      <c r="O40" s="31">
        <f t="shared" si="17"/>
        <v>-0.22204767364104727</v>
      </c>
      <c r="P40" s="3"/>
      <c r="Q40" s="3"/>
      <c r="R40" s="3"/>
      <c r="S40" s="3"/>
      <c r="T40" s="3"/>
      <c r="U40" s="3"/>
      <c r="V40" s="3"/>
      <c r="W40" s="3"/>
      <c r="X40" s="3"/>
      <c r="Y40" s="3"/>
      <c r="Z40" s="3"/>
    </row>
    <row r="41" spans="1:26" ht="15.75" customHeight="1">
      <c r="A41" s="44"/>
      <c r="B41" s="2"/>
      <c r="C41" s="36"/>
      <c r="D41" s="36"/>
      <c r="E41" s="36"/>
      <c r="F41" s="36"/>
      <c r="G41" s="36"/>
      <c r="H41" s="36"/>
      <c r="I41" s="36"/>
      <c r="J41" s="570"/>
      <c r="K41" s="570"/>
      <c r="L41" s="570"/>
      <c r="M41" s="570"/>
      <c r="N41" s="570"/>
      <c r="O41" s="32"/>
      <c r="P41" s="3"/>
      <c r="Q41" s="3"/>
      <c r="R41" s="3"/>
      <c r="S41" s="3"/>
      <c r="T41" s="3"/>
      <c r="U41" s="3"/>
      <c r="V41" s="3"/>
      <c r="W41" s="3"/>
      <c r="X41" s="3"/>
      <c r="Y41" s="3"/>
      <c r="Z41" s="3"/>
    </row>
    <row r="42" spans="1:26" ht="15.75" customHeight="1">
      <c r="A42" s="45" t="s">
        <v>250</v>
      </c>
      <c r="B42" s="42" t="s">
        <v>15</v>
      </c>
      <c r="C42" s="579">
        <f>+'COMPARATIVO ANUAL'!F10</f>
        <v>454.70784173627902</v>
      </c>
      <c r="D42" s="579">
        <f>+'COMPARATIVO ANUAL'!F11</f>
        <v>498.7803765696811</v>
      </c>
      <c r="E42" s="579">
        <f>+'COMPARATIVO ANUAL'!F12</f>
        <v>495.58393862371628</v>
      </c>
      <c r="F42" s="579">
        <f>+'COMPARATIVO ANUAL'!F13</f>
        <v>443.34076817045758</v>
      </c>
      <c r="G42" s="579">
        <f>+'COMPARATIVO ANUAL'!F14</f>
        <v>421.68591258817077</v>
      </c>
      <c r="H42" s="579">
        <f>+'COMPARATIVO ANUAL'!F15</f>
        <v>453.84907976739834</v>
      </c>
      <c r="I42" s="579">
        <f>+'COMPARATIVO ANUAL'!F16</f>
        <v>482.29338935085872</v>
      </c>
      <c r="J42" s="580">
        <f>+'COMPARATIVO ANUAL'!F17</f>
        <v>518.40927829439022</v>
      </c>
      <c r="K42" s="580">
        <f>+'COMPARATIVO ANUAL'!F18</f>
        <v>617.72720053241267</v>
      </c>
      <c r="L42" s="580">
        <f>+'COMPARATIVO ANUAL'!F19</f>
        <v>642.7650727322391</v>
      </c>
      <c r="M42" s="580">
        <f>+'COMPARATIVO ANUAL'!F20</f>
        <v>670.58013542991637</v>
      </c>
      <c r="N42" s="580">
        <f>+'COMPARATIVO ANUAL'!F21</f>
        <v>684.09182137580842</v>
      </c>
      <c r="O42" s="579">
        <f>AVERAGE(C42:N42)</f>
        <v>531.98456793094408</v>
      </c>
      <c r="P42" s="3"/>
      <c r="Q42" s="3"/>
      <c r="R42" s="3"/>
      <c r="S42" s="3"/>
      <c r="T42" s="3"/>
      <c r="U42" s="3"/>
      <c r="V42" s="3"/>
      <c r="W42" s="3"/>
      <c r="X42" s="3"/>
      <c r="Y42" s="3"/>
      <c r="Z42" s="3"/>
    </row>
    <row r="43" spans="1:26" ht="15.75" customHeight="1">
      <c r="A43" s="38" t="s">
        <v>262</v>
      </c>
      <c r="B43" s="47" t="s">
        <v>16</v>
      </c>
      <c r="C43" s="581">
        <f>+C42/C61*1000</f>
        <v>396.2494738576404</v>
      </c>
      <c r="D43" s="581">
        <f t="shared" ref="D43:N43" si="18">+D42/D61*1000</f>
        <v>422.21030080423827</v>
      </c>
      <c r="E43" s="581">
        <f>+E42/E61*1000</f>
        <v>391.14053649055876</v>
      </c>
      <c r="F43" s="581">
        <f t="shared" si="18"/>
        <v>333.45488049074027</v>
      </c>
      <c r="G43" s="581">
        <f t="shared" si="18"/>
        <v>301.22623430852894</v>
      </c>
      <c r="H43" s="581">
        <f t="shared" si="18"/>
        <v>316.9286909819225</v>
      </c>
      <c r="I43" s="581">
        <f t="shared" si="18"/>
        <v>337.97714740774967</v>
      </c>
      <c r="J43" s="581">
        <f t="shared" si="18"/>
        <v>358.0575904981547</v>
      </c>
      <c r="K43" s="581">
        <f t="shared" si="18"/>
        <v>426.21431787454793</v>
      </c>
      <c r="L43" s="581">
        <f t="shared" si="18"/>
        <v>455.97264237681571</v>
      </c>
      <c r="M43" s="581">
        <f t="shared" si="18"/>
        <v>480.24174609635639</v>
      </c>
      <c r="N43" s="581">
        <f t="shared" si="18"/>
        <v>495.19756952578706</v>
      </c>
      <c r="O43" s="581">
        <f>+O42/O61*1000</f>
        <v>392.39169374956776</v>
      </c>
      <c r="P43" s="3"/>
      <c r="Q43" s="3"/>
      <c r="R43" s="3"/>
      <c r="S43" s="3"/>
      <c r="T43" s="3"/>
      <c r="U43" s="3"/>
      <c r="V43" s="3"/>
      <c r="W43" s="3"/>
      <c r="X43" s="3"/>
      <c r="Y43" s="3"/>
      <c r="Z43" s="3"/>
    </row>
    <row r="44" spans="1:26" ht="15.75" customHeight="1">
      <c r="A44" s="40" t="s">
        <v>34</v>
      </c>
      <c r="B44" s="42"/>
      <c r="C44" s="46"/>
      <c r="D44" s="46"/>
      <c r="E44" s="46"/>
      <c r="F44" s="46"/>
      <c r="G44" s="46"/>
      <c r="H44" s="46"/>
      <c r="I44" s="46"/>
      <c r="J44" s="571"/>
      <c r="K44" s="571"/>
      <c r="L44" s="571"/>
      <c r="M44" s="571"/>
      <c r="N44" s="571"/>
      <c r="O44" s="32"/>
      <c r="P44" s="3"/>
      <c r="Q44" s="3"/>
      <c r="R44" s="3"/>
      <c r="S44" s="3"/>
      <c r="T44" s="3"/>
      <c r="U44" s="3"/>
      <c r="V44" s="3"/>
      <c r="W44" s="3"/>
      <c r="X44" s="3"/>
      <c r="Y44" s="3"/>
      <c r="Z44" s="3"/>
    </row>
    <row r="45" spans="1:26" ht="15.75" customHeight="1">
      <c r="A45" s="48"/>
      <c r="B45" s="42" t="s">
        <v>31</v>
      </c>
      <c r="C45" s="31" t="e">
        <f ca="1">+C12/C47-1</f>
        <v>#DIV/0!</v>
      </c>
      <c r="D45" s="31" t="e">
        <f t="shared" ref="D45:N45" si="19">+D12/D47-1</f>
        <v>#DIV/0!</v>
      </c>
      <c r="E45" s="31" t="e">
        <f t="shared" si="19"/>
        <v>#VALUE!</v>
      </c>
      <c r="F45" s="31" t="e">
        <f t="shared" si="19"/>
        <v>#VALUE!</v>
      </c>
      <c r="G45" s="31" t="e">
        <f t="shared" si="19"/>
        <v>#VALUE!</v>
      </c>
      <c r="H45" s="31" t="e">
        <f t="shared" si="19"/>
        <v>#VALUE!</v>
      </c>
      <c r="I45" s="31" t="e">
        <f>+I12/I47-1</f>
        <v>#VALUE!</v>
      </c>
      <c r="J45" s="31" t="e">
        <f t="shared" si="19"/>
        <v>#VALUE!</v>
      </c>
      <c r="K45" s="31" t="e">
        <f t="shared" si="19"/>
        <v>#VALUE!</v>
      </c>
      <c r="L45" s="31" t="e">
        <f t="shared" si="19"/>
        <v>#VALUE!</v>
      </c>
      <c r="M45" s="31" t="e">
        <f t="shared" si="19"/>
        <v>#VALUE!</v>
      </c>
      <c r="N45" s="31" t="e">
        <f t="shared" si="19"/>
        <v>#VALUE!</v>
      </c>
      <c r="O45" s="37" t="e">
        <f ca="1">AVERAGE(C45:N45)</f>
        <v>#DIV/0!</v>
      </c>
      <c r="P45" s="3"/>
      <c r="Q45" s="3"/>
      <c r="R45" s="3"/>
      <c r="S45" s="3"/>
      <c r="T45" s="3"/>
      <c r="U45" s="3"/>
      <c r="V45" s="3"/>
      <c r="W45" s="3"/>
      <c r="X45" s="3"/>
      <c r="Y45" s="3"/>
      <c r="Z45" s="3"/>
    </row>
    <row r="46" spans="1:26" ht="15.75" customHeight="1">
      <c r="A46" s="44"/>
      <c r="B46" s="42" t="s">
        <v>33</v>
      </c>
      <c r="C46" s="31" t="e">
        <f ca="1">+(C12/C54)/(C47/C61)-1</f>
        <v>#DIV/0!</v>
      </c>
      <c r="D46" s="31" t="e">
        <f t="shared" ref="D46:N46" si="20">+(D12/D54)/(D47/D61)-1</f>
        <v>#DIV/0!</v>
      </c>
      <c r="E46" s="31" t="e">
        <f t="shared" si="20"/>
        <v>#VALUE!</v>
      </c>
      <c r="F46" s="31" t="e">
        <f t="shared" si="20"/>
        <v>#VALUE!</v>
      </c>
      <c r="G46" s="31" t="e">
        <f t="shared" si="20"/>
        <v>#VALUE!</v>
      </c>
      <c r="H46" s="31" t="e">
        <f t="shared" si="20"/>
        <v>#VALUE!</v>
      </c>
      <c r="I46" s="31" t="e">
        <f t="shared" si="20"/>
        <v>#VALUE!</v>
      </c>
      <c r="J46" s="31" t="e">
        <f t="shared" si="20"/>
        <v>#VALUE!</v>
      </c>
      <c r="K46" s="31" t="e">
        <f t="shared" si="20"/>
        <v>#VALUE!</v>
      </c>
      <c r="L46" s="31" t="e">
        <f t="shared" si="20"/>
        <v>#VALUE!</v>
      </c>
      <c r="M46" s="31" t="e">
        <f t="shared" si="20"/>
        <v>#VALUE!</v>
      </c>
      <c r="N46" s="31" t="e">
        <f t="shared" si="20"/>
        <v>#VALUE!</v>
      </c>
      <c r="O46" s="49" t="e">
        <f ca="1">+(O12/O54)/(O47/O61)-1</f>
        <v>#VALUE!</v>
      </c>
      <c r="P46" s="3"/>
      <c r="Q46" s="3"/>
      <c r="R46" s="3"/>
      <c r="S46" s="3"/>
      <c r="T46" s="3"/>
      <c r="U46" s="3"/>
      <c r="V46" s="3"/>
      <c r="W46" s="3"/>
      <c r="X46" s="3"/>
      <c r="Y46" s="3"/>
      <c r="Z46" s="3"/>
    </row>
    <row r="47" spans="1:26" ht="15.75" customHeight="1">
      <c r="A47" s="38" t="s">
        <v>251</v>
      </c>
      <c r="B47" s="47" t="s">
        <v>20</v>
      </c>
      <c r="C47" s="574">
        <f>+'COMPARATIVO ANUAL'!L10</f>
        <v>0</v>
      </c>
      <c r="D47" s="574">
        <f>+'COMPARATIVO ANUAL'!L11</f>
        <v>0</v>
      </c>
      <c r="E47" s="574">
        <f>+'COMPARATIVO ANUAL'!L12</f>
        <v>0</v>
      </c>
      <c r="F47" s="574">
        <f>+'COMPARATIVO ANUAL'!L13</f>
        <v>0</v>
      </c>
      <c r="G47" s="574">
        <f>+'COMPARATIVO ANUAL'!L14</f>
        <v>0</v>
      </c>
      <c r="H47" s="574">
        <f>+'COMPARATIVO ANUAL'!L15</f>
        <v>0</v>
      </c>
      <c r="I47" s="574">
        <f>+'COMPARATIVO ANUAL'!L16</f>
        <v>0</v>
      </c>
      <c r="J47" s="574">
        <f>+'COMPARATIVO ANUAL'!I17</f>
        <v>0</v>
      </c>
      <c r="K47" s="574">
        <f>+'COMPARATIVO ANUAL'!L18</f>
        <v>0</v>
      </c>
      <c r="L47" s="574">
        <f>+'COMPARATIVO ANUAL'!L19</f>
        <v>0</v>
      </c>
      <c r="M47" s="574">
        <f>+'COMPARATIVO ANUAL'!L20</f>
        <v>0</v>
      </c>
      <c r="N47" s="574">
        <f>+'COMPARATIVO ANUAL'!L21</f>
        <v>0</v>
      </c>
      <c r="O47" s="574">
        <f>AVERAGE(C47:N47)</f>
        <v>0</v>
      </c>
      <c r="P47" s="3"/>
      <c r="Q47" s="3"/>
      <c r="R47" s="3"/>
      <c r="S47" s="3"/>
      <c r="T47" s="3"/>
      <c r="U47" s="3"/>
      <c r="V47" s="3"/>
      <c r="W47" s="3"/>
      <c r="X47" s="3"/>
      <c r="Y47" s="3"/>
      <c r="Z47" s="3"/>
    </row>
    <row r="48" spans="1:26" ht="15.75" customHeight="1">
      <c r="A48" s="3"/>
      <c r="B48" s="2"/>
      <c r="C48" s="2"/>
      <c r="D48" s="2"/>
      <c r="E48" s="2"/>
      <c r="F48" s="2"/>
      <c r="G48" s="2"/>
      <c r="H48" s="2"/>
      <c r="I48" s="2"/>
      <c r="J48" s="564"/>
      <c r="K48" s="564"/>
      <c r="L48" s="564"/>
      <c r="M48" s="564"/>
      <c r="N48" s="564"/>
      <c r="O48" s="27"/>
      <c r="P48" s="3"/>
      <c r="Q48" s="3"/>
      <c r="R48" s="3"/>
      <c r="S48" s="3"/>
      <c r="T48" s="3"/>
      <c r="U48" s="3"/>
      <c r="V48" s="3"/>
      <c r="W48" s="3"/>
      <c r="X48" s="3"/>
      <c r="Y48" s="3"/>
      <c r="Z48" s="3"/>
    </row>
    <row r="49" spans="1:26" ht="15.75" customHeight="1">
      <c r="A49" s="3"/>
      <c r="B49" s="2"/>
      <c r="C49" s="4"/>
      <c r="D49" s="4"/>
      <c r="E49" s="4"/>
      <c r="F49" s="4"/>
      <c r="G49" s="4"/>
      <c r="H49" s="4"/>
      <c r="I49" s="2"/>
      <c r="J49" s="564"/>
      <c r="K49" s="564"/>
      <c r="L49" s="564"/>
      <c r="M49" s="564"/>
      <c r="N49" s="564"/>
      <c r="O49" s="27"/>
      <c r="P49" s="3"/>
      <c r="Q49" s="3"/>
      <c r="R49" s="3"/>
      <c r="S49" s="3"/>
      <c r="T49" s="3"/>
      <c r="U49" s="3"/>
      <c r="V49" s="3"/>
      <c r="W49" s="3"/>
      <c r="X49" s="3"/>
      <c r="Y49" s="3"/>
      <c r="Z49" s="3"/>
    </row>
    <row r="50" spans="1:26" ht="15.75" customHeight="1">
      <c r="A50" s="3"/>
      <c r="B50" s="2"/>
      <c r="C50" s="4"/>
      <c r="D50" s="4"/>
      <c r="E50" s="4"/>
      <c r="F50" s="4"/>
      <c r="G50" s="523"/>
      <c r="H50" s="4"/>
      <c r="I50" s="2"/>
      <c r="J50" s="564"/>
      <c r="K50" s="564"/>
      <c r="L50" s="564"/>
      <c r="M50" s="564"/>
      <c r="N50" s="564"/>
      <c r="O50" s="27"/>
      <c r="P50" s="3"/>
      <c r="Q50" s="3"/>
      <c r="R50" s="3"/>
      <c r="S50" s="3"/>
      <c r="T50" s="3"/>
      <c r="U50" s="3"/>
      <c r="V50" s="3"/>
      <c r="W50" s="3"/>
      <c r="X50" s="3"/>
      <c r="Y50" s="3"/>
      <c r="Z50" s="3"/>
    </row>
    <row r="51" spans="1:26" ht="15.75" customHeight="1">
      <c r="A51" s="3"/>
      <c r="B51" s="2"/>
      <c r="C51" s="523"/>
      <c r="D51" s="523"/>
      <c r="E51" s="523"/>
      <c r="F51" s="523"/>
      <c r="G51" s="523"/>
      <c r="H51" s="523"/>
      <c r="I51" s="523"/>
      <c r="J51" s="523"/>
      <c r="K51" s="523"/>
      <c r="L51" s="523"/>
      <c r="M51" s="523"/>
      <c r="N51" s="523"/>
      <c r="O51" s="27"/>
      <c r="P51" s="3"/>
      <c r="Q51" s="3"/>
      <c r="R51" s="3"/>
      <c r="S51" s="3"/>
      <c r="T51" s="3"/>
      <c r="U51" s="3"/>
      <c r="V51" s="3"/>
      <c r="W51" s="3"/>
      <c r="X51" s="3"/>
      <c r="Y51" s="3"/>
      <c r="Z51" s="3"/>
    </row>
    <row r="52" spans="1:26" ht="15.75" customHeight="1">
      <c r="A52" s="3"/>
      <c r="B52" s="2"/>
      <c r="C52" s="4"/>
      <c r="D52" s="4"/>
      <c r="E52" s="4"/>
      <c r="F52" s="4"/>
      <c r="G52" s="4"/>
      <c r="H52" s="4"/>
      <c r="I52" s="4"/>
      <c r="J52" s="4"/>
      <c r="K52" s="4"/>
      <c r="L52" s="4"/>
      <c r="M52" s="4"/>
      <c r="N52" s="4"/>
      <c r="O52" s="27"/>
      <c r="P52" s="3"/>
      <c r="Q52" s="3"/>
      <c r="R52" s="3"/>
      <c r="S52" s="3"/>
      <c r="T52" s="3"/>
      <c r="U52" s="3"/>
      <c r="V52" s="3"/>
      <c r="W52" s="3"/>
      <c r="X52" s="3"/>
      <c r="Y52" s="3"/>
      <c r="Z52" s="3"/>
    </row>
    <row r="53" spans="1:26" ht="15.75" customHeight="1">
      <c r="A53" s="50" t="s">
        <v>221</v>
      </c>
      <c r="B53" s="2"/>
      <c r="C53" s="51">
        <v>46143</v>
      </c>
      <c r="D53" s="51">
        <f t="shared" ref="D53:N53" si="21">+C53+31</f>
        <v>46174</v>
      </c>
      <c r="E53" s="51">
        <f t="shared" si="21"/>
        <v>46205</v>
      </c>
      <c r="F53" s="51">
        <f t="shared" si="21"/>
        <v>46236</v>
      </c>
      <c r="G53" s="51">
        <f t="shared" si="21"/>
        <v>46267</v>
      </c>
      <c r="H53" s="51">
        <f t="shared" si="21"/>
        <v>46298</v>
      </c>
      <c r="I53" s="51">
        <f t="shared" si="21"/>
        <v>46329</v>
      </c>
      <c r="J53" s="51">
        <f t="shared" si="21"/>
        <v>46360</v>
      </c>
      <c r="K53" s="51">
        <f t="shared" si="21"/>
        <v>46391</v>
      </c>
      <c r="L53" s="51">
        <f t="shared" si="21"/>
        <v>46422</v>
      </c>
      <c r="M53" s="51">
        <f t="shared" si="21"/>
        <v>46453</v>
      </c>
      <c r="N53" s="51">
        <f t="shared" si="21"/>
        <v>46484</v>
      </c>
      <c r="O53" s="52" t="s">
        <v>35</v>
      </c>
      <c r="P53" s="3"/>
      <c r="Q53" s="3"/>
      <c r="R53" s="3"/>
      <c r="S53" s="3"/>
      <c r="T53" s="3"/>
      <c r="U53" s="3"/>
      <c r="V53" s="3"/>
      <c r="W53" s="3"/>
      <c r="X53" s="3"/>
      <c r="Y53" s="3"/>
      <c r="Z53" s="3"/>
    </row>
    <row r="54" spans="1:26" ht="15.75" customHeight="1">
      <c r="A54" s="53" t="s">
        <v>36</v>
      </c>
      <c r="B54" s="54" t="s">
        <v>37</v>
      </c>
      <c r="C54" s="582">
        <v>1412</v>
      </c>
      <c r="D54" s="582">
        <v>1518.9069</v>
      </c>
      <c r="E54" s="582">
        <v>1546.2472241999999</v>
      </c>
      <c r="F54" s="702">
        <v>1574.0796742355999</v>
      </c>
      <c r="G54" s="702">
        <v>1602.4131083718407</v>
      </c>
      <c r="H54" s="582">
        <v>1631.256544322534</v>
      </c>
      <c r="I54" s="582">
        <v>1660.6191621203395</v>
      </c>
      <c r="J54" s="583">
        <v>1685.5284495521444</v>
      </c>
      <c r="K54" s="583">
        <v>1790</v>
      </c>
      <c r="L54" s="583">
        <v>1799</v>
      </c>
      <c r="M54" s="583">
        <v>1810</v>
      </c>
      <c r="N54" s="583">
        <v>1835</v>
      </c>
      <c r="O54" s="584">
        <f>AVERAGE(C54:N54)</f>
        <v>1655.4209219002048</v>
      </c>
      <c r="P54" s="3"/>
      <c r="Q54" s="3"/>
      <c r="R54" s="3"/>
      <c r="S54" s="3"/>
      <c r="T54" s="3"/>
      <c r="U54" s="3"/>
      <c r="V54" s="3"/>
      <c r="W54" s="3"/>
      <c r="X54" s="3"/>
      <c r="Y54" s="3"/>
      <c r="Z54" s="3"/>
    </row>
    <row r="55" spans="1:26" ht="15.75" customHeight="1">
      <c r="A55" s="53" t="s">
        <v>38</v>
      </c>
      <c r="B55" s="54" t="s">
        <v>39</v>
      </c>
      <c r="C55" s="585">
        <v>0.35</v>
      </c>
      <c r="D55" s="585">
        <v>0.35</v>
      </c>
      <c r="E55" s="585">
        <v>0.35</v>
      </c>
      <c r="F55" s="585">
        <v>0.35</v>
      </c>
      <c r="G55" s="585">
        <v>0.35</v>
      </c>
      <c r="H55" s="585">
        <v>0.35</v>
      </c>
      <c r="I55" s="585">
        <v>0.35</v>
      </c>
      <c r="J55" s="585">
        <v>0.35</v>
      </c>
      <c r="K55" s="585">
        <v>0.35</v>
      </c>
      <c r="L55" s="585">
        <v>0.35</v>
      </c>
      <c r="M55" s="585">
        <v>0.35</v>
      </c>
      <c r="N55" s="585">
        <v>0.35</v>
      </c>
      <c r="O55" s="586"/>
      <c r="P55" s="3"/>
      <c r="Q55" s="3"/>
      <c r="R55" s="3"/>
      <c r="S55" s="3"/>
      <c r="T55" s="3"/>
      <c r="U55" s="3"/>
      <c r="V55" s="3"/>
      <c r="W55" s="3"/>
      <c r="X55" s="3"/>
      <c r="Y55" s="3"/>
      <c r="Z55" s="3"/>
    </row>
    <row r="56" spans="1:26" ht="15.75" customHeight="1">
      <c r="A56" s="53" t="s">
        <v>40</v>
      </c>
      <c r="B56" s="54">
        <v>30</v>
      </c>
      <c r="C56" s="587">
        <f t="shared" ref="C56:N56" si="22">+($B$56/365)*C55</f>
        <v>2.8767123287671229E-2</v>
      </c>
      <c r="D56" s="587">
        <f>+($B$56/365)*D55</f>
        <v>2.8767123287671229E-2</v>
      </c>
      <c r="E56" s="587">
        <f t="shared" si="22"/>
        <v>2.8767123287671229E-2</v>
      </c>
      <c r="F56" s="587">
        <f t="shared" si="22"/>
        <v>2.8767123287671229E-2</v>
      </c>
      <c r="G56" s="587">
        <f t="shared" si="22"/>
        <v>2.8767123287671229E-2</v>
      </c>
      <c r="H56" s="587">
        <f t="shared" si="22"/>
        <v>2.8767123287671229E-2</v>
      </c>
      <c r="I56" s="587">
        <f t="shared" si="22"/>
        <v>2.8767123287671229E-2</v>
      </c>
      <c r="J56" s="587">
        <f t="shared" si="22"/>
        <v>2.8767123287671229E-2</v>
      </c>
      <c r="K56" s="587">
        <f t="shared" si="22"/>
        <v>2.8767123287671229E-2</v>
      </c>
      <c r="L56" s="587">
        <f t="shared" si="22"/>
        <v>2.8767123287671229E-2</v>
      </c>
      <c r="M56" s="587">
        <f t="shared" si="22"/>
        <v>2.8767123287671229E-2</v>
      </c>
      <c r="N56" s="587">
        <f t="shared" si="22"/>
        <v>2.8767123287671229E-2</v>
      </c>
      <c r="O56" s="586"/>
      <c r="P56" s="3"/>
      <c r="Q56" s="3"/>
      <c r="R56" s="3"/>
      <c r="S56" s="3"/>
      <c r="T56" s="3"/>
      <c r="U56" s="3"/>
      <c r="V56" s="3"/>
      <c r="W56" s="3"/>
      <c r="X56" s="3"/>
      <c r="Y56" s="3"/>
      <c r="Z56" s="3"/>
    </row>
    <row r="57" spans="1:26" ht="15.75" customHeight="1">
      <c r="A57" s="53" t="s">
        <v>41</v>
      </c>
      <c r="B57" s="54" t="s">
        <v>42</v>
      </c>
      <c r="C57" s="588">
        <f>--60000/20</f>
        <v>3000</v>
      </c>
      <c r="D57" s="588">
        <f t="shared" ref="D57:N57" si="23">--60000/20</f>
        <v>3000</v>
      </c>
      <c r="E57" s="588">
        <f t="shared" si="23"/>
        <v>3000</v>
      </c>
      <c r="F57" s="588">
        <f t="shared" si="23"/>
        <v>3000</v>
      </c>
      <c r="G57" s="588">
        <f t="shared" si="23"/>
        <v>3000</v>
      </c>
      <c r="H57" s="588">
        <f t="shared" si="23"/>
        <v>3000</v>
      </c>
      <c r="I57" s="588">
        <f t="shared" si="23"/>
        <v>3000</v>
      </c>
      <c r="J57" s="588">
        <f t="shared" si="23"/>
        <v>3000</v>
      </c>
      <c r="K57" s="588">
        <f t="shared" si="23"/>
        <v>3000</v>
      </c>
      <c r="L57" s="588">
        <f t="shared" si="23"/>
        <v>3000</v>
      </c>
      <c r="M57" s="588">
        <f t="shared" si="23"/>
        <v>3000</v>
      </c>
      <c r="N57" s="588">
        <f t="shared" si="23"/>
        <v>3000</v>
      </c>
      <c r="O57" s="586"/>
      <c r="P57" s="3"/>
      <c r="Q57" s="3"/>
      <c r="R57" s="3"/>
      <c r="S57" s="3"/>
      <c r="T57" s="3"/>
      <c r="U57" s="3"/>
      <c r="V57" s="3"/>
      <c r="W57" s="3"/>
      <c r="X57" s="3"/>
      <c r="Y57" s="3"/>
      <c r="Z57" s="3"/>
    </row>
    <row r="58" spans="1:26" ht="15.75" customHeight="1">
      <c r="A58" s="55"/>
      <c r="B58" s="2"/>
      <c r="C58" s="2"/>
      <c r="D58" s="2"/>
      <c r="E58" s="2"/>
      <c r="F58" s="2"/>
      <c r="G58" s="2"/>
      <c r="H58" s="2"/>
      <c r="I58" s="2"/>
      <c r="J58" s="564"/>
      <c r="K58" s="564"/>
      <c r="L58" s="564"/>
      <c r="M58" s="564"/>
      <c r="N58" s="564"/>
      <c r="O58" s="3"/>
      <c r="P58" s="3"/>
      <c r="Q58" s="3"/>
      <c r="R58" s="3"/>
      <c r="S58" s="3"/>
      <c r="T58" s="3"/>
      <c r="U58" s="3"/>
      <c r="V58" s="3"/>
      <c r="W58" s="3"/>
      <c r="X58" s="3"/>
      <c r="Y58" s="3"/>
      <c r="Z58" s="3"/>
    </row>
    <row r="59" spans="1:26" ht="15.75" customHeight="1">
      <c r="A59" s="3"/>
      <c r="B59" s="2"/>
      <c r="C59" s="2"/>
      <c r="D59" s="2"/>
      <c r="E59" s="2"/>
      <c r="F59" s="2"/>
      <c r="G59" s="2"/>
      <c r="H59" s="2"/>
      <c r="I59" s="2"/>
      <c r="J59" s="564"/>
      <c r="K59" s="564"/>
      <c r="L59" s="564"/>
      <c r="M59" s="564"/>
      <c r="N59" s="564"/>
      <c r="O59" s="3"/>
      <c r="P59" s="3"/>
      <c r="Q59" s="3"/>
      <c r="R59" s="3"/>
      <c r="S59" s="3"/>
      <c r="T59" s="3"/>
      <c r="U59" s="3"/>
      <c r="V59" s="3"/>
      <c r="W59" s="3"/>
      <c r="X59" s="3"/>
      <c r="Y59" s="3"/>
      <c r="Z59" s="3"/>
    </row>
    <row r="60" spans="1:26" ht="15.75" customHeight="1">
      <c r="B60" s="2"/>
      <c r="C60" s="51">
        <v>45778</v>
      </c>
      <c r="D60" s="51">
        <f>+C60+31</f>
        <v>45809</v>
      </c>
      <c r="E60" s="51">
        <f t="shared" ref="E60:N60" si="24">+D60+31</f>
        <v>45840</v>
      </c>
      <c r="F60" s="51">
        <f t="shared" si="24"/>
        <v>45871</v>
      </c>
      <c r="G60" s="51">
        <f t="shared" si="24"/>
        <v>45902</v>
      </c>
      <c r="H60" s="51">
        <f t="shared" si="24"/>
        <v>45933</v>
      </c>
      <c r="I60" s="572">
        <f t="shared" si="24"/>
        <v>45964</v>
      </c>
      <c r="J60" s="572">
        <f t="shared" si="24"/>
        <v>45995</v>
      </c>
      <c r="K60" s="572">
        <f t="shared" si="24"/>
        <v>46026</v>
      </c>
      <c r="L60" s="572">
        <f t="shared" si="24"/>
        <v>46057</v>
      </c>
      <c r="M60" s="572">
        <f t="shared" si="24"/>
        <v>46088</v>
      </c>
      <c r="N60" s="572">
        <f t="shared" si="24"/>
        <v>46119</v>
      </c>
      <c r="O60" s="3"/>
      <c r="P60" s="3"/>
      <c r="Q60" s="3"/>
      <c r="R60" s="3"/>
      <c r="S60" s="3"/>
      <c r="T60" s="3"/>
      <c r="U60" s="3"/>
      <c r="V60" s="3"/>
      <c r="W60" s="3"/>
      <c r="X60" s="3"/>
      <c r="Y60" s="3"/>
      <c r="Z60" s="3"/>
    </row>
    <row r="61" spans="1:26" ht="15.75" customHeight="1">
      <c r="A61" s="53" t="s">
        <v>36</v>
      </c>
      <c r="B61" s="2"/>
      <c r="C61" s="582">
        <v>1147.5291999999999</v>
      </c>
      <c r="D61" s="582">
        <v>1181.3552999999999</v>
      </c>
      <c r="E61" s="582">
        <v>1267.0227</v>
      </c>
      <c r="F61" s="582">
        <v>1329.5374999999999</v>
      </c>
      <c r="G61" s="582">
        <v>1399.8977</v>
      </c>
      <c r="H61" s="582">
        <v>1432.0227</v>
      </c>
      <c r="I61" s="582">
        <v>1427</v>
      </c>
      <c r="J61" s="583">
        <v>1447.8377</v>
      </c>
      <c r="K61" s="583">
        <v>1449.3347000000001</v>
      </c>
      <c r="L61" s="583">
        <v>1409.6570999999999</v>
      </c>
      <c r="M61" s="583">
        <v>1396.3387</v>
      </c>
      <c r="N61" s="583">
        <v>1381.4522999999999</v>
      </c>
      <c r="O61" s="584">
        <f>AVERAGE(C61:N61)</f>
        <v>1355.7488000000001</v>
      </c>
      <c r="P61" s="3"/>
      <c r="Q61" s="3"/>
      <c r="R61" s="3"/>
      <c r="S61" s="3"/>
      <c r="T61" s="3"/>
      <c r="U61" s="3"/>
      <c r="V61" s="3"/>
      <c r="W61" s="3"/>
      <c r="X61" s="3"/>
      <c r="Y61" s="3"/>
      <c r="Z61" s="3"/>
    </row>
    <row r="62" spans="1:26" ht="15.75" customHeight="1">
      <c r="A62" s="3" t="s">
        <v>255</v>
      </c>
      <c r="B62" s="2"/>
      <c r="C62" s="587">
        <f>+C54/C61-1</f>
        <v>0.2304697780239493</v>
      </c>
      <c r="D62" s="587">
        <f>+D54/D61-1</f>
        <v>0.28573249724278549</v>
      </c>
      <c r="E62" s="587">
        <f t="shared" ref="E62:N62" si="25">+E54/E61-1</f>
        <v>0.22037847009370859</v>
      </c>
      <c r="F62" s="587">
        <f>+F54/F61-1</f>
        <v>0.1839302571274597</v>
      </c>
      <c r="G62" s="587">
        <f>+G54/G61-1</f>
        <v>0.14466443395959638</v>
      </c>
      <c r="H62" s="587">
        <f t="shared" si="25"/>
        <v>0.13912757411075538</v>
      </c>
      <c r="I62" s="587">
        <f t="shared" si="25"/>
        <v>0.16371349833240334</v>
      </c>
      <c r="J62" s="587">
        <f>+J54/J61-1</f>
        <v>0.16416947117217928</v>
      </c>
      <c r="K62" s="587">
        <f>+K54/K61-1</f>
        <v>0.23504943337104933</v>
      </c>
      <c r="L62" s="587">
        <f t="shared" si="25"/>
        <v>0.27619688504388762</v>
      </c>
      <c r="M62" s="587">
        <f t="shared" si="25"/>
        <v>0.29624710680868471</v>
      </c>
      <c r="N62" s="587">
        <f t="shared" si="25"/>
        <v>0.32831224067599019</v>
      </c>
      <c r="O62" s="586"/>
      <c r="P62" s="3"/>
      <c r="Q62" s="3"/>
      <c r="R62" s="3"/>
      <c r="S62" s="3"/>
      <c r="T62" s="3"/>
      <c r="U62" s="3"/>
      <c r="V62" s="3"/>
      <c r="W62" s="3"/>
      <c r="X62" s="3"/>
      <c r="Y62" s="3"/>
      <c r="Z62" s="3"/>
    </row>
    <row r="63" spans="1:26" ht="15.75" customHeight="1">
      <c r="A63" s="3" t="s">
        <v>302</v>
      </c>
      <c r="B63" s="2"/>
      <c r="C63" s="587">
        <v>0.13600000000000001</v>
      </c>
      <c r="D63" s="587">
        <v>0.17014000000000001</v>
      </c>
      <c r="E63" s="587">
        <v>9.7000000000000003E-2</v>
      </c>
      <c r="F63" s="587">
        <v>0.16289999999999999</v>
      </c>
      <c r="G63" s="587">
        <v>0.17499999999999999</v>
      </c>
      <c r="H63" s="587">
        <v>0.19700000000000001</v>
      </c>
      <c r="I63" s="587">
        <v>0.19</v>
      </c>
      <c r="J63" s="587">
        <v>0.15040000000000001</v>
      </c>
      <c r="K63" s="587">
        <v>0.1429</v>
      </c>
      <c r="L63" s="587">
        <v>0.16800000000000001</v>
      </c>
      <c r="M63" s="587">
        <v>5.0999999999999997E-2</v>
      </c>
      <c r="N63" s="587">
        <v>0</v>
      </c>
      <c r="O63" s="752">
        <v>0.17100000000000001</v>
      </c>
      <c r="P63" s="3"/>
      <c r="Q63" s="3"/>
      <c r="R63" s="3"/>
      <c r="S63" s="3"/>
      <c r="T63" s="3"/>
      <c r="U63" s="3"/>
      <c r="V63" s="3"/>
      <c r="W63" s="3"/>
      <c r="X63" s="3"/>
      <c r="Y63" s="3"/>
      <c r="Z63" s="3"/>
    </row>
    <row r="64" spans="1:26" ht="15.75" customHeight="1">
      <c r="A64" s="3" t="s">
        <v>303</v>
      </c>
      <c r="B64" s="2"/>
      <c r="C64" s="588">
        <v>-1759</v>
      </c>
      <c r="D64" s="588">
        <v>-1405</v>
      </c>
      <c r="E64" s="588">
        <v>-1100</v>
      </c>
      <c r="F64" s="588">
        <v>-1469</v>
      </c>
      <c r="G64" s="588">
        <v>-1238</v>
      </c>
      <c r="H64" s="588">
        <v>-1335</v>
      </c>
      <c r="I64" s="588">
        <v>-1780</v>
      </c>
      <c r="J64" s="588">
        <v>-1750</v>
      </c>
      <c r="K64" s="588">
        <v>-3116</v>
      </c>
      <c r="L64" s="588">
        <v>-2760</v>
      </c>
      <c r="M64" s="588">
        <v>-3110</v>
      </c>
      <c r="N64" s="588">
        <v>-5850</v>
      </c>
      <c r="O64" s="3"/>
      <c r="P64" s="3"/>
      <c r="Q64" s="3"/>
      <c r="R64" s="3"/>
      <c r="S64" s="3"/>
      <c r="T64" s="3"/>
      <c r="U64" s="3"/>
      <c r="V64" s="3"/>
      <c r="W64" s="3"/>
      <c r="X64" s="3"/>
      <c r="Y64" s="3"/>
      <c r="Z64" s="3"/>
    </row>
    <row r="65" spans="1:26" ht="15.75" customHeight="1">
      <c r="A65" s="3"/>
      <c r="B65" s="2"/>
      <c r="C65" s="2"/>
      <c r="D65" s="2"/>
      <c r="E65" s="2"/>
      <c r="F65" s="2"/>
      <c r="G65" s="2"/>
      <c r="H65" s="2"/>
      <c r="I65" s="2"/>
      <c r="J65" s="564"/>
      <c r="K65" s="564"/>
      <c r="L65" s="564"/>
      <c r="M65" s="564"/>
      <c r="N65" s="564"/>
      <c r="O65" s="3"/>
      <c r="P65" s="3"/>
      <c r="Q65" s="3"/>
      <c r="R65" s="3"/>
      <c r="S65" s="3"/>
      <c r="T65" s="3"/>
      <c r="U65" s="3"/>
      <c r="V65" s="3"/>
      <c r="W65" s="3"/>
      <c r="X65" s="3"/>
      <c r="Y65" s="3"/>
      <c r="Z65" s="3"/>
    </row>
    <row r="66" spans="1:26" ht="15.75" customHeight="1">
      <c r="A66" s="3"/>
      <c r="B66" s="2"/>
      <c r="C66" s="2"/>
      <c r="D66" s="2"/>
      <c r="E66" s="2"/>
      <c r="F66" s="2"/>
      <c r="G66" s="2"/>
      <c r="H66" s="2"/>
      <c r="I66" s="2"/>
      <c r="J66" s="564"/>
      <c r="K66" s="564"/>
      <c r="L66" s="564"/>
      <c r="M66" s="564"/>
      <c r="N66" s="564"/>
      <c r="O66" s="3"/>
      <c r="P66" s="3"/>
      <c r="Q66" s="3"/>
      <c r="R66" s="3"/>
      <c r="S66" s="3"/>
      <c r="T66" s="3"/>
      <c r="U66" s="3"/>
      <c r="V66" s="3"/>
      <c r="W66" s="3"/>
      <c r="X66" s="3"/>
      <c r="Y66" s="3"/>
      <c r="Z66" s="3"/>
    </row>
    <row r="67" spans="1:26" ht="15.75" customHeight="1">
      <c r="A67" s="3"/>
      <c r="B67" s="2"/>
      <c r="C67" s="2"/>
      <c r="D67" s="2"/>
      <c r="E67" s="2"/>
      <c r="F67" s="2"/>
      <c r="G67" s="2"/>
      <c r="H67" s="2"/>
      <c r="I67" s="2"/>
      <c r="J67" s="564"/>
      <c r="K67" s="564"/>
      <c r="L67" s="564"/>
      <c r="M67" s="564"/>
      <c r="N67" s="564"/>
      <c r="O67" s="3"/>
      <c r="P67" s="3"/>
      <c r="Q67" s="3"/>
      <c r="R67" s="3"/>
      <c r="S67" s="3"/>
      <c r="T67" s="3"/>
      <c r="U67" s="3"/>
      <c r="V67" s="3"/>
      <c r="W67" s="3"/>
      <c r="X67" s="3"/>
      <c r="Y67" s="3"/>
      <c r="Z67" s="3"/>
    </row>
    <row r="68" spans="1:26" ht="15.75" customHeight="1">
      <c r="A68" s="3"/>
      <c r="B68" s="2"/>
      <c r="C68" s="2"/>
      <c r="D68" s="2"/>
      <c r="E68" s="2"/>
      <c r="F68" s="2"/>
      <c r="G68" s="2"/>
      <c r="H68" s="2"/>
      <c r="I68" s="2"/>
      <c r="J68" s="564"/>
      <c r="K68" s="564"/>
      <c r="L68" s="564"/>
      <c r="M68" s="564"/>
      <c r="N68" s="564"/>
      <c r="O68" s="3"/>
      <c r="P68" s="3"/>
      <c r="Q68" s="3"/>
      <c r="R68" s="3"/>
      <c r="S68" s="3"/>
      <c r="T68" s="3"/>
      <c r="U68" s="3"/>
      <c r="V68" s="3"/>
      <c r="W68" s="3"/>
      <c r="X68" s="3"/>
      <c r="Y68" s="3"/>
      <c r="Z68" s="3"/>
    </row>
    <row r="69" spans="1:26" ht="15.75" customHeight="1">
      <c r="A69" s="3"/>
      <c r="B69" s="2"/>
      <c r="C69" s="2"/>
      <c r="D69" s="2"/>
      <c r="E69" s="2"/>
      <c r="F69" s="2"/>
      <c r="G69" s="2"/>
      <c r="H69" s="2"/>
      <c r="I69" s="2"/>
      <c r="J69" s="564"/>
      <c r="K69" s="564"/>
      <c r="L69" s="564"/>
      <c r="M69" s="564"/>
      <c r="N69" s="564"/>
      <c r="O69" s="3"/>
      <c r="P69" s="3"/>
      <c r="Q69" s="3"/>
      <c r="R69" s="3"/>
      <c r="S69" s="3"/>
      <c r="T69" s="3"/>
      <c r="U69" s="3"/>
      <c r="V69" s="3"/>
      <c r="W69" s="3"/>
      <c r="X69" s="3"/>
      <c r="Y69" s="3"/>
      <c r="Z69" s="3"/>
    </row>
    <row r="70" spans="1:26" ht="15.75" customHeight="1">
      <c r="A70" s="3"/>
      <c r="B70" s="2"/>
      <c r="C70" s="2"/>
      <c r="D70" s="2"/>
      <c r="E70" s="2"/>
      <c r="F70" s="2"/>
      <c r="G70" s="2"/>
      <c r="H70" s="2"/>
      <c r="I70" s="2"/>
      <c r="J70" s="564"/>
      <c r="K70" s="564"/>
      <c r="L70" s="564"/>
      <c r="M70" s="564"/>
      <c r="N70" s="564"/>
      <c r="O70" s="3"/>
      <c r="P70" s="3"/>
      <c r="Q70" s="3"/>
      <c r="R70" s="3"/>
      <c r="S70" s="3"/>
      <c r="T70" s="3"/>
      <c r="U70" s="3"/>
      <c r="V70" s="3"/>
      <c r="W70" s="3"/>
      <c r="X70" s="3"/>
      <c r="Y70" s="3"/>
      <c r="Z70" s="3"/>
    </row>
    <row r="71" spans="1:26" ht="15.75" customHeight="1">
      <c r="A71" s="3"/>
      <c r="B71" s="2"/>
      <c r="C71" s="2"/>
      <c r="D71" s="2"/>
      <c r="E71" s="2"/>
      <c r="F71" s="2"/>
      <c r="G71" s="2"/>
      <c r="H71" s="2"/>
      <c r="I71" s="2"/>
      <c r="J71" s="564"/>
      <c r="K71" s="564"/>
      <c r="L71" s="564"/>
      <c r="M71" s="564"/>
      <c r="N71" s="564"/>
      <c r="O71" s="3"/>
      <c r="P71" s="3"/>
      <c r="Q71" s="3"/>
      <c r="R71" s="3"/>
      <c r="S71" s="3"/>
      <c r="T71" s="3"/>
      <c r="U71" s="3"/>
      <c r="V71" s="3"/>
      <c r="W71" s="3"/>
      <c r="X71" s="3"/>
      <c r="Y71" s="3"/>
      <c r="Z71" s="3"/>
    </row>
    <row r="72" spans="1:26" ht="15.75" customHeight="1">
      <c r="A72" s="3"/>
      <c r="B72" s="2"/>
      <c r="C72" s="2"/>
      <c r="D72" s="2"/>
      <c r="E72" s="2"/>
      <c r="F72" s="2"/>
      <c r="G72" s="2"/>
      <c r="H72" s="2"/>
      <c r="I72" s="2"/>
      <c r="J72" s="564"/>
      <c r="K72" s="564"/>
      <c r="L72" s="564"/>
      <c r="M72" s="564"/>
      <c r="N72" s="564"/>
      <c r="O72" s="3"/>
      <c r="P72" s="3"/>
      <c r="Q72" s="3"/>
      <c r="R72" s="3"/>
      <c r="S72" s="3"/>
      <c r="T72" s="3"/>
      <c r="U72" s="3"/>
      <c r="V72" s="3"/>
      <c r="W72" s="3"/>
      <c r="X72" s="3"/>
      <c r="Y72" s="3"/>
      <c r="Z72" s="3"/>
    </row>
    <row r="73" spans="1:26" ht="15.75" customHeight="1">
      <c r="A73" s="3"/>
      <c r="B73" s="2"/>
      <c r="C73" s="2"/>
      <c r="D73" s="2"/>
      <c r="E73" s="2"/>
      <c r="F73" s="2"/>
      <c r="G73" s="2"/>
      <c r="H73" s="2"/>
      <c r="I73" s="2"/>
      <c r="J73" s="564"/>
      <c r="K73" s="564"/>
      <c r="L73" s="564"/>
      <c r="M73" s="564"/>
      <c r="N73" s="564"/>
      <c r="O73" s="3"/>
      <c r="P73" s="3"/>
      <c r="Q73" s="3"/>
      <c r="R73" s="3"/>
      <c r="S73" s="3"/>
      <c r="T73" s="3"/>
      <c r="U73" s="3"/>
      <c r="V73" s="3"/>
      <c r="W73" s="3"/>
      <c r="X73" s="3"/>
      <c r="Y73" s="3"/>
      <c r="Z73" s="3"/>
    </row>
    <row r="74" spans="1:26" ht="15.75" customHeight="1">
      <c r="A74" s="3"/>
      <c r="B74" s="2"/>
      <c r="C74" s="2"/>
      <c r="D74" s="2"/>
      <c r="E74" s="2"/>
      <c r="F74" s="2"/>
      <c r="G74" s="2"/>
      <c r="H74" s="2"/>
      <c r="I74" s="2"/>
      <c r="J74" s="564"/>
      <c r="K74" s="564"/>
      <c r="L74" s="564"/>
      <c r="M74" s="564"/>
      <c r="N74" s="564"/>
      <c r="O74" s="3"/>
      <c r="P74" s="3"/>
      <c r="Q74" s="3"/>
      <c r="R74" s="3"/>
      <c r="S74" s="3"/>
      <c r="T74" s="3"/>
      <c r="U74" s="3"/>
      <c r="V74" s="3"/>
      <c r="W74" s="3"/>
      <c r="X74" s="3"/>
      <c r="Y74" s="3"/>
      <c r="Z74" s="3"/>
    </row>
    <row r="75" spans="1:26" ht="15.75" customHeight="1">
      <c r="A75" s="3"/>
      <c r="B75" s="2"/>
      <c r="C75" s="2"/>
      <c r="D75" s="2"/>
      <c r="E75" s="2"/>
      <c r="F75" s="2"/>
      <c r="G75" s="2"/>
      <c r="H75" s="2"/>
      <c r="I75" s="2"/>
      <c r="J75" s="564"/>
      <c r="K75" s="564"/>
      <c r="L75" s="564"/>
      <c r="M75" s="564"/>
      <c r="N75" s="564"/>
      <c r="O75" s="3"/>
      <c r="P75" s="3"/>
      <c r="Q75" s="3"/>
      <c r="R75" s="3"/>
      <c r="S75" s="3"/>
      <c r="T75" s="3"/>
      <c r="U75" s="3"/>
      <c r="V75" s="3"/>
      <c r="W75" s="3"/>
      <c r="X75" s="3"/>
      <c r="Y75" s="3"/>
      <c r="Z75" s="3"/>
    </row>
    <row r="76" spans="1:26" ht="15.75" customHeight="1">
      <c r="A76" s="3"/>
      <c r="B76" s="2"/>
      <c r="C76" s="2"/>
      <c r="D76" s="2"/>
      <c r="E76" s="2"/>
      <c r="F76" s="2"/>
      <c r="G76" s="2"/>
      <c r="H76" s="2"/>
      <c r="I76" s="2"/>
      <c r="J76" s="564"/>
      <c r="K76" s="564"/>
      <c r="L76" s="564"/>
      <c r="M76" s="564"/>
      <c r="N76" s="564"/>
      <c r="O76" s="3"/>
      <c r="P76" s="3"/>
      <c r="Q76" s="3"/>
      <c r="R76" s="3"/>
      <c r="S76" s="3"/>
      <c r="T76" s="3"/>
      <c r="U76" s="3"/>
      <c r="V76" s="3"/>
      <c r="W76" s="3"/>
      <c r="X76" s="3"/>
      <c r="Y76" s="3"/>
      <c r="Z76" s="3"/>
    </row>
    <row r="77" spans="1:26" ht="15.75" customHeight="1">
      <c r="A77" s="3"/>
      <c r="B77" s="2"/>
      <c r="C77" s="2"/>
      <c r="D77" s="2"/>
      <c r="E77" s="2"/>
      <c r="F77" s="2"/>
      <c r="G77" s="2"/>
      <c r="H77" s="2"/>
      <c r="I77" s="2"/>
      <c r="J77" s="564"/>
      <c r="K77" s="564"/>
      <c r="L77" s="564"/>
      <c r="M77" s="564"/>
      <c r="N77" s="564"/>
      <c r="O77" s="3"/>
      <c r="P77" s="3"/>
      <c r="Q77" s="3"/>
      <c r="R77" s="3"/>
      <c r="S77" s="3"/>
      <c r="T77" s="3"/>
      <c r="U77" s="3"/>
      <c r="V77" s="3"/>
      <c r="W77" s="3"/>
      <c r="X77" s="3"/>
      <c r="Y77" s="3"/>
      <c r="Z77" s="3"/>
    </row>
    <row r="78" spans="1:26" ht="15.75" customHeight="1">
      <c r="A78" s="3"/>
      <c r="B78" s="2"/>
      <c r="C78" s="2"/>
      <c r="D78" s="2"/>
      <c r="E78" s="2"/>
      <c r="F78" s="2"/>
      <c r="G78" s="2"/>
      <c r="H78" s="2"/>
      <c r="I78" s="2"/>
      <c r="J78" s="564"/>
      <c r="K78" s="564"/>
      <c r="L78" s="564"/>
      <c r="M78" s="564"/>
      <c r="N78" s="564"/>
      <c r="O78" s="3"/>
      <c r="P78" s="3"/>
      <c r="Q78" s="3"/>
      <c r="R78" s="3"/>
      <c r="S78" s="3"/>
      <c r="T78" s="3"/>
      <c r="U78" s="3"/>
      <c r="V78" s="3"/>
      <c r="W78" s="3"/>
      <c r="X78" s="3"/>
      <c r="Y78" s="3"/>
      <c r="Z78" s="3"/>
    </row>
    <row r="79" spans="1:26" ht="15.75" customHeight="1">
      <c r="A79" s="3"/>
      <c r="B79" s="2"/>
      <c r="C79" s="2"/>
      <c r="D79" s="2"/>
      <c r="E79" s="2"/>
      <c r="F79" s="2"/>
      <c r="G79" s="2"/>
      <c r="H79" s="2"/>
      <c r="I79" s="2"/>
      <c r="J79" s="564"/>
      <c r="K79" s="564"/>
      <c r="L79" s="564"/>
      <c r="M79" s="564"/>
      <c r="N79" s="564"/>
      <c r="O79" s="3"/>
      <c r="P79" s="3"/>
      <c r="Q79" s="3"/>
      <c r="R79" s="3"/>
      <c r="S79" s="3"/>
      <c r="T79" s="3"/>
      <c r="U79" s="3"/>
      <c r="V79" s="3"/>
      <c r="W79" s="3"/>
      <c r="X79" s="3"/>
      <c r="Y79" s="3"/>
      <c r="Z79" s="3"/>
    </row>
    <row r="80" spans="1:26" ht="15.75" customHeight="1">
      <c r="A80" s="3"/>
      <c r="B80" s="2"/>
      <c r="C80" s="2"/>
      <c r="D80" s="2"/>
      <c r="E80" s="2"/>
      <c r="F80" s="2"/>
      <c r="G80" s="2"/>
      <c r="H80" s="2"/>
      <c r="I80" s="2"/>
      <c r="J80" s="564"/>
      <c r="K80" s="564"/>
      <c r="L80" s="564"/>
      <c r="M80" s="564"/>
      <c r="N80" s="564"/>
      <c r="O80" s="3"/>
      <c r="P80" s="3"/>
      <c r="Q80" s="3"/>
      <c r="R80" s="3"/>
      <c r="S80" s="3"/>
      <c r="T80" s="3"/>
      <c r="U80" s="3"/>
      <c r="V80" s="3"/>
      <c r="W80" s="3"/>
      <c r="X80" s="3"/>
      <c r="Y80" s="3"/>
      <c r="Z80" s="3"/>
    </row>
    <row r="81" spans="1:26" ht="15.75" customHeight="1">
      <c r="A81" s="3"/>
      <c r="B81" s="2"/>
      <c r="C81" s="2"/>
      <c r="D81" s="2"/>
      <c r="E81" s="2"/>
      <c r="F81" s="2"/>
      <c r="G81" s="2"/>
      <c r="H81" s="2"/>
      <c r="I81" s="2"/>
      <c r="J81" s="564"/>
      <c r="K81" s="564"/>
      <c r="L81" s="564"/>
      <c r="M81" s="564"/>
      <c r="N81" s="564"/>
      <c r="O81" s="3"/>
      <c r="P81" s="3"/>
      <c r="Q81" s="3"/>
      <c r="R81" s="3"/>
      <c r="S81" s="3"/>
      <c r="T81" s="3"/>
      <c r="U81" s="3"/>
      <c r="V81" s="3"/>
      <c r="W81" s="3"/>
      <c r="X81" s="3"/>
      <c r="Y81" s="3"/>
      <c r="Z81" s="3"/>
    </row>
    <row r="82" spans="1:26" ht="15.75" customHeight="1">
      <c r="A82" s="3"/>
      <c r="B82" s="2"/>
      <c r="C82" s="2"/>
      <c r="D82" s="2"/>
      <c r="E82" s="2"/>
      <c r="F82" s="2"/>
      <c r="G82" s="2"/>
      <c r="H82" s="2"/>
      <c r="I82" s="2"/>
      <c r="J82" s="564"/>
      <c r="K82" s="564"/>
      <c r="L82" s="564"/>
      <c r="M82" s="564"/>
      <c r="N82" s="564"/>
      <c r="O82" s="3"/>
      <c r="P82" s="3"/>
      <c r="Q82" s="3"/>
      <c r="R82" s="3"/>
      <c r="S82" s="3"/>
      <c r="T82" s="3"/>
      <c r="U82" s="3"/>
      <c r="V82" s="3"/>
      <c r="W82" s="3"/>
      <c r="X82" s="3"/>
      <c r="Y82" s="3"/>
      <c r="Z82" s="3"/>
    </row>
    <row r="83" spans="1:26" ht="15.75" customHeight="1">
      <c r="A83" s="3"/>
      <c r="B83" s="2"/>
      <c r="C83" s="2"/>
      <c r="D83" s="2"/>
      <c r="E83" s="2"/>
      <c r="F83" s="2"/>
      <c r="G83" s="2"/>
      <c r="H83" s="2"/>
      <c r="I83" s="2"/>
      <c r="J83" s="564"/>
      <c r="K83" s="564"/>
      <c r="L83" s="564"/>
      <c r="M83" s="564"/>
      <c r="N83" s="564"/>
      <c r="O83" s="3"/>
      <c r="P83" s="3"/>
      <c r="Q83" s="3"/>
      <c r="R83" s="3"/>
      <c r="S83" s="3"/>
      <c r="T83" s="3"/>
      <c r="U83" s="3"/>
      <c r="V83" s="3"/>
      <c r="W83" s="3"/>
      <c r="X83" s="3"/>
      <c r="Y83" s="3"/>
      <c r="Z83" s="3"/>
    </row>
    <row r="84" spans="1:26" ht="15.75" customHeight="1">
      <c r="A84" s="3"/>
      <c r="B84" s="2"/>
      <c r="C84" s="2"/>
      <c r="D84" s="2"/>
      <c r="E84" s="2"/>
      <c r="F84" s="2"/>
      <c r="G84" s="2"/>
      <c r="H84" s="2"/>
      <c r="I84" s="2"/>
      <c r="J84" s="564"/>
      <c r="K84" s="564"/>
      <c r="L84" s="564"/>
      <c r="M84" s="564"/>
      <c r="N84" s="564"/>
      <c r="O84" s="3"/>
      <c r="P84" s="3"/>
      <c r="Q84" s="3"/>
      <c r="R84" s="3"/>
      <c r="S84" s="3"/>
      <c r="T84" s="3"/>
      <c r="U84" s="3"/>
      <c r="V84" s="3"/>
      <c r="W84" s="3"/>
      <c r="X84" s="3"/>
      <c r="Y84" s="3"/>
      <c r="Z84" s="3"/>
    </row>
    <row r="85" spans="1:26" ht="15.75" customHeight="1">
      <c r="A85" s="3"/>
      <c r="B85" s="2"/>
      <c r="C85" s="2"/>
      <c r="D85" s="2"/>
      <c r="E85" s="2"/>
      <c r="F85" s="2"/>
      <c r="G85" s="2"/>
      <c r="H85" s="2"/>
      <c r="I85" s="2"/>
      <c r="J85" s="564"/>
      <c r="K85" s="564"/>
      <c r="L85" s="564"/>
      <c r="M85" s="564"/>
      <c r="N85" s="564"/>
      <c r="O85" s="3"/>
      <c r="P85" s="3"/>
      <c r="Q85" s="3"/>
      <c r="R85" s="3"/>
      <c r="S85" s="3"/>
      <c r="T85" s="3"/>
      <c r="U85" s="3"/>
      <c r="V85" s="3"/>
      <c r="W85" s="3"/>
      <c r="X85" s="3"/>
      <c r="Y85" s="3"/>
      <c r="Z85" s="3"/>
    </row>
    <row r="86" spans="1:26" ht="15.75" customHeight="1">
      <c r="A86" s="3"/>
      <c r="B86" s="2"/>
      <c r="C86" s="2"/>
      <c r="D86" s="2"/>
      <c r="E86" s="2"/>
      <c r="F86" s="2"/>
      <c r="G86" s="2"/>
      <c r="H86" s="2"/>
      <c r="I86" s="2"/>
      <c r="J86" s="564"/>
      <c r="K86" s="564"/>
      <c r="L86" s="564"/>
      <c r="M86" s="564"/>
      <c r="N86" s="564"/>
      <c r="O86" s="3"/>
      <c r="P86" s="3"/>
      <c r="Q86" s="3"/>
      <c r="R86" s="3"/>
      <c r="S86" s="3"/>
      <c r="T86" s="3"/>
      <c r="U86" s="3"/>
      <c r="V86" s="3"/>
      <c r="W86" s="3"/>
      <c r="X86" s="3"/>
      <c r="Y86" s="3"/>
      <c r="Z86" s="3"/>
    </row>
    <row r="87" spans="1:26" ht="15.75" customHeight="1">
      <c r="A87" s="3"/>
      <c r="B87" s="2"/>
      <c r="C87" s="2"/>
      <c r="D87" s="2"/>
      <c r="E87" s="2"/>
      <c r="F87" s="2"/>
      <c r="G87" s="2"/>
      <c r="H87" s="2"/>
      <c r="I87" s="2"/>
      <c r="J87" s="564"/>
      <c r="K87" s="564"/>
      <c r="L87" s="564"/>
      <c r="M87" s="564"/>
      <c r="N87" s="564"/>
      <c r="O87" s="3"/>
      <c r="P87" s="3"/>
      <c r="Q87" s="3"/>
      <c r="R87" s="3"/>
      <c r="S87" s="3"/>
      <c r="T87" s="3"/>
      <c r="U87" s="3"/>
      <c r="V87" s="3"/>
      <c r="W87" s="3"/>
      <c r="X87" s="3"/>
      <c r="Y87" s="3"/>
      <c r="Z87" s="3"/>
    </row>
    <row r="88" spans="1:26" ht="15.75" customHeight="1">
      <c r="A88" s="3"/>
      <c r="B88" s="2"/>
      <c r="C88" s="2"/>
      <c r="D88" s="2"/>
      <c r="E88" s="2"/>
      <c r="F88" s="2"/>
      <c r="G88" s="2"/>
      <c r="H88" s="2"/>
      <c r="I88" s="2"/>
      <c r="J88" s="564"/>
      <c r="K88" s="564"/>
      <c r="L88" s="564"/>
      <c r="M88" s="564"/>
      <c r="N88" s="564"/>
      <c r="O88" s="3"/>
      <c r="P88" s="3"/>
      <c r="Q88" s="3"/>
      <c r="R88" s="3"/>
      <c r="S88" s="3"/>
      <c r="T88" s="3"/>
      <c r="U88" s="3"/>
      <c r="V88" s="3"/>
      <c r="W88" s="3"/>
      <c r="X88" s="3"/>
      <c r="Y88" s="3"/>
      <c r="Z88" s="3"/>
    </row>
    <row r="89" spans="1:26" ht="15.75" customHeight="1">
      <c r="A89" s="3"/>
      <c r="B89" s="2"/>
      <c r="C89" s="2"/>
      <c r="D89" s="2"/>
      <c r="E89" s="2"/>
      <c r="F89" s="2"/>
      <c r="G89" s="2"/>
      <c r="H89" s="2"/>
      <c r="I89" s="2"/>
      <c r="J89" s="564"/>
      <c r="K89" s="564"/>
      <c r="L89" s="564"/>
      <c r="M89" s="564"/>
      <c r="N89" s="564"/>
      <c r="O89" s="3"/>
      <c r="P89" s="3"/>
      <c r="Q89" s="3"/>
      <c r="R89" s="3"/>
      <c r="S89" s="3"/>
      <c r="T89" s="3"/>
      <c r="U89" s="3"/>
      <c r="V89" s="3"/>
      <c r="W89" s="3"/>
      <c r="X89" s="3"/>
      <c r="Y89" s="3"/>
      <c r="Z89" s="3"/>
    </row>
    <row r="90" spans="1:26" ht="15.75" customHeight="1">
      <c r="A90" s="3"/>
      <c r="B90" s="2"/>
      <c r="C90" s="2"/>
      <c r="D90" s="2"/>
      <c r="E90" s="2"/>
      <c r="F90" s="2"/>
      <c r="G90" s="2"/>
      <c r="H90" s="2"/>
      <c r="I90" s="2"/>
      <c r="J90" s="564"/>
      <c r="K90" s="564"/>
      <c r="L90" s="564"/>
      <c r="M90" s="564"/>
      <c r="N90" s="564"/>
      <c r="O90" s="3"/>
      <c r="P90" s="3"/>
      <c r="Q90" s="3"/>
      <c r="R90" s="3"/>
      <c r="S90" s="3"/>
      <c r="T90" s="3"/>
      <c r="U90" s="3"/>
      <c r="V90" s="3"/>
      <c r="W90" s="3"/>
      <c r="X90" s="3"/>
      <c r="Y90" s="3"/>
      <c r="Z90" s="3"/>
    </row>
    <row r="91" spans="1:26" ht="15.75" customHeight="1">
      <c r="A91" s="3"/>
      <c r="B91" s="2"/>
      <c r="C91" s="2"/>
      <c r="D91" s="2"/>
      <c r="E91" s="2"/>
      <c r="F91" s="2"/>
      <c r="G91" s="2"/>
      <c r="H91" s="2"/>
      <c r="I91" s="2"/>
      <c r="J91" s="564"/>
      <c r="K91" s="564"/>
      <c r="L91" s="564"/>
      <c r="M91" s="564"/>
      <c r="N91" s="564"/>
      <c r="O91" s="3"/>
      <c r="P91" s="3"/>
      <c r="Q91" s="3"/>
      <c r="R91" s="3"/>
      <c r="S91" s="3"/>
      <c r="T91" s="3"/>
      <c r="U91" s="3"/>
      <c r="V91" s="3"/>
      <c r="W91" s="3"/>
      <c r="X91" s="3"/>
      <c r="Y91" s="3"/>
      <c r="Z91" s="3"/>
    </row>
    <row r="92" spans="1:26" ht="15.75" customHeight="1">
      <c r="A92" s="3"/>
      <c r="B92" s="2"/>
      <c r="C92" s="2"/>
      <c r="D92" s="2"/>
      <c r="E92" s="2"/>
      <c r="F92" s="2"/>
      <c r="G92" s="2"/>
      <c r="H92" s="2"/>
      <c r="I92" s="2"/>
      <c r="J92" s="564"/>
      <c r="K92" s="564"/>
      <c r="L92" s="564"/>
      <c r="M92" s="564"/>
      <c r="N92" s="564"/>
      <c r="O92" s="3"/>
      <c r="P92" s="3"/>
      <c r="Q92" s="3"/>
      <c r="R92" s="3"/>
      <c r="S92" s="3"/>
      <c r="T92" s="3"/>
      <c r="U92" s="3"/>
      <c r="V92" s="3"/>
      <c r="W92" s="3"/>
      <c r="X92" s="3"/>
      <c r="Y92" s="3"/>
      <c r="Z92" s="3"/>
    </row>
    <row r="93" spans="1:26" ht="15.75" customHeight="1">
      <c r="A93" s="3"/>
      <c r="B93" s="2"/>
      <c r="C93" s="2"/>
      <c r="D93" s="2"/>
      <c r="E93" s="2"/>
      <c r="F93" s="2"/>
      <c r="G93" s="2"/>
      <c r="H93" s="2"/>
      <c r="I93" s="2"/>
      <c r="J93" s="564"/>
      <c r="K93" s="564"/>
      <c r="L93" s="564"/>
      <c r="M93" s="564"/>
      <c r="N93" s="564"/>
      <c r="O93" s="3"/>
      <c r="P93" s="3"/>
      <c r="Q93" s="3"/>
      <c r="R93" s="3"/>
      <c r="S93" s="3"/>
      <c r="T93" s="3"/>
      <c r="U93" s="3"/>
      <c r="V93" s="3"/>
      <c r="W93" s="3"/>
      <c r="X93" s="3"/>
      <c r="Y93" s="3"/>
      <c r="Z93" s="3"/>
    </row>
    <row r="94" spans="1:26" ht="15.75" customHeight="1">
      <c r="A94" s="3"/>
      <c r="B94" s="2"/>
      <c r="C94" s="2"/>
      <c r="D94" s="2"/>
      <c r="E94" s="2"/>
      <c r="F94" s="2"/>
      <c r="G94" s="2"/>
      <c r="H94" s="2"/>
      <c r="I94" s="2"/>
      <c r="J94" s="564"/>
      <c r="K94" s="564"/>
      <c r="L94" s="564"/>
      <c r="M94" s="564"/>
      <c r="N94" s="564"/>
      <c r="O94" s="3"/>
      <c r="P94" s="3"/>
      <c r="Q94" s="3"/>
      <c r="R94" s="3"/>
      <c r="S94" s="3"/>
      <c r="T94" s="3"/>
      <c r="U94" s="3"/>
      <c r="V94" s="3"/>
      <c r="W94" s="3"/>
      <c r="X94" s="3"/>
      <c r="Y94" s="3"/>
      <c r="Z94" s="3"/>
    </row>
    <row r="95" spans="1:26" ht="15.75" customHeight="1">
      <c r="A95" s="3"/>
      <c r="B95" s="2"/>
      <c r="C95" s="2"/>
      <c r="D95" s="2"/>
      <c r="E95" s="2"/>
      <c r="F95" s="2"/>
      <c r="G95" s="2"/>
      <c r="H95" s="2"/>
      <c r="I95" s="2"/>
      <c r="J95" s="564"/>
      <c r="K95" s="564"/>
      <c r="L95" s="564"/>
      <c r="M95" s="564"/>
      <c r="N95" s="564"/>
      <c r="O95" s="3"/>
      <c r="P95" s="3"/>
      <c r="Q95" s="3"/>
      <c r="R95" s="3"/>
      <c r="S95" s="3"/>
      <c r="T95" s="3"/>
      <c r="U95" s="3"/>
      <c r="V95" s="3"/>
      <c r="W95" s="3"/>
      <c r="X95" s="3"/>
      <c r="Y95" s="3"/>
      <c r="Z95" s="3"/>
    </row>
    <row r="96" spans="1:26" ht="15.75" customHeight="1">
      <c r="A96" s="3"/>
      <c r="B96" s="2"/>
      <c r="C96" s="2"/>
      <c r="D96" s="2"/>
      <c r="E96" s="2"/>
      <c r="F96" s="2"/>
      <c r="G96" s="2"/>
      <c r="H96" s="2"/>
      <c r="I96" s="2"/>
      <c r="J96" s="564"/>
      <c r="K96" s="564"/>
      <c r="L96" s="564"/>
      <c r="M96" s="564"/>
      <c r="N96" s="564"/>
      <c r="O96" s="3"/>
      <c r="P96" s="3"/>
      <c r="Q96" s="3"/>
      <c r="R96" s="3"/>
      <c r="S96" s="3"/>
      <c r="T96" s="3"/>
      <c r="U96" s="3"/>
      <c r="V96" s="3"/>
      <c r="W96" s="3"/>
      <c r="X96" s="3"/>
      <c r="Y96" s="3"/>
      <c r="Z96" s="3"/>
    </row>
    <row r="97" spans="1:26" ht="15.75" customHeight="1">
      <c r="A97" s="3"/>
      <c r="B97" s="2"/>
      <c r="C97" s="2"/>
      <c r="D97" s="2"/>
      <c r="E97" s="2"/>
      <c r="F97" s="2"/>
      <c r="G97" s="2"/>
      <c r="H97" s="2"/>
      <c r="I97" s="2"/>
      <c r="J97" s="564"/>
      <c r="K97" s="564"/>
      <c r="L97" s="564"/>
      <c r="M97" s="564"/>
      <c r="N97" s="564"/>
      <c r="O97" s="3"/>
      <c r="P97" s="3"/>
      <c r="Q97" s="3"/>
      <c r="R97" s="3"/>
      <c r="S97" s="3"/>
      <c r="T97" s="3"/>
      <c r="U97" s="3"/>
      <c r="V97" s="3"/>
      <c r="W97" s="3"/>
      <c r="X97" s="3"/>
      <c r="Y97" s="3"/>
      <c r="Z97" s="3"/>
    </row>
    <row r="98" spans="1:26" ht="15.75" customHeight="1">
      <c r="A98" s="3"/>
      <c r="B98" s="2"/>
      <c r="C98" s="2"/>
      <c r="D98" s="2"/>
      <c r="E98" s="2"/>
      <c r="F98" s="2"/>
      <c r="G98" s="2"/>
      <c r="H98" s="2"/>
      <c r="I98" s="2"/>
      <c r="J98" s="564"/>
      <c r="K98" s="564"/>
      <c r="L98" s="564"/>
      <c r="M98" s="564"/>
      <c r="N98" s="564"/>
      <c r="O98" s="3"/>
      <c r="P98" s="3"/>
      <c r="Q98" s="3"/>
      <c r="R98" s="3"/>
      <c r="S98" s="3"/>
      <c r="T98" s="3"/>
      <c r="U98" s="3"/>
      <c r="V98" s="3"/>
      <c r="W98" s="3"/>
      <c r="X98" s="3"/>
      <c r="Y98" s="3"/>
      <c r="Z98" s="3"/>
    </row>
    <row r="99" spans="1:26" ht="15.75" customHeight="1">
      <c r="A99" s="3"/>
      <c r="B99" s="2"/>
      <c r="C99" s="2"/>
      <c r="D99" s="2"/>
      <c r="E99" s="2"/>
      <c r="F99" s="2"/>
      <c r="G99" s="2"/>
      <c r="H99" s="2"/>
      <c r="I99" s="2"/>
      <c r="J99" s="564"/>
      <c r="K99" s="564"/>
      <c r="L99" s="564"/>
      <c r="M99" s="564"/>
      <c r="N99" s="564"/>
      <c r="O99" s="3"/>
      <c r="P99" s="3"/>
      <c r="Q99" s="3"/>
      <c r="R99" s="3"/>
      <c r="S99" s="3"/>
      <c r="T99" s="3"/>
      <c r="U99" s="3"/>
      <c r="V99" s="3"/>
      <c r="W99" s="3"/>
      <c r="X99" s="3"/>
      <c r="Y99" s="3"/>
      <c r="Z99" s="3"/>
    </row>
    <row r="100" spans="1:26" ht="15.75" customHeight="1">
      <c r="A100" s="3"/>
      <c r="B100" s="2"/>
      <c r="C100" s="2"/>
      <c r="D100" s="2"/>
      <c r="E100" s="2"/>
      <c r="F100" s="2"/>
      <c r="G100" s="2"/>
      <c r="H100" s="2"/>
      <c r="I100" s="2"/>
      <c r="J100" s="564"/>
      <c r="K100" s="564"/>
      <c r="L100" s="564"/>
      <c r="M100" s="564"/>
      <c r="N100" s="564"/>
      <c r="O100" s="3"/>
      <c r="P100" s="3"/>
      <c r="Q100" s="3"/>
      <c r="R100" s="3"/>
      <c r="S100" s="3"/>
      <c r="T100" s="3"/>
      <c r="U100" s="3"/>
      <c r="V100" s="3"/>
      <c r="W100" s="3"/>
      <c r="X100" s="3"/>
      <c r="Y100" s="3"/>
      <c r="Z100" s="3"/>
    </row>
    <row r="101" spans="1:26" ht="15.75" customHeight="1">
      <c r="A101" s="3"/>
      <c r="B101" s="2"/>
      <c r="C101" s="2"/>
      <c r="D101" s="2"/>
      <c r="E101" s="2"/>
      <c r="F101" s="2"/>
      <c r="G101" s="2"/>
      <c r="H101" s="2"/>
      <c r="I101" s="2"/>
      <c r="J101" s="564"/>
      <c r="K101" s="564"/>
      <c r="L101" s="564"/>
      <c r="M101" s="564"/>
      <c r="N101" s="564"/>
      <c r="O101" s="3"/>
      <c r="P101" s="3"/>
      <c r="Q101" s="3"/>
      <c r="R101" s="3"/>
      <c r="S101" s="3"/>
      <c r="T101" s="3"/>
      <c r="U101" s="3"/>
      <c r="V101" s="3"/>
      <c r="W101" s="3"/>
      <c r="X101" s="3"/>
      <c r="Y101" s="3"/>
      <c r="Z101" s="3"/>
    </row>
    <row r="102" spans="1:26" ht="15.75" customHeight="1">
      <c r="A102" s="3"/>
      <c r="B102" s="2"/>
      <c r="C102" s="2"/>
      <c r="D102" s="2"/>
      <c r="E102" s="2"/>
      <c r="F102" s="2"/>
      <c r="G102" s="2"/>
      <c r="H102" s="2"/>
      <c r="I102" s="2"/>
      <c r="J102" s="564"/>
      <c r="K102" s="564"/>
      <c r="L102" s="564"/>
      <c r="M102" s="564"/>
      <c r="N102" s="564"/>
      <c r="O102" s="3"/>
      <c r="P102" s="3"/>
      <c r="Q102" s="3"/>
      <c r="R102" s="3"/>
      <c r="S102" s="3"/>
      <c r="T102" s="3"/>
      <c r="U102" s="3"/>
      <c r="V102" s="3"/>
      <c r="W102" s="3"/>
      <c r="X102" s="3"/>
      <c r="Y102" s="3"/>
      <c r="Z102" s="3"/>
    </row>
    <row r="103" spans="1:26" ht="15.75" customHeight="1">
      <c r="A103" s="3"/>
      <c r="B103" s="2"/>
      <c r="C103" s="2"/>
      <c r="D103" s="2"/>
      <c r="E103" s="2"/>
      <c r="F103" s="2"/>
      <c r="G103" s="2"/>
      <c r="H103" s="2"/>
      <c r="I103" s="2"/>
      <c r="J103" s="564"/>
      <c r="K103" s="564"/>
      <c r="L103" s="564"/>
      <c r="M103" s="564"/>
      <c r="N103" s="564"/>
      <c r="O103" s="3"/>
      <c r="P103" s="3"/>
      <c r="Q103" s="3"/>
      <c r="R103" s="3"/>
      <c r="S103" s="3"/>
      <c r="T103" s="3"/>
      <c r="U103" s="3"/>
      <c r="V103" s="3"/>
      <c r="W103" s="3"/>
      <c r="X103" s="3"/>
      <c r="Y103" s="3"/>
      <c r="Z103" s="3"/>
    </row>
    <row r="104" spans="1:26" ht="15.75" customHeight="1">
      <c r="A104" s="3"/>
      <c r="B104" s="2"/>
      <c r="C104" s="2"/>
      <c r="D104" s="2"/>
      <c r="E104" s="2"/>
      <c r="F104" s="2"/>
      <c r="G104" s="2"/>
      <c r="H104" s="2"/>
      <c r="I104" s="2"/>
      <c r="J104" s="564"/>
      <c r="K104" s="564"/>
      <c r="L104" s="564"/>
      <c r="M104" s="564"/>
      <c r="N104" s="564"/>
      <c r="O104" s="3"/>
      <c r="P104" s="3"/>
      <c r="Q104" s="3"/>
      <c r="R104" s="3"/>
      <c r="S104" s="3"/>
      <c r="T104" s="3"/>
      <c r="U104" s="3"/>
      <c r="V104" s="3"/>
      <c r="W104" s="3"/>
      <c r="X104" s="3"/>
      <c r="Y104" s="3"/>
      <c r="Z104" s="3"/>
    </row>
    <row r="105" spans="1:26" ht="15.75" customHeight="1">
      <c r="A105" s="3"/>
      <c r="B105" s="2"/>
      <c r="C105" s="2"/>
      <c r="D105" s="2"/>
      <c r="E105" s="2"/>
      <c r="F105" s="2"/>
      <c r="G105" s="2"/>
      <c r="H105" s="2"/>
      <c r="I105" s="2"/>
      <c r="J105" s="564"/>
      <c r="K105" s="564"/>
      <c r="L105" s="564"/>
      <c r="M105" s="564"/>
      <c r="N105" s="564"/>
      <c r="O105" s="3"/>
      <c r="P105" s="3"/>
      <c r="Q105" s="3"/>
      <c r="R105" s="3"/>
      <c r="S105" s="3"/>
      <c r="T105" s="3"/>
      <c r="U105" s="3"/>
      <c r="V105" s="3"/>
      <c r="W105" s="3"/>
      <c r="X105" s="3"/>
      <c r="Y105" s="3"/>
      <c r="Z105" s="3"/>
    </row>
    <row r="106" spans="1:26" ht="15.75" customHeight="1">
      <c r="A106" s="3"/>
      <c r="B106" s="2"/>
      <c r="C106" s="2"/>
      <c r="D106" s="2"/>
      <c r="E106" s="2"/>
      <c r="F106" s="2"/>
      <c r="G106" s="2"/>
      <c r="H106" s="2"/>
      <c r="I106" s="2"/>
      <c r="J106" s="564"/>
      <c r="K106" s="564"/>
      <c r="L106" s="564"/>
      <c r="M106" s="564"/>
      <c r="N106" s="564"/>
      <c r="O106" s="3"/>
      <c r="P106" s="3"/>
      <c r="Q106" s="3"/>
      <c r="R106" s="3"/>
      <c r="S106" s="3"/>
      <c r="T106" s="3"/>
      <c r="U106" s="3"/>
      <c r="V106" s="3"/>
      <c r="W106" s="3"/>
      <c r="X106" s="3"/>
      <c r="Y106" s="3"/>
      <c r="Z106" s="3"/>
    </row>
    <row r="107" spans="1:26" ht="15.75" customHeight="1">
      <c r="A107" s="3"/>
      <c r="B107" s="2"/>
      <c r="C107" s="2"/>
      <c r="D107" s="2"/>
      <c r="E107" s="2"/>
      <c r="F107" s="2"/>
      <c r="G107" s="2"/>
      <c r="H107" s="2"/>
      <c r="I107" s="2"/>
      <c r="J107" s="564"/>
      <c r="K107" s="564"/>
      <c r="L107" s="564"/>
      <c r="M107" s="564"/>
      <c r="N107" s="564"/>
      <c r="O107" s="3"/>
      <c r="P107" s="3"/>
      <c r="Q107" s="3"/>
      <c r="R107" s="3"/>
      <c r="S107" s="3"/>
      <c r="T107" s="3"/>
      <c r="U107" s="3"/>
      <c r="V107" s="3"/>
      <c r="W107" s="3"/>
      <c r="X107" s="3"/>
      <c r="Y107" s="3"/>
      <c r="Z107" s="3"/>
    </row>
    <row r="108" spans="1:26" ht="15.75" customHeight="1">
      <c r="A108" s="3"/>
      <c r="B108" s="2"/>
      <c r="C108" s="2"/>
      <c r="D108" s="2"/>
      <c r="E108" s="2"/>
      <c r="F108" s="2"/>
      <c r="G108" s="2"/>
      <c r="H108" s="2"/>
      <c r="I108" s="2"/>
      <c r="J108" s="564"/>
      <c r="K108" s="564"/>
      <c r="L108" s="564"/>
      <c r="M108" s="564"/>
      <c r="N108" s="564"/>
      <c r="O108" s="3"/>
      <c r="P108" s="3"/>
      <c r="Q108" s="3"/>
      <c r="R108" s="3"/>
      <c r="S108" s="3"/>
      <c r="T108" s="3"/>
      <c r="U108" s="3"/>
      <c r="V108" s="3"/>
      <c r="W108" s="3"/>
      <c r="X108" s="3"/>
      <c r="Y108" s="3"/>
      <c r="Z108" s="3"/>
    </row>
    <row r="109" spans="1:26" ht="15.75" customHeight="1">
      <c r="A109" s="3"/>
      <c r="B109" s="2"/>
      <c r="C109" s="2"/>
      <c r="D109" s="2"/>
      <c r="E109" s="2"/>
      <c r="F109" s="2"/>
      <c r="G109" s="2"/>
      <c r="H109" s="2"/>
      <c r="I109" s="2"/>
      <c r="J109" s="564"/>
      <c r="K109" s="564"/>
      <c r="L109" s="564"/>
      <c r="M109" s="564"/>
      <c r="N109" s="564"/>
      <c r="O109" s="3"/>
      <c r="P109" s="3"/>
      <c r="Q109" s="3"/>
      <c r="R109" s="3"/>
      <c r="S109" s="3"/>
      <c r="T109" s="3"/>
      <c r="U109" s="3"/>
      <c r="V109" s="3"/>
      <c r="W109" s="3"/>
      <c r="X109" s="3"/>
      <c r="Y109" s="3"/>
      <c r="Z109" s="3"/>
    </row>
    <row r="110" spans="1:26" ht="15.75" customHeight="1">
      <c r="A110" s="3"/>
      <c r="B110" s="2"/>
      <c r="C110" s="2"/>
      <c r="D110" s="2"/>
      <c r="E110" s="2"/>
      <c r="F110" s="2"/>
      <c r="G110" s="2"/>
      <c r="H110" s="2"/>
      <c r="I110" s="2"/>
      <c r="J110" s="564"/>
      <c r="K110" s="564"/>
      <c r="L110" s="564"/>
      <c r="M110" s="564"/>
      <c r="N110" s="564"/>
      <c r="O110" s="3"/>
      <c r="P110" s="3"/>
      <c r="Q110" s="3"/>
      <c r="R110" s="3"/>
      <c r="S110" s="3"/>
      <c r="T110" s="3"/>
      <c r="U110" s="3"/>
      <c r="V110" s="3"/>
      <c r="W110" s="3"/>
      <c r="X110" s="3"/>
      <c r="Y110" s="3"/>
      <c r="Z110" s="3"/>
    </row>
    <row r="111" spans="1:26" ht="15.75" customHeight="1">
      <c r="A111" s="3"/>
      <c r="B111" s="2"/>
      <c r="C111" s="2"/>
      <c r="D111" s="2"/>
      <c r="E111" s="2"/>
      <c r="F111" s="2"/>
      <c r="G111" s="2"/>
      <c r="H111" s="2"/>
      <c r="I111" s="2"/>
      <c r="J111" s="564"/>
      <c r="K111" s="564"/>
      <c r="L111" s="564"/>
      <c r="M111" s="564"/>
      <c r="N111" s="564"/>
      <c r="O111" s="3"/>
      <c r="P111" s="3"/>
      <c r="Q111" s="3"/>
      <c r="R111" s="3"/>
      <c r="S111" s="3"/>
      <c r="T111" s="3"/>
      <c r="U111" s="3"/>
      <c r="V111" s="3"/>
      <c r="W111" s="3"/>
      <c r="X111" s="3"/>
      <c r="Y111" s="3"/>
      <c r="Z111" s="3"/>
    </row>
    <row r="112" spans="1:26" ht="15.75" customHeight="1">
      <c r="A112" s="3"/>
      <c r="B112" s="2"/>
      <c r="C112" s="2"/>
      <c r="D112" s="2"/>
      <c r="E112" s="2"/>
      <c r="F112" s="2"/>
      <c r="G112" s="2"/>
      <c r="H112" s="2"/>
      <c r="I112" s="2"/>
      <c r="J112" s="564"/>
      <c r="K112" s="564"/>
      <c r="L112" s="564"/>
      <c r="M112" s="564"/>
      <c r="N112" s="564"/>
      <c r="O112" s="3"/>
      <c r="P112" s="3"/>
      <c r="Q112" s="3"/>
      <c r="R112" s="3"/>
      <c r="S112" s="3"/>
      <c r="T112" s="3"/>
      <c r="U112" s="3"/>
      <c r="V112" s="3"/>
      <c r="W112" s="3"/>
      <c r="X112" s="3"/>
      <c r="Y112" s="3"/>
      <c r="Z112" s="3"/>
    </row>
    <row r="113" spans="1:26" ht="15.75" customHeight="1">
      <c r="A113" s="3"/>
      <c r="B113" s="2"/>
      <c r="C113" s="2"/>
      <c r="D113" s="2"/>
      <c r="E113" s="2"/>
      <c r="F113" s="2"/>
      <c r="G113" s="2"/>
      <c r="H113" s="2"/>
      <c r="I113" s="2"/>
      <c r="J113" s="564"/>
      <c r="K113" s="564"/>
      <c r="L113" s="564"/>
      <c r="M113" s="564"/>
      <c r="N113" s="564"/>
      <c r="O113" s="3"/>
      <c r="P113" s="3"/>
      <c r="Q113" s="3"/>
      <c r="R113" s="3"/>
      <c r="S113" s="3"/>
      <c r="T113" s="3"/>
      <c r="U113" s="3"/>
      <c r="V113" s="3"/>
      <c r="W113" s="3"/>
      <c r="X113" s="3"/>
      <c r="Y113" s="3"/>
      <c r="Z113" s="3"/>
    </row>
    <row r="114" spans="1:26" ht="15.75" customHeight="1">
      <c r="A114" s="3"/>
      <c r="B114" s="2"/>
      <c r="C114" s="2"/>
      <c r="D114" s="2"/>
      <c r="E114" s="2"/>
      <c r="F114" s="2"/>
      <c r="G114" s="2"/>
      <c r="H114" s="2"/>
      <c r="I114" s="2"/>
      <c r="J114" s="564"/>
      <c r="K114" s="564"/>
      <c r="L114" s="564"/>
      <c r="M114" s="564"/>
      <c r="N114" s="564"/>
      <c r="O114" s="3"/>
      <c r="P114" s="3"/>
      <c r="Q114" s="3"/>
      <c r="R114" s="3"/>
      <c r="S114" s="3"/>
      <c r="T114" s="3"/>
      <c r="U114" s="3"/>
      <c r="V114" s="3"/>
      <c r="W114" s="3"/>
      <c r="X114" s="3"/>
      <c r="Y114" s="3"/>
      <c r="Z114" s="3"/>
    </row>
    <row r="115" spans="1:26" ht="15.75" customHeight="1">
      <c r="A115" s="3"/>
      <c r="B115" s="2"/>
      <c r="C115" s="2"/>
      <c r="D115" s="2"/>
      <c r="E115" s="2"/>
      <c r="F115" s="2"/>
      <c r="G115" s="2"/>
      <c r="H115" s="2"/>
      <c r="I115" s="2"/>
      <c r="J115" s="564"/>
      <c r="K115" s="564"/>
      <c r="L115" s="564"/>
      <c r="M115" s="564"/>
      <c r="N115" s="564"/>
      <c r="O115" s="3"/>
      <c r="P115" s="3"/>
      <c r="Q115" s="3"/>
      <c r="R115" s="3"/>
      <c r="S115" s="3"/>
      <c r="T115" s="3"/>
      <c r="U115" s="3"/>
      <c r="V115" s="3"/>
      <c r="W115" s="3"/>
      <c r="X115" s="3"/>
      <c r="Y115" s="3"/>
      <c r="Z115" s="3"/>
    </row>
    <row r="116" spans="1:26" ht="15.75" customHeight="1">
      <c r="A116" s="3"/>
      <c r="B116" s="2"/>
      <c r="C116" s="2"/>
      <c r="D116" s="2"/>
      <c r="E116" s="2"/>
      <c r="F116" s="2"/>
      <c r="G116" s="2"/>
      <c r="H116" s="2"/>
      <c r="I116" s="2"/>
      <c r="J116" s="564"/>
      <c r="K116" s="564"/>
      <c r="L116" s="564"/>
      <c r="M116" s="564"/>
      <c r="N116" s="564"/>
      <c r="O116" s="3"/>
      <c r="P116" s="3"/>
      <c r="Q116" s="3"/>
      <c r="R116" s="3"/>
      <c r="S116" s="3"/>
      <c r="T116" s="3"/>
      <c r="U116" s="3"/>
      <c r="V116" s="3"/>
      <c r="W116" s="3"/>
      <c r="X116" s="3"/>
      <c r="Y116" s="3"/>
      <c r="Z116" s="3"/>
    </row>
    <row r="117" spans="1:26" ht="15.75" customHeight="1">
      <c r="A117" s="3"/>
      <c r="B117" s="2"/>
      <c r="C117" s="2"/>
      <c r="D117" s="2"/>
      <c r="E117" s="2"/>
      <c r="F117" s="2"/>
      <c r="G117" s="2"/>
      <c r="H117" s="2"/>
      <c r="I117" s="2"/>
      <c r="J117" s="564"/>
      <c r="K117" s="564"/>
      <c r="L117" s="564"/>
      <c r="M117" s="564"/>
      <c r="N117" s="564"/>
      <c r="O117" s="3"/>
      <c r="P117" s="3"/>
      <c r="Q117" s="3"/>
      <c r="R117" s="3"/>
      <c r="S117" s="3"/>
      <c r="T117" s="3"/>
      <c r="U117" s="3"/>
      <c r="V117" s="3"/>
      <c r="W117" s="3"/>
      <c r="X117" s="3"/>
      <c r="Y117" s="3"/>
      <c r="Z117" s="3"/>
    </row>
    <row r="118" spans="1:26" ht="15.75" customHeight="1">
      <c r="A118" s="3"/>
      <c r="B118" s="2"/>
      <c r="C118" s="2"/>
      <c r="D118" s="2"/>
      <c r="E118" s="2"/>
      <c r="F118" s="2"/>
      <c r="G118" s="2"/>
      <c r="H118" s="2"/>
      <c r="I118" s="2"/>
      <c r="J118" s="564"/>
      <c r="K118" s="564"/>
      <c r="L118" s="564"/>
      <c r="M118" s="564"/>
      <c r="N118" s="564"/>
      <c r="O118" s="3"/>
      <c r="P118" s="3"/>
      <c r="Q118" s="3"/>
      <c r="R118" s="3"/>
      <c r="S118" s="3"/>
      <c r="T118" s="3"/>
      <c r="U118" s="3"/>
      <c r="V118" s="3"/>
      <c r="W118" s="3"/>
      <c r="X118" s="3"/>
      <c r="Y118" s="3"/>
      <c r="Z118" s="3"/>
    </row>
    <row r="119" spans="1:26" ht="15.75" customHeight="1">
      <c r="A119" s="3"/>
      <c r="B119" s="2"/>
      <c r="C119" s="2"/>
      <c r="D119" s="2"/>
      <c r="E119" s="2"/>
      <c r="F119" s="2"/>
      <c r="G119" s="2"/>
      <c r="H119" s="2"/>
      <c r="I119" s="2"/>
      <c r="J119" s="564"/>
      <c r="K119" s="564"/>
      <c r="L119" s="564"/>
      <c r="M119" s="564"/>
      <c r="N119" s="564"/>
      <c r="O119" s="3"/>
      <c r="P119" s="3"/>
      <c r="Q119" s="3"/>
      <c r="R119" s="3"/>
      <c r="S119" s="3"/>
      <c r="T119" s="3"/>
      <c r="U119" s="3"/>
      <c r="V119" s="3"/>
      <c r="W119" s="3"/>
      <c r="X119" s="3"/>
      <c r="Y119" s="3"/>
      <c r="Z119" s="3"/>
    </row>
    <row r="120" spans="1:26" ht="15.75" customHeight="1">
      <c r="A120" s="3"/>
      <c r="B120" s="2"/>
      <c r="C120" s="2"/>
      <c r="D120" s="2"/>
      <c r="E120" s="2"/>
      <c r="F120" s="2"/>
      <c r="G120" s="2"/>
      <c r="H120" s="2"/>
      <c r="I120" s="2"/>
      <c r="J120" s="564"/>
      <c r="K120" s="564"/>
      <c r="L120" s="564"/>
      <c r="M120" s="564"/>
      <c r="N120" s="564"/>
      <c r="O120" s="3"/>
      <c r="P120" s="3"/>
      <c r="Q120" s="3"/>
      <c r="R120" s="3"/>
      <c r="S120" s="3"/>
      <c r="T120" s="3"/>
      <c r="U120" s="3"/>
      <c r="V120" s="3"/>
      <c r="W120" s="3"/>
      <c r="X120" s="3"/>
      <c r="Y120" s="3"/>
      <c r="Z120" s="3"/>
    </row>
    <row r="121" spans="1:26" ht="15.75" customHeight="1">
      <c r="A121" s="3"/>
      <c r="B121" s="2"/>
      <c r="C121" s="2"/>
      <c r="D121" s="2"/>
      <c r="E121" s="2"/>
      <c r="F121" s="2"/>
      <c r="G121" s="2"/>
      <c r="H121" s="2"/>
      <c r="I121" s="2"/>
      <c r="J121" s="564"/>
      <c r="K121" s="564"/>
      <c r="L121" s="564"/>
      <c r="M121" s="564"/>
      <c r="N121" s="564"/>
      <c r="O121" s="3"/>
      <c r="P121" s="3"/>
      <c r="Q121" s="3"/>
      <c r="R121" s="3"/>
      <c r="S121" s="3"/>
      <c r="T121" s="3"/>
      <c r="U121" s="3"/>
      <c r="V121" s="3"/>
      <c r="W121" s="3"/>
      <c r="X121" s="3"/>
      <c r="Y121" s="3"/>
      <c r="Z121" s="3"/>
    </row>
    <row r="122" spans="1:26" ht="15.75" customHeight="1">
      <c r="A122" s="3"/>
      <c r="B122" s="2"/>
      <c r="C122" s="2"/>
      <c r="D122" s="2"/>
      <c r="E122" s="2"/>
      <c r="F122" s="2"/>
      <c r="G122" s="2"/>
      <c r="H122" s="2"/>
      <c r="I122" s="2"/>
      <c r="J122" s="564"/>
      <c r="K122" s="564"/>
      <c r="L122" s="564"/>
      <c r="M122" s="564"/>
      <c r="N122" s="564"/>
      <c r="O122" s="3"/>
      <c r="P122" s="3"/>
      <c r="Q122" s="3"/>
      <c r="R122" s="3"/>
      <c r="S122" s="3"/>
      <c r="T122" s="3"/>
      <c r="U122" s="3"/>
      <c r="V122" s="3"/>
      <c r="W122" s="3"/>
      <c r="X122" s="3"/>
      <c r="Y122" s="3"/>
      <c r="Z122" s="3"/>
    </row>
    <row r="123" spans="1:26" ht="15.75" customHeight="1">
      <c r="A123" s="3"/>
      <c r="B123" s="2"/>
      <c r="C123" s="2"/>
      <c r="D123" s="2"/>
      <c r="E123" s="2"/>
      <c r="F123" s="2"/>
      <c r="G123" s="2"/>
      <c r="H123" s="2"/>
      <c r="I123" s="2"/>
      <c r="J123" s="564"/>
      <c r="K123" s="564"/>
      <c r="L123" s="564"/>
      <c r="M123" s="564"/>
      <c r="N123" s="564"/>
      <c r="O123" s="3"/>
      <c r="P123" s="3"/>
      <c r="Q123" s="3"/>
      <c r="R123" s="3"/>
      <c r="S123" s="3"/>
      <c r="T123" s="3"/>
      <c r="U123" s="3"/>
      <c r="V123" s="3"/>
      <c r="W123" s="3"/>
      <c r="X123" s="3"/>
      <c r="Y123" s="3"/>
      <c r="Z123" s="3"/>
    </row>
    <row r="124" spans="1:26" ht="15.75" customHeight="1">
      <c r="A124" s="3"/>
      <c r="B124" s="2"/>
      <c r="C124" s="2"/>
      <c r="D124" s="2"/>
      <c r="E124" s="2"/>
      <c r="F124" s="2"/>
      <c r="G124" s="2"/>
      <c r="H124" s="2"/>
      <c r="I124" s="2"/>
      <c r="J124" s="564"/>
      <c r="K124" s="564"/>
      <c r="L124" s="564"/>
      <c r="M124" s="564"/>
      <c r="N124" s="564"/>
      <c r="O124" s="3"/>
      <c r="P124" s="3"/>
      <c r="Q124" s="3"/>
      <c r="R124" s="3"/>
      <c r="S124" s="3"/>
      <c r="T124" s="3"/>
      <c r="U124" s="3"/>
      <c r="V124" s="3"/>
      <c r="W124" s="3"/>
      <c r="X124" s="3"/>
      <c r="Y124" s="3"/>
      <c r="Z124" s="3"/>
    </row>
    <row r="125" spans="1:26" ht="15.75" customHeight="1">
      <c r="A125" s="3"/>
      <c r="B125" s="2"/>
      <c r="C125" s="2"/>
      <c r="D125" s="2"/>
      <c r="E125" s="2"/>
      <c r="F125" s="2"/>
      <c r="G125" s="2"/>
      <c r="H125" s="2"/>
      <c r="I125" s="2"/>
      <c r="J125" s="564"/>
      <c r="K125" s="564"/>
      <c r="L125" s="564"/>
      <c r="M125" s="564"/>
      <c r="N125" s="564"/>
      <c r="O125" s="3"/>
      <c r="P125" s="3"/>
      <c r="Q125" s="3"/>
      <c r="R125" s="3"/>
      <c r="S125" s="3"/>
      <c r="T125" s="3"/>
      <c r="U125" s="3"/>
      <c r="V125" s="3"/>
      <c r="W125" s="3"/>
      <c r="X125" s="3"/>
      <c r="Y125" s="3"/>
      <c r="Z125" s="3"/>
    </row>
    <row r="126" spans="1:26" ht="15.75" customHeight="1">
      <c r="A126" s="3"/>
      <c r="B126" s="2"/>
      <c r="C126" s="2"/>
      <c r="D126" s="2"/>
      <c r="E126" s="2"/>
      <c r="F126" s="2"/>
      <c r="G126" s="2"/>
      <c r="H126" s="2"/>
      <c r="I126" s="2"/>
      <c r="J126" s="564"/>
      <c r="K126" s="564"/>
      <c r="L126" s="564"/>
      <c r="M126" s="564"/>
      <c r="N126" s="564"/>
      <c r="O126" s="3"/>
      <c r="P126" s="3"/>
      <c r="Q126" s="3"/>
      <c r="R126" s="3"/>
      <c r="S126" s="3"/>
      <c r="T126" s="3"/>
      <c r="U126" s="3"/>
      <c r="V126" s="3"/>
      <c r="W126" s="3"/>
      <c r="X126" s="3"/>
      <c r="Y126" s="3"/>
      <c r="Z126" s="3"/>
    </row>
    <row r="127" spans="1:26" ht="15.75" customHeight="1">
      <c r="A127" s="3"/>
      <c r="B127" s="2"/>
      <c r="C127" s="2"/>
      <c r="D127" s="2"/>
      <c r="E127" s="2"/>
      <c r="F127" s="2"/>
      <c r="G127" s="2"/>
      <c r="H127" s="2"/>
      <c r="I127" s="2"/>
      <c r="J127" s="564"/>
      <c r="K127" s="564"/>
      <c r="L127" s="564"/>
      <c r="M127" s="564"/>
      <c r="N127" s="564"/>
      <c r="O127" s="3"/>
      <c r="P127" s="3"/>
      <c r="Q127" s="3"/>
      <c r="R127" s="3"/>
      <c r="S127" s="3"/>
      <c r="T127" s="3"/>
      <c r="U127" s="3"/>
      <c r="V127" s="3"/>
      <c r="W127" s="3"/>
      <c r="X127" s="3"/>
      <c r="Y127" s="3"/>
      <c r="Z127" s="3"/>
    </row>
    <row r="128" spans="1:26" ht="15.75" customHeight="1">
      <c r="A128" s="3"/>
      <c r="B128" s="2"/>
      <c r="C128" s="2"/>
      <c r="D128" s="2"/>
      <c r="E128" s="2"/>
      <c r="F128" s="2"/>
      <c r="G128" s="2"/>
      <c r="H128" s="2"/>
      <c r="I128" s="2"/>
      <c r="J128" s="564"/>
      <c r="K128" s="564"/>
      <c r="L128" s="564"/>
      <c r="M128" s="564"/>
      <c r="N128" s="564"/>
      <c r="O128" s="3"/>
      <c r="P128" s="3"/>
      <c r="Q128" s="3"/>
      <c r="R128" s="3"/>
      <c r="S128" s="3"/>
      <c r="T128" s="3"/>
      <c r="U128" s="3"/>
      <c r="V128" s="3"/>
      <c r="W128" s="3"/>
      <c r="X128" s="3"/>
      <c r="Y128" s="3"/>
      <c r="Z128" s="3"/>
    </row>
    <row r="129" spans="1:26" ht="15.75" customHeight="1">
      <c r="A129" s="3"/>
      <c r="B129" s="2"/>
      <c r="C129" s="2"/>
      <c r="D129" s="2"/>
      <c r="E129" s="2"/>
      <c r="F129" s="2"/>
      <c r="G129" s="2"/>
      <c r="H129" s="2"/>
      <c r="I129" s="2"/>
      <c r="J129" s="564"/>
      <c r="K129" s="564"/>
      <c r="L129" s="564"/>
      <c r="M129" s="564"/>
      <c r="N129" s="564"/>
      <c r="O129" s="3"/>
      <c r="P129" s="3"/>
      <c r="Q129" s="3"/>
      <c r="R129" s="3"/>
      <c r="S129" s="3"/>
      <c r="T129" s="3"/>
      <c r="U129" s="3"/>
      <c r="V129" s="3"/>
      <c r="W129" s="3"/>
      <c r="X129" s="3"/>
      <c r="Y129" s="3"/>
      <c r="Z129" s="3"/>
    </row>
    <row r="130" spans="1:26" ht="15.75" customHeight="1">
      <c r="A130" s="3"/>
      <c r="B130" s="2"/>
      <c r="C130" s="2"/>
      <c r="D130" s="2"/>
      <c r="E130" s="2"/>
      <c r="F130" s="2"/>
      <c r="G130" s="2"/>
      <c r="H130" s="2"/>
      <c r="I130" s="2"/>
      <c r="J130" s="564"/>
      <c r="K130" s="564"/>
      <c r="L130" s="564"/>
      <c r="M130" s="564"/>
      <c r="N130" s="564"/>
      <c r="O130" s="3"/>
      <c r="P130" s="3"/>
      <c r="Q130" s="3"/>
      <c r="R130" s="3"/>
      <c r="S130" s="3"/>
      <c r="T130" s="3"/>
      <c r="U130" s="3"/>
      <c r="V130" s="3"/>
      <c r="W130" s="3"/>
      <c r="X130" s="3"/>
      <c r="Y130" s="3"/>
      <c r="Z130" s="3"/>
    </row>
    <row r="131" spans="1:26" ht="15.75" customHeight="1">
      <c r="A131" s="3"/>
      <c r="B131" s="2"/>
      <c r="C131" s="2"/>
      <c r="D131" s="2"/>
      <c r="E131" s="2"/>
      <c r="F131" s="2"/>
      <c r="G131" s="2"/>
      <c r="H131" s="2"/>
      <c r="I131" s="2"/>
      <c r="J131" s="564"/>
      <c r="K131" s="564"/>
      <c r="L131" s="564"/>
      <c r="M131" s="564"/>
      <c r="N131" s="564"/>
      <c r="O131" s="3"/>
      <c r="P131" s="3"/>
      <c r="Q131" s="3"/>
      <c r="R131" s="3"/>
      <c r="S131" s="3"/>
      <c r="T131" s="3"/>
      <c r="U131" s="3"/>
      <c r="V131" s="3"/>
      <c r="W131" s="3"/>
      <c r="X131" s="3"/>
      <c r="Y131" s="3"/>
      <c r="Z131" s="3"/>
    </row>
    <row r="132" spans="1:26" ht="15.75" customHeight="1">
      <c r="A132" s="3"/>
      <c r="B132" s="2"/>
      <c r="C132" s="2"/>
      <c r="D132" s="2"/>
      <c r="E132" s="2"/>
      <c r="F132" s="2"/>
      <c r="G132" s="2"/>
      <c r="H132" s="2"/>
      <c r="I132" s="2"/>
      <c r="J132" s="564"/>
      <c r="K132" s="564"/>
      <c r="L132" s="564"/>
      <c r="M132" s="564"/>
      <c r="N132" s="564"/>
      <c r="O132" s="3"/>
      <c r="P132" s="3"/>
      <c r="Q132" s="3"/>
      <c r="R132" s="3"/>
      <c r="S132" s="3"/>
      <c r="T132" s="3"/>
      <c r="U132" s="3"/>
      <c r="V132" s="3"/>
      <c r="W132" s="3"/>
      <c r="X132" s="3"/>
      <c r="Y132" s="3"/>
      <c r="Z132" s="3"/>
    </row>
    <row r="133" spans="1:26" ht="15.75" customHeight="1">
      <c r="A133" s="3"/>
      <c r="B133" s="2"/>
      <c r="C133" s="2"/>
      <c r="D133" s="2"/>
      <c r="E133" s="2"/>
      <c r="F133" s="2"/>
      <c r="G133" s="2"/>
      <c r="H133" s="2"/>
      <c r="I133" s="2"/>
      <c r="J133" s="564"/>
      <c r="K133" s="564"/>
      <c r="L133" s="564"/>
      <c r="M133" s="564"/>
      <c r="N133" s="564"/>
      <c r="O133" s="3"/>
      <c r="P133" s="3"/>
      <c r="Q133" s="3"/>
      <c r="R133" s="3"/>
      <c r="S133" s="3"/>
      <c r="T133" s="3"/>
      <c r="U133" s="3"/>
      <c r="V133" s="3"/>
      <c r="W133" s="3"/>
      <c r="X133" s="3"/>
      <c r="Y133" s="3"/>
      <c r="Z133" s="3"/>
    </row>
    <row r="134" spans="1:26" ht="15.75" customHeight="1">
      <c r="A134" s="3"/>
      <c r="B134" s="2"/>
      <c r="C134" s="2"/>
      <c r="D134" s="2"/>
      <c r="E134" s="2"/>
      <c r="F134" s="2"/>
      <c r="G134" s="2"/>
      <c r="H134" s="2"/>
      <c r="I134" s="2"/>
      <c r="J134" s="564"/>
      <c r="K134" s="564"/>
      <c r="L134" s="564"/>
      <c r="M134" s="564"/>
      <c r="N134" s="564"/>
      <c r="O134" s="3"/>
      <c r="P134" s="3"/>
      <c r="Q134" s="3"/>
      <c r="R134" s="3"/>
      <c r="S134" s="3"/>
      <c r="T134" s="3"/>
      <c r="U134" s="3"/>
      <c r="V134" s="3"/>
      <c r="W134" s="3"/>
      <c r="X134" s="3"/>
      <c r="Y134" s="3"/>
      <c r="Z134" s="3"/>
    </row>
    <row r="135" spans="1:26" ht="15.75" customHeight="1">
      <c r="A135" s="3"/>
      <c r="B135" s="2"/>
      <c r="C135" s="2"/>
      <c r="D135" s="2"/>
      <c r="E135" s="2"/>
      <c r="F135" s="2"/>
      <c r="G135" s="2"/>
      <c r="H135" s="2"/>
      <c r="I135" s="2"/>
      <c r="J135" s="564"/>
      <c r="K135" s="564"/>
      <c r="L135" s="564"/>
      <c r="M135" s="564"/>
      <c r="N135" s="564"/>
      <c r="O135" s="3"/>
      <c r="P135" s="3"/>
      <c r="Q135" s="3"/>
      <c r="R135" s="3"/>
      <c r="S135" s="3"/>
      <c r="T135" s="3"/>
      <c r="U135" s="3"/>
      <c r="V135" s="3"/>
      <c r="W135" s="3"/>
      <c r="X135" s="3"/>
      <c r="Y135" s="3"/>
      <c r="Z135" s="3"/>
    </row>
    <row r="136" spans="1:26" ht="15.75" customHeight="1">
      <c r="A136" s="3"/>
      <c r="B136" s="2"/>
      <c r="C136" s="2"/>
      <c r="D136" s="2"/>
      <c r="E136" s="2"/>
      <c r="F136" s="2"/>
      <c r="G136" s="2"/>
      <c r="H136" s="2"/>
      <c r="I136" s="2"/>
      <c r="J136" s="564"/>
      <c r="K136" s="564"/>
      <c r="L136" s="564"/>
      <c r="M136" s="564"/>
      <c r="N136" s="564"/>
      <c r="O136" s="3"/>
      <c r="P136" s="3"/>
      <c r="Q136" s="3"/>
      <c r="R136" s="3"/>
      <c r="S136" s="3"/>
      <c r="T136" s="3"/>
      <c r="U136" s="3"/>
      <c r="V136" s="3"/>
      <c r="W136" s="3"/>
      <c r="X136" s="3"/>
      <c r="Y136" s="3"/>
      <c r="Z136" s="3"/>
    </row>
    <row r="137" spans="1:26" ht="15.75" customHeight="1">
      <c r="A137" s="3"/>
      <c r="B137" s="2"/>
      <c r="C137" s="2"/>
      <c r="D137" s="2"/>
      <c r="E137" s="2"/>
      <c r="F137" s="2"/>
      <c r="G137" s="2"/>
      <c r="H137" s="2"/>
      <c r="I137" s="2"/>
      <c r="J137" s="564"/>
      <c r="K137" s="564"/>
      <c r="L137" s="564"/>
      <c r="M137" s="564"/>
      <c r="N137" s="564"/>
      <c r="O137" s="3"/>
      <c r="P137" s="3"/>
      <c r="Q137" s="3"/>
      <c r="R137" s="3"/>
      <c r="S137" s="3"/>
      <c r="T137" s="3"/>
      <c r="U137" s="3"/>
      <c r="V137" s="3"/>
      <c r="W137" s="3"/>
      <c r="X137" s="3"/>
      <c r="Y137" s="3"/>
      <c r="Z137" s="3"/>
    </row>
    <row r="138" spans="1:26" ht="15.75" customHeight="1">
      <c r="A138" s="3"/>
      <c r="B138" s="2"/>
      <c r="C138" s="2"/>
      <c r="D138" s="2"/>
      <c r="E138" s="2"/>
      <c r="F138" s="2"/>
      <c r="G138" s="2"/>
      <c r="H138" s="2"/>
      <c r="I138" s="2"/>
      <c r="J138" s="564"/>
      <c r="K138" s="564"/>
      <c r="L138" s="564"/>
      <c r="M138" s="564"/>
      <c r="N138" s="564"/>
      <c r="O138" s="3"/>
      <c r="P138" s="3"/>
      <c r="Q138" s="3"/>
      <c r="R138" s="3"/>
      <c r="S138" s="3"/>
      <c r="T138" s="3"/>
      <c r="U138" s="3"/>
      <c r="V138" s="3"/>
      <c r="W138" s="3"/>
      <c r="X138" s="3"/>
      <c r="Y138" s="3"/>
      <c r="Z138" s="3"/>
    </row>
    <row r="139" spans="1:26" ht="15.75" customHeight="1">
      <c r="A139" s="3"/>
      <c r="B139" s="2"/>
      <c r="C139" s="2"/>
      <c r="D139" s="2"/>
      <c r="E139" s="2"/>
      <c r="F139" s="2"/>
      <c r="G139" s="2"/>
      <c r="H139" s="2"/>
      <c r="I139" s="2"/>
      <c r="J139" s="564"/>
      <c r="K139" s="564"/>
      <c r="L139" s="564"/>
      <c r="M139" s="564"/>
      <c r="N139" s="564"/>
      <c r="O139" s="3"/>
      <c r="P139" s="3"/>
      <c r="Q139" s="3"/>
      <c r="R139" s="3"/>
      <c r="S139" s="3"/>
      <c r="T139" s="3"/>
      <c r="U139" s="3"/>
      <c r="V139" s="3"/>
      <c r="W139" s="3"/>
      <c r="X139" s="3"/>
      <c r="Y139" s="3"/>
      <c r="Z139" s="3"/>
    </row>
    <row r="140" spans="1:26" ht="15.75" customHeight="1">
      <c r="A140" s="3"/>
      <c r="B140" s="2"/>
      <c r="C140" s="2"/>
      <c r="D140" s="2"/>
      <c r="E140" s="2"/>
      <c r="F140" s="2"/>
      <c r="G140" s="2"/>
      <c r="H140" s="2"/>
      <c r="I140" s="2"/>
      <c r="J140" s="564"/>
      <c r="K140" s="564"/>
      <c r="L140" s="564"/>
      <c r="M140" s="564"/>
      <c r="N140" s="564"/>
      <c r="O140" s="3"/>
      <c r="P140" s="3"/>
      <c r="Q140" s="3"/>
      <c r="R140" s="3"/>
      <c r="S140" s="3"/>
      <c r="T140" s="3"/>
      <c r="U140" s="3"/>
      <c r="V140" s="3"/>
      <c r="W140" s="3"/>
      <c r="X140" s="3"/>
      <c r="Y140" s="3"/>
      <c r="Z140" s="3"/>
    </row>
    <row r="141" spans="1:26" ht="15.75" customHeight="1">
      <c r="A141" s="3"/>
      <c r="B141" s="2"/>
      <c r="C141" s="2"/>
      <c r="D141" s="2"/>
      <c r="E141" s="2"/>
      <c r="F141" s="2"/>
      <c r="G141" s="2"/>
      <c r="H141" s="2"/>
      <c r="I141" s="2"/>
      <c r="J141" s="564"/>
      <c r="K141" s="564"/>
      <c r="L141" s="564"/>
      <c r="M141" s="564"/>
      <c r="N141" s="564"/>
      <c r="O141" s="3"/>
      <c r="P141" s="3"/>
      <c r="Q141" s="3"/>
      <c r="R141" s="3"/>
      <c r="S141" s="3"/>
      <c r="T141" s="3"/>
      <c r="U141" s="3"/>
      <c r="V141" s="3"/>
      <c r="W141" s="3"/>
      <c r="X141" s="3"/>
      <c r="Y141" s="3"/>
      <c r="Z141" s="3"/>
    </row>
    <row r="142" spans="1:26" ht="15.75" customHeight="1">
      <c r="A142" s="3"/>
      <c r="B142" s="2"/>
      <c r="C142" s="2"/>
      <c r="D142" s="2"/>
      <c r="E142" s="2"/>
      <c r="F142" s="2"/>
      <c r="G142" s="2"/>
      <c r="H142" s="2"/>
      <c r="I142" s="2"/>
      <c r="J142" s="564"/>
      <c r="K142" s="564"/>
      <c r="L142" s="564"/>
      <c r="M142" s="564"/>
      <c r="N142" s="564"/>
      <c r="O142" s="3"/>
      <c r="P142" s="3"/>
      <c r="Q142" s="3"/>
      <c r="R142" s="3"/>
      <c r="S142" s="3"/>
      <c r="T142" s="3"/>
      <c r="U142" s="3"/>
      <c r="V142" s="3"/>
      <c r="W142" s="3"/>
      <c r="X142" s="3"/>
      <c r="Y142" s="3"/>
      <c r="Z142" s="3"/>
    </row>
    <row r="143" spans="1:26" ht="15.75" customHeight="1">
      <c r="A143" s="3"/>
      <c r="B143" s="2"/>
      <c r="C143" s="2"/>
      <c r="D143" s="2"/>
      <c r="E143" s="2"/>
      <c r="F143" s="2"/>
      <c r="G143" s="2"/>
      <c r="H143" s="2"/>
      <c r="I143" s="2"/>
      <c r="J143" s="564"/>
      <c r="K143" s="564"/>
      <c r="L143" s="564"/>
      <c r="M143" s="564"/>
      <c r="N143" s="564"/>
      <c r="O143" s="3"/>
      <c r="P143" s="3"/>
      <c r="Q143" s="3"/>
      <c r="R143" s="3"/>
      <c r="S143" s="3"/>
      <c r="T143" s="3"/>
      <c r="U143" s="3"/>
      <c r="V143" s="3"/>
      <c r="W143" s="3"/>
      <c r="X143" s="3"/>
      <c r="Y143" s="3"/>
      <c r="Z143" s="3"/>
    </row>
    <row r="144" spans="1:26" ht="15.75" customHeight="1">
      <c r="A144" s="3"/>
      <c r="B144" s="2"/>
      <c r="C144" s="2"/>
      <c r="D144" s="2"/>
      <c r="E144" s="2"/>
      <c r="F144" s="2"/>
      <c r="G144" s="2"/>
      <c r="H144" s="2"/>
      <c r="I144" s="2"/>
      <c r="J144" s="564"/>
      <c r="K144" s="564"/>
      <c r="L144" s="564"/>
      <c r="M144" s="564"/>
      <c r="N144" s="564"/>
      <c r="O144" s="3"/>
      <c r="P144" s="3"/>
      <c r="Q144" s="3"/>
      <c r="R144" s="3"/>
      <c r="S144" s="3"/>
      <c r="T144" s="3"/>
      <c r="U144" s="3"/>
      <c r="V144" s="3"/>
      <c r="W144" s="3"/>
      <c r="X144" s="3"/>
      <c r="Y144" s="3"/>
      <c r="Z144" s="3"/>
    </row>
    <row r="145" spans="1:26" ht="15.75" customHeight="1">
      <c r="A145" s="3"/>
      <c r="B145" s="2"/>
      <c r="C145" s="2"/>
      <c r="D145" s="2"/>
      <c r="E145" s="2"/>
      <c r="F145" s="2"/>
      <c r="G145" s="2"/>
      <c r="H145" s="2"/>
      <c r="I145" s="2"/>
      <c r="J145" s="564"/>
      <c r="K145" s="564"/>
      <c r="L145" s="564"/>
      <c r="M145" s="564"/>
      <c r="N145" s="564"/>
      <c r="O145" s="3"/>
      <c r="P145" s="3"/>
      <c r="Q145" s="3"/>
      <c r="R145" s="3"/>
      <c r="S145" s="3"/>
      <c r="T145" s="3"/>
      <c r="U145" s="3"/>
      <c r="V145" s="3"/>
      <c r="W145" s="3"/>
      <c r="X145" s="3"/>
      <c r="Y145" s="3"/>
      <c r="Z145" s="3"/>
    </row>
    <row r="146" spans="1:26" ht="15.75" customHeight="1">
      <c r="A146" s="3"/>
      <c r="B146" s="2"/>
      <c r="C146" s="2"/>
      <c r="D146" s="2"/>
      <c r="E146" s="2"/>
      <c r="F146" s="2"/>
      <c r="G146" s="2"/>
      <c r="H146" s="2"/>
      <c r="I146" s="2"/>
      <c r="J146" s="564"/>
      <c r="K146" s="564"/>
      <c r="L146" s="564"/>
      <c r="M146" s="564"/>
      <c r="N146" s="564"/>
      <c r="O146" s="3"/>
      <c r="P146" s="3"/>
      <c r="Q146" s="3"/>
      <c r="R146" s="3"/>
      <c r="S146" s="3"/>
      <c r="T146" s="3"/>
      <c r="U146" s="3"/>
      <c r="V146" s="3"/>
      <c r="W146" s="3"/>
      <c r="X146" s="3"/>
      <c r="Y146" s="3"/>
      <c r="Z146" s="3"/>
    </row>
    <row r="147" spans="1:26" ht="15.75" customHeight="1">
      <c r="A147" s="3"/>
      <c r="B147" s="2"/>
      <c r="C147" s="2"/>
      <c r="D147" s="2"/>
      <c r="E147" s="2"/>
      <c r="F147" s="2"/>
      <c r="G147" s="2"/>
      <c r="H147" s="2"/>
      <c r="I147" s="2"/>
      <c r="J147" s="564"/>
      <c r="K147" s="564"/>
      <c r="L147" s="564"/>
      <c r="M147" s="564"/>
      <c r="N147" s="564"/>
      <c r="O147" s="3"/>
      <c r="P147" s="3"/>
      <c r="Q147" s="3"/>
      <c r="R147" s="3"/>
      <c r="S147" s="3"/>
      <c r="T147" s="3"/>
      <c r="U147" s="3"/>
      <c r="V147" s="3"/>
      <c r="W147" s="3"/>
      <c r="X147" s="3"/>
      <c r="Y147" s="3"/>
      <c r="Z147" s="3"/>
    </row>
    <row r="148" spans="1:26" ht="15.75" customHeight="1">
      <c r="A148" s="3"/>
      <c r="B148" s="2"/>
      <c r="C148" s="2"/>
      <c r="D148" s="2"/>
      <c r="E148" s="2"/>
      <c r="F148" s="2"/>
      <c r="G148" s="2"/>
      <c r="H148" s="2"/>
      <c r="I148" s="2"/>
      <c r="J148" s="564"/>
      <c r="K148" s="564"/>
      <c r="L148" s="564"/>
      <c r="M148" s="564"/>
      <c r="N148" s="564"/>
      <c r="O148" s="3"/>
      <c r="P148" s="3"/>
      <c r="Q148" s="3"/>
      <c r="R148" s="3"/>
      <c r="S148" s="3"/>
      <c r="T148" s="3"/>
      <c r="U148" s="3"/>
      <c r="V148" s="3"/>
      <c r="W148" s="3"/>
      <c r="X148" s="3"/>
      <c r="Y148" s="3"/>
      <c r="Z148" s="3"/>
    </row>
    <row r="149" spans="1:26" ht="15.75" customHeight="1">
      <c r="A149" s="3"/>
      <c r="B149" s="2"/>
      <c r="C149" s="2"/>
      <c r="D149" s="2"/>
      <c r="E149" s="2"/>
      <c r="F149" s="2"/>
      <c r="G149" s="2"/>
      <c r="H149" s="2"/>
      <c r="I149" s="2"/>
      <c r="J149" s="564"/>
      <c r="K149" s="564"/>
      <c r="L149" s="564"/>
      <c r="M149" s="564"/>
      <c r="N149" s="564"/>
      <c r="O149" s="3"/>
      <c r="P149" s="3"/>
      <c r="Q149" s="3"/>
      <c r="R149" s="3"/>
      <c r="S149" s="3"/>
      <c r="T149" s="3"/>
      <c r="U149" s="3"/>
      <c r="V149" s="3"/>
      <c r="W149" s="3"/>
      <c r="X149" s="3"/>
      <c r="Y149" s="3"/>
      <c r="Z149" s="3"/>
    </row>
    <row r="150" spans="1:26" ht="15.75" customHeight="1">
      <c r="A150" s="3"/>
      <c r="B150" s="2"/>
      <c r="C150" s="2"/>
      <c r="D150" s="2"/>
      <c r="E150" s="2"/>
      <c r="F150" s="2"/>
      <c r="G150" s="2"/>
      <c r="H150" s="2"/>
      <c r="I150" s="2"/>
      <c r="J150" s="564"/>
      <c r="K150" s="564"/>
      <c r="L150" s="564"/>
      <c r="M150" s="564"/>
      <c r="N150" s="564"/>
      <c r="O150" s="3"/>
      <c r="P150" s="3"/>
      <c r="Q150" s="3"/>
      <c r="R150" s="3"/>
      <c r="S150" s="3"/>
      <c r="T150" s="3"/>
      <c r="U150" s="3"/>
      <c r="V150" s="3"/>
      <c r="W150" s="3"/>
      <c r="X150" s="3"/>
      <c r="Y150" s="3"/>
      <c r="Z150" s="3"/>
    </row>
    <row r="151" spans="1:26" ht="15.75" customHeight="1">
      <c r="A151" s="3"/>
      <c r="B151" s="2"/>
      <c r="C151" s="2"/>
      <c r="D151" s="2"/>
      <c r="E151" s="2"/>
      <c r="F151" s="2"/>
      <c r="G151" s="2"/>
      <c r="H151" s="2"/>
      <c r="I151" s="2"/>
      <c r="J151" s="564"/>
      <c r="K151" s="564"/>
      <c r="L151" s="564"/>
      <c r="M151" s="564"/>
      <c r="N151" s="564"/>
      <c r="O151" s="3"/>
      <c r="P151" s="3"/>
      <c r="Q151" s="3"/>
      <c r="R151" s="3"/>
      <c r="S151" s="3"/>
      <c r="T151" s="3"/>
      <c r="U151" s="3"/>
      <c r="V151" s="3"/>
      <c r="W151" s="3"/>
      <c r="X151" s="3"/>
      <c r="Y151" s="3"/>
      <c r="Z151" s="3"/>
    </row>
    <row r="152" spans="1:26" ht="15.75" customHeight="1">
      <c r="A152" s="3"/>
      <c r="B152" s="2"/>
      <c r="C152" s="2"/>
      <c r="D152" s="2"/>
      <c r="E152" s="2"/>
      <c r="F152" s="2"/>
      <c r="G152" s="2"/>
      <c r="H152" s="2"/>
      <c r="I152" s="2"/>
      <c r="J152" s="564"/>
      <c r="K152" s="564"/>
      <c r="L152" s="564"/>
      <c r="M152" s="564"/>
      <c r="N152" s="564"/>
      <c r="O152" s="3"/>
      <c r="P152" s="3"/>
      <c r="Q152" s="3"/>
      <c r="R152" s="3"/>
      <c r="S152" s="3"/>
      <c r="T152" s="3"/>
      <c r="U152" s="3"/>
      <c r="V152" s="3"/>
      <c r="W152" s="3"/>
      <c r="X152" s="3"/>
      <c r="Y152" s="3"/>
      <c r="Z152" s="3"/>
    </row>
    <row r="153" spans="1:26" ht="15.75" customHeight="1">
      <c r="A153" s="3"/>
      <c r="B153" s="2"/>
      <c r="C153" s="2"/>
      <c r="D153" s="2"/>
      <c r="E153" s="2"/>
      <c r="F153" s="2"/>
      <c r="G153" s="2"/>
      <c r="H153" s="2"/>
      <c r="I153" s="2"/>
      <c r="J153" s="564"/>
      <c r="K153" s="564"/>
      <c r="L153" s="564"/>
      <c r="M153" s="564"/>
      <c r="N153" s="564"/>
      <c r="O153" s="3"/>
      <c r="P153" s="3"/>
      <c r="Q153" s="3"/>
      <c r="R153" s="3"/>
      <c r="S153" s="3"/>
      <c r="T153" s="3"/>
      <c r="U153" s="3"/>
      <c r="V153" s="3"/>
      <c r="W153" s="3"/>
      <c r="X153" s="3"/>
      <c r="Y153" s="3"/>
      <c r="Z153" s="3"/>
    </row>
    <row r="154" spans="1:26" ht="15.75" customHeight="1">
      <c r="A154" s="3"/>
      <c r="B154" s="2"/>
      <c r="C154" s="2"/>
      <c r="D154" s="2"/>
      <c r="E154" s="2"/>
      <c r="F154" s="2"/>
      <c r="G154" s="2"/>
      <c r="H154" s="2"/>
      <c r="I154" s="2"/>
      <c r="J154" s="564"/>
      <c r="K154" s="564"/>
      <c r="L154" s="564"/>
      <c r="M154" s="564"/>
      <c r="N154" s="564"/>
      <c r="O154" s="3"/>
      <c r="P154" s="3"/>
      <c r="Q154" s="3"/>
      <c r="R154" s="3"/>
      <c r="S154" s="3"/>
      <c r="T154" s="3"/>
      <c r="U154" s="3"/>
      <c r="V154" s="3"/>
      <c r="W154" s="3"/>
      <c r="X154" s="3"/>
      <c r="Y154" s="3"/>
      <c r="Z154" s="3"/>
    </row>
    <row r="155" spans="1:26" ht="15.75" customHeight="1">
      <c r="A155" s="3"/>
      <c r="B155" s="2"/>
      <c r="C155" s="2"/>
      <c r="D155" s="2"/>
      <c r="E155" s="2"/>
      <c r="F155" s="2"/>
      <c r="G155" s="2"/>
      <c r="H155" s="2"/>
      <c r="I155" s="2"/>
      <c r="J155" s="564"/>
      <c r="K155" s="564"/>
      <c r="L155" s="564"/>
      <c r="M155" s="564"/>
      <c r="N155" s="564"/>
      <c r="O155" s="3"/>
      <c r="P155" s="3"/>
      <c r="Q155" s="3"/>
      <c r="R155" s="3"/>
      <c r="S155" s="3"/>
      <c r="T155" s="3"/>
      <c r="U155" s="3"/>
      <c r="V155" s="3"/>
      <c r="W155" s="3"/>
      <c r="X155" s="3"/>
      <c r="Y155" s="3"/>
      <c r="Z155" s="3"/>
    </row>
    <row r="156" spans="1:26" ht="15.75" customHeight="1">
      <c r="A156" s="3"/>
      <c r="B156" s="2"/>
      <c r="C156" s="2"/>
      <c r="D156" s="2"/>
      <c r="E156" s="2"/>
      <c r="F156" s="2"/>
      <c r="G156" s="2"/>
      <c r="H156" s="2"/>
      <c r="I156" s="2"/>
      <c r="J156" s="564"/>
      <c r="K156" s="564"/>
      <c r="L156" s="564"/>
      <c r="M156" s="564"/>
      <c r="N156" s="564"/>
      <c r="O156" s="3"/>
      <c r="P156" s="3"/>
      <c r="Q156" s="3"/>
      <c r="R156" s="3"/>
      <c r="S156" s="3"/>
      <c r="T156" s="3"/>
      <c r="U156" s="3"/>
      <c r="V156" s="3"/>
      <c r="W156" s="3"/>
      <c r="X156" s="3"/>
      <c r="Y156" s="3"/>
      <c r="Z156" s="3"/>
    </row>
    <row r="157" spans="1:26" ht="15.75" customHeight="1">
      <c r="A157" s="3"/>
      <c r="B157" s="2"/>
      <c r="C157" s="2"/>
      <c r="D157" s="2"/>
      <c r="E157" s="2"/>
      <c r="F157" s="2"/>
      <c r="G157" s="2"/>
      <c r="H157" s="2"/>
      <c r="I157" s="2"/>
      <c r="J157" s="564"/>
      <c r="K157" s="564"/>
      <c r="L157" s="564"/>
      <c r="M157" s="564"/>
      <c r="N157" s="564"/>
      <c r="O157" s="3"/>
      <c r="P157" s="3"/>
      <c r="Q157" s="3"/>
      <c r="R157" s="3"/>
      <c r="S157" s="3"/>
      <c r="T157" s="3"/>
      <c r="U157" s="3"/>
      <c r="V157" s="3"/>
      <c r="W157" s="3"/>
      <c r="X157" s="3"/>
      <c r="Y157" s="3"/>
      <c r="Z157" s="3"/>
    </row>
    <row r="158" spans="1:26" ht="15.75" customHeight="1">
      <c r="A158" s="3"/>
      <c r="B158" s="2"/>
      <c r="C158" s="2"/>
      <c r="D158" s="2"/>
      <c r="E158" s="2"/>
      <c r="F158" s="2"/>
      <c r="G158" s="2"/>
      <c r="H158" s="2"/>
      <c r="I158" s="2"/>
      <c r="J158" s="564"/>
      <c r="K158" s="564"/>
      <c r="L158" s="564"/>
      <c r="M158" s="564"/>
      <c r="N158" s="564"/>
      <c r="O158" s="3"/>
      <c r="P158" s="3"/>
      <c r="Q158" s="3"/>
      <c r="R158" s="3"/>
      <c r="S158" s="3"/>
      <c r="T158" s="3"/>
      <c r="U158" s="3"/>
      <c r="V158" s="3"/>
      <c r="W158" s="3"/>
      <c r="X158" s="3"/>
      <c r="Y158" s="3"/>
      <c r="Z158" s="3"/>
    </row>
    <row r="159" spans="1:26" ht="15.75" customHeight="1">
      <c r="A159" s="3"/>
      <c r="B159" s="2"/>
      <c r="C159" s="2"/>
      <c r="D159" s="2"/>
      <c r="E159" s="2"/>
      <c r="F159" s="2"/>
      <c r="G159" s="2"/>
      <c r="H159" s="2"/>
      <c r="I159" s="2"/>
      <c r="J159" s="564"/>
      <c r="K159" s="564"/>
      <c r="L159" s="564"/>
      <c r="M159" s="564"/>
      <c r="N159" s="564"/>
      <c r="O159" s="3"/>
      <c r="P159" s="3"/>
      <c r="Q159" s="3"/>
      <c r="R159" s="3"/>
      <c r="S159" s="3"/>
      <c r="T159" s="3"/>
      <c r="U159" s="3"/>
      <c r="V159" s="3"/>
      <c r="W159" s="3"/>
      <c r="X159" s="3"/>
      <c r="Y159" s="3"/>
      <c r="Z159" s="3"/>
    </row>
    <row r="160" spans="1:26" ht="15.75" customHeight="1">
      <c r="A160" s="3"/>
      <c r="B160" s="2"/>
      <c r="C160" s="2"/>
      <c r="D160" s="2"/>
      <c r="E160" s="2"/>
      <c r="F160" s="2"/>
      <c r="G160" s="2"/>
      <c r="H160" s="2"/>
      <c r="I160" s="2"/>
      <c r="J160" s="564"/>
      <c r="K160" s="564"/>
      <c r="L160" s="564"/>
      <c r="M160" s="564"/>
      <c r="N160" s="564"/>
      <c r="O160" s="3"/>
      <c r="P160" s="3"/>
      <c r="Q160" s="3"/>
      <c r="R160" s="3"/>
      <c r="S160" s="3"/>
      <c r="T160" s="3"/>
      <c r="U160" s="3"/>
      <c r="V160" s="3"/>
      <c r="W160" s="3"/>
      <c r="X160" s="3"/>
      <c r="Y160" s="3"/>
      <c r="Z160" s="3"/>
    </row>
    <row r="161" spans="1:26" ht="15.75" customHeight="1">
      <c r="A161" s="3"/>
      <c r="B161" s="2"/>
      <c r="C161" s="2"/>
      <c r="D161" s="2"/>
      <c r="E161" s="2"/>
      <c r="F161" s="2"/>
      <c r="G161" s="2"/>
      <c r="H161" s="2"/>
      <c r="I161" s="2"/>
      <c r="J161" s="564"/>
      <c r="K161" s="564"/>
      <c r="L161" s="564"/>
      <c r="M161" s="564"/>
      <c r="N161" s="564"/>
      <c r="O161" s="3"/>
      <c r="P161" s="3"/>
      <c r="Q161" s="3"/>
      <c r="R161" s="3"/>
      <c r="S161" s="3"/>
      <c r="T161" s="3"/>
      <c r="U161" s="3"/>
      <c r="V161" s="3"/>
      <c r="W161" s="3"/>
      <c r="X161" s="3"/>
      <c r="Y161" s="3"/>
      <c r="Z161" s="3"/>
    </row>
    <row r="162" spans="1:26" ht="15.75" customHeight="1">
      <c r="A162" s="3"/>
      <c r="B162" s="2"/>
      <c r="C162" s="2"/>
      <c r="D162" s="2"/>
      <c r="E162" s="2"/>
      <c r="F162" s="2"/>
      <c r="G162" s="2"/>
      <c r="H162" s="2"/>
      <c r="I162" s="2"/>
      <c r="J162" s="564"/>
      <c r="K162" s="564"/>
      <c r="L162" s="564"/>
      <c r="M162" s="564"/>
      <c r="N162" s="564"/>
      <c r="O162" s="3"/>
      <c r="P162" s="3"/>
      <c r="Q162" s="3"/>
      <c r="R162" s="3"/>
      <c r="S162" s="3"/>
      <c r="T162" s="3"/>
      <c r="U162" s="3"/>
      <c r="V162" s="3"/>
      <c r="W162" s="3"/>
      <c r="X162" s="3"/>
      <c r="Y162" s="3"/>
      <c r="Z162" s="3"/>
    </row>
    <row r="163" spans="1:26" ht="15.75" customHeight="1">
      <c r="A163" s="3"/>
      <c r="B163" s="2"/>
      <c r="C163" s="2"/>
      <c r="D163" s="2"/>
      <c r="E163" s="2"/>
      <c r="F163" s="2"/>
      <c r="G163" s="2"/>
      <c r="H163" s="2"/>
      <c r="I163" s="2"/>
      <c r="J163" s="564"/>
      <c r="K163" s="564"/>
      <c r="L163" s="564"/>
      <c r="M163" s="564"/>
      <c r="N163" s="564"/>
      <c r="O163" s="3"/>
      <c r="P163" s="3"/>
      <c r="Q163" s="3"/>
      <c r="R163" s="3"/>
      <c r="S163" s="3"/>
      <c r="T163" s="3"/>
      <c r="U163" s="3"/>
      <c r="V163" s="3"/>
      <c r="W163" s="3"/>
      <c r="X163" s="3"/>
      <c r="Y163" s="3"/>
      <c r="Z163" s="3"/>
    </row>
    <row r="164" spans="1:26" ht="15.75" customHeight="1">
      <c r="A164" s="3"/>
      <c r="B164" s="2"/>
      <c r="C164" s="2"/>
      <c r="D164" s="2"/>
      <c r="E164" s="2"/>
      <c r="F164" s="2"/>
      <c r="G164" s="2"/>
      <c r="H164" s="2"/>
      <c r="I164" s="2"/>
      <c r="J164" s="564"/>
      <c r="K164" s="564"/>
      <c r="L164" s="564"/>
      <c r="M164" s="564"/>
      <c r="N164" s="564"/>
      <c r="O164" s="3"/>
      <c r="P164" s="3"/>
      <c r="Q164" s="3"/>
      <c r="R164" s="3"/>
      <c r="S164" s="3"/>
      <c r="T164" s="3"/>
      <c r="U164" s="3"/>
      <c r="V164" s="3"/>
      <c r="W164" s="3"/>
      <c r="X164" s="3"/>
      <c r="Y164" s="3"/>
      <c r="Z164" s="3"/>
    </row>
    <row r="165" spans="1:26" ht="15.75" customHeight="1">
      <c r="A165" s="3"/>
      <c r="B165" s="2"/>
      <c r="C165" s="2"/>
      <c r="D165" s="2"/>
      <c r="E165" s="2"/>
      <c r="F165" s="2"/>
      <c r="G165" s="2"/>
      <c r="H165" s="2"/>
      <c r="I165" s="2"/>
      <c r="J165" s="564"/>
      <c r="K165" s="564"/>
      <c r="L165" s="564"/>
      <c r="M165" s="564"/>
      <c r="N165" s="564"/>
      <c r="O165" s="3"/>
      <c r="P165" s="3"/>
      <c r="Q165" s="3"/>
      <c r="R165" s="3"/>
      <c r="S165" s="3"/>
      <c r="T165" s="3"/>
      <c r="U165" s="3"/>
      <c r="V165" s="3"/>
      <c r="W165" s="3"/>
      <c r="X165" s="3"/>
      <c r="Y165" s="3"/>
      <c r="Z165" s="3"/>
    </row>
    <row r="166" spans="1:26" ht="15.75" customHeight="1">
      <c r="A166" s="3"/>
      <c r="B166" s="2"/>
      <c r="C166" s="2"/>
      <c r="D166" s="2"/>
      <c r="E166" s="2"/>
      <c r="F166" s="2"/>
      <c r="G166" s="2"/>
      <c r="H166" s="2"/>
      <c r="I166" s="2"/>
      <c r="J166" s="564"/>
      <c r="K166" s="564"/>
      <c r="L166" s="564"/>
      <c r="M166" s="564"/>
      <c r="N166" s="564"/>
      <c r="O166" s="3"/>
      <c r="P166" s="3"/>
      <c r="Q166" s="3"/>
      <c r="R166" s="3"/>
      <c r="S166" s="3"/>
      <c r="T166" s="3"/>
      <c r="U166" s="3"/>
      <c r="V166" s="3"/>
      <c r="W166" s="3"/>
      <c r="X166" s="3"/>
      <c r="Y166" s="3"/>
      <c r="Z166" s="3"/>
    </row>
    <row r="167" spans="1:26" ht="15.75" customHeight="1">
      <c r="A167" s="3"/>
      <c r="B167" s="2"/>
      <c r="C167" s="2"/>
      <c r="D167" s="2"/>
      <c r="E167" s="2"/>
      <c r="F167" s="2"/>
      <c r="G167" s="2"/>
      <c r="H167" s="2"/>
      <c r="I167" s="2"/>
      <c r="J167" s="564"/>
      <c r="K167" s="564"/>
      <c r="L167" s="564"/>
      <c r="M167" s="564"/>
      <c r="N167" s="564"/>
      <c r="O167" s="3"/>
      <c r="P167" s="3"/>
      <c r="Q167" s="3"/>
      <c r="R167" s="3"/>
      <c r="S167" s="3"/>
      <c r="T167" s="3"/>
      <c r="U167" s="3"/>
      <c r="V167" s="3"/>
      <c r="W167" s="3"/>
      <c r="X167" s="3"/>
      <c r="Y167" s="3"/>
      <c r="Z167" s="3"/>
    </row>
    <row r="168" spans="1:26" ht="15.75" customHeight="1">
      <c r="A168" s="3"/>
      <c r="B168" s="2"/>
      <c r="C168" s="2"/>
      <c r="D168" s="2"/>
      <c r="E168" s="2"/>
      <c r="F168" s="2"/>
      <c r="G168" s="2"/>
      <c r="H168" s="2"/>
      <c r="I168" s="2"/>
      <c r="J168" s="564"/>
      <c r="K168" s="564"/>
      <c r="L168" s="564"/>
      <c r="M168" s="564"/>
      <c r="N168" s="564"/>
      <c r="O168" s="3"/>
      <c r="P168" s="3"/>
      <c r="Q168" s="3"/>
      <c r="R168" s="3"/>
      <c r="S168" s="3"/>
      <c r="T168" s="3"/>
      <c r="U168" s="3"/>
      <c r="V168" s="3"/>
      <c r="W168" s="3"/>
      <c r="X168" s="3"/>
      <c r="Y168" s="3"/>
      <c r="Z168" s="3"/>
    </row>
    <row r="169" spans="1:26" ht="15.75" customHeight="1">
      <c r="A169" s="3"/>
      <c r="B169" s="2"/>
      <c r="C169" s="2"/>
      <c r="D169" s="2"/>
      <c r="E169" s="2"/>
      <c r="F169" s="2"/>
      <c r="G169" s="2"/>
      <c r="H169" s="2"/>
      <c r="I169" s="2"/>
      <c r="J169" s="564"/>
      <c r="K169" s="564"/>
      <c r="L169" s="564"/>
      <c r="M169" s="564"/>
      <c r="N169" s="564"/>
      <c r="O169" s="3"/>
      <c r="P169" s="3"/>
      <c r="Q169" s="3"/>
      <c r="R169" s="3"/>
      <c r="S169" s="3"/>
      <c r="T169" s="3"/>
      <c r="U169" s="3"/>
      <c r="V169" s="3"/>
      <c r="W169" s="3"/>
      <c r="X169" s="3"/>
      <c r="Y169" s="3"/>
      <c r="Z169" s="3"/>
    </row>
    <row r="170" spans="1:26" ht="15.75" customHeight="1">
      <c r="A170" s="3"/>
      <c r="B170" s="2"/>
      <c r="C170" s="2"/>
      <c r="D170" s="2"/>
      <c r="E170" s="2"/>
      <c r="F170" s="2"/>
      <c r="G170" s="2"/>
      <c r="H170" s="2"/>
      <c r="I170" s="2"/>
      <c r="J170" s="564"/>
      <c r="K170" s="564"/>
      <c r="L170" s="564"/>
      <c r="M170" s="564"/>
      <c r="N170" s="564"/>
      <c r="O170" s="3"/>
      <c r="P170" s="3"/>
      <c r="Q170" s="3"/>
      <c r="R170" s="3"/>
      <c r="S170" s="3"/>
      <c r="T170" s="3"/>
      <c r="U170" s="3"/>
      <c r="V170" s="3"/>
      <c r="W170" s="3"/>
      <c r="X170" s="3"/>
      <c r="Y170" s="3"/>
      <c r="Z170" s="3"/>
    </row>
    <row r="171" spans="1:26" ht="15.75" customHeight="1">
      <c r="A171" s="3"/>
      <c r="B171" s="2"/>
      <c r="C171" s="2"/>
      <c r="D171" s="2"/>
      <c r="E171" s="2"/>
      <c r="F171" s="2"/>
      <c r="G171" s="2"/>
      <c r="H171" s="2"/>
      <c r="I171" s="2"/>
      <c r="J171" s="564"/>
      <c r="K171" s="564"/>
      <c r="L171" s="564"/>
      <c r="M171" s="564"/>
      <c r="N171" s="564"/>
      <c r="O171" s="3"/>
      <c r="P171" s="3"/>
      <c r="Q171" s="3"/>
      <c r="R171" s="3"/>
      <c r="S171" s="3"/>
      <c r="T171" s="3"/>
      <c r="U171" s="3"/>
      <c r="V171" s="3"/>
      <c r="W171" s="3"/>
      <c r="X171" s="3"/>
      <c r="Y171" s="3"/>
      <c r="Z171" s="3"/>
    </row>
    <row r="172" spans="1:26" ht="15.75" customHeight="1">
      <c r="A172" s="3"/>
      <c r="B172" s="2"/>
      <c r="C172" s="2"/>
      <c r="D172" s="2"/>
      <c r="E172" s="2"/>
      <c r="F172" s="2"/>
      <c r="G172" s="2"/>
      <c r="H172" s="2"/>
      <c r="I172" s="2"/>
      <c r="J172" s="564"/>
      <c r="K172" s="564"/>
      <c r="L172" s="564"/>
      <c r="M172" s="564"/>
      <c r="N172" s="564"/>
      <c r="O172" s="3"/>
      <c r="P172" s="3"/>
      <c r="Q172" s="3"/>
      <c r="R172" s="3"/>
      <c r="S172" s="3"/>
      <c r="T172" s="3"/>
      <c r="U172" s="3"/>
      <c r="V172" s="3"/>
      <c r="W172" s="3"/>
      <c r="X172" s="3"/>
      <c r="Y172" s="3"/>
      <c r="Z172" s="3"/>
    </row>
    <row r="173" spans="1:26" ht="15.75" customHeight="1">
      <c r="A173" s="3"/>
      <c r="B173" s="2"/>
      <c r="C173" s="2"/>
      <c r="D173" s="2"/>
      <c r="E173" s="2"/>
      <c r="F173" s="2"/>
      <c r="G173" s="2"/>
      <c r="H173" s="2"/>
      <c r="I173" s="2"/>
      <c r="J173" s="564"/>
      <c r="K173" s="564"/>
      <c r="L173" s="564"/>
      <c r="M173" s="564"/>
      <c r="N173" s="564"/>
      <c r="O173" s="3"/>
      <c r="P173" s="3"/>
      <c r="Q173" s="3"/>
      <c r="R173" s="3"/>
      <c r="S173" s="3"/>
      <c r="T173" s="3"/>
      <c r="U173" s="3"/>
      <c r="V173" s="3"/>
      <c r="W173" s="3"/>
      <c r="X173" s="3"/>
      <c r="Y173" s="3"/>
      <c r="Z173" s="3"/>
    </row>
    <row r="174" spans="1:26" ht="15.75" customHeight="1">
      <c r="A174" s="3"/>
      <c r="B174" s="2"/>
      <c r="C174" s="2"/>
      <c r="D174" s="2"/>
      <c r="E174" s="2"/>
      <c r="F174" s="2"/>
      <c r="G174" s="2"/>
      <c r="H174" s="2"/>
      <c r="I174" s="2"/>
      <c r="J174" s="564"/>
      <c r="K174" s="564"/>
      <c r="L174" s="564"/>
      <c r="M174" s="564"/>
      <c r="N174" s="564"/>
      <c r="O174" s="3"/>
      <c r="P174" s="3"/>
      <c r="Q174" s="3"/>
      <c r="R174" s="3"/>
      <c r="S174" s="3"/>
      <c r="T174" s="3"/>
      <c r="U174" s="3"/>
      <c r="V174" s="3"/>
      <c r="W174" s="3"/>
      <c r="X174" s="3"/>
      <c r="Y174" s="3"/>
      <c r="Z174" s="3"/>
    </row>
    <row r="175" spans="1:26" ht="15.75" customHeight="1">
      <c r="A175" s="3"/>
      <c r="B175" s="2"/>
      <c r="C175" s="2"/>
      <c r="D175" s="2"/>
      <c r="E175" s="2"/>
      <c r="F175" s="2"/>
      <c r="G175" s="2"/>
      <c r="H175" s="2"/>
      <c r="I175" s="2"/>
      <c r="J175" s="564"/>
      <c r="K175" s="564"/>
      <c r="L175" s="564"/>
      <c r="M175" s="564"/>
      <c r="N175" s="564"/>
      <c r="O175" s="3"/>
      <c r="P175" s="3"/>
      <c r="Q175" s="3"/>
      <c r="R175" s="3"/>
      <c r="S175" s="3"/>
      <c r="T175" s="3"/>
      <c r="U175" s="3"/>
      <c r="V175" s="3"/>
      <c r="W175" s="3"/>
      <c r="X175" s="3"/>
      <c r="Y175" s="3"/>
      <c r="Z175" s="3"/>
    </row>
    <row r="176" spans="1:26" ht="15.75" customHeight="1">
      <c r="A176" s="3"/>
      <c r="B176" s="2"/>
      <c r="C176" s="2"/>
      <c r="D176" s="2"/>
      <c r="E176" s="2"/>
      <c r="F176" s="2"/>
      <c r="G176" s="2"/>
      <c r="H176" s="2"/>
      <c r="I176" s="2"/>
      <c r="J176" s="564"/>
      <c r="K176" s="564"/>
      <c r="L176" s="564"/>
      <c r="M176" s="564"/>
      <c r="N176" s="564"/>
      <c r="O176" s="3"/>
      <c r="P176" s="3"/>
      <c r="Q176" s="3"/>
      <c r="R176" s="3"/>
      <c r="S176" s="3"/>
      <c r="T176" s="3"/>
      <c r="U176" s="3"/>
      <c r="V176" s="3"/>
      <c r="W176" s="3"/>
      <c r="X176" s="3"/>
      <c r="Y176" s="3"/>
      <c r="Z176" s="3"/>
    </row>
    <row r="177" spans="1:26" ht="15.75" customHeight="1">
      <c r="A177" s="3"/>
      <c r="B177" s="2"/>
      <c r="C177" s="2"/>
      <c r="D177" s="2"/>
      <c r="E177" s="2"/>
      <c r="F177" s="2"/>
      <c r="G177" s="2"/>
      <c r="H177" s="2"/>
      <c r="I177" s="2"/>
      <c r="J177" s="564"/>
      <c r="K177" s="564"/>
      <c r="L177" s="564"/>
      <c r="M177" s="564"/>
      <c r="N177" s="564"/>
      <c r="O177" s="3"/>
      <c r="P177" s="3"/>
      <c r="Q177" s="3"/>
      <c r="R177" s="3"/>
      <c r="S177" s="3"/>
      <c r="T177" s="3"/>
      <c r="U177" s="3"/>
      <c r="V177" s="3"/>
      <c r="W177" s="3"/>
      <c r="X177" s="3"/>
      <c r="Y177" s="3"/>
      <c r="Z177" s="3"/>
    </row>
    <row r="178" spans="1:26" ht="15.75" customHeight="1">
      <c r="A178" s="3"/>
      <c r="B178" s="2"/>
      <c r="C178" s="2"/>
      <c r="D178" s="2"/>
      <c r="E178" s="2"/>
      <c r="F178" s="2"/>
      <c r="G178" s="2"/>
      <c r="H178" s="2"/>
      <c r="I178" s="2"/>
      <c r="J178" s="564"/>
      <c r="K178" s="564"/>
      <c r="L178" s="564"/>
      <c r="M178" s="564"/>
      <c r="N178" s="564"/>
      <c r="O178" s="3"/>
      <c r="P178" s="3"/>
      <c r="Q178" s="3"/>
      <c r="R178" s="3"/>
      <c r="S178" s="3"/>
      <c r="T178" s="3"/>
      <c r="U178" s="3"/>
      <c r="V178" s="3"/>
      <c r="W178" s="3"/>
      <c r="X178" s="3"/>
      <c r="Y178" s="3"/>
      <c r="Z178" s="3"/>
    </row>
    <row r="179" spans="1:26" ht="15.75" customHeight="1">
      <c r="A179" s="3"/>
      <c r="B179" s="2"/>
      <c r="C179" s="2"/>
      <c r="D179" s="2"/>
      <c r="E179" s="2"/>
      <c r="F179" s="2"/>
      <c r="G179" s="2"/>
      <c r="H179" s="2"/>
      <c r="I179" s="2"/>
      <c r="J179" s="564"/>
      <c r="K179" s="564"/>
      <c r="L179" s="564"/>
      <c r="M179" s="564"/>
      <c r="N179" s="564"/>
      <c r="O179" s="3"/>
      <c r="P179" s="3"/>
      <c r="Q179" s="3"/>
      <c r="R179" s="3"/>
      <c r="S179" s="3"/>
      <c r="T179" s="3"/>
      <c r="U179" s="3"/>
      <c r="V179" s="3"/>
      <c r="W179" s="3"/>
      <c r="X179" s="3"/>
      <c r="Y179" s="3"/>
      <c r="Z179" s="3"/>
    </row>
    <row r="180" spans="1:26" ht="15.75" customHeight="1">
      <c r="A180" s="3"/>
      <c r="B180" s="2"/>
      <c r="C180" s="2"/>
      <c r="D180" s="2"/>
      <c r="E180" s="2"/>
      <c r="F180" s="2"/>
      <c r="G180" s="2"/>
      <c r="H180" s="2"/>
      <c r="I180" s="2"/>
      <c r="J180" s="564"/>
      <c r="K180" s="564"/>
      <c r="L180" s="564"/>
      <c r="M180" s="564"/>
      <c r="N180" s="564"/>
      <c r="O180" s="3"/>
      <c r="P180" s="3"/>
      <c r="Q180" s="3"/>
      <c r="R180" s="3"/>
      <c r="S180" s="3"/>
      <c r="T180" s="3"/>
      <c r="U180" s="3"/>
      <c r="V180" s="3"/>
      <c r="W180" s="3"/>
      <c r="X180" s="3"/>
      <c r="Y180" s="3"/>
      <c r="Z180" s="3"/>
    </row>
    <row r="181" spans="1:26" ht="15.75" customHeight="1">
      <c r="A181" s="3"/>
      <c r="B181" s="2"/>
      <c r="C181" s="2"/>
      <c r="D181" s="2"/>
      <c r="E181" s="2"/>
      <c r="F181" s="2"/>
      <c r="G181" s="2"/>
      <c r="H181" s="2"/>
      <c r="I181" s="2"/>
      <c r="J181" s="564"/>
      <c r="K181" s="564"/>
      <c r="L181" s="564"/>
      <c r="M181" s="564"/>
      <c r="N181" s="564"/>
      <c r="O181" s="3"/>
      <c r="P181" s="3"/>
      <c r="Q181" s="3"/>
      <c r="R181" s="3"/>
      <c r="S181" s="3"/>
      <c r="T181" s="3"/>
      <c r="U181" s="3"/>
      <c r="V181" s="3"/>
      <c r="W181" s="3"/>
      <c r="X181" s="3"/>
      <c r="Y181" s="3"/>
      <c r="Z181" s="3"/>
    </row>
    <row r="182" spans="1:26" ht="15.75" customHeight="1">
      <c r="A182" s="3"/>
      <c r="B182" s="2"/>
      <c r="C182" s="2"/>
      <c r="D182" s="2"/>
      <c r="E182" s="2"/>
      <c r="F182" s="2"/>
      <c r="G182" s="2"/>
      <c r="H182" s="2"/>
      <c r="I182" s="2"/>
      <c r="J182" s="564"/>
      <c r="K182" s="564"/>
      <c r="L182" s="564"/>
      <c r="M182" s="564"/>
      <c r="N182" s="564"/>
      <c r="O182" s="3"/>
      <c r="P182" s="3"/>
      <c r="Q182" s="3"/>
      <c r="R182" s="3"/>
      <c r="S182" s="3"/>
      <c r="T182" s="3"/>
      <c r="U182" s="3"/>
      <c r="V182" s="3"/>
      <c r="W182" s="3"/>
      <c r="X182" s="3"/>
      <c r="Y182" s="3"/>
      <c r="Z182" s="3"/>
    </row>
    <row r="183" spans="1:26" ht="15.75" customHeight="1">
      <c r="A183" s="3"/>
      <c r="B183" s="2"/>
      <c r="C183" s="2"/>
      <c r="D183" s="2"/>
      <c r="E183" s="2"/>
      <c r="F183" s="2"/>
      <c r="G183" s="2"/>
      <c r="H183" s="2"/>
      <c r="I183" s="2"/>
      <c r="J183" s="564"/>
      <c r="K183" s="564"/>
      <c r="L183" s="564"/>
      <c r="M183" s="564"/>
      <c r="N183" s="564"/>
      <c r="O183" s="3"/>
      <c r="P183" s="3"/>
      <c r="Q183" s="3"/>
      <c r="R183" s="3"/>
      <c r="S183" s="3"/>
      <c r="T183" s="3"/>
      <c r="U183" s="3"/>
      <c r="V183" s="3"/>
      <c r="W183" s="3"/>
      <c r="X183" s="3"/>
      <c r="Y183" s="3"/>
      <c r="Z183" s="3"/>
    </row>
    <row r="184" spans="1:26" ht="15.75" customHeight="1">
      <c r="A184" s="3"/>
      <c r="B184" s="2"/>
      <c r="C184" s="2"/>
      <c r="D184" s="2"/>
      <c r="E184" s="2"/>
      <c r="F184" s="2"/>
      <c r="G184" s="2"/>
      <c r="H184" s="2"/>
      <c r="I184" s="2"/>
      <c r="J184" s="564"/>
      <c r="K184" s="564"/>
      <c r="L184" s="564"/>
      <c r="M184" s="564"/>
      <c r="N184" s="564"/>
      <c r="O184" s="3"/>
      <c r="P184" s="3"/>
      <c r="Q184" s="3"/>
      <c r="R184" s="3"/>
      <c r="S184" s="3"/>
      <c r="T184" s="3"/>
      <c r="U184" s="3"/>
      <c r="V184" s="3"/>
      <c r="W184" s="3"/>
      <c r="X184" s="3"/>
      <c r="Y184" s="3"/>
      <c r="Z184" s="3"/>
    </row>
    <row r="185" spans="1:26" ht="15.75" customHeight="1">
      <c r="A185" s="3"/>
      <c r="B185" s="2"/>
      <c r="C185" s="2"/>
      <c r="D185" s="2"/>
      <c r="E185" s="2"/>
      <c r="F185" s="2"/>
      <c r="G185" s="2"/>
      <c r="H185" s="2"/>
      <c r="I185" s="2"/>
      <c r="J185" s="564"/>
      <c r="K185" s="564"/>
      <c r="L185" s="564"/>
      <c r="M185" s="564"/>
      <c r="N185" s="564"/>
      <c r="O185" s="3"/>
      <c r="P185" s="3"/>
      <c r="Q185" s="3"/>
      <c r="R185" s="3"/>
      <c r="S185" s="3"/>
      <c r="T185" s="3"/>
      <c r="U185" s="3"/>
      <c r="V185" s="3"/>
      <c r="W185" s="3"/>
      <c r="X185" s="3"/>
      <c r="Y185" s="3"/>
      <c r="Z185" s="3"/>
    </row>
    <row r="186" spans="1:26" ht="15.75" customHeight="1">
      <c r="A186" s="3"/>
      <c r="B186" s="2"/>
      <c r="C186" s="2"/>
      <c r="D186" s="2"/>
      <c r="E186" s="2"/>
      <c r="F186" s="2"/>
      <c r="G186" s="2"/>
      <c r="H186" s="2"/>
      <c r="I186" s="2"/>
      <c r="J186" s="564"/>
      <c r="K186" s="564"/>
      <c r="L186" s="564"/>
      <c r="M186" s="564"/>
      <c r="N186" s="564"/>
      <c r="O186" s="3"/>
      <c r="P186" s="3"/>
      <c r="Q186" s="3"/>
      <c r="R186" s="3"/>
      <c r="S186" s="3"/>
      <c r="T186" s="3"/>
      <c r="U186" s="3"/>
      <c r="V186" s="3"/>
      <c r="W186" s="3"/>
      <c r="X186" s="3"/>
      <c r="Y186" s="3"/>
      <c r="Z186" s="3"/>
    </row>
    <row r="187" spans="1:26" ht="15.75" customHeight="1">
      <c r="A187" s="3"/>
      <c r="B187" s="2"/>
      <c r="C187" s="2"/>
      <c r="D187" s="2"/>
      <c r="E187" s="2"/>
      <c r="F187" s="2"/>
      <c r="G187" s="2"/>
      <c r="H187" s="2"/>
      <c r="I187" s="2"/>
      <c r="J187" s="564"/>
      <c r="K187" s="564"/>
      <c r="L187" s="564"/>
      <c r="M187" s="564"/>
      <c r="N187" s="564"/>
      <c r="O187" s="3"/>
      <c r="P187" s="3"/>
      <c r="Q187" s="3"/>
      <c r="R187" s="3"/>
      <c r="S187" s="3"/>
      <c r="T187" s="3"/>
      <c r="U187" s="3"/>
      <c r="V187" s="3"/>
      <c r="W187" s="3"/>
      <c r="X187" s="3"/>
      <c r="Y187" s="3"/>
      <c r="Z187" s="3"/>
    </row>
    <row r="188" spans="1:26" ht="15.75" customHeight="1">
      <c r="A188" s="3"/>
      <c r="B188" s="2"/>
      <c r="C188" s="2"/>
      <c r="D188" s="2"/>
      <c r="E188" s="2"/>
      <c r="F188" s="2"/>
      <c r="G188" s="2"/>
      <c r="H188" s="2"/>
      <c r="I188" s="2"/>
      <c r="J188" s="564"/>
      <c r="K188" s="564"/>
      <c r="L188" s="564"/>
      <c r="M188" s="564"/>
      <c r="N188" s="564"/>
      <c r="O188" s="3"/>
      <c r="P188" s="3"/>
      <c r="Q188" s="3"/>
      <c r="R188" s="3"/>
      <c r="S188" s="3"/>
      <c r="T188" s="3"/>
      <c r="U188" s="3"/>
      <c r="V188" s="3"/>
      <c r="W188" s="3"/>
      <c r="X188" s="3"/>
      <c r="Y188" s="3"/>
      <c r="Z188" s="3"/>
    </row>
    <row r="189" spans="1:26" ht="15.75" customHeight="1">
      <c r="A189" s="3"/>
      <c r="B189" s="2"/>
      <c r="C189" s="2"/>
      <c r="D189" s="2"/>
      <c r="E189" s="2"/>
      <c r="F189" s="2"/>
      <c r="G189" s="2"/>
      <c r="H189" s="2"/>
      <c r="I189" s="2"/>
      <c r="J189" s="564"/>
      <c r="K189" s="564"/>
      <c r="L189" s="564"/>
      <c r="M189" s="564"/>
      <c r="N189" s="564"/>
      <c r="O189" s="3"/>
      <c r="P189" s="3"/>
      <c r="Q189" s="3"/>
      <c r="R189" s="3"/>
      <c r="S189" s="3"/>
      <c r="T189" s="3"/>
      <c r="U189" s="3"/>
      <c r="V189" s="3"/>
      <c r="W189" s="3"/>
      <c r="X189" s="3"/>
      <c r="Y189" s="3"/>
      <c r="Z189" s="3"/>
    </row>
    <row r="190" spans="1:26" ht="15.75" customHeight="1">
      <c r="A190" s="3"/>
      <c r="B190" s="2"/>
      <c r="C190" s="2"/>
      <c r="D190" s="2"/>
      <c r="E190" s="2"/>
      <c r="F190" s="2"/>
      <c r="G190" s="2"/>
      <c r="H190" s="2"/>
      <c r="I190" s="2"/>
      <c r="J190" s="564"/>
      <c r="K190" s="564"/>
      <c r="L190" s="564"/>
      <c r="M190" s="564"/>
      <c r="N190" s="564"/>
      <c r="O190" s="3"/>
      <c r="P190" s="3"/>
      <c r="Q190" s="3"/>
      <c r="R190" s="3"/>
      <c r="S190" s="3"/>
      <c r="T190" s="3"/>
      <c r="U190" s="3"/>
      <c r="V190" s="3"/>
      <c r="W190" s="3"/>
      <c r="X190" s="3"/>
      <c r="Y190" s="3"/>
      <c r="Z190" s="3"/>
    </row>
    <row r="191" spans="1:26" ht="15.75" customHeight="1">
      <c r="A191" s="3"/>
      <c r="B191" s="2"/>
      <c r="C191" s="2"/>
      <c r="D191" s="2"/>
      <c r="E191" s="2"/>
      <c r="F191" s="2"/>
      <c r="G191" s="2"/>
      <c r="H191" s="2"/>
      <c r="I191" s="2"/>
      <c r="J191" s="564"/>
      <c r="K191" s="564"/>
      <c r="L191" s="564"/>
      <c r="M191" s="564"/>
      <c r="N191" s="564"/>
      <c r="O191" s="3"/>
      <c r="P191" s="3"/>
      <c r="Q191" s="3"/>
      <c r="R191" s="3"/>
      <c r="S191" s="3"/>
      <c r="T191" s="3"/>
      <c r="U191" s="3"/>
      <c r="V191" s="3"/>
      <c r="W191" s="3"/>
      <c r="X191" s="3"/>
      <c r="Y191" s="3"/>
      <c r="Z191" s="3"/>
    </row>
    <row r="192" spans="1:26" ht="15.75" customHeight="1">
      <c r="A192" s="3"/>
      <c r="B192" s="2"/>
      <c r="C192" s="2"/>
      <c r="D192" s="2"/>
      <c r="E192" s="2"/>
      <c r="F192" s="2"/>
      <c r="G192" s="2"/>
      <c r="H192" s="2"/>
      <c r="I192" s="2"/>
      <c r="J192" s="564"/>
      <c r="K192" s="564"/>
      <c r="L192" s="564"/>
      <c r="M192" s="564"/>
      <c r="N192" s="564"/>
      <c r="O192" s="3"/>
      <c r="P192" s="3"/>
      <c r="Q192" s="3"/>
      <c r="R192" s="3"/>
      <c r="S192" s="3"/>
      <c r="T192" s="3"/>
      <c r="U192" s="3"/>
      <c r="V192" s="3"/>
      <c r="W192" s="3"/>
      <c r="X192" s="3"/>
      <c r="Y192" s="3"/>
      <c r="Z192" s="3"/>
    </row>
    <row r="193" spans="1:26" ht="15.75" customHeight="1">
      <c r="A193" s="3"/>
      <c r="B193" s="2"/>
      <c r="C193" s="2"/>
      <c r="D193" s="2"/>
      <c r="E193" s="2"/>
      <c r="F193" s="2"/>
      <c r="G193" s="2"/>
      <c r="H193" s="2"/>
      <c r="I193" s="2"/>
      <c r="J193" s="564"/>
      <c r="K193" s="564"/>
      <c r="L193" s="564"/>
      <c r="M193" s="564"/>
      <c r="N193" s="564"/>
      <c r="O193" s="3"/>
      <c r="P193" s="3"/>
      <c r="Q193" s="3"/>
      <c r="R193" s="3"/>
      <c r="S193" s="3"/>
      <c r="T193" s="3"/>
      <c r="U193" s="3"/>
      <c r="V193" s="3"/>
      <c r="W193" s="3"/>
      <c r="X193" s="3"/>
      <c r="Y193" s="3"/>
      <c r="Z193" s="3"/>
    </row>
    <row r="194" spans="1:26" ht="15.75" customHeight="1">
      <c r="A194" s="3"/>
      <c r="B194" s="2"/>
      <c r="C194" s="2"/>
      <c r="D194" s="2"/>
      <c r="E194" s="2"/>
      <c r="F194" s="2"/>
      <c r="G194" s="2"/>
      <c r="H194" s="2"/>
      <c r="I194" s="2"/>
      <c r="J194" s="564"/>
      <c r="K194" s="564"/>
      <c r="L194" s="564"/>
      <c r="M194" s="564"/>
      <c r="N194" s="564"/>
      <c r="O194" s="3"/>
      <c r="P194" s="3"/>
      <c r="Q194" s="3"/>
      <c r="R194" s="3"/>
      <c r="S194" s="3"/>
      <c r="T194" s="3"/>
      <c r="U194" s="3"/>
      <c r="V194" s="3"/>
      <c r="W194" s="3"/>
      <c r="X194" s="3"/>
      <c r="Y194" s="3"/>
      <c r="Z194" s="3"/>
    </row>
    <row r="195" spans="1:26" ht="15.75" customHeight="1">
      <c r="A195" s="3"/>
      <c r="B195" s="2"/>
      <c r="C195" s="2"/>
      <c r="D195" s="2"/>
      <c r="E195" s="2"/>
      <c r="F195" s="2"/>
      <c r="G195" s="2"/>
      <c r="H195" s="2"/>
      <c r="I195" s="2"/>
      <c r="J195" s="564"/>
      <c r="K195" s="564"/>
      <c r="L195" s="564"/>
      <c r="M195" s="564"/>
      <c r="N195" s="564"/>
      <c r="O195" s="3"/>
      <c r="P195" s="3"/>
      <c r="Q195" s="3"/>
      <c r="R195" s="3"/>
      <c r="S195" s="3"/>
      <c r="T195" s="3"/>
      <c r="U195" s="3"/>
      <c r="V195" s="3"/>
      <c r="W195" s="3"/>
      <c r="X195" s="3"/>
      <c r="Y195" s="3"/>
      <c r="Z195" s="3"/>
    </row>
    <row r="196" spans="1:26" ht="15.75" customHeight="1">
      <c r="A196" s="3"/>
      <c r="B196" s="2"/>
      <c r="C196" s="2"/>
      <c r="D196" s="2"/>
      <c r="E196" s="2"/>
      <c r="F196" s="2"/>
      <c r="G196" s="2"/>
      <c r="H196" s="2"/>
      <c r="I196" s="2"/>
      <c r="J196" s="564"/>
      <c r="K196" s="564"/>
      <c r="L196" s="564"/>
      <c r="M196" s="564"/>
      <c r="N196" s="564"/>
      <c r="O196" s="3"/>
      <c r="P196" s="3"/>
      <c r="Q196" s="3"/>
      <c r="R196" s="3"/>
      <c r="S196" s="3"/>
      <c r="T196" s="3"/>
      <c r="U196" s="3"/>
      <c r="V196" s="3"/>
      <c r="W196" s="3"/>
      <c r="X196" s="3"/>
      <c r="Y196" s="3"/>
      <c r="Z196" s="3"/>
    </row>
    <row r="197" spans="1:26" ht="15.75" customHeight="1">
      <c r="A197" s="3"/>
      <c r="B197" s="2"/>
      <c r="C197" s="2"/>
      <c r="D197" s="2"/>
      <c r="E197" s="2"/>
      <c r="F197" s="2"/>
      <c r="G197" s="2"/>
      <c r="H197" s="2"/>
      <c r="I197" s="2"/>
      <c r="J197" s="564"/>
      <c r="K197" s="564"/>
      <c r="L197" s="564"/>
      <c r="M197" s="564"/>
      <c r="N197" s="564"/>
      <c r="O197" s="3"/>
      <c r="P197" s="3"/>
      <c r="Q197" s="3"/>
      <c r="R197" s="3"/>
      <c r="S197" s="3"/>
      <c r="T197" s="3"/>
      <c r="U197" s="3"/>
      <c r="V197" s="3"/>
      <c r="W197" s="3"/>
      <c r="X197" s="3"/>
      <c r="Y197" s="3"/>
      <c r="Z197" s="3"/>
    </row>
    <row r="198" spans="1:26" ht="15.75" customHeight="1">
      <c r="A198" s="3"/>
      <c r="B198" s="2"/>
      <c r="C198" s="2"/>
      <c r="D198" s="2"/>
      <c r="E198" s="2"/>
      <c r="F198" s="2"/>
      <c r="G198" s="2"/>
      <c r="H198" s="2"/>
      <c r="I198" s="2"/>
      <c r="J198" s="564"/>
      <c r="K198" s="564"/>
      <c r="L198" s="564"/>
      <c r="M198" s="564"/>
      <c r="N198" s="564"/>
      <c r="O198" s="3"/>
      <c r="P198" s="3"/>
      <c r="Q198" s="3"/>
      <c r="R198" s="3"/>
      <c r="S198" s="3"/>
      <c r="T198" s="3"/>
      <c r="U198" s="3"/>
      <c r="V198" s="3"/>
      <c r="W198" s="3"/>
      <c r="X198" s="3"/>
      <c r="Y198" s="3"/>
      <c r="Z198" s="3"/>
    </row>
    <row r="199" spans="1:26" ht="15.75" customHeight="1">
      <c r="A199" s="3"/>
      <c r="B199" s="2"/>
      <c r="C199" s="2"/>
      <c r="D199" s="2"/>
      <c r="E199" s="2"/>
      <c r="F199" s="2"/>
      <c r="G199" s="2"/>
      <c r="H199" s="2"/>
      <c r="I199" s="2"/>
      <c r="J199" s="564"/>
      <c r="K199" s="564"/>
      <c r="L199" s="564"/>
      <c r="M199" s="564"/>
      <c r="N199" s="564"/>
      <c r="O199" s="3"/>
      <c r="P199" s="3"/>
      <c r="Q199" s="3"/>
      <c r="R199" s="3"/>
      <c r="S199" s="3"/>
      <c r="T199" s="3"/>
      <c r="U199" s="3"/>
      <c r="V199" s="3"/>
      <c r="W199" s="3"/>
      <c r="X199" s="3"/>
      <c r="Y199" s="3"/>
      <c r="Z199" s="3"/>
    </row>
    <row r="200" spans="1:26" ht="15.75" customHeight="1">
      <c r="A200" s="3"/>
      <c r="B200" s="2"/>
      <c r="C200" s="2"/>
      <c r="D200" s="2"/>
      <c r="E200" s="2"/>
      <c r="F200" s="2"/>
      <c r="G200" s="2"/>
      <c r="H200" s="2"/>
      <c r="I200" s="2"/>
      <c r="J200" s="564"/>
      <c r="K200" s="564"/>
      <c r="L200" s="564"/>
      <c r="M200" s="564"/>
      <c r="N200" s="564"/>
      <c r="O200" s="3"/>
      <c r="P200" s="3"/>
      <c r="Q200" s="3"/>
      <c r="R200" s="3"/>
      <c r="S200" s="3"/>
      <c r="T200" s="3"/>
      <c r="U200" s="3"/>
      <c r="V200" s="3"/>
      <c r="W200" s="3"/>
      <c r="X200" s="3"/>
      <c r="Y200" s="3"/>
      <c r="Z200" s="3"/>
    </row>
    <row r="201" spans="1:26" ht="15.75" customHeight="1">
      <c r="A201" s="3"/>
      <c r="B201" s="2"/>
      <c r="C201" s="2"/>
      <c r="D201" s="2"/>
      <c r="E201" s="2"/>
      <c r="F201" s="2"/>
      <c r="G201" s="2"/>
      <c r="H201" s="2"/>
      <c r="I201" s="2"/>
      <c r="J201" s="564"/>
      <c r="K201" s="564"/>
      <c r="L201" s="564"/>
      <c r="M201" s="564"/>
      <c r="N201" s="564"/>
      <c r="O201" s="3"/>
      <c r="P201" s="3"/>
      <c r="Q201" s="3"/>
      <c r="R201" s="3"/>
      <c r="S201" s="3"/>
      <c r="T201" s="3"/>
      <c r="U201" s="3"/>
      <c r="V201" s="3"/>
      <c r="W201" s="3"/>
      <c r="X201" s="3"/>
      <c r="Y201" s="3"/>
      <c r="Z201" s="3"/>
    </row>
    <row r="202" spans="1:26" ht="15.75" customHeight="1">
      <c r="A202" s="3"/>
      <c r="B202" s="2"/>
      <c r="C202" s="2"/>
      <c r="D202" s="2"/>
      <c r="E202" s="2"/>
      <c r="F202" s="2"/>
      <c r="G202" s="2"/>
      <c r="H202" s="2"/>
      <c r="I202" s="2"/>
      <c r="J202" s="564"/>
      <c r="K202" s="564"/>
      <c r="L202" s="564"/>
      <c r="M202" s="564"/>
      <c r="N202" s="564"/>
      <c r="O202" s="3"/>
      <c r="P202" s="3"/>
      <c r="Q202" s="3"/>
      <c r="R202" s="3"/>
      <c r="S202" s="3"/>
      <c r="T202" s="3"/>
      <c r="U202" s="3"/>
      <c r="V202" s="3"/>
      <c r="W202" s="3"/>
      <c r="X202" s="3"/>
      <c r="Y202" s="3"/>
      <c r="Z202" s="3"/>
    </row>
    <row r="203" spans="1:26" ht="15.75" customHeight="1">
      <c r="A203" s="3"/>
      <c r="B203" s="2"/>
      <c r="C203" s="2"/>
      <c r="D203" s="2"/>
      <c r="E203" s="2"/>
      <c r="F203" s="2"/>
      <c r="G203" s="2"/>
      <c r="H203" s="2"/>
      <c r="I203" s="2"/>
      <c r="J203" s="564"/>
      <c r="K203" s="564"/>
      <c r="L203" s="564"/>
      <c r="M203" s="564"/>
      <c r="N203" s="564"/>
      <c r="O203" s="3"/>
      <c r="P203" s="3"/>
      <c r="Q203" s="3"/>
      <c r="R203" s="3"/>
      <c r="S203" s="3"/>
      <c r="T203" s="3"/>
      <c r="U203" s="3"/>
      <c r="V203" s="3"/>
      <c r="W203" s="3"/>
      <c r="X203" s="3"/>
      <c r="Y203" s="3"/>
      <c r="Z203" s="3"/>
    </row>
    <row r="204" spans="1:26" ht="15.75" customHeight="1">
      <c r="A204" s="3"/>
      <c r="B204" s="2"/>
      <c r="C204" s="2"/>
      <c r="D204" s="2"/>
      <c r="E204" s="2"/>
      <c r="F204" s="2"/>
      <c r="G204" s="2"/>
      <c r="H204" s="2"/>
      <c r="I204" s="2"/>
      <c r="J204" s="564"/>
      <c r="K204" s="564"/>
      <c r="L204" s="564"/>
      <c r="M204" s="564"/>
      <c r="N204" s="564"/>
      <c r="O204" s="3"/>
      <c r="P204" s="3"/>
      <c r="Q204" s="3"/>
      <c r="R204" s="3"/>
      <c r="S204" s="3"/>
      <c r="T204" s="3"/>
      <c r="U204" s="3"/>
      <c r="V204" s="3"/>
      <c r="W204" s="3"/>
      <c r="X204" s="3"/>
      <c r="Y204" s="3"/>
      <c r="Z204" s="3"/>
    </row>
    <row r="205" spans="1:26" ht="15.75" customHeight="1">
      <c r="A205" s="3"/>
      <c r="B205" s="2"/>
      <c r="C205" s="2"/>
      <c r="D205" s="2"/>
      <c r="E205" s="2"/>
      <c r="F205" s="2"/>
      <c r="G205" s="2"/>
      <c r="H205" s="2"/>
      <c r="I205" s="2"/>
      <c r="J205" s="564"/>
      <c r="K205" s="564"/>
      <c r="L205" s="564"/>
      <c r="M205" s="564"/>
      <c r="N205" s="564"/>
      <c r="O205" s="3"/>
      <c r="P205" s="3"/>
      <c r="Q205" s="3"/>
      <c r="R205" s="3"/>
      <c r="S205" s="3"/>
      <c r="T205" s="3"/>
      <c r="U205" s="3"/>
      <c r="V205" s="3"/>
      <c r="W205" s="3"/>
      <c r="X205" s="3"/>
      <c r="Y205" s="3"/>
      <c r="Z205" s="3"/>
    </row>
    <row r="206" spans="1:26" ht="15.75" customHeight="1">
      <c r="A206" s="3"/>
      <c r="B206" s="2"/>
      <c r="C206" s="2"/>
      <c r="D206" s="2"/>
      <c r="E206" s="2"/>
      <c r="F206" s="2"/>
      <c r="G206" s="2"/>
      <c r="H206" s="2"/>
      <c r="I206" s="2"/>
      <c r="J206" s="564"/>
      <c r="K206" s="564"/>
      <c r="L206" s="564"/>
      <c r="M206" s="564"/>
      <c r="N206" s="564"/>
      <c r="O206" s="3"/>
      <c r="P206" s="3"/>
      <c r="Q206" s="3"/>
      <c r="R206" s="3"/>
      <c r="S206" s="3"/>
      <c r="T206" s="3"/>
      <c r="U206" s="3"/>
      <c r="V206" s="3"/>
      <c r="W206" s="3"/>
      <c r="X206" s="3"/>
      <c r="Y206" s="3"/>
      <c r="Z206" s="3"/>
    </row>
    <row r="207" spans="1:26" ht="15.75" customHeight="1">
      <c r="A207" s="3"/>
      <c r="B207" s="2"/>
      <c r="C207" s="2"/>
      <c r="D207" s="2"/>
      <c r="E207" s="2"/>
      <c r="F207" s="2"/>
      <c r="G207" s="2"/>
      <c r="H207" s="2"/>
      <c r="I207" s="2"/>
      <c r="J207" s="564"/>
      <c r="K207" s="564"/>
      <c r="L207" s="564"/>
      <c r="M207" s="564"/>
      <c r="N207" s="564"/>
      <c r="O207" s="3"/>
      <c r="P207" s="3"/>
      <c r="Q207" s="3"/>
      <c r="R207" s="3"/>
      <c r="S207" s="3"/>
      <c r="T207" s="3"/>
      <c r="U207" s="3"/>
      <c r="V207" s="3"/>
      <c r="W207" s="3"/>
      <c r="X207" s="3"/>
      <c r="Y207" s="3"/>
      <c r="Z207" s="3"/>
    </row>
    <row r="208" spans="1:26" ht="15.75" customHeight="1">
      <c r="A208" s="3"/>
      <c r="B208" s="2"/>
      <c r="C208" s="2"/>
      <c r="D208" s="2"/>
      <c r="E208" s="2"/>
      <c r="F208" s="2"/>
      <c r="G208" s="2"/>
      <c r="H208" s="2"/>
      <c r="I208" s="2"/>
      <c r="J208" s="564"/>
      <c r="K208" s="564"/>
      <c r="L208" s="564"/>
      <c r="M208" s="564"/>
      <c r="N208" s="564"/>
      <c r="O208" s="3"/>
      <c r="P208" s="3"/>
      <c r="Q208" s="3"/>
      <c r="R208" s="3"/>
      <c r="S208" s="3"/>
      <c r="T208" s="3"/>
      <c r="U208" s="3"/>
      <c r="V208" s="3"/>
      <c r="W208" s="3"/>
      <c r="X208" s="3"/>
      <c r="Y208" s="3"/>
      <c r="Z208" s="3"/>
    </row>
    <row r="209" spans="1:26" ht="15.75" customHeight="1">
      <c r="A209" s="3"/>
      <c r="B209" s="2"/>
      <c r="C209" s="2"/>
      <c r="D209" s="2"/>
      <c r="E209" s="2"/>
      <c r="F209" s="2"/>
      <c r="G209" s="2"/>
      <c r="H209" s="2"/>
      <c r="I209" s="2"/>
      <c r="J209" s="564"/>
      <c r="K209" s="564"/>
      <c r="L209" s="564"/>
      <c r="M209" s="564"/>
      <c r="N209" s="564"/>
      <c r="O209" s="3"/>
      <c r="P209" s="3"/>
      <c r="Q209" s="3"/>
      <c r="R209" s="3"/>
      <c r="S209" s="3"/>
      <c r="T209" s="3"/>
      <c r="U209" s="3"/>
      <c r="V209" s="3"/>
      <c r="W209" s="3"/>
      <c r="X209" s="3"/>
      <c r="Y209" s="3"/>
      <c r="Z209" s="3"/>
    </row>
    <row r="210" spans="1:26" ht="15.75" customHeight="1">
      <c r="A210" s="3"/>
      <c r="B210" s="2"/>
      <c r="C210" s="2"/>
      <c r="D210" s="2"/>
      <c r="E210" s="2"/>
      <c r="F210" s="2"/>
      <c r="G210" s="2"/>
      <c r="H210" s="2"/>
      <c r="I210" s="2"/>
      <c r="J210" s="564"/>
      <c r="K210" s="564"/>
      <c r="L210" s="564"/>
      <c r="M210" s="564"/>
      <c r="N210" s="564"/>
      <c r="O210" s="3"/>
      <c r="P210" s="3"/>
      <c r="Q210" s="3"/>
      <c r="R210" s="3"/>
      <c r="S210" s="3"/>
      <c r="T210" s="3"/>
      <c r="U210" s="3"/>
      <c r="V210" s="3"/>
      <c r="W210" s="3"/>
      <c r="X210" s="3"/>
      <c r="Y210" s="3"/>
      <c r="Z210" s="3"/>
    </row>
    <row r="211" spans="1:26" ht="15.75" customHeight="1">
      <c r="A211" s="3"/>
      <c r="B211" s="2"/>
      <c r="C211" s="2"/>
      <c r="D211" s="2"/>
      <c r="E211" s="2"/>
      <c r="F211" s="2"/>
      <c r="G211" s="2"/>
      <c r="H211" s="2"/>
      <c r="I211" s="2"/>
      <c r="J211" s="564"/>
      <c r="K211" s="564"/>
      <c r="L211" s="564"/>
      <c r="M211" s="564"/>
      <c r="N211" s="564"/>
      <c r="O211" s="3"/>
      <c r="P211" s="3"/>
      <c r="Q211" s="3"/>
      <c r="R211" s="3"/>
      <c r="S211" s="3"/>
      <c r="T211" s="3"/>
      <c r="U211" s="3"/>
      <c r="V211" s="3"/>
      <c r="W211" s="3"/>
      <c r="X211" s="3"/>
      <c r="Y211" s="3"/>
      <c r="Z211" s="3"/>
    </row>
    <row r="212" spans="1:26" ht="15.75" customHeight="1">
      <c r="A212" s="3"/>
      <c r="B212" s="2"/>
      <c r="C212" s="2"/>
      <c r="D212" s="2"/>
      <c r="E212" s="2"/>
      <c r="F212" s="2"/>
      <c r="G212" s="2"/>
      <c r="H212" s="2"/>
      <c r="I212" s="2"/>
      <c r="J212" s="564"/>
      <c r="K212" s="564"/>
      <c r="L212" s="564"/>
      <c r="M212" s="564"/>
      <c r="N212" s="564"/>
      <c r="O212" s="3"/>
      <c r="P212" s="3"/>
      <c r="Q212" s="3"/>
      <c r="R212" s="3"/>
      <c r="S212" s="3"/>
      <c r="T212" s="3"/>
      <c r="U212" s="3"/>
      <c r="V212" s="3"/>
      <c r="W212" s="3"/>
      <c r="X212" s="3"/>
      <c r="Y212" s="3"/>
      <c r="Z212" s="3"/>
    </row>
    <row r="213" spans="1:26" ht="15.75" customHeight="1">
      <c r="A213" s="3"/>
      <c r="B213" s="2"/>
      <c r="C213" s="2"/>
      <c r="D213" s="2"/>
      <c r="E213" s="2"/>
      <c r="F213" s="2"/>
      <c r="G213" s="2"/>
      <c r="H213" s="2"/>
      <c r="I213" s="2"/>
      <c r="J213" s="564"/>
      <c r="K213" s="564"/>
      <c r="L213" s="564"/>
      <c r="M213" s="564"/>
      <c r="N213" s="564"/>
      <c r="O213" s="3"/>
      <c r="P213" s="3"/>
      <c r="Q213" s="3"/>
      <c r="R213" s="3"/>
      <c r="S213" s="3"/>
      <c r="T213" s="3"/>
      <c r="U213" s="3"/>
      <c r="V213" s="3"/>
      <c r="W213" s="3"/>
      <c r="X213" s="3"/>
      <c r="Y213" s="3"/>
      <c r="Z213" s="3"/>
    </row>
    <row r="214" spans="1:26" ht="15.75" customHeight="1">
      <c r="A214" s="3"/>
      <c r="B214" s="2"/>
      <c r="C214" s="2"/>
      <c r="D214" s="2"/>
      <c r="E214" s="2"/>
      <c r="F214" s="2"/>
      <c r="G214" s="2"/>
      <c r="H214" s="2"/>
      <c r="I214" s="2"/>
      <c r="J214" s="564"/>
      <c r="K214" s="564"/>
      <c r="L214" s="564"/>
      <c r="M214" s="564"/>
      <c r="N214" s="564"/>
      <c r="O214" s="3"/>
      <c r="P214" s="3"/>
      <c r="Q214" s="3"/>
      <c r="R214" s="3"/>
      <c r="S214" s="3"/>
      <c r="T214" s="3"/>
      <c r="U214" s="3"/>
      <c r="V214" s="3"/>
      <c r="W214" s="3"/>
      <c r="X214" s="3"/>
      <c r="Y214" s="3"/>
      <c r="Z214" s="3"/>
    </row>
    <row r="215" spans="1:26" ht="15.75" customHeight="1">
      <c r="A215" s="3"/>
      <c r="B215" s="2"/>
      <c r="C215" s="2"/>
      <c r="D215" s="2"/>
      <c r="E215" s="2"/>
      <c r="F215" s="2"/>
      <c r="G215" s="2"/>
      <c r="H215" s="2"/>
      <c r="I215" s="2"/>
      <c r="J215" s="564"/>
      <c r="K215" s="564"/>
      <c r="L215" s="564"/>
      <c r="M215" s="564"/>
      <c r="N215" s="564"/>
      <c r="O215" s="3"/>
      <c r="P215" s="3"/>
      <c r="Q215" s="3"/>
      <c r="R215" s="3"/>
      <c r="S215" s="3"/>
      <c r="T215" s="3"/>
      <c r="U215" s="3"/>
      <c r="V215" s="3"/>
      <c r="W215" s="3"/>
      <c r="X215" s="3"/>
      <c r="Y215" s="3"/>
      <c r="Z215" s="3"/>
    </row>
    <row r="216" spans="1:26" ht="15.75" customHeight="1">
      <c r="A216" s="3"/>
      <c r="B216" s="2"/>
      <c r="C216" s="2"/>
      <c r="D216" s="2"/>
      <c r="E216" s="2"/>
      <c r="F216" s="2"/>
      <c r="G216" s="2"/>
      <c r="H216" s="2"/>
      <c r="I216" s="2"/>
      <c r="J216" s="564"/>
      <c r="K216" s="564"/>
      <c r="L216" s="564"/>
      <c r="M216" s="564"/>
      <c r="N216" s="564"/>
      <c r="O216" s="3"/>
      <c r="P216" s="3"/>
      <c r="Q216" s="3"/>
      <c r="R216" s="3"/>
      <c r="S216" s="3"/>
      <c r="T216" s="3"/>
      <c r="U216" s="3"/>
      <c r="V216" s="3"/>
      <c r="W216" s="3"/>
      <c r="X216" s="3"/>
      <c r="Y216" s="3"/>
      <c r="Z216" s="3"/>
    </row>
    <row r="217" spans="1:26" ht="15.75" customHeight="1">
      <c r="A217" s="3"/>
      <c r="B217" s="2"/>
      <c r="C217" s="2"/>
      <c r="D217" s="2"/>
      <c r="E217" s="2"/>
      <c r="F217" s="2"/>
      <c r="G217" s="2"/>
      <c r="H217" s="2"/>
      <c r="I217" s="2"/>
      <c r="J217" s="564"/>
      <c r="K217" s="564"/>
      <c r="L217" s="564"/>
      <c r="M217" s="564"/>
      <c r="N217" s="564"/>
      <c r="O217" s="3"/>
      <c r="P217" s="3"/>
      <c r="Q217" s="3"/>
      <c r="R217" s="3"/>
      <c r="S217" s="3"/>
      <c r="T217" s="3"/>
      <c r="U217" s="3"/>
      <c r="V217" s="3"/>
      <c r="W217" s="3"/>
      <c r="X217" s="3"/>
      <c r="Y217" s="3"/>
      <c r="Z217" s="3"/>
    </row>
    <row r="218" spans="1:26" ht="15.75" customHeight="1">
      <c r="A218" s="3"/>
      <c r="B218" s="2"/>
      <c r="C218" s="2"/>
      <c r="D218" s="2"/>
      <c r="E218" s="2"/>
      <c r="F218" s="2"/>
      <c r="G218" s="2"/>
      <c r="H218" s="2"/>
      <c r="I218" s="2"/>
      <c r="J218" s="564"/>
      <c r="K218" s="564"/>
      <c r="L218" s="564"/>
      <c r="M218" s="564"/>
      <c r="N218" s="564"/>
      <c r="O218" s="3"/>
      <c r="P218" s="3"/>
      <c r="Q218" s="3"/>
      <c r="R218" s="3"/>
      <c r="S218" s="3"/>
      <c r="T218" s="3"/>
      <c r="U218" s="3"/>
      <c r="V218" s="3"/>
      <c r="W218" s="3"/>
      <c r="X218" s="3"/>
      <c r="Y218" s="3"/>
      <c r="Z218" s="3"/>
    </row>
    <row r="219" spans="1:26" ht="15.75" customHeight="1">
      <c r="A219" s="3"/>
      <c r="B219" s="2"/>
      <c r="C219" s="2"/>
      <c r="D219" s="2"/>
      <c r="E219" s="2"/>
      <c r="F219" s="2"/>
      <c r="G219" s="2"/>
      <c r="H219" s="2"/>
      <c r="I219" s="2"/>
      <c r="J219" s="564"/>
      <c r="K219" s="564"/>
      <c r="L219" s="564"/>
      <c r="M219" s="564"/>
      <c r="N219" s="564"/>
      <c r="O219" s="3"/>
      <c r="P219" s="3"/>
      <c r="Q219" s="3"/>
      <c r="R219" s="3"/>
      <c r="S219" s="3"/>
      <c r="T219" s="3"/>
      <c r="U219" s="3"/>
      <c r="V219" s="3"/>
      <c r="W219" s="3"/>
      <c r="X219" s="3"/>
      <c r="Y219" s="3"/>
      <c r="Z219" s="3"/>
    </row>
    <row r="220" spans="1:26" ht="15.75" customHeight="1">
      <c r="A220" s="3"/>
      <c r="B220" s="2"/>
      <c r="C220" s="2"/>
      <c r="D220" s="2"/>
      <c r="E220" s="2"/>
      <c r="F220" s="2"/>
      <c r="G220" s="2"/>
      <c r="H220" s="2"/>
      <c r="I220" s="2"/>
      <c r="J220" s="564"/>
      <c r="K220" s="564"/>
      <c r="L220" s="564"/>
      <c r="M220" s="564"/>
      <c r="N220" s="564"/>
      <c r="O220" s="3"/>
      <c r="P220" s="3"/>
      <c r="Q220" s="3"/>
      <c r="R220" s="3"/>
      <c r="S220" s="3"/>
      <c r="T220" s="3"/>
      <c r="U220" s="3"/>
      <c r="V220" s="3"/>
      <c r="W220" s="3"/>
      <c r="X220" s="3"/>
      <c r="Y220" s="3"/>
      <c r="Z220" s="3"/>
    </row>
    <row r="221" spans="1:26" ht="15.75" customHeight="1">
      <c r="A221" s="3"/>
      <c r="B221" s="2"/>
      <c r="C221" s="2"/>
      <c r="D221" s="2"/>
      <c r="E221" s="2"/>
      <c r="F221" s="2"/>
      <c r="G221" s="2"/>
      <c r="H221" s="2"/>
      <c r="I221" s="2"/>
      <c r="J221" s="564"/>
      <c r="K221" s="564"/>
      <c r="L221" s="564"/>
      <c r="M221" s="564"/>
      <c r="N221" s="564"/>
      <c r="O221" s="3"/>
      <c r="P221" s="3"/>
      <c r="Q221" s="3"/>
      <c r="R221" s="3"/>
      <c r="S221" s="3"/>
      <c r="T221" s="3"/>
      <c r="U221" s="3"/>
      <c r="V221" s="3"/>
      <c r="W221" s="3"/>
      <c r="X221" s="3"/>
      <c r="Y221" s="3"/>
      <c r="Z221" s="3"/>
    </row>
    <row r="222" spans="1:26" ht="15.75" customHeight="1">
      <c r="A222" s="3"/>
      <c r="B222" s="2"/>
      <c r="C222" s="2"/>
      <c r="D222" s="2"/>
      <c r="E222" s="2"/>
      <c r="F222" s="2"/>
      <c r="G222" s="2"/>
      <c r="H222" s="2"/>
      <c r="I222" s="2"/>
      <c r="J222" s="564"/>
      <c r="K222" s="564"/>
      <c r="L222" s="564"/>
      <c r="M222" s="564"/>
      <c r="N222" s="564"/>
      <c r="O222" s="3"/>
      <c r="P222" s="3"/>
      <c r="Q222" s="3"/>
      <c r="R222" s="3"/>
      <c r="S222" s="3"/>
      <c r="T222" s="3"/>
      <c r="U222" s="3"/>
      <c r="V222" s="3"/>
      <c r="W222" s="3"/>
      <c r="X222" s="3"/>
      <c r="Y222" s="3"/>
      <c r="Z222" s="3"/>
    </row>
    <row r="223" spans="1:26" ht="15.75" customHeight="1">
      <c r="A223" s="3"/>
      <c r="B223" s="2"/>
      <c r="C223" s="2"/>
      <c r="D223" s="2"/>
      <c r="E223" s="2"/>
      <c r="F223" s="2"/>
      <c r="G223" s="2"/>
      <c r="H223" s="2"/>
      <c r="I223" s="2"/>
      <c r="J223" s="564"/>
      <c r="K223" s="564"/>
      <c r="L223" s="564"/>
      <c r="M223" s="564"/>
      <c r="N223" s="564"/>
      <c r="O223" s="3"/>
      <c r="P223" s="3"/>
      <c r="Q223" s="3"/>
      <c r="R223" s="3"/>
      <c r="S223" s="3"/>
      <c r="T223" s="3"/>
      <c r="U223" s="3"/>
      <c r="V223" s="3"/>
      <c r="W223" s="3"/>
      <c r="X223" s="3"/>
      <c r="Y223" s="3"/>
      <c r="Z223" s="3"/>
    </row>
    <row r="224" spans="1:26" ht="15.75" customHeight="1">
      <c r="A224" s="3"/>
      <c r="B224" s="2"/>
      <c r="C224" s="2"/>
      <c r="D224" s="2"/>
      <c r="E224" s="2"/>
      <c r="F224" s="2"/>
      <c r="G224" s="2"/>
      <c r="H224" s="2"/>
      <c r="I224" s="2"/>
      <c r="J224" s="564"/>
      <c r="K224" s="564"/>
      <c r="L224" s="564"/>
      <c r="M224" s="564"/>
      <c r="N224" s="564"/>
      <c r="O224" s="3"/>
      <c r="P224" s="3"/>
      <c r="Q224" s="3"/>
      <c r="R224" s="3"/>
      <c r="S224" s="3"/>
      <c r="T224" s="3"/>
      <c r="U224" s="3"/>
      <c r="V224" s="3"/>
      <c r="W224" s="3"/>
      <c r="X224" s="3"/>
      <c r="Y224" s="3"/>
      <c r="Z224" s="3"/>
    </row>
    <row r="225" spans="1:26" ht="15.75" customHeight="1">
      <c r="A225" s="3"/>
      <c r="B225" s="2"/>
      <c r="C225" s="2"/>
      <c r="D225" s="2"/>
      <c r="E225" s="2"/>
      <c r="F225" s="2"/>
      <c r="G225" s="2"/>
      <c r="H225" s="2"/>
      <c r="I225" s="2"/>
      <c r="J225" s="564"/>
      <c r="K225" s="564"/>
      <c r="L225" s="564"/>
      <c r="M225" s="564"/>
      <c r="N225" s="564"/>
      <c r="O225" s="3"/>
      <c r="P225" s="3"/>
      <c r="Q225" s="3"/>
      <c r="R225" s="3"/>
      <c r="S225" s="3"/>
      <c r="T225" s="3"/>
      <c r="U225" s="3"/>
      <c r="V225" s="3"/>
      <c r="W225" s="3"/>
      <c r="X225" s="3"/>
      <c r="Y225" s="3"/>
      <c r="Z225" s="3"/>
    </row>
    <row r="226" spans="1:26" ht="15.75" customHeight="1">
      <c r="A226" s="3"/>
      <c r="B226" s="2"/>
      <c r="C226" s="2"/>
      <c r="D226" s="2"/>
      <c r="E226" s="2"/>
      <c r="F226" s="2"/>
      <c r="G226" s="2"/>
      <c r="H226" s="2"/>
      <c r="I226" s="2"/>
      <c r="J226" s="564"/>
      <c r="K226" s="564"/>
      <c r="L226" s="564"/>
      <c r="M226" s="564"/>
      <c r="N226" s="564"/>
      <c r="O226" s="3"/>
      <c r="P226" s="3"/>
      <c r="Q226" s="3"/>
      <c r="R226" s="3"/>
      <c r="S226" s="3"/>
      <c r="T226" s="3"/>
      <c r="U226" s="3"/>
      <c r="V226" s="3"/>
      <c r="W226" s="3"/>
      <c r="X226" s="3"/>
      <c r="Y226" s="3"/>
      <c r="Z226" s="3"/>
    </row>
    <row r="227" spans="1:26" ht="15.75" customHeight="1">
      <c r="A227" s="3"/>
      <c r="B227" s="2"/>
      <c r="C227" s="2"/>
      <c r="D227" s="2"/>
      <c r="E227" s="2"/>
      <c r="F227" s="2"/>
      <c r="G227" s="2"/>
      <c r="H227" s="2"/>
      <c r="I227" s="2"/>
      <c r="J227" s="564"/>
      <c r="K227" s="564"/>
      <c r="L227" s="564"/>
      <c r="M227" s="564"/>
      <c r="N227" s="564"/>
      <c r="O227" s="3"/>
      <c r="P227" s="3"/>
      <c r="Q227" s="3"/>
      <c r="R227" s="3"/>
      <c r="S227" s="3"/>
      <c r="T227" s="3"/>
      <c r="U227" s="3"/>
      <c r="V227" s="3"/>
      <c r="W227" s="3"/>
      <c r="X227" s="3"/>
      <c r="Y227" s="3"/>
      <c r="Z227" s="3"/>
    </row>
    <row r="228" spans="1:26" ht="15.75" customHeight="1">
      <c r="A228" s="3"/>
      <c r="B228" s="2"/>
      <c r="C228" s="2"/>
      <c r="D228" s="2"/>
      <c r="E228" s="2"/>
      <c r="F228" s="2"/>
      <c r="G228" s="2"/>
      <c r="H228" s="2"/>
      <c r="I228" s="2"/>
      <c r="J228" s="564"/>
      <c r="K228" s="564"/>
      <c r="L228" s="564"/>
      <c r="M228" s="564"/>
      <c r="N228" s="564"/>
      <c r="O228" s="3"/>
      <c r="P228" s="3"/>
      <c r="Q228" s="3"/>
      <c r="R228" s="3"/>
      <c r="S228" s="3"/>
      <c r="T228" s="3"/>
      <c r="U228" s="3"/>
      <c r="V228" s="3"/>
      <c r="W228" s="3"/>
      <c r="X228" s="3"/>
      <c r="Y228" s="3"/>
      <c r="Z228" s="3"/>
    </row>
    <row r="229" spans="1:26" ht="15.75" customHeight="1">
      <c r="A229" s="3"/>
      <c r="B229" s="2"/>
      <c r="C229" s="2"/>
      <c r="D229" s="2"/>
      <c r="E229" s="2"/>
      <c r="F229" s="2"/>
      <c r="G229" s="2"/>
      <c r="H229" s="2"/>
      <c r="I229" s="2"/>
      <c r="J229" s="564"/>
      <c r="K229" s="564"/>
      <c r="L229" s="564"/>
      <c r="M229" s="564"/>
      <c r="N229" s="564"/>
      <c r="O229" s="3"/>
      <c r="P229" s="3"/>
      <c r="Q229" s="3"/>
      <c r="R229" s="3"/>
      <c r="S229" s="3"/>
      <c r="T229" s="3"/>
      <c r="U229" s="3"/>
      <c r="V229" s="3"/>
      <c r="W229" s="3"/>
      <c r="X229" s="3"/>
      <c r="Y229" s="3"/>
      <c r="Z229" s="3"/>
    </row>
    <row r="230" spans="1:26" ht="15.75" customHeight="1">
      <c r="A230" s="3"/>
      <c r="B230" s="2"/>
      <c r="C230" s="2"/>
      <c r="D230" s="2"/>
      <c r="E230" s="2"/>
      <c r="F230" s="2"/>
      <c r="G230" s="2"/>
      <c r="H230" s="2"/>
      <c r="I230" s="2"/>
      <c r="J230" s="564"/>
      <c r="K230" s="564"/>
      <c r="L230" s="564"/>
      <c r="M230" s="564"/>
      <c r="N230" s="564"/>
      <c r="O230" s="3"/>
      <c r="P230" s="3"/>
      <c r="Q230" s="3"/>
      <c r="R230" s="3"/>
      <c r="S230" s="3"/>
      <c r="T230" s="3"/>
      <c r="U230" s="3"/>
      <c r="V230" s="3"/>
      <c r="W230" s="3"/>
      <c r="X230" s="3"/>
      <c r="Y230" s="3"/>
      <c r="Z230" s="3"/>
    </row>
    <row r="231" spans="1:26" ht="15.75" customHeight="1">
      <c r="A231" s="3"/>
      <c r="B231" s="2"/>
      <c r="C231" s="2"/>
      <c r="D231" s="2"/>
      <c r="E231" s="2"/>
      <c r="F231" s="2"/>
      <c r="G231" s="2"/>
      <c r="H231" s="2"/>
      <c r="I231" s="2"/>
      <c r="J231" s="564"/>
      <c r="K231" s="564"/>
      <c r="L231" s="564"/>
      <c r="M231" s="564"/>
      <c r="N231" s="564"/>
      <c r="O231" s="3"/>
      <c r="P231" s="3"/>
      <c r="Q231" s="3"/>
      <c r="R231" s="3"/>
      <c r="S231" s="3"/>
      <c r="T231" s="3"/>
      <c r="U231" s="3"/>
      <c r="V231" s="3"/>
      <c r="W231" s="3"/>
      <c r="X231" s="3"/>
      <c r="Y231" s="3"/>
      <c r="Z231" s="3"/>
    </row>
    <row r="232" spans="1:26" ht="15.75" customHeight="1">
      <c r="A232" s="3"/>
      <c r="B232" s="2"/>
      <c r="C232" s="2"/>
      <c r="D232" s="2"/>
      <c r="E232" s="2"/>
      <c r="F232" s="2"/>
      <c r="G232" s="2"/>
      <c r="H232" s="2"/>
      <c r="I232" s="2"/>
      <c r="J232" s="564"/>
      <c r="K232" s="564"/>
      <c r="L232" s="564"/>
      <c r="M232" s="564"/>
      <c r="N232" s="564"/>
      <c r="O232" s="3"/>
      <c r="P232" s="3"/>
      <c r="Q232" s="3"/>
      <c r="R232" s="3"/>
      <c r="S232" s="3"/>
      <c r="T232" s="3"/>
      <c r="U232" s="3"/>
      <c r="V232" s="3"/>
      <c r="W232" s="3"/>
      <c r="X232" s="3"/>
      <c r="Y232" s="3"/>
      <c r="Z232" s="3"/>
    </row>
    <row r="233" spans="1:26" ht="15.75" customHeight="1">
      <c r="A233" s="3"/>
      <c r="B233" s="2"/>
      <c r="C233" s="2"/>
      <c r="D233" s="2"/>
      <c r="E233" s="2"/>
      <c r="F233" s="2"/>
      <c r="G233" s="2"/>
      <c r="H233" s="2"/>
      <c r="I233" s="2"/>
      <c r="J233" s="564"/>
      <c r="K233" s="564"/>
      <c r="L233" s="564"/>
      <c r="M233" s="564"/>
      <c r="N233" s="564"/>
      <c r="O233" s="3"/>
      <c r="P233" s="3"/>
      <c r="Q233" s="3"/>
      <c r="R233" s="3"/>
      <c r="S233" s="3"/>
      <c r="T233" s="3"/>
      <c r="U233" s="3"/>
      <c r="V233" s="3"/>
      <c r="W233" s="3"/>
      <c r="X233" s="3"/>
      <c r="Y233" s="3"/>
      <c r="Z233" s="3"/>
    </row>
    <row r="234" spans="1:26" ht="15.75" customHeight="1">
      <c r="A234" s="3"/>
      <c r="B234" s="2"/>
      <c r="C234" s="2"/>
      <c r="D234" s="2"/>
      <c r="E234" s="2"/>
      <c r="F234" s="2"/>
      <c r="G234" s="2"/>
      <c r="H234" s="2"/>
      <c r="I234" s="2"/>
      <c r="J234" s="564"/>
      <c r="K234" s="564"/>
      <c r="L234" s="564"/>
      <c r="M234" s="564"/>
      <c r="N234" s="564"/>
      <c r="O234" s="3"/>
      <c r="P234" s="3"/>
      <c r="Q234" s="3"/>
      <c r="R234" s="3"/>
      <c r="S234" s="3"/>
      <c r="T234" s="3"/>
      <c r="U234" s="3"/>
      <c r="V234" s="3"/>
      <c r="W234" s="3"/>
      <c r="X234" s="3"/>
      <c r="Y234" s="3"/>
      <c r="Z234" s="3"/>
    </row>
    <row r="235" spans="1:26" ht="15.75" customHeight="1">
      <c r="A235" s="3"/>
      <c r="B235" s="2"/>
      <c r="C235" s="2"/>
      <c r="D235" s="2"/>
      <c r="E235" s="2"/>
      <c r="F235" s="2"/>
      <c r="G235" s="2"/>
      <c r="H235" s="2"/>
      <c r="I235" s="2"/>
      <c r="J235" s="564"/>
      <c r="K235" s="564"/>
      <c r="L235" s="564"/>
      <c r="M235" s="564"/>
      <c r="N235" s="564"/>
      <c r="O235" s="3"/>
      <c r="P235" s="3"/>
      <c r="Q235" s="3"/>
      <c r="R235" s="3"/>
      <c r="S235" s="3"/>
      <c r="T235" s="3"/>
      <c r="U235" s="3"/>
      <c r="V235" s="3"/>
      <c r="W235" s="3"/>
      <c r="X235" s="3"/>
      <c r="Y235" s="3"/>
      <c r="Z235" s="3"/>
    </row>
    <row r="236" spans="1:26" ht="15.75" customHeight="1">
      <c r="A236" s="3"/>
      <c r="B236" s="2"/>
      <c r="C236" s="2"/>
      <c r="D236" s="2"/>
      <c r="E236" s="2"/>
      <c r="F236" s="2"/>
      <c r="G236" s="2"/>
      <c r="H236" s="2"/>
      <c r="I236" s="2"/>
      <c r="J236" s="564"/>
      <c r="K236" s="564"/>
      <c r="L236" s="564"/>
      <c r="M236" s="564"/>
      <c r="N236" s="564"/>
      <c r="O236" s="3"/>
      <c r="P236" s="3"/>
      <c r="Q236" s="3"/>
      <c r="R236" s="3"/>
      <c r="S236" s="3"/>
      <c r="T236" s="3"/>
      <c r="U236" s="3"/>
      <c r="V236" s="3"/>
      <c r="W236" s="3"/>
      <c r="X236" s="3"/>
      <c r="Y236" s="3"/>
      <c r="Z236" s="3"/>
    </row>
    <row r="237" spans="1:26" ht="15.75" customHeight="1">
      <c r="A237" s="3"/>
      <c r="B237" s="2"/>
      <c r="C237" s="2"/>
      <c r="D237" s="2"/>
      <c r="E237" s="2"/>
      <c r="F237" s="2"/>
      <c r="G237" s="2"/>
      <c r="H237" s="2"/>
      <c r="I237" s="2"/>
      <c r="J237" s="564"/>
      <c r="K237" s="564"/>
      <c r="L237" s="564"/>
      <c r="M237" s="564"/>
      <c r="N237" s="564"/>
      <c r="O237" s="3"/>
      <c r="P237" s="3"/>
      <c r="Q237" s="3"/>
      <c r="R237" s="3"/>
      <c r="S237" s="3"/>
      <c r="T237" s="3"/>
      <c r="U237" s="3"/>
      <c r="V237" s="3"/>
      <c r="W237" s="3"/>
      <c r="X237" s="3"/>
      <c r="Y237" s="3"/>
      <c r="Z237" s="3"/>
    </row>
    <row r="238" spans="1:26" ht="15.75" customHeight="1">
      <c r="A238" s="3"/>
      <c r="B238" s="2"/>
      <c r="C238" s="2"/>
      <c r="D238" s="2"/>
      <c r="E238" s="2"/>
      <c r="F238" s="2"/>
      <c r="G238" s="2"/>
      <c r="H238" s="2"/>
      <c r="I238" s="2"/>
      <c r="J238" s="564"/>
      <c r="K238" s="564"/>
      <c r="L238" s="564"/>
      <c r="M238" s="564"/>
      <c r="N238" s="564"/>
      <c r="O238" s="3"/>
      <c r="P238" s="3"/>
      <c r="Q238" s="3"/>
      <c r="R238" s="3"/>
      <c r="S238" s="3"/>
      <c r="T238" s="3"/>
      <c r="U238" s="3"/>
      <c r="V238" s="3"/>
      <c r="W238" s="3"/>
      <c r="X238" s="3"/>
      <c r="Y238" s="3"/>
      <c r="Z238" s="3"/>
    </row>
    <row r="239" spans="1:26" ht="15.75" customHeight="1">
      <c r="A239" s="3"/>
      <c r="B239" s="2"/>
      <c r="C239" s="2"/>
      <c r="D239" s="2"/>
      <c r="E239" s="2"/>
      <c r="F239" s="2"/>
      <c r="G239" s="2"/>
      <c r="H239" s="2"/>
      <c r="I239" s="2"/>
      <c r="J239" s="564"/>
      <c r="K239" s="564"/>
      <c r="L239" s="564"/>
      <c r="M239" s="564"/>
      <c r="N239" s="564"/>
      <c r="O239" s="3"/>
      <c r="P239" s="3"/>
      <c r="Q239" s="3"/>
      <c r="R239" s="3"/>
      <c r="S239" s="3"/>
      <c r="T239" s="3"/>
      <c r="U239" s="3"/>
      <c r="V239" s="3"/>
      <c r="W239" s="3"/>
      <c r="X239" s="3"/>
      <c r="Y239" s="3"/>
      <c r="Z239" s="3"/>
    </row>
    <row r="240" spans="1:26" ht="15.75" customHeight="1">
      <c r="A240" s="3"/>
      <c r="B240" s="2"/>
      <c r="C240" s="2"/>
      <c r="D240" s="2"/>
      <c r="E240" s="2"/>
      <c r="F240" s="2"/>
      <c r="G240" s="2"/>
      <c r="H240" s="2"/>
      <c r="I240" s="2"/>
      <c r="J240" s="564"/>
      <c r="K240" s="564"/>
      <c r="L240" s="564"/>
      <c r="M240" s="564"/>
      <c r="N240" s="564"/>
      <c r="O240" s="3"/>
      <c r="P240" s="3"/>
      <c r="Q240" s="3"/>
      <c r="R240" s="3"/>
      <c r="S240" s="3"/>
      <c r="T240" s="3"/>
      <c r="U240" s="3"/>
      <c r="V240" s="3"/>
      <c r="W240" s="3"/>
      <c r="X240" s="3"/>
      <c r="Y240" s="3"/>
      <c r="Z240" s="3"/>
    </row>
    <row r="241" spans="1:26" ht="15.75" customHeight="1">
      <c r="A241" s="3"/>
      <c r="B241" s="2"/>
      <c r="C241" s="2"/>
      <c r="D241" s="2"/>
      <c r="E241" s="2"/>
      <c r="F241" s="2"/>
      <c r="G241" s="2"/>
      <c r="H241" s="2"/>
      <c r="I241" s="2"/>
      <c r="J241" s="564"/>
      <c r="K241" s="564"/>
      <c r="L241" s="564"/>
      <c r="M241" s="564"/>
      <c r="N241" s="564"/>
      <c r="O241" s="3"/>
      <c r="P241" s="3"/>
      <c r="Q241" s="3"/>
      <c r="R241" s="3"/>
      <c r="S241" s="3"/>
      <c r="T241" s="3"/>
      <c r="U241" s="3"/>
      <c r="V241" s="3"/>
      <c r="W241" s="3"/>
      <c r="X241" s="3"/>
      <c r="Y241" s="3"/>
      <c r="Z241" s="3"/>
    </row>
    <row r="242" spans="1:26" ht="15.75" customHeight="1">
      <c r="A242" s="3"/>
      <c r="B242" s="2"/>
      <c r="C242" s="2"/>
      <c r="D242" s="2"/>
      <c r="E242" s="2"/>
      <c r="F242" s="2"/>
      <c r="G242" s="2"/>
      <c r="H242" s="2"/>
      <c r="I242" s="2"/>
      <c r="J242" s="564"/>
      <c r="K242" s="564"/>
      <c r="L242" s="564"/>
      <c r="M242" s="564"/>
      <c r="N242" s="564"/>
      <c r="O242" s="3"/>
      <c r="P242" s="3"/>
      <c r="Q242" s="3"/>
      <c r="R242" s="3"/>
      <c r="S242" s="3"/>
      <c r="T242" s="3"/>
      <c r="U242" s="3"/>
      <c r="V242" s="3"/>
      <c r="W242" s="3"/>
      <c r="X242" s="3"/>
      <c r="Y242" s="3"/>
      <c r="Z242" s="3"/>
    </row>
    <row r="243" spans="1:26" ht="15.75" customHeight="1">
      <c r="A243" s="3"/>
      <c r="B243" s="2"/>
      <c r="C243" s="2"/>
      <c r="D243" s="2"/>
      <c r="E243" s="2"/>
      <c r="F243" s="2"/>
      <c r="G243" s="2"/>
      <c r="H243" s="2"/>
      <c r="I243" s="2"/>
      <c r="J243" s="564"/>
      <c r="K243" s="564"/>
      <c r="L243" s="564"/>
      <c r="M243" s="564"/>
      <c r="N243" s="564"/>
      <c r="O243" s="3"/>
      <c r="P243" s="3"/>
      <c r="Q243" s="3"/>
      <c r="R243" s="3"/>
      <c r="S243" s="3"/>
      <c r="T243" s="3"/>
      <c r="U243" s="3"/>
      <c r="V243" s="3"/>
      <c r="W243" s="3"/>
      <c r="X243" s="3"/>
      <c r="Y243" s="3"/>
      <c r="Z243" s="3"/>
    </row>
    <row r="244" spans="1:26" ht="15.75" customHeight="1">
      <c r="A244" s="3"/>
      <c r="B244" s="2"/>
      <c r="C244" s="2"/>
      <c r="D244" s="2"/>
      <c r="E244" s="2"/>
      <c r="F244" s="2"/>
      <c r="G244" s="2"/>
      <c r="H244" s="2"/>
      <c r="I244" s="2"/>
      <c r="J244" s="564"/>
      <c r="K244" s="564"/>
      <c r="L244" s="564"/>
      <c r="M244" s="564"/>
      <c r="N244" s="564"/>
      <c r="O244" s="3"/>
      <c r="P244" s="3"/>
      <c r="Q244" s="3"/>
      <c r="R244" s="3"/>
      <c r="S244" s="3"/>
      <c r="T244" s="3"/>
      <c r="U244" s="3"/>
      <c r="V244" s="3"/>
      <c r="W244" s="3"/>
      <c r="X244" s="3"/>
      <c r="Y244" s="3"/>
      <c r="Z244" s="3"/>
    </row>
    <row r="245" spans="1:26" ht="15.75" customHeight="1">
      <c r="A245" s="3"/>
      <c r="B245" s="2"/>
      <c r="C245" s="2"/>
      <c r="D245" s="2"/>
      <c r="E245" s="2"/>
      <c r="F245" s="2"/>
      <c r="G245" s="2"/>
      <c r="H245" s="2"/>
      <c r="I245" s="2"/>
      <c r="J245" s="564"/>
      <c r="K245" s="564"/>
      <c r="L245" s="564"/>
      <c r="M245" s="564"/>
      <c r="N245" s="564"/>
      <c r="O245" s="3"/>
      <c r="P245" s="3"/>
      <c r="Q245" s="3"/>
      <c r="R245" s="3"/>
      <c r="S245" s="3"/>
      <c r="T245" s="3"/>
      <c r="U245" s="3"/>
      <c r="V245" s="3"/>
      <c r="W245" s="3"/>
      <c r="X245" s="3"/>
      <c r="Y245" s="3"/>
      <c r="Z245" s="3"/>
    </row>
    <row r="246" spans="1:26" ht="15.75" customHeight="1">
      <c r="A246" s="3"/>
      <c r="B246" s="2"/>
      <c r="C246" s="2"/>
      <c r="D246" s="2"/>
      <c r="E246" s="2"/>
      <c r="F246" s="2"/>
      <c r="G246" s="2"/>
      <c r="H246" s="2"/>
      <c r="I246" s="2"/>
      <c r="J246" s="564"/>
      <c r="K246" s="564"/>
      <c r="L246" s="564"/>
      <c r="M246" s="564"/>
      <c r="N246" s="564"/>
      <c r="O246" s="3"/>
      <c r="P246" s="3"/>
      <c r="Q246" s="3"/>
      <c r="R246" s="3"/>
      <c r="S246" s="3"/>
      <c r="T246" s="3"/>
      <c r="U246" s="3"/>
      <c r="V246" s="3"/>
      <c r="W246" s="3"/>
      <c r="X246" s="3"/>
      <c r="Y246" s="3"/>
      <c r="Z246" s="3"/>
    </row>
    <row r="247" spans="1:26" ht="15.75" customHeight="1">
      <c r="A247" s="3"/>
      <c r="B247" s="2"/>
      <c r="C247" s="2"/>
      <c r="D247" s="2"/>
      <c r="E247" s="2"/>
      <c r="F247" s="2"/>
      <c r="G247" s="2"/>
      <c r="H247" s="2"/>
      <c r="I247" s="2"/>
      <c r="J247" s="564"/>
      <c r="K247" s="564"/>
      <c r="L247" s="564"/>
      <c r="M247" s="564"/>
      <c r="N247" s="564"/>
      <c r="O247" s="3"/>
      <c r="P247" s="3"/>
      <c r="Q247" s="3"/>
      <c r="R247" s="3"/>
      <c r="S247" s="3"/>
      <c r="T247" s="3"/>
      <c r="U247" s="3"/>
      <c r="V247" s="3"/>
      <c r="W247" s="3"/>
      <c r="X247" s="3"/>
      <c r="Y247" s="3"/>
      <c r="Z247" s="3"/>
    </row>
    <row r="248" spans="1:26" ht="15.75" customHeight="1">
      <c r="A248" s="3"/>
      <c r="B248" s="2"/>
      <c r="C248" s="2"/>
      <c r="D248" s="2"/>
      <c r="E248" s="2"/>
      <c r="F248" s="2"/>
      <c r="G248" s="2"/>
      <c r="H248" s="2"/>
      <c r="I248" s="2"/>
      <c r="J248" s="564"/>
      <c r="K248" s="564"/>
      <c r="L248" s="564"/>
      <c r="M248" s="564"/>
      <c r="N248" s="564"/>
      <c r="O248" s="3"/>
      <c r="P248" s="3"/>
      <c r="Q248" s="3"/>
      <c r="R248" s="3"/>
      <c r="S248" s="3"/>
      <c r="T248" s="3"/>
      <c r="U248" s="3"/>
      <c r="V248" s="3"/>
      <c r="W248" s="3"/>
      <c r="X248" s="3"/>
      <c r="Y248" s="3"/>
      <c r="Z248" s="3"/>
    </row>
    <row r="249" spans="1:26" ht="15.75" customHeight="1">
      <c r="A249" s="3"/>
      <c r="B249" s="2"/>
      <c r="C249" s="2"/>
      <c r="D249" s="2"/>
      <c r="E249" s="2"/>
      <c r="F249" s="2"/>
      <c r="G249" s="2"/>
      <c r="H249" s="2"/>
      <c r="I249" s="2"/>
      <c r="J249" s="564"/>
      <c r="K249" s="564"/>
      <c r="L249" s="564"/>
      <c r="M249" s="564"/>
      <c r="N249" s="564"/>
      <c r="O249" s="3"/>
      <c r="P249" s="3"/>
      <c r="Q249" s="3"/>
      <c r="R249" s="3"/>
      <c r="S249" s="3"/>
      <c r="T249" s="3"/>
      <c r="U249" s="3"/>
      <c r="V249" s="3"/>
      <c r="W249" s="3"/>
      <c r="X249" s="3"/>
      <c r="Y249" s="3"/>
      <c r="Z249" s="3"/>
    </row>
    <row r="250" spans="1:26" ht="15.75" customHeight="1">
      <c r="A250" s="3"/>
      <c r="B250" s="2"/>
      <c r="C250" s="2"/>
      <c r="D250" s="2"/>
      <c r="E250" s="2"/>
      <c r="F250" s="2"/>
      <c r="G250" s="2"/>
      <c r="H250" s="2"/>
      <c r="I250" s="2"/>
      <c r="J250" s="564"/>
      <c r="K250" s="564"/>
      <c r="L250" s="564"/>
      <c r="M250" s="564"/>
      <c r="N250" s="564"/>
      <c r="O250" s="3"/>
      <c r="P250" s="3"/>
      <c r="Q250" s="3"/>
      <c r="R250" s="3"/>
      <c r="S250" s="3"/>
      <c r="T250" s="3"/>
      <c r="U250" s="3"/>
      <c r="V250" s="3"/>
      <c r="W250" s="3"/>
      <c r="X250" s="3"/>
      <c r="Y250" s="3"/>
      <c r="Z250" s="3"/>
    </row>
    <row r="251" spans="1:26" ht="15.75" customHeight="1">
      <c r="A251" s="3"/>
      <c r="B251" s="2"/>
      <c r="C251" s="2"/>
      <c r="D251" s="2"/>
      <c r="E251" s="2"/>
      <c r="F251" s="2"/>
      <c r="G251" s="2"/>
      <c r="H251" s="2"/>
      <c r="I251" s="2"/>
      <c r="J251" s="564"/>
      <c r="K251" s="564"/>
      <c r="L251" s="564"/>
      <c r="M251" s="564"/>
      <c r="N251" s="564"/>
      <c r="O251" s="3"/>
      <c r="P251" s="3"/>
      <c r="Q251" s="3"/>
      <c r="R251" s="3"/>
      <c r="S251" s="3"/>
      <c r="T251" s="3"/>
      <c r="U251" s="3"/>
      <c r="V251" s="3"/>
      <c r="W251" s="3"/>
      <c r="X251" s="3"/>
      <c r="Y251" s="3"/>
      <c r="Z251" s="3"/>
    </row>
    <row r="252" spans="1:26" ht="15.75" customHeight="1">
      <c r="A252" s="3"/>
      <c r="B252" s="2"/>
      <c r="C252" s="2"/>
      <c r="D252" s="2"/>
      <c r="E252" s="2"/>
      <c r="F252" s="2"/>
      <c r="G252" s="2"/>
      <c r="H252" s="2"/>
      <c r="I252" s="2"/>
      <c r="J252" s="564"/>
      <c r="K252" s="564"/>
      <c r="L252" s="564"/>
      <c r="M252" s="564"/>
      <c r="N252" s="564"/>
      <c r="O252" s="3"/>
      <c r="P252" s="3"/>
      <c r="Q252" s="3"/>
      <c r="R252" s="3"/>
      <c r="S252" s="3"/>
      <c r="T252" s="3"/>
      <c r="U252" s="3"/>
      <c r="V252" s="3"/>
      <c r="W252" s="3"/>
      <c r="X252" s="3"/>
      <c r="Y252" s="3"/>
      <c r="Z252" s="3"/>
    </row>
    <row r="253" spans="1:26" ht="15.75" customHeight="1">
      <c r="A253" s="3"/>
      <c r="B253" s="2"/>
      <c r="C253" s="2"/>
      <c r="D253" s="2"/>
      <c r="E253" s="2"/>
      <c r="F253" s="2"/>
      <c r="G253" s="2"/>
      <c r="H253" s="2"/>
      <c r="I253" s="2"/>
      <c r="J253" s="564"/>
      <c r="K253" s="564"/>
      <c r="L253" s="564"/>
      <c r="M253" s="564"/>
      <c r="N253" s="564"/>
      <c r="O253" s="3"/>
      <c r="P253" s="3"/>
      <c r="Q253" s="3"/>
      <c r="R253" s="3"/>
      <c r="S253" s="3"/>
      <c r="T253" s="3"/>
      <c r="U253" s="3"/>
      <c r="V253" s="3"/>
      <c r="W253" s="3"/>
      <c r="X253" s="3"/>
      <c r="Y253" s="3"/>
      <c r="Z253" s="3"/>
    </row>
    <row r="254" spans="1:26" ht="15.75" customHeight="1">
      <c r="A254" s="3"/>
      <c r="B254" s="2"/>
      <c r="C254" s="2"/>
      <c r="D254" s="2"/>
      <c r="E254" s="2"/>
      <c r="F254" s="2"/>
      <c r="G254" s="2"/>
      <c r="H254" s="2"/>
      <c r="I254" s="2"/>
      <c r="J254" s="564"/>
      <c r="K254" s="564"/>
      <c r="L254" s="564"/>
      <c r="M254" s="564"/>
      <c r="N254" s="564"/>
      <c r="O254" s="3"/>
      <c r="P254" s="3"/>
      <c r="Q254" s="3"/>
      <c r="R254" s="3"/>
      <c r="S254" s="3"/>
      <c r="T254" s="3"/>
      <c r="U254" s="3"/>
      <c r="V254" s="3"/>
      <c r="W254" s="3"/>
      <c r="X254" s="3"/>
      <c r="Y254" s="3"/>
      <c r="Z254" s="3"/>
    </row>
    <row r="255" spans="1:26" ht="15.75" customHeight="1">
      <c r="A255" s="3"/>
      <c r="B255" s="2"/>
      <c r="C255" s="2"/>
      <c r="D255" s="2"/>
      <c r="E255" s="2"/>
      <c r="F255" s="2"/>
      <c r="G255" s="2"/>
      <c r="H255" s="2"/>
      <c r="I255" s="2"/>
      <c r="J255" s="564"/>
      <c r="K255" s="564"/>
      <c r="L255" s="564"/>
      <c r="M255" s="564"/>
      <c r="N255" s="564"/>
      <c r="O255" s="3"/>
      <c r="P255" s="3"/>
      <c r="Q255" s="3"/>
      <c r="R255" s="3"/>
      <c r="S255" s="3"/>
      <c r="T255" s="3"/>
      <c r="U255" s="3"/>
      <c r="V255" s="3"/>
      <c r="W255" s="3"/>
      <c r="X255" s="3"/>
      <c r="Y255" s="3"/>
      <c r="Z255" s="3"/>
    </row>
    <row r="256" spans="1:26" ht="15.75" customHeight="1">
      <c r="A256" s="3"/>
      <c r="B256" s="2"/>
      <c r="C256" s="2"/>
      <c r="D256" s="2"/>
      <c r="E256" s="2"/>
      <c r="F256" s="2"/>
      <c r="G256" s="2"/>
      <c r="H256" s="2"/>
      <c r="I256" s="2"/>
      <c r="J256" s="564"/>
      <c r="K256" s="564"/>
      <c r="L256" s="564"/>
      <c r="M256" s="564"/>
      <c r="N256" s="564"/>
      <c r="O256" s="3"/>
      <c r="P256" s="3"/>
      <c r="Q256" s="3"/>
      <c r="R256" s="3"/>
      <c r="S256" s="3"/>
      <c r="T256" s="3"/>
      <c r="U256" s="3"/>
      <c r="V256" s="3"/>
      <c r="W256" s="3"/>
      <c r="X256" s="3"/>
      <c r="Y256" s="3"/>
      <c r="Z256" s="3"/>
    </row>
    <row r="257" spans="1:26" ht="15.75" customHeight="1">
      <c r="A257" s="3"/>
      <c r="B257" s="2"/>
      <c r="C257" s="2"/>
      <c r="D257" s="2"/>
      <c r="E257" s="2"/>
      <c r="F257" s="2"/>
      <c r="G257" s="2"/>
      <c r="H257" s="2"/>
      <c r="I257" s="2"/>
      <c r="J257" s="564"/>
      <c r="K257" s="564"/>
      <c r="L257" s="564"/>
      <c r="M257" s="564"/>
      <c r="N257" s="564"/>
      <c r="O257" s="3"/>
      <c r="P257" s="3"/>
      <c r="Q257" s="3"/>
      <c r="R257" s="3"/>
      <c r="S257" s="3"/>
      <c r="T257" s="3"/>
      <c r="U257" s="3"/>
      <c r="V257" s="3"/>
      <c r="W257" s="3"/>
      <c r="X257" s="3"/>
      <c r="Y257" s="3"/>
      <c r="Z257" s="3"/>
    </row>
    <row r="258" spans="1:26" ht="15.75" customHeight="1">
      <c r="A258" s="3"/>
      <c r="B258" s="2"/>
      <c r="C258" s="2"/>
      <c r="D258" s="2"/>
      <c r="E258" s="2"/>
      <c r="F258" s="2"/>
      <c r="G258" s="2"/>
      <c r="H258" s="2"/>
      <c r="I258" s="2"/>
      <c r="J258" s="564"/>
      <c r="K258" s="564"/>
      <c r="L258" s="564"/>
      <c r="M258" s="564"/>
      <c r="N258" s="564"/>
      <c r="O258" s="3"/>
      <c r="P258" s="3"/>
      <c r="Q258" s="3"/>
      <c r="R258" s="3"/>
      <c r="S258" s="3"/>
      <c r="T258" s="3"/>
      <c r="U258" s="3"/>
      <c r="V258" s="3"/>
      <c r="W258" s="3"/>
      <c r="X258" s="3"/>
      <c r="Y258" s="3"/>
      <c r="Z258" s="3"/>
    </row>
    <row r="259" spans="1:26" ht="15.75" customHeight="1">
      <c r="A259" s="3"/>
      <c r="B259" s="2"/>
      <c r="C259" s="2"/>
      <c r="D259" s="2"/>
      <c r="E259" s="2"/>
      <c r="F259" s="2"/>
      <c r="G259" s="2"/>
      <c r="H259" s="2"/>
      <c r="I259" s="2"/>
      <c r="J259" s="564"/>
      <c r="K259" s="564"/>
      <c r="L259" s="564"/>
      <c r="M259" s="564"/>
      <c r="N259" s="564"/>
      <c r="O259" s="3"/>
      <c r="P259" s="3"/>
      <c r="Q259" s="3"/>
      <c r="R259" s="3"/>
      <c r="S259" s="3"/>
      <c r="T259" s="3"/>
      <c r="U259" s="3"/>
      <c r="V259" s="3"/>
      <c r="W259" s="3"/>
      <c r="X259" s="3"/>
      <c r="Y259" s="3"/>
      <c r="Z259" s="3"/>
    </row>
    <row r="260" spans="1:26" ht="15.75" customHeight="1">
      <c r="A260" s="3"/>
      <c r="B260" s="2"/>
      <c r="C260" s="2"/>
      <c r="D260" s="2"/>
      <c r="E260" s="2"/>
      <c r="F260" s="2"/>
      <c r="G260" s="2"/>
      <c r="H260" s="2"/>
      <c r="I260" s="2"/>
      <c r="J260" s="564"/>
      <c r="K260" s="564"/>
      <c r="L260" s="564"/>
      <c r="M260" s="564"/>
      <c r="N260" s="564"/>
      <c r="O260" s="3"/>
      <c r="P260" s="3"/>
      <c r="Q260" s="3"/>
      <c r="R260" s="3"/>
      <c r="S260" s="3"/>
      <c r="T260" s="3"/>
      <c r="U260" s="3"/>
      <c r="V260" s="3"/>
      <c r="W260" s="3"/>
      <c r="X260" s="3"/>
      <c r="Y260" s="3"/>
      <c r="Z260" s="3"/>
    </row>
    <row r="261" spans="1:26" ht="15.75" customHeight="1">
      <c r="A261" s="3"/>
      <c r="B261" s="2"/>
      <c r="C261" s="2"/>
      <c r="D261" s="2"/>
      <c r="E261" s="2"/>
      <c r="F261" s="2"/>
      <c r="G261" s="2"/>
      <c r="H261" s="2"/>
      <c r="I261" s="2"/>
      <c r="J261" s="564"/>
      <c r="K261" s="564"/>
      <c r="L261" s="564"/>
      <c r="M261" s="564"/>
      <c r="N261" s="564"/>
      <c r="O261" s="3"/>
      <c r="P261" s="3"/>
      <c r="Q261" s="3"/>
      <c r="R261" s="3"/>
      <c r="S261" s="3"/>
      <c r="T261" s="3"/>
      <c r="U261" s="3"/>
      <c r="V261" s="3"/>
      <c r="W261" s="3"/>
      <c r="X261" s="3"/>
      <c r="Y261" s="3"/>
      <c r="Z261" s="3"/>
    </row>
    <row r="262" spans="1:26" ht="15.75" customHeight="1">
      <c r="A262" s="3"/>
      <c r="B262" s="2"/>
      <c r="C262" s="2"/>
      <c r="D262" s="2"/>
      <c r="E262" s="2"/>
      <c r="F262" s="2"/>
      <c r="G262" s="2"/>
      <c r="H262" s="2"/>
      <c r="I262" s="2"/>
      <c r="J262" s="564"/>
      <c r="K262" s="564"/>
      <c r="L262" s="564"/>
      <c r="M262" s="564"/>
      <c r="N262" s="564"/>
      <c r="O262" s="3"/>
      <c r="P262" s="3"/>
      <c r="Q262" s="3"/>
      <c r="R262" s="3"/>
      <c r="S262" s="3"/>
      <c r="T262" s="3"/>
      <c r="U262" s="3"/>
      <c r="V262" s="3"/>
      <c r="W262" s="3"/>
      <c r="X262" s="3"/>
      <c r="Y262" s="3"/>
      <c r="Z262" s="3"/>
    </row>
    <row r="263" spans="1:26" ht="15.75" customHeight="1">
      <c r="A263" s="3"/>
      <c r="B263" s="2"/>
      <c r="C263" s="2"/>
      <c r="D263" s="2"/>
      <c r="E263" s="2"/>
      <c r="F263" s="2"/>
      <c r="G263" s="2"/>
      <c r="H263" s="2"/>
      <c r="I263" s="2"/>
      <c r="J263" s="564"/>
      <c r="K263" s="564"/>
      <c r="L263" s="564"/>
      <c r="M263" s="564"/>
      <c r="N263" s="564"/>
      <c r="O263" s="3"/>
      <c r="P263" s="3"/>
      <c r="Q263" s="3"/>
      <c r="R263" s="3"/>
      <c r="S263" s="3"/>
      <c r="T263" s="3"/>
      <c r="U263" s="3"/>
      <c r="V263" s="3"/>
      <c r="W263" s="3"/>
      <c r="X263" s="3"/>
      <c r="Y263" s="3"/>
      <c r="Z263" s="3"/>
    </row>
    <row r="264" spans="1:26" ht="15.75" customHeight="1">
      <c r="A264" s="3"/>
      <c r="B264" s="2"/>
      <c r="C264" s="2"/>
      <c r="D264" s="2"/>
      <c r="E264" s="2"/>
      <c r="F264" s="2"/>
      <c r="G264" s="2"/>
      <c r="H264" s="2"/>
      <c r="I264" s="2"/>
      <c r="J264" s="564"/>
      <c r="K264" s="564"/>
      <c r="L264" s="564"/>
      <c r="M264" s="564"/>
      <c r="N264" s="564"/>
      <c r="O264" s="3"/>
      <c r="P264" s="3"/>
      <c r="Q264" s="3"/>
      <c r="R264" s="3"/>
      <c r="S264" s="3"/>
      <c r="T264" s="3"/>
      <c r="U264" s="3"/>
      <c r="V264" s="3"/>
      <c r="W264" s="3"/>
      <c r="X264" s="3"/>
      <c r="Y264" s="3"/>
      <c r="Z264" s="3"/>
    </row>
    <row r="265" spans="1:26" ht="15.75" customHeight="1">
      <c r="A265" s="3"/>
      <c r="B265" s="2"/>
      <c r="C265" s="2"/>
      <c r="D265" s="2"/>
      <c r="E265" s="2"/>
      <c r="F265" s="2"/>
      <c r="G265" s="2"/>
      <c r="H265" s="2"/>
      <c r="I265" s="2"/>
      <c r="J265" s="564"/>
      <c r="K265" s="564"/>
      <c r="L265" s="564"/>
      <c r="M265" s="564"/>
      <c r="N265" s="564"/>
      <c r="O265" s="3"/>
      <c r="P265" s="3"/>
      <c r="Q265" s="3"/>
      <c r="R265" s="3"/>
      <c r="S265" s="3"/>
      <c r="T265" s="3"/>
      <c r="U265" s="3"/>
      <c r="V265" s="3"/>
      <c r="W265" s="3"/>
      <c r="X265" s="3"/>
      <c r="Y265" s="3"/>
      <c r="Z265" s="3"/>
    </row>
    <row r="266" spans="1:26" ht="15.75" customHeight="1">
      <c r="A266" s="3"/>
      <c r="B266" s="2"/>
      <c r="C266" s="2"/>
      <c r="D266" s="2"/>
      <c r="E266" s="2"/>
      <c r="F266" s="2"/>
      <c r="G266" s="2"/>
      <c r="H266" s="2"/>
      <c r="I266" s="2"/>
      <c r="J266" s="564"/>
      <c r="K266" s="564"/>
      <c r="L266" s="564"/>
      <c r="M266" s="564"/>
      <c r="N266" s="564"/>
      <c r="O266" s="3"/>
      <c r="P266" s="3"/>
      <c r="Q266" s="3"/>
      <c r="R266" s="3"/>
      <c r="S266" s="3"/>
      <c r="T266" s="3"/>
      <c r="U266" s="3"/>
      <c r="V266" s="3"/>
      <c r="W266" s="3"/>
      <c r="X266" s="3"/>
      <c r="Y266" s="3"/>
      <c r="Z266" s="3"/>
    </row>
    <row r="267" spans="1:26" ht="15.75" customHeight="1">
      <c r="A267" s="3"/>
      <c r="B267" s="2"/>
      <c r="C267" s="2"/>
      <c r="D267" s="2"/>
      <c r="E267" s="2"/>
      <c r="F267" s="2"/>
      <c r="G267" s="2"/>
      <c r="H267" s="2"/>
      <c r="I267" s="2"/>
      <c r="J267" s="564"/>
      <c r="K267" s="564"/>
      <c r="L267" s="564"/>
      <c r="M267" s="564"/>
      <c r="N267" s="564"/>
      <c r="O267" s="3"/>
      <c r="P267" s="3"/>
      <c r="Q267" s="3"/>
      <c r="R267" s="3"/>
      <c r="S267" s="3"/>
      <c r="T267" s="3"/>
      <c r="U267" s="3"/>
      <c r="V267" s="3"/>
      <c r="W267" s="3"/>
      <c r="X267" s="3"/>
      <c r="Y267" s="3"/>
      <c r="Z267" s="3"/>
    </row>
    <row r="268" spans="1:26" ht="15.75" customHeight="1">
      <c r="A268" s="3"/>
      <c r="B268" s="2"/>
      <c r="C268" s="2"/>
      <c r="D268" s="2"/>
      <c r="E268" s="2"/>
      <c r="F268" s="2"/>
      <c r="G268" s="2"/>
      <c r="H268" s="2"/>
      <c r="I268" s="2"/>
      <c r="J268" s="564"/>
      <c r="K268" s="564"/>
      <c r="L268" s="564"/>
      <c r="M268" s="564"/>
      <c r="N268" s="564"/>
      <c r="O268" s="3"/>
      <c r="P268" s="3"/>
      <c r="Q268" s="3"/>
      <c r="R268" s="3"/>
      <c r="S268" s="3"/>
      <c r="T268" s="3"/>
      <c r="U268" s="3"/>
      <c r="V268" s="3"/>
      <c r="W268" s="3"/>
      <c r="X268" s="3"/>
      <c r="Y268" s="3"/>
      <c r="Z268" s="3"/>
    </row>
    <row r="269" spans="1:26" ht="15.75" customHeight="1">
      <c r="A269" s="3"/>
      <c r="B269" s="2"/>
      <c r="C269" s="2"/>
      <c r="D269" s="2"/>
      <c r="E269" s="2"/>
      <c r="F269" s="2"/>
      <c r="G269" s="2"/>
      <c r="H269" s="2"/>
      <c r="I269" s="2"/>
      <c r="J269" s="564"/>
      <c r="K269" s="564"/>
      <c r="L269" s="564"/>
      <c r="M269" s="564"/>
      <c r="N269" s="564"/>
      <c r="O269" s="3"/>
      <c r="P269" s="3"/>
      <c r="Q269" s="3"/>
      <c r="R269" s="3"/>
      <c r="S269" s="3"/>
      <c r="T269" s="3"/>
      <c r="U269" s="3"/>
      <c r="V269" s="3"/>
      <c r="W269" s="3"/>
      <c r="X269" s="3"/>
      <c r="Y269" s="3"/>
      <c r="Z269" s="3"/>
    </row>
    <row r="270" spans="1:26" ht="15.75" customHeight="1">
      <c r="A270" s="3"/>
      <c r="B270" s="2"/>
      <c r="C270" s="2"/>
      <c r="D270" s="2"/>
      <c r="E270" s="2"/>
      <c r="F270" s="2"/>
      <c r="G270" s="2"/>
      <c r="H270" s="2"/>
      <c r="I270" s="2"/>
      <c r="J270" s="564"/>
      <c r="K270" s="564"/>
      <c r="L270" s="564"/>
      <c r="M270" s="564"/>
      <c r="N270" s="564"/>
      <c r="O270" s="3"/>
      <c r="P270" s="3"/>
      <c r="Q270" s="3"/>
      <c r="R270" s="3"/>
      <c r="S270" s="3"/>
      <c r="T270" s="3"/>
      <c r="U270" s="3"/>
      <c r="V270" s="3"/>
      <c r="W270" s="3"/>
      <c r="X270" s="3"/>
      <c r="Y270" s="3"/>
      <c r="Z270" s="3"/>
    </row>
    <row r="271" spans="1:26" ht="15.75" customHeight="1">
      <c r="A271" s="3"/>
      <c r="B271" s="2"/>
      <c r="C271" s="2"/>
      <c r="D271" s="2"/>
      <c r="E271" s="2"/>
      <c r="F271" s="2"/>
      <c r="G271" s="2"/>
      <c r="H271" s="2"/>
      <c r="I271" s="2"/>
      <c r="J271" s="564"/>
      <c r="K271" s="564"/>
      <c r="L271" s="564"/>
      <c r="M271" s="564"/>
      <c r="N271" s="564"/>
      <c r="O271" s="3"/>
      <c r="P271" s="3"/>
      <c r="Q271" s="3"/>
      <c r="R271" s="3"/>
      <c r="S271" s="3"/>
      <c r="T271" s="3"/>
      <c r="U271" s="3"/>
      <c r="V271" s="3"/>
      <c r="W271" s="3"/>
      <c r="X271" s="3"/>
      <c r="Y271" s="3"/>
      <c r="Z271" s="3"/>
    </row>
    <row r="272" spans="1:26" ht="15.75" customHeight="1">
      <c r="A272" s="3"/>
      <c r="B272" s="2"/>
      <c r="C272" s="2"/>
      <c r="D272" s="2"/>
      <c r="E272" s="2"/>
      <c r="F272" s="2"/>
      <c r="G272" s="2"/>
      <c r="H272" s="2"/>
      <c r="I272" s="2"/>
      <c r="J272" s="564"/>
      <c r="K272" s="564"/>
      <c r="L272" s="564"/>
      <c r="M272" s="564"/>
      <c r="N272" s="564"/>
      <c r="O272" s="3"/>
      <c r="P272" s="3"/>
      <c r="Q272" s="3"/>
      <c r="R272" s="3"/>
      <c r="S272" s="3"/>
      <c r="T272" s="3"/>
      <c r="U272" s="3"/>
      <c r="V272" s="3"/>
      <c r="W272" s="3"/>
      <c r="X272" s="3"/>
      <c r="Y272" s="3"/>
      <c r="Z272" s="3"/>
    </row>
    <row r="273" spans="1:26" ht="15.75" customHeight="1">
      <c r="A273" s="3"/>
      <c r="B273" s="2"/>
      <c r="C273" s="2"/>
      <c r="D273" s="2"/>
      <c r="E273" s="2"/>
      <c r="F273" s="2"/>
      <c r="G273" s="2"/>
      <c r="H273" s="2"/>
      <c r="I273" s="2"/>
      <c r="J273" s="564"/>
      <c r="K273" s="564"/>
      <c r="L273" s="564"/>
      <c r="M273" s="564"/>
      <c r="N273" s="564"/>
      <c r="O273" s="3"/>
      <c r="P273" s="3"/>
      <c r="Q273" s="3"/>
      <c r="R273" s="3"/>
      <c r="S273" s="3"/>
      <c r="T273" s="3"/>
      <c r="U273" s="3"/>
      <c r="V273" s="3"/>
      <c r="W273" s="3"/>
      <c r="X273" s="3"/>
      <c r="Y273" s="3"/>
      <c r="Z273" s="3"/>
    </row>
    <row r="274" spans="1:26" ht="15.75" customHeight="1">
      <c r="A274" s="3"/>
      <c r="B274" s="2"/>
      <c r="C274" s="2"/>
      <c r="D274" s="2"/>
      <c r="E274" s="2"/>
      <c r="F274" s="2"/>
      <c r="G274" s="2"/>
      <c r="H274" s="2"/>
      <c r="I274" s="2"/>
      <c r="J274" s="564"/>
      <c r="K274" s="564"/>
      <c r="L274" s="564"/>
      <c r="M274" s="564"/>
      <c r="N274" s="564"/>
      <c r="O274" s="3"/>
      <c r="P274" s="3"/>
      <c r="Q274" s="3"/>
      <c r="R274" s="3"/>
      <c r="S274" s="3"/>
      <c r="T274" s="3"/>
      <c r="U274" s="3"/>
      <c r="V274" s="3"/>
      <c r="W274" s="3"/>
      <c r="X274" s="3"/>
      <c r="Y274" s="3"/>
      <c r="Z274" s="3"/>
    </row>
    <row r="275" spans="1:26" ht="15.75" customHeight="1">
      <c r="A275" s="3"/>
      <c r="B275" s="2"/>
      <c r="C275" s="2"/>
      <c r="D275" s="2"/>
      <c r="E275" s="2"/>
      <c r="F275" s="2"/>
      <c r="G275" s="2"/>
      <c r="H275" s="2"/>
      <c r="I275" s="2"/>
      <c r="J275" s="564"/>
      <c r="K275" s="564"/>
      <c r="L275" s="564"/>
      <c r="M275" s="564"/>
      <c r="N275" s="564"/>
      <c r="O275" s="3"/>
      <c r="P275" s="3"/>
      <c r="Q275" s="3"/>
      <c r="R275" s="3"/>
      <c r="S275" s="3"/>
      <c r="T275" s="3"/>
      <c r="U275" s="3"/>
      <c r="V275" s="3"/>
      <c r="W275" s="3"/>
      <c r="X275" s="3"/>
      <c r="Y275" s="3"/>
      <c r="Z275" s="3"/>
    </row>
    <row r="276" spans="1:26" ht="15.75" customHeight="1">
      <c r="A276" s="3"/>
      <c r="B276" s="2"/>
      <c r="C276" s="2"/>
      <c r="D276" s="2"/>
      <c r="E276" s="2"/>
      <c r="F276" s="2"/>
      <c r="G276" s="2"/>
      <c r="H276" s="2"/>
      <c r="I276" s="2"/>
      <c r="J276" s="564"/>
      <c r="K276" s="564"/>
      <c r="L276" s="564"/>
      <c r="M276" s="564"/>
      <c r="N276" s="564"/>
      <c r="O276" s="3"/>
      <c r="P276" s="3"/>
      <c r="Q276" s="3"/>
      <c r="R276" s="3"/>
      <c r="S276" s="3"/>
      <c r="T276" s="3"/>
      <c r="U276" s="3"/>
      <c r="V276" s="3"/>
      <c r="W276" s="3"/>
      <c r="X276" s="3"/>
      <c r="Y276" s="3"/>
      <c r="Z276" s="3"/>
    </row>
    <row r="277" spans="1:26" ht="15.75" customHeight="1">
      <c r="A277" s="3"/>
      <c r="B277" s="2"/>
      <c r="C277" s="2"/>
      <c r="D277" s="2"/>
      <c r="E277" s="2"/>
      <c r="F277" s="2"/>
      <c r="G277" s="2"/>
      <c r="H277" s="2"/>
      <c r="I277" s="2"/>
      <c r="J277" s="564"/>
      <c r="K277" s="564"/>
      <c r="L277" s="564"/>
      <c r="M277" s="564"/>
      <c r="N277" s="564"/>
      <c r="O277" s="3"/>
      <c r="P277" s="3"/>
      <c r="Q277" s="3"/>
      <c r="R277" s="3"/>
      <c r="S277" s="3"/>
      <c r="T277" s="3"/>
      <c r="U277" s="3"/>
      <c r="V277" s="3"/>
      <c r="W277" s="3"/>
      <c r="X277" s="3"/>
      <c r="Y277" s="3"/>
      <c r="Z277" s="3"/>
    </row>
    <row r="278" spans="1:26" ht="15.75" customHeight="1">
      <c r="A278" s="3"/>
      <c r="B278" s="2"/>
      <c r="C278" s="2"/>
      <c r="D278" s="2"/>
      <c r="E278" s="2"/>
      <c r="F278" s="2"/>
      <c r="G278" s="2"/>
      <c r="H278" s="2"/>
      <c r="I278" s="2"/>
      <c r="J278" s="564"/>
      <c r="K278" s="564"/>
      <c r="L278" s="564"/>
      <c r="M278" s="564"/>
      <c r="N278" s="564"/>
      <c r="O278" s="3"/>
      <c r="P278" s="3"/>
      <c r="Q278" s="3"/>
      <c r="R278" s="3"/>
      <c r="S278" s="3"/>
      <c r="T278" s="3"/>
      <c r="U278" s="3"/>
      <c r="V278" s="3"/>
      <c r="W278" s="3"/>
      <c r="X278" s="3"/>
      <c r="Y278" s="3"/>
      <c r="Z278" s="3"/>
    </row>
    <row r="279" spans="1:26" ht="15.75" customHeight="1">
      <c r="A279" s="3"/>
      <c r="B279" s="2"/>
      <c r="C279" s="2"/>
      <c r="D279" s="2"/>
      <c r="E279" s="2"/>
      <c r="F279" s="2"/>
      <c r="G279" s="2"/>
      <c r="H279" s="2"/>
      <c r="I279" s="2"/>
      <c r="J279" s="564"/>
      <c r="K279" s="564"/>
      <c r="L279" s="564"/>
      <c r="M279" s="564"/>
      <c r="N279" s="564"/>
      <c r="O279" s="3"/>
      <c r="P279" s="3"/>
      <c r="Q279" s="3"/>
      <c r="R279" s="3"/>
      <c r="S279" s="3"/>
      <c r="T279" s="3"/>
      <c r="U279" s="3"/>
      <c r="V279" s="3"/>
      <c r="W279" s="3"/>
      <c r="X279" s="3"/>
      <c r="Y279" s="3"/>
      <c r="Z279" s="3"/>
    </row>
    <row r="280" spans="1:26" ht="15.75" customHeight="1">
      <c r="A280" s="3"/>
      <c r="B280" s="2"/>
      <c r="C280" s="2"/>
      <c r="D280" s="2"/>
      <c r="E280" s="2"/>
      <c r="F280" s="2"/>
      <c r="G280" s="2"/>
      <c r="H280" s="2"/>
      <c r="I280" s="2"/>
      <c r="J280" s="564"/>
      <c r="K280" s="564"/>
      <c r="L280" s="564"/>
      <c r="M280" s="564"/>
      <c r="N280" s="564"/>
      <c r="O280" s="3"/>
      <c r="P280" s="3"/>
      <c r="Q280" s="3"/>
      <c r="R280" s="3"/>
      <c r="S280" s="3"/>
      <c r="T280" s="3"/>
      <c r="U280" s="3"/>
      <c r="V280" s="3"/>
      <c r="W280" s="3"/>
      <c r="X280" s="3"/>
      <c r="Y280" s="3"/>
      <c r="Z280" s="3"/>
    </row>
    <row r="281" spans="1:26" ht="15.75" customHeight="1">
      <c r="A281" s="3"/>
      <c r="B281" s="2"/>
      <c r="C281" s="2"/>
      <c r="D281" s="2"/>
      <c r="E281" s="2"/>
      <c r="F281" s="2"/>
      <c r="G281" s="2"/>
      <c r="H281" s="2"/>
      <c r="I281" s="2"/>
      <c r="J281" s="564"/>
      <c r="K281" s="564"/>
      <c r="L281" s="564"/>
      <c r="M281" s="564"/>
      <c r="N281" s="564"/>
      <c r="O281" s="3"/>
      <c r="P281" s="3"/>
      <c r="Q281" s="3"/>
      <c r="R281" s="3"/>
      <c r="S281" s="3"/>
      <c r="T281" s="3"/>
      <c r="U281" s="3"/>
      <c r="V281" s="3"/>
      <c r="W281" s="3"/>
      <c r="X281" s="3"/>
      <c r="Y281" s="3"/>
      <c r="Z281" s="3"/>
    </row>
    <row r="282" spans="1:26" ht="15.75" customHeight="1">
      <c r="A282" s="3"/>
      <c r="B282" s="2"/>
      <c r="C282" s="2"/>
      <c r="D282" s="2"/>
      <c r="E282" s="2"/>
      <c r="F282" s="2"/>
      <c r="G282" s="2"/>
      <c r="H282" s="2"/>
      <c r="I282" s="2"/>
      <c r="J282" s="564"/>
      <c r="K282" s="564"/>
      <c r="L282" s="564"/>
      <c r="M282" s="564"/>
      <c r="N282" s="564"/>
      <c r="O282" s="3"/>
      <c r="P282" s="3"/>
      <c r="Q282" s="3"/>
      <c r="R282" s="3"/>
      <c r="S282" s="3"/>
      <c r="T282" s="3"/>
      <c r="U282" s="3"/>
      <c r="V282" s="3"/>
      <c r="W282" s="3"/>
      <c r="X282" s="3"/>
      <c r="Y282" s="3"/>
      <c r="Z282" s="3"/>
    </row>
    <row r="283" spans="1:26" ht="15.75" customHeight="1">
      <c r="A283" s="3"/>
      <c r="B283" s="2"/>
      <c r="C283" s="2"/>
      <c r="D283" s="2"/>
      <c r="E283" s="2"/>
      <c r="F283" s="2"/>
      <c r="G283" s="2"/>
      <c r="H283" s="2"/>
      <c r="I283" s="2"/>
      <c r="J283" s="564"/>
      <c r="K283" s="564"/>
      <c r="L283" s="564"/>
      <c r="M283" s="564"/>
      <c r="N283" s="564"/>
      <c r="O283" s="3"/>
      <c r="P283" s="3"/>
      <c r="Q283" s="3"/>
      <c r="R283" s="3"/>
      <c r="S283" s="3"/>
      <c r="T283" s="3"/>
      <c r="U283" s="3"/>
      <c r="V283" s="3"/>
      <c r="W283" s="3"/>
      <c r="X283" s="3"/>
      <c r="Y283" s="3"/>
      <c r="Z283" s="3"/>
    </row>
    <row r="284" spans="1:26" ht="15.75" customHeight="1">
      <c r="A284" s="3"/>
      <c r="B284" s="2"/>
      <c r="C284" s="2"/>
      <c r="D284" s="2"/>
      <c r="E284" s="2"/>
      <c r="F284" s="2"/>
      <c r="G284" s="2"/>
      <c r="H284" s="2"/>
      <c r="I284" s="2"/>
      <c r="J284" s="564"/>
      <c r="K284" s="564"/>
      <c r="L284" s="564"/>
      <c r="M284" s="564"/>
      <c r="N284" s="564"/>
      <c r="O284" s="3"/>
      <c r="P284" s="3"/>
      <c r="Q284" s="3"/>
      <c r="R284" s="3"/>
      <c r="S284" s="3"/>
      <c r="T284" s="3"/>
      <c r="U284" s="3"/>
      <c r="V284" s="3"/>
      <c r="W284" s="3"/>
      <c r="X284" s="3"/>
      <c r="Y284" s="3"/>
      <c r="Z284" s="3"/>
    </row>
    <row r="285" spans="1:26" ht="15.75" customHeight="1">
      <c r="A285" s="3"/>
      <c r="B285" s="2"/>
      <c r="C285" s="2"/>
      <c r="D285" s="2"/>
      <c r="E285" s="2"/>
      <c r="F285" s="2"/>
      <c r="G285" s="2"/>
      <c r="H285" s="2"/>
      <c r="I285" s="2"/>
      <c r="J285" s="564"/>
      <c r="K285" s="564"/>
      <c r="L285" s="564"/>
      <c r="M285" s="564"/>
      <c r="N285" s="564"/>
      <c r="O285" s="3"/>
      <c r="P285" s="3"/>
      <c r="Q285" s="3"/>
      <c r="R285" s="3"/>
      <c r="S285" s="3"/>
      <c r="T285" s="3"/>
      <c r="U285" s="3"/>
      <c r="V285" s="3"/>
      <c r="W285" s="3"/>
      <c r="X285" s="3"/>
      <c r="Y285" s="3"/>
      <c r="Z285" s="3"/>
    </row>
    <row r="286" spans="1:26" ht="15.75" customHeight="1">
      <c r="A286" s="3"/>
      <c r="B286" s="2"/>
      <c r="C286" s="2"/>
      <c r="D286" s="2"/>
      <c r="E286" s="2"/>
      <c r="F286" s="2"/>
      <c r="G286" s="2"/>
      <c r="H286" s="2"/>
      <c r="I286" s="2"/>
      <c r="J286" s="564"/>
      <c r="K286" s="564"/>
      <c r="L286" s="564"/>
      <c r="M286" s="564"/>
      <c r="N286" s="564"/>
      <c r="O286" s="3"/>
      <c r="P286" s="3"/>
      <c r="Q286" s="3"/>
      <c r="R286" s="3"/>
      <c r="S286" s="3"/>
      <c r="T286" s="3"/>
      <c r="U286" s="3"/>
      <c r="V286" s="3"/>
      <c r="W286" s="3"/>
      <c r="X286" s="3"/>
      <c r="Y286" s="3"/>
      <c r="Z286" s="3"/>
    </row>
    <row r="287" spans="1:26" ht="15.75" customHeight="1">
      <c r="A287" s="3"/>
      <c r="B287" s="2"/>
      <c r="C287" s="2"/>
      <c r="D287" s="2"/>
      <c r="E287" s="2"/>
      <c r="F287" s="2"/>
      <c r="G287" s="2"/>
      <c r="H287" s="2"/>
      <c r="I287" s="2"/>
      <c r="J287" s="564"/>
      <c r="K287" s="564"/>
      <c r="L287" s="564"/>
      <c r="M287" s="564"/>
      <c r="N287" s="564"/>
      <c r="O287" s="3"/>
      <c r="P287" s="3"/>
      <c r="Q287" s="3"/>
      <c r="R287" s="3"/>
      <c r="S287" s="3"/>
      <c r="T287" s="3"/>
      <c r="U287" s="3"/>
      <c r="V287" s="3"/>
      <c r="W287" s="3"/>
      <c r="X287" s="3"/>
      <c r="Y287" s="3"/>
      <c r="Z287" s="3"/>
    </row>
    <row r="288" spans="1:26" ht="15.75" customHeight="1">
      <c r="A288" s="3"/>
      <c r="B288" s="2"/>
      <c r="C288" s="2"/>
      <c r="D288" s="2"/>
      <c r="E288" s="2"/>
      <c r="F288" s="2"/>
      <c r="G288" s="2"/>
      <c r="H288" s="2"/>
      <c r="I288" s="2"/>
      <c r="J288" s="564"/>
      <c r="K288" s="564"/>
      <c r="L288" s="564"/>
      <c r="M288" s="564"/>
      <c r="N288" s="564"/>
      <c r="O288" s="3"/>
      <c r="P288" s="3"/>
      <c r="Q288" s="3"/>
      <c r="R288" s="3"/>
      <c r="S288" s="3"/>
      <c r="T288" s="3"/>
      <c r="U288" s="3"/>
      <c r="V288" s="3"/>
      <c r="W288" s="3"/>
      <c r="X288" s="3"/>
      <c r="Y288" s="3"/>
      <c r="Z288" s="3"/>
    </row>
    <row r="289" spans="1:26" ht="15.75" customHeight="1">
      <c r="A289" s="3"/>
      <c r="B289" s="2"/>
      <c r="C289" s="2"/>
      <c r="D289" s="2"/>
      <c r="E289" s="2"/>
      <c r="F289" s="2"/>
      <c r="G289" s="2"/>
      <c r="H289" s="2"/>
      <c r="I289" s="2"/>
      <c r="J289" s="564"/>
      <c r="K289" s="564"/>
      <c r="L289" s="564"/>
      <c r="M289" s="564"/>
      <c r="N289" s="564"/>
      <c r="O289" s="3"/>
      <c r="P289" s="3"/>
      <c r="Q289" s="3"/>
      <c r="R289" s="3"/>
      <c r="S289" s="3"/>
      <c r="T289" s="3"/>
      <c r="U289" s="3"/>
      <c r="V289" s="3"/>
      <c r="W289" s="3"/>
      <c r="X289" s="3"/>
      <c r="Y289" s="3"/>
      <c r="Z289" s="3"/>
    </row>
    <row r="290" spans="1:26" ht="15.75" customHeight="1">
      <c r="A290" s="3"/>
      <c r="B290" s="2"/>
      <c r="C290" s="2"/>
      <c r="D290" s="2"/>
      <c r="E290" s="2"/>
      <c r="F290" s="2"/>
      <c r="G290" s="2"/>
      <c r="H290" s="2"/>
      <c r="I290" s="2"/>
      <c r="J290" s="564"/>
      <c r="K290" s="564"/>
      <c r="L290" s="564"/>
      <c r="M290" s="564"/>
      <c r="N290" s="564"/>
      <c r="O290" s="3"/>
      <c r="P290" s="3"/>
      <c r="Q290" s="3"/>
      <c r="R290" s="3"/>
      <c r="S290" s="3"/>
      <c r="T290" s="3"/>
      <c r="U290" s="3"/>
      <c r="V290" s="3"/>
      <c r="W290" s="3"/>
      <c r="X290" s="3"/>
      <c r="Y290" s="3"/>
      <c r="Z290" s="3"/>
    </row>
    <row r="291" spans="1:26" ht="15.75" customHeight="1">
      <c r="A291" s="3"/>
      <c r="B291" s="2"/>
      <c r="C291" s="2"/>
      <c r="D291" s="2"/>
      <c r="E291" s="2"/>
      <c r="F291" s="2"/>
      <c r="G291" s="2"/>
      <c r="H291" s="2"/>
      <c r="I291" s="2"/>
      <c r="J291" s="564"/>
      <c r="K291" s="564"/>
      <c r="L291" s="564"/>
      <c r="M291" s="564"/>
      <c r="N291" s="564"/>
      <c r="O291" s="3"/>
      <c r="P291" s="3"/>
      <c r="Q291" s="3"/>
      <c r="R291" s="3"/>
      <c r="S291" s="3"/>
      <c r="T291" s="3"/>
      <c r="U291" s="3"/>
      <c r="V291" s="3"/>
      <c r="W291" s="3"/>
      <c r="X291" s="3"/>
      <c r="Y291" s="3"/>
      <c r="Z291" s="3"/>
    </row>
    <row r="292" spans="1:26" ht="15.75" customHeight="1">
      <c r="A292" s="3"/>
      <c r="B292" s="2"/>
      <c r="C292" s="2"/>
      <c r="D292" s="2"/>
      <c r="E292" s="2"/>
      <c r="F292" s="2"/>
      <c r="G292" s="2"/>
      <c r="H292" s="2"/>
      <c r="I292" s="2"/>
      <c r="J292" s="564"/>
      <c r="K292" s="564"/>
      <c r="L292" s="564"/>
      <c r="M292" s="564"/>
      <c r="N292" s="564"/>
      <c r="O292" s="3"/>
      <c r="P292" s="3"/>
      <c r="Q292" s="3"/>
      <c r="R292" s="3"/>
      <c r="S292" s="3"/>
      <c r="T292" s="3"/>
      <c r="U292" s="3"/>
      <c r="V292" s="3"/>
      <c r="W292" s="3"/>
      <c r="X292" s="3"/>
      <c r="Y292" s="3"/>
      <c r="Z292" s="3"/>
    </row>
    <row r="293" spans="1:26" ht="15.75" customHeight="1">
      <c r="A293" s="3"/>
      <c r="B293" s="2"/>
      <c r="C293" s="2"/>
      <c r="D293" s="2"/>
      <c r="E293" s="2"/>
      <c r="F293" s="2"/>
      <c r="G293" s="2"/>
      <c r="H293" s="2"/>
      <c r="I293" s="2"/>
      <c r="J293" s="564"/>
      <c r="K293" s="564"/>
      <c r="L293" s="564"/>
      <c r="M293" s="564"/>
      <c r="N293" s="564"/>
      <c r="O293" s="3"/>
      <c r="P293" s="3"/>
      <c r="Q293" s="3"/>
      <c r="R293" s="3"/>
      <c r="S293" s="3"/>
      <c r="T293" s="3"/>
      <c r="U293" s="3"/>
      <c r="V293" s="3"/>
      <c r="W293" s="3"/>
      <c r="X293" s="3"/>
      <c r="Y293" s="3"/>
      <c r="Z293" s="3"/>
    </row>
    <row r="294" spans="1:26" ht="15.75" customHeight="1">
      <c r="A294" s="3"/>
      <c r="B294" s="2"/>
      <c r="C294" s="2"/>
      <c r="D294" s="2"/>
      <c r="E294" s="2"/>
      <c r="F294" s="2"/>
      <c r="G294" s="2"/>
      <c r="H294" s="2"/>
      <c r="I294" s="2"/>
      <c r="J294" s="564"/>
      <c r="K294" s="564"/>
      <c r="L294" s="564"/>
      <c r="M294" s="564"/>
      <c r="N294" s="564"/>
      <c r="O294" s="3"/>
      <c r="P294" s="3"/>
      <c r="Q294" s="3"/>
      <c r="R294" s="3"/>
      <c r="S294" s="3"/>
      <c r="T294" s="3"/>
      <c r="U294" s="3"/>
      <c r="V294" s="3"/>
      <c r="W294" s="3"/>
      <c r="X294" s="3"/>
      <c r="Y294" s="3"/>
      <c r="Z294" s="3"/>
    </row>
    <row r="295" spans="1:26" ht="15.75" customHeight="1">
      <c r="A295" s="3"/>
      <c r="B295" s="2"/>
      <c r="C295" s="2"/>
      <c r="D295" s="2"/>
      <c r="E295" s="2"/>
      <c r="F295" s="2"/>
      <c r="G295" s="2"/>
      <c r="H295" s="2"/>
      <c r="I295" s="2"/>
      <c r="J295" s="564"/>
      <c r="K295" s="564"/>
      <c r="L295" s="564"/>
      <c r="M295" s="564"/>
      <c r="N295" s="564"/>
      <c r="O295" s="3"/>
      <c r="P295" s="3"/>
      <c r="Q295" s="3"/>
      <c r="R295" s="3"/>
      <c r="S295" s="3"/>
      <c r="T295" s="3"/>
      <c r="U295" s="3"/>
      <c r="V295" s="3"/>
      <c r="W295" s="3"/>
      <c r="X295" s="3"/>
      <c r="Y295" s="3"/>
      <c r="Z295" s="3"/>
    </row>
    <row r="296" spans="1:26" ht="15.75" customHeight="1">
      <c r="A296" s="3"/>
      <c r="B296" s="2"/>
      <c r="C296" s="2"/>
      <c r="D296" s="2"/>
      <c r="E296" s="2"/>
      <c r="F296" s="2"/>
      <c r="G296" s="2"/>
      <c r="H296" s="2"/>
      <c r="I296" s="2"/>
      <c r="J296" s="564"/>
      <c r="K296" s="564"/>
      <c r="L296" s="564"/>
      <c r="M296" s="564"/>
      <c r="N296" s="564"/>
      <c r="O296" s="3"/>
      <c r="P296" s="3"/>
      <c r="Q296" s="3"/>
      <c r="R296" s="3"/>
      <c r="S296" s="3"/>
      <c r="T296" s="3"/>
      <c r="U296" s="3"/>
      <c r="V296" s="3"/>
      <c r="W296" s="3"/>
      <c r="X296" s="3"/>
      <c r="Y296" s="3"/>
      <c r="Z296" s="3"/>
    </row>
    <row r="297" spans="1:26" ht="15.75" customHeight="1">
      <c r="A297" s="3"/>
      <c r="B297" s="2"/>
      <c r="C297" s="2"/>
      <c r="D297" s="2"/>
      <c r="E297" s="2"/>
      <c r="F297" s="2"/>
      <c r="G297" s="2"/>
      <c r="H297" s="2"/>
      <c r="I297" s="2"/>
      <c r="J297" s="564"/>
      <c r="K297" s="564"/>
      <c r="L297" s="564"/>
      <c r="M297" s="564"/>
      <c r="N297" s="564"/>
      <c r="O297" s="3"/>
      <c r="P297" s="3"/>
      <c r="Q297" s="3"/>
      <c r="R297" s="3"/>
      <c r="S297" s="3"/>
      <c r="T297" s="3"/>
      <c r="U297" s="3"/>
      <c r="V297" s="3"/>
      <c r="W297" s="3"/>
      <c r="X297" s="3"/>
      <c r="Y297" s="3"/>
      <c r="Z297" s="3"/>
    </row>
    <row r="298" spans="1:26" ht="15.75" customHeight="1">
      <c r="A298" s="3"/>
      <c r="B298" s="2"/>
      <c r="C298" s="2"/>
      <c r="D298" s="2"/>
      <c r="E298" s="2"/>
      <c r="F298" s="2"/>
      <c r="G298" s="2"/>
      <c r="H298" s="2"/>
      <c r="I298" s="2"/>
      <c r="J298" s="564"/>
      <c r="K298" s="564"/>
      <c r="L298" s="564"/>
      <c r="M298" s="564"/>
      <c r="N298" s="564"/>
      <c r="O298" s="3"/>
      <c r="P298" s="3"/>
      <c r="Q298" s="3"/>
      <c r="R298" s="3"/>
      <c r="S298" s="3"/>
      <c r="T298" s="3"/>
      <c r="U298" s="3"/>
      <c r="V298" s="3"/>
      <c r="W298" s="3"/>
      <c r="X298" s="3"/>
      <c r="Y298" s="3"/>
      <c r="Z298" s="3"/>
    </row>
    <row r="299" spans="1:26" ht="15.75" customHeight="1">
      <c r="A299" s="3"/>
      <c r="B299" s="2"/>
      <c r="C299" s="2"/>
      <c r="D299" s="2"/>
      <c r="E299" s="2"/>
      <c r="F299" s="2"/>
      <c r="G299" s="2"/>
      <c r="H299" s="2"/>
      <c r="I299" s="2"/>
      <c r="J299" s="564"/>
      <c r="K299" s="564"/>
      <c r="L299" s="564"/>
      <c r="M299" s="564"/>
      <c r="N299" s="564"/>
      <c r="O299" s="3"/>
      <c r="P299" s="3"/>
      <c r="Q299" s="3"/>
      <c r="R299" s="3"/>
      <c r="S299" s="3"/>
      <c r="T299" s="3"/>
      <c r="U299" s="3"/>
      <c r="V299" s="3"/>
      <c r="W299" s="3"/>
      <c r="X299" s="3"/>
      <c r="Y299" s="3"/>
      <c r="Z299" s="3"/>
    </row>
    <row r="300" spans="1:26" ht="15.75" customHeight="1">
      <c r="A300" s="3"/>
      <c r="B300" s="2"/>
      <c r="C300" s="2"/>
      <c r="D300" s="2"/>
      <c r="E300" s="2"/>
      <c r="F300" s="2"/>
      <c r="G300" s="2"/>
      <c r="H300" s="2"/>
      <c r="I300" s="2"/>
      <c r="J300" s="564"/>
      <c r="K300" s="564"/>
      <c r="L300" s="564"/>
      <c r="M300" s="564"/>
      <c r="N300" s="564"/>
      <c r="O300" s="3"/>
      <c r="P300" s="3"/>
      <c r="Q300" s="3"/>
      <c r="R300" s="3"/>
      <c r="S300" s="3"/>
      <c r="T300" s="3"/>
      <c r="U300" s="3"/>
      <c r="V300" s="3"/>
      <c r="W300" s="3"/>
      <c r="X300" s="3"/>
      <c r="Y300" s="3"/>
      <c r="Z300" s="3"/>
    </row>
    <row r="301" spans="1:26" ht="15.75" customHeight="1">
      <c r="A301" s="3"/>
      <c r="B301" s="2"/>
      <c r="C301" s="2"/>
      <c r="D301" s="2"/>
      <c r="E301" s="2"/>
      <c r="F301" s="2"/>
      <c r="G301" s="2"/>
      <c r="H301" s="2"/>
      <c r="I301" s="2"/>
      <c r="J301" s="564"/>
      <c r="K301" s="564"/>
      <c r="L301" s="564"/>
      <c r="M301" s="564"/>
      <c r="N301" s="564"/>
      <c r="O301" s="3"/>
      <c r="P301" s="3"/>
      <c r="Q301" s="3"/>
      <c r="R301" s="3"/>
      <c r="S301" s="3"/>
      <c r="T301" s="3"/>
      <c r="U301" s="3"/>
      <c r="V301" s="3"/>
      <c r="W301" s="3"/>
      <c r="X301" s="3"/>
      <c r="Y301" s="3"/>
      <c r="Z301" s="3"/>
    </row>
    <row r="302" spans="1:26" ht="15.75" customHeight="1">
      <c r="A302" s="3"/>
      <c r="B302" s="2"/>
      <c r="C302" s="2"/>
      <c r="D302" s="2"/>
      <c r="E302" s="2"/>
      <c r="F302" s="2"/>
      <c r="G302" s="2"/>
      <c r="H302" s="2"/>
      <c r="I302" s="2"/>
      <c r="J302" s="564"/>
      <c r="K302" s="564"/>
      <c r="L302" s="564"/>
      <c r="M302" s="564"/>
      <c r="N302" s="564"/>
      <c r="O302" s="3"/>
      <c r="P302" s="3"/>
      <c r="Q302" s="3"/>
      <c r="R302" s="3"/>
      <c r="S302" s="3"/>
      <c r="T302" s="3"/>
      <c r="U302" s="3"/>
      <c r="V302" s="3"/>
      <c r="W302" s="3"/>
      <c r="X302" s="3"/>
      <c r="Y302" s="3"/>
      <c r="Z302" s="3"/>
    </row>
    <row r="303" spans="1:26" ht="15.75" customHeight="1">
      <c r="A303" s="3"/>
      <c r="B303" s="2"/>
      <c r="C303" s="2"/>
      <c r="D303" s="2"/>
      <c r="E303" s="2"/>
      <c r="F303" s="2"/>
      <c r="G303" s="2"/>
      <c r="H303" s="2"/>
      <c r="I303" s="2"/>
      <c r="J303" s="564"/>
      <c r="K303" s="564"/>
      <c r="L303" s="564"/>
      <c r="M303" s="564"/>
      <c r="N303" s="564"/>
      <c r="O303" s="3"/>
      <c r="P303" s="3"/>
      <c r="Q303" s="3"/>
      <c r="R303" s="3"/>
      <c r="S303" s="3"/>
      <c r="T303" s="3"/>
      <c r="U303" s="3"/>
      <c r="V303" s="3"/>
      <c r="W303" s="3"/>
      <c r="X303" s="3"/>
      <c r="Y303" s="3"/>
      <c r="Z303" s="3"/>
    </row>
    <row r="304" spans="1:26" ht="15.75" customHeight="1">
      <c r="A304" s="3"/>
      <c r="B304" s="2"/>
      <c r="C304" s="2"/>
      <c r="D304" s="2"/>
      <c r="E304" s="2"/>
      <c r="F304" s="2"/>
      <c r="G304" s="2"/>
      <c r="H304" s="2"/>
      <c r="I304" s="2"/>
      <c r="J304" s="564"/>
      <c r="K304" s="564"/>
      <c r="L304" s="564"/>
      <c r="M304" s="564"/>
      <c r="N304" s="564"/>
      <c r="O304" s="3"/>
      <c r="P304" s="3"/>
      <c r="Q304" s="3"/>
      <c r="R304" s="3"/>
      <c r="S304" s="3"/>
      <c r="T304" s="3"/>
      <c r="U304" s="3"/>
      <c r="V304" s="3"/>
      <c r="W304" s="3"/>
      <c r="X304" s="3"/>
      <c r="Y304" s="3"/>
      <c r="Z304" s="3"/>
    </row>
    <row r="305" spans="1:26" ht="15.75" customHeight="1">
      <c r="A305" s="3"/>
      <c r="B305" s="2"/>
      <c r="C305" s="2"/>
      <c r="D305" s="2"/>
      <c r="E305" s="2"/>
      <c r="F305" s="2"/>
      <c r="G305" s="2"/>
      <c r="H305" s="2"/>
      <c r="I305" s="2"/>
      <c r="J305" s="564"/>
      <c r="K305" s="564"/>
      <c r="L305" s="564"/>
      <c r="M305" s="564"/>
      <c r="N305" s="564"/>
      <c r="O305" s="3"/>
      <c r="P305" s="3"/>
      <c r="Q305" s="3"/>
      <c r="R305" s="3"/>
      <c r="S305" s="3"/>
      <c r="T305" s="3"/>
      <c r="U305" s="3"/>
      <c r="V305" s="3"/>
      <c r="W305" s="3"/>
      <c r="X305" s="3"/>
      <c r="Y305" s="3"/>
      <c r="Z305" s="3"/>
    </row>
    <row r="306" spans="1:26" ht="15.75" customHeight="1">
      <c r="A306" s="3"/>
      <c r="B306" s="2"/>
      <c r="C306" s="2"/>
      <c r="D306" s="2"/>
      <c r="E306" s="2"/>
      <c r="F306" s="2"/>
      <c r="G306" s="2"/>
      <c r="H306" s="2"/>
      <c r="I306" s="2"/>
      <c r="J306" s="564"/>
      <c r="K306" s="564"/>
      <c r="L306" s="564"/>
      <c r="M306" s="564"/>
      <c r="N306" s="564"/>
      <c r="O306" s="3"/>
      <c r="P306" s="3"/>
      <c r="Q306" s="3"/>
      <c r="R306" s="3"/>
      <c r="S306" s="3"/>
      <c r="T306" s="3"/>
      <c r="U306" s="3"/>
      <c r="V306" s="3"/>
      <c r="W306" s="3"/>
      <c r="X306" s="3"/>
      <c r="Y306" s="3"/>
      <c r="Z306" s="3"/>
    </row>
    <row r="307" spans="1:26" ht="15.75" customHeight="1">
      <c r="A307" s="3"/>
      <c r="B307" s="2"/>
      <c r="C307" s="2"/>
      <c r="D307" s="2"/>
      <c r="E307" s="2"/>
      <c r="F307" s="2"/>
      <c r="G307" s="2"/>
      <c r="H307" s="2"/>
      <c r="I307" s="2"/>
      <c r="J307" s="564"/>
      <c r="K307" s="564"/>
      <c r="L307" s="564"/>
      <c r="M307" s="564"/>
      <c r="N307" s="564"/>
      <c r="O307" s="3"/>
      <c r="P307" s="3"/>
      <c r="Q307" s="3"/>
      <c r="R307" s="3"/>
      <c r="S307" s="3"/>
      <c r="T307" s="3"/>
      <c r="U307" s="3"/>
      <c r="V307" s="3"/>
      <c r="W307" s="3"/>
      <c r="X307" s="3"/>
      <c r="Y307" s="3"/>
      <c r="Z307" s="3"/>
    </row>
    <row r="308" spans="1:26" ht="15.75" customHeight="1">
      <c r="A308" s="3"/>
      <c r="B308" s="2"/>
      <c r="C308" s="2"/>
      <c r="D308" s="2"/>
      <c r="E308" s="2"/>
      <c r="F308" s="2"/>
      <c r="G308" s="2"/>
      <c r="H308" s="2"/>
      <c r="I308" s="2"/>
      <c r="J308" s="564"/>
      <c r="K308" s="564"/>
      <c r="L308" s="564"/>
      <c r="M308" s="564"/>
      <c r="N308" s="564"/>
      <c r="O308" s="3"/>
      <c r="P308" s="3"/>
      <c r="Q308" s="3"/>
      <c r="R308" s="3"/>
      <c r="S308" s="3"/>
      <c r="T308" s="3"/>
      <c r="U308" s="3"/>
      <c r="V308" s="3"/>
      <c r="W308" s="3"/>
      <c r="X308" s="3"/>
      <c r="Y308" s="3"/>
      <c r="Z308" s="3"/>
    </row>
    <row r="309" spans="1:26" ht="15.75" customHeight="1">
      <c r="A309" s="3"/>
      <c r="B309" s="2"/>
      <c r="C309" s="2"/>
      <c r="D309" s="2"/>
      <c r="E309" s="2"/>
      <c r="F309" s="2"/>
      <c r="G309" s="2"/>
      <c r="H309" s="2"/>
      <c r="I309" s="2"/>
      <c r="J309" s="564"/>
      <c r="K309" s="564"/>
      <c r="L309" s="564"/>
      <c r="M309" s="564"/>
      <c r="N309" s="564"/>
      <c r="O309" s="3"/>
      <c r="P309" s="3"/>
      <c r="Q309" s="3"/>
      <c r="R309" s="3"/>
      <c r="S309" s="3"/>
      <c r="T309" s="3"/>
      <c r="U309" s="3"/>
      <c r="V309" s="3"/>
      <c r="W309" s="3"/>
      <c r="X309" s="3"/>
      <c r="Y309" s="3"/>
      <c r="Z309" s="3"/>
    </row>
    <row r="310" spans="1:26" ht="15.75" customHeight="1">
      <c r="A310" s="3"/>
      <c r="B310" s="2"/>
      <c r="C310" s="2"/>
      <c r="D310" s="2"/>
      <c r="E310" s="2"/>
      <c r="F310" s="2"/>
      <c r="G310" s="2"/>
      <c r="H310" s="2"/>
      <c r="I310" s="2"/>
      <c r="J310" s="564"/>
      <c r="K310" s="564"/>
      <c r="L310" s="564"/>
      <c r="M310" s="564"/>
      <c r="N310" s="564"/>
      <c r="O310" s="3"/>
      <c r="P310" s="3"/>
      <c r="Q310" s="3"/>
      <c r="R310" s="3"/>
      <c r="S310" s="3"/>
      <c r="T310" s="3"/>
      <c r="U310" s="3"/>
      <c r="V310" s="3"/>
      <c r="W310" s="3"/>
      <c r="X310" s="3"/>
      <c r="Y310" s="3"/>
      <c r="Z310" s="3"/>
    </row>
    <row r="311" spans="1:26" ht="15.75" customHeight="1">
      <c r="A311" s="3"/>
      <c r="B311" s="2"/>
      <c r="C311" s="2"/>
      <c r="D311" s="2"/>
      <c r="E311" s="2"/>
      <c r="F311" s="2"/>
      <c r="G311" s="2"/>
      <c r="H311" s="2"/>
      <c r="I311" s="2"/>
      <c r="J311" s="564"/>
      <c r="K311" s="564"/>
      <c r="L311" s="564"/>
      <c r="M311" s="564"/>
      <c r="N311" s="564"/>
      <c r="O311" s="3"/>
      <c r="P311" s="3"/>
      <c r="Q311" s="3"/>
      <c r="R311" s="3"/>
      <c r="S311" s="3"/>
      <c r="T311" s="3"/>
      <c r="U311" s="3"/>
      <c r="V311" s="3"/>
      <c r="W311" s="3"/>
      <c r="X311" s="3"/>
      <c r="Y311" s="3"/>
      <c r="Z311" s="3"/>
    </row>
    <row r="312" spans="1:26" ht="15.75" customHeight="1">
      <c r="A312" s="3"/>
      <c r="B312" s="2"/>
      <c r="C312" s="2"/>
      <c r="D312" s="2"/>
      <c r="E312" s="2"/>
      <c r="F312" s="2"/>
      <c r="G312" s="2"/>
      <c r="H312" s="2"/>
      <c r="I312" s="2"/>
      <c r="J312" s="564"/>
      <c r="K312" s="564"/>
      <c r="L312" s="564"/>
      <c r="M312" s="564"/>
      <c r="N312" s="564"/>
      <c r="O312" s="3"/>
      <c r="P312" s="3"/>
      <c r="Q312" s="3"/>
      <c r="R312" s="3"/>
      <c r="S312" s="3"/>
      <c r="T312" s="3"/>
      <c r="U312" s="3"/>
      <c r="V312" s="3"/>
      <c r="W312" s="3"/>
      <c r="X312" s="3"/>
      <c r="Y312" s="3"/>
      <c r="Z312" s="3"/>
    </row>
    <row r="313" spans="1:26" ht="15.75" customHeight="1">
      <c r="A313" s="3"/>
      <c r="B313" s="2"/>
      <c r="C313" s="2"/>
      <c r="D313" s="2"/>
      <c r="E313" s="2"/>
      <c r="F313" s="2"/>
      <c r="G313" s="2"/>
      <c r="H313" s="2"/>
      <c r="I313" s="2"/>
      <c r="J313" s="564"/>
      <c r="K313" s="564"/>
      <c r="L313" s="564"/>
      <c r="M313" s="564"/>
      <c r="N313" s="564"/>
      <c r="O313" s="3"/>
      <c r="P313" s="3"/>
      <c r="Q313" s="3"/>
      <c r="R313" s="3"/>
      <c r="S313" s="3"/>
      <c r="T313" s="3"/>
      <c r="U313" s="3"/>
      <c r="V313" s="3"/>
      <c r="W313" s="3"/>
      <c r="X313" s="3"/>
      <c r="Y313" s="3"/>
      <c r="Z313" s="3"/>
    </row>
    <row r="314" spans="1:26" ht="15.75" customHeight="1">
      <c r="A314" s="3"/>
      <c r="B314" s="2"/>
      <c r="C314" s="2"/>
      <c r="D314" s="2"/>
      <c r="E314" s="2"/>
      <c r="F314" s="2"/>
      <c r="G314" s="2"/>
      <c r="H314" s="2"/>
      <c r="I314" s="2"/>
      <c r="J314" s="564"/>
      <c r="K314" s="564"/>
      <c r="L314" s="564"/>
      <c r="M314" s="564"/>
      <c r="N314" s="564"/>
      <c r="O314" s="3"/>
      <c r="P314" s="3"/>
      <c r="Q314" s="3"/>
      <c r="R314" s="3"/>
      <c r="S314" s="3"/>
      <c r="T314" s="3"/>
      <c r="U314" s="3"/>
      <c r="V314" s="3"/>
      <c r="W314" s="3"/>
      <c r="X314" s="3"/>
      <c r="Y314" s="3"/>
      <c r="Z314" s="3"/>
    </row>
    <row r="315" spans="1:26" ht="15.75" customHeight="1">
      <c r="A315" s="3"/>
      <c r="B315" s="2"/>
      <c r="C315" s="2"/>
      <c r="D315" s="2"/>
      <c r="E315" s="2"/>
      <c r="F315" s="2"/>
      <c r="G315" s="2"/>
      <c r="H315" s="2"/>
      <c r="I315" s="2"/>
      <c r="J315" s="564"/>
      <c r="K315" s="564"/>
      <c r="L315" s="564"/>
      <c r="M315" s="564"/>
      <c r="N315" s="564"/>
      <c r="O315" s="3"/>
      <c r="P315" s="3"/>
      <c r="Q315" s="3"/>
      <c r="R315" s="3"/>
      <c r="S315" s="3"/>
      <c r="T315" s="3"/>
      <c r="U315" s="3"/>
      <c r="V315" s="3"/>
      <c r="W315" s="3"/>
      <c r="X315" s="3"/>
      <c r="Y315" s="3"/>
      <c r="Z315" s="3"/>
    </row>
    <row r="316" spans="1:26" ht="15.75" customHeight="1">
      <c r="A316" s="3"/>
      <c r="B316" s="2"/>
      <c r="C316" s="2"/>
      <c r="D316" s="2"/>
      <c r="E316" s="2"/>
      <c r="F316" s="2"/>
      <c r="G316" s="2"/>
      <c r="H316" s="2"/>
      <c r="I316" s="2"/>
      <c r="J316" s="564"/>
      <c r="K316" s="564"/>
      <c r="L316" s="564"/>
      <c r="M316" s="564"/>
      <c r="N316" s="564"/>
      <c r="O316" s="3"/>
      <c r="P316" s="3"/>
      <c r="Q316" s="3"/>
      <c r="R316" s="3"/>
      <c r="S316" s="3"/>
      <c r="T316" s="3"/>
      <c r="U316" s="3"/>
      <c r="V316" s="3"/>
      <c r="W316" s="3"/>
      <c r="X316" s="3"/>
      <c r="Y316" s="3"/>
      <c r="Z316" s="3"/>
    </row>
    <row r="317" spans="1:26" ht="15.75" customHeight="1">
      <c r="A317" s="3"/>
      <c r="B317" s="2"/>
      <c r="C317" s="2"/>
      <c r="D317" s="2"/>
      <c r="E317" s="2"/>
      <c r="F317" s="2"/>
      <c r="G317" s="2"/>
      <c r="H317" s="2"/>
      <c r="I317" s="2"/>
      <c r="J317" s="564"/>
      <c r="K317" s="564"/>
      <c r="L317" s="564"/>
      <c r="M317" s="564"/>
      <c r="N317" s="564"/>
      <c r="O317" s="3"/>
      <c r="P317" s="3"/>
      <c r="Q317" s="3"/>
      <c r="R317" s="3"/>
      <c r="S317" s="3"/>
      <c r="T317" s="3"/>
      <c r="U317" s="3"/>
      <c r="V317" s="3"/>
      <c r="W317" s="3"/>
      <c r="X317" s="3"/>
      <c r="Y317" s="3"/>
      <c r="Z317" s="3"/>
    </row>
    <row r="318" spans="1:26" ht="15.75" customHeight="1">
      <c r="A318" s="3"/>
      <c r="B318" s="2"/>
      <c r="C318" s="2"/>
      <c r="D318" s="2"/>
      <c r="E318" s="2"/>
      <c r="F318" s="2"/>
      <c r="G318" s="2"/>
      <c r="H318" s="2"/>
      <c r="I318" s="2"/>
      <c r="J318" s="564"/>
      <c r="K318" s="564"/>
      <c r="L318" s="564"/>
      <c r="M318" s="564"/>
      <c r="N318" s="564"/>
      <c r="O318" s="3"/>
      <c r="P318" s="3"/>
      <c r="Q318" s="3"/>
      <c r="R318" s="3"/>
      <c r="S318" s="3"/>
      <c r="T318" s="3"/>
      <c r="U318" s="3"/>
      <c r="V318" s="3"/>
      <c r="W318" s="3"/>
      <c r="X318" s="3"/>
      <c r="Y318" s="3"/>
      <c r="Z318" s="3"/>
    </row>
    <row r="319" spans="1:26" ht="15.75" customHeight="1">
      <c r="A319" s="3"/>
      <c r="B319" s="2"/>
      <c r="C319" s="2"/>
      <c r="D319" s="2"/>
      <c r="E319" s="2"/>
      <c r="F319" s="2"/>
      <c r="G319" s="2"/>
      <c r="H319" s="2"/>
      <c r="I319" s="2"/>
      <c r="J319" s="564"/>
      <c r="K319" s="564"/>
      <c r="L319" s="564"/>
      <c r="M319" s="564"/>
      <c r="N319" s="564"/>
      <c r="O319" s="3"/>
      <c r="P319" s="3"/>
      <c r="Q319" s="3"/>
      <c r="R319" s="3"/>
      <c r="S319" s="3"/>
      <c r="T319" s="3"/>
      <c r="U319" s="3"/>
      <c r="V319" s="3"/>
      <c r="W319" s="3"/>
      <c r="X319" s="3"/>
      <c r="Y319" s="3"/>
      <c r="Z319" s="3"/>
    </row>
    <row r="320" spans="1:26" ht="15.75" customHeight="1">
      <c r="A320" s="3"/>
      <c r="B320" s="2"/>
      <c r="C320" s="2"/>
      <c r="D320" s="2"/>
      <c r="E320" s="2"/>
      <c r="F320" s="2"/>
      <c r="G320" s="2"/>
      <c r="H320" s="2"/>
      <c r="I320" s="2"/>
      <c r="J320" s="564"/>
      <c r="K320" s="564"/>
      <c r="L320" s="564"/>
      <c r="M320" s="564"/>
      <c r="N320" s="564"/>
      <c r="O320" s="3"/>
      <c r="P320" s="3"/>
      <c r="Q320" s="3"/>
      <c r="R320" s="3"/>
      <c r="S320" s="3"/>
      <c r="T320" s="3"/>
      <c r="U320" s="3"/>
      <c r="V320" s="3"/>
      <c r="W320" s="3"/>
      <c r="X320" s="3"/>
      <c r="Y320" s="3"/>
      <c r="Z320" s="3"/>
    </row>
    <row r="321" spans="1:26" ht="15.75" customHeight="1">
      <c r="A321" s="3"/>
      <c r="B321" s="2"/>
      <c r="C321" s="2"/>
      <c r="D321" s="2"/>
      <c r="E321" s="2"/>
      <c r="F321" s="2"/>
      <c r="G321" s="2"/>
      <c r="H321" s="2"/>
      <c r="I321" s="2"/>
      <c r="J321" s="564"/>
      <c r="K321" s="564"/>
      <c r="L321" s="564"/>
      <c r="M321" s="564"/>
      <c r="N321" s="564"/>
      <c r="O321" s="3"/>
      <c r="P321" s="3"/>
      <c r="Q321" s="3"/>
      <c r="R321" s="3"/>
      <c r="S321" s="3"/>
      <c r="T321" s="3"/>
      <c r="U321" s="3"/>
      <c r="V321" s="3"/>
      <c r="W321" s="3"/>
      <c r="X321" s="3"/>
      <c r="Y321" s="3"/>
      <c r="Z321" s="3"/>
    </row>
    <row r="322" spans="1:26" ht="15.75" customHeight="1">
      <c r="A322" s="3"/>
      <c r="B322" s="2"/>
      <c r="C322" s="2"/>
      <c r="D322" s="2"/>
      <c r="E322" s="2"/>
      <c r="F322" s="2"/>
      <c r="G322" s="2"/>
      <c r="H322" s="2"/>
      <c r="I322" s="2"/>
      <c r="J322" s="564"/>
      <c r="K322" s="564"/>
      <c r="L322" s="564"/>
      <c r="M322" s="564"/>
      <c r="N322" s="564"/>
      <c r="O322" s="3"/>
      <c r="P322" s="3"/>
      <c r="Q322" s="3"/>
      <c r="R322" s="3"/>
      <c r="S322" s="3"/>
      <c r="T322" s="3"/>
      <c r="U322" s="3"/>
      <c r="V322" s="3"/>
      <c r="W322" s="3"/>
      <c r="X322" s="3"/>
      <c r="Y322" s="3"/>
      <c r="Z322" s="3"/>
    </row>
    <row r="323" spans="1:26" ht="15.75" customHeight="1">
      <c r="A323" s="3"/>
      <c r="B323" s="2"/>
      <c r="C323" s="2"/>
      <c r="D323" s="2"/>
      <c r="E323" s="2"/>
      <c r="F323" s="2"/>
      <c r="G323" s="2"/>
      <c r="H323" s="2"/>
      <c r="I323" s="2"/>
      <c r="J323" s="564"/>
      <c r="K323" s="564"/>
      <c r="L323" s="564"/>
      <c r="M323" s="564"/>
      <c r="N323" s="564"/>
      <c r="O323" s="3"/>
      <c r="P323" s="3"/>
      <c r="Q323" s="3"/>
      <c r="R323" s="3"/>
      <c r="S323" s="3"/>
      <c r="T323" s="3"/>
      <c r="U323" s="3"/>
      <c r="V323" s="3"/>
      <c r="W323" s="3"/>
      <c r="X323" s="3"/>
      <c r="Y323" s="3"/>
      <c r="Z323" s="3"/>
    </row>
    <row r="324" spans="1:26" ht="15.75" customHeight="1">
      <c r="A324" s="3"/>
      <c r="B324" s="2"/>
      <c r="C324" s="2"/>
      <c r="D324" s="2"/>
      <c r="E324" s="2"/>
      <c r="F324" s="2"/>
      <c r="G324" s="2"/>
      <c r="H324" s="2"/>
      <c r="I324" s="2"/>
      <c r="J324" s="564"/>
      <c r="K324" s="564"/>
      <c r="L324" s="564"/>
      <c r="M324" s="564"/>
      <c r="N324" s="564"/>
      <c r="O324" s="3"/>
      <c r="P324" s="3"/>
      <c r="Q324" s="3"/>
      <c r="R324" s="3"/>
      <c r="S324" s="3"/>
      <c r="T324" s="3"/>
      <c r="U324" s="3"/>
      <c r="V324" s="3"/>
      <c r="W324" s="3"/>
      <c r="X324" s="3"/>
      <c r="Y324" s="3"/>
      <c r="Z324" s="3"/>
    </row>
    <row r="325" spans="1:26" ht="15.75" customHeight="1">
      <c r="A325" s="3"/>
      <c r="B325" s="2"/>
      <c r="C325" s="2"/>
      <c r="D325" s="2"/>
      <c r="E325" s="2"/>
      <c r="F325" s="2"/>
      <c r="G325" s="2"/>
      <c r="H325" s="2"/>
      <c r="I325" s="2"/>
      <c r="J325" s="564"/>
      <c r="K325" s="564"/>
      <c r="L325" s="564"/>
      <c r="M325" s="564"/>
      <c r="N325" s="564"/>
      <c r="O325" s="3"/>
      <c r="P325" s="3"/>
      <c r="Q325" s="3"/>
      <c r="R325" s="3"/>
      <c r="S325" s="3"/>
      <c r="T325" s="3"/>
      <c r="U325" s="3"/>
      <c r="V325" s="3"/>
      <c r="W325" s="3"/>
      <c r="X325" s="3"/>
      <c r="Y325" s="3"/>
      <c r="Z325" s="3"/>
    </row>
    <row r="326" spans="1:26" ht="15.75" customHeight="1">
      <c r="A326" s="3"/>
      <c r="B326" s="2"/>
      <c r="C326" s="2"/>
      <c r="D326" s="2"/>
      <c r="E326" s="2"/>
      <c r="F326" s="2"/>
      <c r="G326" s="2"/>
      <c r="H326" s="2"/>
      <c r="I326" s="2"/>
      <c r="J326" s="564"/>
      <c r="K326" s="564"/>
      <c r="L326" s="564"/>
      <c r="M326" s="564"/>
      <c r="N326" s="564"/>
      <c r="O326" s="3"/>
      <c r="P326" s="3"/>
      <c r="Q326" s="3"/>
      <c r="R326" s="3"/>
      <c r="S326" s="3"/>
      <c r="T326" s="3"/>
      <c r="U326" s="3"/>
      <c r="V326" s="3"/>
      <c r="W326" s="3"/>
      <c r="X326" s="3"/>
      <c r="Y326" s="3"/>
      <c r="Z326" s="3"/>
    </row>
    <row r="327" spans="1:26" ht="15.75" customHeight="1">
      <c r="A327" s="3"/>
      <c r="B327" s="2"/>
      <c r="C327" s="2"/>
      <c r="D327" s="2"/>
      <c r="E327" s="2"/>
      <c r="F327" s="2"/>
      <c r="G327" s="2"/>
      <c r="H327" s="2"/>
      <c r="I327" s="2"/>
      <c r="J327" s="564"/>
      <c r="K327" s="564"/>
      <c r="L327" s="564"/>
      <c r="M327" s="564"/>
      <c r="N327" s="564"/>
      <c r="O327" s="3"/>
      <c r="P327" s="3"/>
      <c r="Q327" s="3"/>
      <c r="R327" s="3"/>
      <c r="S327" s="3"/>
      <c r="T327" s="3"/>
      <c r="U327" s="3"/>
      <c r="V327" s="3"/>
      <c r="W327" s="3"/>
      <c r="X327" s="3"/>
      <c r="Y327" s="3"/>
      <c r="Z327" s="3"/>
    </row>
    <row r="328" spans="1:26" ht="15.75" customHeight="1">
      <c r="A328" s="3"/>
      <c r="B328" s="2"/>
      <c r="C328" s="2"/>
      <c r="D328" s="2"/>
      <c r="E328" s="2"/>
      <c r="F328" s="2"/>
      <c r="G328" s="2"/>
      <c r="H328" s="2"/>
      <c r="I328" s="2"/>
      <c r="J328" s="564"/>
      <c r="K328" s="564"/>
      <c r="L328" s="564"/>
      <c r="M328" s="564"/>
      <c r="N328" s="564"/>
      <c r="O328" s="3"/>
      <c r="P328" s="3"/>
      <c r="Q328" s="3"/>
      <c r="R328" s="3"/>
      <c r="S328" s="3"/>
      <c r="T328" s="3"/>
      <c r="U328" s="3"/>
      <c r="V328" s="3"/>
      <c r="W328" s="3"/>
      <c r="X328" s="3"/>
      <c r="Y328" s="3"/>
      <c r="Z328" s="3"/>
    </row>
    <row r="329" spans="1:26" ht="15.75" customHeight="1">
      <c r="A329" s="3"/>
      <c r="B329" s="2"/>
      <c r="C329" s="2"/>
      <c r="D329" s="2"/>
      <c r="E329" s="2"/>
      <c r="F329" s="2"/>
      <c r="G329" s="2"/>
      <c r="H329" s="2"/>
      <c r="I329" s="2"/>
      <c r="J329" s="564"/>
      <c r="K329" s="564"/>
      <c r="L329" s="564"/>
      <c r="M329" s="564"/>
      <c r="N329" s="564"/>
      <c r="O329" s="3"/>
      <c r="P329" s="3"/>
      <c r="Q329" s="3"/>
      <c r="R329" s="3"/>
      <c r="S329" s="3"/>
      <c r="T329" s="3"/>
      <c r="U329" s="3"/>
      <c r="V329" s="3"/>
      <c r="W329" s="3"/>
      <c r="X329" s="3"/>
      <c r="Y329" s="3"/>
      <c r="Z329" s="3"/>
    </row>
    <row r="330" spans="1:26" ht="15.75" customHeight="1">
      <c r="A330" s="3"/>
      <c r="B330" s="2"/>
      <c r="C330" s="2"/>
      <c r="D330" s="2"/>
      <c r="E330" s="2"/>
      <c r="F330" s="2"/>
      <c r="G330" s="2"/>
      <c r="H330" s="2"/>
      <c r="I330" s="2"/>
      <c r="J330" s="564"/>
      <c r="K330" s="564"/>
      <c r="L330" s="564"/>
      <c r="M330" s="564"/>
      <c r="N330" s="564"/>
      <c r="O330" s="3"/>
      <c r="P330" s="3"/>
      <c r="Q330" s="3"/>
      <c r="R330" s="3"/>
      <c r="S330" s="3"/>
      <c r="T330" s="3"/>
      <c r="U330" s="3"/>
      <c r="V330" s="3"/>
      <c r="W330" s="3"/>
      <c r="X330" s="3"/>
      <c r="Y330" s="3"/>
      <c r="Z330" s="3"/>
    </row>
    <row r="331" spans="1:26" ht="15.75" customHeight="1">
      <c r="A331" s="3"/>
      <c r="B331" s="2"/>
      <c r="C331" s="2"/>
      <c r="D331" s="2"/>
      <c r="E331" s="2"/>
      <c r="F331" s="2"/>
      <c r="G331" s="2"/>
      <c r="H331" s="2"/>
      <c r="I331" s="2"/>
      <c r="J331" s="564"/>
      <c r="K331" s="564"/>
      <c r="L331" s="564"/>
      <c r="M331" s="564"/>
      <c r="N331" s="564"/>
      <c r="O331" s="3"/>
      <c r="P331" s="3"/>
      <c r="Q331" s="3"/>
      <c r="R331" s="3"/>
      <c r="S331" s="3"/>
      <c r="T331" s="3"/>
      <c r="U331" s="3"/>
      <c r="V331" s="3"/>
      <c r="W331" s="3"/>
      <c r="X331" s="3"/>
      <c r="Y331" s="3"/>
      <c r="Z331" s="3"/>
    </row>
    <row r="332" spans="1:26" ht="15.75" customHeight="1">
      <c r="A332" s="3"/>
      <c r="B332" s="2"/>
      <c r="C332" s="2"/>
      <c r="D332" s="2"/>
      <c r="E332" s="2"/>
      <c r="F332" s="2"/>
      <c r="G332" s="2"/>
      <c r="H332" s="2"/>
      <c r="I332" s="2"/>
      <c r="J332" s="564"/>
      <c r="K332" s="564"/>
      <c r="L332" s="564"/>
      <c r="M332" s="564"/>
      <c r="N332" s="564"/>
      <c r="O332" s="3"/>
      <c r="P332" s="3"/>
      <c r="Q332" s="3"/>
      <c r="R332" s="3"/>
      <c r="S332" s="3"/>
      <c r="T332" s="3"/>
      <c r="U332" s="3"/>
      <c r="V332" s="3"/>
      <c r="W332" s="3"/>
      <c r="X332" s="3"/>
      <c r="Y332" s="3"/>
      <c r="Z332" s="3"/>
    </row>
    <row r="333" spans="1:26" ht="15.75" customHeight="1">
      <c r="A333" s="3"/>
      <c r="B333" s="2"/>
      <c r="C333" s="2"/>
      <c r="D333" s="2"/>
      <c r="E333" s="2"/>
      <c r="F333" s="2"/>
      <c r="G333" s="2"/>
      <c r="H333" s="2"/>
      <c r="I333" s="2"/>
      <c r="J333" s="564"/>
      <c r="K333" s="564"/>
      <c r="L333" s="564"/>
      <c r="M333" s="564"/>
      <c r="N333" s="564"/>
      <c r="O333" s="3"/>
      <c r="P333" s="3"/>
      <c r="Q333" s="3"/>
      <c r="R333" s="3"/>
      <c r="S333" s="3"/>
      <c r="T333" s="3"/>
      <c r="U333" s="3"/>
      <c r="V333" s="3"/>
      <c r="W333" s="3"/>
      <c r="X333" s="3"/>
      <c r="Y333" s="3"/>
      <c r="Z333" s="3"/>
    </row>
    <row r="334" spans="1:26" ht="15.75" customHeight="1">
      <c r="A334" s="3"/>
      <c r="B334" s="2"/>
      <c r="C334" s="2"/>
      <c r="D334" s="2"/>
      <c r="E334" s="2"/>
      <c r="F334" s="2"/>
      <c r="G334" s="2"/>
      <c r="H334" s="2"/>
      <c r="I334" s="2"/>
      <c r="J334" s="564"/>
      <c r="K334" s="564"/>
      <c r="L334" s="564"/>
      <c r="M334" s="564"/>
      <c r="N334" s="564"/>
      <c r="O334" s="3"/>
      <c r="P334" s="3"/>
      <c r="Q334" s="3"/>
      <c r="R334" s="3"/>
      <c r="S334" s="3"/>
      <c r="T334" s="3"/>
      <c r="U334" s="3"/>
      <c r="V334" s="3"/>
      <c r="W334" s="3"/>
      <c r="X334" s="3"/>
      <c r="Y334" s="3"/>
      <c r="Z334" s="3"/>
    </row>
    <row r="335" spans="1:26" ht="15.75" customHeight="1">
      <c r="A335" s="3"/>
      <c r="B335" s="2"/>
      <c r="C335" s="2"/>
      <c r="D335" s="2"/>
      <c r="E335" s="2"/>
      <c r="F335" s="2"/>
      <c r="G335" s="2"/>
      <c r="H335" s="2"/>
      <c r="I335" s="2"/>
      <c r="J335" s="564"/>
      <c r="K335" s="564"/>
      <c r="L335" s="564"/>
      <c r="M335" s="564"/>
      <c r="N335" s="564"/>
      <c r="O335" s="3"/>
      <c r="P335" s="3"/>
      <c r="Q335" s="3"/>
      <c r="R335" s="3"/>
      <c r="S335" s="3"/>
      <c r="T335" s="3"/>
      <c r="U335" s="3"/>
      <c r="V335" s="3"/>
      <c r="W335" s="3"/>
      <c r="X335" s="3"/>
      <c r="Y335" s="3"/>
      <c r="Z335" s="3"/>
    </row>
    <row r="336" spans="1:26" ht="15.75" customHeight="1">
      <c r="A336" s="3"/>
      <c r="B336" s="2"/>
      <c r="C336" s="2"/>
      <c r="D336" s="2"/>
      <c r="E336" s="2"/>
      <c r="F336" s="2"/>
      <c r="G336" s="2"/>
      <c r="H336" s="2"/>
      <c r="I336" s="2"/>
      <c r="J336" s="564"/>
      <c r="K336" s="564"/>
      <c r="L336" s="564"/>
      <c r="M336" s="564"/>
      <c r="N336" s="564"/>
      <c r="O336" s="3"/>
      <c r="P336" s="3"/>
      <c r="Q336" s="3"/>
      <c r="R336" s="3"/>
      <c r="S336" s="3"/>
      <c r="T336" s="3"/>
      <c r="U336" s="3"/>
      <c r="V336" s="3"/>
      <c r="W336" s="3"/>
      <c r="X336" s="3"/>
      <c r="Y336" s="3"/>
      <c r="Z336" s="3"/>
    </row>
    <row r="337" spans="1:26" ht="15.75" customHeight="1">
      <c r="A337" s="3"/>
      <c r="B337" s="2"/>
      <c r="C337" s="2"/>
      <c r="D337" s="2"/>
      <c r="E337" s="2"/>
      <c r="F337" s="2"/>
      <c r="G337" s="2"/>
      <c r="H337" s="2"/>
      <c r="I337" s="2"/>
      <c r="J337" s="564"/>
      <c r="K337" s="564"/>
      <c r="L337" s="564"/>
      <c r="M337" s="564"/>
      <c r="N337" s="564"/>
      <c r="O337" s="3"/>
      <c r="P337" s="3"/>
      <c r="Q337" s="3"/>
      <c r="R337" s="3"/>
      <c r="S337" s="3"/>
      <c r="T337" s="3"/>
      <c r="U337" s="3"/>
      <c r="V337" s="3"/>
      <c r="W337" s="3"/>
      <c r="X337" s="3"/>
      <c r="Y337" s="3"/>
      <c r="Z337" s="3"/>
    </row>
    <row r="338" spans="1:26" ht="15.75" customHeight="1">
      <c r="A338" s="3"/>
      <c r="B338" s="2"/>
      <c r="C338" s="2"/>
      <c r="D338" s="2"/>
      <c r="E338" s="2"/>
      <c r="F338" s="2"/>
      <c r="G338" s="2"/>
      <c r="H338" s="2"/>
      <c r="I338" s="2"/>
      <c r="J338" s="564"/>
      <c r="K338" s="564"/>
      <c r="L338" s="564"/>
      <c r="M338" s="564"/>
      <c r="N338" s="564"/>
      <c r="O338" s="3"/>
      <c r="P338" s="3"/>
      <c r="Q338" s="3"/>
      <c r="R338" s="3"/>
      <c r="S338" s="3"/>
      <c r="T338" s="3"/>
      <c r="U338" s="3"/>
      <c r="V338" s="3"/>
      <c r="W338" s="3"/>
      <c r="X338" s="3"/>
      <c r="Y338" s="3"/>
      <c r="Z338" s="3"/>
    </row>
    <row r="339" spans="1:26" ht="15.75" customHeight="1">
      <c r="A339" s="3"/>
      <c r="B339" s="2"/>
      <c r="C339" s="2"/>
      <c r="D339" s="2"/>
      <c r="E339" s="2"/>
      <c r="F339" s="2"/>
      <c r="G339" s="2"/>
      <c r="H339" s="2"/>
      <c r="I339" s="2"/>
      <c r="J339" s="564"/>
      <c r="K339" s="564"/>
      <c r="L339" s="564"/>
      <c r="M339" s="564"/>
      <c r="N339" s="564"/>
      <c r="O339" s="3"/>
      <c r="P339" s="3"/>
      <c r="Q339" s="3"/>
      <c r="R339" s="3"/>
      <c r="S339" s="3"/>
      <c r="T339" s="3"/>
      <c r="U339" s="3"/>
      <c r="V339" s="3"/>
      <c r="W339" s="3"/>
      <c r="X339" s="3"/>
      <c r="Y339" s="3"/>
      <c r="Z339" s="3"/>
    </row>
    <row r="340" spans="1:26" ht="15.75" customHeight="1">
      <c r="A340" s="3"/>
      <c r="B340" s="2"/>
      <c r="C340" s="2"/>
      <c r="D340" s="2"/>
      <c r="E340" s="2"/>
      <c r="F340" s="2"/>
      <c r="G340" s="2"/>
      <c r="H340" s="2"/>
      <c r="I340" s="2"/>
      <c r="J340" s="564"/>
      <c r="K340" s="564"/>
      <c r="L340" s="564"/>
      <c r="M340" s="564"/>
      <c r="N340" s="564"/>
      <c r="O340" s="3"/>
      <c r="P340" s="3"/>
      <c r="Q340" s="3"/>
      <c r="R340" s="3"/>
      <c r="S340" s="3"/>
      <c r="T340" s="3"/>
      <c r="U340" s="3"/>
      <c r="V340" s="3"/>
      <c r="W340" s="3"/>
      <c r="X340" s="3"/>
      <c r="Y340" s="3"/>
      <c r="Z340" s="3"/>
    </row>
    <row r="341" spans="1:26" ht="15.75" customHeight="1">
      <c r="A341" s="3"/>
      <c r="B341" s="2"/>
      <c r="C341" s="2"/>
      <c r="D341" s="2"/>
      <c r="E341" s="2"/>
      <c r="F341" s="2"/>
      <c r="G341" s="2"/>
      <c r="H341" s="2"/>
      <c r="I341" s="2"/>
      <c r="J341" s="564"/>
      <c r="K341" s="564"/>
      <c r="L341" s="564"/>
      <c r="M341" s="564"/>
      <c r="N341" s="564"/>
      <c r="O341" s="3"/>
      <c r="P341" s="3"/>
      <c r="Q341" s="3"/>
      <c r="R341" s="3"/>
      <c r="S341" s="3"/>
      <c r="T341" s="3"/>
      <c r="U341" s="3"/>
      <c r="V341" s="3"/>
      <c r="W341" s="3"/>
      <c r="X341" s="3"/>
      <c r="Y341" s="3"/>
      <c r="Z341" s="3"/>
    </row>
    <row r="342" spans="1:26" ht="15.75" customHeight="1">
      <c r="A342" s="3"/>
      <c r="B342" s="2"/>
      <c r="C342" s="2"/>
      <c r="D342" s="2"/>
      <c r="E342" s="2"/>
      <c r="F342" s="2"/>
      <c r="G342" s="2"/>
      <c r="H342" s="2"/>
      <c r="I342" s="2"/>
      <c r="J342" s="564"/>
      <c r="K342" s="564"/>
      <c r="L342" s="564"/>
      <c r="M342" s="564"/>
      <c r="N342" s="564"/>
      <c r="O342" s="3"/>
      <c r="P342" s="3"/>
      <c r="Q342" s="3"/>
      <c r="R342" s="3"/>
      <c r="S342" s="3"/>
      <c r="T342" s="3"/>
      <c r="U342" s="3"/>
      <c r="V342" s="3"/>
      <c r="W342" s="3"/>
      <c r="X342" s="3"/>
      <c r="Y342" s="3"/>
      <c r="Z342" s="3"/>
    </row>
    <row r="343" spans="1:26" ht="15.75" customHeight="1">
      <c r="A343" s="3"/>
      <c r="B343" s="2"/>
      <c r="C343" s="2"/>
      <c r="D343" s="2"/>
      <c r="E343" s="2"/>
      <c r="F343" s="2"/>
      <c r="G343" s="2"/>
      <c r="H343" s="2"/>
      <c r="I343" s="2"/>
      <c r="J343" s="564"/>
      <c r="K343" s="564"/>
      <c r="L343" s="564"/>
      <c r="M343" s="564"/>
      <c r="N343" s="564"/>
      <c r="O343" s="3"/>
      <c r="P343" s="3"/>
      <c r="Q343" s="3"/>
      <c r="R343" s="3"/>
      <c r="S343" s="3"/>
      <c r="T343" s="3"/>
      <c r="U343" s="3"/>
      <c r="V343" s="3"/>
      <c r="W343" s="3"/>
      <c r="X343" s="3"/>
      <c r="Y343" s="3"/>
      <c r="Z343" s="3"/>
    </row>
    <row r="344" spans="1:26" ht="15.75" customHeight="1">
      <c r="A344" s="3"/>
      <c r="B344" s="2"/>
      <c r="C344" s="2"/>
      <c r="D344" s="2"/>
      <c r="E344" s="2"/>
      <c r="F344" s="2"/>
      <c r="G344" s="2"/>
      <c r="H344" s="2"/>
      <c r="I344" s="2"/>
      <c r="J344" s="564"/>
      <c r="K344" s="564"/>
      <c r="L344" s="564"/>
      <c r="M344" s="564"/>
      <c r="N344" s="564"/>
      <c r="O344" s="3"/>
      <c r="P344" s="3"/>
      <c r="Q344" s="3"/>
      <c r="R344" s="3"/>
      <c r="S344" s="3"/>
      <c r="T344" s="3"/>
      <c r="U344" s="3"/>
      <c r="V344" s="3"/>
      <c r="W344" s="3"/>
      <c r="X344" s="3"/>
      <c r="Y344" s="3"/>
      <c r="Z344" s="3"/>
    </row>
    <row r="345" spans="1:26" ht="15.75" customHeight="1">
      <c r="A345" s="3"/>
      <c r="B345" s="2"/>
      <c r="C345" s="2"/>
      <c r="D345" s="2"/>
      <c r="E345" s="2"/>
      <c r="F345" s="2"/>
      <c r="G345" s="2"/>
      <c r="H345" s="2"/>
      <c r="I345" s="2"/>
      <c r="J345" s="564"/>
      <c r="K345" s="564"/>
      <c r="L345" s="564"/>
      <c r="M345" s="564"/>
      <c r="N345" s="564"/>
      <c r="O345" s="3"/>
      <c r="P345" s="3"/>
      <c r="Q345" s="3"/>
      <c r="R345" s="3"/>
      <c r="S345" s="3"/>
      <c r="T345" s="3"/>
      <c r="U345" s="3"/>
      <c r="V345" s="3"/>
      <c r="W345" s="3"/>
      <c r="X345" s="3"/>
      <c r="Y345" s="3"/>
      <c r="Z345" s="3"/>
    </row>
    <row r="346" spans="1:26" ht="15.75" customHeight="1">
      <c r="A346" s="3"/>
      <c r="B346" s="2"/>
      <c r="C346" s="2"/>
      <c r="D346" s="2"/>
      <c r="E346" s="2"/>
      <c r="F346" s="2"/>
      <c r="G346" s="2"/>
      <c r="H346" s="2"/>
      <c r="I346" s="2"/>
      <c r="J346" s="564"/>
      <c r="K346" s="564"/>
      <c r="L346" s="564"/>
      <c r="M346" s="564"/>
      <c r="N346" s="564"/>
      <c r="O346" s="3"/>
      <c r="P346" s="3"/>
      <c r="Q346" s="3"/>
      <c r="R346" s="3"/>
      <c r="S346" s="3"/>
      <c r="T346" s="3"/>
      <c r="U346" s="3"/>
      <c r="V346" s="3"/>
      <c r="W346" s="3"/>
      <c r="X346" s="3"/>
      <c r="Y346" s="3"/>
      <c r="Z346" s="3"/>
    </row>
    <row r="347" spans="1:26" ht="15.75" customHeight="1">
      <c r="A347" s="3"/>
      <c r="B347" s="2"/>
      <c r="C347" s="2"/>
      <c r="D347" s="2"/>
      <c r="E347" s="2"/>
      <c r="F347" s="2"/>
      <c r="G347" s="2"/>
      <c r="H347" s="2"/>
      <c r="I347" s="2"/>
      <c r="J347" s="564"/>
      <c r="K347" s="564"/>
      <c r="L347" s="564"/>
      <c r="M347" s="564"/>
      <c r="N347" s="564"/>
      <c r="O347" s="3"/>
      <c r="P347" s="3"/>
      <c r="Q347" s="3"/>
      <c r="R347" s="3"/>
      <c r="S347" s="3"/>
      <c r="T347" s="3"/>
      <c r="U347" s="3"/>
      <c r="V347" s="3"/>
      <c r="W347" s="3"/>
      <c r="X347" s="3"/>
      <c r="Y347" s="3"/>
      <c r="Z347" s="3"/>
    </row>
    <row r="348" spans="1:26" ht="15.75" customHeight="1">
      <c r="A348" s="3"/>
      <c r="B348" s="2"/>
      <c r="C348" s="2"/>
      <c r="D348" s="2"/>
      <c r="E348" s="2"/>
      <c r="F348" s="2"/>
      <c r="G348" s="2"/>
      <c r="H348" s="2"/>
      <c r="I348" s="2"/>
      <c r="J348" s="564"/>
      <c r="K348" s="564"/>
      <c r="L348" s="564"/>
      <c r="M348" s="564"/>
      <c r="N348" s="564"/>
      <c r="O348" s="3"/>
      <c r="P348" s="3"/>
      <c r="Q348" s="3"/>
      <c r="R348" s="3"/>
      <c r="S348" s="3"/>
      <c r="T348" s="3"/>
      <c r="U348" s="3"/>
      <c r="V348" s="3"/>
      <c r="W348" s="3"/>
      <c r="X348" s="3"/>
      <c r="Y348" s="3"/>
      <c r="Z348" s="3"/>
    </row>
    <row r="349" spans="1:26" ht="15.75" customHeight="1">
      <c r="A349" s="3"/>
      <c r="B349" s="2"/>
      <c r="C349" s="2"/>
      <c r="D349" s="2"/>
      <c r="E349" s="2"/>
      <c r="F349" s="2"/>
      <c r="G349" s="2"/>
      <c r="H349" s="2"/>
      <c r="I349" s="2"/>
      <c r="J349" s="564"/>
      <c r="K349" s="564"/>
      <c r="L349" s="564"/>
      <c r="M349" s="564"/>
      <c r="N349" s="564"/>
      <c r="O349" s="3"/>
      <c r="P349" s="3"/>
      <c r="Q349" s="3"/>
      <c r="R349" s="3"/>
      <c r="S349" s="3"/>
      <c r="T349" s="3"/>
      <c r="U349" s="3"/>
      <c r="V349" s="3"/>
      <c r="W349" s="3"/>
      <c r="X349" s="3"/>
      <c r="Y349" s="3"/>
      <c r="Z349" s="3"/>
    </row>
    <row r="350" spans="1:26" ht="15.75" customHeight="1">
      <c r="A350" s="3"/>
      <c r="B350" s="2"/>
      <c r="C350" s="2"/>
      <c r="D350" s="2"/>
      <c r="E350" s="2"/>
      <c r="F350" s="2"/>
      <c r="G350" s="2"/>
      <c r="H350" s="2"/>
      <c r="I350" s="2"/>
      <c r="J350" s="564"/>
      <c r="K350" s="564"/>
      <c r="L350" s="564"/>
      <c r="M350" s="564"/>
      <c r="N350" s="564"/>
      <c r="O350" s="3"/>
      <c r="P350" s="3"/>
      <c r="Q350" s="3"/>
      <c r="R350" s="3"/>
      <c r="S350" s="3"/>
      <c r="T350" s="3"/>
      <c r="U350" s="3"/>
      <c r="V350" s="3"/>
      <c r="W350" s="3"/>
      <c r="X350" s="3"/>
      <c r="Y350" s="3"/>
      <c r="Z350" s="3"/>
    </row>
    <row r="351" spans="1:26" ht="15.75" customHeight="1">
      <c r="A351" s="3"/>
      <c r="B351" s="2"/>
      <c r="C351" s="2"/>
      <c r="D351" s="2"/>
      <c r="E351" s="2"/>
      <c r="F351" s="2"/>
      <c r="G351" s="2"/>
      <c r="H351" s="2"/>
      <c r="I351" s="2"/>
      <c r="J351" s="564"/>
      <c r="K351" s="564"/>
      <c r="L351" s="564"/>
      <c r="M351" s="564"/>
      <c r="N351" s="564"/>
      <c r="O351" s="3"/>
      <c r="P351" s="3"/>
      <c r="Q351" s="3"/>
      <c r="R351" s="3"/>
      <c r="S351" s="3"/>
      <c r="T351" s="3"/>
      <c r="U351" s="3"/>
      <c r="V351" s="3"/>
      <c r="W351" s="3"/>
      <c r="X351" s="3"/>
      <c r="Y351" s="3"/>
      <c r="Z351" s="3"/>
    </row>
    <row r="352" spans="1:26" ht="15.75" customHeight="1">
      <c r="A352" s="3"/>
      <c r="B352" s="2"/>
      <c r="C352" s="2"/>
      <c r="D352" s="2"/>
      <c r="E352" s="2"/>
      <c r="F352" s="2"/>
      <c r="G352" s="2"/>
      <c r="H352" s="2"/>
      <c r="I352" s="2"/>
      <c r="J352" s="564"/>
      <c r="K352" s="564"/>
      <c r="L352" s="564"/>
      <c r="M352" s="564"/>
      <c r="N352" s="564"/>
      <c r="O352" s="3"/>
      <c r="P352" s="3"/>
      <c r="Q352" s="3"/>
      <c r="R352" s="3"/>
      <c r="S352" s="3"/>
      <c r="T352" s="3"/>
      <c r="U352" s="3"/>
      <c r="V352" s="3"/>
      <c r="W352" s="3"/>
      <c r="X352" s="3"/>
      <c r="Y352" s="3"/>
      <c r="Z352" s="3"/>
    </row>
    <row r="353" spans="1:26" ht="15.75" customHeight="1">
      <c r="A353" s="3"/>
      <c r="B353" s="2"/>
      <c r="C353" s="2"/>
      <c r="D353" s="2"/>
      <c r="E353" s="2"/>
      <c r="F353" s="2"/>
      <c r="G353" s="2"/>
      <c r="H353" s="2"/>
      <c r="I353" s="2"/>
      <c r="J353" s="564"/>
      <c r="K353" s="564"/>
      <c r="L353" s="564"/>
      <c r="M353" s="564"/>
      <c r="N353" s="564"/>
      <c r="O353" s="3"/>
      <c r="P353" s="3"/>
      <c r="Q353" s="3"/>
      <c r="R353" s="3"/>
      <c r="S353" s="3"/>
      <c r="T353" s="3"/>
      <c r="U353" s="3"/>
      <c r="V353" s="3"/>
      <c r="W353" s="3"/>
      <c r="X353" s="3"/>
      <c r="Y353" s="3"/>
      <c r="Z353" s="3"/>
    </row>
    <row r="354" spans="1:26" ht="15.75" customHeight="1">
      <c r="A354" s="3"/>
      <c r="B354" s="2"/>
      <c r="C354" s="2"/>
      <c r="D354" s="2"/>
      <c r="E354" s="2"/>
      <c r="F354" s="2"/>
      <c r="G354" s="2"/>
      <c r="H354" s="2"/>
      <c r="I354" s="2"/>
      <c r="J354" s="564"/>
      <c r="K354" s="564"/>
      <c r="L354" s="564"/>
      <c r="M354" s="564"/>
      <c r="N354" s="564"/>
      <c r="O354" s="3"/>
      <c r="P354" s="3"/>
      <c r="Q354" s="3"/>
      <c r="R354" s="3"/>
      <c r="S354" s="3"/>
      <c r="T354" s="3"/>
      <c r="U354" s="3"/>
      <c r="V354" s="3"/>
      <c r="W354" s="3"/>
      <c r="X354" s="3"/>
      <c r="Y354" s="3"/>
      <c r="Z354" s="3"/>
    </row>
    <row r="355" spans="1:26" ht="15.75" customHeight="1">
      <c r="A355" s="3"/>
      <c r="B355" s="2"/>
      <c r="C355" s="2"/>
      <c r="D355" s="2"/>
      <c r="E355" s="2"/>
      <c r="F355" s="2"/>
      <c r="G355" s="2"/>
      <c r="H355" s="2"/>
      <c r="I355" s="2"/>
      <c r="J355" s="564"/>
      <c r="K355" s="564"/>
      <c r="L355" s="564"/>
      <c r="M355" s="564"/>
      <c r="N355" s="564"/>
      <c r="O355" s="3"/>
      <c r="P355" s="3"/>
      <c r="Q355" s="3"/>
      <c r="R355" s="3"/>
      <c r="S355" s="3"/>
      <c r="T355" s="3"/>
      <c r="U355" s="3"/>
      <c r="V355" s="3"/>
      <c r="W355" s="3"/>
      <c r="X355" s="3"/>
      <c r="Y355" s="3"/>
      <c r="Z355" s="3"/>
    </row>
    <row r="356" spans="1:26" ht="15.75" customHeight="1">
      <c r="A356" s="3"/>
      <c r="B356" s="2"/>
      <c r="C356" s="2"/>
      <c r="D356" s="2"/>
      <c r="E356" s="2"/>
      <c r="F356" s="2"/>
      <c r="G356" s="2"/>
      <c r="H356" s="2"/>
      <c r="I356" s="2"/>
      <c r="J356" s="564"/>
      <c r="K356" s="564"/>
      <c r="L356" s="564"/>
      <c r="M356" s="564"/>
      <c r="N356" s="564"/>
      <c r="O356" s="3"/>
      <c r="P356" s="3"/>
      <c r="Q356" s="3"/>
      <c r="R356" s="3"/>
      <c r="S356" s="3"/>
      <c r="T356" s="3"/>
      <c r="U356" s="3"/>
      <c r="V356" s="3"/>
      <c r="W356" s="3"/>
      <c r="X356" s="3"/>
      <c r="Y356" s="3"/>
      <c r="Z356" s="3"/>
    </row>
    <row r="357" spans="1:26" ht="15.75" customHeight="1">
      <c r="A357" s="3"/>
      <c r="B357" s="2"/>
      <c r="C357" s="2"/>
      <c r="D357" s="2"/>
      <c r="E357" s="2"/>
      <c r="F357" s="2"/>
      <c r="G357" s="2"/>
      <c r="H357" s="2"/>
      <c r="I357" s="2"/>
      <c r="J357" s="564"/>
      <c r="K357" s="564"/>
      <c r="L357" s="564"/>
      <c r="M357" s="564"/>
      <c r="N357" s="564"/>
      <c r="O357" s="3"/>
      <c r="P357" s="3"/>
      <c r="Q357" s="3"/>
      <c r="R357" s="3"/>
      <c r="S357" s="3"/>
      <c r="T357" s="3"/>
      <c r="U357" s="3"/>
      <c r="V357" s="3"/>
      <c r="W357" s="3"/>
      <c r="X357" s="3"/>
      <c r="Y357" s="3"/>
      <c r="Z357" s="3"/>
    </row>
    <row r="358" spans="1:26" ht="15.75" customHeight="1">
      <c r="A358" s="3"/>
      <c r="B358" s="2"/>
      <c r="C358" s="2"/>
      <c r="D358" s="2"/>
      <c r="E358" s="2"/>
      <c r="F358" s="2"/>
      <c r="G358" s="2"/>
      <c r="H358" s="2"/>
      <c r="I358" s="2"/>
      <c r="J358" s="564"/>
      <c r="K358" s="564"/>
      <c r="L358" s="564"/>
      <c r="M358" s="564"/>
      <c r="N358" s="564"/>
      <c r="O358" s="3"/>
      <c r="P358" s="3"/>
      <c r="Q358" s="3"/>
      <c r="R358" s="3"/>
      <c r="S358" s="3"/>
      <c r="T358" s="3"/>
      <c r="U358" s="3"/>
      <c r="V358" s="3"/>
      <c r="W358" s="3"/>
      <c r="X358" s="3"/>
      <c r="Y358" s="3"/>
      <c r="Z358" s="3"/>
    </row>
    <row r="359" spans="1:26" ht="15.75" customHeight="1">
      <c r="A359" s="3"/>
      <c r="B359" s="2"/>
      <c r="C359" s="2"/>
      <c r="D359" s="2"/>
      <c r="E359" s="2"/>
      <c r="F359" s="2"/>
      <c r="G359" s="2"/>
      <c r="H359" s="2"/>
      <c r="I359" s="2"/>
      <c r="J359" s="564"/>
      <c r="K359" s="564"/>
      <c r="L359" s="564"/>
      <c r="M359" s="564"/>
      <c r="N359" s="564"/>
      <c r="O359" s="3"/>
      <c r="P359" s="3"/>
      <c r="Q359" s="3"/>
      <c r="R359" s="3"/>
      <c r="S359" s="3"/>
      <c r="T359" s="3"/>
      <c r="U359" s="3"/>
      <c r="V359" s="3"/>
      <c r="W359" s="3"/>
      <c r="X359" s="3"/>
      <c r="Y359" s="3"/>
      <c r="Z359" s="3"/>
    </row>
    <row r="360" spans="1:26" ht="15.75" customHeight="1">
      <c r="A360" s="3"/>
      <c r="B360" s="2"/>
      <c r="C360" s="2"/>
      <c r="D360" s="2"/>
      <c r="E360" s="2"/>
      <c r="F360" s="2"/>
      <c r="G360" s="2"/>
      <c r="H360" s="2"/>
      <c r="I360" s="2"/>
      <c r="J360" s="564"/>
      <c r="K360" s="564"/>
      <c r="L360" s="564"/>
      <c r="M360" s="564"/>
      <c r="N360" s="564"/>
      <c r="O360" s="3"/>
      <c r="P360" s="3"/>
      <c r="Q360" s="3"/>
      <c r="R360" s="3"/>
      <c r="S360" s="3"/>
      <c r="T360" s="3"/>
      <c r="U360" s="3"/>
      <c r="V360" s="3"/>
      <c r="W360" s="3"/>
      <c r="X360" s="3"/>
      <c r="Y360" s="3"/>
      <c r="Z360" s="3"/>
    </row>
    <row r="361" spans="1:26" ht="15.75" customHeight="1">
      <c r="A361" s="3"/>
      <c r="B361" s="2"/>
      <c r="C361" s="2"/>
      <c r="D361" s="2"/>
      <c r="E361" s="2"/>
      <c r="F361" s="2"/>
      <c r="G361" s="2"/>
      <c r="H361" s="2"/>
      <c r="I361" s="2"/>
      <c r="J361" s="564"/>
      <c r="K361" s="564"/>
      <c r="L361" s="564"/>
      <c r="M361" s="564"/>
      <c r="N361" s="564"/>
      <c r="O361" s="3"/>
      <c r="P361" s="3"/>
      <c r="Q361" s="3"/>
      <c r="R361" s="3"/>
      <c r="S361" s="3"/>
      <c r="T361" s="3"/>
      <c r="U361" s="3"/>
      <c r="V361" s="3"/>
      <c r="W361" s="3"/>
      <c r="X361" s="3"/>
      <c r="Y361" s="3"/>
      <c r="Z361" s="3"/>
    </row>
    <row r="362" spans="1:26" ht="15.75" customHeight="1">
      <c r="A362" s="3"/>
      <c r="B362" s="2"/>
      <c r="C362" s="2"/>
      <c r="D362" s="2"/>
      <c r="E362" s="2"/>
      <c r="F362" s="2"/>
      <c r="G362" s="2"/>
      <c r="H362" s="2"/>
      <c r="I362" s="2"/>
      <c r="J362" s="564"/>
      <c r="K362" s="564"/>
      <c r="L362" s="564"/>
      <c r="M362" s="564"/>
      <c r="N362" s="564"/>
      <c r="O362" s="3"/>
      <c r="P362" s="3"/>
      <c r="Q362" s="3"/>
      <c r="R362" s="3"/>
      <c r="S362" s="3"/>
      <c r="T362" s="3"/>
      <c r="U362" s="3"/>
      <c r="V362" s="3"/>
      <c r="W362" s="3"/>
      <c r="X362" s="3"/>
      <c r="Y362" s="3"/>
      <c r="Z362" s="3"/>
    </row>
    <row r="363" spans="1:26" ht="15.75" customHeight="1">
      <c r="A363" s="3"/>
      <c r="B363" s="2"/>
      <c r="C363" s="2"/>
      <c r="D363" s="2"/>
      <c r="E363" s="2"/>
      <c r="F363" s="2"/>
      <c r="G363" s="2"/>
      <c r="H363" s="2"/>
      <c r="I363" s="2"/>
      <c r="J363" s="564"/>
      <c r="K363" s="564"/>
      <c r="L363" s="564"/>
      <c r="M363" s="564"/>
      <c r="N363" s="564"/>
      <c r="O363" s="3"/>
      <c r="P363" s="3"/>
      <c r="Q363" s="3"/>
      <c r="R363" s="3"/>
      <c r="S363" s="3"/>
      <c r="T363" s="3"/>
      <c r="U363" s="3"/>
      <c r="V363" s="3"/>
      <c r="W363" s="3"/>
      <c r="X363" s="3"/>
      <c r="Y363" s="3"/>
      <c r="Z363" s="3"/>
    </row>
    <row r="364" spans="1:26" ht="15.75" customHeight="1">
      <c r="A364" s="3"/>
      <c r="B364" s="2"/>
      <c r="C364" s="2"/>
      <c r="D364" s="2"/>
      <c r="E364" s="2"/>
      <c r="F364" s="2"/>
      <c r="G364" s="2"/>
      <c r="H364" s="2"/>
      <c r="I364" s="2"/>
      <c r="J364" s="564"/>
      <c r="K364" s="564"/>
      <c r="L364" s="564"/>
      <c r="M364" s="564"/>
      <c r="N364" s="564"/>
      <c r="O364" s="3"/>
      <c r="P364" s="3"/>
      <c r="Q364" s="3"/>
      <c r="R364" s="3"/>
      <c r="S364" s="3"/>
      <c r="T364" s="3"/>
      <c r="U364" s="3"/>
      <c r="V364" s="3"/>
      <c r="W364" s="3"/>
      <c r="X364" s="3"/>
      <c r="Y364" s="3"/>
      <c r="Z364" s="3"/>
    </row>
    <row r="365" spans="1:26" ht="15.75" customHeight="1">
      <c r="A365" s="3"/>
      <c r="B365" s="2"/>
      <c r="C365" s="2"/>
      <c r="D365" s="2"/>
      <c r="E365" s="2"/>
      <c r="F365" s="2"/>
      <c r="G365" s="2"/>
      <c r="H365" s="2"/>
      <c r="I365" s="2"/>
      <c r="J365" s="564"/>
      <c r="K365" s="564"/>
      <c r="L365" s="564"/>
      <c r="M365" s="564"/>
      <c r="N365" s="564"/>
      <c r="O365" s="3"/>
      <c r="P365" s="3"/>
      <c r="Q365" s="3"/>
      <c r="R365" s="3"/>
      <c r="S365" s="3"/>
      <c r="T365" s="3"/>
      <c r="U365" s="3"/>
      <c r="V365" s="3"/>
      <c r="W365" s="3"/>
      <c r="X365" s="3"/>
      <c r="Y365" s="3"/>
      <c r="Z365" s="3"/>
    </row>
    <row r="366" spans="1:26" ht="15.75" customHeight="1">
      <c r="A366" s="3"/>
      <c r="B366" s="2"/>
      <c r="C366" s="2"/>
      <c r="D366" s="2"/>
      <c r="E366" s="2"/>
      <c r="F366" s="2"/>
      <c r="G366" s="2"/>
      <c r="H366" s="2"/>
      <c r="I366" s="2"/>
      <c r="J366" s="564"/>
      <c r="K366" s="564"/>
      <c r="L366" s="564"/>
      <c r="M366" s="564"/>
      <c r="N366" s="564"/>
      <c r="O366" s="3"/>
      <c r="P366" s="3"/>
      <c r="Q366" s="3"/>
      <c r="R366" s="3"/>
      <c r="S366" s="3"/>
      <c r="T366" s="3"/>
      <c r="U366" s="3"/>
      <c r="V366" s="3"/>
      <c r="W366" s="3"/>
      <c r="X366" s="3"/>
      <c r="Y366" s="3"/>
      <c r="Z366" s="3"/>
    </row>
    <row r="367" spans="1:26" ht="15.75" customHeight="1">
      <c r="A367" s="3"/>
      <c r="B367" s="2"/>
      <c r="C367" s="2"/>
      <c r="D367" s="2"/>
      <c r="E367" s="2"/>
      <c r="F367" s="2"/>
      <c r="G367" s="2"/>
      <c r="H367" s="2"/>
      <c r="I367" s="2"/>
      <c r="J367" s="564"/>
      <c r="K367" s="564"/>
      <c r="L367" s="564"/>
      <c r="M367" s="564"/>
      <c r="N367" s="564"/>
      <c r="O367" s="3"/>
      <c r="P367" s="3"/>
      <c r="Q367" s="3"/>
      <c r="R367" s="3"/>
      <c r="S367" s="3"/>
      <c r="T367" s="3"/>
      <c r="U367" s="3"/>
      <c r="V367" s="3"/>
      <c r="W367" s="3"/>
      <c r="X367" s="3"/>
      <c r="Y367" s="3"/>
      <c r="Z367" s="3"/>
    </row>
    <row r="368" spans="1:26" ht="15.75" customHeight="1">
      <c r="A368" s="3"/>
      <c r="B368" s="2"/>
      <c r="C368" s="2"/>
      <c r="D368" s="2"/>
      <c r="E368" s="2"/>
      <c r="F368" s="2"/>
      <c r="G368" s="2"/>
      <c r="H368" s="2"/>
      <c r="I368" s="2"/>
      <c r="J368" s="564"/>
      <c r="K368" s="564"/>
      <c r="L368" s="564"/>
      <c r="M368" s="564"/>
      <c r="N368" s="564"/>
      <c r="O368" s="3"/>
      <c r="P368" s="3"/>
      <c r="Q368" s="3"/>
      <c r="R368" s="3"/>
      <c r="S368" s="3"/>
      <c r="T368" s="3"/>
      <c r="U368" s="3"/>
      <c r="V368" s="3"/>
      <c r="W368" s="3"/>
      <c r="X368" s="3"/>
      <c r="Y368" s="3"/>
      <c r="Z368" s="3"/>
    </row>
    <row r="369" spans="1:26" ht="15.75" customHeight="1">
      <c r="A369" s="3"/>
      <c r="B369" s="2"/>
      <c r="C369" s="2"/>
      <c r="D369" s="2"/>
      <c r="E369" s="2"/>
      <c r="F369" s="2"/>
      <c r="G369" s="2"/>
      <c r="H369" s="2"/>
      <c r="I369" s="2"/>
      <c r="J369" s="564"/>
      <c r="K369" s="564"/>
      <c r="L369" s="564"/>
      <c r="M369" s="564"/>
      <c r="N369" s="564"/>
      <c r="O369" s="3"/>
      <c r="P369" s="3"/>
      <c r="Q369" s="3"/>
      <c r="R369" s="3"/>
      <c r="S369" s="3"/>
      <c r="T369" s="3"/>
      <c r="U369" s="3"/>
      <c r="V369" s="3"/>
      <c r="W369" s="3"/>
      <c r="X369" s="3"/>
      <c r="Y369" s="3"/>
      <c r="Z369" s="3"/>
    </row>
    <row r="370" spans="1:26" ht="15.75" customHeight="1">
      <c r="A370" s="3"/>
      <c r="B370" s="2"/>
      <c r="C370" s="2"/>
      <c r="D370" s="2"/>
      <c r="E370" s="2"/>
      <c r="F370" s="2"/>
      <c r="G370" s="2"/>
      <c r="H370" s="2"/>
      <c r="I370" s="2"/>
      <c r="J370" s="564"/>
      <c r="K370" s="564"/>
      <c r="L370" s="564"/>
      <c r="M370" s="564"/>
      <c r="N370" s="564"/>
      <c r="O370" s="3"/>
      <c r="P370" s="3"/>
      <c r="Q370" s="3"/>
      <c r="R370" s="3"/>
      <c r="S370" s="3"/>
      <c r="T370" s="3"/>
      <c r="U370" s="3"/>
      <c r="V370" s="3"/>
      <c r="W370" s="3"/>
      <c r="X370" s="3"/>
      <c r="Y370" s="3"/>
      <c r="Z370" s="3"/>
    </row>
    <row r="371" spans="1:26" ht="15.75" customHeight="1">
      <c r="A371" s="3"/>
      <c r="B371" s="2"/>
      <c r="C371" s="2"/>
      <c r="D371" s="2"/>
      <c r="E371" s="2"/>
      <c r="F371" s="2"/>
      <c r="G371" s="2"/>
      <c r="H371" s="2"/>
      <c r="I371" s="2"/>
      <c r="J371" s="564"/>
      <c r="K371" s="564"/>
      <c r="L371" s="564"/>
      <c r="M371" s="564"/>
      <c r="N371" s="564"/>
      <c r="O371" s="3"/>
      <c r="P371" s="3"/>
      <c r="Q371" s="3"/>
      <c r="R371" s="3"/>
      <c r="S371" s="3"/>
      <c r="T371" s="3"/>
      <c r="U371" s="3"/>
      <c r="V371" s="3"/>
      <c r="W371" s="3"/>
      <c r="X371" s="3"/>
      <c r="Y371" s="3"/>
      <c r="Z371" s="3"/>
    </row>
    <row r="372" spans="1:26" ht="15.75" customHeight="1">
      <c r="A372" s="3"/>
      <c r="B372" s="2"/>
      <c r="C372" s="2"/>
      <c r="D372" s="2"/>
      <c r="E372" s="2"/>
      <c r="F372" s="2"/>
      <c r="G372" s="2"/>
      <c r="H372" s="2"/>
      <c r="I372" s="2"/>
      <c r="J372" s="564"/>
      <c r="K372" s="564"/>
      <c r="L372" s="564"/>
      <c r="M372" s="564"/>
      <c r="N372" s="564"/>
      <c r="O372" s="3"/>
      <c r="P372" s="3"/>
      <c r="Q372" s="3"/>
      <c r="R372" s="3"/>
      <c r="S372" s="3"/>
      <c r="T372" s="3"/>
      <c r="U372" s="3"/>
      <c r="V372" s="3"/>
      <c r="W372" s="3"/>
      <c r="X372" s="3"/>
      <c r="Y372" s="3"/>
      <c r="Z372" s="3"/>
    </row>
    <row r="373" spans="1:26" ht="15.75" customHeight="1">
      <c r="A373" s="3"/>
      <c r="B373" s="2"/>
      <c r="C373" s="2"/>
      <c r="D373" s="2"/>
      <c r="E373" s="2"/>
      <c r="F373" s="2"/>
      <c r="G373" s="2"/>
      <c r="H373" s="2"/>
      <c r="I373" s="2"/>
      <c r="J373" s="564"/>
      <c r="K373" s="564"/>
      <c r="L373" s="564"/>
      <c r="M373" s="564"/>
      <c r="N373" s="564"/>
      <c r="O373" s="3"/>
      <c r="P373" s="3"/>
      <c r="Q373" s="3"/>
      <c r="R373" s="3"/>
      <c r="S373" s="3"/>
      <c r="T373" s="3"/>
      <c r="U373" s="3"/>
      <c r="V373" s="3"/>
      <c r="W373" s="3"/>
      <c r="X373" s="3"/>
      <c r="Y373" s="3"/>
      <c r="Z373" s="3"/>
    </row>
    <row r="374" spans="1:26" ht="15.75" customHeight="1">
      <c r="A374" s="3"/>
      <c r="B374" s="2"/>
      <c r="C374" s="2"/>
      <c r="D374" s="2"/>
      <c r="E374" s="2"/>
      <c r="F374" s="2"/>
      <c r="G374" s="2"/>
      <c r="H374" s="2"/>
      <c r="I374" s="2"/>
      <c r="J374" s="564"/>
      <c r="K374" s="564"/>
      <c r="L374" s="564"/>
      <c r="M374" s="564"/>
      <c r="N374" s="564"/>
      <c r="O374" s="3"/>
      <c r="P374" s="3"/>
      <c r="Q374" s="3"/>
      <c r="R374" s="3"/>
      <c r="S374" s="3"/>
      <c r="T374" s="3"/>
      <c r="U374" s="3"/>
      <c r="V374" s="3"/>
      <c r="W374" s="3"/>
      <c r="X374" s="3"/>
      <c r="Y374" s="3"/>
      <c r="Z374" s="3"/>
    </row>
    <row r="375" spans="1:26" ht="15.75" customHeight="1">
      <c r="A375" s="3"/>
      <c r="B375" s="2"/>
      <c r="C375" s="2"/>
      <c r="D375" s="2"/>
      <c r="E375" s="2"/>
      <c r="F375" s="2"/>
      <c r="G375" s="2"/>
      <c r="H375" s="2"/>
      <c r="I375" s="2"/>
      <c r="J375" s="564"/>
      <c r="K375" s="564"/>
      <c r="L375" s="564"/>
      <c r="M375" s="564"/>
      <c r="N375" s="564"/>
      <c r="O375" s="3"/>
      <c r="P375" s="3"/>
      <c r="Q375" s="3"/>
      <c r="R375" s="3"/>
      <c r="S375" s="3"/>
      <c r="T375" s="3"/>
      <c r="U375" s="3"/>
      <c r="V375" s="3"/>
      <c r="W375" s="3"/>
      <c r="X375" s="3"/>
      <c r="Y375" s="3"/>
      <c r="Z375" s="3"/>
    </row>
    <row r="376" spans="1:26" ht="15.75" customHeight="1">
      <c r="A376" s="3"/>
      <c r="B376" s="2"/>
      <c r="C376" s="2"/>
      <c r="D376" s="2"/>
      <c r="E376" s="2"/>
      <c r="F376" s="2"/>
      <c r="G376" s="2"/>
      <c r="H376" s="2"/>
      <c r="I376" s="2"/>
      <c r="J376" s="564"/>
      <c r="K376" s="564"/>
      <c r="L376" s="564"/>
      <c r="M376" s="564"/>
      <c r="N376" s="564"/>
      <c r="O376" s="3"/>
      <c r="P376" s="3"/>
      <c r="Q376" s="3"/>
      <c r="R376" s="3"/>
      <c r="S376" s="3"/>
      <c r="T376" s="3"/>
      <c r="U376" s="3"/>
      <c r="V376" s="3"/>
      <c r="W376" s="3"/>
      <c r="X376" s="3"/>
      <c r="Y376" s="3"/>
      <c r="Z376" s="3"/>
    </row>
    <row r="377" spans="1:26" ht="15.75" customHeight="1">
      <c r="A377" s="3"/>
      <c r="B377" s="2"/>
      <c r="C377" s="2"/>
      <c r="D377" s="2"/>
      <c r="E377" s="2"/>
      <c r="F377" s="2"/>
      <c r="G377" s="2"/>
      <c r="H377" s="2"/>
      <c r="I377" s="2"/>
      <c r="J377" s="564"/>
      <c r="K377" s="564"/>
      <c r="L377" s="564"/>
      <c r="M377" s="564"/>
      <c r="N377" s="564"/>
      <c r="O377" s="3"/>
      <c r="P377" s="3"/>
      <c r="Q377" s="3"/>
      <c r="R377" s="3"/>
      <c r="S377" s="3"/>
      <c r="T377" s="3"/>
      <c r="U377" s="3"/>
      <c r="V377" s="3"/>
      <c r="W377" s="3"/>
      <c r="X377" s="3"/>
      <c r="Y377" s="3"/>
      <c r="Z377" s="3"/>
    </row>
    <row r="378" spans="1:26" ht="15.75" customHeight="1">
      <c r="A378" s="3"/>
      <c r="B378" s="2"/>
      <c r="C378" s="2"/>
      <c r="D378" s="2"/>
      <c r="E378" s="2"/>
      <c r="F378" s="2"/>
      <c r="G378" s="2"/>
      <c r="H378" s="2"/>
      <c r="I378" s="2"/>
      <c r="J378" s="564"/>
      <c r="K378" s="564"/>
      <c r="L378" s="564"/>
      <c r="M378" s="564"/>
      <c r="N378" s="564"/>
      <c r="O378" s="3"/>
      <c r="P378" s="3"/>
      <c r="Q378" s="3"/>
      <c r="R378" s="3"/>
      <c r="S378" s="3"/>
      <c r="T378" s="3"/>
      <c r="U378" s="3"/>
      <c r="V378" s="3"/>
      <c r="W378" s="3"/>
      <c r="X378" s="3"/>
      <c r="Y378" s="3"/>
      <c r="Z378" s="3"/>
    </row>
    <row r="379" spans="1:26" ht="15.75" customHeight="1">
      <c r="A379" s="3"/>
      <c r="B379" s="2"/>
      <c r="C379" s="2"/>
      <c r="D379" s="2"/>
      <c r="E379" s="2"/>
      <c r="F379" s="2"/>
      <c r="G379" s="2"/>
      <c r="H379" s="2"/>
      <c r="I379" s="2"/>
      <c r="J379" s="564"/>
      <c r="K379" s="564"/>
      <c r="L379" s="564"/>
      <c r="M379" s="564"/>
      <c r="N379" s="564"/>
      <c r="O379" s="3"/>
      <c r="P379" s="3"/>
      <c r="Q379" s="3"/>
      <c r="R379" s="3"/>
      <c r="S379" s="3"/>
      <c r="T379" s="3"/>
      <c r="U379" s="3"/>
      <c r="V379" s="3"/>
      <c r="W379" s="3"/>
      <c r="X379" s="3"/>
      <c r="Y379" s="3"/>
      <c r="Z379" s="3"/>
    </row>
    <row r="380" spans="1:26" ht="15.75" customHeight="1">
      <c r="A380" s="3"/>
      <c r="B380" s="2"/>
      <c r="C380" s="2"/>
      <c r="D380" s="2"/>
      <c r="E380" s="2"/>
      <c r="F380" s="2"/>
      <c r="G380" s="2"/>
      <c r="H380" s="2"/>
      <c r="I380" s="2"/>
      <c r="J380" s="564"/>
      <c r="K380" s="564"/>
      <c r="L380" s="564"/>
      <c r="M380" s="564"/>
      <c r="N380" s="564"/>
      <c r="O380" s="3"/>
      <c r="P380" s="3"/>
      <c r="Q380" s="3"/>
      <c r="R380" s="3"/>
      <c r="S380" s="3"/>
      <c r="T380" s="3"/>
      <c r="U380" s="3"/>
      <c r="V380" s="3"/>
      <c r="W380" s="3"/>
      <c r="X380" s="3"/>
      <c r="Y380" s="3"/>
      <c r="Z380" s="3"/>
    </row>
    <row r="381" spans="1:26" ht="15.75" customHeight="1">
      <c r="A381" s="3"/>
      <c r="B381" s="2"/>
      <c r="C381" s="2"/>
      <c r="D381" s="2"/>
      <c r="E381" s="2"/>
      <c r="F381" s="2"/>
      <c r="G381" s="2"/>
      <c r="H381" s="2"/>
      <c r="I381" s="2"/>
      <c r="J381" s="564"/>
      <c r="K381" s="564"/>
      <c r="L381" s="564"/>
      <c r="M381" s="564"/>
      <c r="N381" s="564"/>
      <c r="O381" s="3"/>
      <c r="P381" s="3"/>
      <c r="Q381" s="3"/>
      <c r="R381" s="3"/>
      <c r="S381" s="3"/>
      <c r="T381" s="3"/>
      <c r="U381" s="3"/>
      <c r="V381" s="3"/>
      <c r="W381" s="3"/>
      <c r="X381" s="3"/>
      <c r="Y381" s="3"/>
      <c r="Z381" s="3"/>
    </row>
    <row r="382" spans="1:26" ht="15.75" customHeight="1">
      <c r="A382" s="3"/>
      <c r="B382" s="2"/>
      <c r="C382" s="2"/>
      <c r="D382" s="2"/>
      <c r="E382" s="2"/>
      <c r="F382" s="2"/>
      <c r="G382" s="2"/>
      <c r="H382" s="2"/>
      <c r="I382" s="2"/>
      <c r="J382" s="564"/>
      <c r="K382" s="564"/>
      <c r="L382" s="564"/>
      <c r="M382" s="564"/>
      <c r="N382" s="564"/>
      <c r="O382" s="3"/>
      <c r="P382" s="3"/>
      <c r="Q382" s="3"/>
      <c r="R382" s="3"/>
      <c r="S382" s="3"/>
      <c r="T382" s="3"/>
      <c r="U382" s="3"/>
      <c r="V382" s="3"/>
      <c r="W382" s="3"/>
      <c r="X382" s="3"/>
      <c r="Y382" s="3"/>
      <c r="Z382" s="3"/>
    </row>
    <row r="383" spans="1:26" ht="15.75" customHeight="1">
      <c r="A383" s="3"/>
      <c r="B383" s="2"/>
      <c r="C383" s="2"/>
      <c r="D383" s="2"/>
      <c r="E383" s="2"/>
      <c r="F383" s="2"/>
      <c r="G383" s="2"/>
      <c r="H383" s="2"/>
      <c r="I383" s="2"/>
      <c r="J383" s="564"/>
      <c r="K383" s="564"/>
      <c r="L383" s="564"/>
      <c r="M383" s="564"/>
      <c r="N383" s="564"/>
      <c r="O383" s="3"/>
      <c r="P383" s="3"/>
      <c r="Q383" s="3"/>
      <c r="R383" s="3"/>
      <c r="S383" s="3"/>
      <c r="T383" s="3"/>
      <c r="U383" s="3"/>
      <c r="V383" s="3"/>
      <c r="W383" s="3"/>
      <c r="X383" s="3"/>
      <c r="Y383" s="3"/>
      <c r="Z383" s="3"/>
    </row>
    <row r="384" spans="1:26" ht="15.75" customHeight="1">
      <c r="A384" s="3"/>
      <c r="B384" s="2"/>
      <c r="C384" s="2"/>
      <c r="D384" s="2"/>
      <c r="E384" s="2"/>
      <c r="F384" s="2"/>
      <c r="G384" s="2"/>
      <c r="H384" s="2"/>
      <c r="I384" s="2"/>
      <c r="J384" s="564"/>
      <c r="K384" s="564"/>
      <c r="L384" s="564"/>
      <c r="M384" s="564"/>
      <c r="N384" s="564"/>
      <c r="O384" s="3"/>
      <c r="P384" s="3"/>
      <c r="Q384" s="3"/>
      <c r="R384" s="3"/>
      <c r="S384" s="3"/>
      <c r="T384" s="3"/>
      <c r="U384" s="3"/>
      <c r="V384" s="3"/>
      <c r="W384" s="3"/>
      <c r="X384" s="3"/>
      <c r="Y384" s="3"/>
      <c r="Z384" s="3"/>
    </row>
    <row r="385" spans="1:26" ht="15.75" customHeight="1">
      <c r="A385" s="3"/>
      <c r="B385" s="2"/>
      <c r="C385" s="2"/>
      <c r="D385" s="2"/>
      <c r="E385" s="2"/>
      <c r="F385" s="2"/>
      <c r="G385" s="2"/>
      <c r="H385" s="2"/>
      <c r="I385" s="2"/>
      <c r="J385" s="564"/>
      <c r="K385" s="564"/>
      <c r="L385" s="564"/>
      <c r="M385" s="564"/>
      <c r="N385" s="564"/>
      <c r="O385" s="3"/>
      <c r="P385" s="3"/>
      <c r="Q385" s="3"/>
      <c r="R385" s="3"/>
      <c r="S385" s="3"/>
      <c r="T385" s="3"/>
      <c r="U385" s="3"/>
      <c r="V385" s="3"/>
      <c r="W385" s="3"/>
      <c r="X385" s="3"/>
      <c r="Y385" s="3"/>
      <c r="Z385" s="3"/>
    </row>
    <row r="386" spans="1:26" ht="15.75" customHeight="1">
      <c r="A386" s="3"/>
      <c r="B386" s="2"/>
      <c r="C386" s="2"/>
      <c r="D386" s="2"/>
      <c r="E386" s="2"/>
      <c r="F386" s="2"/>
      <c r="G386" s="2"/>
      <c r="H386" s="2"/>
      <c r="I386" s="2"/>
      <c r="J386" s="564"/>
      <c r="K386" s="564"/>
      <c r="L386" s="564"/>
      <c r="M386" s="564"/>
      <c r="N386" s="564"/>
      <c r="O386" s="3"/>
      <c r="P386" s="3"/>
      <c r="Q386" s="3"/>
      <c r="R386" s="3"/>
      <c r="S386" s="3"/>
      <c r="T386" s="3"/>
      <c r="U386" s="3"/>
      <c r="V386" s="3"/>
      <c r="W386" s="3"/>
      <c r="X386" s="3"/>
      <c r="Y386" s="3"/>
      <c r="Z386" s="3"/>
    </row>
    <row r="387" spans="1:26" ht="15.75" customHeight="1">
      <c r="A387" s="3"/>
      <c r="B387" s="2"/>
      <c r="C387" s="2"/>
      <c r="D387" s="2"/>
      <c r="E387" s="2"/>
      <c r="F387" s="2"/>
      <c r="G387" s="2"/>
      <c r="H387" s="2"/>
      <c r="I387" s="2"/>
      <c r="J387" s="564"/>
      <c r="K387" s="564"/>
      <c r="L387" s="564"/>
      <c r="M387" s="564"/>
      <c r="N387" s="564"/>
      <c r="O387" s="3"/>
      <c r="P387" s="3"/>
      <c r="Q387" s="3"/>
      <c r="R387" s="3"/>
      <c r="S387" s="3"/>
      <c r="T387" s="3"/>
      <c r="U387" s="3"/>
      <c r="V387" s="3"/>
      <c r="W387" s="3"/>
      <c r="X387" s="3"/>
      <c r="Y387" s="3"/>
      <c r="Z387" s="3"/>
    </row>
    <row r="388" spans="1:26" ht="15.75" customHeight="1">
      <c r="A388" s="3"/>
      <c r="B388" s="2"/>
      <c r="C388" s="2"/>
      <c r="D388" s="2"/>
      <c r="E388" s="2"/>
      <c r="F388" s="2"/>
      <c r="G388" s="2"/>
      <c r="H388" s="2"/>
      <c r="I388" s="2"/>
      <c r="J388" s="564"/>
      <c r="K388" s="564"/>
      <c r="L388" s="564"/>
      <c r="M388" s="564"/>
      <c r="N388" s="564"/>
      <c r="O388" s="3"/>
      <c r="P388" s="3"/>
      <c r="Q388" s="3"/>
      <c r="R388" s="3"/>
      <c r="S388" s="3"/>
      <c r="T388" s="3"/>
      <c r="U388" s="3"/>
      <c r="V388" s="3"/>
      <c r="W388" s="3"/>
      <c r="X388" s="3"/>
      <c r="Y388" s="3"/>
      <c r="Z388" s="3"/>
    </row>
    <row r="389" spans="1:26" ht="15.75" customHeight="1">
      <c r="A389" s="3"/>
      <c r="B389" s="2"/>
      <c r="C389" s="2"/>
      <c r="D389" s="2"/>
      <c r="E389" s="2"/>
      <c r="F389" s="2"/>
      <c r="G389" s="2"/>
      <c r="H389" s="2"/>
      <c r="I389" s="2"/>
      <c r="J389" s="564"/>
      <c r="K389" s="564"/>
      <c r="L389" s="564"/>
      <c r="M389" s="564"/>
      <c r="N389" s="564"/>
      <c r="O389" s="3"/>
      <c r="P389" s="3"/>
      <c r="Q389" s="3"/>
      <c r="R389" s="3"/>
      <c r="S389" s="3"/>
      <c r="T389" s="3"/>
      <c r="U389" s="3"/>
      <c r="V389" s="3"/>
      <c r="W389" s="3"/>
      <c r="X389" s="3"/>
      <c r="Y389" s="3"/>
      <c r="Z389" s="3"/>
    </row>
    <row r="390" spans="1:26" ht="15.75" customHeight="1">
      <c r="A390" s="3"/>
      <c r="B390" s="2"/>
      <c r="C390" s="2"/>
      <c r="D390" s="2"/>
      <c r="E390" s="2"/>
      <c r="F390" s="2"/>
      <c r="G390" s="2"/>
      <c r="H390" s="2"/>
      <c r="I390" s="2"/>
      <c r="J390" s="564"/>
      <c r="K390" s="564"/>
      <c r="L390" s="564"/>
      <c r="M390" s="564"/>
      <c r="N390" s="564"/>
      <c r="O390" s="3"/>
      <c r="P390" s="3"/>
      <c r="Q390" s="3"/>
      <c r="R390" s="3"/>
      <c r="S390" s="3"/>
      <c r="T390" s="3"/>
      <c r="U390" s="3"/>
      <c r="V390" s="3"/>
      <c r="W390" s="3"/>
      <c r="X390" s="3"/>
      <c r="Y390" s="3"/>
      <c r="Z390" s="3"/>
    </row>
    <row r="391" spans="1:26" ht="15.75" customHeight="1">
      <c r="A391" s="3"/>
      <c r="B391" s="2"/>
      <c r="C391" s="2"/>
      <c r="D391" s="2"/>
      <c r="E391" s="2"/>
      <c r="F391" s="2"/>
      <c r="G391" s="2"/>
      <c r="H391" s="2"/>
      <c r="I391" s="2"/>
      <c r="J391" s="564"/>
      <c r="K391" s="564"/>
      <c r="L391" s="564"/>
      <c r="M391" s="564"/>
      <c r="N391" s="564"/>
      <c r="O391" s="3"/>
      <c r="P391" s="3"/>
      <c r="Q391" s="3"/>
      <c r="R391" s="3"/>
      <c r="S391" s="3"/>
      <c r="T391" s="3"/>
      <c r="U391" s="3"/>
      <c r="V391" s="3"/>
      <c r="W391" s="3"/>
      <c r="X391" s="3"/>
      <c r="Y391" s="3"/>
      <c r="Z391" s="3"/>
    </row>
    <row r="392" spans="1:26" ht="15.75" customHeight="1">
      <c r="A392" s="3"/>
      <c r="B392" s="2"/>
      <c r="C392" s="2"/>
      <c r="D392" s="2"/>
      <c r="E392" s="2"/>
      <c r="F392" s="2"/>
      <c r="G392" s="2"/>
      <c r="H392" s="2"/>
      <c r="I392" s="2"/>
      <c r="J392" s="564"/>
      <c r="K392" s="564"/>
      <c r="L392" s="564"/>
      <c r="M392" s="564"/>
      <c r="N392" s="564"/>
      <c r="O392" s="3"/>
      <c r="P392" s="3"/>
      <c r="Q392" s="3"/>
      <c r="R392" s="3"/>
      <c r="S392" s="3"/>
      <c r="T392" s="3"/>
      <c r="U392" s="3"/>
      <c r="V392" s="3"/>
      <c r="W392" s="3"/>
      <c r="X392" s="3"/>
      <c r="Y392" s="3"/>
      <c r="Z392" s="3"/>
    </row>
    <row r="393" spans="1:26" ht="15.75" customHeight="1">
      <c r="A393" s="3"/>
      <c r="B393" s="2"/>
      <c r="C393" s="2"/>
      <c r="D393" s="2"/>
      <c r="E393" s="2"/>
      <c r="F393" s="2"/>
      <c r="G393" s="2"/>
      <c r="H393" s="2"/>
      <c r="I393" s="2"/>
      <c r="J393" s="564"/>
      <c r="K393" s="564"/>
      <c r="L393" s="564"/>
      <c r="M393" s="564"/>
      <c r="N393" s="564"/>
      <c r="O393" s="3"/>
      <c r="P393" s="3"/>
      <c r="Q393" s="3"/>
      <c r="R393" s="3"/>
      <c r="S393" s="3"/>
      <c r="T393" s="3"/>
      <c r="U393" s="3"/>
      <c r="V393" s="3"/>
      <c r="W393" s="3"/>
      <c r="X393" s="3"/>
      <c r="Y393" s="3"/>
      <c r="Z393" s="3"/>
    </row>
    <row r="394" spans="1:26" ht="15.75" customHeight="1">
      <c r="A394" s="3"/>
      <c r="B394" s="2"/>
      <c r="C394" s="2"/>
      <c r="D394" s="2"/>
      <c r="E394" s="2"/>
      <c r="F394" s="2"/>
      <c r="G394" s="2"/>
      <c r="H394" s="2"/>
      <c r="I394" s="2"/>
      <c r="J394" s="564"/>
      <c r="K394" s="564"/>
      <c r="L394" s="564"/>
      <c r="M394" s="564"/>
      <c r="N394" s="564"/>
      <c r="O394" s="3"/>
      <c r="P394" s="3"/>
      <c r="Q394" s="3"/>
      <c r="R394" s="3"/>
      <c r="S394" s="3"/>
      <c r="T394" s="3"/>
      <c r="U394" s="3"/>
      <c r="V394" s="3"/>
      <c r="W394" s="3"/>
      <c r="X394" s="3"/>
      <c r="Y394" s="3"/>
      <c r="Z394" s="3"/>
    </row>
    <row r="395" spans="1:26" ht="15.75" customHeight="1">
      <c r="A395" s="3"/>
      <c r="B395" s="2"/>
      <c r="C395" s="2"/>
      <c r="D395" s="2"/>
      <c r="E395" s="2"/>
      <c r="F395" s="2"/>
      <c r="G395" s="2"/>
      <c r="H395" s="2"/>
      <c r="I395" s="2"/>
      <c r="J395" s="564"/>
      <c r="K395" s="564"/>
      <c r="L395" s="564"/>
      <c r="M395" s="564"/>
      <c r="N395" s="564"/>
      <c r="O395" s="3"/>
      <c r="P395" s="3"/>
      <c r="Q395" s="3"/>
      <c r="R395" s="3"/>
      <c r="S395" s="3"/>
      <c r="T395" s="3"/>
      <c r="U395" s="3"/>
      <c r="V395" s="3"/>
      <c r="W395" s="3"/>
      <c r="X395" s="3"/>
      <c r="Y395" s="3"/>
      <c r="Z395" s="3"/>
    </row>
    <row r="396" spans="1:26" ht="15.75" customHeight="1">
      <c r="A396" s="3"/>
      <c r="B396" s="2"/>
      <c r="C396" s="2"/>
      <c r="D396" s="2"/>
      <c r="E396" s="2"/>
      <c r="F396" s="2"/>
      <c r="G396" s="2"/>
      <c r="H396" s="2"/>
      <c r="I396" s="2"/>
      <c r="J396" s="564"/>
      <c r="K396" s="564"/>
      <c r="L396" s="564"/>
      <c r="M396" s="564"/>
      <c r="N396" s="564"/>
      <c r="O396" s="3"/>
      <c r="P396" s="3"/>
      <c r="Q396" s="3"/>
      <c r="R396" s="3"/>
      <c r="S396" s="3"/>
      <c r="T396" s="3"/>
      <c r="U396" s="3"/>
      <c r="V396" s="3"/>
      <c r="W396" s="3"/>
      <c r="X396" s="3"/>
      <c r="Y396" s="3"/>
      <c r="Z396" s="3"/>
    </row>
    <row r="397" spans="1:26" ht="15.75" customHeight="1">
      <c r="A397" s="3"/>
      <c r="B397" s="2"/>
      <c r="C397" s="2"/>
      <c r="D397" s="2"/>
      <c r="E397" s="2"/>
      <c r="F397" s="2"/>
      <c r="G397" s="2"/>
      <c r="H397" s="2"/>
      <c r="I397" s="2"/>
      <c r="J397" s="564"/>
      <c r="K397" s="564"/>
      <c r="L397" s="564"/>
      <c r="M397" s="564"/>
      <c r="N397" s="564"/>
      <c r="O397" s="3"/>
      <c r="P397" s="3"/>
      <c r="Q397" s="3"/>
      <c r="R397" s="3"/>
      <c r="S397" s="3"/>
      <c r="T397" s="3"/>
      <c r="U397" s="3"/>
      <c r="V397" s="3"/>
      <c r="W397" s="3"/>
      <c r="X397" s="3"/>
      <c r="Y397" s="3"/>
      <c r="Z397" s="3"/>
    </row>
    <row r="398" spans="1:26" ht="15.75" customHeight="1">
      <c r="A398" s="3"/>
      <c r="B398" s="2"/>
      <c r="C398" s="2"/>
      <c r="D398" s="2"/>
      <c r="E398" s="2"/>
      <c r="F398" s="2"/>
      <c r="G398" s="2"/>
      <c r="H398" s="2"/>
      <c r="I398" s="2"/>
      <c r="J398" s="564"/>
      <c r="K398" s="564"/>
      <c r="L398" s="564"/>
      <c r="M398" s="564"/>
      <c r="N398" s="564"/>
      <c r="O398" s="3"/>
      <c r="P398" s="3"/>
      <c r="Q398" s="3"/>
      <c r="R398" s="3"/>
      <c r="S398" s="3"/>
      <c r="T398" s="3"/>
      <c r="U398" s="3"/>
      <c r="V398" s="3"/>
      <c r="W398" s="3"/>
      <c r="X398" s="3"/>
      <c r="Y398" s="3"/>
      <c r="Z398" s="3"/>
    </row>
    <row r="399" spans="1:26" ht="15.75" customHeight="1">
      <c r="A399" s="3"/>
      <c r="B399" s="2"/>
      <c r="C399" s="2"/>
      <c r="D399" s="2"/>
      <c r="E399" s="2"/>
      <c r="F399" s="2"/>
      <c r="G399" s="2"/>
      <c r="H399" s="2"/>
      <c r="I399" s="2"/>
      <c r="J399" s="564"/>
      <c r="K399" s="564"/>
      <c r="L399" s="564"/>
      <c r="M399" s="564"/>
      <c r="N399" s="564"/>
      <c r="O399" s="3"/>
      <c r="P399" s="3"/>
      <c r="Q399" s="3"/>
      <c r="R399" s="3"/>
      <c r="S399" s="3"/>
      <c r="T399" s="3"/>
      <c r="U399" s="3"/>
      <c r="V399" s="3"/>
      <c r="W399" s="3"/>
      <c r="X399" s="3"/>
      <c r="Y399" s="3"/>
      <c r="Z399" s="3"/>
    </row>
    <row r="400" spans="1:26" ht="15.75" customHeight="1">
      <c r="A400" s="3"/>
      <c r="B400" s="2"/>
      <c r="C400" s="2"/>
      <c r="D400" s="2"/>
      <c r="E400" s="2"/>
      <c r="F400" s="2"/>
      <c r="G400" s="2"/>
      <c r="H400" s="2"/>
      <c r="I400" s="2"/>
      <c r="J400" s="564"/>
      <c r="K400" s="564"/>
      <c r="L400" s="564"/>
      <c r="M400" s="564"/>
      <c r="N400" s="564"/>
      <c r="O400" s="3"/>
      <c r="P400" s="3"/>
      <c r="Q400" s="3"/>
      <c r="R400" s="3"/>
      <c r="S400" s="3"/>
      <c r="T400" s="3"/>
      <c r="U400" s="3"/>
      <c r="V400" s="3"/>
      <c r="W400" s="3"/>
      <c r="X400" s="3"/>
      <c r="Y400" s="3"/>
      <c r="Z400" s="3"/>
    </row>
    <row r="401" spans="1:26" ht="15.75" customHeight="1">
      <c r="A401" s="3"/>
      <c r="B401" s="2"/>
      <c r="C401" s="2"/>
      <c r="D401" s="2"/>
      <c r="E401" s="2"/>
      <c r="F401" s="2"/>
      <c r="G401" s="2"/>
      <c r="H401" s="2"/>
      <c r="I401" s="2"/>
      <c r="J401" s="564"/>
      <c r="K401" s="564"/>
      <c r="L401" s="564"/>
      <c r="M401" s="564"/>
      <c r="N401" s="564"/>
      <c r="O401" s="3"/>
      <c r="P401" s="3"/>
      <c r="Q401" s="3"/>
      <c r="R401" s="3"/>
      <c r="S401" s="3"/>
      <c r="T401" s="3"/>
      <c r="U401" s="3"/>
      <c r="V401" s="3"/>
      <c r="W401" s="3"/>
      <c r="X401" s="3"/>
      <c r="Y401" s="3"/>
      <c r="Z401" s="3"/>
    </row>
    <row r="402" spans="1:26" ht="15.75" customHeight="1">
      <c r="A402" s="3"/>
      <c r="B402" s="2"/>
      <c r="C402" s="2"/>
      <c r="D402" s="2"/>
      <c r="E402" s="2"/>
      <c r="F402" s="2"/>
      <c r="G402" s="2"/>
      <c r="H402" s="2"/>
      <c r="I402" s="2"/>
      <c r="J402" s="564"/>
      <c r="K402" s="564"/>
      <c r="L402" s="564"/>
      <c r="M402" s="564"/>
      <c r="N402" s="564"/>
      <c r="O402" s="3"/>
      <c r="P402" s="3"/>
      <c r="Q402" s="3"/>
      <c r="R402" s="3"/>
      <c r="S402" s="3"/>
      <c r="T402" s="3"/>
      <c r="U402" s="3"/>
      <c r="V402" s="3"/>
      <c r="W402" s="3"/>
      <c r="X402" s="3"/>
      <c r="Y402" s="3"/>
      <c r="Z402" s="3"/>
    </row>
    <row r="403" spans="1:26" ht="15.75" customHeight="1">
      <c r="A403" s="3"/>
      <c r="B403" s="2"/>
      <c r="C403" s="2"/>
      <c r="D403" s="2"/>
      <c r="E403" s="2"/>
      <c r="F403" s="2"/>
      <c r="G403" s="2"/>
      <c r="H403" s="2"/>
      <c r="I403" s="2"/>
      <c r="J403" s="564"/>
      <c r="K403" s="564"/>
      <c r="L403" s="564"/>
      <c r="M403" s="564"/>
      <c r="N403" s="564"/>
      <c r="O403" s="3"/>
      <c r="P403" s="3"/>
      <c r="Q403" s="3"/>
      <c r="R403" s="3"/>
      <c r="S403" s="3"/>
      <c r="T403" s="3"/>
      <c r="U403" s="3"/>
      <c r="V403" s="3"/>
      <c r="W403" s="3"/>
      <c r="X403" s="3"/>
      <c r="Y403" s="3"/>
      <c r="Z403" s="3"/>
    </row>
    <row r="404" spans="1:26" ht="15.75" customHeight="1">
      <c r="A404" s="3"/>
      <c r="B404" s="2"/>
      <c r="C404" s="2"/>
      <c r="D404" s="2"/>
      <c r="E404" s="2"/>
      <c r="F404" s="2"/>
      <c r="G404" s="2"/>
      <c r="H404" s="2"/>
      <c r="I404" s="2"/>
      <c r="J404" s="564"/>
      <c r="K404" s="564"/>
      <c r="L404" s="564"/>
      <c r="M404" s="564"/>
      <c r="N404" s="564"/>
      <c r="O404" s="3"/>
      <c r="P404" s="3"/>
      <c r="Q404" s="3"/>
      <c r="R404" s="3"/>
      <c r="S404" s="3"/>
      <c r="T404" s="3"/>
      <c r="U404" s="3"/>
      <c r="V404" s="3"/>
      <c r="W404" s="3"/>
      <c r="X404" s="3"/>
      <c r="Y404" s="3"/>
      <c r="Z404" s="3"/>
    </row>
    <row r="405" spans="1:26" ht="15.75" customHeight="1">
      <c r="A405" s="3"/>
      <c r="B405" s="2"/>
      <c r="C405" s="2"/>
      <c r="D405" s="2"/>
      <c r="E405" s="2"/>
      <c r="F405" s="2"/>
      <c r="G405" s="2"/>
      <c r="H405" s="2"/>
      <c r="I405" s="2"/>
      <c r="J405" s="564"/>
      <c r="K405" s="564"/>
      <c r="L405" s="564"/>
      <c r="M405" s="564"/>
      <c r="N405" s="564"/>
      <c r="O405" s="3"/>
      <c r="P405" s="3"/>
      <c r="Q405" s="3"/>
      <c r="R405" s="3"/>
      <c r="S405" s="3"/>
      <c r="T405" s="3"/>
      <c r="U405" s="3"/>
      <c r="V405" s="3"/>
      <c r="W405" s="3"/>
      <c r="X405" s="3"/>
      <c r="Y405" s="3"/>
      <c r="Z405" s="3"/>
    </row>
    <row r="406" spans="1:26" ht="15.75" customHeight="1">
      <c r="A406" s="3"/>
      <c r="B406" s="2"/>
      <c r="C406" s="2"/>
      <c r="D406" s="2"/>
      <c r="E406" s="2"/>
      <c r="F406" s="2"/>
      <c r="G406" s="2"/>
      <c r="H406" s="2"/>
      <c r="I406" s="2"/>
      <c r="J406" s="564"/>
      <c r="K406" s="564"/>
      <c r="L406" s="564"/>
      <c r="M406" s="564"/>
      <c r="N406" s="564"/>
      <c r="O406" s="3"/>
      <c r="P406" s="3"/>
      <c r="Q406" s="3"/>
      <c r="R406" s="3"/>
      <c r="S406" s="3"/>
      <c r="T406" s="3"/>
      <c r="U406" s="3"/>
      <c r="V406" s="3"/>
      <c r="W406" s="3"/>
      <c r="X406" s="3"/>
      <c r="Y406" s="3"/>
      <c r="Z406" s="3"/>
    </row>
    <row r="407" spans="1:26" ht="15.75" customHeight="1">
      <c r="A407" s="3"/>
      <c r="B407" s="2"/>
      <c r="C407" s="2"/>
      <c r="D407" s="2"/>
      <c r="E407" s="2"/>
      <c r="F407" s="2"/>
      <c r="G407" s="2"/>
      <c r="H407" s="2"/>
      <c r="I407" s="2"/>
      <c r="J407" s="564"/>
      <c r="K407" s="564"/>
      <c r="L407" s="564"/>
      <c r="M407" s="564"/>
      <c r="N407" s="564"/>
      <c r="O407" s="3"/>
      <c r="P407" s="3"/>
      <c r="Q407" s="3"/>
      <c r="R407" s="3"/>
      <c r="S407" s="3"/>
      <c r="T407" s="3"/>
      <c r="U407" s="3"/>
      <c r="V407" s="3"/>
      <c r="W407" s="3"/>
      <c r="X407" s="3"/>
      <c r="Y407" s="3"/>
      <c r="Z407" s="3"/>
    </row>
    <row r="408" spans="1:26" ht="15.75" customHeight="1">
      <c r="A408" s="3"/>
      <c r="B408" s="2"/>
      <c r="C408" s="2"/>
      <c r="D408" s="2"/>
      <c r="E408" s="2"/>
      <c r="F408" s="2"/>
      <c r="G408" s="2"/>
      <c r="H408" s="2"/>
      <c r="I408" s="2"/>
      <c r="J408" s="564"/>
      <c r="K408" s="564"/>
      <c r="L408" s="564"/>
      <c r="M408" s="564"/>
      <c r="N408" s="564"/>
      <c r="O408" s="3"/>
      <c r="P408" s="3"/>
      <c r="Q408" s="3"/>
      <c r="R408" s="3"/>
      <c r="S408" s="3"/>
      <c r="T408" s="3"/>
      <c r="U408" s="3"/>
      <c r="V408" s="3"/>
      <c r="W408" s="3"/>
      <c r="X408" s="3"/>
      <c r="Y408" s="3"/>
      <c r="Z408" s="3"/>
    </row>
    <row r="409" spans="1:26" ht="15.75" customHeight="1">
      <c r="A409" s="3"/>
      <c r="B409" s="2"/>
      <c r="C409" s="2"/>
      <c r="D409" s="2"/>
      <c r="E409" s="2"/>
      <c r="F409" s="2"/>
      <c r="G409" s="2"/>
      <c r="H409" s="2"/>
      <c r="I409" s="2"/>
      <c r="J409" s="564"/>
      <c r="K409" s="564"/>
      <c r="L409" s="564"/>
      <c r="M409" s="564"/>
      <c r="N409" s="564"/>
      <c r="O409" s="3"/>
      <c r="P409" s="3"/>
      <c r="Q409" s="3"/>
      <c r="R409" s="3"/>
      <c r="S409" s="3"/>
      <c r="T409" s="3"/>
      <c r="U409" s="3"/>
      <c r="V409" s="3"/>
      <c r="W409" s="3"/>
      <c r="X409" s="3"/>
      <c r="Y409" s="3"/>
      <c r="Z409" s="3"/>
    </row>
    <row r="410" spans="1:26" ht="15.75" customHeight="1">
      <c r="A410" s="3"/>
      <c r="B410" s="2"/>
      <c r="C410" s="2"/>
      <c r="D410" s="2"/>
      <c r="E410" s="2"/>
      <c r="F410" s="2"/>
      <c r="G410" s="2"/>
      <c r="H410" s="2"/>
      <c r="I410" s="2"/>
      <c r="J410" s="564"/>
      <c r="K410" s="564"/>
      <c r="L410" s="564"/>
      <c r="M410" s="564"/>
      <c r="N410" s="564"/>
      <c r="O410" s="3"/>
      <c r="P410" s="3"/>
      <c r="Q410" s="3"/>
      <c r="R410" s="3"/>
      <c r="S410" s="3"/>
      <c r="T410" s="3"/>
      <c r="U410" s="3"/>
      <c r="V410" s="3"/>
      <c r="W410" s="3"/>
      <c r="X410" s="3"/>
      <c r="Y410" s="3"/>
      <c r="Z410" s="3"/>
    </row>
    <row r="411" spans="1:26" ht="15.75" customHeight="1">
      <c r="A411" s="3"/>
      <c r="B411" s="2"/>
      <c r="C411" s="2"/>
      <c r="D411" s="2"/>
      <c r="E411" s="2"/>
      <c r="F411" s="2"/>
      <c r="G411" s="2"/>
      <c r="H411" s="2"/>
      <c r="I411" s="2"/>
      <c r="J411" s="564"/>
      <c r="K411" s="564"/>
      <c r="L411" s="564"/>
      <c r="M411" s="564"/>
      <c r="N411" s="564"/>
      <c r="O411" s="3"/>
      <c r="P411" s="3"/>
      <c r="Q411" s="3"/>
      <c r="R411" s="3"/>
      <c r="S411" s="3"/>
      <c r="T411" s="3"/>
      <c r="U411" s="3"/>
      <c r="V411" s="3"/>
      <c r="W411" s="3"/>
      <c r="X411" s="3"/>
      <c r="Y411" s="3"/>
      <c r="Z411" s="3"/>
    </row>
    <row r="412" spans="1:26" ht="15.75" customHeight="1">
      <c r="A412" s="3"/>
      <c r="B412" s="2"/>
      <c r="C412" s="2"/>
      <c r="D412" s="2"/>
      <c r="E412" s="2"/>
      <c r="F412" s="2"/>
      <c r="G412" s="2"/>
      <c r="H412" s="2"/>
      <c r="I412" s="2"/>
      <c r="J412" s="564"/>
      <c r="K412" s="564"/>
      <c r="L412" s="564"/>
      <c r="M412" s="564"/>
      <c r="N412" s="564"/>
      <c r="O412" s="3"/>
      <c r="P412" s="3"/>
      <c r="Q412" s="3"/>
      <c r="R412" s="3"/>
      <c r="S412" s="3"/>
      <c r="T412" s="3"/>
      <c r="U412" s="3"/>
      <c r="V412" s="3"/>
      <c r="W412" s="3"/>
      <c r="X412" s="3"/>
      <c r="Y412" s="3"/>
      <c r="Z412" s="3"/>
    </row>
    <row r="413" spans="1:26" ht="15.75" customHeight="1">
      <c r="A413" s="3"/>
      <c r="B413" s="2"/>
      <c r="C413" s="2"/>
      <c r="D413" s="2"/>
      <c r="E413" s="2"/>
      <c r="F413" s="2"/>
      <c r="G413" s="2"/>
      <c r="H413" s="2"/>
      <c r="I413" s="2"/>
      <c r="J413" s="564"/>
      <c r="K413" s="564"/>
      <c r="L413" s="564"/>
      <c r="M413" s="564"/>
      <c r="N413" s="564"/>
      <c r="O413" s="3"/>
      <c r="P413" s="3"/>
      <c r="Q413" s="3"/>
      <c r="R413" s="3"/>
      <c r="S413" s="3"/>
      <c r="T413" s="3"/>
      <c r="U413" s="3"/>
      <c r="V413" s="3"/>
      <c r="W413" s="3"/>
      <c r="X413" s="3"/>
      <c r="Y413" s="3"/>
      <c r="Z413" s="3"/>
    </row>
    <row r="414" spans="1:26" ht="15.75" customHeight="1">
      <c r="A414" s="3"/>
      <c r="B414" s="2"/>
      <c r="C414" s="2"/>
      <c r="D414" s="2"/>
      <c r="E414" s="2"/>
      <c r="F414" s="2"/>
      <c r="G414" s="2"/>
      <c r="H414" s="2"/>
      <c r="I414" s="2"/>
      <c r="J414" s="564"/>
      <c r="K414" s="564"/>
      <c r="L414" s="564"/>
      <c r="M414" s="564"/>
      <c r="N414" s="564"/>
      <c r="O414" s="3"/>
      <c r="P414" s="3"/>
      <c r="Q414" s="3"/>
      <c r="R414" s="3"/>
      <c r="S414" s="3"/>
      <c r="T414" s="3"/>
      <c r="U414" s="3"/>
      <c r="V414" s="3"/>
      <c r="W414" s="3"/>
      <c r="X414" s="3"/>
      <c r="Y414" s="3"/>
      <c r="Z414" s="3"/>
    </row>
    <row r="415" spans="1:26" ht="15.75" customHeight="1">
      <c r="A415" s="3"/>
      <c r="B415" s="2"/>
      <c r="C415" s="2"/>
      <c r="D415" s="2"/>
      <c r="E415" s="2"/>
      <c r="F415" s="2"/>
      <c r="G415" s="2"/>
      <c r="H415" s="2"/>
      <c r="I415" s="2"/>
      <c r="J415" s="564"/>
      <c r="K415" s="564"/>
      <c r="L415" s="564"/>
      <c r="M415" s="564"/>
      <c r="N415" s="564"/>
      <c r="O415" s="3"/>
      <c r="P415" s="3"/>
      <c r="Q415" s="3"/>
      <c r="R415" s="3"/>
      <c r="S415" s="3"/>
      <c r="T415" s="3"/>
      <c r="U415" s="3"/>
      <c r="V415" s="3"/>
      <c r="W415" s="3"/>
      <c r="X415" s="3"/>
      <c r="Y415" s="3"/>
      <c r="Z415" s="3"/>
    </row>
    <row r="416" spans="1:26" ht="15.75" customHeight="1">
      <c r="A416" s="3"/>
      <c r="B416" s="2"/>
      <c r="C416" s="2"/>
      <c r="D416" s="2"/>
      <c r="E416" s="2"/>
      <c r="F416" s="2"/>
      <c r="G416" s="2"/>
      <c r="H416" s="2"/>
      <c r="I416" s="2"/>
      <c r="J416" s="564"/>
      <c r="K416" s="564"/>
      <c r="L416" s="564"/>
      <c r="M416" s="564"/>
      <c r="N416" s="564"/>
      <c r="O416" s="3"/>
      <c r="P416" s="3"/>
      <c r="Q416" s="3"/>
      <c r="R416" s="3"/>
      <c r="S416" s="3"/>
      <c r="T416" s="3"/>
      <c r="U416" s="3"/>
      <c r="V416" s="3"/>
      <c r="W416" s="3"/>
      <c r="X416" s="3"/>
      <c r="Y416" s="3"/>
      <c r="Z416" s="3"/>
    </row>
    <row r="417" spans="1:26" ht="15.75" customHeight="1">
      <c r="A417" s="3"/>
      <c r="B417" s="2"/>
      <c r="C417" s="2"/>
      <c r="D417" s="2"/>
      <c r="E417" s="2"/>
      <c r="F417" s="2"/>
      <c r="G417" s="2"/>
      <c r="H417" s="2"/>
      <c r="I417" s="2"/>
      <c r="J417" s="564"/>
      <c r="K417" s="564"/>
      <c r="L417" s="564"/>
      <c r="M417" s="564"/>
      <c r="N417" s="564"/>
      <c r="O417" s="3"/>
      <c r="P417" s="3"/>
      <c r="Q417" s="3"/>
      <c r="R417" s="3"/>
      <c r="S417" s="3"/>
      <c r="T417" s="3"/>
      <c r="U417" s="3"/>
      <c r="V417" s="3"/>
      <c r="W417" s="3"/>
      <c r="X417" s="3"/>
      <c r="Y417" s="3"/>
      <c r="Z417" s="3"/>
    </row>
    <row r="418" spans="1:26" ht="15.75" customHeight="1">
      <c r="A418" s="3"/>
      <c r="B418" s="2"/>
      <c r="C418" s="2"/>
      <c r="D418" s="2"/>
      <c r="E418" s="2"/>
      <c r="F418" s="2"/>
      <c r="G418" s="2"/>
      <c r="H418" s="2"/>
      <c r="I418" s="2"/>
      <c r="J418" s="564"/>
      <c r="K418" s="564"/>
      <c r="L418" s="564"/>
      <c r="M418" s="564"/>
      <c r="N418" s="564"/>
      <c r="O418" s="3"/>
      <c r="P418" s="3"/>
      <c r="Q418" s="3"/>
      <c r="R418" s="3"/>
      <c r="S418" s="3"/>
      <c r="T418" s="3"/>
      <c r="U418" s="3"/>
      <c r="V418" s="3"/>
      <c r="W418" s="3"/>
      <c r="X418" s="3"/>
      <c r="Y418" s="3"/>
      <c r="Z418" s="3"/>
    </row>
    <row r="419" spans="1:26" ht="15.75" customHeight="1">
      <c r="A419" s="3"/>
      <c r="B419" s="2"/>
      <c r="C419" s="2"/>
      <c r="D419" s="2"/>
      <c r="E419" s="2"/>
      <c r="F419" s="2"/>
      <c r="G419" s="2"/>
      <c r="H419" s="2"/>
      <c r="I419" s="2"/>
      <c r="J419" s="564"/>
      <c r="K419" s="564"/>
      <c r="L419" s="564"/>
      <c r="M419" s="564"/>
      <c r="N419" s="564"/>
      <c r="O419" s="3"/>
      <c r="P419" s="3"/>
      <c r="Q419" s="3"/>
      <c r="R419" s="3"/>
      <c r="S419" s="3"/>
      <c r="T419" s="3"/>
      <c r="U419" s="3"/>
      <c r="V419" s="3"/>
      <c r="W419" s="3"/>
      <c r="X419" s="3"/>
      <c r="Y419" s="3"/>
      <c r="Z419" s="3"/>
    </row>
    <row r="420" spans="1:26" ht="15.75" customHeight="1">
      <c r="A420" s="3"/>
      <c r="B420" s="2"/>
      <c r="C420" s="2"/>
      <c r="D420" s="2"/>
      <c r="E420" s="2"/>
      <c r="F420" s="2"/>
      <c r="G420" s="2"/>
      <c r="H420" s="2"/>
      <c r="I420" s="2"/>
      <c r="J420" s="564"/>
      <c r="K420" s="564"/>
      <c r="L420" s="564"/>
      <c r="M420" s="564"/>
      <c r="N420" s="564"/>
      <c r="O420" s="3"/>
      <c r="P420" s="3"/>
      <c r="Q420" s="3"/>
      <c r="R420" s="3"/>
      <c r="S420" s="3"/>
      <c r="T420" s="3"/>
      <c r="U420" s="3"/>
      <c r="V420" s="3"/>
      <c r="W420" s="3"/>
      <c r="X420" s="3"/>
      <c r="Y420" s="3"/>
      <c r="Z420" s="3"/>
    </row>
    <row r="421" spans="1:26" ht="15.75" customHeight="1">
      <c r="A421" s="3"/>
      <c r="B421" s="2"/>
      <c r="C421" s="2"/>
      <c r="D421" s="2"/>
      <c r="E421" s="2"/>
      <c r="F421" s="2"/>
      <c r="G421" s="2"/>
      <c r="H421" s="2"/>
      <c r="I421" s="2"/>
      <c r="J421" s="564"/>
      <c r="K421" s="564"/>
      <c r="L421" s="564"/>
      <c r="M421" s="564"/>
      <c r="N421" s="564"/>
      <c r="O421" s="3"/>
      <c r="P421" s="3"/>
      <c r="Q421" s="3"/>
      <c r="R421" s="3"/>
      <c r="S421" s="3"/>
      <c r="T421" s="3"/>
      <c r="U421" s="3"/>
      <c r="V421" s="3"/>
      <c r="W421" s="3"/>
      <c r="X421" s="3"/>
      <c r="Y421" s="3"/>
      <c r="Z421" s="3"/>
    </row>
    <row r="422" spans="1:26" ht="15.75" customHeight="1">
      <c r="A422" s="3"/>
      <c r="B422" s="2"/>
      <c r="C422" s="2"/>
      <c r="D422" s="2"/>
      <c r="E422" s="2"/>
      <c r="F422" s="2"/>
      <c r="G422" s="2"/>
      <c r="H422" s="2"/>
      <c r="I422" s="2"/>
      <c r="J422" s="564"/>
      <c r="K422" s="564"/>
      <c r="L422" s="564"/>
      <c r="M422" s="564"/>
      <c r="N422" s="564"/>
      <c r="O422" s="3"/>
      <c r="P422" s="3"/>
      <c r="Q422" s="3"/>
      <c r="R422" s="3"/>
      <c r="S422" s="3"/>
      <c r="T422" s="3"/>
      <c r="U422" s="3"/>
      <c r="V422" s="3"/>
      <c r="W422" s="3"/>
      <c r="X422" s="3"/>
      <c r="Y422" s="3"/>
      <c r="Z422" s="3"/>
    </row>
    <row r="423" spans="1:26" ht="15.75" customHeight="1">
      <c r="A423" s="3"/>
      <c r="B423" s="2"/>
      <c r="C423" s="2"/>
      <c r="D423" s="2"/>
      <c r="E423" s="2"/>
      <c r="F423" s="2"/>
      <c r="G423" s="2"/>
      <c r="H423" s="2"/>
      <c r="I423" s="2"/>
      <c r="J423" s="564"/>
      <c r="K423" s="564"/>
      <c r="L423" s="564"/>
      <c r="M423" s="564"/>
      <c r="N423" s="564"/>
      <c r="O423" s="3"/>
      <c r="P423" s="3"/>
      <c r="Q423" s="3"/>
      <c r="R423" s="3"/>
      <c r="S423" s="3"/>
      <c r="T423" s="3"/>
      <c r="U423" s="3"/>
      <c r="V423" s="3"/>
      <c r="W423" s="3"/>
      <c r="X423" s="3"/>
      <c r="Y423" s="3"/>
      <c r="Z423" s="3"/>
    </row>
    <row r="424" spans="1:26" ht="15.75" customHeight="1">
      <c r="A424" s="3"/>
      <c r="B424" s="2"/>
      <c r="C424" s="2"/>
      <c r="D424" s="2"/>
      <c r="E424" s="2"/>
      <c r="F424" s="2"/>
      <c r="G424" s="2"/>
      <c r="H424" s="2"/>
      <c r="I424" s="2"/>
      <c r="J424" s="564"/>
      <c r="K424" s="564"/>
      <c r="L424" s="564"/>
      <c r="M424" s="564"/>
      <c r="N424" s="564"/>
      <c r="O424" s="3"/>
      <c r="P424" s="3"/>
      <c r="Q424" s="3"/>
      <c r="R424" s="3"/>
      <c r="S424" s="3"/>
      <c r="T424" s="3"/>
      <c r="U424" s="3"/>
      <c r="V424" s="3"/>
      <c r="W424" s="3"/>
      <c r="X424" s="3"/>
      <c r="Y424" s="3"/>
      <c r="Z424" s="3"/>
    </row>
    <row r="425" spans="1:26" ht="15.75" customHeight="1">
      <c r="A425" s="3"/>
      <c r="B425" s="2"/>
      <c r="C425" s="2"/>
      <c r="D425" s="2"/>
      <c r="E425" s="2"/>
      <c r="F425" s="2"/>
      <c r="G425" s="2"/>
      <c r="H425" s="2"/>
      <c r="I425" s="2"/>
      <c r="J425" s="564"/>
      <c r="K425" s="564"/>
      <c r="L425" s="564"/>
      <c r="M425" s="564"/>
      <c r="N425" s="564"/>
      <c r="O425" s="3"/>
      <c r="P425" s="3"/>
      <c r="Q425" s="3"/>
      <c r="R425" s="3"/>
      <c r="S425" s="3"/>
      <c r="T425" s="3"/>
      <c r="U425" s="3"/>
      <c r="V425" s="3"/>
      <c r="W425" s="3"/>
      <c r="X425" s="3"/>
      <c r="Y425" s="3"/>
      <c r="Z425" s="3"/>
    </row>
    <row r="426" spans="1:26" ht="15.75" customHeight="1">
      <c r="A426" s="3"/>
      <c r="B426" s="2"/>
      <c r="C426" s="2"/>
      <c r="D426" s="2"/>
      <c r="E426" s="2"/>
      <c r="F426" s="2"/>
      <c r="G426" s="2"/>
      <c r="H426" s="2"/>
      <c r="I426" s="2"/>
      <c r="J426" s="564"/>
      <c r="K426" s="564"/>
      <c r="L426" s="564"/>
      <c r="M426" s="564"/>
      <c r="N426" s="564"/>
      <c r="O426" s="3"/>
      <c r="P426" s="3"/>
      <c r="Q426" s="3"/>
      <c r="R426" s="3"/>
      <c r="S426" s="3"/>
      <c r="T426" s="3"/>
      <c r="U426" s="3"/>
      <c r="V426" s="3"/>
      <c r="W426" s="3"/>
      <c r="X426" s="3"/>
      <c r="Y426" s="3"/>
      <c r="Z426" s="3"/>
    </row>
    <row r="427" spans="1:26" ht="15.75" customHeight="1">
      <c r="A427" s="3"/>
      <c r="B427" s="2"/>
      <c r="C427" s="2"/>
      <c r="D427" s="2"/>
      <c r="E427" s="2"/>
      <c r="F427" s="2"/>
      <c r="G427" s="2"/>
      <c r="H427" s="2"/>
      <c r="I427" s="2"/>
      <c r="J427" s="564"/>
      <c r="K427" s="564"/>
      <c r="L427" s="564"/>
      <c r="M427" s="564"/>
      <c r="N427" s="564"/>
      <c r="O427" s="3"/>
      <c r="P427" s="3"/>
      <c r="Q427" s="3"/>
      <c r="R427" s="3"/>
      <c r="S427" s="3"/>
      <c r="T427" s="3"/>
      <c r="U427" s="3"/>
      <c r="V427" s="3"/>
      <c r="W427" s="3"/>
      <c r="X427" s="3"/>
      <c r="Y427" s="3"/>
      <c r="Z427" s="3"/>
    </row>
    <row r="428" spans="1:26" ht="15.75" customHeight="1">
      <c r="A428" s="3"/>
      <c r="B428" s="2"/>
      <c r="C428" s="2"/>
      <c r="D428" s="2"/>
      <c r="E428" s="2"/>
      <c r="F428" s="2"/>
      <c r="G428" s="2"/>
      <c r="H428" s="2"/>
      <c r="I428" s="2"/>
      <c r="J428" s="564"/>
      <c r="K428" s="564"/>
      <c r="L428" s="564"/>
      <c r="M428" s="564"/>
      <c r="N428" s="564"/>
      <c r="O428" s="3"/>
      <c r="P428" s="3"/>
      <c r="Q428" s="3"/>
      <c r="R428" s="3"/>
      <c r="S428" s="3"/>
      <c r="T428" s="3"/>
      <c r="U428" s="3"/>
      <c r="V428" s="3"/>
      <c r="W428" s="3"/>
      <c r="X428" s="3"/>
      <c r="Y428" s="3"/>
      <c r="Z428" s="3"/>
    </row>
    <row r="429" spans="1:26" ht="15.75" customHeight="1">
      <c r="A429" s="3"/>
      <c r="B429" s="2"/>
      <c r="C429" s="2"/>
      <c r="D429" s="2"/>
      <c r="E429" s="2"/>
      <c r="F429" s="2"/>
      <c r="G429" s="2"/>
      <c r="H429" s="2"/>
      <c r="I429" s="2"/>
      <c r="J429" s="564"/>
      <c r="K429" s="564"/>
      <c r="L429" s="564"/>
      <c r="M429" s="564"/>
      <c r="N429" s="564"/>
      <c r="O429" s="3"/>
      <c r="P429" s="3"/>
      <c r="Q429" s="3"/>
      <c r="R429" s="3"/>
      <c r="S429" s="3"/>
      <c r="T429" s="3"/>
      <c r="U429" s="3"/>
      <c r="V429" s="3"/>
      <c r="W429" s="3"/>
      <c r="X429" s="3"/>
      <c r="Y429" s="3"/>
      <c r="Z429" s="3"/>
    </row>
    <row r="430" spans="1:26" ht="15.75" customHeight="1">
      <c r="A430" s="3"/>
      <c r="B430" s="2"/>
      <c r="C430" s="2"/>
      <c r="D430" s="2"/>
      <c r="E430" s="2"/>
      <c r="F430" s="2"/>
      <c r="G430" s="2"/>
      <c r="H430" s="2"/>
      <c r="I430" s="2"/>
      <c r="J430" s="564"/>
      <c r="K430" s="564"/>
      <c r="L430" s="564"/>
      <c r="M430" s="564"/>
      <c r="N430" s="564"/>
      <c r="O430" s="3"/>
      <c r="P430" s="3"/>
      <c r="Q430" s="3"/>
      <c r="R430" s="3"/>
      <c r="S430" s="3"/>
      <c r="T430" s="3"/>
      <c r="U430" s="3"/>
      <c r="V430" s="3"/>
      <c r="W430" s="3"/>
      <c r="X430" s="3"/>
      <c r="Y430" s="3"/>
      <c r="Z430" s="3"/>
    </row>
    <row r="431" spans="1:26" ht="15.75" customHeight="1">
      <c r="A431" s="3"/>
      <c r="B431" s="2"/>
      <c r="C431" s="2"/>
      <c r="D431" s="2"/>
      <c r="E431" s="2"/>
      <c r="F431" s="2"/>
      <c r="G431" s="2"/>
      <c r="H431" s="2"/>
      <c r="I431" s="2"/>
      <c r="J431" s="564"/>
      <c r="K431" s="564"/>
      <c r="L431" s="564"/>
      <c r="M431" s="564"/>
      <c r="N431" s="564"/>
      <c r="O431" s="3"/>
      <c r="P431" s="3"/>
      <c r="Q431" s="3"/>
      <c r="R431" s="3"/>
      <c r="S431" s="3"/>
      <c r="T431" s="3"/>
      <c r="U431" s="3"/>
      <c r="V431" s="3"/>
      <c r="W431" s="3"/>
      <c r="X431" s="3"/>
      <c r="Y431" s="3"/>
      <c r="Z431" s="3"/>
    </row>
    <row r="432" spans="1:26" ht="15.75" customHeight="1">
      <c r="A432" s="3"/>
      <c r="B432" s="2"/>
      <c r="C432" s="2"/>
      <c r="D432" s="2"/>
      <c r="E432" s="2"/>
      <c r="F432" s="2"/>
      <c r="G432" s="2"/>
      <c r="H432" s="2"/>
      <c r="I432" s="2"/>
      <c r="J432" s="564"/>
      <c r="K432" s="564"/>
      <c r="L432" s="564"/>
      <c r="M432" s="564"/>
      <c r="N432" s="564"/>
      <c r="O432" s="3"/>
      <c r="P432" s="3"/>
      <c r="Q432" s="3"/>
      <c r="R432" s="3"/>
      <c r="S432" s="3"/>
      <c r="T432" s="3"/>
      <c r="U432" s="3"/>
      <c r="V432" s="3"/>
      <c r="W432" s="3"/>
      <c r="X432" s="3"/>
      <c r="Y432" s="3"/>
      <c r="Z432" s="3"/>
    </row>
    <row r="433" spans="1:26" ht="15.75" customHeight="1">
      <c r="A433" s="3"/>
      <c r="B433" s="2"/>
      <c r="C433" s="2"/>
      <c r="D433" s="2"/>
      <c r="E433" s="2"/>
      <c r="F433" s="2"/>
      <c r="G433" s="2"/>
      <c r="H433" s="2"/>
      <c r="I433" s="2"/>
      <c r="J433" s="564"/>
      <c r="K433" s="564"/>
      <c r="L433" s="564"/>
      <c r="M433" s="564"/>
      <c r="N433" s="564"/>
      <c r="O433" s="3"/>
      <c r="P433" s="3"/>
      <c r="Q433" s="3"/>
      <c r="R433" s="3"/>
      <c r="S433" s="3"/>
      <c r="T433" s="3"/>
      <c r="U433" s="3"/>
      <c r="V433" s="3"/>
      <c r="W433" s="3"/>
      <c r="X433" s="3"/>
      <c r="Y433" s="3"/>
      <c r="Z433" s="3"/>
    </row>
    <row r="434" spans="1:26" ht="15.75" customHeight="1">
      <c r="A434" s="3"/>
      <c r="B434" s="2"/>
      <c r="C434" s="2"/>
      <c r="D434" s="2"/>
      <c r="E434" s="2"/>
      <c r="F434" s="2"/>
      <c r="G434" s="2"/>
      <c r="H434" s="2"/>
      <c r="I434" s="2"/>
      <c r="J434" s="564"/>
      <c r="K434" s="564"/>
      <c r="L434" s="564"/>
      <c r="M434" s="564"/>
      <c r="N434" s="564"/>
      <c r="O434" s="3"/>
      <c r="P434" s="3"/>
      <c r="Q434" s="3"/>
      <c r="R434" s="3"/>
      <c r="S434" s="3"/>
      <c r="T434" s="3"/>
      <c r="U434" s="3"/>
      <c r="V434" s="3"/>
      <c r="W434" s="3"/>
      <c r="X434" s="3"/>
      <c r="Y434" s="3"/>
      <c r="Z434" s="3"/>
    </row>
    <row r="435" spans="1:26" ht="15.75" customHeight="1">
      <c r="A435" s="3"/>
      <c r="B435" s="2"/>
      <c r="C435" s="2"/>
      <c r="D435" s="2"/>
      <c r="E435" s="2"/>
      <c r="F435" s="2"/>
      <c r="G435" s="2"/>
      <c r="H435" s="2"/>
      <c r="I435" s="2"/>
      <c r="J435" s="564"/>
      <c r="K435" s="564"/>
      <c r="L435" s="564"/>
      <c r="M435" s="564"/>
      <c r="N435" s="564"/>
      <c r="O435" s="3"/>
      <c r="P435" s="3"/>
      <c r="Q435" s="3"/>
      <c r="R435" s="3"/>
      <c r="S435" s="3"/>
      <c r="T435" s="3"/>
      <c r="U435" s="3"/>
      <c r="V435" s="3"/>
      <c r="W435" s="3"/>
      <c r="X435" s="3"/>
      <c r="Y435" s="3"/>
      <c r="Z435" s="3"/>
    </row>
    <row r="436" spans="1:26" ht="15.75" customHeight="1">
      <c r="A436" s="3"/>
      <c r="B436" s="2"/>
      <c r="C436" s="2"/>
      <c r="D436" s="2"/>
      <c r="E436" s="2"/>
      <c r="F436" s="2"/>
      <c r="G436" s="2"/>
      <c r="H436" s="2"/>
      <c r="I436" s="2"/>
      <c r="J436" s="564"/>
      <c r="K436" s="564"/>
      <c r="L436" s="564"/>
      <c r="M436" s="564"/>
      <c r="N436" s="564"/>
      <c r="O436" s="3"/>
      <c r="P436" s="3"/>
      <c r="Q436" s="3"/>
      <c r="R436" s="3"/>
      <c r="S436" s="3"/>
      <c r="T436" s="3"/>
      <c r="U436" s="3"/>
      <c r="V436" s="3"/>
      <c r="W436" s="3"/>
      <c r="X436" s="3"/>
      <c r="Y436" s="3"/>
      <c r="Z436" s="3"/>
    </row>
    <row r="437" spans="1:26" ht="15.75" customHeight="1">
      <c r="A437" s="3"/>
      <c r="B437" s="2"/>
      <c r="C437" s="2"/>
      <c r="D437" s="2"/>
      <c r="E437" s="2"/>
      <c r="F437" s="2"/>
      <c r="G437" s="2"/>
      <c r="H437" s="2"/>
      <c r="I437" s="2"/>
      <c r="J437" s="564"/>
      <c r="K437" s="564"/>
      <c r="L437" s="564"/>
      <c r="M437" s="564"/>
      <c r="N437" s="564"/>
      <c r="O437" s="3"/>
      <c r="P437" s="3"/>
      <c r="Q437" s="3"/>
      <c r="R437" s="3"/>
      <c r="S437" s="3"/>
      <c r="T437" s="3"/>
      <c r="U437" s="3"/>
      <c r="V437" s="3"/>
      <c r="W437" s="3"/>
      <c r="X437" s="3"/>
      <c r="Y437" s="3"/>
      <c r="Z437" s="3"/>
    </row>
    <row r="438" spans="1:26" ht="15.75" customHeight="1">
      <c r="A438" s="3"/>
      <c r="B438" s="2"/>
      <c r="C438" s="2"/>
      <c r="D438" s="2"/>
      <c r="E438" s="2"/>
      <c r="F438" s="2"/>
      <c r="G438" s="2"/>
      <c r="H438" s="2"/>
      <c r="I438" s="2"/>
      <c r="J438" s="564"/>
      <c r="K438" s="564"/>
      <c r="L438" s="564"/>
      <c r="M438" s="564"/>
      <c r="N438" s="564"/>
      <c r="O438" s="3"/>
      <c r="P438" s="3"/>
      <c r="Q438" s="3"/>
      <c r="R438" s="3"/>
      <c r="S438" s="3"/>
      <c r="T438" s="3"/>
      <c r="U438" s="3"/>
      <c r="V438" s="3"/>
      <c r="W438" s="3"/>
      <c r="X438" s="3"/>
      <c r="Y438" s="3"/>
      <c r="Z438" s="3"/>
    </row>
    <row r="439" spans="1:26" ht="15.75" customHeight="1">
      <c r="A439" s="3"/>
      <c r="B439" s="2"/>
      <c r="C439" s="2"/>
      <c r="D439" s="2"/>
      <c r="E439" s="2"/>
      <c r="F439" s="2"/>
      <c r="G439" s="2"/>
      <c r="H439" s="2"/>
      <c r="I439" s="2"/>
      <c r="J439" s="564"/>
      <c r="K439" s="564"/>
      <c r="L439" s="564"/>
      <c r="M439" s="564"/>
      <c r="N439" s="564"/>
      <c r="O439" s="3"/>
      <c r="P439" s="3"/>
      <c r="Q439" s="3"/>
      <c r="R439" s="3"/>
      <c r="S439" s="3"/>
      <c r="T439" s="3"/>
      <c r="U439" s="3"/>
      <c r="V439" s="3"/>
      <c r="W439" s="3"/>
      <c r="X439" s="3"/>
      <c r="Y439" s="3"/>
      <c r="Z439" s="3"/>
    </row>
    <row r="440" spans="1:26" ht="15.75" customHeight="1">
      <c r="A440" s="3"/>
      <c r="B440" s="2"/>
      <c r="C440" s="2"/>
      <c r="D440" s="2"/>
      <c r="E440" s="2"/>
      <c r="F440" s="2"/>
      <c r="G440" s="2"/>
      <c r="H440" s="2"/>
      <c r="I440" s="2"/>
      <c r="J440" s="564"/>
      <c r="K440" s="564"/>
      <c r="L440" s="564"/>
      <c r="M440" s="564"/>
      <c r="N440" s="564"/>
      <c r="O440" s="3"/>
      <c r="P440" s="3"/>
      <c r="Q440" s="3"/>
      <c r="R440" s="3"/>
      <c r="S440" s="3"/>
      <c r="T440" s="3"/>
      <c r="U440" s="3"/>
      <c r="V440" s="3"/>
      <c r="W440" s="3"/>
      <c r="X440" s="3"/>
      <c r="Y440" s="3"/>
      <c r="Z440" s="3"/>
    </row>
    <row r="441" spans="1:26" ht="15.75" customHeight="1">
      <c r="A441" s="3"/>
      <c r="B441" s="2"/>
      <c r="C441" s="2"/>
      <c r="D441" s="2"/>
      <c r="E441" s="2"/>
      <c r="F441" s="2"/>
      <c r="G441" s="2"/>
      <c r="H441" s="2"/>
      <c r="I441" s="2"/>
      <c r="J441" s="564"/>
      <c r="K441" s="564"/>
      <c r="L441" s="564"/>
      <c r="M441" s="564"/>
      <c r="N441" s="564"/>
      <c r="O441" s="3"/>
      <c r="P441" s="3"/>
      <c r="Q441" s="3"/>
      <c r="R441" s="3"/>
      <c r="S441" s="3"/>
      <c r="T441" s="3"/>
      <c r="U441" s="3"/>
      <c r="V441" s="3"/>
      <c r="W441" s="3"/>
      <c r="X441" s="3"/>
      <c r="Y441" s="3"/>
      <c r="Z441" s="3"/>
    </row>
    <row r="442" spans="1:26" ht="15.75" customHeight="1">
      <c r="A442" s="3"/>
      <c r="B442" s="2"/>
      <c r="C442" s="2"/>
      <c r="D442" s="2"/>
      <c r="E442" s="2"/>
      <c r="F442" s="2"/>
      <c r="G442" s="2"/>
      <c r="H442" s="2"/>
      <c r="I442" s="2"/>
      <c r="J442" s="564"/>
      <c r="K442" s="564"/>
      <c r="L442" s="564"/>
      <c r="M442" s="564"/>
      <c r="N442" s="564"/>
      <c r="O442" s="3"/>
      <c r="P442" s="3"/>
      <c r="Q442" s="3"/>
      <c r="R442" s="3"/>
      <c r="S442" s="3"/>
      <c r="T442" s="3"/>
      <c r="U442" s="3"/>
      <c r="V442" s="3"/>
      <c r="W442" s="3"/>
      <c r="X442" s="3"/>
      <c r="Y442" s="3"/>
      <c r="Z442" s="3"/>
    </row>
    <row r="443" spans="1:26" ht="15.75" customHeight="1">
      <c r="A443" s="3"/>
      <c r="B443" s="2"/>
      <c r="C443" s="2"/>
      <c r="D443" s="2"/>
      <c r="E443" s="2"/>
      <c r="F443" s="2"/>
      <c r="G443" s="2"/>
      <c r="H443" s="2"/>
      <c r="I443" s="2"/>
      <c r="J443" s="564"/>
      <c r="K443" s="564"/>
      <c r="L443" s="564"/>
      <c r="M443" s="564"/>
      <c r="N443" s="564"/>
      <c r="O443" s="3"/>
      <c r="P443" s="3"/>
      <c r="Q443" s="3"/>
      <c r="R443" s="3"/>
      <c r="S443" s="3"/>
      <c r="T443" s="3"/>
      <c r="U443" s="3"/>
      <c r="V443" s="3"/>
      <c r="W443" s="3"/>
      <c r="X443" s="3"/>
      <c r="Y443" s="3"/>
      <c r="Z443" s="3"/>
    </row>
    <row r="444" spans="1:26" ht="15.75" customHeight="1">
      <c r="A444" s="3"/>
      <c r="B444" s="2"/>
      <c r="C444" s="2"/>
      <c r="D444" s="2"/>
      <c r="E444" s="2"/>
      <c r="F444" s="2"/>
      <c r="G444" s="2"/>
      <c r="H444" s="2"/>
      <c r="I444" s="2"/>
      <c r="J444" s="564"/>
      <c r="K444" s="564"/>
      <c r="L444" s="564"/>
      <c r="M444" s="564"/>
      <c r="N444" s="564"/>
      <c r="O444" s="3"/>
      <c r="P444" s="3"/>
      <c r="Q444" s="3"/>
      <c r="R444" s="3"/>
      <c r="S444" s="3"/>
      <c r="T444" s="3"/>
      <c r="U444" s="3"/>
      <c r="V444" s="3"/>
      <c r="W444" s="3"/>
      <c r="X444" s="3"/>
      <c r="Y444" s="3"/>
      <c r="Z444" s="3"/>
    </row>
    <row r="445" spans="1:26" ht="15.75" customHeight="1">
      <c r="A445" s="3"/>
      <c r="B445" s="2"/>
      <c r="C445" s="2"/>
      <c r="D445" s="2"/>
      <c r="E445" s="2"/>
      <c r="F445" s="2"/>
      <c r="G445" s="2"/>
      <c r="H445" s="2"/>
      <c r="I445" s="2"/>
      <c r="J445" s="564"/>
      <c r="K445" s="564"/>
      <c r="L445" s="564"/>
      <c r="M445" s="564"/>
      <c r="N445" s="564"/>
      <c r="O445" s="3"/>
      <c r="P445" s="3"/>
      <c r="Q445" s="3"/>
      <c r="R445" s="3"/>
      <c r="S445" s="3"/>
      <c r="T445" s="3"/>
      <c r="U445" s="3"/>
      <c r="V445" s="3"/>
      <c r="W445" s="3"/>
      <c r="X445" s="3"/>
      <c r="Y445" s="3"/>
      <c r="Z445" s="3"/>
    </row>
    <row r="446" spans="1:26" ht="15.75" customHeight="1">
      <c r="A446" s="3"/>
      <c r="B446" s="2"/>
      <c r="C446" s="2"/>
      <c r="D446" s="2"/>
      <c r="E446" s="2"/>
      <c r="F446" s="2"/>
      <c r="G446" s="2"/>
      <c r="H446" s="2"/>
      <c r="I446" s="2"/>
      <c r="J446" s="564"/>
      <c r="K446" s="564"/>
      <c r="L446" s="564"/>
      <c r="M446" s="564"/>
      <c r="N446" s="564"/>
      <c r="O446" s="3"/>
      <c r="P446" s="3"/>
      <c r="Q446" s="3"/>
      <c r="R446" s="3"/>
      <c r="S446" s="3"/>
      <c r="T446" s="3"/>
      <c r="U446" s="3"/>
      <c r="V446" s="3"/>
      <c r="W446" s="3"/>
      <c r="X446" s="3"/>
      <c r="Y446" s="3"/>
      <c r="Z446" s="3"/>
    </row>
    <row r="447" spans="1:26" ht="15.75" customHeight="1">
      <c r="A447" s="3"/>
      <c r="B447" s="2"/>
      <c r="C447" s="2"/>
      <c r="D447" s="2"/>
      <c r="E447" s="2"/>
      <c r="F447" s="2"/>
      <c r="G447" s="2"/>
      <c r="H447" s="2"/>
      <c r="I447" s="2"/>
      <c r="J447" s="564"/>
      <c r="K447" s="564"/>
      <c r="L447" s="564"/>
      <c r="M447" s="564"/>
      <c r="N447" s="564"/>
      <c r="O447" s="3"/>
      <c r="P447" s="3"/>
      <c r="Q447" s="3"/>
      <c r="R447" s="3"/>
      <c r="S447" s="3"/>
      <c r="T447" s="3"/>
      <c r="U447" s="3"/>
      <c r="V447" s="3"/>
      <c r="W447" s="3"/>
      <c r="X447" s="3"/>
      <c r="Y447" s="3"/>
      <c r="Z447" s="3"/>
    </row>
    <row r="448" spans="1:26" ht="15.75" customHeight="1">
      <c r="A448" s="3"/>
      <c r="B448" s="2"/>
      <c r="C448" s="2"/>
      <c r="D448" s="2"/>
      <c r="E448" s="2"/>
      <c r="F448" s="2"/>
      <c r="G448" s="2"/>
      <c r="H448" s="2"/>
      <c r="I448" s="2"/>
      <c r="J448" s="564"/>
      <c r="K448" s="564"/>
      <c r="L448" s="564"/>
      <c r="M448" s="564"/>
      <c r="N448" s="564"/>
      <c r="O448" s="3"/>
      <c r="P448" s="3"/>
      <c r="Q448" s="3"/>
      <c r="R448" s="3"/>
      <c r="S448" s="3"/>
      <c r="T448" s="3"/>
      <c r="U448" s="3"/>
      <c r="V448" s="3"/>
      <c r="W448" s="3"/>
      <c r="X448" s="3"/>
      <c r="Y448" s="3"/>
      <c r="Z448" s="3"/>
    </row>
    <row r="449" spans="1:26" ht="15.75" customHeight="1">
      <c r="A449" s="3"/>
      <c r="B449" s="2"/>
      <c r="C449" s="2"/>
      <c r="D449" s="2"/>
      <c r="E449" s="2"/>
      <c r="F449" s="2"/>
      <c r="G449" s="2"/>
      <c r="H449" s="2"/>
      <c r="I449" s="2"/>
      <c r="J449" s="564"/>
      <c r="K449" s="564"/>
      <c r="L449" s="564"/>
      <c r="M449" s="564"/>
      <c r="N449" s="564"/>
      <c r="O449" s="3"/>
      <c r="P449" s="3"/>
      <c r="Q449" s="3"/>
      <c r="R449" s="3"/>
      <c r="S449" s="3"/>
      <c r="T449" s="3"/>
      <c r="U449" s="3"/>
      <c r="V449" s="3"/>
      <c r="W449" s="3"/>
      <c r="X449" s="3"/>
      <c r="Y449" s="3"/>
      <c r="Z449" s="3"/>
    </row>
    <row r="450" spans="1:26" ht="15.75" customHeight="1">
      <c r="A450" s="3"/>
      <c r="B450" s="2"/>
      <c r="C450" s="2"/>
      <c r="D450" s="2"/>
      <c r="E450" s="2"/>
      <c r="F450" s="2"/>
      <c r="G450" s="2"/>
      <c r="H450" s="2"/>
      <c r="I450" s="2"/>
      <c r="J450" s="564"/>
      <c r="K450" s="564"/>
      <c r="L450" s="564"/>
      <c r="M450" s="564"/>
      <c r="N450" s="564"/>
      <c r="O450" s="3"/>
      <c r="P450" s="3"/>
      <c r="Q450" s="3"/>
      <c r="R450" s="3"/>
      <c r="S450" s="3"/>
      <c r="T450" s="3"/>
      <c r="U450" s="3"/>
      <c r="V450" s="3"/>
      <c r="W450" s="3"/>
      <c r="X450" s="3"/>
      <c r="Y450" s="3"/>
      <c r="Z450" s="3"/>
    </row>
    <row r="451" spans="1:26" ht="15.75" customHeight="1">
      <c r="A451" s="3"/>
      <c r="B451" s="2"/>
      <c r="C451" s="2"/>
      <c r="D451" s="2"/>
      <c r="E451" s="2"/>
      <c r="F451" s="2"/>
      <c r="G451" s="2"/>
      <c r="H451" s="2"/>
      <c r="I451" s="2"/>
      <c r="J451" s="564"/>
      <c r="K451" s="564"/>
      <c r="L451" s="564"/>
      <c r="M451" s="564"/>
      <c r="N451" s="564"/>
      <c r="O451" s="3"/>
      <c r="P451" s="3"/>
      <c r="Q451" s="3"/>
      <c r="R451" s="3"/>
      <c r="S451" s="3"/>
      <c r="T451" s="3"/>
      <c r="U451" s="3"/>
      <c r="V451" s="3"/>
      <c r="W451" s="3"/>
      <c r="X451" s="3"/>
      <c r="Y451" s="3"/>
      <c r="Z451" s="3"/>
    </row>
    <row r="452" spans="1:26" ht="15.75" customHeight="1">
      <c r="A452" s="3"/>
      <c r="B452" s="2"/>
      <c r="C452" s="2"/>
      <c r="D452" s="2"/>
      <c r="E452" s="2"/>
      <c r="F452" s="2"/>
      <c r="G452" s="2"/>
      <c r="H452" s="2"/>
      <c r="I452" s="2"/>
      <c r="J452" s="564"/>
      <c r="K452" s="564"/>
      <c r="L452" s="564"/>
      <c r="M452" s="564"/>
      <c r="N452" s="564"/>
      <c r="O452" s="3"/>
      <c r="P452" s="3"/>
      <c r="Q452" s="3"/>
      <c r="R452" s="3"/>
      <c r="S452" s="3"/>
      <c r="T452" s="3"/>
      <c r="U452" s="3"/>
      <c r="V452" s="3"/>
      <c r="W452" s="3"/>
      <c r="X452" s="3"/>
      <c r="Y452" s="3"/>
      <c r="Z452" s="3"/>
    </row>
    <row r="453" spans="1:26" ht="15.75" customHeight="1">
      <c r="A453" s="3"/>
      <c r="B453" s="2"/>
      <c r="C453" s="2"/>
      <c r="D453" s="2"/>
      <c r="E453" s="2"/>
      <c r="F453" s="2"/>
      <c r="G453" s="2"/>
      <c r="H453" s="2"/>
      <c r="I453" s="2"/>
      <c r="J453" s="564"/>
      <c r="K453" s="564"/>
      <c r="L453" s="564"/>
      <c r="M453" s="564"/>
      <c r="N453" s="564"/>
      <c r="O453" s="3"/>
      <c r="P453" s="3"/>
      <c r="Q453" s="3"/>
      <c r="R453" s="3"/>
      <c r="S453" s="3"/>
      <c r="T453" s="3"/>
      <c r="U453" s="3"/>
      <c r="V453" s="3"/>
      <c r="W453" s="3"/>
      <c r="X453" s="3"/>
      <c r="Y453" s="3"/>
      <c r="Z453" s="3"/>
    </row>
    <row r="454" spans="1:26" ht="15.75" customHeight="1">
      <c r="A454" s="3"/>
      <c r="B454" s="2"/>
      <c r="C454" s="2"/>
      <c r="D454" s="2"/>
      <c r="E454" s="2"/>
      <c r="F454" s="2"/>
      <c r="G454" s="2"/>
      <c r="H454" s="2"/>
      <c r="I454" s="2"/>
      <c r="J454" s="564"/>
      <c r="K454" s="564"/>
      <c r="L454" s="564"/>
      <c r="M454" s="564"/>
      <c r="N454" s="564"/>
      <c r="O454" s="3"/>
      <c r="P454" s="3"/>
      <c r="Q454" s="3"/>
      <c r="R454" s="3"/>
      <c r="S454" s="3"/>
      <c r="T454" s="3"/>
      <c r="U454" s="3"/>
      <c r="V454" s="3"/>
      <c r="W454" s="3"/>
      <c r="X454" s="3"/>
      <c r="Y454" s="3"/>
      <c r="Z454" s="3"/>
    </row>
    <row r="455" spans="1:26" ht="15.75" customHeight="1">
      <c r="A455" s="3"/>
      <c r="B455" s="2"/>
      <c r="C455" s="2"/>
      <c r="D455" s="2"/>
      <c r="E455" s="2"/>
      <c r="F455" s="2"/>
      <c r="G455" s="2"/>
      <c r="H455" s="2"/>
      <c r="I455" s="2"/>
      <c r="J455" s="564"/>
      <c r="K455" s="564"/>
      <c r="L455" s="564"/>
      <c r="M455" s="564"/>
      <c r="N455" s="564"/>
      <c r="O455" s="3"/>
      <c r="P455" s="3"/>
      <c r="Q455" s="3"/>
      <c r="R455" s="3"/>
      <c r="S455" s="3"/>
      <c r="T455" s="3"/>
      <c r="U455" s="3"/>
      <c r="V455" s="3"/>
      <c r="W455" s="3"/>
      <c r="X455" s="3"/>
      <c r="Y455" s="3"/>
      <c r="Z455" s="3"/>
    </row>
    <row r="456" spans="1:26" ht="15.75" customHeight="1">
      <c r="A456" s="3"/>
      <c r="B456" s="2"/>
      <c r="C456" s="2"/>
      <c r="D456" s="2"/>
      <c r="E456" s="2"/>
      <c r="F456" s="2"/>
      <c r="G456" s="2"/>
      <c r="H456" s="2"/>
      <c r="I456" s="2"/>
      <c r="J456" s="564"/>
      <c r="K456" s="564"/>
      <c r="L456" s="564"/>
      <c r="M456" s="564"/>
      <c r="N456" s="564"/>
      <c r="O456" s="3"/>
      <c r="P456" s="3"/>
      <c r="Q456" s="3"/>
      <c r="R456" s="3"/>
      <c r="S456" s="3"/>
      <c r="T456" s="3"/>
      <c r="U456" s="3"/>
      <c r="V456" s="3"/>
      <c r="W456" s="3"/>
      <c r="X456" s="3"/>
      <c r="Y456" s="3"/>
      <c r="Z456" s="3"/>
    </row>
    <row r="457" spans="1:26" ht="15.75" customHeight="1">
      <c r="A457" s="3"/>
      <c r="B457" s="2"/>
      <c r="C457" s="2"/>
      <c r="D457" s="2"/>
      <c r="E457" s="2"/>
      <c r="F457" s="2"/>
      <c r="G457" s="2"/>
      <c r="H457" s="2"/>
      <c r="I457" s="2"/>
      <c r="J457" s="564"/>
      <c r="K457" s="564"/>
      <c r="L457" s="564"/>
      <c r="M457" s="564"/>
      <c r="N457" s="564"/>
      <c r="O457" s="3"/>
      <c r="P457" s="3"/>
      <c r="Q457" s="3"/>
      <c r="R457" s="3"/>
      <c r="S457" s="3"/>
      <c r="T457" s="3"/>
      <c r="U457" s="3"/>
      <c r="V457" s="3"/>
      <c r="W457" s="3"/>
      <c r="X457" s="3"/>
      <c r="Y457" s="3"/>
      <c r="Z457" s="3"/>
    </row>
    <row r="458" spans="1:26" ht="15.75" customHeight="1">
      <c r="A458" s="3"/>
      <c r="B458" s="2"/>
      <c r="C458" s="2"/>
      <c r="D458" s="2"/>
      <c r="E458" s="2"/>
      <c r="F458" s="2"/>
      <c r="G458" s="2"/>
      <c r="H458" s="2"/>
      <c r="I458" s="2"/>
      <c r="J458" s="564"/>
      <c r="K458" s="564"/>
      <c r="L458" s="564"/>
      <c r="M458" s="564"/>
      <c r="N458" s="564"/>
      <c r="O458" s="3"/>
      <c r="P458" s="3"/>
      <c r="Q458" s="3"/>
      <c r="R458" s="3"/>
      <c r="S458" s="3"/>
      <c r="T458" s="3"/>
      <c r="U458" s="3"/>
      <c r="V458" s="3"/>
      <c r="W458" s="3"/>
      <c r="X458" s="3"/>
      <c r="Y458" s="3"/>
      <c r="Z458" s="3"/>
    </row>
    <row r="459" spans="1:26" ht="15.75" customHeight="1">
      <c r="A459" s="3"/>
      <c r="B459" s="2"/>
      <c r="C459" s="2"/>
      <c r="D459" s="2"/>
      <c r="E459" s="2"/>
      <c r="F459" s="2"/>
      <c r="G459" s="2"/>
      <c r="H459" s="2"/>
      <c r="I459" s="2"/>
      <c r="J459" s="564"/>
      <c r="K459" s="564"/>
      <c r="L459" s="564"/>
      <c r="M459" s="564"/>
      <c r="N459" s="564"/>
      <c r="O459" s="3"/>
      <c r="P459" s="3"/>
      <c r="Q459" s="3"/>
      <c r="R459" s="3"/>
      <c r="S459" s="3"/>
      <c r="T459" s="3"/>
      <c r="U459" s="3"/>
      <c r="V459" s="3"/>
      <c r="W459" s="3"/>
      <c r="X459" s="3"/>
      <c r="Y459" s="3"/>
      <c r="Z459" s="3"/>
    </row>
    <row r="460" spans="1:26" ht="15.75" customHeight="1">
      <c r="A460" s="3"/>
      <c r="B460" s="2"/>
      <c r="C460" s="2"/>
      <c r="D460" s="2"/>
      <c r="E460" s="2"/>
      <c r="F460" s="2"/>
      <c r="G460" s="2"/>
      <c r="H460" s="2"/>
      <c r="I460" s="2"/>
      <c r="J460" s="564"/>
      <c r="K460" s="564"/>
      <c r="L460" s="564"/>
      <c r="M460" s="564"/>
      <c r="N460" s="564"/>
      <c r="O460" s="3"/>
      <c r="P460" s="3"/>
      <c r="Q460" s="3"/>
      <c r="R460" s="3"/>
      <c r="S460" s="3"/>
      <c r="T460" s="3"/>
      <c r="U460" s="3"/>
      <c r="V460" s="3"/>
      <c r="W460" s="3"/>
      <c r="X460" s="3"/>
      <c r="Y460" s="3"/>
      <c r="Z460" s="3"/>
    </row>
    <row r="461" spans="1:26" ht="15.75" customHeight="1">
      <c r="A461" s="3"/>
      <c r="B461" s="2"/>
      <c r="C461" s="2"/>
      <c r="D461" s="2"/>
      <c r="E461" s="2"/>
      <c r="F461" s="2"/>
      <c r="G461" s="2"/>
      <c r="H461" s="2"/>
      <c r="I461" s="2"/>
      <c r="J461" s="564"/>
      <c r="K461" s="564"/>
      <c r="L461" s="564"/>
      <c r="M461" s="564"/>
      <c r="N461" s="564"/>
      <c r="O461" s="3"/>
      <c r="P461" s="3"/>
      <c r="Q461" s="3"/>
      <c r="R461" s="3"/>
      <c r="S461" s="3"/>
      <c r="T461" s="3"/>
      <c r="U461" s="3"/>
      <c r="V461" s="3"/>
      <c r="W461" s="3"/>
      <c r="X461" s="3"/>
      <c r="Y461" s="3"/>
      <c r="Z461" s="3"/>
    </row>
    <row r="462" spans="1:26" ht="15.75" customHeight="1">
      <c r="A462" s="3"/>
      <c r="B462" s="2"/>
      <c r="C462" s="2"/>
      <c r="D462" s="2"/>
      <c r="E462" s="2"/>
      <c r="F462" s="2"/>
      <c r="G462" s="2"/>
      <c r="H462" s="2"/>
      <c r="I462" s="2"/>
      <c r="J462" s="564"/>
      <c r="K462" s="564"/>
      <c r="L462" s="564"/>
      <c r="M462" s="564"/>
      <c r="N462" s="564"/>
      <c r="O462" s="3"/>
      <c r="P462" s="3"/>
      <c r="Q462" s="3"/>
      <c r="R462" s="3"/>
      <c r="S462" s="3"/>
      <c r="T462" s="3"/>
      <c r="U462" s="3"/>
      <c r="V462" s="3"/>
      <c r="W462" s="3"/>
      <c r="X462" s="3"/>
      <c r="Y462" s="3"/>
      <c r="Z462" s="3"/>
    </row>
    <row r="463" spans="1:26" ht="15.75" customHeight="1">
      <c r="A463" s="3"/>
      <c r="B463" s="2"/>
      <c r="C463" s="2"/>
      <c r="D463" s="2"/>
      <c r="E463" s="2"/>
      <c r="F463" s="2"/>
      <c r="G463" s="2"/>
      <c r="H463" s="2"/>
      <c r="I463" s="2"/>
      <c r="J463" s="564"/>
      <c r="K463" s="564"/>
      <c r="L463" s="564"/>
      <c r="M463" s="564"/>
      <c r="N463" s="564"/>
      <c r="O463" s="3"/>
      <c r="P463" s="3"/>
      <c r="Q463" s="3"/>
      <c r="R463" s="3"/>
      <c r="S463" s="3"/>
      <c r="T463" s="3"/>
      <c r="U463" s="3"/>
      <c r="V463" s="3"/>
      <c r="W463" s="3"/>
      <c r="X463" s="3"/>
      <c r="Y463" s="3"/>
      <c r="Z463" s="3"/>
    </row>
    <row r="464" spans="1:26" ht="15.75" customHeight="1">
      <c r="A464" s="3"/>
      <c r="B464" s="2"/>
      <c r="C464" s="2"/>
      <c r="D464" s="2"/>
      <c r="E464" s="2"/>
      <c r="F464" s="2"/>
      <c r="G464" s="2"/>
      <c r="H464" s="2"/>
      <c r="I464" s="2"/>
      <c r="J464" s="564"/>
      <c r="K464" s="564"/>
      <c r="L464" s="564"/>
      <c r="M464" s="564"/>
      <c r="N464" s="564"/>
      <c r="O464" s="3"/>
      <c r="P464" s="3"/>
      <c r="Q464" s="3"/>
      <c r="R464" s="3"/>
      <c r="S464" s="3"/>
      <c r="T464" s="3"/>
      <c r="U464" s="3"/>
      <c r="V464" s="3"/>
      <c r="W464" s="3"/>
      <c r="X464" s="3"/>
      <c r="Y464" s="3"/>
      <c r="Z464" s="3"/>
    </row>
    <row r="465" spans="1:26" ht="15.75" customHeight="1">
      <c r="A465" s="3"/>
      <c r="B465" s="2"/>
      <c r="C465" s="2"/>
      <c r="D465" s="2"/>
      <c r="E465" s="2"/>
      <c r="F465" s="2"/>
      <c r="G465" s="2"/>
      <c r="H465" s="2"/>
      <c r="I465" s="2"/>
      <c r="J465" s="564"/>
      <c r="K465" s="564"/>
      <c r="L465" s="564"/>
      <c r="M465" s="564"/>
      <c r="N465" s="564"/>
      <c r="O465" s="3"/>
      <c r="P465" s="3"/>
      <c r="Q465" s="3"/>
      <c r="R465" s="3"/>
      <c r="S465" s="3"/>
      <c r="T465" s="3"/>
      <c r="U465" s="3"/>
      <c r="V465" s="3"/>
      <c r="W465" s="3"/>
      <c r="X465" s="3"/>
      <c r="Y465" s="3"/>
      <c r="Z465" s="3"/>
    </row>
    <row r="466" spans="1:26" ht="15.75" customHeight="1">
      <c r="A466" s="3"/>
      <c r="B466" s="2"/>
      <c r="C466" s="2"/>
      <c r="D466" s="2"/>
      <c r="E466" s="2"/>
      <c r="F466" s="2"/>
      <c r="G466" s="2"/>
      <c r="H466" s="2"/>
      <c r="I466" s="2"/>
      <c r="J466" s="564"/>
      <c r="K466" s="564"/>
      <c r="L466" s="564"/>
      <c r="M466" s="564"/>
      <c r="N466" s="564"/>
      <c r="O466" s="3"/>
      <c r="P466" s="3"/>
      <c r="Q466" s="3"/>
      <c r="R466" s="3"/>
      <c r="S466" s="3"/>
      <c r="T466" s="3"/>
      <c r="U466" s="3"/>
      <c r="V466" s="3"/>
      <c r="W466" s="3"/>
      <c r="X466" s="3"/>
      <c r="Y466" s="3"/>
      <c r="Z466" s="3"/>
    </row>
    <row r="467" spans="1:26" ht="15.75" customHeight="1">
      <c r="A467" s="3"/>
      <c r="B467" s="2"/>
      <c r="C467" s="2"/>
      <c r="D467" s="2"/>
      <c r="E467" s="2"/>
      <c r="F467" s="2"/>
      <c r="G467" s="2"/>
      <c r="H467" s="2"/>
      <c r="I467" s="2"/>
      <c r="J467" s="564"/>
      <c r="K467" s="564"/>
      <c r="L467" s="564"/>
      <c r="M467" s="564"/>
      <c r="N467" s="564"/>
      <c r="O467" s="3"/>
      <c r="P467" s="3"/>
      <c r="Q467" s="3"/>
      <c r="R467" s="3"/>
      <c r="S467" s="3"/>
      <c r="T467" s="3"/>
      <c r="U467" s="3"/>
      <c r="V467" s="3"/>
      <c r="W467" s="3"/>
      <c r="X467" s="3"/>
      <c r="Y467" s="3"/>
      <c r="Z467" s="3"/>
    </row>
    <row r="468" spans="1:26" ht="15.75" customHeight="1">
      <c r="A468" s="3"/>
      <c r="B468" s="2"/>
      <c r="C468" s="2"/>
      <c r="D468" s="2"/>
      <c r="E468" s="2"/>
      <c r="F468" s="2"/>
      <c r="G468" s="2"/>
      <c r="H468" s="2"/>
      <c r="I468" s="2"/>
      <c r="J468" s="564"/>
      <c r="K468" s="564"/>
      <c r="L468" s="564"/>
      <c r="M468" s="564"/>
      <c r="N468" s="564"/>
      <c r="O468" s="3"/>
      <c r="P468" s="3"/>
      <c r="Q468" s="3"/>
      <c r="R468" s="3"/>
      <c r="S468" s="3"/>
      <c r="T468" s="3"/>
      <c r="U468" s="3"/>
      <c r="V468" s="3"/>
      <c r="W468" s="3"/>
      <c r="X468" s="3"/>
      <c r="Y468" s="3"/>
      <c r="Z468" s="3"/>
    </row>
    <row r="469" spans="1:26" ht="15.75" customHeight="1">
      <c r="A469" s="3"/>
      <c r="B469" s="2"/>
      <c r="C469" s="2"/>
      <c r="D469" s="2"/>
      <c r="E469" s="2"/>
      <c r="F469" s="2"/>
      <c r="G469" s="2"/>
      <c r="H469" s="2"/>
      <c r="I469" s="2"/>
      <c r="J469" s="564"/>
      <c r="K469" s="564"/>
      <c r="L469" s="564"/>
      <c r="M469" s="564"/>
      <c r="N469" s="564"/>
      <c r="O469" s="3"/>
      <c r="P469" s="3"/>
      <c r="Q469" s="3"/>
      <c r="R469" s="3"/>
      <c r="S469" s="3"/>
      <c r="T469" s="3"/>
      <c r="U469" s="3"/>
      <c r="V469" s="3"/>
      <c r="W469" s="3"/>
      <c r="X469" s="3"/>
      <c r="Y469" s="3"/>
      <c r="Z469" s="3"/>
    </row>
    <row r="470" spans="1:26" ht="15.75" customHeight="1">
      <c r="A470" s="3"/>
      <c r="B470" s="2"/>
      <c r="C470" s="2"/>
      <c r="D470" s="2"/>
      <c r="E470" s="2"/>
      <c r="F470" s="2"/>
      <c r="G470" s="2"/>
      <c r="H470" s="2"/>
      <c r="I470" s="2"/>
      <c r="J470" s="564"/>
      <c r="K470" s="564"/>
      <c r="L470" s="564"/>
      <c r="M470" s="564"/>
      <c r="N470" s="564"/>
      <c r="O470" s="3"/>
      <c r="P470" s="3"/>
      <c r="Q470" s="3"/>
      <c r="R470" s="3"/>
      <c r="S470" s="3"/>
      <c r="T470" s="3"/>
      <c r="U470" s="3"/>
      <c r="V470" s="3"/>
      <c r="W470" s="3"/>
      <c r="X470" s="3"/>
      <c r="Y470" s="3"/>
      <c r="Z470" s="3"/>
    </row>
    <row r="471" spans="1:26" ht="15.75" customHeight="1">
      <c r="A471" s="3"/>
      <c r="B471" s="2"/>
      <c r="C471" s="2"/>
      <c r="D471" s="2"/>
      <c r="E471" s="2"/>
      <c r="F471" s="2"/>
      <c r="G471" s="2"/>
      <c r="H471" s="2"/>
      <c r="I471" s="2"/>
      <c r="J471" s="564"/>
      <c r="K471" s="564"/>
      <c r="L471" s="564"/>
      <c r="M471" s="564"/>
      <c r="N471" s="564"/>
      <c r="O471" s="3"/>
      <c r="P471" s="3"/>
      <c r="Q471" s="3"/>
      <c r="R471" s="3"/>
      <c r="S471" s="3"/>
      <c r="T471" s="3"/>
      <c r="U471" s="3"/>
      <c r="V471" s="3"/>
      <c r="W471" s="3"/>
      <c r="X471" s="3"/>
      <c r="Y471" s="3"/>
      <c r="Z471" s="3"/>
    </row>
    <row r="472" spans="1:26" ht="15.75" customHeight="1">
      <c r="A472" s="3"/>
      <c r="B472" s="2"/>
      <c r="C472" s="2"/>
      <c r="D472" s="2"/>
      <c r="E472" s="2"/>
      <c r="F472" s="2"/>
      <c r="G472" s="2"/>
      <c r="H472" s="2"/>
      <c r="I472" s="2"/>
      <c r="J472" s="564"/>
      <c r="K472" s="564"/>
      <c r="L472" s="564"/>
      <c r="M472" s="564"/>
      <c r="N472" s="564"/>
      <c r="O472" s="3"/>
      <c r="P472" s="3"/>
      <c r="Q472" s="3"/>
      <c r="R472" s="3"/>
      <c r="S472" s="3"/>
      <c r="T472" s="3"/>
      <c r="U472" s="3"/>
      <c r="V472" s="3"/>
      <c r="W472" s="3"/>
      <c r="X472" s="3"/>
      <c r="Y472" s="3"/>
      <c r="Z472" s="3"/>
    </row>
    <row r="473" spans="1:26" ht="15.75" customHeight="1">
      <c r="A473" s="3"/>
      <c r="B473" s="2"/>
      <c r="C473" s="2"/>
      <c r="D473" s="2"/>
      <c r="E473" s="2"/>
      <c r="F473" s="2"/>
      <c r="G473" s="2"/>
      <c r="H473" s="2"/>
      <c r="I473" s="2"/>
      <c r="J473" s="564"/>
      <c r="K473" s="564"/>
      <c r="L473" s="564"/>
      <c r="M473" s="564"/>
      <c r="N473" s="564"/>
      <c r="O473" s="3"/>
      <c r="P473" s="3"/>
      <c r="Q473" s="3"/>
      <c r="R473" s="3"/>
      <c r="S473" s="3"/>
      <c r="T473" s="3"/>
      <c r="U473" s="3"/>
      <c r="V473" s="3"/>
      <c r="W473" s="3"/>
      <c r="X473" s="3"/>
      <c r="Y473" s="3"/>
      <c r="Z473" s="3"/>
    </row>
    <row r="474" spans="1:26" ht="15.75" customHeight="1">
      <c r="A474" s="3"/>
      <c r="B474" s="2"/>
      <c r="C474" s="2"/>
      <c r="D474" s="2"/>
      <c r="E474" s="2"/>
      <c r="F474" s="2"/>
      <c r="G474" s="2"/>
      <c r="H474" s="2"/>
      <c r="I474" s="2"/>
      <c r="J474" s="564"/>
      <c r="K474" s="564"/>
      <c r="L474" s="564"/>
      <c r="M474" s="564"/>
      <c r="N474" s="564"/>
      <c r="O474" s="3"/>
      <c r="P474" s="3"/>
      <c r="Q474" s="3"/>
      <c r="R474" s="3"/>
      <c r="S474" s="3"/>
      <c r="T474" s="3"/>
      <c r="U474" s="3"/>
      <c r="V474" s="3"/>
      <c r="W474" s="3"/>
      <c r="X474" s="3"/>
      <c r="Y474" s="3"/>
      <c r="Z474" s="3"/>
    </row>
    <row r="475" spans="1:26" ht="15.75" customHeight="1">
      <c r="A475" s="3"/>
      <c r="B475" s="2"/>
      <c r="C475" s="2"/>
      <c r="D475" s="2"/>
      <c r="E475" s="2"/>
      <c r="F475" s="2"/>
      <c r="G475" s="2"/>
      <c r="H475" s="2"/>
      <c r="I475" s="2"/>
      <c r="J475" s="564"/>
      <c r="K475" s="564"/>
      <c r="L475" s="564"/>
      <c r="M475" s="564"/>
      <c r="N475" s="564"/>
      <c r="O475" s="3"/>
      <c r="P475" s="3"/>
      <c r="Q475" s="3"/>
      <c r="R475" s="3"/>
      <c r="S475" s="3"/>
      <c r="T475" s="3"/>
      <c r="U475" s="3"/>
      <c r="V475" s="3"/>
      <c r="W475" s="3"/>
      <c r="X475" s="3"/>
      <c r="Y475" s="3"/>
      <c r="Z475" s="3"/>
    </row>
    <row r="476" spans="1:26" ht="15.75" customHeight="1">
      <c r="A476" s="3"/>
      <c r="B476" s="2"/>
      <c r="C476" s="2"/>
      <c r="D476" s="2"/>
      <c r="E476" s="2"/>
      <c r="F476" s="2"/>
      <c r="G476" s="2"/>
      <c r="H476" s="2"/>
      <c r="I476" s="2"/>
      <c r="J476" s="564"/>
      <c r="K476" s="564"/>
      <c r="L476" s="564"/>
      <c r="M476" s="564"/>
      <c r="N476" s="564"/>
      <c r="O476" s="3"/>
      <c r="P476" s="3"/>
      <c r="Q476" s="3"/>
      <c r="R476" s="3"/>
      <c r="S476" s="3"/>
      <c r="T476" s="3"/>
      <c r="U476" s="3"/>
      <c r="V476" s="3"/>
      <c r="W476" s="3"/>
      <c r="X476" s="3"/>
      <c r="Y476" s="3"/>
      <c r="Z476" s="3"/>
    </row>
    <row r="477" spans="1:26" ht="15.75" customHeight="1">
      <c r="A477" s="3"/>
      <c r="B477" s="2"/>
      <c r="C477" s="2"/>
      <c r="D477" s="2"/>
      <c r="E477" s="2"/>
      <c r="F477" s="2"/>
      <c r="G477" s="2"/>
      <c r="H477" s="2"/>
      <c r="I477" s="2"/>
      <c r="J477" s="564"/>
      <c r="K477" s="564"/>
      <c r="L477" s="564"/>
      <c r="M477" s="564"/>
      <c r="N477" s="564"/>
      <c r="O477" s="3"/>
      <c r="P477" s="3"/>
      <c r="Q477" s="3"/>
      <c r="R477" s="3"/>
      <c r="S477" s="3"/>
      <c r="T477" s="3"/>
      <c r="U477" s="3"/>
      <c r="V477" s="3"/>
      <c r="W477" s="3"/>
      <c r="X477" s="3"/>
      <c r="Y477" s="3"/>
      <c r="Z477" s="3"/>
    </row>
    <row r="478" spans="1:26" ht="15.75" customHeight="1">
      <c r="A478" s="3"/>
      <c r="B478" s="2"/>
      <c r="C478" s="2"/>
      <c r="D478" s="2"/>
      <c r="E478" s="2"/>
      <c r="F478" s="2"/>
      <c r="G478" s="2"/>
      <c r="H478" s="2"/>
      <c r="I478" s="2"/>
      <c r="J478" s="564"/>
      <c r="K478" s="564"/>
      <c r="L478" s="564"/>
      <c r="M478" s="564"/>
      <c r="N478" s="564"/>
      <c r="O478" s="3"/>
      <c r="P478" s="3"/>
      <c r="Q478" s="3"/>
      <c r="R478" s="3"/>
      <c r="S478" s="3"/>
      <c r="T478" s="3"/>
      <c r="U478" s="3"/>
      <c r="V478" s="3"/>
      <c r="W478" s="3"/>
      <c r="X478" s="3"/>
      <c r="Y478" s="3"/>
      <c r="Z478" s="3"/>
    </row>
    <row r="479" spans="1:26" ht="15.75" customHeight="1">
      <c r="A479" s="3"/>
      <c r="B479" s="2"/>
      <c r="C479" s="2"/>
      <c r="D479" s="2"/>
      <c r="E479" s="2"/>
      <c r="F479" s="2"/>
      <c r="G479" s="2"/>
      <c r="H479" s="2"/>
      <c r="I479" s="2"/>
      <c r="J479" s="564"/>
      <c r="K479" s="564"/>
      <c r="L479" s="564"/>
      <c r="M479" s="564"/>
      <c r="N479" s="564"/>
      <c r="O479" s="3"/>
      <c r="P479" s="3"/>
      <c r="Q479" s="3"/>
      <c r="R479" s="3"/>
      <c r="S479" s="3"/>
      <c r="T479" s="3"/>
      <c r="U479" s="3"/>
      <c r="V479" s="3"/>
      <c r="W479" s="3"/>
      <c r="X479" s="3"/>
      <c r="Y479" s="3"/>
      <c r="Z479" s="3"/>
    </row>
    <row r="480" spans="1:26" ht="15.75" customHeight="1">
      <c r="A480" s="3"/>
      <c r="B480" s="2"/>
      <c r="C480" s="2"/>
      <c r="D480" s="2"/>
      <c r="E480" s="2"/>
      <c r="F480" s="2"/>
      <c r="G480" s="2"/>
      <c r="H480" s="2"/>
      <c r="I480" s="2"/>
      <c r="J480" s="564"/>
      <c r="K480" s="564"/>
      <c r="L480" s="564"/>
      <c r="M480" s="564"/>
      <c r="N480" s="564"/>
      <c r="O480" s="3"/>
      <c r="P480" s="3"/>
      <c r="Q480" s="3"/>
      <c r="R480" s="3"/>
      <c r="S480" s="3"/>
      <c r="T480" s="3"/>
      <c r="U480" s="3"/>
      <c r="V480" s="3"/>
      <c r="W480" s="3"/>
      <c r="X480" s="3"/>
      <c r="Y480" s="3"/>
      <c r="Z480" s="3"/>
    </row>
    <row r="481" spans="1:26" ht="15.75" customHeight="1">
      <c r="A481" s="3"/>
      <c r="B481" s="2"/>
      <c r="C481" s="2"/>
      <c r="D481" s="2"/>
      <c r="E481" s="2"/>
      <c r="F481" s="2"/>
      <c r="G481" s="2"/>
      <c r="H481" s="2"/>
      <c r="I481" s="2"/>
      <c r="J481" s="564"/>
      <c r="K481" s="564"/>
      <c r="L481" s="564"/>
      <c r="M481" s="564"/>
      <c r="N481" s="564"/>
      <c r="O481" s="3"/>
      <c r="P481" s="3"/>
      <c r="Q481" s="3"/>
      <c r="R481" s="3"/>
      <c r="S481" s="3"/>
      <c r="T481" s="3"/>
      <c r="U481" s="3"/>
      <c r="V481" s="3"/>
      <c r="W481" s="3"/>
      <c r="X481" s="3"/>
      <c r="Y481" s="3"/>
      <c r="Z481" s="3"/>
    </row>
    <row r="482" spans="1:26" ht="15.75" customHeight="1">
      <c r="A482" s="3"/>
      <c r="B482" s="2"/>
      <c r="C482" s="2"/>
      <c r="D482" s="2"/>
      <c r="E482" s="2"/>
      <c r="F482" s="2"/>
      <c r="G482" s="2"/>
      <c r="H482" s="2"/>
      <c r="I482" s="2"/>
      <c r="J482" s="564"/>
      <c r="K482" s="564"/>
      <c r="L482" s="564"/>
      <c r="M482" s="564"/>
      <c r="N482" s="564"/>
      <c r="O482" s="3"/>
      <c r="P482" s="3"/>
      <c r="Q482" s="3"/>
      <c r="R482" s="3"/>
      <c r="S482" s="3"/>
      <c r="T482" s="3"/>
      <c r="U482" s="3"/>
      <c r="V482" s="3"/>
      <c r="W482" s="3"/>
      <c r="X482" s="3"/>
      <c r="Y482" s="3"/>
      <c r="Z482" s="3"/>
    </row>
    <row r="483" spans="1:26" ht="15.75" customHeight="1">
      <c r="A483" s="3"/>
      <c r="B483" s="2"/>
      <c r="C483" s="2"/>
      <c r="D483" s="2"/>
      <c r="E483" s="2"/>
      <c r="F483" s="2"/>
      <c r="G483" s="2"/>
      <c r="H483" s="2"/>
      <c r="I483" s="2"/>
      <c r="J483" s="564"/>
      <c r="K483" s="564"/>
      <c r="L483" s="564"/>
      <c r="M483" s="564"/>
      <c r="N483" s="564"/>
      <c r="O483" s="3"/>
      <c r="P483" s="3"/>
      <c r="Q483" s="3"/>
      <c r="R483" s="3"/>
      <c r="S483" s="3"/>
      <c r="T483" s="3"/>
      <c r="U483" s="3"/>
      <c r="V483" s="3"/>
      <c r="W483" s="3"/>
      <c r="X483" s="3"/>
      <c r="Y483" s="3"/>
      <c r="Z483" s="3"/>
    </row>
    <row r="484" spans="1:26" ht="15.75" customHeight="1">
      <c r="A484" s="3"/>
      <c r="B484" s="2"/>
      <c r="C484" s="2"/>
      <c r="D484" s="2"/>
      <c r="E484" s="2"/>
      <c r="F484" s="2"/>
      <c r="G484" s="2"/>
      <c r="H484" s="2"/>
      <c r="I484" s="2"/>
      <c r="J484" s="564"/>
      <c r="K484" s="564"/>
      <c r="L484" s="564"/>
      <c r="M484" s="564"/>
      <c r="N484" s="564"/>
      <c r="O484" s="3"/>
      <c r="P484" s="3"/>
      <c r="Q484" s="3"/>
      <c r="R484" s="3"/>
      <c r="S484" s="3"/>
      <c r="T484" s="3"/>
      <c r="U484" s="3"/>
      <c r="V484" s="3"/>
      <c r="W484" s="3"/>
      <c r="X484" s="3"/>
      <c r="Y484" s="3"/>
      <c r="Z484" s="3"/>
    </row>
    <row r="485" spans="1:26" ht="15.75" customHeight="1">
      <c r="A485" s="3"/>
      <c r="B485" s="2"/>
      <c r="C485" s="2"/>
      <c r="D485" s="2"/>
      <c r="E485" s="2"/>
      <c r="F485" s="2"/>
      <c r="G485" s="2"/>
      <c r="H485" s="2"/>
      <c r="I485" s="2"/>
      <c r="J485" s="564"/>
      <c r="K485" s="564"/>
      <c r="L485" s="564"/>
      <c r="M485" s="564"/>
      <c r="N485" s="564"/>
      <c r="O485" s="3"/>
      <c r="P485" s="3"/>
      <c r="Q485" s="3"/>
      <c r="R485" s="3"/>
      <c r="S485" s="3"/>
      <c r="T485" s="3"/>
      <c r="U485" s="3"/>
      <c r="V485" s="3"/>
      <c r="W485" s="3"/>
      <c r="X485" s="3"/>
      <c r="Y485" s="3"/>
      <c r="Z485" s="3"/>
    </row>
    <row r="486" spans="1:26" ht="15.75" customHeight="1">
      <c r="A486" s="3"/>
      <c r="B486" s="2"/>
      <c r="C486" s="2"/>
      <c r="D486" s="2"/>
      <c r="E486" s="2"/>
      <c r="F486" s="2"/>
      <c r="G486" s="2"/>
      <c r="H486" s="2"/>
      <c r="I486" s="2"/>
      <c r="J486" s="564"/>
      <c r="K486" s="564"/>
      <c r="L486" s="564"/>
      <c r="M486" s="564"/>
      <c r="N486" s="564"/>
      <c r="O486" s="3"/>
      <c r="P486" s="3"/>
      <c r="Q486" s="3"/>
      <c r="R486" s="3"/>
      <c r="S486" s="3"/>
      <c r="T486" s="3"/>
      <c r="U486" s="3"/>
      <c r="V486" s="3"/>
      <c r="W486" s="3"/>
      <c r="X486" s="3"/>
      <c r="Y486" s="3"/>
      <c r="Z486" s="3"/>
    </row>
    <row r="487" spans="1:26" ht="15.75" customHeight="1">
      <c r="A487" s="3"/>
      <c r="B487" s="2"/>
      <c r="C487" s="2"/>
      <c r="D487" s="2"/>
      <c r="E487" s="2"/>
      <c r="F487" s="2"/>
      <c r="G487" s="2"/>
      <c r="H487" s="2"/>
      <c r="I487" s="2"/>
      <c r="J487" s="564"/>
      <c r="K487" s="564"/>
      <c r="L487" s="564"/>
      <c r="M487" s="564"/>
      <c r="N487" s="564"/>
      <c r="O487" s="3"/>
      <c r="P487" s="3"/>
      <c r="Q487" s="3"/>
      <c r="R487" s="3"/>
      <c r="S487" s="3"/>
      <c r="T487" s="3"/>
      <c r="U487" s="3"/>
      <c r="V487" s="3"/>
      <c r="W487" s="3"/>
      <c r="X487" s="3"/>
      <c r="Y487" s="3"/>
      <c r="Z487" s="3"/>
    </row>
    <row r="488" spans="1:26" ht="15.75" customHeight="1">
      <c r="A488" s="3"/>
      <c r="B488" s="2"/>
      <c r="C488" s="2"/>
      <c r="D488" s="2"/>
      <c r="E488" s="2"/>
      <c r="F488" s="2"/>
      <c r="G488" s="2"/>
      <c r="H488" s="2"/>
      <c r="I488" s="2"/>
      <c r="J488" s="564"/>
      <c r="K488" s="564"/>
      <c r="L488" s="564"/>
      <c r="M488" s="564"/>
      <c r="N488" s="564"/>
      <c r="O488" s="3"/>
      <c r="P488" s="3"/>
      <c r="Q488" s="3"/>
      <c r="R488" s="3"/>
      <c r="S488" s="3"/>
      <c r="T488" s="3"/>
      <c r="U488" s="3"/>
      <c r="V488" s="3"/>
      <c r="W488" s="3"/>
      <c r="X488" s="3"/>
      <c r="Y488" s="3"/>
      <c r="Z488" s="3"/>
    </row>
    <row r="489" spans="1:26" ht="15.75" customHeight="1">
      <c r="A489" s="3"/>
      <c r="B489" s="2"/>
      <c r="C489" s="2"/>
      <c r="D489" s="2"/>
      <c r="E489" s="2"/>
      <c r="F489" s="2"/>
      <c r="G489" s="2"/>
      <c r="H489" s="2"/>
      <c r="I489" s="2"/>
      <c r="J489" s="564"/>
      <c r="K489" s="564"/>
      <c r="L489" s="564"/>
      <c r="M489" s="564"/>
      <c r="N489" s="564"/>
      <c r="O489" s="3"/>
      <c r="P489" s="3"/>
      <c r="Q489" s="3"/>
      <c r="R489" s="3"/>
      <c r="S489" s="3"/>
      <c r="T489" s="3"/>
      <c r="U489" s="3"/>
      <c r="V489" s="3"/>
      <c r="W489" s="3"/>
      <c r="X489" s="3"/>
      <c r="Y489" s="3"/>
      <c r="Z489" s="3"/>
    </row>
    <row r="490" spans="1:26" ht="15.75" customHeight="1">
      <c r="A490" s="3"/>
      <c r="B490" s="2"/>
      <c r="C490" s="2"/>
      <c r="D490" s="2"/>
      <c r="E490" s="2"/>
      <c r="F490" s="2"/>
      <c r="G490" s="2"/>
      <c r="H490" s="2"/>
      <c r="I490" s="2"/>
      <c r="J490" s="564"/>
      <c r="K490" s="564"/>
      <c r="L490" s="564"/>
      <c r="M490" s="564"/>
      <c r="N490" s="564"/>
      <c r="O490" s="3"/>
      <c r="P490" s="3"/>
      <c r="Q490" s="3"/>
      <c r="R490" s="3"/>
      <c r="S490" s="3"/>
      <c r="T490" s="3"/>
      <c r="U490" s="3"/>
      <c r="V490" s="3"/>
      <c r="W490" s="3"/>
      <c r="X490" s="3"/>
      <c r="Y490" s="3"/>
      <c r="Z490" s="3"/>
    </row>
    <row r="491" spans="1:26" ht="15.75" customHeight="1">
      <c r="A491" s="3"/>
      <c r="B491" s="2"/>
      <c r="C491" s="2"/>
      <c r="D491" s="2"/>
      <c r="E491" s="2"/>
      <c r="F491" s="2"/>
      <c r="G491" s="2"/>
      <c r="H491" s="2"/>
      <c r="I491" s="2"/>
      <c r="J491" s="564"/>
      <c r="K491" s="564"/>
      <c r="L491" s="564"/>
      <c r="M491" s="564"/>
      <c r="N491" s="564"/>
      <c r="O491" s="3"/>
      <c r="P491" s="3"/>
      <c r="Q491" s="3"/>
      <c r="R491" s="3"/>
      <c r="S491" s="3"/>
      <c r="T491" s="3"/>
      <c r="U491" s="3"/>
      <c r="V491" s="3"/>
      <c r="W491" s="3"/>
      <c r="X491" s="3"/>
      <c r="Y491" s="3"/>
      <c r="Z491" s="3"/>
    </row>
    <row r="492" spans="1:26" ht="15.75" customHeight="1">
      <c r="A492" s="3"/>
      <c r="B492" s="2"/>
      <c r="C492" s="2"/>
      <c r="D492" s="2"/>
      <c r="E492" s="2"/>
      <c r="F492" s="2"/>
      <c r="G492" s="2"/>
      <c r="H492" s="2"/>
      <c r="I492" s="2"/>
      <c r="J492" s="564"/>
      <c r="K492" s="564"/>
      <c r="L492" s="564"/>
      <c r="M492" s="564"/>
      <c r="N492" s="564"/>
      <c r="O492" s="3"/>
      <c r="P492" s="3"/>
      <c r="Q492" s="3"/>
      <c r="R492" s="3"/>
      <c r="S492" s="3"/>
      <c r="T492" s="3"/>
      <c r="U492" s="3"/>
      <c r="V492" s="3"/>
      <c r="W492" s="3"/>
      <c r="X492" s="3"/>
      <c r="Y492" s="3"/>
      <c r="Z492" s="3"/>
    </row>
    <row r="493" spans="1:26" ht="15.75" customHeight="1">
      <c r="A493" s="3"/>
      <c r="B493" s="2"/>
      <c r="C493" s="2"/>
      <c r="D493" s="2"/>
      <c r="E493" s="2"/>
      <c r="F493" s="2"/>
      <c r="G493" s="2"/>
      <c r="H493" s="2"/>
      <c r="I493" s="2"/>
      <c r="J493" s="564"/>
      <c r="K493" s="564"/>
      <c r="L493" s="564"/>
      <c r="M493" s="564"/>
      <c r="N493" s="564"/>
      <c r="O493" s="3"/>
      <c r="P493" s="3"/>
      <c r="Q493" s="3"/>
      <c r="R493" s="3"/>
      <c r="S493" s="3"/>
      <c r="T493" s="3"/>
      <c r="U493" s="3"/>
      <c r="V493" s="3"/>
      <c r="W493" s="3"/>
      <c r="X493" s="3"/>
      <c r="Y493" s="3"/>
      <c r="Z493" s="3"/>
    </row>
    <row r="494" spans="1:26" ht="15.75" customHeight="1">
      <c r="A494" s="3"/>
      <c r="B494" s="2"/>
      <c r="C494" s="2"/>
      <c r="D494" s="2"/>
      <c r="E494" s="2"/>
      <c r="F494" s="2"/>
      <c r="G494" s="2"/>
      <c r="H494" s="2"/>
      <c r="I494" s="2"/>
      <c r="J494" s="564"/>
      <c r="K494" s="564"/>
      <c r="L494" s="564"/>
      <c r="M494" s="564"/>
      <c r="N494" s="564"/>
      <c r="O494" s="3"/>
      <c r="P494" s="3"/>
      <c r="Q494" s="3"/>
      <c r="R494" s="3"/>
      <c r="S494" s="3"/>
      <c r="T494" s="3"/>
      <c r="U494" s="3"/>
      <c r="V494" s="3"/>
      <c r="W494" s="3"/>
      <c r="X494" s="3"/>
      <c r="Y494" s="3"/>
      <c r="Z494" s="3"/>
    </row>
    <row r="495" spans="1:26" ht="15.75" customHeight="1">
      <c r="A495" s="3"/>
      <c r="B495" s="2"/>
      <c r="C495" s="2"/>
      <c r="D495" s="2"/>
      <c r="E495" s="2"/>
      <c r="F495" s="2"/>
      <c r="G495" s="2"/>
      <c r="H495" s="2"/>
      <c r="I495" s="2"/>
      <c r="J495" s="564"/>
      <c r="K495" s="564"/>
      <c r="L495" s="564"/>
      <c r="M495" s="564"/>
      <c r="N495" s="564"/>
      <c r="O495" s="3"/>
      <c r="P495" s="3"/>
      <c r="Q495" s="3"/>
      <c r="R495" s="3"/>
      <c r="S495" s="3"/>
      <c r="T495" s="3"/>
      <c r="U495" s="3"/>
      <c r="V495" s="3"/>
      <c r="W495" s="3"/>
      <c r="X495" s="3"/>
      <c r="Y495" s="3"/>
      <c r="Z495" s="3"/>
    </row>
    <row r="496" spans="1:26" ht="15.75" customHeight="1">
      <c r="A496" s="3"/>
      <c r="B496" s="2"/>
      <c r="C496" s="2"/>
      <c r="D496" s="2"/>
      <c r="E496" s="2"/>
      <c r="F496" s="2"/>
      <c r="G496" s="2"/>
      <c r="H496" s="2"/>
      <c r="I496" s="2"/>
      <c r="J496" s="564"/>
      <c r="K496" s="564"/>
      <c r="L496" s="564"/>
      <c r="M496" s="564"/>
      <c r="N496" s="564"/>
      <c r="O496" s="3"/>
      <c r="P496" s="3"/>
      <c r="Q496" s="3"/>
      <c r="R496" s="3"/>
      <c r="S496" s="3"/>
      <c r="T496" s="3"/>
      <c r="U496" s="3"/>
      <c r="V496" s="3"/>
      <c r="W496" s="3"/>
      <c r="X496" s="3"/>
      <c r="Y496" s="3"/>
      <c r="Z496" s="3"/>
    </row>
    <row r="497" spans="1:26" ht="15.75" customHeight="1">
      <c r="A497" s="3"/>
      <c r="B497" s="2"/>
      <c r="C497" s="2"/>
      <c r="D497" s="2"/>
      <c r="E497" s="2"/>
      <c r="F497" s="2"/>
      <c r="G497" s="2"/>
      <c r="H497" s="2"/>
      <c r="I497" s="2"/>
      <c r="J497" s="564"/>
      <c r="K497" s="564"/>
      <c r="L497" s="564"/>
      <c r="M497" s="564"/>
      <c r="N497" s="564"/>
      <c r="O497" s="3"/>
      <c r="P497" s="3"/>
      <c r="Q497" s="3"/>
      <c r="R497" s="3"/>
      <c r="S497" s="3"/>
      <c r="T497" s="3"/>
      <c r="U497" s="3"/>
      <c r="V497" s="3"/>
      <c r="W497" s="3"/>
      <c r="X497" s="3"/>
      <c r="Y497" s="3"/>
      <c r="Z497" s="3"/>
    </row>
    <row r="498" spans="1:26" ht="15.75" customHeight="1">
      <c r="A498" s="3"/>
      <c r="B498" s="2"/>
      <c r="C498" s="2"/>
      <c r="D498" s="2"/>
      <c r="E498" s="2"/>
      <c r="F498" s="2"/>
      <c r="G498" s="2"/>
      <c r="H498" s="2"/>
      <c r="I498" s="2"/>
      <c r="J498" s="564"/>
      <c r="K498" s="564"/>
      <c r="L498" s="564"/>
      <c r="M498" s="564"/>
      <c r="N498" s="564"/>
      <c r="O498" s="3"/>
      <c r="P498" s="3"/>
      <c r="Q498" s="3"/>
      <c r="R498" s="3"/>
      <c r="S498" s="3"/>
      <c r="T498" s="3"/>
      <c r="U498" s="3"/>
      <c r="V498" s="3"/>
      <c r="W498" s="3"/>
      <c r="X498" s="3"/>
      <c r="Y498" s="3"/>
      <c r="Z498" s="3"/>
    </row>
    <row r="499" spans="1:26" ht="15.75" customHeight="1">
      <c r="A499" s="3"/>
      <c r="B499" s="2"/>
      <c r="C499" s="2"/>
      <c r="D499" s="2"/>
      <c r="E499" s="2"/>
      <c r="F499" s="2"/>
      <c r="G499" s="2"/>
      <c r="H499" s="2"/>
      <c r="I499" s="2"/>
      <c r="J499" s="564"/>
      <c r="K499" s="564"/>
      <c r="L499" s="564"/>
      <c r="M499" s="564"/>
      <c r="N499" s="564"/>
      <c r="O499" s="3"/>
      <c r="P499" s="3"/>
      <c r="Q499" s="3"/>
      <c r="R499" s="3"/>
      <c r="S499" s="3"/>
      <c r="T499" s="3"/>
      <c r="U499" s="3"/>
      <c r="V499" s="3"/>
      <c r="W499" s="3"/>
      <c r="X499" s="3"/>
      <c r="Y499" s="3"/>
      <c r="Z499" s="3"/>
    </row>
    <row r="500" spans="1:26" ht="15.75" customHeight="1">
      <c r="A500" s="3"/>
      <c r="B500" s="2"/>
      <c r="C500" s="2"/>
      <c r="D500" s="2"/>
      <c r="E500" s="2"/>
      <c r="F500" s="2"/>
      <c r="G500" s="2"/>
      <c r="H500" s="2"/>
      <c r="I500" s="2"/>
      <c r="J500" s="564"/>
      <c r="K500" s="564"/>
      <c r="L500" s="564"/>
      <c r="M500" s="564"/>
      <c r="N500" s="564"/>
      <c r="O500" s="3"/>
      <c r="P500" s="3"/>
      <c r="Q500" s="3"/>
      <c r="R500" s="3"/>
      <c r="S500" s="3"/>
      <c r="T500" s="3"/>
      <c r="U500" s="3"/>
      <c r="V500" s="3"/>
      <c r="W500" s="3"/>
      <c r="X500" s="3"/>
      <c r="Y500" s="3"/>
      <c r="Z500" s="3"/>
    </row>
    <row r="501" spans="1:26" ht="15.75" customHeight="1">
      <c r="A501" s="3"/>
      <c r="B501" s="2"/>
      <c r="C501" s="2"/>
      <c r="D501" s="2"/>
      <c r="E501" s="2"/>
      <c r="F501" s="2"/>
      <c r="G501" s="2"/>
      <c r="H501" s="2"/>
      <c r="I501" s="2"/>
      <c r="J501" s="564"/>
      <c r="K501" s="564"/>
      <c r="L501" s="564"/>
      <c r="M501" s="564"/>
      <c r="N501" s="564"/>
      <c r="O501" s="3"/>
      <c r="P501" s="3"/>
      <c r="Q501" s="3"/>
      <c r="R501" s="3"/>
      <c r="S501" s="3"/>
      <c r="T501" s="3"/>
      <c r="U501" s="3"/>
      <c r="V501" s="3"/>
      <c r="W501" s="3"/>
      <c r="X501" s="3"/>
      <c r="Y501" s="3"/>
      <c r="Z501" s="3"/>
    </row>
    <row r="502" spans="1:26" ht="15.75" customHeight="1">
      <c r="A502" s="3"/>
      <c r="B502" s="2"/>
      <c r="C502" s="2"/>
      <c r="D502" s="2"/>
      <c r="E502" s="2"/>
      <c r="F502" s="2"/>
      <c r="G502" s="2"/>
      <c r="H502" s="2"/>
      <c r="I502" s="2"/>
      <c r="J502" s="564"/>
      <c r="K502" s="564"/>
      <c r="L502" s="564"/>
      <c r="M502" s="564"/>
      <c r="N502" s="564"/>
      <c r="O502" s="3"/>
      <c r="P502" s="3"/>
      <c r="Q502" s="3"/>
      <c r="R502" s="3"/>
      <c r="S502" s="3"/>
      <c r="T502" s="3"/>
      <c r="U502" s="3"/>
      <c r="V502" s="3"/>
      <c r="W502" s="3"/>
      <c r="X502" s="3"/>
      <c r="Y502" s="3"/>
      <c r="Z502" s="3"/>
    </row>
    <row r="503" spans="1:26" ht="15.75" customHeight="1">
      <c r="A503" s="3"/>
      <c r="B503" s="2"/>
      <c r="C503" s="2"/>
      <c r="D503" s="2"/>
      <c r="E503" s="2"/>
      <c r="F503" s="2"/>
      <c r="G503" s="2"/>
      <c r="H503" s="2"/>
      <c r="I503" s="2"/>
      <c r="J503" s="564"/>
      <c r="K503" s="564"/>
      <c r="L503" s="564"/>
      <c r="M503" s="564"/>
      <c r="N503" s="564"/>
      <c r="O503" s="3"/>
      <c r="P503" s="3"/>
      <c r="Q503" s="3"/>
      <c r="R503" s="3"/>
      <c r="S503" s="3"/>
      <c r="T503" s="3"/>
      <c r="U503" s="3"/>
      <c r="V503" s="3"/>
      <c r="W503" s="3"/>
      <c r="X503" s="3"/>
      <c r="Y503" s="3"/>
      <c r="Z503" s="3"/>
    </row>
    <row r="504" spans="1:26" ht="15.75" customHeight="1">
      <c r="A504" s="3"/>
      <c r="B504" s="2"/>
      <c r="C504" s="2"/>
      <c r="D504" s="2"/>
      <c r="E504" s="2"/>
      <c r="F504" s="2"/>
      <c r="G504" s="2"/>
      <c r="H504" s="2"/>
      <c r="I504" s="2"/>
      <c r="J504" s="564"/>
      <c r="K504" s="564"/>
      <c r="L504" s="564"/>
      <c r="M504" s="564"/>
      <c r="N504" s="564"/>
      <c r="O504" s="3"/>
      <c r="P504" s="3"/>
      <c r="Q504" s="3"/>
      <c r="R504" s="3"/>
      <c r="S504" s="3"/>
      <c r="T504" s="3"/>
      <c r="U504" s="3"/>
      <c r="V504" s="3"/>
      <c r="W504" s="3"/>
      <c r="X504" s="3"/>
      <c r="Y504" s="3"/>
      <c r="Z504" s="3"/>
    </row>
    <row r="505" spans="1:26" ht="15.75" customHeight="1">
      <c r="A505" s="3"/>
      <c r="B505" s="2"/>
      <c r="C505" s="2"/>
      <c r="D505" s="2"/>
      <c r="E505" s="2"/>
      <c r="F505" s="2"/>
      <c r="G505" s="2"/>
      <c r="H505" s="2"/>
      <c r="I505" s="2"/>
      <c r="J505" s="564"/>
      <c r="K505" s="564"/>
      <c r="L505" s="564"/>
      <c r="M505" s="564"/>
      <c r="N505" s="564"/>
      <c r="O505" s="3"/>
      <c r="P505" s="3"/>
      <c r="Q505" s="3"/>
      <c r="R505" s="3"/>
      <c r="S505" s="3"/>
      <c r="T505" s="3"/>
      <c r="U505" s="3"/>
      <c r="V505" s="3"/>
      <c r="W505" s="3"/>
      <c r="X505" s="3"/>
      <c r="Y505" s="3"/>
      <c r="Z505" s="3"/>
    </row>
    <row r="506" spans="1:26" ht="15.75" customHeight="1">
      <c r="A506" s="3"/>
      <c r="B506" s="2"/>
      <c r="C506" s="2"/>
      <c r="D506" s="2"/>
      <c r="E506" s="2"/>
      <c r="F506" s="2"/>
      <c r="G506" s="2"/>
      <c r="H506" s="2"/>
      <c r="I506" s="2"/>
      <c r="J506" s="564"/>
      <c r="K506" s="564"/>
      <c r="L506" s="564"/>
      <c r="M506" s="564"/>
      <c r="N506" s="564"/>
      <c r="O506" s="3"/>
      <c r="P506" s="3"/>
      <c r="Q506" s="3"/>
      <c r="R506" s="3"/>
      <c r="S506" s="3"/>
      <c r="T506" s="3"/>
      <c r="U506" s="3"/>
      <c r="V506" s="3"/>
      <c r="W506" s="3"/>
      <c r="X506" s="3"/>
      <c r="Y506" s="3"/>
      <c r="Z506" s="3"/>
    </row>
    <row r="507" spans="1:26" ht="15.75" customHeight="1">
      <c r="A507" s="3"/>
      <c r="B507" s="2"/>
      <c r="C507" s="2"/>
      <c r="D507" s="2"/>
      <c r="E507" s="2"/>
      <c r="F507" s="2"/>
      <c r="G507" s="2"/>
      <c r="H507" s="2"/>
      <c r="I507" s="2"/>
      <c r="J507" s="564"/>
      <c r="K507" s="564"/>
      <c r="L507" s="564"/>
      <c r="M507" s="564"/>
      <c r="N507" s="564"/>
      <c r="O507" s="3"/>
      <c r="P507" s="3"/>
      <c r="Q507" s="3"/>
      <c r="R507" s="3"/>
      <c r="S507" s="3"/>
      <c r="T507" s="3"/>
      <c r="U507" s="3"/>
      <c r="V507" s="3"/>
      <c r="W507" s="3"/>
      <c r="X507" s="3"/>
      <c r="Y507" s="3"/>
      <c r="Z507" s="3"/>
    </row>
    <row r="508" spans="1:26" ht="15.75" customHeight="1">
      <c r="A508" s="3"/>
      <c r="B508" s="2"/>
      <c r="C508" s="2"/>
      <c r="D508" s="2"/>
      <c r="E508" s="2"/>
      <c r="F508" s="2"/>
      <c r="G508" s="2"/>
      <c r="H508" s="2"/>
      <c r="I508" s="2"/>
      <c r="J508" s="564"/>
      <c r="K508" s="564"/>
      <c r="L508" s="564"/>
      <c r="M508" s="564"/>
      <c r="N508" s="564"/>
      <c r="O508" s="3"/>
      <c r="P508" s="3"/>
      <c r="Q508" s="3"/>
      <c r="R508" s="3"/>
      <c r="S508" s="3"/>
      <c r="T508" s="3"/>
      <c r="U508" s="3"/>
      <c r="V508" s="3"/>
      <c r="W508" s="3"/>
      <c r="X508" s="3"/>
      <c r="Y508" s="3"/>
      <c r="Z508" s="3"/>
    </row>
    <row r="509" spans="1:26" ht="15.75" customHeight="1">
      <c r="A509" s="3"/>
      <c r="B509" s="2"/>
      <c r="C509" s="2"/>
      <c r="D509" s="2"/>
      <c r="E509" s="2"/>
      <c r="F509" s="2"/>
      <c r="G509" s="2"/>
      <c r="H509" s="2"/>
      <c r="I509" s="2"/>
      <c r="J509" s="564"/>
      <c r="K509" s="564"/>
      <c r="L509" s="564"/>
      <c r="M509" s="564"/>
      <c r="N509" s="564"/>
      <c r="O509" s="3"/>
      <c r="P509" s="3"/>
      <c r="Q509" s="3"/>
      <c r="R509" s="3"/>
      <c r="S509" s="3"/>
      <c r="T509" s="3"/>
      <c r="U509" s="3"/>
      <c r="V509" s="3"/>
      <c r="W509" s="3"/>
      <c r="X509" s="3"/>
      <c r="Y509" s="3"/>
      <c r="Z509" s="3"/>
    </row>
    <row r="510" spans="1:26" ht="15.75" customHeight="1">
      <c r="A510" s="3"/>
      <c r="B510" s="2"/>
      <c r="C510" s="2"/>
      <c r="D510" s="2"/>
      <c r="E510" s="2"/>
      <c r="F510" s="2"/>
      <c r="G510" s="2"/>
      <c r="H510" s="2"/>
      <c r="I510" s="2"/>
      <c r="J510" s="564"/>
      <c r="K510" s="564"/>
      <c r="L510" s="564"/>
      <c r="M510" s="564"/>
      <c r="N510" s="564"/>
      <c r="O510" s="3"/>
      <c r="P510" s="3"/>
      <c r="Q510" s="3"/>
      <c r="R510" s="3"/>
      <c r="S510" s="3"/>
      <c r="T510" s="3"/>
      <c r="U510" s="3"/>
      <c r="V510" s="3"/>
      <c r="W510" s="3"/>
      <c r="X510" s="3"/>
      <c r="Y510" s="3"/>
      <c r="Z510" s="3"/>
    </row>
    <row r="511" spans="1:26" ht="15.75" customHeight="1">
      <c r="A511" s="3"/>
      <c r="B511" s="2"/>
      <c r="C511" s="2"/>
      <c r="D511" s="2"/>
      <c r="E511" s="2"/>
      <c r="F511" s="2"/>
      <c r="G511" s="2"/>
      <c r="H511" s="2"/>
      <c r="I511" s="2"/>
      <c r="J511" s="564"/>
      <c r="K511" s="564"/>
      <c r="L511" s="564"/>
      <c r="M511" s="564"/>
      <c r="N511" s="564"/>
      <c r="O511" s="3"/>
      <c r="P511" s="3"/>
      <c r="Q511" s="3"/>
      <c r="R511" s="3"/>
      <c r="S511" s="3"/>
      <c r="T511" s="3"/>
      <c r="U511" s="3"/>
      <c r="V511" s="3"/>
      <c r="W511" s="3"/>
      <c r="X511" s="3"/>
      <c r="Y511" s="3"/>
      <c r="Z511" s="3"/>
    </row>
    <row r="512" spans="1:26" ht="15.75" customHeight="1">
      <c r="A512" s="3"/>
      <c r="B512" s="2"/>
      <c r="C512" s="2"/>
      <c r="D512" s="2"/>
      <c r="E512" s="2"/>
      <c r="F512" s="2"/>
      <c r="G512" s="2"/>
      <c r="H512" s="2"/>
      <c r="I512" s="2"/>
      <c r="J512" s="564"/>
      <c r="K512" s="564"/>
      <c r="L512" s="564"/>
      <c r="M512" s="564"/>
      <c r="N512" s="564"/>
      <c r="O512" s="3"/>
      <c r="P512" s="3"/>
      <c r="Q512" s="3"/>
      <c r="R512" s="3"/>
      <c r="S512" s="3"/>
      <c r="T512" s="3"/>
      <c r="U512" s="3"/>
      <c r="V512" s="3"/>
      <c r="W512" s="3"/>
      <c r="X512" s="3"/>
      <c r="Y512" s="3"/>
      <c r="Z512" s="3"/>
    </row>
    <row r="513" spans="1:26" ht="15.75" customHeight="1">
      <c r="A513" s="3"/>
      <c r="B513" s="2"/>
      <c r="C513" s="2"/>
      <c r="D513" s="2"/>
      <c r="E513" s="2"/>
      <c r="F513" s="2"/>
      <c r="G513" s="2"/>
      <c r="H513" s="2"/>
      <c r="I513" s="2"/>
      <c r="J513" s="564"/>
      <c r="K513" s="564"/>
      <c r="L513" s="564"/>
      <c r="M513" s="564"/>
      <c r="N513" s="564"/>
      <c r="O513" s="3"/>
      <c r="P513" s="3"/>
      <c r="Q513" s="3"/>
      <c r="R513" s="3"/>
      <c r="S513" s="3"/>
      <c r="T513" s="3"/>
      <c r="U513" s="3"/>
      <c r="V513" s="3"/>
      <c r="W513" s="3"/>
      <c r="X513" s="3"/>
      <c r="Y513" s="3"/>
      <c r="Z513" s="3"/>
    </row>
    <row r="514" spans="1:26" ht="15.75" customHeight="1">
      <c r="A514" s="3"/>
      <c r="B514" s="2"/>
      <c r="C514" s="2"/>
      <c r="D514" s="2"/>
      <c r="E514" s="2"/>
      <c r="F514" s="2"/>
      <c r="G514" s="2"/>
      <c r="H514" s="2"/>
      <c r="I514" s="2"/>
      <c r="J514" s="564"/>
      <c r="K514" s="564"/>
      <c r="L514" s="564"/>
      <c r="M514" s="564"/>
      <c r="N514" s="564"/>
      <c r="O514" s="3"/>
      <c r="P514" s="3"/>
      <c r="Q514" s="3"/>
      <c r="R514" s="3"/>
      <c r="S514" s="3"/>
      <c r="T514" s="3"/>
      <c r="U514" s="3"/>
      <c r="V514" s="3"/>
      <c r="W514" s="3"/>
      <c r="X514" s="3"/>
      <c r="Y514" s="3"/>
      <c r="Z514" s="3"/>
    </row>
    <row r="515" spans="1:26" ht="15.75" customHeight="1">
      <c r="A515" s="3"/>
      <c r="B515" s="2"/>
      <c r="C515" s="2"/>
      <c r="D515" s="2"/>
      <c r="E515" s="2"/>
      <c r="F515" s="2"/>
      <c r="G515" s="2"/>
      <c r="H515" s="2"/>
      <c r="I515" s="2"/>
      <c r="J515" s="564"/>
      <c r="K515" s="564"/>
      <c r="L515" s="564"/>
      <c r="M515" s="564"/>
      <c r="N515" s="564"/>
      <c r="O515" s="3"/>
      <c r="P515" s="3"/>
      <c r="Q515" s="3"/>
      <c r="R515" s="3"/>
      <c r="S515" s="3"/>
      <c r="T515" s="3"/>
      <c r="U515" s="3"/>
      <c r="V515" s="3"/>
      <c r="W515" s="3"/>
      <c r="X515" s="3"/>
      <c r="Y515" s="3"/>
      <c r="Z515" s="3"/>
    </row>
    <row r="516" spans="1:26" ht="15.75" customHeight="1">
      <c r="A516" s="3"/>
      <c r="B516" s="2"/>
      <c r="C516" s="2"/>
      <c r="D516" s="2"/>
      <c r="E516" s="2"/>
      <c r="F516" s="2"/>
      <c r="G516" s="2"/>
      <c r="H516" s="2"/>
      <c r="I516" s="2"/>
      <c r="J516" s="564"/>
      <c r="K516" s="564"/>
      <c r="L516" s="564"/>
      <c r="M516" s="564"/>
      <c r="N516" s="564"/>
      <c r="O516" s="3"/>
      <c r="P516" s="3"/>
      <c r="Q516" s="3"/>
      <c r="R516" s="3"/>
      <c r="S516" s="3"/>
      <c r="T516" s="3"/>
      <c r="U516" s="3"/>
      <c r="V516" s="3"/>
      <c r="W516" s="3"/>
      <c r="X516" s="3"/>
      <c r="Y516" s="3"/>
      <c r="Z516" s="3"/>
    </row>
    <row r="517" spans="1:26" ht="15.75" customHeight="1">
      <c r="A517" s="3"/>
      <c r="B517" s="2"/>
      <c r="C517" s="2"/>
      <c r="D517" s="2"/>
      <c r="E517" s="2"/>
      <c r="F517" s="2"/>
      <c r="G517" s="2"/>
      <c r="H517" s="2"/>
      <c r="I517" s="2"/>
      <c r="J517" s="564"/>
      <c r="K517" s="564"/>
      <c r="L517" s="564"/>
      <c r="M517" s="564"/>
      <c r="N517" s="564"/>
      <c r="O517" s="3"/>
      <c r="P517" s="3"/>
      <c r="Q517" s="3"/>
      <c r="R517" s="3"/>
      <c r="S517" s="3"/>
      <c r="T517" s="3"/>
      <c r="U517" s="3"/>
      <c r="V517" s="3"/>
      <c r="W517" s="3"/>
      <c r="X517" s="3"/>
      <c r="Y517" s="3"/>
      <c r="Z517" s="3"/>
    </row>
    <row r="518" spans="1:26" ht="15.75" customHeight="1">
      <c r="A518" s="3"/>
      <c r="B518" s="2"/>
      <c r="C518" s="2"/>
      <c r="D518" s="2"/>
      <c r="E518" s="2"/>
      <c r="F518" s="2"/>
      <c r="G518" s="2"/>
      <c r="H518" s="2"/>
      <c r="I518" s="2"/>
      <c r="J518" s="564"/>
      <c r="K518" s="564"/>
      <c r="L518" s="564"/>
      <c r="M518" s="564"/>
      <c r="N518" s="564"/>
      <c r="O518" s="3"/>
      <c r="P518" s="3"/>
      <c r="Q518" s="3"/>
      <c r="R518" s="3"/>
      <c r="S518" s="3"/>
      <c r="T518" s="3"/>
      <c r="U518" s="3"/>
      <c r="V518" s="3"/>
      <c r="W518" s="3"/>
      <c r="X518" s="3"/>
      <c r="Y518" s="3"/>
      <c r="Z518" s="3"/>
    </row>
    <row r="519" spans="1:26" ht="15.75" customHeight="1">
      <c r="A519" s="3"/>
      <c r="B519" s="2"/>
      <c r="C519" s="2"/>
      <c r="D519" s="2"/>
      <c r="E519" s="2"/>
      <c r="F519" s="2"/>
      <c r="G519" s="2"/>
      <c r="H519" s="2"/>
      <c r="I519" s="2"/>
      <c r="J519" s="564"/>
      <c r="K519" s="564"/>
      <c r="L519" s="564"/>
      <c r="M519" s="564"/>
      <c r="N519" s="564"/>
      <c r="O519" s="3"/>
      <c r="P519" s="3"/>
      <c r="Q519" s="3"/>
      <c r="R519" s="3"/>
      <c r="S519" s="3"/>
      <c r="T519" s="3"/>
      <c r="U519" s="3"/>
      <c r="V519" s="3"/>
      <c r="W519" s="3"/>
      <c r="X519" s="3"/>
      <c r="Y519" s="3"/>
      <c r="Z519" s="3"/>
    </row>
    <row r="520" spans="1:26" ht="15.75" customHeight="1">
      <c r="A520" s="3"/>
      <c r="B520" s="2"/>
      <c r="C520" s="2"/>
      <c r="D520" s="2"/>
      <c r="E520" s="2"/>
      <c r="F520" s="2"/>
      <c r="G520" s="2"/>
      <c r="H520" s="2"/>
      <c r="I520" s="2"/>
      <c r="J520" s="564"/>
      <c r="K520" s="564"/>
      <c r="L520" s="564"/>
      <c r="M520" s="564"/>
      <c r="N520" s="564"/>
      <c r="O520" s="3"/>
      <c r="P520" s="3"/>
      <c r="Q520" s="3"/>
      <c r="R520" s="3"/>
      <c r="S520" s="3"/>
      <c r="T520" s="3"/>
      <c r="U520" s="3"/>
      <c r="V520" s="3"/>
      <c r="W520" s="3"/>
      <c r="X520" s="3"/>
      <c r="Y520" s="3"/>
      <c r="Z520" s="3"/>
    </row>
    <row r="521" spans="1:26" ht="15.75" customHeight="1">
      <c r="A521" s="3"/>
      <c r="B521" s="2"/>
      <c r="C521" s="2"/>
      <c r="D521" s="2"/>
      <c r="E521" s="2"/>
      <c r="F521" s="2"/>
      <c r="G521" s="2"/>
      <c r="H521" s="2"/>
      <c r="I521" s="2"/>
      <c r="J521" s="564"/>
      <c r="K521" s="564"/>
      <c r="L521" s="564"/>
      <c r="M521" s="564"/>
      <c r="N521" s="564"/>
      <c r="O521" s="3"/>
      <c r="P521" s="3"/>
      <c r="Q521" s="3"/>
      <c r="R521" s="3"/>
      <c r="S521" s="3"/>
      <c r="T521" s="3"/>
      <c r="U521" s="3"/>
      <c r="V521" s="3"/>
      <c r="W521" s="3"/>
      <c r="X521" s="3"/>
      <c r="Y521" s="3"/>
      <c r="Z521" s="3"/>
    </row>
    <row r="522" spans="1:26" ht="15.75" customHeight="1">
      <c r="A522" s="3"/>
      <c r="B522" s="2"/>
      <c r="C522" s="2"/>
      <c r="D522" s="2"/>
      <c r="E522" s="2"/>
      <c r="F522" s="2"/>
      <c r="G522" s="2"/>
      <c r="H522" s="2"/>
      <c r="I522" s="2"/>
      <c r="J522" s="564"/>
      <c r="K522" s="564"/>
      <c r="L522" s="564"/>
      <c r="M522" s="564"/>
      <c r="N522" s="564"/>
      <c r="O522" s="3"/>
      <c r="P522" s="3"/>
      <c r="Q522" s="3"/>
      <c r="R522" s="3"/>
      <c r="S522" s="3"/>
      <c r="T522" s="3"/>
      <c r="U522" s="3"/>
      <c r="V522" s="3"/>
      <c r="W522" s="3"/>
      <c r="X522" s="3"/>
      <c r="Y522" s="3"/>
      <c r="Z522" s="3"/>
    </row>
    <row r="523" spans="1:26" ht="15.75" customHeight="1">
      <c r="A523" s="3"/>
      <c r="B523" s="2"/>
      <c r="C523" s="2"/>
      <c r="D523" s="2"/>
      <c r="E523" s="2"/>
      <c r="F523" s="2"/>
      <c r="G523" s="2"/>
      <c r="H523" s="2"/>
      <c r="I523" s="2"/>
      <c r="J523" s="564"/>
      <c r="K523" s="564"/>
      <c r="L523" s="564"/>
      <c r="M523" s="564"/>
      <c r="N523" s="564"/>
      <c r="O523" s="3"/>
      <c r="P523" s="3"/>
      <c r="Q523" s="3"/>
      <c r="R523" s="3"/>
      <c r="S523" s="3"/>
      <c r="T523" s="3"/>
      <c r="U523" s="3"/>
      <c r="V523" s="3"/>
      <c r="W523" s="3"/>
      <c r="X523" s="3"/>
      <c r="Y523" s="3"/>
      <c r="Z523" s="3"/>
    </row>
    <row r="524" spans="1:26" ht="15.75" customHeight="1">
      <c r="A524" s="3"/>
      <c r="B524" s="2"/>
      <c r="C524" s="2"/>
      <c r="D524" s="2"/>
      <c r="E524" s="2"/>
      <c r="F524" s="2"/>
      <c r="G524" s="2"/>
      <c r="H524" s="2"/>
      <c r="I524" s="2"/>
      <c r="J524" s="564"/>
      <c r="K524" s="564"/>
      <c r="L524" s="564"/>
      <c r="M524" s="564"/>
      <c r="N524" s="564"/>
      <c r="O524" s="3"/>
      <c r="P524" s="3"/>
      <c r="Q524" s="3"/>
      <c r="R524" s="3"/>
      <c r="S524" s="3"/>
      <c r="T524" s="3"/>
      <c r="U524" s="3"/>
      <c r="V524" s="3"/>
      <c r="W524" s="3"/>
      <c r="X524" s="3"/>
      <c r="Y524" s="3"/>
      <c r="Z524" s="3"/>
    </row>
    <row r="525" spans="1:26" ht="15.75" customHeight="1">
      <c r="A525" s="3"/>
      <c r="B525" s="2"/>
      <c r="C525" s="2"/>
      <c r="D525" s="2"/>
      <c r="E525" s="2"/>
      <c r="F525" s="2"/>
      <c r="G525" s="2"/>
      <c r="H525" s="2"/>
      <c r="I525" s="2"/>
      <c r="J525" s="564"/>
      <c r="K525" s="564"/>
      <c r="L525" s="564"/>
      <c r="M525" s="564"/>
      <c r="N525" s="564"/>
      <c r="O525" s="3"/>
      <c r="P525" s="3"/>
      <c r="Q525" s="3"/>
      <c r="R525" s="3"/>
      <c r="S525" s="3"/>
      <c r="T525" s="3"/>
      <c r="U525" s="3"/>
      <c r="V525" s="3"/>
      <c r="W525" s="3"/>
      <c r="X525" s="3"/>
      <c r="Y525" s="3"/>
      <c r="Z525" s="3"/>
    </row>
    <row r="526" spans="1:26" ht="15.75" customHeight="1">
      <c r="A526" s="3"/>
      <c r="B526" s="2"/>
      <c r="C526" s="2"/>
      <c r="D526" s="2"/>
      <c r="E526" s="2"/>
      <c r="F526" s="2"/>
      <c r="G526" s="2"/>
      <c r="H526" s="2"/>
      <c r="I526" s="2"/>
      <c r="J526" s="564"/>
      <c r="K526" s="564"/>
      <c r="L526" s="564"/>
      <c r="M526" s="564"/>
      <c r="N526" s="564"/>
      <c r="O526" s="3"/>
      <c r="P526" s="3"/>
      <c r="Q526" s="3"/>
      <c r="R526" s="3"/>
      <c r="S526" s="3"/>
      <c r="T526" s="3"/>
      <c r="U526" s="3"/>
      <c r="V526" s="3"/>
      <c r="W526" s="3"/>
      <c r="X526" s="3"/>
      <c r="Y526" s="3"/>
      <c r="Z526" s="3"/>
    </row>
    <row r="527" spans="1:26" ht="15.75" customHeight="1">
      <c r="A527" s="3"/>
      <c r="B527" s="2"/>
      <c r="C527" s="2"/>
      <c r="D527" s="2"/>
      <c r="E527" s="2"/>
      <c r="F527" s="2"/>
      <c r="G527" s="2"/>
      <c r="H527" s="2"/>
      <c r="I527" s="2"/>
      <c r="J527" s="564"/>
      <c r="K527" s="564"/>
      <c r="L527" s="564"/>
      <c r="M527" s="564"/>
      <c r="N527" s="564"/>
      <c r="O527" s="3"/>
      <c r="P527" s="3"/>
      <c r="Q527" s="3"/>
      <c r="R527" s="3"/>
      <c r="S527" s="3"/>
      <c r="T527" s="3"/>
      <c r="U527" s="3"/>
      <c r="V527" s="3"/>
      <c r="W527" s="3"/>
      <c r="X527" s="3"/>
      <c r="Y527" s="3"/>
      <c r="Z527" s="3"/>
    </row>
    <row r="528" spans="1:26" ht="15.75" customHeight="1">
      <c r="A528" s="3"/>
      <c r="B528" s="2"/>
      <c r="C528" s="2"/>
      <c r="D528" s="2"/>
      <c r="E528" s="2"/>
      <c r="F528" s="2"/>
      <c r="G528" s="2"/>
      <c r="H528" s="2"/>
      <c r="I528" s="2"/>
      <c r="J528" s="564"/>
      <c r="K528" s="564"/>
      <c r="L528" s="564"/>
      <c r="M528" s="564"/>
      <c r="N528" s="564"/>
      <c r="O528" s="3"/>
      <c r="P528" s="3"/>
      <c r="Q528" s="3"/>
      <c r="R528" s="3"/>
      <c r="S528" s="3"/>
      <c r="T528" s="3"/>
      <c r="U528" s="3"/>
      <c r="V528" s="3"/>
      <c r="W528" s="3"/>
      <c r="X528" s="3"/>
      <c r="Y528" s="3"/>
      <c r="Z528" s="3"/>
    </row>
    <row r="529" spans="1:26" ht="15.75" customHeight="1">
      <c r="A529" s="3"/>
      <c r="B529" s="2"/>
      <c r="C529" s="2"/>
      <c r="D529" s="2"/>
      <c r="E529" s="2"/>
      <c r="F529" s="2"/>
      <c r="G529" s="2"/>
      <c r="H529" s="2"/>
      <c r="I529" s="2"/>
      <c r="J529" s="564"/>
      <c r="K529" s="564"/>
      <c r="L529" s="564"/>
      <c r="M529" s="564"/>
      <c r="N529" s="564"/>
      <c r="O529" s="3"/>
      <c r="P529" s="3"/>
      <c r="Q529" s="3"/>
      <c r="R529" s="3"/>
      <c r="S529" s="3"/>
      <c r="T529" s="3"/>
      <c r="U529" s="3"/>
      <c r="V529" s="3"/>
      <c r="W529" s="3"/>
      <c r="X529" s="3"/>
      <c r="Y529" s="3"/>
      <c r="Z529" s="3"/>
    </row>
    <row r="530" spans="1:26" ht="15.75" customHeight="1">
      <c r="A530" s="3"/>
      <c r="B530" s="2"/>
      <c r="C530" s="2"/>
      <c r="D530" s="2"/>
      <c r="E530" s="2"/>
      <c r="F530" s="2"/>
      <c r="G530" s="2"/>
      <c r="H530" s="2"/>
      <c r="I530" s="2"/>
      <c r="J530" s="564"/>
      <c r="K530" s="564"/>
      <c r="L530" s="564"/>
      <c r="M530" s="564"/>
      <c r="N530" s="564"/>
      <c r="O530" s="3"/>
      <c r="P530" s="3"/>
      <c r="Q530" s="3"/>
      <c r="R530" s="3"/>
      <c r="S530" s="3"/>
      <c r="T530" s="3"/>
      <c r="U530" s="3"/>
      <c r="V530" s="3"/>
      <c r="W530" s="3"/>
      <c r="X530" s="3"/>
      <c r="Y530" s="3"/>
      <c r="Z530" s="3"/>
    </row>
    <row r="531" spans="1:26" ht="15.75" customHeight="1">
      <c r="A531" s="3"/>
      <c r="B531" s="2"/>
      <c r="C531" s="2"/>
      <c r="D531" s="2"/>
      <c r="E531" s="2"/>
      <c r="F531" s="2"/>
      <c r="G531" s="2"/>
      <c r="H531" s="2"/>
      <c r="I531" s="2"/>
      <c r="J531" s="564"/>
      <c r="K531" s="564"/>
      <c r="L531" s="564"/>
      <c r="M531" s="564"/>
      <c r="N531" s="564"/>
      <c r="O531" s="3"/>
      <c r="P531" s="3"/>
      <c r="Q531" s="3"/>
      <c r="R531" s="3"/>
      <c r="S531" s="3"/>
      <c r="T531" s="3"/>
      <c r="U531" s="3"/>
      <c r="V531" s="3"/>
      <c r="W531" s="3"/>
      <c r="X531" s="3"/>
      <c r="Y531" s="3"/>
      <c r="Z531" s="3"/>
    </row>
    <row r="532" spans="1:26" ht="15.75" customHeight="1">
      <c r="A532" s="3"/>
      <c r="B532" s="2"/>
      <c r="C532" s="2"/>
      <c r="D532" s="2"/>
      <c r="E532" s="2"/>
      <c r="F532" s="2"/>
      <c r="G532" s="2"/>
      <c r="H532" s="2"/>
      <c r="I532" s="2"/>
      <c r="J532" s="564"/>
      <c r="K532" s="564"/>
      <c r="L532" s="564"/>
      <c r="M532" s="564"/>
      <c r="N532" s="564"/>
      <c r="O532" s="3"/>
      <c r="P532" s="3"/>
      <c r="Q532" s="3"/>
      <c r="R532" s="3"/>
      <c r="S532" s="3"/>
      <c r="T532" s="3"/>
      <c r="U532" s="3"/>
      <c r="V532" s="3"/>
      <c r="W532" s="3"/>
      <c r="X532" s="3"/>
      <c r="Y532" s="3"/>
      <c r="Z532" s="3"/>
    </row>
    <row r="533" spans="1:26" ht="15.75" customHeight="1">
      <c r="A533" s="3"/>
      <c r="B533" s="2"/>
      <c r="C533" s="2"/>
      <c r="D533" s="2"/>
      <c r="E533" s="2"/>
      <c r="F533" s="2"/>
      <c r="G533" s="2"/>
      <c r="H533" s="2"/>
      <c r="I533" s="2"/>
      <c r="J533" s="564"/>
      <c r="K533" s="564"/>
      <c r="L533" s="564"/>
      <c r="M533" s="564"/>
      <c r="N533" s="564"/>
      <c r="O533" s="3"/>
      <c r="P533" s="3"/>
      <c r="Q533" s="3"/>
      <c r="R533" s="3"/>
      <c r="S533" s="3"/>
      <c r="T533" s="3"/>
      <c r="U533" s="3"/>
      <c r="V533" s="3"/>
      <c r="W533" s="3"/>
      <c r="X533" s="3"/>
      <c r="Y533" s="3"/>
      <c r="Z533" s="3"/>
    </row>
    <row r="534" spans="1:26" ht="15.75" customHeight="1">
      <c r="A534" s="3"/>
      <c r="B534" s="2"/>
      <c r="C534" s="2"/>
      <c r="D534" s="2"/>
      <c r="E534" s="2"/>
      <c r="F534" s="2"/>
      <c r="G534" s="2"/>
      <c r="H534" s="2"/>
      <c r="I534" s="2"/>
      <c r="J534" s="564"/>
      <c r="K534" s="564"/>
      <c r="L534" s="564"/>
      <c r="M534" s="564"/>
      <c r="N534" s="564"/>
      <c r="O534" s="3"/>
      <c r="P534" s="3"/>
      <c r="Q534" s="3"/>
      <c r="R534" s="3"/>
      <c r="S534" s="3"/>
      <c r="T534" s="3"/>
      <c r="U534" s="3"/>
      <c r="V534" s="3"/>
      <c r="W534" s="3"/>
      <c r="X534" s="3"/>
      <c r="Y534" s="3"/>
      <c r="Z534" s="3"/>
    </row>
    <row r="535" spans="1:26" ht="15.75" customHeight="1">
      <c r="A535" s="3"/>
      <c r="B535" s="2"/>
      <c r="C535" s="2"/>
      <c r="D535" s="2"/>
      <c r="E535" s="2"/>
      <c r="F535" s="2"/>
      <c r="G535" s="2"/>
      <c r="H535" s="2"/>
      <c r="I535" s="2"/>
      <c r="J535" s="564"/>
      <c r="K535" s="564"/>
      <c r="L535" s="564"/>
      <c r="M535" s="564"/>
      <c r="N535" s="564"/>
      <c r="O535" s="3"/>
      <c r="P535" s="3"/>
      <c r="Q535" s="3"/>
      <c r="R535" s="3"/>
      <c r="S535" s="3"/>
      <c r="T535" s="3"/>
      <c r="U535" s="3"/>
      <c r="V535" s="3"/>
      <c r="W535" s="3"/>
      <c r="X535" s="3"/>
      <c r="Y535" s="3"/>
      <c r="Z535" s="3"/>
    </row>
    <row r="536" spans="1:26" ht="15.75" customHeight="1">
      <c r="A536" s="3"/>
      <c r="B536" s="2"/>
      <c r="C536" s="2"/>
      <c r="D536" s="2"/>
      <c r="E536" s="2"/>
      <c r="F536" s="2"/>
      <c r="G536" s="2"/>
      <c r="H536" s="2"/>
      <c r="I536" s="2"/>
      <c r="J536" s="564"/>
      <c r="K536" s="564"/>
      <c r="L536" s="564"/>
      <c r="M536" s="564"/>
      <c r="N536" s="564"/>
      <c r="O536" s="3"/>
      <c r="P536" s="3"/>
      <c r="Q536" s="3"/>
      <c r="R536" s="3"/>
      <c r="S536" s="3"/>
      <c r="T536" s="3"/>
      <c r="U536" s="3"/>
      <c r="V536" s="3"/>
      <c r="W536" s="3"/>
      <c r="X536" s="3"/>
      <c r="Y536" s="3"/>
      <c r="Z536" s="3"/>
    </row>
    <row r="537" spans="1:26" ht="15.75" customHeight="1">
      <c r="A537" s="3"/>
      <c r="B537" s="2"/>
      <c r="C537" s="2"/>
      <c r="D537" s="2"/>
      <c r="E537" s="2"/>
      <c r="F537" s="2"/>
      <c r="G537" s="2"/>
      <c r="H537" s="2"/>
      <c r="I537" s="2"/>
      <c r="J537" s="564"/>
      <c r="K537" s="564"/>
      <c r="L537" s="564"/>
      <c r="M537" s="564"/>
      <c r="N537" s="564"/>
      <c r="O537" s="3"/>
      <c r="P537" s="3"/>
      <c r="Q537" s="3"/>
      <c r="R537" s="3"/>
      <c r="S537" s="3"/>
      <c r="T537" s="3"/>
      <c r="U537" s="3"/>
      <c r="V537" s="3"/>
      <c r="W537" s="3"/>
      <c r="X537" s="3"/>
      <c r="Y537" s="3"/>
      <c r="Z537" s="3"/>
    </row>
    <row r="538" spans="1:26" ht="15.75" customHeight="1">
      <c r="A538" s="3"/>
      <c r="B538" s="2"/>
      <c r="C538" s="2"/>
      <c r="D538" s="2"/>
      <c r="E538" s="2"/>
      <c r="F538" s="2"/>
      <c r="G538" s="2"/>
      <c r="H538" s="2"/>
      <c r="I538" s="2"/>
      <c r="J538" s="564"/>
      <c r="K538" s="564"/>
      <c r="L538" s="564"/>
      <c r="M538" s="564"/>
      <c r="N538" s="564"/>
      <c r="O538" s="3"/>
      <c r="P538" s="3"/>
      <c r="Q538" s="3"/>
      <c r="R538" s="3"/>
      <c r="S538" s="3"/>
      <c r="T538" s="3"/>
      <c r="U538" s="3"/>
      <c r="V538" s="3"/>
      <c r="W538" s="3"/>
      <c r="X538" s="3"/>
      <c r="Y538" s="3"/>
      <c r="Z538" s="3"/>
    </row>
    <row r="539" spans="1:26" ht="15.75" customHeight="1">
      <c r="A539" s="3"/>
      <c r="B539" s="2"/>
      <c r="C539" s="2"/>
      <c r="D539" s="2"/>
      <c r="E539" s="2"/>
      <c r="F539" s="2"/>
      <c r="G539" s="2"/>
      <c r="H539" s="2"/>
      <c r="I539" s="2"/>
      <c r="J539" s="564"/>
      <c r="K539" s="564"/>
      <c r="L539" s="564"/>
      <c r="M539" s="564"/>
      <c r="N539" s="564"/>
      <c r="O539" s="3"/>
      <c r="P539" s="3"/>
      <c r="Q539" s="3"/>
      <c r="R539" s="3"/>
      <c r="S539" s="3"/>
      <c r="T539" s="3"/>
      <c r="U539" s="3"/>
      <c r="V539" s="3"/>
      <c r="W539" s="3"/>
      <c r="X539" s="3"/>
      <c r="Y539" s="3"/>
      <c r="Z539" s="3"/>
    </row>
    <row r="540" spans="1:26" ht="15.75" customHeight="1">
      <c r="A540" s="3"/>
      <c r="B540" s="2"/>
      <c r="C540" s="2"/>
      <c r="D540" s="2"/>
      <c r="E540" s="2"/>
      <c r="F540" s="2"/>
      <c r="G540" s="2"/>
      <c r="H540" s="2"/>
      <c r="I540" s="2"/>
      <c r="J540" s="564"/>
      <c r="K540" s="564"/>
      <c r="L540" s="564"/>
      <c r="M540" s="564"/>
      <c r="N540" s="564"/>
      <c r="O540" s="3"/>
      <c r="P540" s="3"/>
      <c r="Q540" s="3"/>
      <c r="R540" s="3"/>
      <c r="S540" s="3"/>
      <c r="T540" s="3"/>
      <c r="U540" s="3"/>
      <c r="V540" s="3"/>
      <c r="W540" s="3"/>
      <c r="X540" s="3"/>
      <c r="Y540" s="3"/>
      <c r="Z540" s="3"/>
    </row>
    <row r="541" spans="1:26" ht="15.75" customHeight="1">
      <c r="A541" s="3"/>
      <c r="B541" s="2"/>
      <c r="C541" s="2"/>
      <c r="D541" s="2"/>
      <c r="E541" s="2"/>
      <c r="F541" s="2"/>
      <c r="G541" s="2"/>
      <c r="H541" s="2"/>
      <c r="I541" s="2"/>
      <c r="J541" s="564"/>
      <c r="K541" s="564"/>
      <c r="L541" s="564"/>
      <c r="M541" s="564"/>
      <c r="N541" s="564"/>
      <c r="O541" s="3"/>
      <c r="P541" s="3"/>
      <c r="Q541" s="3"/>
      <c r="R541" s="3"/>
      <c r="S541" s="3"/>
      <c r="T541" s="3"/>
      <c r="U541" s="3"/>
      <c r="V541" s="3"/>
      <c r="W541" s="3"/>
      <c r="X541" s="3"/>
      <c r="Y541" s="3"/>
      <c r="Z541" s="3"/>
    </row>
    <row r="542" spans="1:26" ht="15.75" customHeight="1">
      <c r="A542" s="3"/>
      <c r="B542" s="2"/>
      <c r="C542" s="2"/>
      <c r="D542" s="2"/>
      <c r="E542" s="2"/>
      <c r="F542" s="2"/>
      <c r="G542" s="2"/>
      <c r="H542" s="2"/>
      <c r="I542" s="2"/>
      <c r="J542" s="564"/>
      <c r="K542" s="564"/>
      <c r="L542" s="564"/>
      <c r="M542" s="564"/>
      <c r="N542" s="564"/>
      <c r="O542" s="3"/>
      <c r="P542" s="3"/>
      <c r="Q542" s="3"/>
      <c r="R542" s="3"/>
      <c r="S542" s="3"/>
      <c r="T542" s="3"/>
      <c r="U542" s="3"/>
      <c r="V542" s="3"/>
      <c r="W542" s="3"/>
      <c r="X542" s="3"/>
      <c r="Y542" s="3"/>
      <c r="Z542" s="3"/>
    </row>
    <row r="543" spans="1:26" ht="15.75" customHeight="1">
      <c r="A543" s="3"/>
      <c r="B543" s="2"/>
      <c r="C543" s="2"/>
      <c r="D543" s="2"/>
      <c r="E543" s="2"/>
      <c r="F543" s="2"/>
      <c r="G543" s="2"/>
      <c r="H543" s="2"/>
      <c r="I543" s="2"/>
      <c r="J543" s="564"/>
      <c r="K543" s="564"/>
      <c r="L543" s="564"/>
      <c r="M543" s="564"/>
      <c r="N543" s="564"/>
      <c r="O543" s="3"/>
      <c r="P543" s="3"/>
      <c r="Q543" s="3"/>
      <c r="R543" s="3"/>
      <c r="S543" s="3"/>
      <c r="T543" s="3"/>
      <c r="U543" s="3"/>
      <c r="V543" s="3"/>
      <c r="W543" s="3"/>
      <c r="X543" s="3"/>
      <c r="Y543" s="3"/>
      <c r="Z543" s="3"/>
    </row>
    <row r="544" spans="1:26" ht="15.75" customHeight="1">
      <c r="A544" s="3"/>
      <c r="B544" s="2"/>
      <c r="C544" s="2"/>
      <c r="D544" s="2"/>
      <c r="E544" s="2"/>
      <c r="F544" s="2"/>
      <c r="G544" s="2"/>
      <c r="H544" s="2"/>
      <c r="I544" s="2"/>
      <c r="J544" s="564"/>
      <c r="K544" s="564"/>
      <c r="L544" s="564"/>
      <c r="M544" s="564"/>
      <c r="N544" s="564"/>
      <c r="O544" s="3"/>
      <c r="P544" s="3"/>
      <c r="Q544" s="3"/>
      <c r="R544" s="3"/>
      <c r="S544" s="3"/>
      <c r="T544" s="3"/>
      <c r="U544" s="3"/>
      <c r="V544" s="3"/>
      <c r="W544" s="3"/>
      <c r="X544" s="3"/>
      <c r="Y544" s="3"/>
      <c r="Z544" s="3"/>
    </row>
    <row r="545" spans="1:26" ht="15.75" customHeight="1">
      <c r="A545" s="3"/>
      <c r="B545" s="2"/>
      <c r="C545" s="2"/>
      <c r="D545" s="2"/>
      <c r="E545" s="2"/>
      <c r="F545" s="2"/>
      <c r="G545" s="2"/>
      <c r="H545" s="2"/>
      <c r="I545" s="2"/>
      <c r="J545" s="564"/>
      <c r="K545" s="564"/>
      <c r="L545" s="564"/>
      <c r="M545" s="564"/>
      <c r="N545" s="564"/>
      <c r="O545" s="3"/>
      <c r="P545" s="3"/>
      <c r="Q545" s="3"/>
      <c r="R545" s="3"/>
      <c r="S545" s="3"/>
      <c r="T545" s="3"/>
      <c r="U545" s="3"/>
      <c r="V545" s="3"/>
      <c r="W545" s="3"/>
      <c r="X545" s="3"/>
      <c r="Y545" s="3"/>
      <c r="Z545" s="3"/>
    </row>
    <row r="546" spans="1:26" ht="15.75" customHeight="1">
      <c r="A546" s="3"/>
      <c r="B546" s="2"/>
      <c r="C546" s="2"/>
      <c r="D546" s="2"/>
      <c r="E546" s="2"/>
      <c r="F546" s="2"/>
      <c r="G546" s="2"/>
      <c r="H546" s="2"/>
      <c r="I546" s="2"/>
      <c r="J546" s="564"/>
      <c r="K546" s="564"/>
      <c r="L546" s="564"/>
      <c r="M546" s="564"/>
      <c r="N546" s="564"/>
      <c r="O546" s="3"/>
      <c r="P546" s="3"/>
      <c r="Q546" s="3"/>
      <c r="R546" s="3"/>
      <c r="S546" s="3"/>
      <c r="T546" s="3"/>
      <c r="U546" s="3"/>
      <c r="V546" s="3"/>
      <c r="W546" s="3"/>
      <c r="X546" s="3"/>
      <c r="Y546" s="3"/>
      <c r="Z546" s="3"/>
    </row>
    <row r="547" spans="1:26" ht="15.75" customHeight="1">
      <c r="A547" s="3"/>
      <c r="B547" s="2"/>
      <c r="C547" s="2"/>
      <c r="D547" s="2"/>
      <c r="E547" s="2"/>
      <c r="F547" s="2"/>
      <c r="G547" s="2"/>
      <c r="H547" s="2"/>
      <c r="I547" s="2"/>
      <c r="J547" s="564"/>
      <c r="K547" s="564"/>
      <c r="L547" s="564"/>
      <c r="M547" s="564"/>
      <c r="N547" s="564"/>
      <c r="O547" s="3"/>
      <c r="P547" s="3"/>
      <c r="Q547" s="3"/>
      <c r="R547" s="3"/>
      <c r="S547" s="3"/>
      <c r="T547" s="3"/>
      <c r="U547" s="3"/>
      <c r="V547" s="3"/>
      <c r="W547" s="3"/>
      <c r="X547" s="3"/>
      <c r="Y547" s="3"/>
      <c r="Z547" s="3"/>
    </row>
    <row r="548" spans="1:26" ht="15.75" customHeight="1">
      <c r="A548" s="3"/>
      <c r="B548" s="2"/>
      <c r="C548" s="2"/>
      <c r="D548" s="2"/>
      <c r="E548" s="2"/>
      <c r="F548" s="2"/>
      <c r="G548" s="2"/>
      <c r="H548" s="2"/>
      <c r="I548" s="2"/>
      <c r="J548" s="564"/>
      <c r="K548" s="564"/>
      <c r="L548" s="564"/>
      <c r="M548" s="564"/>
      <c r="N548" s="564"/>
      <c r="O548" s="3"/>
      <c r="P548" s="3"/>
      <c r="Q548" s="3"/>
      <c r="R548" s="3"/>
      <c r="S548" s="3"/>
      <c r="T548" s="3"/>
      <c r="U548" s="3"/>
      <c r="V548" s="3"/>
      <c r="W548" s="3"/>
      <c r="X548" s="3"/>
      <c r="Y548" s="3"/>
      <c r="Z548" s="3"/>
    </row>
    <row r="549" spans="1:26" ht="15.75" customHeight="1">
      <c r="A549" s="3"/>
      <c r="B549" s="2"/>
      <c r="C549" s="2"/>
      <c r="D549" s="2"/>
      <c r="E549" s="2"/>
      <c r="F549" s="2"/>
      <c r="G549" s="2"/>
      <c r="H549" s="2"/>
      <c r="I549" s="2"/>
      <c r="J549" s="564"/>
      <c r="K549" s="564"/>
      <c r="L549" s="564"/>
      <c r="M549" s="564"/>
      <c r="N549" s="564"/>
      <c r="O549" s="3"/>
      <c r="P549" s="3"/>
      <c r="Q549" s="3"/>
      <c r="R549" s="3"/>
      <c r="S549" s="3"/>
      <c r="T549" s="3"/>
      <c r="U549" s="3"/>
      <c r="V549" s="3"/>
      <c r="W549" s="3"/>
      <c r="X549" s="3"/>
      <c r="Y549" s="3"/>
      <c r="Z549" s="3"/>
    </row>
    <row r="550" spans="1:26" ht="15.75" customHeight="1">
      <c r="A550" s="3"/>
      <c r="B550" s="2"/>
      <c r="C550" s="2"/>
      <c r="D550" s="2"/>
      <c r="E550" s="2"/>
      <c r="F550" s="2"/>
      <c r="G550" s="2"/>
      <c r="H550" s="2"/>
      <c r="I550" s="2"/>
      <c r="J550" s="564"/>
      <c r="K550" s="564"/>
      <c r="L550" s="564"/>
      <c r="M550" s="564"/>
      <c r="N550" s="564"/>
      <c r="O550" s="3"/>
      <c r="P550" s="3"/>
      <c r="Q550" s="3"/>
      <c r="R550" s="3"/>
      <c r="S550" s="3"/>
      <c r="T550" s="3"/>
      <c r="U550" s="3"/>
      <c r="V550" s="3"/>
      <c r="W550" s="3"/>
      <c r="X550" s="3"/>
      <c r="Y550" s="3"/>
      <c r="Z550" s="3"/>
    </row>
    <row r="551" spans="1:26" ht="15.75" customHeight="1">
      <c r="A551" s="3"/>
      <c r="B551" s="2"/>
      <c r="C551" s="2"/>
      <c r="D551" s="2"/>
      <c r="E551" s="2"/>
      <c r="F551" s="2"/>
      <c r="G551" s="2"/>
      <c r="H551" s="2"/>
      <c r="I551" s="2"/>
      <c r="J551" s="564"/>
      <c r="K551" s="564"/>
      <c r="L551" s="564"/>
      <c r="M551" s="564"/>
      <c r="N551" s="564"/>
      <c r="O551" s="3"/>
      <c r="P551" s="3"/>
      <c r="Q551" s="3"/>
      <c r="R551" s="3"/>
      <c r="S551" s="3"/>
      <c r="T551" s="3"/>
      <c r="U551" s="3"/>
      <c r="V551" s="3"/>
      <c r="W551" s="3"/>
      <c r="X551" s="3"/>
      <c r="Y551" s="3"/>
      <c r="Z551" s="3"/>
    </row>
    <row r="552" spans="1:26" ht="15.75" customHeight="1">
      <c r="A552" s="3"/>
      <c r="B552" s="2"/>
      <c r="C552" s="2"/>
      <c r="D552" s="2"/>
      <c r="E552" s="2"/>
      <c r="F552" s="2"/>
      <c r="G552" s="2"/>
      <c r="H552" s="2"/>
      <c r="I552" s="2"/>
      <c r="J552" s="564"/>
      <c r="K552" s="564"/>
      <c r="L552" s="564"/>
      <c r="M552" s="564"/>
      <c r="N552" s="564"/>
      <c r="O552" s="3"/>
      <c r="P552" s="3"/>
      <c r="Q552" s="3"/>
      <c r="R552" s="3"/>
      <c r="S552" s="3"/>
      <c r="T552" s="3"/>
      <c r="U552" s="3"/>
      <c r="V552" s="3"/>
      <c r="W552" s="3"/>
      <c r="X552" s="3"/>
      <c r="Y552" s="3"/>
      <c r="Z552" s="3"/>
    </row>
    <row r="553" spans="1:26" ht="15.75" customHeight="1">
      <c r="A553" s="3"/>
      <c r="B553" s="2"/>
      <c r="C553" s="2"/>
      <c r="D553" s="2"/>
      <c r="E553" s="2"/>
      <c r="F553" s="2"/>
      <c r="G553" s="2"/>
      <c r="H553" s="2"/>
      <c r="I553" s="2"/>
      <c r="J553" s="564"/>
      <c r="K553" s="564"/>
      <c r="L553" s="564"/>
      <c r="M553" s="564"/>
      <c r="N553" s="564"/>
      <c r="O553" s="3"/>
      <c r="P553" s="3"/>
      <c r="Q553" s="3"/>
      <c r="R553" s="3"/>
      <c r="S553" s="3"/>
      <c r="T553" s="3"/>
      <c r="U553" s="3"/>
      <c r="V553" s="3"/>
      <c r="W553" s="3"/>
      <c r="X553" s="3"/>
      <c r="Y553" s="3"/>
      <c r="Z553" s="3"/>
    </row>
    <row r="554" spans="1:26" ht="15.75" customHeight="1">
      <c r="A554" s="3"/>
      <c r="B554" s="2"/>
      <c r="C554" s="2"/>
      <c r="D554" s="2"/>
      <c r="E554" s="2"/>
      <c r="F554" s="2"/>
      <c r="G554" s="2"/>
      <c r="H554" s="2"/>
      <c r="I554" s="2"/>
      <c r="J554" s="564"/>
      <c r="K554" s="564"/>
      <c r="L554" s="564"/>
      <c r="M554" s="564"/>
      <c r="N554" s="564"/>
      <c r="O554" s="3"/>
      <c r="P554" s="3"/>
      <c r="Q554" s="3"/>
      <c r="R554" s="3"/>
      <c r="S554" s="3"/>
      <c r="T554" s="3"/>
      <c r="U554" s="3"/>
      <c r="V554" s="3"/>
      <c r="W554" s="3"/>
      <c r="X554" s="3"/>
      <c r="Y554" s="3"/>
      <c r="Z554" s="3"/>
    </row>
    <row r="555" spans="1:26" ht="15.75" customHeight="1">
      <c r="A555" s="3"/>
      <c r="B555" s="2"/>
      <c r="C555" s="2"/>
      <c r="D555" s="2"/>
      <c r="E555" s="2"/>
      <c r="F555" s="2"/>
      <c r="G555" s="2"/>
      <c r="H555" s="2"/>
      <c r="I555" s="2"/>
      <c r="J555" s="564"/>
      <c r="K555" s="564"/>
      <c r="L555" s="564"/>
      <c r="M555" s="564"/>
      <c r="N555" s="564"/>
      <c r="O555" s="3"/>
      <c r="P555" s="3"/>
      <c r="Q555" s="3"/>
      <c r="R555" s="3"/>
      <c r="S555" s="3"/>
      <c r="T555" s="3"/>
      <c r="U555" s="3"/>
      <c r="V555" s="3"/>
      <c r="W555" s="3"/>
      <c r="X555" s="3"/>
      <c r="Y555" s="3"/>
      <c r="Z555" s="3"/>
    </row>
    <row r="556" spans="1:26" ht="15.75" customHeight="1">
      <c r="A556" s="3"/>
      <c r="B556" s="2"/>
      <c r="C556" s="2"/>
      <c r="D556" s="2"/>
      <c r="E556" s="2"/>
      <c r="F556" s="2"/>
      <c r="G556" s="2"/>
      <c r="H556" s="2"/>
      <c r="I556" s="2"/>
      <c r="J556" s="564"/>
      <c r="K556" s="564"/>
      <c r="L556" s="564"/>
      <c r="M556" s="564"/>
      <c r="N556" s="564"/>
      <c r="O556" s="3"/>
      <c r="P556" s="3"/>
      <c r="Q556" s="3"/>
      <c r="R556" s="3"/>
      <c r="S556" s="3"/>
      <c r="T556" s="3"/>
      <c r="U556" s="3"/>
      <c r="V556" s="3"/>
      <c r="W556" s="3"/>
      <c r="X556" s="3"/>
      <c r="Y556" s="3"/>
      <c r="Z556" s="3"/>
    </row>
    <row r="557" spans="1:26" ht="15.75" customHeight="1">
      <c r="A557" s="3"/>
      <c r="B557" s="2"/>
      <c r="C557" s="2"/>
      <c r="D557" s="2"/>
      <c r="E557" s="2"/>
      <c r="F557" s="2"/>
      <c r="G557" s="2"/>
      <c r="H557" s="2"/>
      <c r="I557" s="2"/>
      <c r="J557" s="564"/>
      <c r="K557" s="564"/>
      <c r="L557" s="564"/>
      <c r="M557" s="564"/>
      <c r="N557" s="564"/>
      <c r="O557" s="3"/>
      <c r="P557" s="3"/>
      <c r="Q557" s="3"/>
      <c r="R557" s="3"/>
      <c r="S557" s="3"/>
      <c r="T557" s="3"/>
      <c r="U557" s="3"/>
      <c r="V557" s="3"/>
      <c r="W557" s="3"/>
      <c r="X557" s="3"/>
      <c r="Y557" s="3"/>
      <c r="Z557" s="3"/>
    </row>
    <row r="558" spans="1:26" ht="15.75" customHeight="1">
      <c r="A558" s="3"/>
      <c r="B558" s="2"/>
      <c r="C558" s="2"/>
      <c r="D558" s="2"/>
      <c r="E558" s="2"/>
      <c r="F558" s="2"/>
      <c r="G558" s="2"/>
      <c r="H558" s="2"/>
      <c r="I558" s="2"/>
      <c r="J558" s="564"/>
      <c r="K558" s="564"/>
      <c r="L558" s="564"/>
      <c r="M558" s="564"/>
      <c r="N558" s="564"/>
      <c r="O558" s="3"/>
      <c r="P558" s="3"/>
      <c r="Q558" s="3"/>
      <c r="R558" s="3"/>
      <c r="S558" s="3"/>
      <c r="T558" s="3"/>
      <c r="U558" s="3"/>
      <c r="V558" s="3"/>
      <c r="W558" s="3"/>
      <c r="X558" s="3"/>
      <c r="Y558" s="3"/>
      <c r="Z558" s="3"/>
    </row>
    <row r="559" spans="1:26" ht="15.75" customHeight="1">
      <c r="A559" s="3"/>
      <c r="B559" s="2"/>
      <c r="C559" s="2"/>
      <c r="D559" s="2"/>
      <c r="E559" s="2"/>
      <c r="F559" s="2"/>
      <c r="G559" s="2"/>
      <c r="H559" s="2"/>
      <c r="I559" s="2"/>
      <c r="J559" s="564"/>
      <c r="K559" s="564"/>
      <c r="L559" s="564"/>
      <c r="M559" s="564"/>
      <c r="N559" s="564"/>
      <c r="O559" s="3"/>
      <c r="P559" s="3"/>
      <c r="Q559" s="3"/>
      <c r="R559" s="3"/>
      <c r="S559" s="3"/>
      <c r="T559" s="3"/>
      <c r="U559" s="3"/>
      <c r="V559" s="3"/>
      <c r="W559" s="3"/>
      <c r="X559" s="3"/>
      <c r="Y559" s="3"/>
      <c r="Z559" s="3"/>
    </row>
    <row r="560" spans="1:26" ht="15.75" customHeight="1">
      <c r="A560" s="3"/>
      <c r="B560" s="2"/>
      <c r="C560" s="2"/>
      <c r="D560" s="2"/>
      <c r="E560" s="2"/>
      <c r="F560" s="2"/>
      <c r="G560" s="2"/>
      <c r="H560" s="2"/>
      <c r="I560" s="2"/>
      <c r="J560" s="564"/>
      <c r="K560" s="564"/>
      <c r="L560" s="564"/>
      <c r="M560" s="564"/>
      <c r="N560" s="564"/>
      <c r="O560" s="3"/>
      <c r="P560" s="3"/>
      <c r="Q560" s="3"/>
      <c r="R560" s="3"/>
      <c r="S560" s="3"/>
      <c r="T560" s="3"/>
      <c r="U560" s="3"/>
      <c r="V560" s="3"/>
      <c r="W560" s="3"/>
      <c r="X560" s="3"/>
      <c r="Y560" s="3"/>
      <c r="Z560" s="3"/>
    </row>
    <row r="561" spans="1:26" ht="15.75" customHeight="1">
      <c r="A561" s="3"/>
      <c r="B561" s="2"/>
      <c r="C561" s="2"/>
      <c r="D561" s="2"/>
      <c r="E561" s="2"/>
      <c r="F561" s="2"/>
      <c r="G561" s="2"/>
      <c r="H561" s="2"/>
      <c r="I561" s="2"/>
      <c r="J561" s="564"/>
      <c r="K561" s="564"/>
      <c r="L561" s="564"/>
      <c r="M561" s="564"/>
      <c r="N561" s="564"/>
      <c r="O561" s="3"/>
      <c r="P561" s="3"/>
      <c r="Q561" s="3"/>
      <c r="R561" s="3"/>
      <c r="S561" s="3"/>
      <c r="T561" s="3"/>
      <c r="U561" s="3"/>
      <c r="V561" s="3"/>
      <c r="W561" s="3"/>
      <c r="X561" s="3"/>
      <c r="Y561" s="3"/>
      <c r="Z561" s="3"/>
    </row>
    <row r="562" spans="1:26" ht="15.75" customHeight="1">
      <c r="A562" s="3"/>
      <c r="B562" s="2"/>
      <c r="C562" s="2"/>
      <c r="D562" s="2"/>
      <c r="E562" s="2"/>
      <c r="F562" s="2"/>
      <c r="G562" s="2"/>
      <c r="H562" s="2"/>
      <c r="I562" s="2"/>
      <c r="J562" s="564"/>
      <c r="K562" s="564"/>
      <c r="L562" s="564"/>
      <c r="M562" s="564"/>
      <c r="N562" s="564"/>
      <c r="O562" s="3"/>
      <c r="P562" s="3"/>
      <c r="Q562" s="3"/>
      <c r="R562" s="3"/>
      <c r="S562" s="3"/>
      <c r="T562" s="3"/>
      <c r="U562" s="3"/>
      <c r="V562" s="3"/>
      <c r="W562" s="3"/>
      <c r="X562" s="3"/>
      <c r="Y562" s="3"/>
      <c r="Z562" s="3"/>
    </row>
    <row r="563" spans="1:26" ht="15.75" customHeight="1">
      <c r="A563" s="3"/>
      <c r="B563" s="2"/>
      <c r="C563" s="2"/>
      <c r="D563" s="2"/>
      <c r="E563" s="2"/>
      <c r="F563" s="2"/>
      <c r="G563" s="2"/>
      <c r="H563" s="2"/>
      <c r="I563" s="2"/>
      <c r="J563" s="564"/>
      <c r="K563" s="564"/>
      <c r="L563" s="564"/>
      <c r="M563" s="564"/>
      <c r="N563" s="564"/>
      <c r="O563" s="3"/>
      <c r="P563" s="3"/>
      <c r="Q563" s="3"/>
      <c r="R563" s="3"/>
      <c r="S563" s="3"/>
      <c r="T563" s="3"/>
      <c r="U563" s="3"/>
      <c r="V563" s="3"/>
      <c r="W563" s="3"/>
      <c r="X563" s="3"/>
      <c r="Y563" s="3"/>
      <c r="Z563" s="3"/>
    </row>
    <row r="564" spans="1:26" ht="15.75" customHeight="1">
      <c r="A564" s="3"/>
      <c r="B564" s="2"/>
      <c r="C564" s="2"/>
      <c r="D564" s="2"/>
      <c r="E564" s="2"/>
      <c r="F564" s="2"/>
      <c r="G564" s="2"/>
      <c r="H564" s="2"/>
      <c r="I564" s="2"/>
      <c r="J564" s="564"/>
      <c r="K564" s="564"/>
      <c r="L564" s="564"/>
      <c r="M564" s="564"/>
      <c r="N564" s="564"/>
      <c r="O564" s="3"/>
      <c r="P564" s="3"/>
      <c r="Q564" s="3"/>
      <c r="R564" s="3"/>
      <c r="S564" s="3"/>
      <c r="T564" s="3"/>
      <c r="U564" s="3"/>
      <c r="V564" s="3"/>
      <c r="W564" s="3"/>
      <c r="X564" s="3"/>
      <c r="Y564" s="3"/>
      <c r="Z564" s="3"/>
    </row>
    <row r="565" spans="1:26" ht="15.75" customHeight="1">
      <c r="A565" s="3"/>
      <c r="B565" s="2"/>
      <c r="C565" s="2"/>
      <c r="D565" s="2"/>
      <c r="E565" s="2"/>
      <c r="F565" s="2"/>
      <c r="G565" s="2"/>
      <c r="H565" s="2"/>
      <c r="I565" s="2"/>
      <c r="J565" s="564"/>
      <c r="K565" s="564"/>
      <c r="L565" s="564"/>
      <c r="M565" s="564"/>
      <c r="N565" s="564"/>
      <c r="O565" s="3"/>
      <c r="P565" s="3"/>
      <c r="Q565" s="3"/>
      <c r="R565" s="3"/>
      <c r="S565" s="3"/>
      <c r="T565" s="3"/>
      <c r="U565" s="3"/>
      <c r="V565" s="3"/>
      <c r="W565" s="3"/>
      <c r="X565" s="3"/>
      <c r="Y565" s="3"/>
      <c r="Z565" s="3"/>
    </row>
    <row r="566" spans="1:26" ht="15.75" customHeight="1">
      <c r="A566" s="3"/>
      <c r="B566" s="2"/>
      <c r="C566" s="2"/>
      <c r="D566" s="2"/>
      <c r="E566" s="2"/>
      <c r="F566" s="2"/>
      <c r="G566" s="2"/>
      <c r="H566" s="2"/>
      <c r="I566" s="2"/>
      <c r="J566" s="564"/>
      <c r="K566" s="564"/>
      <c r="L566" s="564"/>
      <c r="M566" s="564"/>
      <c r="N566" s="564"/>
      <c r="O566" s="3"/>
      <c r="P566" s="3"/>
      <c r="Q566" s="3"/>
      <c r="R566" s="3"/>
      <c r="S566" s="3"/>
      <c r="T566" s="3"/>
      <c r="U566" s="3"/>
      <c r="V566" s="3"/>
      <c r="W566" s="3"/>
      <c r="X566" s="3"/>
      <c r="Y566" s="3"/>
      <c r="Z566" s="3"/>
    </row>
    <row r="567" spans="1:26" ht="15.75" customHeight="1">
      <c r="A567" s="3"/>
      <c r="B567" s="2"/>
      <c r="C567" s="2"/>
      <c r="D567" s="2"/>
      <c r="E567" s="2"/>
      <c r="F567" s="2"/>
      <c r="G567" s="2"/>
      <c r="H567" s="2"/>
      <c r="I567" s="2"/>
      <c r="J567" s="564"/>
      <c r="K567" s="564"/>
      <c r="L567" s="564"/>
      <c r="M567" s="564"/>
      <c r="N567" s="564"/>
      <c r="O567" s="3"/>
      <c r="P567" s="3"/>
      <c r="Q567" s="3"/>
      <c r="R567" s="3"/>
      <c r="S567" s="3"/>
      <c r="T567" s="3"/>
      <c r="U567" s="3"/>
      <c r="V567" s="3"/>
      <c r="W567" s="3"/>
      <c r="X567" s="3"/>
      <c r="Y567" s="3"/>
      <c r="Z567" s="3"/>
    </row>
    <row r="568" spans="1:26" ht="15.75" customHeight="1">
      <c r="A568" s="3"/>
      <c r="B568" s="2"/>
      <c r="C568" s="2"/>
      <c r="D568" s="2"/>
      <c r="E568" s="2"/>
      <c r="F568" s="2"/>
      <c r="G568" s="2"/>
      <c r="H568" s="2"/>
      <c r="I568" s="2"/>
      <c r="J568" s="564"/>
      <c r="K568" s="564"/>
      <c r="L568" s="564"/>
      <c r="M568" s="564"/>
      <c r="N568" s="564"/>
      <c r="O568" s="3"/>
      <c r="P568" s="3"/>
      <c r="Q568" s="3"/>
      <c r="R568" s="3"/>
      <c r="S568" s="3"/>
      <c r="T568" s="3"/>
      <c r="U568" s="3"/>
      <c r="V568" s="3"/>
      <c r="W568" s="3"/>
      <c r="X568" s="3"/>
      <c r="Y568" s="3"/>
      <c r="Z568" s="3"/>
    </row>
    <row r="569" spans="1:26" ht="15.75" customHeight="1">
      <c r="A569" s="3"/>
      <c r="B569" s="2"/>
      <c r="C569" s="2"/>
      <c r="D569" s="2"/>
      <c r="E569" s="2"/>
      <c r="F569" s="2"/>
      <c r="G569" s="2"/>
      <c r="H569" s="2"/>
      <c r="I569" s="2"/>
      <c r="J569" s="564"/>
      <c r="K569" s="564"/>
      <c r="L569" s="564"/>
      <c r="M569" s="564"/>
      <c r="N569" s="564"/>
      <c r="O569" s="3"/>
      <c r="P569" s="3"/>
      <c r="Q569" s="3"/>
      <c r="R569" s="3"/>
      <c r="S569" s="3"/>
      <c r="T569" s="3"/>
      <c r="U569" s="3"/>
      <c r="V569" s="3"/>
      <c r="W569" s="3"/>
      <c r="X569" s="3"/>
      <c r="Y569" s="3"/>
      <c r="Z569" s="3"/>
    </row>
    <row r="570" spans="1:26" ht="15.75" customHeight="1">
      <c r="A570" s="3"/>
      <c r="B570" s="2"/>
      <c r="C570" s="2"/>
      <c r="D570" s="2"/>
      <c r="E570" s="2"/>
      <c r="F570" s="2"/>
      <c r="G570" s="2"/>
      <c r="H570" s="2"/>
      <c r="I570" s="2"/>
      <c r="J570" s="564"/>
      <c r="K570" s="564"/>
      <c r="L570" s="564"/>
      <c r="M570" s="564"/>
      <c r="N570" s="564"/>
      <c r="O570" s="3"/>
      <c r="P570" s="3"/>
      <c r="Q570" s="3"/>
      <c r="R570" s="3"/>
      <c r="S570" s="3"/>
      <c r="T570" s="3"/>
      <c r="U570" s="3"/>
      <c r="V570" s="3"/>
      <c r="W570" s="3"/>
      <c r="X570" s="3"/>
      <c r="Y570" s="3"/>
      <c r="Z570" s="3"/>
    </row>
    <row r="571" spans="1:26" ht="15.75" customHeight="1">
      <c r="A571" s="3"/>
      <c r="B571" s="2"/>
      <c r="C571" s="2"/>
      <c r="D571" s="2"/>
      <c r="E571" s="2"/>
      <c r="F571" s="2"/>
      <c r="G571" s="2"/>
      <c r="H571" s="2"/>
      <c r="I571" s="2"/>
      <c r="J571" s="564"/>
      <c r="K571" s="564"/>
      <c r="L571" s="564"/>
      <c r="M571" s="564"/>
      <c r="N571" s="564"/>
      <c r="O571" s="3"/>
      <c r="P571" s="3"/>
      <c r="Q571" s="3"/>
      <c r="R571" s="3"/>
      <c r="S571" s="3"/>
      <c r="T571" s="3"/>
      <c r="U571" s="3"/>
      <c r="V571" s="3"/>
      <c r="W571" s="3"/>
      <c r="X571" s="3"/>
      <c r="Y571" s="3"/>
      <c r="Z571" s="3"/>
    </row>
    <row r="572" spans="1:26" ht="15.75" customHeight="1">
      <c r="A572" s="3"/>
      <c r="B572" s="2"/>
      <c r="C572" s="2"/>
      <c r="D572" s="2"/>
      <c r="E572" s="2"/>
      <c r="F572" s="2"/>
      <c r="G572" s="2"/>
      <c r="H572" s="2"/>
      <c r="I572" s="2"/>
      <c r="J572" s="564"/>
      <c r="K572" s="564"/>
      <c r="L572" s="564"/>
      <c r="M572" s="564"/>
      <c r="N572" s="564"/>
      <c r="O572" s="3"/>
      <c r="P572" s="3"/>
      <c r="Q572" s="3"/>
      <c r="R572" s="3"/>
      <c r="S572" s="3"/>
      <c r="T572" s="3"/>
      <c r="U572" s="3"/>
      <c r="V572" s="3"/>
      <c r="W572" s="3"/>
      <c r="X572" s="3"/>
      <c r="Y572" s="3"/>
      <c r="Z572" s="3"/>
    </row>
    <row r="573" spans="1:26" ht="15.75" customHeight="1">
      <c r="A573" s="3"/>
      <c r="B573" s="2"/>
      <c r="C573" s="2"/>
      <c r="D573" s="2"/>
      <c r="E573" s="2"/>
      <c r="F573" s="2"/>
      <c r="G573" s="2"/>
      <c r="H573" s="2"/>
      <c r="I573" s="2"/>
      <c r="J573" s="564"/>
      <c r="K573" s="564"/>
      <c r="L573" s="564"/>
      <c r="M573" s="564"/>
      <c r="N573" s="564"/>
      <c r="O573" s="3"/>
      <c r="P573" s="3"/>
      <c r="Q573" s="3"/>
      <c r="R573" s="3"/>
      <c r="S573" s="3"/>
      <c r="T573" s="3"/>
      <c r="U573" s="3"/>
      <c r="V573" s="3"/>
      <c r="W573" s="3"/>
      <c r="X573" s="3"/>
      <c r="Y573" s="3"/>
      <c r="Z573" s="3"/>
    </row>
    <row r="574" spans="1:26" ht="15.75" customHeight="1">
      <c r="A574" s="3"/>
      <c r="B574" s="2"/>
      <c r="C574" s="2"/>
      <c r="D574" s="2"/>
      <c r="E574" s="2"/>
      <c r="F574" s="2"/>
      <c r="G574" s="2"/>
      <c r="H574" s="2"/>
      <c r="I574" s="2"/>
      <c r="J574" s="564"/>
      <c r="K574" s="564"/>
      <c r="L574" s="564"/>
      <c r="M574" s="564"/>
      <c r="N574" s="564"/>
      <c r="O574" s="3"/>
      <c r="P574" s="3"/>
      <c r="Q574" s="3"/>
      <c r="R574" s="3"/>
      <c r="S574" s="3"/>
      <c r="T574" s="3"/>
      <c r="U574" s="3"/>
      <c r="V574" s="3"/>
      <c r="W574" s="3"/>
      <c r="X574" s="3"/>
      <c r="Y574" s="3"/>
      <c r="Z574" s="3"/>
    </row>
    <row r="575" spans="1:26" ht="15.75" customHeight="1">
      <c r="A575" s="3"/>
      <c r="B575" s="2"/>
      <c r="C575" s="2"/>
      <c r="D575" s="2"/>
      <c r="E575" s="2"/>
      <c r="F575" s="2"/>
      <c r="G575" s="2"/>
      <c r="H575" s="2"/>
      <c r="I575" s="2"/>
      <c r="J575" s="564"/>
      <c r="K575" s="564"/>
      <c r="L575" s="564"/>
      <c r="M575" s="564"/>
      <c r="N575" s="564"/>
      <c r="O575" s="3"/>
      <c r="P575" s="3"/>
      <c r="Q575" s="3"/>
      <c r="R575" s="3"/>
      <c r="S575" s="3"/>
      <c r="T575" s="3"/>
      <c r="U575" s="3"/>
      <c r="V575" s="3"/>
      <c r="W575" s="3"/>
      <c r="X575" s="3"/>
      <c r="Y575" s="3"/>
      <c r="Z575" s="3"/>
    </row>
    <row r="576" spans="1:26" ht="15.75" customHeight="1">
      <c r="A576" s="3"/>
      <c r="B576" s="2"/>
      <c r="C576" s="2"/>
      <c r="D576" s="2"/>
      <c r="E576" s="2"/>
      <c r="F576" s="2"/>
      <c r="G576" s="2"/>
      <c r="H576" s="2"/>
      <c r="I576" s="2"/>
      <c r="J576" s="564"/>
      <c r="K576" s="564"/>
      <c r="L576" s="564"/>
      <c r="M576" s="564"/>
      <c r="N576" s="564"/>
      <c r="O576" s="3"/>
      <c r="P576" s="3"/>
      <c r="Q576" s="3"/>
      <c r="R576" s="3"/>
      <c r="S576" s="3"/>
      <c r="T576" s="3"/>
      <c r="U576" s="3"/>
      <c r="V576" s="3"/>
      <c r="W576" s="3"/>
      <c r="X576" s="3"/>
      <c r="Y576" s="3"/>
      <c r="Z576" s="3"/>
    </row>
    <row r="577" spans="1:26" ht="15.75" customHeight="1">
      <c r="A577" s="3"/>
      <c r="B577" s="2"/>
      <c r="C577" s="2"/>
      <c r="D577" s="2"/>
      <c r="E577" s="2"/>
      <c r="F577" s="2"/>
      <c r="G577" s="2"/>
      <c r="H577" s="2"/>
      <c r="I577" s="2"/>
      <c r="J577" s="564"/>
      <c r="K577" s="564"/>
      <c r="L577" s="564"/>
      <c r="M577" s="564"/>
      <c r="N577" s="564"/>
      <c r="O577" s="3"/>
      <c r="P577" s="3"/>
      <c r="Q577" s="3"/>
      <c r="R577" s="3"/>
      <c r="S577" s="3"/>
      <c r="T577" s="3"/>
      <c r="U577" s="3"/>
      <c r="V577" s="3"/>
      <c r="W577" s="3"/>
      <c r="X577" s="3"/>
      <c r="Y577" s="3"/>
      <c r="Z577" s="3"/>
    </row>
    <row r="578" spans="1:26" ht="15.75" customHeight="1">
      <c r="A578" s="3"/>
      <c r="B578" s="2"/>
      <c r="C578" s="2"/>
      <c r="D578" s="2"/>
      <c r="E578" s="2"/>
      <c r="F578" s="2"/>
      <c r="G578" s="2"/>
      <c r="H578" s="2"/>
      <c r="I578" s="2"/>
      <c r="J578" s="564"/>
      <c r="K578" s="564"/>
      <c r="L578" s="564"/>
      <c r="M578" s="564"/>
      <c r="N578" s="564"/>
      <c r="O578" s="3"/>
      <c r="P578" s="3"/>
      <c r="Q578" s="3"/>
      <c r="R578" s="3"/>
      <c r="S578" s="3"/>
      <c r="T578" s="3"/>
      <c r="U578" s="3"/>
      <c r="V578" s="3"/>
      <c r="W578" s="3"/>
      <c r="X578" s="3"/>
      <c r="Y578" s="3"/>
      <c r="Z578" s="3"/>
    </row>
    <row r="579" spans="1:26" ht="15.75" customHeight="1">
      <c r="A579" s="3"/>
      <c r="B579" s="2"/>
      <c r="C579" s="2"/>
      <c r="D579" s="2"/>
      <c r="E579" s="2"/>
      <c r="F579" s="2"/>
      <c r="G579" s="2"/>
      <c r="H579" s="2"/>
      <c r="I579" s="2"/>
      <c r="J579" s="564"/>
      <c r="K579" s="564"/>
      <c r="L579" s="564"/>
      <c r="M579" s="564"/>
      <c r="N579" s="564"/>
      <c r="O579" s="3"/>
      <c r="P579" s="3"/>
      <c r="Q579" s="3"/>
      <c r="R579" s="3"/>
      <c r="S579" s="3"/>
      <c r="T579" s="3"/>
      <c r="U579" s="3"/>
      <c r="V579" s="3"/>
      <c r="W579" s="3"/>
      <c r="X579" s="3"/>
      <c r="Y579" s="3"/>
      <c r="Z579" s="3"/>
    </row>
    <row r="580" spans="1:26" ht="15.75" customHeight="1">
      <c r="A580" s="3"/>
      <c r="B580" s="2"/>
      <c r="C580" s="2"/>
      <c r="D580" s="2"/>
      <c r="E580" s="2"/>
      <c r="F580" s="2"/>
      <c r="G580" s="2"/>
      <c r="H580" s="2"/>
      <c r="I580" s="2"/>
      <c r="J580" s="564"/>
      <c r="K580" s="564"/>
      <c r="L580" s="564"/>
      <c r="M580" s="564"/>
      <c r="N580" s="564"/>
      <c r="O580" s="3"/>
      <c r="P580" s="3"/>
      <c r="Q580" s="3"/>
      <c r="R580" s="3"/>
      <c r="S580" s="3"/>
      <c r="T580" s="3"/>
      <c r="U580" s="3"/>
      <c r="V580" s="3"/>
      <c r="W580" s="3"/>
      <c r="X580" s="3"/>
      <c r="Y580" s="3"/>
      <c r="Z580" s="3"/>
    </row>
    <row r="581" spans="1:26" ht="15.75" customHeight="1">
      <c r="A581" s="3"/>
      <c r="B581" s="2"/>
      <c r="C581" s="2"/>
      <c r="D581" s="2"/>
      <c r="E581" s="2"/>
      <c r="F581" s="2"/>
      <c r="G581" s="2"/>
      <c r="H581" s="2"/>
      <c r="I581" s="2"/>
      <c r="J581" s="564"/>
      <c r="K581" s="564"/>
      <c r="L581" s="564"/>
      <c r="M581" s="564"/>
      <c r="N581" s="564"/>
      <c r="O581" s="3"/>
      <c r="P581" s="3"/>
      <c r="Q581" s="3"/>
      <c r="R581" s="3"/>
      <c r="S581" s="3"/>
      <c r="T581" s="3"/>
      <c r="U581" s="3"/>
      <c r="V581" s="3"/>
      <c r="W581" s="3"/>
      <c r="X581" s="3"/>
      <c r="Y581" s="3"/>
      <c r="Z581" s="3"/>
    </row>
    <row r="582" spans="1:26" ht="15.75" customHeight="1">
      <c r="A582" s="3"/>
      <c r="B582" s="2"/>
      <c r="C582" s="2"/>
      <c r="D582" s="2"/>
      <c r="E582" s="2"/>
      <c r="F582" s="2"/>
      <c r="G582" s="2"/>
      <c r="H582" s="2"/>
      <c r="I582" s="2"/>
      <c r="J582" s="564"/>
      <c r="K582" s="564"/>
      <c r="L582" s="564"/>
      <c r="M582" s="564"/>
      <c r="N582" s="564"/>
      <c r="O582" s="3"/>
      <c r="P582" s="3"/>
      <c r="Q582" s="3"/>
      <c r="R582" s="3"/>
      <c r="S582" s="3"/>
      <c r="T582" s="3"/>
      <c r="U582" s="3"/>
      <c r="V582" s="3"/>
      <c r="W582" s="3"/>
      <c r="X582" s="3"/>
      <c r="Y582" s="3"/>
      <c r="Z582" s="3"/>
    </row>
    <row r="583" spans="1:26" ht="15.75" customHeight="1">
      <c r="A583" s="3"/>
      <c r="B583" s="2"/>
      <c r="C583" s="2"/>
      <c r="D583" s="2"/>
      <c r="E583" s="2"/>
      <c r="F583" s="2"/>
      <c r="G583" s="2"/>
      <c r="H583" s="2"/>
      <c r="I583" s="2"/>
      <c r="J583" s="564"/>
      <c r="K583" s="564"/>
      <c r="L583" s="564"/>
      <c r="M583" s="564"/>
      <c r="N583" s="564"/>
      <c r="O583" s="3"/>
      <c r="P583" s="3"/>
      <c r="Q583" s="3"/>
      <c r="R583" s="3"/>
      <c r="S583" s="3"/>
      <c r="T583" s="3"/>
      <c r="U583" s="3"/>
      <c r="V583" s="3"/>
      <c r="W583" s="3"/>
      <c r="X583" s="3"/>
      <c r="Y583" s="3"/>
      <c r="Z583" s="3"/>
    </row>
    <row r="584" spans="1:26" ht="15.75" customHeight="1">
      <c r="A584" s="3"/>
      <c r="B584" s="2"/>
      <c r="C584" s="2"/>
      <c r="D584" s="2"/>
      <c r="E584" s="2"/>
      <c r="F584" s="2"/>
      <c r="G584" s="2"/>
      <c r="H584" s="2"/>
      <c r="I584" s="2"/>
      <c r="J584" s="564"/>
      <c r="K584" s="564"/>
      <c r="L584" s="564"/>
      <c r="M584" s="564"/>
      <c r="N584" s="564"/>
      <c r="O584" s="3"/>
      <c r="P584" s="3"/>
      <c r="Q584" s="3"/>
      <c r="R584" s="3"/>
      <c r="S584" s="3"/>
      <c r="T584" s="3"/>
      <c r="U584" s="3"/>
      <c r="V584" s="3"/>
      <c r="W584" s="3"/>
      <c r="X584" s="3"/>
      <c r="Y584" s="3"/>
      <c r="Z584" s="3"/>
    </row>
    <row r="585" spans="1:26" ht="15.75" customHeight="1">
      <c r="A585" s="3"/>
      <c r="B585" s="2"/>
      <c r="C585" s="2"/>
      <c r="D585" s="2"/>
      <c r="E585" s="2"/>
      <c r="F585" s="2"/>
      <c r="G585" s="2"/>
      <c r="H585" s="2"/>
      <c r="I585" s="2"/>
      <c r="J585" s="564"/>
      <c r="K585" s="564"/>
      <c r="L585" s="564"/>
      <c r="M585" s="564"/>
      <c r="N585" s="564"/>
      <c r="O585" s="3"/>
      <c r="P585" s="3"/>
      <c r="Q585" s="3"/>
      <c r="R585" s="3"/>
      <c r="S585" s="3"/>
      <c r="T585" s="3"/>
      <c r="U585" s="3"/>
      <c r="V585" s="3"/>
      <c r="W585" s="3"/>
      <c r="X585" s="3"/>
      <c r="Y585" s="3"/>
      <c r="Z585" s="3"/>
    </row>
    <row r="586" spans="1:26" ht="15.75" customHeight="1">
      <c r="A586" s="3"/>
      <c r="B586" s="2"/>
      <c r="C586" s="2"/>
      <c r="D586" s="2"/>
      <c r="E586" s="2"/>
      <c r="F586" s="2"/>
      <c r="G586" s="2"/>
      <c r="H586" s="2"/>
      <c r="I586" s="2"/>
      <c r="J586" s="564"/>
      <c r="K586" s="564"/>
      <c r="L586" s="564"/>
      <c r="M586" s="564"/>
      <c r="N586" s="564"/>
      <c r="O586" s="3"/>
      <c r="P586" s="3"/>
      <c r="Q586" s="3"/>
      <c r="R586" s="3"/>
      <c r="S586" s="3"/>
      <c r="T586" s="3"/>
      <c r="U586" s="3"/>
      <c r="V586" s="3"/>
      <c r="W586" s="3"/>
      <c r="X586" s="3"/>
      <c r="Y586" s="3"/>
      <c r="Z586" s="3"/>
    </row>
    <row r="587" spans="1:26" ht="15.75" customHeight="1">
      <c r="A587" s="3"/>
      <c r="B587" s="2"/>
      <c r="C587" s="2"/>
      <c r="D587" s="2"/>
      <c r="E587" s="2"/>
      <c r="F587" s="2"/>
      <c r="G587" s="2"/>
      <c r="H587" s="2"/>
      <c r="I587" s="2"/>
      <c r="J587" s="564"/>
      <c r="K587" s="564"/>
      <c r="L587" s="564"/>
      <c r="M587" s="564"/>
      <c r="N587" s="564"/>
      <c r="O587" s="3"/>
      <c r="P587" s="3"/>
      <c r="Q587" s="3"/>
      <c r="R587" s="3"/>
      <c r="S587" s="3"/>
      <c r="T587" s="3"/>
      <c r="U587" s="3"/>
      <c r="V587" s="3"/>
      <c r="W587" s="3"/>
      <c r="X587" s="3"/>
      <c r="Y587" s="3"/>
      <c r="Z587" s="3"/>
    </row>
    <row r="588" spans="1:26" ht="15.75" customHeight="1">
      <c r="A588" s="3"/>
      <c r="B588" s="2"/>
      <c r="C588" s="2"/>
      <c r="D588" s="2"/>
      <c r="E588" s="2"/>
      <c r="F588" s="2"/>
      <c r="G588" s="2"/>
      <c r="H588" s="2"/>
      <c r="I588" s="2"/>
      <c r="J588" s="564"/>
      <c r="K588" s="564"/>
      <c r="L588" s="564"/>
      <c r="M588" s="564"/>
      <c r="N588" s="564"/>
      <c r="O588" s="3"/>
      <c r="P588" s="3"/>
      <c r="Q588" s="3"/>
      <c r="R588" s="3"/>
      <c r="S588" s="3"/>
      <c r="T588" s="3"/>
      <c r="U588" s="3"/>
      <c r="V588" s="3"/>
      <c r="W588" s="3"/>
      <c r="X588" s="3"/>
      <c r="Y588" s="3"/>
      <c r="Z588" s="3"/>
    </row>
    <row r="589" spans="1:26" ht="15.75" customHeight="1">
      <c r="A589" s="3"/>
      <c r="B589" s="2"/>
      <c r="C589" s="2"/>
      <c r="D589" s="2"/>
      <c r="E589" s="2"/>
      <c r="F589" s="2"/>
      <c r="G589" s="2"/>
      <c r="H589" s="2"/>
      <c r="I589" s="2"/>
      <c r="J589" s="564"/>
      <c r="K589" s="564"/>
      <c r="L589" s="564"/>
      <c r="M589" s="564"/>
      <c r="N589" s="564"/>
      <c r="O589" s="3"/>
      <c r="P589" s="3"/>
      <c r="Q589" s="3"/>
      <c r="R589" s="3"/>
      <c r="S589" s="3"/>
      <c r="T589" s="3"/>
      <c r="U589" s="3"/>
      <c r="V589" s="3"/>
      <c r="W589" s="3"/>
      <c r="X589" s="3"/>
      <c r="Y589" s="3"/>
      <c r="Z589" s="3"/>
    </row>
    <row r="590" spans="1:26" ht="15.75" customHeight="1">
      <c r="A590" s="3"/>
      <c r="B590" s="2"/>
      <c r="C590" s="2"/>
      <c r="D590" s="2"/>
      <c r="E590" s="2"/>
      <c r="F590" s="2"/>
      <c r="G590" s="2"/>
      <c r="H590" s="2"/>
      <c r="I590" s="2"/>
      <c r="J590" s="564"/>
      <c r="K590" s="564"/>
      <c r="L590" s="564"/>
      <c r="M590" s="564"/>
      <c r="N590" s="564"/>
      <c r="O590" s="3"/>
      <c r="P590" s="3"/>
      <c r="Q590" s="3"/>
      <c r="R590" s="3"/>
      <c r="S590" s="3"/>
      <c r="T590" s="3"/>
      <c r="U590" s="3"/>
      <c r="V590" s="3"/>
      <c r="W590" s="3"/>
      <c r="X590" s="3"/>
      <c r="Y590" s="3"/>
      <c r="Z590" s="3"/>
    </row>
    <row r="591" spans="1:26" ht="15.75" customHeight="1">
      <c r="A591" s="3"/>
      <c r="B591" s="2"/>
      <c r="C591" s="2"/>
      <c r="D591" s="2"/>
      <c r="E591" s="2"/>
      <c r="F591" s="2"/>
      <c r="G591" s="2"/>
      <c r="H591" s="2"/>
      <c r="I591" s="2"/>
      <c r="J591" s="564"/>
      <c r="K591" s="564"/>
      <c r="L591" s="564"/>
      <c r="M591" s="564"/>
      <c r="N591" s="564"/>
      <c r="O591" s="3"/>
      <c r="P591" s="3"/>
      <c r="Q591" s="3"/>
      <c r="R591" s="3"/>
      <c r="S591" s="3"/>
      <c r="T591" s="3"/>
      <c r="U591" s="3"/>
      <c r="V591" s="3"/>
      <c r="W591" s="3"/>
      <c r="X591" s="3"/>
      <c r="Y591" s="3"/>
      <c r="Z591" s="3"/>
    </row>
    <row r="592" spans="1:26" ht="15.75" customHeight="1">
      <c r="A592" s="3"/>
      <c r="B592" s="2"/>
      <c r="C592" s="2"/>
      <c r="D592" s="2"/>
      <c r="E592" s="2"/>
      <c r="F592" s="2"/>
      <c r="G592" s="2"/>
      <c r="H592" s="2"/>
      <c r="I592" s="2"/>
      <c r="J592" s="564"/>
      <c r="K592" s="564"/>
      <c r="L592" s="564"/>
      <c r="M592" s="564"/>
      <c r="N592" s="564"/>
      <c r="O592" s="3"/>
      <c r="P592" s="3"/>
      <c r="Q592" s="3"/>
      <c r="R592" s="3"/>
      <c r="S592" s="3"/>
      <c r="T592" s="3"/>
      <c r="U592" s="3"/>
      <c r="V592" s="3"/>
      <c r="W592" s="3"/>
      <c r="X592" s="3"/>
      <c r="Y592" s="3"/>
      <c r="Z592" s="3"/>
    </row>
    <row r="593" spans="1:26" ht="15.75" customHeight="1">
      <c r="A593" s="3"/>
      <c r="B593" s="2"/>
      <c r="C593" s="2"/>
      <c r="D593" s="2"/>
      <c r="E593" s="2"/>
      <c r="F593" s="2"/>
      <c r="G593" s="2"/>
      <c r="H593" s="2"/>
      <c r="I593" s="2"/>
      <c r="J593" s="564"/>
      <c r="K593" s="564"/>
      <c r="L593" s="564"/>
      <c r="M593" s="564"/>
      <c r="N593" s="564"/>
      <c r="O593" s="3"/>
      <c r="P593" s="3"/>
      <c r="Q593" s="3"/>
      <c r="R593" s="3"/>
      <c r="S593" s="3"/>
      <c r="T593" s="3"/>
      <c r="U593" s="3"/>
      <c r="V593" s="3"/>
      <c r="W593" s="3"/>
      <c r="X593" s="3"/>
      <c r="Y593" s="3"/>
      <c r="Z593" s="3"/>
    </row>
    <row r="594" spans="1:26" ht="15.75" customHeight="1">
      <c r="A594" s="3"/>
      <c r="B594" s="2"/>
      <c r="C594" s="2"/>
      <c r="D594" s="2"/>
      <c r="E594" s="2"/>
      <c r="F594" s="2"/>
      <c r="G594" s="2"/>
      <c r="H594" s="2"/>
      <c r="I594" s="2"/>
      <c r="J594" s="564"/>
      <c r="K594" s="564"/>
      <c r="L594" s="564"/>
      <c r="M594" s="564"/>
      <c r="N594" s="564"/>
      <c r="O594" s="3"/>
      <c r="P594" s="3"/>
      <c r="Q594" s="3"/>
      <c r="R594" s="3"/>
      <c r="S594" s="3"/>
      <c r="T594" s="3"/>
      <c r="U594" s="3"/>
      <c r="V594" s="3"/>
      <c r="W594" s="3"/>
      <c r="X594" s="3"/>
      <c r="Y594" s="3"/>
      <c r="Z594" s="3"/>
    </row>
    <row r="595" spans="1:26" ht="15.75" customHeight="1">
      <c r="A595" s="3"/>
      <c r="B595" s="2"/>
      <c r="C595" s="2"/>
      <c r="D595" s="2"/>
      <c r="E595" s="2"/>
      <c r="F595" s="2"/>
      <c r="G595" s="2"/>
      <c r="H595" s="2"/>
      <c r="I595" s="2"/>
      <c r="J595" s="564"/>
      <c r="K595" s="564"/>
      <c r="L595" s="564"/>
      <c r="M595" s="564"/>
      <c r="N595" s="564"/>
      <c r="O595" s="3"/>
      <c r="P595" s="3"/>
      <c r="Q595" s="3"/>
      <c r="R595" s="3"/>
      <c r="S595" s="3"/>
      <c r="T595" s="3"/>
      <c r="U595" s="3"/>
      <c r="V595" s="3"/>
      <c r="W595" s="3"/>
      <c r="X595" s="3"/>
      <c r="Y595" s="3"/>
      <c r="Z595" s="3"/>
    </row>
    <row r="596" spans="1:26" ht="15.75" customHeight="1">
      <c r="A596" s="3"/>
      <c r="B596" s="2"/>
      <c r="C596" s="2"/>
      <c r="D596" s="2"/>
      <c r="E596" s="2"/>
      <c r="F596" s="2"/>
      <c r="G596" s="2"/>
      <c r="H596" s="2"/>
      <c r="I596" s="2"/>
      <c r="J596" s="564"/>
      <c r="K596" s="564"/>
      <c r="L596" s="564"/>
      <c r="M596" s="564"/>
      <c r="N596" s="564"/>
      <c r="O596" s="3"/>
      <c r="P596" s="3"/>
      <c r="Q596" s="3"/>
      <c r="R596" s="3"/>
      <c r="S596" s="3"/>
      <c r="T596" s="3"/>
      <c r="U596" s="3"/>
      <c r="V596" s="3"/>
      <c r="W596" s="3"/>
      <c r="X596" s="3"/>
      <c r="Y596" s="3"/>
      <c r="Z596" s="3"/>
    </row>
    <row r="597" spans="1:26" ht="15.75" customHeight="1">
      <c r="A597" s="3"/>
      <c r="B597" s="2"/>
      <c r="C597" s="2"/>
      <c r="D597" s="2"/>
      <c r="E597" s="2"/>
      <c r="F597" s="2"/>
      <c r="G597" s="2"/>
      <c r="H597" s="2"/>
      <c r="I597" s="2"/>
      <c r="J597" s="564"/>
      <c r="K597" s="564"/>
      <c r="L597" s="564"/>
      <c r="M597" s="564"/>
      <c r="N597" s="564"/>
      <c r="O597" s="3"/>
      <c r="P597" s="3"/>
      <c r="Q597" s="3"/>
      <c r="R597" s="3"/>
      <c r="S597" s="3"/>
      <c r="T597" s="3"/>
      <c r="U597" s="3"/>
      <c r="V597" s="3"/>
      <c r="W597" s="3"/>
      <c r="X597" s="3"/>
      <c r="Y597" s="3"/>
      <c r="Z597" s="3"/>
    </row>
    <row r="598" spans="1:26" ht="15.75" customHeight="1">
      <c r="A598" s="3"/>
      <c r="B598" s="2"/>
      <c r="C598" s="2"/>
      <c r="D598" s="2"/>
      <c r="E598" s="2"/>
      <c r="F598" s="2"/>
      <c r="G598" s="2"/>
      <c r="H598" s="2"/>
      <c r="I598" s="2"/>
      <c r="J598" s="564"/>
      <c r="K598" s="564"/>
      <c r="L598" s="564"/>
      <c r="M598" s="564"/>
      <c r="N598" s="564"/>
      <c r="O598" s="3"/>
      <c r="P598" s="3"/>
      <c r="Q598" s="3"/>
      <c r="R598" s="3"/>
      <c r="S598" s="3"/>
      <c r="T598" s="3"/>
      <c r="U598" s="3"/>
      <c r="V598" s="3"/>
      <c r="W598" s="3"/>
      <c r="X598" s="3"/>
      <c r="Y598" s="3"/>
      <c r="Z598" s="3"/>
    </row>
    <row r="599" spans="1:26" ht="15.75" customHeight="1">
      <c r="A599" s="3"/>
      <c r="B599" s="2"/>
      <c r="C599" s="2"/>
      <c r="D599" s="2"/>
      <c r="E599" s="2"/>
      <c r="F599" s="2"/>
      <c r="G599" s="2"/>
      <c r="H599" s="2"/>
      <c r="I599" s="2"/>
      <c r="J599" s="564"/>
      <c r="K599" s="564"/>
      <c r="L599" s="564"/>
      <c r="M599" s="564"/>
      <c r="N599" s="564"/>
      <c r="O599" s="3"/>
      <c r="P599" s="3"/>
      <c r="Q599" s="3"/>
      <c r="R599" s="3"/>
      <c r="S599" s="3"/>
      <c r="T599" s="3"/>
      <c r="U599" s="3"/>
      <c r="V599" s="3"/>
      <c r="W599" s="3"/>
      <c r="X599" s="3"/>
      <c r="Y599" s="3"/>
      <c r="Z599" s="3"/>
    </row>
    <row r="600" spans="1:26" ht="15.75" customHeight="1">
      <c r="A600" s="3"/>
      <c r="B600" s="2"/>
      <c r="C600" s="2"/>
      <c r="D600" s="2"/>
      <c r="E600" s="2"/>
      <c r="F600" s="2"/>
      <c r="G600" s="2"/>
      <c r="H600" s="2"/>
      <c r="I600" s="2"/>
      <c r="J600" s="564"/>
      <c r="K600" s="564"/>
      <c r="L600" s="564"/>
      <c r="M600" s="564"/>
      <c r="N600" s="564"/>
      <c r="O600" s="3"/>
      <c r="P600" s="3"/>
      <c r="Q600" s="3"/>
      <c r="R600" s="3"/>
      <c r="S600" s="3"/>
      <c r="T600" s="3"/>
      <c r="U600" s="3"/>
      <c r="V600" s="3"/>
      <c r="W600" s="3"/>
      <c r="X600" s="3"/>
      <c r="Y600" s="3"/>
      <c r="Z600" s="3"/>
    </row>
    <row r="601" spans="1:26" ht="15.75" customHeight="1">
      <c r="A601" s="3"/>
      <c r="B601" s="2"/>
      <c r="C601" s="2"/>
      <c r="D601" s="2"/>
      <c r="E601" s="2"/>
      <c r="F601" s="2"/>
      <c r="G601" s="2"/>
      <c r="H601" s="2"/>
      <c r="I601" s="2"/>
      <c r="J601" s="564"/>
      <c r="K601" s="564"/>
      <c r="L601" s="564"/>
      <c r="M601" s="564"/>
      <c r="N601" s="564"/>
      <c r="O601" s="3"/>
      <c r="P601" s="3"/>
      <c r="Q601" s="3"/>
      <c r="R601" s="3"/>
      <c r="S601" s="3"/>
      <c r="T601" s="3"/>
      <c r="U601" s="3"/>
      <c r="V601" s="3"/>
      <c r="W601" s="3"/>
      <c r="X601" s="3"/>
      <c r="Y601" s="3"/>
      <c r="Z601" s="3"/>
    </row>
    <row r="602" spans="1:26" ht="15.75" customHeight="1">
      <c r="A602" s="3"/>
      <c r="B602" s="2"/>
      <c r="C602" s="2"/>
      <c r="D602" s="2"/>
      <c r="E602" s="2"/>
      <c r="F602" s="2"/>
      <c r="G602" s="2"/>
      <c r="H602" s="2"/>
      <c r="I602" s="2"/>
      <c r="J602" s="564"/>
      <c r="K602" s="564"/>
      <c r="L602" s="564"/>
      <c r="M602" s="564"/>
      <c r="N602" s="564"/>
      <c r="O602" s="3"/>
      <c r="P602" s="3"/>
      <c r="Q602" s="3"/>
      <c r="R602" s="3"/>
      <c r="S602" s="3"/>
      <c r="T602" s="3"/>
      <c r="U602" s="3"/>
      <c r="V602" s="3"/>
      <c r="W602" s="3"/>
      <c r="X602" s="3"/>
      <c r="Y602" s="3"/>
      <c r="Z602" s="3"/>
    </row>
    <row r="603" spans="1:26" ht="15.75" customHeight="1">
      <c r="A603" s="3"/>
      <c r="B603" s="2"/>
      <c r="C603" s="2"/>
      <c r="D603" s="2"/>
      <c r="E603" s="2"/>
      <c r="F603" s="2"/>
      <c r="G603" s="2"/>
      <c r="H603" s="2"/>
      <c r="I603" s="2"/>
      <c r="J603" s="564"/>
      <c r="K603" s="564"/>
      <c r="L603" s="564"/>
      <c r="M603" s="564"/>
      <c r="N603" s="564"/>
      <c r="O603" s="3"/>
      <c r="P603" s="3"/>
      <c r="Q603" s="3"/>
      <c r="R603" s="3"/>
      <c r="S603" s="3"/>
      <c r="T603" s="3"/>
      <c r="U603" s="3"/>
      <c r="V603" s="3"/>
      <c r="W603" s="3"/>
      <c r="X603" s="3"/>
      <c r="Y603" s="3"/>
      <c r="Z603" s="3"/>
    </row>
    <row r="604" spans="1:26" ht="15.75" customHeight="1">
      <c r="A604" s="3"/>
      <c r="B604" s="2"/>
      <c r="C604" s="2"/>
      <c r="D604" s="2"/>
      <c r="E604" s="2"/>
      <c r="F604" s="2"/>
      <c r="G604" s="2"/>
      <c r="H604" s="2"/>
      <c r="I604" s="2"/>
      <c r="J604" s="564"/>
      <c r="K604" s="564"/>
      <c r="L604" s="564"/>
      <c r="M604" s="564"/>
      <c r="N604" s="564"/>
      <c r="O604" s="3"/>
      <c r="P604" s="3"/>
      <c r="Q604" s="3"/>
      <c r="R604" s="3"/>
      <c r="S604" s="3"/>
      <c r="T604" s="3"/>
      <c r="U604" s="3"/>
      <c r="V604" s="3"/>
      <c r="W604" s="3"/>
      <c r="X604" s="3"/>
      <c r="Y604" s="3"/>
      <c r="Z604" s="3"/>
    </row>
    <row r="605" spans="1:26" ht="15.75" customHeight="1">
      <c r="A605" s="3"/>
      <c r="B605" s="2"/>
      <c r="C605" s="2"/>
      <c r="D605" s="2"/>
      <c r="E605" s="2"/>
      <c r="F605" s="2"/>
      <c r="G605" s="2"/>
      <c r="H605" s="2"/>
      <c r="I605" s="2"/>
      <c r="J605" s="564"/>
      <c r="K605" s="564"/>
      <c r="L605" s="564"/>
      <c r="M605" s="564"/>
      <c r="N605" s="564"/>
      <c r="O605" s="3"/>
      <c r="P605" s="3"/>
      <c r="Q605" s="3"/>
      <c r="R605" s="3"/>
      <c r="S605" s="3"/>
      <c r="T605" s="3"/>
      <c r="U605" s="3"/>
      <c r="V605" s="3"/>
      <c r="W605" s="3"/>
      <c r="X605" s="3"/>
      <c r="Y605" s="3"/>
      <c r="Z605" s="3"/>
    </row>
    <row r="606" spans="1:26" ht="15.75" customHeight="1">
      <c r="A606" s="3"/>
      <c r="B606" s="2"/>
      <c r="C606" s="2"/>
      <c r="D606" s="2"/>
      <c r="E606" s="2"/>
      <c r="F606" s="2"/>
      <c r="G606" s="2"/>
      <c r="H606" s="2"/>
      <c r="I606" s="2"/>
      <c r="J606" s="564"/>
      <c r="K606" s="564"/>
      <c r="L606" s="564"/>
      <c r="M606" s="564"/>
      <c r="N606" s="564"/>
      <c r="O606" s="3"/>
      <c r="P606" s="3"/>
      <c r="Q606" s="3"/>
      <c r="R606" s="3"/>
      <c r="S606" s="3"/>
      <c r="T606" s="3"/>
      <c r="U606" s="3"/>
      <c r="V606" s="3"/>
      <c r="W606" s="3"/>
      <c r="X606" s="3"/>
      <c r="Y606" s="3"/>
      <c r="Z606" s="3"/>
    </row>
    <row r="607" spans="1:26" ht="15.75" customHeight="1">
      <c r="A607" s="3"/>
      <c r="B607" s="2"/>
      <c r="C607" s="2"/>
      <c r="D607" s="2"/>
      <c r="E607" s="2"/>
      <c r="F607" s="2"/>
      <c r="G607" s="2"/>
      <c r="H607" s="2"/>
      <c r="I607" s="2"/>
      <c r="J607" s="564"/>
      <c r="K607" s="564"/>
      <c r="L607" s="564"/>
      <c r="M607" s="564"/>
      <c r="N607" s="564"/>
      <c r="O607" s="3"/>
      <c r="P607" s="3"/>
      <c r="Q607" s="3"/>
      <c r="R607" s="3"/>
      <c r="S607" s="3"/>
      <c r="T607" s="3"/>
      <c r="U607" s="3"/>
      <c r="V607" s="3"/>
      <c r="W607" s="3"/>
      <c r="X607" s="3"/>
      <c r="Y607" s="3"/>
      <c r="Z607" s="3"/>
    </row>
    <row r="608" spans="1:26" ht="15.75" customHeight="1">
      <c r="A608" s="3"/>
      <c r="B608" s="2"/>
      <c r="C608" s="2"/>
      <c r="D608" s="2"/>
      <c r="E608" s="2"/>
      <c r="F608" s="2"/>
      <c r="G608" s="2"/>
      <c r="H608" s="2"/>
      <c r="I608" s="2"/>
      <c r="J608" s="564"/>
      <c r="K608" s="564"/>
      <c r="L608" s="564"/>
      <c r="M608" s="564"/>
      <c r="N608" s="564"/>
      <c r="O608" s="3"/>
      <c r="P608" s="3"/>
      <c r="Q608" s="3"/>
      <c r="R608" s="3"/>
      <c r="S608" s="3"/>
      <c r="T608" s="3"/>
      <c r="U608" s="3"/>
      <c r="V608" s="3"/>
      <c r="W608" s="3"/>
      <c r="X608" s="3"/>
      <c r="Y608" s="3"/>
      <c r="Z608" s="3"/>
    </row>
    <row r="609" spans="1:26" ht="15.75" customHeight="1">
      <c r="A609" s="3"/>
      <c r="B609" s="2"/>
      <c r="C609" s="2"/>
      <c r="D609" s="2"/>
      <c r="E609" s="2"/>
      <c r="F609" s="2"/>
      <c r="G609" s="2"/>
      <c r="H609" s="2"/>
      <c r="I609" s="2"/>
      <c r="J609" s="564"/>
      <c r="K609" s="564"/>
      <c r="L609" s="564"/>
      <c r="M609" s="564"/>
      <c r="N609" s="564"/>
      <c r="O609" s="3"/>
      <c r="P609" s="3"/>
      <c r="Q609" s="3"/>
      <c r="R609" s="3"/>
      <c r="S609" s="3"/>
      <c r="T609" s="3"/>
      <c r="U609" s="3"/>
      <c r="V609" s="3"/>
      <c r="W609" s="3"/>
      <c r="X609" s="3"/>
      <c r="Y609" s="3"/>
      <c r="Z609" s="3"/>
    </row>
    <row r="610" spans="1:26" ht="15.75" customHeight="1">
      <c r="A610" s="3"/>
      <c r="B610" s="2"/>
      <c r="C610" s="2"/>
      <c r="D610" s="2"/>
      <c r="E610" s="2"/>
      <c r="F610" s="2"/>
      <c r="G610" s="2"/>
      <c r="H610" s="2"/>
      <c r="I610" s="2"/>
      <c r="J610" s="564"/>
      <c r="K610" s="564"/>
      <c r="L610" s="564"/>
      <c r="M610" s="564"/>
      <c r="N610" s="564"/>
      <c r="O610" s="3"/>
      <c r="P610" s="3"/>
      <c r="Q610" s="3"/>
      <c r="R610" s="3"/>
      <c r="S610" s="3"/>
      <c r="T610" s="3"/>
      <c r="U610" s="3"/>
      <c r="V610" s="3"/>
      <c r="W610" s="3"/>
      <c r="X610" s="3"/>
      <c r="Y610" s="3"/>
      <c r="Z610" s="3"/>
    </row>
    <row r="611" spans="1:26" ht="15.75" customHeight="1">
      <c r="A611" s="3"/>
      <c r="B611" s="2"/>
      <c r="C611" s="2"/>
      <c r="D611" s="2"/>
      <c r="E611" s="2"/>
      <c r="F611" s="2"/>
      <c r="G611" s="2"/>
      <c r="H611" s="2"/>
      <c r="I611" s="2"/>
      <c r="J611" s="564"/>
      <c r="K611" s="564"/>
      <c r="L611" s="564"/>
      <c r="M611" s="564"/>
      <c r="N611" s="564"/>
      <c r="O611" s="3"/>
      <c r="P611" s="3"/>
      <c r="Q611" s="3"/>
      <c r="R611" s="3"/>
      <c r="S611" s="3"/>
      <c r="T611" s="3"/>
      <c r="U611" s="3"/>
      <c r="V611" s="3"/>
      <c r="W611" s="3"/>
      <c r="X611" s="3"/>
      <c r="Y611" s="3"/>
      <c r="Z611" s="3"/>
    </row>
    <row r="612" spans="1:26" ht="15.75" customHeight="1">
      <c r="A612" s="3"/>
      <c r="B612" s="2"/>
      <c r="C612" s="2"/>
      <c r="D612" s="2"/>
      <c r="E612" s="2"/>
      <c r="F612" s="2"/>
      <c r="G612" s="2"/>
      <c r="H612" s="2"/>
      <c r="I612" s="2"/>
      <c r="J612" s="564"/>
      <c r="K612" s="564"/>
      <c r="L612" s="564"/>
      <c r="M612" s="564"/>
      <c r="N612" s="564"/>
      <c r="O612" s="3"/>
      <c r="P612" s="3"/>
      <c r="Q612" s="3"/>
      <c r="R612" s="3"/>
      <c r="S612" s="3"/>
      <c r="T612" s="3"/>
      <c r="U612" s="3"/>
      <c r="V612" s="3"/>
      <c r="W612" s="3"/>
      <c r="X612" s="3"/>
      <c r="Y612" s="3"/>
      <c r="Z612" s="3"/>
    </row>
    <row r="613" spans="1:26" ht="15.75" customHeight="1">
      <c r="A613" s="3"/>
      <c r="B613" s="2"/>
      <c r="C613" s="2"/>
      <c r="D613" s="2"/>
      <c r="E613" s="2"/>
      <c r="F613" s="2"/>
      <c r="G613" s="2"/>
      <c r="H613" s="2"/>
      <c r="I613" s="2"/>
      <c r="J613" s="564"/>
      <c r="K613" s="564"/>
      <c r="L613" s="564"/>
      <c r="M613" s="564"/>
      <c r="N613" s="564"/>
      <c r="O613" s="3"/>
      <c r="P613" s="3"/>
      <c r="Q613" s="3"/>
      <c r="R613" s="3"/>
      <c r="S613" s="3"/>
      <c r="T613" s="3"/>
      <c r="U613" s="3"/>
      <c r="V613" s="3"/>
      <c r="W613" s="3"/>
      <c r="X613" s="3"/>
      <c r="Y613" s="3"/>
      <c r="Z613" s="3"/>
    </row>
    <row r="614" spans="1:26" ht="15.75" customHeight="1">
      <c r="A614" s="3"/>
      <c r="B614" s="2"/>
      <c r="C614" s="2"/>
      <c r="D614" s="2"/>
      <c r="E614" s="2"/>
      <c r="F614" s="2"/>
      <c r="G614" s="2"/>
      <c r="H614" s="2"/>
      <c r="I614" s="2"/>
      <c r="J614" s="564"/>
      <c r="K614" s="564"/>
      <c r="L614" s="564"/>
      <c r="M614" s="564"/>
      <c r="N614" s="564"/>
      <c r="O614" s="3"/>
      <c r="P614" s="3"/>
      <c r="Q614" s="3"/>
      <c r="R614" s="3"/>
      <c r="S614" s="3"/>
      <c r="T614" s="3"/>
      <c r="U614" s="3"/>
      <c r="V614" s="3"/>
      <c r="W614" s="3"/>
      <c r="X614" s="3"/>
      <c r="Y614" s="3"/>
      <c r="Z614" s="3"/>
    </row>
    <row r="615" spans="1:26" ht="15.75" customHeight="1">
      <c r="A615" s="3"/>
      <c r="B615" s="2"/>
      <c r="C615" s="2"/>
      <c r="D615" s="2"/>
      <c r="E615" s="2"/>
      <c r="F615" s="2"/>
      <c r="G615" s="2"/>
      <c r="H615" s="2"/>
      <c r="I615" s="2"/>
      <c r="J615" s="564"/>
      <c r="K615" s="564"/>
      <c r="L615" s="564"/>
      <c r="M615" s="564"/>
      <c r="N615" s="564"/>
      <c r="O615" s="3"/>
      <c r="P615" s="3"/>
      <c r="Q615" s="3"/>
      <c r="R615" s="3"/>
      <c r="S615" s="3"/>
      <c r="T615" s="3"/>
      <c r="U615" s="3"/>
      <c r="V615" s="3"/>
      <c r="W615" s="3"/>
      <c r="X615" s="3"/>
      <c r="Y615" s="3"/>
      <c r="Z615" s="3"/>
    </row>
    <row r="616" spans="1:26" ht="15.75" customHeight="1">
      <c r="A616" s="3"/>
      <c r="B616" s="2"/>
      <c r="C616" s="2"/>
      <c r="D616" s="2"/>
      <c r="E616" s="2"/>
      <c r="F616" s="2"/>
      <c r="G616" s="2"/>
      <c r="H616" s="2"/>
      <c r="I616" s="2"/>
      <c r="J616" s="564"/>
      <c r="K616" s="564"/>
      <c r="L616" s="564"/>
      <c r="M616" s="564"/>
      <c r="N616" s="564"/>
      <c r="O616" s="3"/>
      <c r="P616" s="3"/>
      <c r="Q616" s="3"/>
      <c r="R616" s="3"/>
      <c r="S616" s="3"/>
      <c r="T616" s="3"/>
      <c r="U616" s="3"/>
      <c r="V616" s="3"/>
      <c r="W616" s="3"/>
      <c r="X616" s="3"/>
      <c r="Y616" s="3"/>
      <c r="Z616" s="3"/>
    </row>
    <row r="617" spans="1:26" ht="15.75" customHeight="1">
      <c r="A617" s="3"/>
      <c r="B617" s="2"/>
      <c r="C617" s="2"/>
      <c r="D617" s="2"/>
      <c r="E617" s="2"/>
      <c r="F617" s="2"/>
      <c r="G617" s="2"/>
      <c r="H617" s="2"/>
      <c r="I617" s="2"/>
      <c r="J617" s="564"/>
      <c r="K617" s="564"/>
      <c r="L617" s="564"/>
      <c r="M617" s="564"/>
      <c r="N617" s="564"/>
      <c r="O617" s="3"/>
      <c r="P617" s="3"/>
      <c r="Q617" s="3"/>
      <c r="R617" s="3"/>
      <c r="S617" s="3"/>
      <c r="T617" s="3"/>
      <c r="U617" s="3"/>
      <c r="V617" s="3"/>
      <c r="W617" s="3"/>
      <c r="X617" s="3"/>
      <c r="Y617" s="3"/>
      <c r="Z617" s="3"/>
    </row>
    <row r="618" spans="1:26" ht="15.75" customHeight="1">
      <c r="A618" s="3"/>
      <c r="B618" s="2"/>
      <c r="C618" s="2"/>
      <c r="D618" s="2"/>
      <c r="E618" s="2"/>
      <c r="F618" s="2"/>
      <c r="G618" s="2"/>
      <c r="H618" s="2"/>
      <c r="I618" s="2"/>
      <c r="J618" s="564"/>
      <c r="K618" s="564"/>
      <c r="L618" s="564"/>
      <c r="M618" s="564"/>
      <c r="N618" s="564"/>
      <c r="O618" s="3"/>
      <c r="P618" s="3"/>
      <c r="Q618" s="3"/>
      <c r="R618" s="3"/>
      <c r="S618" s="3"/>
      <c r="T618" s="3"/>
      <c r="U618" s="3"/>
      <c r="V618" s="3"/>
      <c r="W618" s="3"/>
      <c r="X618" s="3"/>
      <c r="Y618" s="3"/>
      <c r="Z618" s="3"/>
    </row>
    <row r="619" spans="1:26" ht="15.75" customHeight="1">
      <c r="A619" s="3"/>
      <c r="B619" s="2"/>
      <c r="C619" s="2"/>
      <c r="D619" s="2"/>
      <c r="E619" s="2"/>
      <c r="F619" s="2"/>
      <c r="G619" s="2"/>
      <c r="H619" s="2"/>
      <c r="I619" s="2"/>
      <c r="J619" s="564"/>
      <c r="K619" s="564"/>
      <c r="L619" s="564"/>
      <c r="M619" s="564"/>
      <c r="N619" s="564"/>
      <c r="O619" s="3"/>
      <c r="P619" s="3"/>
      <c r="Q619" s="3"/>
      <c r="R619" s="3"/>
      <c r="S619" s="3"/>
      <c r="T619" s="3"/>
      <c r="U619" s="3"/>
      <c r="V619" s="3"/>
      <c r="W619" s="3"/>
      <c r="X619" s="3"/>
      <c r="Y619" s="3"/>
      <c r="Z619" s="3"/>
    </row>
    <row r="620" spans="1:26" ht="15.75" customHeight="1">
      <c r="A620" s="3"/>
      <c r="B620" s="2"/>
      <c r="C620" s="2"/>
      <c r="D620" s="2"/>
      <c r="E620" s="2"/>
      <c r="F620" s="2"/>
      <c r="G620" s="2"/>
      <c r="H620" s="2"/>
      <c r="I620" s="2"/>
      <c r="J620" s="564"/>
      <c r="K620" s="564"/>
      <c r="L620" s="564"/>
      <c r="M620" s="564"/>
      <c r="N620" s="564"/>
      <c r="O620" s="3"/>
      <c r="P620" s="3"/>
      <c r="Q620" s="3"/>
      <c r="R620" s="3"/>
      <c r="S620" s="3"/>
      <c r="T620" s="3"/>
      <c r="U620" s="3"/>
      <c r="V620" s="3"/>
      <c r="W620" s="3"/>
      <c r="X620" s="3"/>
      <c r="Y620" s="3"/>
      <c r="Z620" s="3"/>
    </row>
    <row r="621" spans="1:26" ht="15.75" customHeight="1">
      <c r="A621" s="3"/>
      <c r="B621" s="2"/>
      <c r="C621" s="2"/>
      <c r="D621" s="2"/>
      <c r="E621" s="2"/>
      <c r="F621" s="2"/>
      <c r="G621" s="2"/>
      <c r="H621" s="2"/>
      <c r="I621" s="2"/>
      <c r="J621" s="564"/>
      <c r="K621" s="564"/>
      <c r="L621" s="564"/>
      <c r="M621" s="564"/>
      <c r="N621" s="564"/>
      <c r="O621" s="3"/>
      <c r="P621" s="3"/>
      <c r="Q621" s="3"/>
      <c r="R621" s="3"/>
      <c r="S621" s="3"/>
      <c r="T621" s="3"/>
      <c r="U621" s="3"/>
      <c r="V621" s="3"/>
      <c r="W621" s="3"/>
      <c r="X621" s="3"/>
      <c r="Y621" s="3"/>
      <c r="Z621" s="3"/>
    </row>
    <row r="622" spans="1:26" ht="15.75" customHeight="1">
      <c r="A622" s="3"/>
      <c r="B622" s="2"/>
      <c r="C622" s="2"/>
      <c r="D622" s="2"/>
      <c r="E622" s="2"/>
      <c r="F622" s="2"/>
      <c r="G622" s="2"/>
      <c r="H622" s="2"/>
      <c r="I622" s="2"/>
      <c r="J622" s="564"/>
      <c r="K622" s="564"/>
      <c r="L622" s="564"/>
      <c r="M622" s="564"/>
      <c r="N622" s="564"/>
      <c r="O622" s="3"/>
      <c r="P622" s="3"/>
      <c r="Q622" s="3"/>
      <c r="R622" s="3"/>
      <c r="S622" s="3"/>
      <c r="T622" s="3"/>
      <c r="U622" s="3"/>
      <c r="V622" s="3"/>
      <c r="W622" s="3"/>
      <c r="X622" s="3"/>
      <c r="Y622" s="3"/>
      <c r="Z622" s="3"/>
    </row>
    <row r="623" spans="1:26" ht="15.75" customHeight="1">
      <c r="A623" s="3"/>
      <c r="B623" s="2"/>
      <c r="C623" s="2"/>
      <c r="D623" s="2"/>
      <c r="E623" s="2"/>
      <c r="F623" s="2"/>
      <c r="G623" s="2"/>
      <c r="H623" s="2"/>
      <c r="I623" s="2"/>
      <c r="J623" s="564"/>
      <c r="K623" s="564"/>
      <c r="L623" s="564"/>
      <c r="M623" s="564"/>
      <c r="N623" s="564"/>
      <c r="O623" s="3"/>
      <c r="P623" s="3"/>
      <c r="Q623" s="3"/>
      <c r="R623" s="3"/>
      <c r="S623" s="3"/>
      <c r="T623" s="3"/>
      <c r="U623" s="3"/>
      <c r="V623" s="3"/>
      <c r="W623" s="3"/>
      <c r="X623" s="3"/>
      <c r="Y623" s="3"/>
      <c r="Z623" s="3"/>
    </row>
    <row r="624" spans="1:26" ht="15.75" customHeight="1">
      <c r="A624" s="3"/>
      <c r="B624" s="2"/>
      <c r="C624" s="2"/>
      <c r="D624" s="2"/>
      <c r="E624" s="2"/>
      <c r="F624" s="2"/>
      <c r="G624" s="2"/>
      <c r="H624" s="2"/>
      <c r="I624" s="2"/>
      <c r="J624" s="564"/>
      <c r="K624" s="564"/>
      <c r="L624" s="564"/>
      <c r="M624" s="564"/>
      <c r="N624" s="564"/>
      <c r="O624" s="3"/>
      <c r="P624" s="3"/>
      <c r="Q624" s="3"/>
      <c r="R624" s="3"/>
      <c r="S624" s="3"/>
      <c r="T624" s="3"/>
      <c r="U624" s="3"/>
      <c r="V624" s="3"/>
      <c r="W624" s="3"/>
      <c r="X624" s="3"/>
      <c r="Y624" s="3"/>
      <c r="Z624" s="3"/>
    </row>
    <row r="625" spans="1:26" ht="15.75" customHeight="1">
      <c r="A625" s="3"/>
      <c r="B625" s="2"/>
      <c r="C625" s="2"/>
      <c r="D625" s="2"/>
      <c r="E625" s="2"/>
      <c r="F625" s="2"/>
      <c r="G625" s="2"/>
      <c r="H625" s="2"/>
      <c r="I625" s="2"/>
      <c r="J625" s="564"/>
      <c r="K625" s="564"/>
      <c r="L625" s="564"/>
      <c r="M625" s="564"/>
      <c r="N625" s="564"/>
      <c r="O625" s="3"/>
      <c r="P625" s="3"/>
      <c r="Q625" s="3"/>
      <c r="R625" s="3"/>
      <c r="S625" s="3"/>
      <c r="T625" s="3"/>
      <c r="U625" s="3"/>
      <c r="V625" s="3"/>
      <c r="W625" s="3"/>
      <c r="X625" s="3"/>
      <c r="Y625" s="3"/>
      <c r="Z625" s="3"/>
    </row>
    <row r="626" spans="1:26" ht="15.75" customHeight="1">
      <c r="A626" s="3"/>
      <c r="B626" s="2"/>
      <c r="C626" s="2"/>
      <c r="D626" s="2"/>
      <c r="E626" s="2"/>
      <c r="F626" s="2"/>
      <c r="G626" s="2"/>
      <c r="H626" s="2"/>
      <c r="I626" s="2"/>
      <c r="J626" s="564"/>
      <c r="K626" s="564"/>
      <c r="L626" s="564"/>
      <c r="M626" s="564"/>
      <c r="N626" s="564"/>
      <c r="O626" s="3"/>
      <c r="P626" s="3"/>
      <c r="Q626" s="3"/>
      <c r="R626" s="3"/>
      <c r="S626" s="3"/>
      <c r="T626" s="3"/>
      <c r="U626" s="3"/>
      <c r="V626" s="3"/>
      <c r="W626" s="3"/>
      <c r="X626" s="3"/>
      <c r="Y626" s="3"/>
      <c r="Z626" s="3"/>
    </row>
    <row r="627" spans="1:26" ht="15.75" customHeight="1">
      <c r="A627" s="3"/>
      <c r="B627" s="2"/>
      <c r="C627" s="2"/>
      <c r="D627" s="2"/>
      <c r="E627" s="2"/>
      <c r="F627" s="2"/>
      <c r="G627" s="2"/>
      <c r="H627" s="2"/>
      <c r="I627" s="2"/>
      <c r="J627" s="564"/>
      <c r="K627" s="564"/>
      <c r="L627" s="564"/>
      <c r="M627" s="564"/>
      <c r="N627" s="564"/>
      <c r="O627" s="3"/>
      <c r="P627" s="3"/>
      <c r="Q627" s="3"/>
      <c r="R627" s="3"/>
      <c r="S627" s="3"/>
      <c r="T627" s="3"/>
      <c r="U627" s="3"/>
      <c r="V627" s="3"/>
      <c r="W627" s="3"/>
      <c r="X627" s="3"/>
      <c r="Y627" s="3"/>
      <c r="Z627" s="3"/>
    </row>
    <row r="628" spans="1:26" ht="15.75" customHeight="1">
      <c r="A628" s="3"/>
      <c r="B628" s="2"/>
      <c r="C628" s="2"/>
      <c r="D628" s="2"/>
      <c r="E628" s="2"/>
      <c r="F628" s="2"/>
      <c r="G628" s="2"/>
      <c r="H628" s="2"/>
      <c r="I628" s="2"/>
      <c r="J628" s="564"/>
      <c r="K628" s="564"/>
      <c r="L628" s="564"/>
      <c r="M628" s="564"/>
      <c r="N628" s="564"/>
      <c r="O628" s="3"/>
      <c r="P628" s="3"/>
      <c r="Q628" s="3"/>
      <c r="R628" s="3"/>
      <c r="S628" s="3"/>
      <c r="T628" s="3"/>
      <c r="U628" s="3"/>
      <c r="V628" s="3"/>
      <c r="W628" s="3"/>
      <c r="X628" s="3"/>
      <c r="Y628" s="3"/>
      <c r="Z628" s="3"/>
    </row>
    <row r="629" spans="1:26" ht="15.75" customHeight="1">
      <c r="A629" s="3"/>
      <c r="B629" s="2"/>
      <c r="C629" s="2"/>
      <c r="D629" s="2"/>
      <c r="E629" s="2"/>
      <c r="F629" s="2"/>
      <c r="G629" s="2"/>
      <c r="H629" s="2"/>
      <c r="I629" s="2"/>
      <c r="J629" s="564"/>
      <c r="K629" s="564"/>
      <c r="L629" s="564"/>
      <c r="M629" s="564"/>
      <c r="N629" s="564"/>
      <c r="O629" s="3"/>
      <c r="P629" s="3"/>
      <c r="Q629" s="3"/>
      <c r="R629" s="3"/>
      <c r="S629" s="3"/>
      <c r="T629" s="3"/>
      <c r="U629" s="3"/>
      <c r="V629" s="3"/>
      <c r="W629" s="3"/>
      <c r="X629" s="3"/>
      <c r="Y629" s="3"/>
      <c r="Z629" s="3"/>
    </row>
    <row r="630" spans="1:26" ht="15.75" customHeight="1">
      <c r="A630" s="3"/>
      <c r="B630" s="2"/>
      <c r="C630" s="2"/>
      <c r="D630" s="2"/>
      <c r="E630" s="2"/>
      <c r="F630" s="2"/>
      <c r="G630" s="2"/>
      <c r="H630" s="2"/>
      <c r="I630" s="2"/>
      <c r="J630" s="564"/>
      <c r="K630" s="564"/>
      <c r="L630" s="564"/>
      <c r="M630" s="564"/>
      <c r="N630" s="564"/>
      <c r="O630" s="3"/>
      <c r="P630" s="3"/>
      <c r="Q630" s="3"/>
      <c r="R630" s="3"/>
      <c r="S630" s="3"/>
      <c r="T630" s="3"/>
      <c r="U630" s="3"/>
      <c r="V630" s="3"/>
      <c r="W630" s="3"/>
      <c r="X630" s="3"/>
      <c r="Y630" s="3"/>
      <c r="Z630" s="3"/>
    </row>
    <row r="631" spans="1:26" ht="15.75" customHeight="1">
      <c r="A631" s="3"/>
      <c r="B631" s="2"/>
      <c r="C631" s="2"/>
      <c r="D631" s="2"/>
      <c r="E631" s="2"/>
      <c r="F631" s="2"/>
      <c r="G631" s="2"/>
      <c r="H631" s="2"/>
      <c r="I631" s="2"/>
      <c r="J631" s="564"/>
      <c r="K631" s="564"/>
      <c r="L631" s="564"/>
      <c r="M631" s="564"/>
      <c r="N631" s="564"/>
      <c r="O631" s="3"/>
      <c r="P631" s="3"/>
      <c r="Q631" s="3"/>
      <c r="R631" s="3"/>
      <c r="S631" s="3"/>
      <c r="T631" s="3"/>
      <c r="U631" s="3"/>
      <c r="V631" s="3"/>
      <c r="W631" s="3"/>
      <c r="X631" s="3"/>
      <c r="Y631" s="3"/>
      <c r="Z631" s="3"/>
    </row>
    <row r="632" spans="1:26" ht="15.75" customHeight="1">
      <c r="A632" s="3"/>
      <c r="B632" s="2"/>
      <c r="C632" s="2"/>
      <c r="D632" s="2"/>
      <c r="E632" s="2"/>
      <c r="F632" s="2"/>
      <c r="G632" s="2"/>
      <c r="H632" s="2"/>
      <c r="I632" s="2"/>
      <c r="J632" s="564"/>
      <c r="K632" s="564"/>
      <c r="L632" s="564"/>
      <c r="M632" s="564"/>
      <c r="N632" s="564"/>
      <c r="O632" s="3"/>
      <c r="P632" s="3"/>
      <c r="Q632" s="3"/>
      <c r="R632" s="3"/>
      <c r="S632" s="3"/>
      <c r="T632" s="3"/>
      <c r="U632" s="3"/>
      <c r="V632" s="3"/>
      <c r="W632" s="3"/>
      <c r="X632" s="3"/>
      <c r="Y632" s="3"/>
      <c r="Z632" s="3"/>
    </row>
    <row r="633" spans="1:26" ht="15.75" customHeight="1">
      <c r="A633" s="3"/>
      <c r="B633" s="2"/>
      <c r="C633" s="2"/>
      <c r="D633" s="2"/>
      <c r="E633" s="2"/>
      <c r="F633" s="2"/>
      <c r="G633" s="2"/>
      <c r="H633" s="2"/>
      <c r="I633" s="2"/>
      <c r="J633" s="564"/>
      <c r="K633" s="564"/>
      <c r="L633" s="564"/>
      <c r="M633" s="564"/>
      <c r="N633" s="564"/>
      <c r="O633" s="3"/>
      <c r="P633" s="3"/>
      <c r="Q633" s="3"/>
      <c r="R633" s="3"/>
      <c r="S633" s="3"/>
      <c r="T633" s="3"/>
      <c r="U633" s="3"/>
      <c r="V633" s="3"/>
      <c r="W633" s="3"/>
      <c r="X633" s="3"/>
      <c r="Y633" s="3"/>
      <c r="Z633" s="3"/>
    </row>
    <row r="634" spans="1:26" ht="15.75" customHeight="1">
      <c r="A634" s="3"/>
      <c r="B634" s="2"/>
      <c r="C634" s="2"/>
      <c r="D634" s="2"/>
      <c r="E634" s="2"/>
      <c r="F634" s="2"/>
      <c r="G634" s="2"/>
      <c r="H634" s="2"/>
      <c r="I634" s="2"/>
      <c r="J634" s="564"/>
      <c r="K634" s="564"/>
      <c r="L634" s="564"/>
      <c r="M634" s="564"/>
      <c r="N634" s="564"/>
      <c r="O634" s="3"/>
      <c r="P634" s="3"/>
      <c r="Q634" s="3"/>
      <c r="R634" s="3"/>
      <c r="S634" s="3"/>
      <c r="T634" s="3"/>
      <c r="U634" s="3"/>
      <c r="V634" s="3"/>
      <c r="W634" s="3"/>
      <c r="X634" s="3"/>
      <c r="Y634" s="3"/>
      <c r="Z634" s="3"/>
    </row>
    <row r="635" spans="1:26" ht="15.75" customHeight="1">
      <c r="A635" s="3"/>
      <c r="B635" s="2"/>
      <c r="C635" s="2"/>
      <c r="D635" s="2"/>
      <c r="E635" s="2"/>
      <c r="F635" s="2"/>
      <c r="G635" s="2"/>
      <c r="H635" s="2"/>
      <c r="I635" s="2"/>
      <c r="J635" s="564"/>
      <c r="K635" s="564"/>
      <c r="L635" s="564"/>
      <c r="M635" s="564"/>
      <c r="N635" s="564"/>
      <c r="O635" s="3"/>
      <c r="P635" s="3"/>
      <c r="Q635" s="3"/>
      <c r="R635" s="3"/>
      <c r="S635" s="3"/>
      <c r="T635" s="3"/>
      <c r="U635" s="3"/>
      <c r="V635" s="3"/>
      <c r="W635" s="3"/>
      <c r="X635" s="3"/>
      <c r="Y635" s="3"/>
      <c r="Z635" s="3"/>
    </row>
    <row r="636" spans="1:26" ht="15.75" customHeight="1">
      <c r="A636" s="3"/>
      <c r="B636" s="2"/>
      <c r="C636" s="2"/>
      <c r="D636" s="2"/>
      <c r="E636" s="2"/>
      <c r="F636" s="2"/>
      <c r="G636" s="2"/>
      <c r="H636" s="2"/>
      <c r="I636" s="2"/>
      <c r="J636" s="564"/>
      <c r="K636" s="564"/>
      <c r="L636" s="564"/>
      <c r="M636" s="564"/>
      <c r="N636" s="564"/>
      <c r="O636" s="3"/>
      <c r="P636" s="3"/>
      <c r="Q636" s="3"/>
      <c r="R636" s="3"/>
      <c r="S636" s="3"/>
      <c r="T636" s="3"/>
      <c r="U636" s="3"/>
      <c r="V636" s="3"/>
      <c r="W636" s="3"/>
      <c r="X636" s="3"/>
      <c r="Y636" s="3"/>
      <c r="Z636" s="3"/>
    </row>
    <row r="637" spans="1:26" ht="15.75" customHeight="1">
      <c r="A637" s="3"/>
      <c r="B637" s="2"/>
      <c r="C637" s="2"/>
      <c r="D637" s="2"/>
      <c r="E637" s="2"/>
      <c r="F637" s="2"/>
      <c r="G637" s="2"/>
      <c r="H637" s="2"/>
      <c r="I637" s="2"/>
      <c r="J637" s="564"/>
      <c r="K637" s="564"/>
      <c r="L637" s="564"/>
      <c r="M637" s="564"/>
      <c r="N637" s="564"/>
      <c r="O637" s="3"/>
      <c r="P637" s="3"/>
      <c r="Q637" s="3"/>
      <c r="R637" s="3"/>
      <c r="S637" s="3"/>
      <c r="T637" s="3"/>
      <c r="U637" s="3"/>
      <c r="V637" s="3"/>
      <c r="W637" s="3"/>
      <c r="X637" s="3"/>
      <c r="Y637" s="3"/>
      <c r="Z637" s="3"/>
    </row>
    <row r="638" spans="1:26" ht="15.75" customHeight="1">
      <c r="A638" s="3"/>
      <c r="B638" s="2"/>
      <c r="C638" s="2"/>
      <c r="D638" s="2"/>
      <c r="E638" s="2"/>
      <c r="F638" s="2"/>
      <c r="G638" s="2"/>
      <c r="H638" s="2"/>
      <c r="I638" s="2"/>
      <c r="J638" s="564"/>
      <c r="K638" s="564"/>
      <c r="L638" s="564"/>
      <c r="M638" s="564"/>
      <c r="N638" s="564"/>
      <c r="O638" s="3"/>
      <c r="P638" s="3"/>
      <c r="Q638" s="3"/>
      <c r="R638" s="3"/>
      <c r="S638" s="3"/>
      <c r="T638" s="3"/>
      <c r="U638" s="3"/>
      <c r="V638" s="3"/>
      <c r="W638" s="3"/>
      <c r="X638" s="3"/>
      <c r="Y638" s="3"/>
      <c r="Z638" s="3"/>
    </row>
    <row r="639" spans="1:26" ht="15.75" customHeight="1">
      <c r="A639" s="3"/>
      <c r="B639" s="2"/>
      <c r="C639" s="2"/>
      <c r="D639" s="2"/>
      <c r="E639" s="2"/>
      <c r="F639" s="2"/>
      <c r="G639" s="2"/>
      <c r="H639" s="2"/>
      <c r="I639" s="2"/>
      <c r="J639" s="564"/>
      <c r="K639" s="564"/>
      <c r="L639" s="564"/>
      <c r="M639" s="564"/>
      <c r="N639" s="564"/>
      <c r="O639" s="3"/>
      <c r="P639" s="3"/>
      <c r="Q639" s="3"/>
      <c r="R639" s="3"/>
      <c r="S639" s="3"/>
      <c r="T639" s="3"/>
      <c r="U639" s="3"/>
      <c r="V639" s="3"/>
      <c r="W639" s="3"/>
      <c r="X639" s="3"/>
      <c r="Y639" s="3"/>
      <c r="Z639" s="3"/>
    </row>
    <row r="640" spans="1:26" ht="15.75" customHeight="1">
      <c r="A640" s="3"/>
      <c r="B640" s="2"/>
      <c r="C640" s="2"/>
      <c r="D640" s="2"/>
      <c r="E640" s="2"/>
      <c r="F640" s="2"/>
      <c r="G640" s="2"/>
      <c r="H640" s="2"/>
      <c r="I640" s="2"/>
      <c r="J640" s="564"/>
      <c r="K640" s="564"/>
      <c r="L640" s="564"/>
      <c r="M640" s="564"/>
      <c r="N640" s="564"/>
      <c r="O640" s="3"/>
      <c r="P640" s="3"/>
      <c r="Q640" s="3"/>
      <c r="R640" s="3"/>
      <c r="S640" s="3"/>
      <c r="T640" s="3"/>
      <c r="U640" s="3"/>
      <c r="V640" s="3"/>
      <c r="W640" s="3"/>
      <c r="X640" s="3"/>
      <c r="Y640" s="3"/>
      <c r="Z640" s="3"/>
    </row>
    <row r="641" spans="1:26" ht="15.75" customHeight="1">
      <c r="A641" s="3"/>
      <c r="B641" s="2"/>
      <c r="C641" s="2"/>
      <c r="D641" s="2"/>
      <c r="E641" s="2"/>
      <c r="F641" s="2"/>
      <c r="G641" s="2"/>
      <c r="H641" s="2"/>
      <c r="I641" s="2"/>
      <c r="J641" s="564"/>
      <c r="K641" s="564"/>
      <c r="L641" s="564"/>
      <c r="M641" s="564"/>
      <c r="N641" s="564"/>
      <c r="O641" s="3"/>
      <c r="P641" s="3"/>
      <c r="Q641" s="3"/>
      <c r="R641" s="3"/>
      <c r="S641" s="3"/>
      <c r="T641" s="3"/>
      <c r="U641" s="3"/>
      <c r="V641" s="3"/>
      <c r="W641" s="3"/>
      <c r="X641" s="3"/>
      <c r="Y641" s="3"/>
      <c r="Z641" s="3"/>
    </row>
    <row r="642" spans="1:26" ht="15.75" customHeight="1">
      <c r="A642" s="3"/>
      <c r="B642" s="2"/>
      <c r="C642" s="2"/>
      <c r="D642" s="2"/>
      <c r="E642" s="2"/>
      <c r="F642" s="2"/>
      <c r="G642" s="2"/>
      <c r="H642" s="2"/>
      <c r="I642" s="2"/>
      <c r="J642" s="564"/>
      <c r="K642" s="564"/>
      <c r="L642" s="564"/>
      <c r="M642" s="564"/>
      <c r="N642" s="564"/>
      <c r="O642" s="3"/>
      <c r="P642" s="3"/>
      <c r="Q642" s="3"/>
      <c r="R642" s="3"/>
      <c r="S642" s="3"/>
      <c r="T642" s="3"/>
      <c r="U642" s="3"/>
      <c r="V642" s="3"/>
      <c r="W642" s="3"/>
      <c r="X642" s="3"/>
      <c r="Y642" s="3"/>
      <c r="Z642" s="3"/>
    </row>
    <row r="643" spans="1:26" ht="15.75" customHeight="1">
      <c r="A643" s="3"/>
      <c r="B643" s="2"/>
      <c r="C643" s="2"/>
      <c r="D643" s="2"/>
      <c r="E643" s="2"/>
      <c r="F643" s="2"/>
      <c r="G643" s="2"/>
      <c r="H643" s="2"/>
      <c r="I643" s="2"/>
      <c r="J643" s="564"/>
      <c r="K643" s="564"/>
      <c r="L643" s="564"/>
      <c r="M643" s="564"/>
      <c r="N643" s="564"/>
      <c r="O643" s="3"/>
      <c r="P643" s="3"/>
      <c r="Q643" s="3"/>
      <c r="R643" s="3"/>
      <c r="S643" s="3"/>
      <c r="T643" s="3"/>
      <c r="U643" s="3"/>
      <c r="V643" s="3"/>
      <c r="W643" s="3"/>
      <c r="X643" s="3"/>
      <c r="Y643" s="3"/>
      <c r="Z643" s="3"/>
    </row>
    <row r="644" spans="1:26" ht="15.75" customHeight="1">
      <c r="A644" s="3"/>
      <c r="B644" s="2"/>
      <c r="C644" s="2"/>
      <c r="D644" s="2"/>
      <c r="E644" s="2"/>
      <c r="F644" s="2"/>
      <c r="G644" s="2"/>
      <c r="H644" s="2"/>
      <c r="I644" s="2"/>
      <c r="J644" s="564"/>
      <c r="K644" s="564"/>
      <c r="L644" s="564"/>
      <c r="M644" s="564"/>
      <c r="N644" s="564"/>
      <c r="O644" s="3"/>
      <c r="P644" s="3"/>
      <c r="Q644" s="3"/>
      <c r="R644" s="3"/>
      <c r="S644" s="3"/>
      <c r="T644" s="3"/>
      <c r="U644" s="3"/>
      <c r="V644" s="3"/>
      <c r="W644" s="3"/>
      <c r="X644" s="3"/>
      <c r="Y644" s="3"/>
      <c r="Z644" s="3"/>
    </row>
    <row r="645" spans="1:26" ht="15.75" customHeight="1">
      <c r="A645" s="3"/>
      <c r="B645" s="2"/>
      <c r="C645" s="2"/>
      <c r="D645" s="2"/>
      <c r="E645" s="2"/>
      <c r="F645" s="2"/>
      <c r="G645" s="2"/>
      <c r="H645" s="2"/>
      <c r="I645" s="2"/>
      <c r="J645" s="564"/>
      <c r="K645" s="564"/>
      <c r="L645" s="564"/>
      <c r="M645" s="564"/>
      <c r="N645" s="564"/>
      <c r="O645" s="3"/>
      <c r="P645" s="3"/>
      <c r="Q645" s="3"/>
      <c r="R645" s="3"/>
      <c r="S645" s="3"/>
      <c r="T645" s="3"/>
      <c r="U645" s="3"/>
      <c r="V645" s="3"/>
      <c r="W645" s="3"/>
      <c r="X645" s="3"/>
      <c r="Y645" s="3"/>
      <c r="Z645" s="3"/>
    </row>
    <row r="646" spans="1:26" ht="15.75" customHeight="1">
      <c r="A646" s="3"/>
      <c r="B646" s="2"/>
      <c r="C646" s="2"/>
      <c r="D646" s="2"/>
      <c r="E646" s="2"/>
      <c r="F646" s="2"/>
      <c r="G646" s="2"/>
      <c r="H646" s="2"/>
      <c r="I646" s="2"/>
      <c r="J646" s="564"/>
      <c r="K646" s="564"/>
      <c r="L646" s="564"/>
      <c r="M646" s="564"/>
      <c r="N646" s="564"/>
      <c r="O646" s="3"/>
      <c r="P646" s="3"/>
      <c r="Q646" s="3"/>
      <c r="R646" s="3"/>
      <c r="S646" s="3"/>
      <c r="T646" s="3"/>
      <c r="U646" s="3"/>
      <c r="V646" s="3"/>
      <c r="W646" s="3"/>
      <c r="X646" s="3"/>
      <c r="Y646" s="3"/>
      <c r="Z646" s="3"/>
    </row>
    <row r="647" spans="1:26" ht="15.75" customHeight="1">
      <c r="A647" s="3"/>
      <c r="B647" s="2"/>
      <c r="C647" s="2"/>
      <c r="D647" s="2"/>
      <c r="E647" s="2"/>
      <c r="F647" s="2"/>
      <c r="G647" s="2"/>
      <c r="H647" s="2"/>
      <c r="I647" s="2"/>
      <c r="J647" s="564"/>
      <c r="K647" s="564"/>
      <c r="L647" s="564"/>
      <c r="M647" s="564"/>
      <c r="N647" s="564"/>
      <c r="O647" s="3"/>
      <c r="P647" s="3"/>
      <c r="Q647" s="3"/>
      <c r="R647" s="3"/>
      <c r="S647" s="3"/>
      <c r="T647" s="3"/>
      <c r="U647" s="3"/>
      <c r="V647" s="3"/>
      <c r="W647" s="3"/>
      <c r="X647" s="3"/>
      <c r="Y647" s="3"/>
      <c r="Z647" s="3"/>
    </row>
    <row r="648" spans="1:26" ht="15.75" customHeight="1">
      <c r="A648" s="3"/>
      <c r="B648" s="2"/>
      <c r="C648" s="2"/>
      <c r="D648" s="2"/>
      <c r="E648" s="2"/>
      <c r="F648" s="2"/>
      <c r="G648" s="2"/>
      <c r="H648" s="2"/>
      <c r="I648" s="2"/>
      <c r="J648" s="564"/>
      <c r="K648" s="564"/>
      <c r="L648" s="564"/>
      <c r="M648" s="564"/>
      <c r="N648" s="564"/>
      <c r="O648" s="3"/>
      <c r="P648" s="3"/>
      <c r="Q648" s="3"/>
      <c r="R648" s="3"/>
      <c r="S648" s="3"/>
      <c r="T648" s="3"/>
      <c r="U648" s="3"/>
      <c r="V648" s="3"/>
      <c r="W648" s="3"/>
      <c r="X648" s="3"/>
      <c r="Y648" s="3"/>
      <c r="Z648" s="3"/>
    </row>
    <row r="649" spans="1:26" ht="15.75" customHeight="1">
      <c r="A649" s="3"/>
      <c r="B649" s="2"/>
      <c r="C649" s="2"/>
      <c r="D649" s="2"/>
      <c r="E649" s="2"/>
      <c r="F649" s="2"/>
      <c r="G649" s="2"/>
      <c r="H649" s="2"/>
      <c r="I649" s="2"/>
      <c r="J649" s="564"/>
      <c r="K649" s="564"/>
      <c r="L649" s="564"/>
      <c r="M649" s="564"/>
      <c r="N649" s="564"/>
      <c r="O649" s="3"/>
      <c r="P649" s="3"/>
      <c r="Q649" s="3"/>
      <c r="R649" s="3"/>
      <c r="S649" s="3"/>
      <c r="T649" s="3"/>
      <c r="U649" s="3"/>
      <c r="V649" s="3"/>
      <c r="W649" s="3"/>
      <c r="X649" s="3"/>
      <c r="Y649" s="3"/>
      <c r="Z649" s="3"/>
    </row>
    <row r="650" spans="1:26" ht="15.75" customHeight="1">
      <c r="A650" s="3"/>
      <c r="B650" s="2"/>
      <c r="C650" s="2"/>
      <c r="D650" s="2"/>
      <c r="E650" s="2"/>
      <c r="F650" s="2"/>
      <c r="G650" s="2"/>
      <c r="H650" s="2"/>
      <c r="I650" s="2"/>
      <c r="J650" s="564"/>
      <c r="K650" s="564"/>
      <c r="L650" s="564"/>
      <c r="M650" s="564"/>
      <c r="N650" s="564"/>
      <c r="O650" s="3"/>
      <c r="P650" s="3"/>
      <c r="Q650" s="3"/>
      <c r="R650" s="3"/>
      <c r="S650" s="3"/>
      <c r="T650" s="3"/>
      <c r="U650" s="3"/>
      <c r="V650" s="3"/>
      <c r="W650" s="3"/>
      <c r="X650" s="3"/>
      <c r="Y650" s="3"/>
      <c r="Z650" s="3"/>
    </row>
    <row r="651" spans="1:26" ht="15.75" customHeight="1">
      <c r="A651" s="3"/>
      <c r="B651" s="2"/>
      <c r="C651" s="2"/>
      <c r="D651" s="2"/>
      <c r="E651" s="2"/>
      <c r="F651" s="2"/>
      <c r="G651" s="2"/>
      <c r="H651" s="2"/>
      <c r="I651" s="2"/>
      <c r="J651" s="564"/>
      <c r="K651" s="564"/>
      <c r="L651" s="564"/>
      <c r="M651" s="564"/>
      <c r="N651" s="564"/>
      <c r="O651" s="3"/>
      <c r="P651" s="3"/>
      <c r="Q651" s="3"/>
      <c r="R651" s="3"/>
      <c r="S651" s="3"/>
      <c r="T651" s="3"/>
      <c r="U651" s="3"/>
      <c r="V651" s="3"/>
      <c r="W651" s="3"/>
      <c r="X651" s="3"/>
      <c r="Y651" s="3"/>
      <c r="Z651" s="3"/>
    </row>
    <row r="652" spans="1:26" ht="15.75" customHeight="1">
      <c r="A652" s="3"/>
      <c r="B652" s="2"/>
      <c r="C652" s="2"/>
      <c r="D652" s="2"/>
      <c r="E652" s="2"/>
      <c r="F652" s="2"/>
      <c r="G652" s="2"/>
      <c r="H652" s="2"/>
      <c r="I652" s="2"/>
      <c r="J652" s="564"/>
      <c r="K652" s="564"/>
      <c r="L652" s="564"/>
      <c r="M652" s="564"/>
      <c r="N652" s="564"/>
      <c r="O652" s="3"/>
      <c r="P652" s="3"/>
      <c r="Q652" s="3"/>
      <c r="R652" s="3"/>
      <c r="S652" s="3"/>
      <c r="T652" s="3"/>
      <c r="U652" s="3"/>
      <c r="V652" s="3"/>
      <c r="W652" s="3"/>
      <c r="X652" s="3"/>
      <c r="Y652" s="3"/>
      <c r="Z652" s="3"/>
    </row>
    <row r="653" spans="1:26" ht="15.75" customHeight="1">
      <c r="A653" s="3"/>
      <c r="B653" s="2"/>
      <c r="C653" s="2"/>
      <c r="D653" s="2"/>
      <c r="E653" s="2"/>
      <c r="F653" s="2"/>
      <c r="G653" s="2"/>
      <c r="H653" s="2"/>
      <c r="I653" s="2"/>
      <c r="J653" s="564"/>
      <c r="K653" s="564"/>
      <c r="L653" s="564"/>
      <c r="M653" s="564"/>
      <c r="N653" s="564"/>
      <c r="O653" s="3"/>
      <c r="P653" s="3"/>
      <c r="Q653" s="3"/>
      <c r="R653" s="3"/>
      <c r="S653" s="3"/>
      <c r="T653" s="3"/>
      <c r="U653" s="3"/>
      <c r="V653" s="3"/>
      <c r="W653" s="3"/>
      <c r="X653" s="3"/>
      <c r="Y653" s="3"/>
      <c r="Z653" s="3"/>
    </row>
    <row r="654" spans="1:26" ht="15.75" customHeight="1">
      <c r="A654" s="3"/>
      <c r="B654" s="2"/>
      <c r="C654" s="2"/>
      <c r="D654" s="2"/>
      <c r="E654" s="2"/>
      <c r="F654" s="2"/>
      <c r="G654" s="2"/>
      <c r="H654" s="2"/>
      <c r="I654" s="2"/>
      <c r="J654" s="564"/>
      <c r="K654" s="564"/>
      <c r="L654" s="564"/>
      <c r="M654" s="564"/>
      <c r="N654" s="564"/>
      <c r="O654" s="3"/>
      <c r="P654" s="3"/>
      <c r="Q654" s="3"/>
      <c r="R654" s="3"/>
      <c r="S654" s="3"/>
      <c r="T654" s="3"/>
      <c r="U654" s="3"/>
      <c r="V654" s="3"/>
      <c r="W654" s="3"/>
      <c r="X654" s="3"/>
      <c r="Y654" s="3"/>
      <c r="Z654" s="3"/>
    </row>
    <row r="655" spans="1:26" ht="15.75" customHeight="1">
      <c r="A655" s="3"/>
      <c r="B655" s="2"/>
      <c r="C655" s="2"/>
      <c r="D655" s="2"/>
      <c r="E655" s="2"/>
      <c r="F655" s="2"/>
      <c r="G655" s="2"/>
      <c r="H655" s="2"/>
      <c r="I655" s="2"/>
      <c r="J655" s="564"/>
      <c r="K655" s="564"/>
      <c r="L655" s="564"/>
      <c r="M655" s="564"/>
      <c r="N655" s="564"/>
      <c r="O655" s="3"/>
      <c r="P655" s="3"/>
      <c r="Q655" s="3"/>
      <c r="R655" s="3"/>
      <c r="S655" s="3"/>
      <c r="T655" s="3"/>
      <c r="U655" s="3"/>
      <c r="V655" s="3"/>
      <c r="W655" s="3"/>
      <c r="X655" s="3"/>
      <c r="Y655" s="3"/>
      <c r="Z655" s="3"/>
    </row>
    <row r="656" spans="1:26" ht="15.75" customHeight="1">
      <c r="A656" s="3"/>
      <c r="B656" s="2"/>
      <c r="C656" s="2"/>
      <c r="D656" s="2"/>
      <c r="E656" s="2"/>
      <c r="F656" s="2"/>
      <c r="G656" s="2"/>
      <c r="H656" s="2"/>
      <c r="I656" s="2"/>
      <c r="J656" s="564"/>
      <c r="K656" s="564"/>
      <c r="L656" s="564"/>
      <c r="M656" s="564"/>
      <c r="N656" s="564"/>
      <c r="O656" s="3"/>
      <c r="P656" s="3"/>
      <c r="Q656" s="3"/>
      <c r="R656" s="3"/>
      <c r="S656" s="3"/>
      <c r="T656" s="3"/>
      <c r="U656" s="3"/>
      <c r="V656" s="3"/>
      <c r="W656" s="3"/>
      <c r="X656" s="3"/>
      <c r="Y656" s="3"/>
      <c r="Z656" s="3"/>
    </row>
    <row r="657" spans="1:26" ht="15.75" customHeight="1">
      <c r="A657" s="3"/>
      <c r="B657" s="2"/>
      <c r="C657" s="2"/>
      <c r="D657" s="2"/>
      <c r="E657" s="2"/>
      <c r="F657" s="2"/>
      <c r="G657" s="2"/>
      <c r="H657" s="2"/>
      <c r="I657" s="2"/>
      <c r="J657" s="564"/>
      <c r="K657" s="564"/>
      <c r="L657" s="564"/>
      <c r="M657" s="564"/>
      <c r="N657" s="564"/>
      <c r="O657" s="3"/>
      <c r="P657" s="3"/>
      <c r="Q657" s="3"/>
      <c r="R657" s="3"/>
      <c r="S657" s="3"/>
      <c r="T657" s="3"/>
      <c r="U657" s="3"/>
      <c r="V657" s="3"/>
      <c r="W657" s="3"/>
      <c r="X657" s="3"/>
      <c r="Y657" s="3"/>
      <c r="Z657" s="3"/>
    </row>
    <row r="658" spans="1:26" ht="15.75" customHeight="1">
      <c r="A658" s="3"/>
      <c r="B658" s="2"/>
      <c r="C658" s="2"/>
      <c r="D658" s="2"/>
      <c r="E658" s="2"/>
      <c r="F658" s="2"/>
      <c r="G658" s="2"/>
      <c r="H658" s="2"/>
      <c r="I658" s="2"/>
      <c r="J658" s="564"/>
      <c r="K658" s="564"/>
      <c r="L658" s="564"/>
      <c r="M658" s="564"/>
      <c r="N658" s="564"/>
      <c r="O658" s="3"/>
      <c r="P658" s="3"/>
      <c r="Q658" s="3"/>
      <c r="R658" s="3"/>
      <c r="S658" s="3"/>
      <c r="T658" s="3"/>
      <c r="U658" s="3"/>
      <c r="V658" s="3"/>
      <c r="W658" s="3"/>
      <c r="X658" s="3"/>
      <c r="Y658" s="3"/>
      <c r="Z658" s="3"/>
    </row>
    <row r="659" spans="1:26" ht="15.75" customHeight="1">
      <c r="A659" s="3"/>
      <c r="B659" s="2"/>
      <c r="C659" s="2"/>
      <c r="D659" s="2"/>
      <c r="E659" s="2"/>
      <c r="F659" s="2"/>
      <c r="G659" s="2"/>
      <c r="H659" s="2"/>
      <c r="I659" s="2"/>
      <c r="J659" s="564"/>
      <c r="K659" s="564"/>
      <c r="L659" s="564"/>
      <c r="M659" s="564"/>
      <c r="N659" s="564"/>
      <c r="O659" s="3"/>
      <c r="P659" s="3"/>
      <c r="Q659" s="3"/>
      <c r="R659" s="3"/>
      <c r="S659" s="3"/>
      <c r="T659" s="3"/>
      <c r="U659" s="3"/>
      <c r="V659" s="3"/>
      <c r="W659" s="3"/>
      <c r="X659" s="3"/>
      <c r="Y659" s="3"/>
      <c r="Z659" s="3"/>
    </row>
    <row r="660" spans="1:26" ht="15.75" customHeight="1">
      <c r="A660" s="3"/>
      <c r="B660" s="2"/>
      <c r="C660" s="2"/>
      <c r="D660" s="2"/>
      <c r="E660" s="2"/>
      <c r="F660" s="2"/>
      <c r="G660" s="2"/>
      <c r="H660" s="2"/>
      <c r="I660" s="2"/>
      <c r="J660" s="564"/>
      <c r="K660" s="564"/>
      <c r="L660" s="564"/>
      <c r="M660" s="564"/>
      <c r="N660" s="564"/>
      <c r="O660" s="3"/>
      <c r="P660" s="3"/>
      <c r="Q660" s="3"/>
      <c r="R660" s="3"/>
      <c r="S660" s="3"/>
      <c r="T660" s="3"/>
      <c r="U660" s="3"/>
      <c r="V660" s="3"/>
      <c r="W660" s="3"/>
      <c r="X660" s="3"/>
      <c r="Y660" s="3"/>
      <c r="Z660" s="3"/>
    </row>
    <row r="661" spans="1:26" ht="15.75" customHeight="1">
      <c r="A661" s="3"/>
      <c r="B661" s="2"/>
      <c r="C661" s="2"/>
      <c r="D661" s="2"/>
      <c r="E661" s="2"/>
      <c r="F661" s="2"/>
      <c r="G661" s="2"/>
      <c r="H661" s="2"/>
      <c r="I661" s="2"/>
      <c r="J661" s="564"/>
      <c r="K661" s="564"/>
      <c r="L661" s="564"/>
      <c r="M661" s="564"/>
      <c r="N661" s="564"/>
      <c r="O661" s="3"/>
      <c r="P661" s="3"/>
      <c r="Q661" s="3"/>
      <c r="R661" s="3"/>
      <c r="S661" s="3"/>
      <c r="T661" s="3"/>
      <c r="U661" s="3"/>
      <c r="V661" s="3"/>
      <c r="W661" s="3"/>
      <c r="X661" s="3"/>
      <c r="Y661" s="3"/>
      <c r="Z661" s="3"/>
    </row>
    <row r="662" spans="1:26" ht="15.75" customHeight="1">
      <c r="A662" s="3"/>
      <c r="B662" s="2"/>
      <c r="C662" s="2"/>
      <c r="D662" s="2"/>
      <c r="E662" s="2"/>
      <c r="F662" s="2"/>
      <c r="G662" s="2"/>
      <c r="H662" s="2"/>
      <c r="I662" s="2"/>
      <c r="J662" s="564"/>
      <c r="K662" s="564"/>
      <c r="L662" s="564"/>
      <c r="M662" s="564"/>
      <c r="N662" s="564"/>
      <c r="O662" s="3"/>
      <c r="P662" s="3"/>
      <c r="Q662" s="3"/>
      <c r="R662" s="3"/>
      <c r="S662" s="3"/>
      <c r="T662" s="3"/>
      <c r="U662" s="3"/>
      <c r="V662" s="3"/>
      <c r="W662" s="3"/>
      <c r="X662" s="3"/>
      <c r="Y662" s="3"/>
      <c r="Z662" s="3"/>
    </row>
    <row r="663" spans="1:26" ht="15.75" customHeight="1">
      <c r="A663" s="3"/>
      <c r="B663" s="2"/>
      <c r="C663" s="2"/>
      <c r="D663" s="2"/>
      <c r="E663" s="2"/>
      <c r="F663" s="2"/>
      <c r="G663" s="2"/>
      <c r="H663" s="2"/>
      <c r="I663" s="2"/>
      <c r="J663" s="564"/>
      <c r="K663" s="564"/>
      <c r="L663" s="564"/>
      <c r="M663" s="564"/>
      <c r="N663" s="564"/>
      <c r="O663" s="3"/>
      <c r="P663" s="3"/>
      <c r="Q663" s="3"/>
      <c r="R663" s="3"/>
      <c r="S663" s="3"/>
      <c r="T663" s="3"/>
      <c r="U663" s="3"/>
      <c r="V663" s="3"/>
      <c r="W663" s="3"/>
      <c r="X663" s="3"/>
      <c r="Y663" s="3"/>
      <c r="Z663" s="3"/>
    </row>
    <row r="664" spans="1:26" ht="15.75" customHeight="1">
      <c r="A664" s="3"/>
      <c r="B664" s="2"/>
      <c r="C664" s="2"/>
      <c r="D664" s="2"/>
      <c r="E664" s="2"/>
      <c r="F664" s="2"/>
      <c r="G664" s="2"/>
      <c r="H664" s="2"/>
      <c r="I664" s="2"/>
      <c r="J664" s="564"/>
      <c r="K664" s="564"/>
      <c r="L664" s="564"/>
      <c r="M664" s="564"/>
      <c r="N664" s="564"/>
      <c r="O664" s="3"/>
      <c r="P664" s="3"/>
      <c r="Q664" s="3"/>
      <c r="R664" s="3"/>
      <c r="S664" s="3"/>
      <c r="T664" s="3"/>
      <c r="U664" s="3"/>
      <c r="V664" s="3"/>
      <c r="W664" s="3"/>
      <c r="X664" s="3"/>
      <c r="Y664" s="3"/>
      <c r="Z664" s="3"/>
    </row>
    <row r="665" spans="1:26" ht="15.75" customHeight="1">
      <c r="A665" s="3"/>
      <c r="B665" s="2"/>
      <c r="C665" s="2"/>
      <c r="D665" s="2"/>
      <c r="E665" s="2"/>
      <c r="F665" s="2"/>
      <c r="G665" s="2"/>
      <c r="H665" s="2"/>
      <c r="I665" s="2"/>
      <c r="J665" s="564"/>
      <c r="K665" s="564"/>
      <c r="L665" s="564"/>
      <c r="M665" s="564"/>
      <c r="N665" s="564"/>
      <c r="O665" s="3"/>
      <c r="P665" s="3"/>
      <c r="Q665" s="3"/>
      <c r="R665" s="3"/>
      <c r="S665" s="3"/>
      <c r="T665" s="3"/>
      <c r="U665" s="3"/>
      <c r="V665" s="3"/>
      <c r="W665" s="3"/>
      <c r="X665" s="3"/>
      <c r="Y665" s="3"/>
      <c r="Z665" s="3"/>
    </row>
    <row r="666" spans="1:26" ht="15.75" customHeight="1">
      <c r="A666" s="3"/>
      <c r="B666" s="2"/>
      <c r="C666" s="2"/>
      <c r="D666" s="2"/>
      <c r="E666" s="2"/>
      <c r="F666" s="2"/>
      <c r="G666" s="2"/>
      <c r="H666" s="2"/>
      <c r="I666" s="2"/>
      <c r="J666" s="564"/>
      <c r="K666" s="564"/>
      <c r="L666" s="564"/>
      <c r="M666" s="564"/>
      <c r="N666" s="564"/>
      <c r="O666" s="3"/>
      <c r="P666" s="3"/>
      <c r="Q666" s="3"/>
      <c r="R666" s="3"/>
      <c r="S666" s="3"/>
      <c r="T666" s="3"/>
      <c r="U666" s="3"/>
      <c r="V666" s="3"/>
      <c r="W666" s="3"/>
      <c r="X666" s="3"/>
      <c r="Y666" s="3"/>
      <c r="Z666" s="3"/>
    </row>
    <row r="667" spans="1:26" ht="15.75" customHeight="1">
      <c r="A667" s="3"/>
      <c r="B667" s="2"/>
      <c r="C667" s="2"/>
      <c r="D667" s="2"/>
      <c r="E667" s="2"/>
      <c r="F667" s="2"/>
      <c r="G667" s="2"/>
      <c r="H667" s="2"/>
      <c r="I667" s="2"/>
      <c r="J667" s="564"/>
      <c r="K667" s="564"/>
      <c r="L667" s="564"/>
      <c r="M667" s="564"/>
      <c r="N667" s="564"/>
      <c r="O667" s="3"/>
      <c r="P667" s="3"/>
      <c r="Q667" s="3"/>
      <c r="R667" s="3"/>
      <c r="S667" s="3"/>
      <c r="T667" s="3"/>
      <c r="U667" s="3"/>
      <c r="V667" s="3"/>
      <c r="W667" s="3"/>
      <c r="X667" s="3"/>
      <c r="Y667" s="3"/>
      <c r="Z667" s="3"/>
    </row>
    <row r="668" spans="1:26" ht="15.75" customHeight="1">
      <c r="A668" s="3"/>
      <c r="B668" s="2"/>
      <c r="C668" s="2"/>
      <c r="D668" s="2"/>
      <c r="E668" s="2"/>
      <c r="F668" s="2"/>
      <c r="G668" s="2"/>
      <c r="H668" s="2"/>
      <c r="I668" s="2"/>
      <c r="J668" s="564"/>
      <c r="K668" s="564"/>
      <c r="L668" s="564"/>
      <c r="M668" s="564"/>
      <c r="N668" s="564"/>
      <c r="O668" s="3"/>
      <c r="P668" s="3"/>
      <c r="Q668" s="3"/>
      <c r="R668" s="3"/>
      <c r="S668" s="3"/>
      <c r="T668" s="3"/>
      <c r="U668" s="3"/>
      <c r="V668" s="3"/>
      <c r="W668" s="3"/>
      <c r="X668" s="3"/>
      <c r="Y668" s="3"/>
      <c r="Z668" s="3"/>
    </row>
    <row r="669" spans="1:26" ht="15.75" customHeight="1">
      <c r="A669" s="3"/>
      <c r="B669" s="2"/>
      <c r="C669" s="2"/>
      <c r="D669" s="2"/>
      <c r="E669" s="2"/>
      <c r="F669" s="2"/>
      <c r="G669" s="2"/>
      <c r="H669" s="2"/>
      <c r="I669" s="2"/>
      <c r="J669" s="564"/>
      <c r="K669" s="564"/>
      <c r="L669" s="564"/>
      <c r="M669" s="564"/>
      <c r="N669" s="564"/>
      <c r="O669" s="3"/>
      <c r="P669" s="3"/>
      <c r="Q669" s="3"/>
      <c r="R669" s="3"/>
      <c r="S669" s="3"/>
      <c r="T669" s="3"/>
      <c r="U669" s="3"/>
      <c r="V669" s="3"/>
      <c r="W669" s="3"/>
      <c r="X669" s="3"/>
      <c r="Y669" s="3"/>
      <c r="Z669" s="3"/>
    </row>
    <row r="670" spans="1:26" ht="15.75" customHeight="1">
      <c r="A670" s="3"/>
      <c r="B670" s="2"/>
      <c r="C670" s="2"/>
      <c r="D670" s="2"/>
      <c r="E670" s="2"/>
      <c r="F670" s="2"/>
      <c r="G670" s="2"/>
      <c r="H670" s="2"/>
      <c r="I670" s="2"/>
      <c r="J670" s="564"/>
      <c r="K670" s="564"/>
      <c r="L670" s="564"/>
      <c r="M670" s="564"/>
      <c r="N670" s="564"/>
      <c r="O670" s="3"/>
      <c r="P670" s="3"/>
      <c r="Q670" s="3"/>
      <c r="R670" s="3"/>
      <c r="S670" s="3"/>
      <c r="T670" s="3"/>
      <c r="U670" s="3"/>
      <c r="V670" s="3"/>
      <c r="W670" s="3"/>
      <c r="X670" s="3"/>
      <c r="Y670" s="3"/>
      <c r="Z670" s="3"/>
    </row>
    <row r="671" spans="1:26" ht="15.75" customHeight="1">
      <c r="A671" s="3"/>
      <c r="B671" s="2"/>
      <c r="C671" s="2"/>
      <c r="D671" s="2"/>
      <c r="E671" s="2"/>
      <c r="F671" s="2"/>
      <c r="G671" s="2"/>
      <c r="H671" s="2"/>
      <c r="I671" s="2"/>
      <c r="J671" s="564"/>
      <c r="K671" s="564"/>
      <c r="L671" s="564"/>
      <c r="M671" s="564"/>
      <c r="N671" s="564"/>
      <c r="O671" s="3"/>
      <c r="P671" s="3"/>
      <c r="Q671" s="3"/>
      <c r="R671" s="3"/>
      <c r="S671" s="3"/>
      <c r="T671" s="3"/>
      <c r="U671" s="3"/>
      <c r="V671" s="3"/>
      <c r="W671" s="3"/>
      <c r="X671" s="3"/>
      <c r="Y671" s="3"/>
      <c r="Z671" s="3"/>
    </row>
    <row r="672" spans="1:26" ht="15.75" customHeight="1">
      <c r="A672" s="3"/>
      <c r="B672" s="2"/>
      <c r="C672" s="2"/>
      <c r="D672" s="2"/>
      <c r="E672" s="2"/>
      <c r="F672" s="2"/>
      <c r="G672" s="2"/>
      <c r="H672" s="2"/>
      <c r="I672" s="2"/>
      <c r="J672" s="564"/>
      <c r="K672" s="564"/>
      <c r="L672" s="564"/>
      <c r="M672" s="564"/>
      <c r="N672" s="564"/>
      <c r="O672" s="3"/>
      <c r="P672" s="3"/>
      <c r="Q672" s="3"/>
      <c r="R672" s="3"/>
      <c r="S672" s="3"/>
      <c r="T672" s="3"/>
      <c r="U672" s="3"/>
      <c r="V672" s="3"/>
      <c r="W672" s="3"/>
      <c r="X672" s="3"/>
      <c r="Y672" s="3"/>
      <c r="Z672" s="3"/>
    </row>
    <row r="673" spans="1:26" ht="15.75" customHeight="1">
      <c r="A673" s="3"/>
      <c r="B673" s="2"/>
      <c r="C673" s="2"/>
      <c r="D673" s="2"/>
      <c r="E673" s="2"/>
      <c r="F673" s="2"/>
      <c r="G673" s="2"/>
      <c r="H673" s="2"/>
      <c r="I673" s="2"/>
      <c r="J673" s="564"/>
      <c r="K673" s="564"/>
      <c r="L673" s="564"/>
      <c r="M673" s="564"/>
      <c r="N673" s="564"/>
      <c r="O673" s="3"/>
      <c r="P673" s="3"/>
      <c r="Q673" s="3"/>
      <c r="R673" s="3"/>
      <c r="S673" s="3"/>
      <c r="T673" s="3"/>
      <c r="U673" s="3"/>
      <c r="V673" s="3"/>
      <c r="W673" s="3"/>
      <c r="X673" s="3"/>
      <c r="Y673" s="3"/>
      <c r="Z673" s="3"/>
    </row>
    <row r="674" spans="1:26" ht="15.75" customHeight="1">
      <c r="A674" s="3"/>
      <c r="B674" s="2"/>
      <c r="C674" s="2"/>
      <c r="D674" s="2"/>
      <c r="E674" s="2"/>
      <c r="F674" s="2"/>
      <c r="G674" s="2"/>
      <c r="H674" s="2"/>
      <c r="I674" s="2"/>
      <c r="J674" s="564"/>
      <c r="K674" s="564"/>
      <c r="L674" s="564"/>
      <c r="M674" s="564"/>
      <c r="N674" s="564"/>
      <c r="O674" s="3"/>
      <c r="P674" s="3"/>
      <c r="Q674" s="3"/>
      <c r="R674" s="3"/>
      <c r="S674" s="3"/>
      <c r="T674" s="3"/>
      <c r="U674" s="3"/>
      <c r="V674" s="3"/>
      <c r="W674" s="3"/>
      <c r="X674" s="3"/>
      <c r="Y674" s="3"/>
      <c r="Z674" s="3"/>
    </row>
    <row r="675" spans="1:26" ht="15.75" customHeight="1">
      <c r="A675" s="3"/>
      <c r="B675" s="2"/>
      <c r="C675" s="2"/>
      <c r="D675" s="2"/>
      <c r="E675" s="2"/>
      <c r="F675" s="2"/>
      <c r="G675" s="2"/>
      <c r="H675" s="2"/>
      <c r="I675" s="2"/>
      <c r="J675" s="564"/>
      <c r="K675" s="564"/>
      <c r="L675" s="564"/>
      <c r="M675" s="564"/>
      <c r="N675" s="564"/>
      <c r="O675" s="3"/>
      <c r="P675" s="3"/>
      <c r="Q675" s="3"/>
      <c r="R675" s="3"/>
      <c r="S675" s="3"/>
      <c r="T675" s="3"/>
      <c r="U675" s="3"/>
      <c r="V675" s="3"/>
      <c r="W675" s="3"/>
      <c r="X675" s="3"/>
      <c r="Y675" s="3"/>
      <c r="Z675" s="3"/>
    </row>
    <row r="676" spans="1:26" ht="15.75" customHeight="1">
      <c r="A676" s="3"/>
      <c r="B676" s="2"/>
      <c r="C676" s="2"/>
      <c r="D676" s="2"/>
      <c r="E676" s="2"/>
      <c r="F676" s="2"/>
      <c r="G676" s="2"/>
      <c r="H676" s="2"/>
      <c r="I676" s="2"/>
      <c r="J676" s="564"/>
      <c r="K676" s="564"/>
      <c r="L676" s="564"/>
      <c r="M676" s="564"/>
      <c r="N676" s="564"/>
      <c r="O676" s="3"/>
      <c r="P676" s="3"/>
      <c r="Q676" s="3"/>
      <c r="R676" s="3"/>
      <c r="S676" s="3"/>
      <c r="T676" s="3"/>
      <c r="U676" s="3"/>
      <c r="V676" s="3"/>
      <c r="W676" s="3"/>
      <c r="X676" s="3"/>
      <c r="Y676" s="3"/>
      <c r="Z676" s="3"/>
    </row>
    <row r="677" spans="1:26" ht="15.75" customHeight="1">
      <c r="A677" s="3"/>
      <c r="B677" s="2"/>
      <c r="C677" s="2"/>
      <c r="D677" s="2"/>
      <c r="E677" s="2"/>
      <c r="F677" s="2"/>
      <c r="G677" s="2"/>
      <c r="H677" s="2"/>
      <c r="I677" s="2"/>
      <c r="J677" s="564"/>
      <c r="K677" s="564"/>
      <c r="L677" s="564"/>
      <c r="M677" s="564"/>
      <c r="N677" s="564"/>
      <c r="O677" s="3"/>
      <c r="P677" s="3"/>
      <c r="Q677" s="3"/>
      <c r="R677" s="3"/>
      <c r="S677" s="3"/>
      <c r="T677" s="3"/>
      <c r="U677" s="3"/>
      <c r="V677" s="3"/>
      <c r="W677" s="3"/>
      <c r="X677" s="3"/>
      <c r="Y677" s="3"/>
      <c r="Z677" s="3"/>
    </row>
    <row r="678" spans="1:26" ht="15.75" customHeight="1">
      <c r="A678" s="3"/>
      <c r="B678" s="2"/>
      <c r="C678" s="2"/>
      <c r="D678" s="2"/>
      <c r="E678" s="2"/>
      <c r="F678" s="2"/>
      <c r="G678" s="2"/>
      <c r="H678" s="2"/>
      <c r="I678" s="2"/>
      <c r="J678" s="564"/>
      <c r="K678" s="564"/>
      <c r="L678" s="564"/>
      <c r="M678" s="564"/>
      <c r="N678" s="564"/>
      <c r="O678" s="3"/>
      <c r="P678" s="3"/>
      <c r="Q678" s="3"/>
      <c r="R678" s="3"/>
      <c r="S678" s="3"/>
      <c r="T678" s="3"/>
      <c r="U678" s="3"/>
      <c r="V678" s="3"/>
      <c r="W678" s="3"/>
      <c r="X678" s="3"/>
      <c r="Y678" s="3"/>
      <c r="Z678" s="3"/>
    </row>
    <row r="679" spans="1:26" ht="15.75" customHeight="1">
      <c r="A679" s="3"/>
      <c r="B679" s="2"/>
      <c r="C679" s="2"/>
      <c r="D679" s="2"/>
      <c r="E679" s="2"/>
      <c r="F679" s="2"/>
      <c r="G679" s="2"/>
      <c r="H679" s="2"/>
      <c r="I679" s="2"/>
      <c r="J679" s="564"/>
      <c r="K679" s="564"/>
      <c r="L679" s="564"/>
      <c r="M679" s="564"/>
      <c r="N679" s="564"/>
      <c r="O679" s="3"/>
      <c r="P679" s="3"/>
      <c r="Q679" s="3"/>
      <c r="R679" s="3"/>
      <c r="S679" s="3"/>
      <c r="T679" s="3"/>
      <c r="U679" s="3"/>
      <c r="V679" s="3"/>
      <c r="W679" s="3"/>
      <c r="X679" s="3"/>
      <c r="Y679" s="3"/>
      <c r="Z679" s="3"/>
    </row>
    <row r="680" spans="1:26" ht="15.75" customHeight="1">
      <c r="A680" s="3"/>
      <c r="B680" s="2"/>
      <c r="C680" s="2"/>
      <c r="D680" s="2"/>
      <c r="E680" s="2"/>
      <c r="F680" s="2"/>
      <c r="G680" s="2"/>
      <c r="H680" s="2"/>
      <c r="I680" s="2"/>
      <c r="J680" s="564"/>
      <c r="K680" s="564"/>
      <c r="L680" s="564"/>
      <c r="M680" s="564"/>
      <c r="N680" s="564"/>
      <c r="O680" s="3"/>
      <c r="P680" s="3"/>
      <c r="Q680" s="3"/>
      <c r="R680" s="3"/>
      <c r="S680" s="3"/>
      <c r="T680" s="3"/>
      <c r="U680" s="3"/>
      <c r="V680" s="3"/>
      <c r="W680" s="3"/>
      <c r="X680" s="3"/>
      <c r="Y680" s="3"/>
      <c r="Z680" s="3"/>
    </row>
    <row r="681" spans="1:26" ht="15.75" customHeight="1">
      <c r="A681" s="3"/>
      <c r="B681" s="2"/>
      <c r="C681" s="2"/>
      <c r="D681" s="2"/>
      <c r="E681" s="2"/>
      <c r="F681" s="2"/>
      <c r="G681" s="2"/>
      <c r="H681" s="2"/>
      <c r="I681" s="2"/>
      <c r="J681" s="564"/>
      <c r="K681" s="564"/>
      <c r="L681" s="564"/>
      <c r="M681" s="564"/>
      <c r="N681" s="564"/>
      <c r="O681" s="3"/>
      <c r="P681" s="3"/>
      <c r="Q681" s="3"/>
      <c r="R681" s="3"/>
      <c r="S681" s="3"/>
      <c r="T681" s="3"/>
      <c r="U681" s="3"/>
      <c r="V681" s="3"/>
      <c r="W681" s="3"/>
      <c r="X681" s="3"/>
      <c r="Y681" s="3"/>
      <c r="Z681" s="3"/>
    </row>
    <row r="682" spans="1:26" ht="15.75" customHeight="1">
      <c r="A682" s="3"/>
      <c r="B682" s="2"/>
      <c r="C682" s="2"/>
      <c r="D682" s="2"/>
      <c r="E682" s="2"/>
      <c r="F682" s="2"/>
      <c r="G682" s="2"/>
      <c r="H682" s="2"/>
      <c r="I682" s="2"/>
      <c r="J682" s="564"/>
      <c r="K682" s="564"/>
      <c r="L682" s="564"/>
      <c r="M682" s="564"/>
      <c r="N682" s="564"/>
      <c r="O682" s="3"/>
      <c r="P682" s="3"/>
      <c r="Q682" s="3"/>
      <c r="R682" s="3"/>
      <c r="S682" s="3"/>
      <c r="T682" s="3"/>
      <c r="U682" s="3"/>
      <c r="V682" s="3"/>
      <c r="W682" s="3"/>
      <c r="X682" s="3"/>
      <c r="Y682" s="3"/>
      <c r="Z682" s="3"/>
    </row>
    <row r="683" spans="1:26" ht="15.75" customHeight="1">
      <c r="A683" s="3"/>
      <c r="B683" s="2"/>
      <c r="C683" s="2"/>
      <c r="D683" s="2"/>
      <c r="E683" s="2"/>
      <c r="F683" s="2"/>
      <c r="G683" s="2"/>
      <c r="H683" s="2"/>
      <c r="I683" s="2"/>
      <c r="J683" s="564"/>
      <c r="K683" s="564"/>
      <c r="L683" s="564"/>
      <c r="M683" s="564"/>
      <c r="N683" s="564"/>
      <c r="O683" s="3"/>
      <c r="P683" s="3"/>
      <c r="Q683" s="3"/>
      <c r="R683" s="3"/>
      <c r="S683" s="3"/>
      <c r="T683" s="3"/>
      <c r="U683" s="3"/>
      <c r="V683" s="3"/>
      <c r="W683" s="3"/>
      <c r="X683" s="3"/>
      <c r="Y683" s="3"/>
      <c r="Z683" s="3"/>
    </row>
    <row r="684" spans="1:26" ht="15.75" customHeight="1">
      <c r="A684" s="3"/>
      <c r="B684" s="2"/>
      <c r="C684" s="2"/>
      <c r="D684" s="2"/>
      <c r="E684" s="2"/>
      <c r="F684" s="2"/>
      <c r="G684" s="2"/>
      <c r="H684" s="2"/>
      <c r="I684" s="2"/>
      <c r="J684" s="564"/>
      <c r="K684" s="564"/>
      <c r="L684" s="564"/>
      <c r="M684" s="564"/>
      <c r="N684" s="564"/>
      <c r="O684" s="3"/>
      <c r="P684" s="3"/>
      <c r="Q684" s="3"/>
      <c r="R684" s="3"/>
      <c r="S684" s="3"/>
      <c r="T684" s="3"/>
      <c r="U684" s="3"/>
      <c r="V684" s="3"/>
      <c r="W684" s="3"/>
      <c r="X684" s="3"/>
      <c r="Y684" s="3"/>
      <c r="Z684" s="3"/>
    </row>
    <row r="685" spans="1:26" ht="15.75" customHeight="1">
      <c r="A685" s="3"/>
      <c r="B685" s="2"/>
      <c r="C685" s="2"/>
      <c r="D685" s="2"/>
      <c r="E685" s="2"/>
      <c r="F685" s="2"/>
      <c r="G685" s="2"/>
      <c r="H685" s="2"/>
      <c r="I685" s="2"/>
      <c r="J685" s="564"/>
      <c r="K685" s="564"/>
      <c r="L685" s="564"/>
      <c r="M685" s="564"/>
      <c r="N685" s="564"/>
      <c r="O685" s="3"/>
      <c r="P685" s="3"/>
      <c r="Q685" s="3"/>
      <c r="R685" s="3"/>
      <c r="S685" s="3"/>
      <c r="T685" s="3"/>
      <c r="U685" s="3"/>
      <c r="V685" s="3"/>
      <c r="W685" s="3"/>
      <c r="X685" s="3"/>
      <c r="Y685" s="3"/>
      <c r="Z685" s="3"/>
    </row>
    <row r="686" spans="1:26" ht="15.75" customHeight="1">
      <c r="A686" s="3"/>
      <c r="B686" s="2"/>
      <c r="C686" s="2"/>
      <c r="D686" s="2"/>
      <c r="E686" s="2"/>
      <c r="F686" s="2"/>
      <c r="G686" s="2"/>
      <c r="H686" s="2"/>
      <c r="I686" s="2"/>
      <c r="J686" s="564"/>
      <c r="K686" s="564"/>
      <c r="L686" s="564"/>
      <c r="M686" s="564"/>
      <c r="N686" s="564"/>
      <c r="O686" s="3"/>
      <c r="P686" s="3"/>
      <c r="Q686" s="3"/>
      <c r="R686" s="3"/>
      <c r="S686" s="3"/>
      <c r="T686" s="3"/>
      <c r="U686" s="3"/>
      <c r="V686" s="3"/>
      <c r="W686" s="3"/>
      <c r="X686" s="3"/>
      <c r="Y686" s="3"/>
      <c r="Z686" s="3"/>
    </row>
    <row r="687" spans="1:26" ht="15.75" customHeight="1">
      <c r="A687" s="3"/>
      <c r="B687" s="2"/>
      <c r="C687" s="2"/>
      <c r="D687" s="2"/>
      <c r="E687" s="2"/>
      <c r="F687" s="2"/>
      <c r="G687" s="2"/>
      <c r="H687" s="2"/>
      <c r="I687" s="2"/>
      <c r="J687" s="564"/>
      <c r="K687" s="564"/>
      <c r="L687" s="564"/>
      <c r="M687" s="564"/>
      <c r="N687" s="564"/>
      <c r="O687" s="3"/>
      <c r="P687" s="3"/>
      <c r="Q687" s="3"/>
      <c r="R687" s="3"/>
      <c r="S687" s="3"/>
      <c r="T687" s="3"/>
      <c r="U687" s="3"/>
      <c r="V687" s="3"/>
      <c r="W687" s="3"/>
      <c r="X687" s="3"/>
      <c r="Y687" s="3"/>
      <c r="Z687" s="3"/>
    </row>
    <row r="688" spans="1:26" ht="15.75" customHeight="1">
      <c r="A688" s="3"/>
      <c r="B688" s="2"/>
      <c r="C688" s="2"/>
      <c r="D688" s="2"/>
      <c r="E688" s="2"/>
      <c r="F688" s="2"/>
      <c r="G688" s="2"/>
      <c r="H688" s="2"/>
      <c r="I688" s="2"/>
      <c r="J688" s="564"/>
      <c r="K688" s="564"/>
      <c r="L688" s="564"/>
      <c r="M688" s="564"/>
      <c r="N688" s="564"/>
      <c r="O688" s="3"/>
      <c r="P688" s="3"/>
      <c r="Q688" s="3"/>
      <c r="R688" s="3"/>
      <c r="S688" s="3"/>
      <c r="T688" s="3"/>
      <c r="U688" s="3"/>
      <c r="V688" s="3"/>
      <c r="W688" s="3"/>
      <c r="X688" s="3"/>
      <c r="Y688" s="3"/>
      <c r="Z688" s="3"/>
    </row>
    <row r="689" spans="1:26" ht="15.75" customHeight="1">
      <c r="A689" s="3"/>
      <c r="B689" s="2"/>
      <c r="C689" s="2"/>
      <c r="D689" s="2"/>
      <c r="E689" s="2"/>
      <c r="F689" s="2"/>
      <c r="G689" s="2"/>
      <c r="H689" s="2"/>
      <c r="I689" s="2"/>
      <c r="J689" s="564"/>
      <c r="K689" s="564"/>
      <c r="L689" s="564"/>
      <c r="M689" s="564"/>
      <c r="N689" s="564"/>
      <c r="O689" s="3"/>
      <c r="P689" s="3"/>
      <c r="Q689" s="3"/>
      <c r="R689" s="3"/>
      <c r="S689" s="3"/>
      <c r="T689" s="3"/>
      <c r="U689" s="3"/>
      <c r="V689" s="3"/>
      <c r="W689" s="3"/>
      <c r="X689" s="3"/>
      <c r="Y689" s="3"/>
      <c r="Z689" s="3"/>
    </row>
    <row r="690" spans="1:26" ht="15.75" customHeight="1">
      <c r="A690" s="3"/>
      <c r="B690" s="2"/>
      <c r="C690" s="2"/>
      <c r="D690" s="2"/>
      <c r="E690" s="2"/>
      <c r="F690" s="2"/>
      <c r="G690" s="2"/>
      <c r="H690" s="2"/>
      <c r="I690" s="2"/>
      <c r="J690" s="564"/>
      <c r="K690" s="564"/>
      <c r="L690" s="564"/>
      <c r="M690" s="564"/>
      <c r="N690" s="564"/>
      <c r="O690" s="3"/>
      <c r="P690" s="3"/>
      <c r="Q690" s="3"/>
      <c r="R690" s="3"/>
      <c r="S690" s="3"/>
      <c r="T690" s="3"/>
      <c r="U690" s="3"/>
      <c r="V690" s="3"/>
      <c r="W690" s="3"/>
      <c r="X690" s="3"/>
      <c r="Y690" s="3"/>
      <c r="Z690" s="3"/>
    </row>
    <row r="691" spans="1:26" ht="15.75" customHeight="1">
      <c r="A691" s="3"/>
      <c r="B691" s="2"/>
      <c r="C691" s="2"/>
      <c r="D691" s="2"/>
      <c r="E691" s="2"/>
      <c r="F691" s="2"/>
      <c r="G691" s="2"/>
      <c r="H691" s="2"/>
      <c r="I691" s="2"/>
      <c r="J691" s="564"/>
      <c r="K691" s="564"/>
      <c r="L691" s="564"/>
      <c r="M691" s="564"/>
      <c r="N691" s="564"/>
      <c r="O691" s="3"/>
      <c r="P691" s="3"/>
      <c r="Q691" s="3"/>
      <c r="R691" s="3"/>
      <c r="S691" s="3"/>
      <c r="T691" s="3"/>
      <c r="U691" s="3"/>
      <c r="V691" s="3"/>
      <c r="W691" s="3"/>
      <c r="X691" s="3"/>
      <c r="Y691" s="3"/>
      <c r="Z691" s="3"/>
    </row>
    <row r="692" spans="1:26" ht="15.75" customHeight="1">
      <c r="A692" s="3"/>
      <c r="B692" s="2"/>
      <c r="C692" s="2"/>
      <c r="D692" s="2"/>
      <c r="E692" s="2"/>
      <c r="F692" s="2"/>
      <c r="G692" s="2"/>
      <c r="H692" s="2"/>
      <c r="I692" s="2"/>
      <c r="J692" s="564"/>
      <c r="K692" s="564"/>
      <c r="L692" s="564"/>
      <c r="M692" s="564"/>
      <c r="N692" s="564"/>
      <c r="O692" s="3"/>
      <c r="P692" s="3"/>
      <c r="Q692" s="3"/>
      <c r="R692" s="3"/>
      <c r="S692" s="3"/>
      <c r="T692" s="3"/>
      <c r="U692" s="3"/>
      <c r="V692" s="3"/>
      <c r="W692" s="3"/>
      <c r="X692" s="3"/>
      <c r="Y692" s="3"/>
      <c r="Z692" s="3"/>
    </row>
    <row r="693" spans="1:26" ht="15.75" customHeight="1">
      <c r="A693" s="3"/>
      <c r="B693" s="2"/>
      <c r="C693" s="2"/>
      <c r="D693" s="2"/>
      <c r="E693" s="2"/>
      <c r="F693" s="2"/>
      <c r="G693" s="2"/>
      <c r="H693" s="2"/>
      <c r="I693" s="2"/>
      <c r="J693" s="564"/>
      <c r="K693" s="564"/>
      <c r="L693" s="564"/>
      <c r="M693" s="564"/>
      <c r="N693" s="564"/>
      <c r="O693" s="3"/>
      <c r="P693" s="3"/>
      <c r="Q693" s="3"/>
      <c r="R693" s="3"/>
      <c r="S693" s="3"/>
      <c r="T693" s="3"/>
      <c r="U693" s="3"/>
      <c r="V693" s="3"/>
      <c r="W693" s="3"/>
      <c r="X693" s="3"/>
      <c r="Y693" s="3"/>
      <c r="Z693" s="3"/>
    </row>
    <row r="694" spans="1:26" ht="15.75" customHeight="1">
      <c r="A694" s="3"/>
      <c r="B694" s="2"/>
      <c r="C694" s="2"/>
      <c r="D694" s="2"/>
      <c r="E694" s="2"/>
      <c r="F694" s="2"/>
      <c r="G694" s="2"/>
      <c r="H694" s="2"/>
      <c r="I694" s="2"/>
      <c r="J694" s="564"/>
      <c r="K694" s="564"/>
      <c r="L694" s="564"/>
      <c r="M694" s="564"/>
      <c r="N694" s="564"/>
      <c r="O694" s="3"/>
      <c r="P694" s="3"/>
      <c r="Q694" s="3"/>
      <c r="R694" s="3"/>
      <c r="S694" s="3"/>
      <c r="T694" s="3"/>
      <c r="U694" s="3"/>
      <c r="V694" s="3"/>
      <c r="W694" s="3"/>
      <c r="X694" s="3"/>
      <c r="Y694" s="3"/>
      <c r="Z694" s="3"/>
    </row>
    <row r="695" spans="1:26" ht="15.75" customHeight="1">
      <c r="A695" s="3"/>
      <c r="B695" s="2"/>
      <c r="C695" s="2"/>
      <c r="D695" s="2"/>
      <c r="E695" s="2"/>
      <c r="F695" s="2"/>
      <c r="G695" s="2"/>
      <c r="H695" s="2"/>
      <c r="I695" s="2"/>
      <c r="J695" s="564"/>
      <c r="K695" s="564"/>
      <c r="L695" s="564"/>
      <c r="M695" s="564"/>
      <c r="N695" s="564"/>
      <c r="O695" s="3"/>
      <c r="P695" s="3"/>
      <c r="Q695" s="3"/>
      <c r="R695" s="3"/>
      <c r="S695" s="3"/>
      <c r="T695" s="3"/>
      <c r="U695" s="3"/>
      <c r="V695" s="3"/>
      <c r="W695" s="3"/>
      <c r="X695" s="3"/>
      <c r="Y695" s="3"/>
      <c r="Z695" s="3"/>
    </row>
    <row r="696" spans="1:26" ht="15.75" customHeight="1">
      <c r="A696" s="3"/>
      <c r="B696" s="2"/>
      <c r="C696" s="2"/>
      <c r="D696" s="2"/>
      <c r="E696" s="2"/>
      <c r="F696" s="2"/>
      <c r="G696" s="2"/>
      <c r="H696" s="2"/>
      <c r="I696" s="2"/>
      <c r="J696" s="564"/>
      <c r="K696" s="564"/>
      <c r="L696" s="564"/>
      <c r="M696" s="564"/>
      <c r="N696" s="564"/>
      <c r="O696" s="3"/>
      <c r="P696" s="3"/>
      <c r="Q696" s="3"/>
      <c r="R696" s="3"/>
      <c r="S696" s="3"/>
      <c r="T696" s="3"/>
      <c r="U696" s="3"/>
      <c r="V696" s="3"/>
      <c r="W696" s="3"/>
      <c r="X696" s="3"/>
      <c r="Y696" s="3"/>
      <c r="Z696" s="3"/>
    </row>
    <row r="697" spans="1:26" ht="15.75" customHeight="1">
      <c r="A697" s="3"/>
      <c r="B697" s="2"/>
      <c r="C697" s="2"/>
      <c r="D697" s="2"/>
      <c r="E697" s="2"/>
      <c r="F697" s="2"/>
      <c r="G697" s="2"/>
      <c r="H697" s="2"/>
      <c r="I697" s="2"/>
      <c r="J697" s="564"/>
      <c r="K697" s="564"/>
      <c r="L697" s="564"/>
      <c r="M697" s="564"/>
      <c r="N697" s="564"/>
      <c r="O697" s="3"/>
      <c r="P697" s="3"/>
      <c r="Q697" s="3"/>
      <c r="R697" s="3"/>
      <c r="S697" s="3"/>
      <c r="T697" s="3"/>
      <c r="U697" s="3"/>
      <c r="V697" s="3"/>
      <c r="W697" s="3"/>
      <c r="X697" s="3"/>
      <c r="Y697" s="3"/>
      <c r="Z697" s="3"/>
    </row>
    <row r="698" spans="1:26" ht="15.75" customHeight="1">
      <c r="A698" s="3"/>
      <c r="B698" s="2"/>
      <c r="C698" s="2"/>
      <c r="D698" s="2"/>
      <c r="E698" s="2"/>
      <c r="F698" s="2"/>
      <c r="G698" s="2"/>
      <c r="H698" s="2"/>
      <c r="I698" s="2"/>
      <c r="J698" s="564"/>
      <c r="K698" s="564"/>
      <c r="L698" s="564"/>
      <c r="M698" s="564"/>
      <c r="N698" s="564"/>
      <c r="O698" s="3"/>
      <c r="P698" s="3"/>
      <c r="Q698" s="3"/>
      <c r="R698" s="3"/>
      <c r="S698" s="3"/>
      <c r="T698" s="3"/>
      <c r="U698" s="3"/>
      <c r="V698" s="3"/>
      <c r="W698" s="3"/>
      <c r="X698" s="3"/>
      <c r="Y698" s="3"/>
      <c r="Z698" s="3"/>
    </row>
    <row r="699" spans="1:26" ht="15.75" customHeight="1">
      <c r="A699" s="3"/>
      <c r="B699" s="2"/>
      <c r="C699" s="2"/>
      <c r="D699" s="2"/>
      <c r="E699" s="2"/>
      <c r="F699" s="2"/>
      <c r="G699" s="2"/>
      <c r="H699" s="2"/>
      <c r="I699" s="2"/>
      <c r="J699" s="564"/>
      <c r="K699" s="564"/>
      <c r="L699" s="564"/>
      <c r="M699" s="564"/>
      <c r="N699" s="564"/>
      <c r="O699" s="3"/>
      <c r="P699" s="3"/>
      <c r="Q699" s="3"/>
      <c r="R699" s="3"/>
      <c r="S699" s="3"/>
      <c r="T699" s="3"/>
      <c r="U699" s="3"/>
      <c r="V699" s="3"/>
      <c r="W699" s="3"/>
      <c r="X699" s="3"/>
      <c r="Y699" s="3"/>
      <c r="Z699" s="3"/>
    </row>
    <row r="700" spans="1:26" ht="15.75" customHeight="1">
      <c r="A700" s="3"/>
      <c r="B700" s="2"/>
      <c r="C700" s="2"/>
      <c r="D700" s="2"/>
      <c r="E700" s="2"/>
      <c r="F700" s="2"/>
      <c r="G700" s="2"/>
      <c r="H700" s="2"/>
      <c r="I700" s="2"/>
      <c r="J700" s="564"/>
      <c r="K700" s="564"/>
      <c r="L700" s="564"/>
      <c r="M700" s="564"/>
      <c r="N700" s="564"/>
      <c r="O700" s="3"/>
      <c r="P700" s="3"/>
      <c r="Q700" s="3"/>
      <c r="R700" s="3"/>
      <c r="S700" s="3"/>
      <c r="T700" s="3"/>
      <c r="U700" s="3"/>
      <c r="V700" s="3"/>
      <c r="W700" s="3"/>
      <c r="X700" s="3"/>
      <c r="Y700" s="3"/>
      <c r="Z700" s="3"/>
    </row>
    <row r="701" spans="1:26" ht="15.75" customHeight="1">
      <c r="A701" s="3"/>
      <c r="B701" s="2"/>
      <c r="C701" s="2"/>
      <c r="D701" s="2"/>
      <c r="E701" s="2"/>
      <c r="F701" s="2"/>
      <c r="G701" s="2"/>
      <c r="H701" s="2"/>
      <c r="I701" s="2"/>
      <c r="J701" s="564"/>
      <c r="K701" s="564"/>
      <c r="L701" s="564"/>
      <c r="M701" s="564"/>
      <c r="N701" s="564"/>
      <c r="O701" s="3"/>
      <c r="P701" s="3"/>
      <c r="Q701" s="3"/>
      <c r="R701" s="3"/>
      <c r="S701" s="3"/>
      <c r="T701" s="3"/>
      <c r="U701" s="3"/>
      <c r="V701" s="3"/>
      <c r="W701" s="3"/>
      <c r="X701" s="3"/>
      <c r="Y701" s="3"/>
      <c r="Z701" s="3"/>
    </row>
    <row r="702" spans="1:26" ht="15.75" customHeight="1">
      <c r="A702" s="3"/>
      <c r="B702" s="2"/>
      <c r="C702" s="2"/>
      <c r="D702" s="2"/>
      <c r="E702" s="2"/>
      <c r="F702" s="2"/>
      <c r="G702" s="2"/>
      <c r="H702" s="2"/>
      <c r="I702" s="2"/>
      <c r="J702" s="564"/>
      <c r="K702" s="564"/>
      <c r="L702" s="564"/>
      <c r="M702" s="564"/>
      <c r="N702" s="564"/>
      <c r="O702" s="3"/>
      <c r="P702" s="3"/>
      <c r="Q702" s="3"/>
      <c r="R702" s="3"/>
      <c r="S702" s="3"/>
      <c r="T702" s="3"/>
      <c r="U702" s="3"/>
      <c r="V702" s="3"/>
      <c r="W702" s="3"/>
      <c r="X702" s="3"/>
      <c r="Y702" s="3"/>
      <c r="Z702" s="3"/>
    </row>
    <row r="703" spans="1:26" ht="15.75" customHeight="1">
      <c r="A703" s="3"/>
      <c r="B703" s="2"/>
      <c r="C703" s="2"/>
      <c r="D703" s="2"/>
      <c r="E703" s="2"/>
      <c r="F703" s="2"/>
      <c r="G703" s="2"/>
      <c r="H703" s="2"/>
      <c r="I703" s="2"/>
      <c r="J703" s="564"/>
      <c r="K703" s="564"/>
      <c r="L703" s="564"/>
      <c r="M703" s="564"/>
      <c r="N703" s="564"/>
      <c r="O703" s="3"/>
      <c r="P703" s="3"/>
      <c r="Q703" s="3"/>
      <c r="R703" s="3"/>
      <c r="S703" s="3"/>
      <c r="T703" s="3"/>
      <c r="U703" s="3"/>
      <c r="V703" s="3"/>
      <c r="W703" s="3"/>
      <c r="X703" s="3"/>
      <c r="Y703" s="3"/>
      <c r="Z703" s="3"/>
    </row>
    <row r="704" spans="1:26" ht="15.75" customHeight="1">
      <c r="A704" s="3"/>
      <c r="B704" s="2"/>
      <c r="C704" s="2"/>
      <c r="D704" s="2"/>
      <c r="E704" s="2"/>
      <c r="F704" s="2"/>
      <c r="G704" s="2"/>
      <c r="H704" s="2"/>
      <c r="I704" s="2"/>
      <c r="J704" s="564"/>
      <c r="K704" s="564"/>
      <c r="L704" s="564"/>
      <c r="M704" s="564"/>
      <c r="N704" s="564"/>
      <c r="O704" s="3"/>
      <c r="P704" s="3"/>
      <c r="Q704" s="3"/>
      <c r="R704" s="3"/>
      <c r="S704" s="3"/>
      <c r="T704" s="3"/>
      <c r="U704" s="3"/>
      <c r="V704" s="3"/>
      <c r="W704" s="3"/>
      <c r="X704" s="3"/>
      <c r="Y704" s="3"/>
      <c r="Z704" s="3"/>
    </row>
    <row r="705" spans="1:26" ht="15.75" customHeight="1">
      <c r="A705" s="3"/>
      <c r="B705" s="2"/>
      <c r="C705" s="2"/>
      <c r="D705" s="2"/>
      <c r="E705" s="2"/>
      <c r="F705" s="2"/>
      <c r="G705" s="2"/>
      <c r="H705" s="2"/>
      <c r="I705" s="2"/>
      <c r="J705" s="564"/>
      <c r="K705" s="564"/>
      <c r="L705" s="564"/>
      <c r="M705" s="564"/>
      <c r="N705" s="564"/>
      <c r="O705" s="3"/>
      <c r="P705" s="3"/>
      <c r="Q705" s="3"/>
      <c r="R705" s="3"/>
      <c r="S705" s="3"/>
      <c r="T705" s="3"/>
      <c r="U705" s="3"/>
      <c r="V705" s="3"/>
      <c r="W705" s="3"/>
      <c r="X705" s="3"/>
      <c r="Y705" s="3"/>
      <c r="Z705" s="3"/>
    </row>
    <row r="706" spans="1:26" ht="15.75" customHeight="1">
      <c r="A706" s="3"/>
      <c r="B706" s="2"/>
      <c r="C706" s="2"/>
      <c r="D706" s="2"/>
      <c r="E706" s="2"/>
      <c r="F706" s="2"/>
      <c r="G706" s="2"/>
      <c r="H706" s="2"/>
      <c r="I706" s="2"/>
      <c r="J706" s="564"/>
      <c r="K706" s="564"/>
      <c r="L706" s="564"/>
      <c r="M706" s="564"/>
      <c r="N706" s="564"/>
      <c r="O706" s="3"/>
      <c r="P706" s="3"/>
      <c r="Q706" s="3"/>
      <c r="R706" s="3"/>
      <c r="S706" s="3"/>
      <c r="T706" s="3"/>
      <c r="U706" s="3"/>
      <c r="V706" s="3"/>
      <c r="W706" s="3"/>
      <c r="X706" s="3"/>
      <c r="Y706" s="3"/>
      <c r="Z706" s="3"/>
    </row>
    <row r="707" spans="1:26" ht="15.75" customHeight="1">
      <c r="A707" s="3"/>
      <c r="B707" s="2"/>
      <c r="C707" s="2"/>
      <c r="D707" s="2"/>
      <c r="E707" s="2"/>
      <c r="F707" s="2"/>
      <c r="G707" s="2"/>
      <c r="H707" s="2"/>
      <c r="I707" s="2"/>
      <c r="J707" s="564"/>
      <c r="K707" s="564"/>
      <c r="L707" s="564"/>
      <c r="M707" s="564"/>
      <c r="N707" s="564"/>
      <c r="O707" s="3"/>
      <c r="P707" s="3"/>
      <c r="Q707" s="3"/>
      <c r="R707" s="3"/>
      <c r="S707" s="3"/>
      <c r="T707" s="3"/>
      <c r="U707" s="3"/>
      <c r="V707" s="3"/>
      <c r="W707" s="3"/>
      <c r="X707" s="3"/>
      <c r="Y707" s="3"/>
      <c r="Z707" s="3"/>
    </row>
    <row r="708" spans="1:26" ht="15.75" customHeight="1">
      <c r="A708" s="3"/>
      <c r="B708" s="2"/>
      <c r="C708" s="2"/>
      <c r="D708" s="2"/>
      <c r="E708" s="2"/>
      <c r="F708" s="2"/>
      <c r="G708" s="2"/>
      <c r="H708" s="2"/>
      <c r="I708" s="2"/>
      <c r="J708" s="564"/>
      <c r="K708" s="564"/>
      <c r="L708" s="564"/>
      <c r="M708" s="564"/>
      <c r="N708" s="564"/>
      <c r="O708" s="3"/>
      <c r="P708" s="3"/>
      <c r="Q708" s="3"/>
      <c r="R708" s="3"/>
      <c r="S708" s="3"/>
      <c r="T708" s="3"/>
      <c r="U708" s="3"/>
      <c r="V708" s="3"/>
      <c r="W708" s="3"/>
      <c r="X708" s="3"/>
      <c r="Y708" s="3"/>
      <c r="Z708" s="3"/>
    </row>
    <row r="709" spans="1:26" ht="15.75" customHeight="1">
      <c r="A709" s="3"/>
      <c r="B709" s="2"/>
      <c r="C709" s="2"/>
      <c r="D709" s="2"/>
      <c r="E709" s="2"/>
      <c r="F709" s="2"/>
      <c r="G709" s="2"/>
      <c r="H709" s="2"/>
      <c r="I709" s="2"/>
      <c r="J709" s="564"/>
      <c r="K709" s="564"/>
      <c r="L709" s="564"/>
      <c r="M709" s="564"/>
      <c r="N709" s="564"/>
      <c r="O709" s="3"/>
      <c r="P709" s="3"/>
      <c r="Q709" s="3"/>
      <c r="R709" s="3"/>
      <c r="S709" s="3"/>
      <c r="T709" s="3"/>
      <c r="U709" s="3"/>
      <c r="V709" s="3"/>
      <c r="W709" s="3"/>
      <c r="X709" s="3"/>
      <c r="Y709" s="3"/>
      <c r="Z709" s="3"/>
    </row>
    <row r="710" spans="1:26" ht="15.75" customHeight="1">
      <c r="A710" s="3"/>
      <c r="B710" s="2"/>
      <c r="C710" s="2"/>
      <c r="D710" s="2"/>
      <c r="E710" s="2"/>
      <c r="F710" s="2"/>
      <c r="G710" s="2"/>
      <c r="H710" s="2"/>
      <c r="I710" s="2"/>
      <c r="J710" s="564"/>
      <c r="K710" s="564"/>
      <c r="L710" s="564"/>
      <c r="M710" s="564"/>
      <c r="N710" s="564"/>
      <c r="O710" s="3"/>
      <c r="P710" s="3"/>
      <c r="Q710" s="3"/>
      <c r="R710" s="3"/>
      <c r="S710" s="3"/>
      <c r="T710" s="3"/>
      <c r="U710" s="3"/>
      <c r="V710" s="3"/>
      <c r="W710" s="3"/>
      <c r="X710" s="3"/>
      <c r="Y710" s="3"/>
      <c r="Z710" s="3"/>
    </row>
    <row r="711" spans="1:26" ht="15.75" customHeight="1">
      <c r="A711" s="3"/>
      <c r="B711" s="2"/>
      <c r="C711" s="2"/>
      <c r="D711" s="2"/>
      <c r="E711" s="2"/>
      <c r="F711" s="2"/>
      <c r="G711" s="2"/>
      <c r="H711" s="2"/>
      <c r="I711" s="2"/>
      <c r="J711" s="564"/>
      <c r="K711" s="564"/>
      <c r="L711" s="564"/>
      <c r="M711" s="564"/>
      <c r="N711" s="564"/>
      <c r="O711" s="3"/>
      <c r="P711" s="3"/>
      <c r="Q711" s="3"/>
      <c r="R711" s="3"/>
      <c r="S711" s="3"/>
      <c r="T711" s="3"/>
      <c r="U711" s="3"/>
      <c r="V711" s="3"/>
      <c r="W711" s="3"/>
      <c r="X711" s="3"/>
      <c r="Y711" s="3"/>
      <c r="Z711" s="3"/>
    </row>
    <row r="712" spans="1:26" ht="15.75" customHeight="1">
      <c r="A712" s="3"/>
      <c r="B712" s="2"/>
      <c r="C712" s="2"/>
      <c r="D712" s="2"/>
      <c r="E712" s="2"/>
      <c r="F712" s="2"/>
      <c r="G712" s="2"/>
      <c r="H712" s="2"/>
      <c r="I712" s="2"/>
      <c r="J712" s="564"/>
      <c r="K712" s="564"/>
      <c r="L712" s="564"/>
      <c r="M712" s="564"/>
      <c r="N712" s="564"/>
      <c r="O712" s="3"/>
      <c r="P712" s="3"/>
      <c r="Q712" s="3"/>
      <c r="R712" s="3"/>
      <c r="S712" s="3"/>
      <c r="T712" s="3"/>
      <c r="U712" s="3"/>
      <c r="V712" s="3"/>
      <c r="W712" s="3"/>
      <c r="X712" s="3"/>
      <c r="Y712" s="3"/>
      <c r="Z712" s="3"/>
    </row>
    <row r="713" spans="1:26" ht="15.75" customHeight="1">
      <c r="A713" s="3"/>
      <c r="B713" s="2"/>
      <c r="C713" s="2"/>
      <c r="D713" s="2"/>
      <c r="E713" s="2"/>
      <c r="F713" s="2"/>
      <c r="G713" s="2"/>
      <c r="H713" s="2"/>
      <c r="I713" s="2"/>
      <c r="J713" s="564"/>
      <c r="K713" s="564"/>
      <c r="L713" s="564"/>
      <c r="M713" s="564"/>
      <c r="N713" s="564"/>
      <c r="O713" s="3"/>
      <c r="P713" s="3"/>
      <c r="Q713" s="3"/>
      <c r="R713" s="3"/>
      <c r="S713" s="3"/>
      <c r="T713" s="3"/>
      <c r="U713" s="3"/>
      <c r="V713" s="3"/>
      <c r="W713" s="3"/>
      <c r="X713" s="3"/>
      <c r="Y713" s="3"/>
      <c r="Z713" s="3"/>
    </row>
    <row r="714" spans="1:26" ht="15.75" customHeight="1">
      <c r="A714" s="3"/>
      <c r="B714" s="2"/>
      <c r="C714" s="2"/>
      <c r="D714" s="2"/>
      <c r="E714" s="2"/>
      <c r="F714" s="2"/>
      <c r="G714" s="2"/>
      <c r="H714" s="2"/>
      <c r="I714" s="2"/>
      <c r="J714" s="564"/>
      <c r="K714" s="564"/>
      <c r="L714" s="564"/>
      <c r="M714" s="564"/>
      <c r="N714" s="564"/>
      <c r="O714" s="3"/>
      <c r="P714" s="3"/>
      <c r="Q714" s="3"/>
      <c r="R714" s="3"/>
      <c r="S714" s="3"/>
      <c r="T714" s="3"/>
      <c r="U714" s="3"/>
      <c r="V714" s="3"/>
      <c r="W714" s="3"/>
      <c r="X714" s="3"/>
      <c r="Y714" s="3"/>
      <c r="Z714" s="3"/>
    </row>
    <row r="715" spans="1:26" ht="15.75" customHeight="1">
      <c r="A715" s="3"/>
      <c r="B715" s="2"/>
      <c r="C715" s="2"/>
      <c r="D715" s="2"/>
      <c r="E715" s="2"/>
      <c r="F715" s="2"/>
      <c r="G715" s="2"/>
      <c r="H715" s="2"/>
      <c r="I715" s="2"/>
      <c r="J715" s="564"/>
      <c r="K715" s="564"/>
      <c r="L715" s="564"/>
      <c r="M715" s="564"/>
      <c r="N715" s="564"/>
      <c r="O715" s="3"/>
      <c r="P715" s="3"/>
      <c r="Q715" s="3"/>
      <c r="R715" s="3"/>
      <c r="S715" s="3"/>
      <c r="T715" s="3"/>
      <c r="U715" s="3"/>
      <c r="V715" s="3"/>
      <c r="W715" s="3"/>
      <c r="X715" s="3"/>
      <c r="Y715" s="3"/>
      <c r="Z715" s="3"/>
    </row>
    <row r="716" spans="1:26" ht="15.75" customHeight="1">
      <c r="A716" s="3"/>
      <c r="B716" s="2"/>
      <c r="C716" s="2"/>
      <c r="D716" s="2"/>
      <c r="E716" s="2"/>
      <c r="F716" s="2"/>
      <c r="G716" s="2"/>
      <c r="H716" s="2"/>
      <c r="I716" s="2"/>
      <c r="J716" s="564"/>
      <c r="K716" s="564"/>
      <c r="L716" s="564"/>
      <c r="M716" s="564"/>
      <c r="N716" s="564"/>
      <c r="O716" s="3"/>
      <c r="P716" s="3"/>
      <c r="Q716" s="3"/>
      <c r="R716" s="3"/>
      <c r="S716" s="3"/>
      <c r="T716" s="3"/>
      <c r="U716" s="3"/>
      <c r="V716" s="3"/>
      <c r="W716" s="3"/>
      <c r="X716" s="3"/>
      <c r="Y716" s="3"/>
      <c r="Z716" s="3"/>
    </row>
    <row r="717" spans="1:26" ht="15.75" customHeight="1">
      <c r="A717" s="3"/>
      <c r="B717" s="2"/>
      <c r="C717" s="2"/>
      <c r="D717" s="2"/>
      <c r="E717" s="2"/>
      <c r="F717" s="2"/>
      <c r="G717" s="2"/>
      <c r="H717" s="2"/>
      <c r="I717" s="2"/>
      <c r="J717" s="564"/>
      <c r="K717" s="564"/>
      <c r="L717" s="564"/>
      <c r="M717" s="564"/>
      <c r="N717" s="564"/>
      <c r="O717" s="3"/>
      <c r="P717" s="3"/>
      <c r="Q717" s="3"/>
      <c r="R717" s="3"/>
      <c r="S717" s="3"/>
      <c r="T717" s="3"/>
      <c r="U717" s="3"/>
      <c r="V717" s="3"/>
      <c r="W717" s="3"/>
      <c r="X717" s="3"/>
      <c r="Y717" s="3"/>
      <c r="Z717" s="3"/>
    </row>
    <row r="718" spans="1:26" ht="15.75" customHeight="1">
      <c r="A718" s="3"/>
      <c r="B718" s="2"/>
      <c r="C718" s="2"/>
      <c r="D718" s="2"/>
      <c r="E718" s="2"/>
      <c r="F718" s="2"/>
      <c r="G718" s="2"/>
      <c r="H718" s="2"/>
      <c r="I718" s="2"/>
      <c r="J718" s="564"/>
      <c r="K718" s="564"/>
      <c r="L718" s="564"/>
      <c r="M718" s="564"/>
      <c r="N718" s="564"/>
      <c r="O718" s="3"/>
      <c r="P718" s="3"/>
      <c r="Q718" s="3"/>
      <c r="R718" s="3"/>
      <c r="S718" s="3"/>
      <c r="T718" s="3"/>
      <c r="U718" s="3"/>
      <c r="V718" s="3"/>
      <c r="W718" s="3"/>
      <c r="X718" s="3"/>
      <c r="Y718" s="3"/>
      <c r="Z718" s="3"/>
    </row>
    <row r="719" spans="1:26" ht="15.75" customHeight="1">
      <c r="A719" s="3"/>
      <c r="B719" s="2"/>
      <c r="C719" s="2"/>
      <c r="D719" s="2"/>
      <c r="E719" s="2"/>
      <c r="F719" s="2"/>
      <c r="G719" s="2"/>
      <c r="H719" s="2"/>
      <c r="I719" s="2"/>
      <c r="J719" s="564"/>
      <c r="K719" s="564"/>
      <c r="L719" s="564"/>
      <c r="M719" s="564"/>
      <c r="N719" s="564"/>
      <c r="O719" s="3"/>
      <c r="P719" s="3"/>
      <c r="Q719" s="3"/>
      <c r="R719" s="3"/>
      <c r="S719" s="3"/>
      <c r="T719" s="3"/>
      <c r="U719" s="3"/>
      <c r="V719" s="3"/>
      <c r="W719" s="3"/>
      <c r="X719" s="3"/>
      <c r="Y719" s="3"/>
      <c r="Z719" s="3"/>
    </row>
    <row r="720" spans="1:26" ht="15.75" customHeight="1">
      <c r="A720" s="3"/>
      <c r="B720" s="2"/>
      <c r="C720" s="2"/>
      <c r="D720" s="2"/>
      <c r="E720" s="2"/>
      <c r="F720" s="2"/>
      <c r="G720" s="2"/>
      <c r="H720" s="2"/>
      <c r="I720" s="2"/>
      <c r="J720" s="564"/>
      <c r="K720" s="564"/>
      <c r="L720" s="564"/>
      <c r="M720" s="564"/>
      <c r="N720" s="564"/>
      <c r="O720" s="3"/>
      <c r="P720" s="3"/>
      <c r="Q720" s="3"/>
      <c r="R720" s="3"/>
      <c r="S720" s="3"/>
      <c r="T720" s="3"/>
      <c r="U720" s="3"/>
      <c r="V720" s="3"/>
      <c r="W720" s="3"/>
      <c r="X720" s="3"/>
      <c r="Y720" s="3"/>
      <c r="Z720" s="3"/>
    </row>
    <row r="721" spans="1:26" ht="15.75" customHeight="1">
      <c r="A721" s="3"/>
      <c r="B721" s="2"/>
      <c r="C721" s="2"/>
      <c r="D721" s="2"/>
      <c r="E721" s="2"/>
      <c r="F721" s="2"/>
      <c r="G721" s="2"/>
      <c r="H721" s="2"/>
      <c r="I721" s="2"/>
      <c r="J721" s="564"/>
      <c r="K721" s="564"/>
      <c r="L721" s="564"/>
      <c r="M721" s="564"/>
      <c r="N721" s="564"/>
      <c r="O721" s="3"/>
      <c r="P721" s="3"/>
      <c r="Q721" s="3"/>
      <c r="R721" s="3"/>
      <c r="S721" s="3"/>
      <c r="T721" s="3"/>
      <c r="U721" s="3"/>
      <c r="V721" s="3"/>
      <c r="W721" s="3"/>
      <c r="X721" s="3"/>
      <c r="Y721" s="3"/>
      <c r="Z721" s="3"/>
    </row>
    <row r="722" spans="1:26" ht="15.75" customHeight="1">
      <c r="A722" s="3"/>
      <c r="B722" s="2"/>
      <c r="C722" s="2"/>
      <c r="D722" s="2"/>
      <c r="E722" s="2"/>
      <c r="F722" s="2"/>
      <c r="G722" s="2"/>
      <c r="H722" s="2"/>
      <c r="I722" s="2"/>
      <c r="J722" s="564"/>
      <c r="K722" s="564"/>
      <c r="L722" s="564"/>
      <c r="M722" s="564"/>
      <c r="N722" s="564"/>
      <c r="O722" s="3"/>
      <c r="P722" s="3"/>
      <c r="Q722" s="3"/>
      <c r="R722" s="3"/>
      <c r="S722" s="3"/>
      <c r="T722" s="3"/>
      <c r="U722" s="3"/>
      <c r="V722" s="3"/>
      <c r="W722" s="3"/>
      <c r="X722" s="3"/>
      <c r="Y722" s="3"/>
      <c r="Z722" s="3"/>
    </row>
    <row r="723" spans="1:26" ht="15.75" customHeight="1">
      <c r="A723" s="3"/>
      <c r="B723" s="2"/>
      <c r="C723" s="2"/>
      <c r="D723" s="2"/>
      <c r="E723" s="2"/>
      <c r="F723" s="2"/>
      <c r="G723" s="2"/>
      <c r="H723" s="2"/>
      <c r="I723" s="2"/>
      <c r="J723" s="564"/>
      <c r="K723" s="564"/>
      <c r="L723" s="564"/>
      <c r="M723" s="564"/>
      <c r="N723" s="564"/>
      <c r="O723" s="3"/>
      <c r="P723" s="3"/>
      <c r="Q723" s="3"/>
      <c r="R723" s="3"/>
      <c r="S723" s="3"/>
      <c r="T723" s="3"/>
      <c r="U723" s="3"/>
      <c r="V723" s="3"/>
      <c r="W723" s="3"/>
      <c r="X723" s="3"/>
      <c r="Y723" s="3"/>
      <c r="Z723" s="3"/>
    </row>
    <row r="724" spans="1:26" ht="15.75" customHeight="1">
      <c r="A724" s="3"/>
      <c r="B724" s="2"/>
      <c r="C724" s="2"/>
      <c r="D724" s="2"/>
      <c r="E724" s="2"/>
      <c r="F724" s="2"/>
      <c r="G724" s="2"/>
      <c r="H724" s="2"/>
      <c r="I724" s="2"/>
      <c r="J724" s="564"/>
      <c r="K724" s="564"/>
      <c r="L724" s="564"/>
      <c r="M724" s="564"/>
      <c r="N724" s="564"/>
      <c r="O724" s="3"/>
      <c r="P724" s="3"/>
      <c r="Q724" s="3"/>
      <c r="R724" s="3"/>
      <c r="S724" s="3"/>
      <c r="T724" s="3"/>
      <c r="U724" s="3"/>
      <c r="V724" s="3"/>
      <c r="W724" s="3"/>
      <c r="X724" s="3"/>
      <c r="Y724" s="3"/>
      <c r="Z724" s="3"/>
    </row>
    <row r="725" spans="1:26" ht="15.75" customHeight="1">
      <c r="A725" s="3"/>
      <c r="B725" s="2"/>
      <c r="C725" s="2"/>
      <c r="D725" s="2"/>
      <c r="E725" s="2"/>
      <c r="F725" s="2"/>
      <c r="G725" s="2"/>
      <c r="H725" s="2"/>
      <c r="I725" s="2"/>
      <c r="J725" s="564"/>
      <c r="K725" s="564"/>
      <c r="L725" s="564"/>
      <c r="M725" s="564"/>
      <c r="N725" s="564"/>
      <c r="O725" s="3"/>
      <c r="P725" s="3"/>
      <c r="Q725" s="3"/>
      <c r="R725" s="3"/>
      <c r="S725" s="3"/>
      <c r="T725" s="3"/>
      <c r="U725" s="3"/>
      <c r="V725" s="3"/>
      <c r="W725" s="3"/>
      <c r="X725" s="3"/>
      <c r="Y725" s="3"/>
      <c r="Z725" s="3"/>
    </row>
    <row r="726" spans="1:26" ht="15.75" customHeight="1">
      <c r="A726" s="3"/>
      <c r="B726" s="2"/>
      <c r="C726" s="2"/>
      <c r="D726" s="2"/>
      <c r="E726" s="2"/>
      <c r="F726" s="2"/>
      <c r="G726" s="2"/>
      <c r="H726" s="2"/>
      <c r="I726" s="2"/>
      <c r="J726" s="564"/>
      <c r="K726" s="564"/>
      <c r="L726" s="564"/>
      <c r="M726" s="564"/>
      <c r="N726" s="564"/>
      <c r="O726" s="3"/>
      <c r="P726" s="3"/>
      <c r="Q726" s="3"/>
      <c r="R726" s="3"/>
      <c r="S726" s="3"/>
      <c r="T726" s="3"/>
      <c r="U726" s="3"/>
      <c r="V726" s="3"/>
      <c r="W726" s="3"/>
      <c r="X726" s="3"/>
      <c r="Y726" s="3"/>
      <c r="Z726" s="3"/>
    </row>
    <row r="727" spans="1:26" ht="15.75" customHeight="1">
      <c r="A727" s="3"/>
      <c r="B727" s="2"/>
      <c r="C727" s="2"/>
      <c r="D727" s="2"/>
      <c r="E727" s="2"/>
      <c r="F727" s="2"/>
      <c r="G727" s="2"/>
      <c r="H727" s="2"/>
      <c r="I727" s="2"/>
      <c r="J727" s="564"/>
      <c r="K727" s="564"/>
      <c r="L727" s="564"/>
      <c r="M727" s="564"/>
      <c r="N727" s="564"/>
      <c r="O727" s="3"/>
      <c r="P727" s="3"/>
      <c r="Q727" s="3"/>
      <c r="R727" s="3"/>
      <c r="S727" s="3"/>
      <c r="T727" s="3"/>
      <c r="U727" s="3"/>
      <c r="V727" s="3"/>
      <c r="W727" s="3"/>
      <c r="X727" s="3"/>
      <c r="Y727" s="3"/>
      <c r="Z727" s="3"/>
    </row>
    <row r="728" spans="1:26" ht="15.75" customHeight="1">
      <c r="A728" s="3"/>
      <c r="B728" s="2"/>
      <c r="C728" s="2"/>
      <c r="D728" s="2"/>
      <c r="E728" s="2"/>
      <c r="F728" s="2"/>
      <c r="G728" s="2"/>
      <c r="H728" s="2"/>
      <c r="I728" s="2"/>
      <c r="J728" s="564"/>
      <c r="K728" s="564"/>
      <c r="L728" s="564"/>
      <c r="M728" s="564"/>
      <c r="N728" s="564"/>
      <c r="O728" s="3"/>
      <c r="P728" s="3"/>
      <c r="Q728" s="3"/>
      <c r="R728" s="3"/>
      <c r="S728" s="3"/>
      <c r="T728" s="3"/>
      <c r="U728" s="3"/>
      <c r="V728" s="3"/>
      <c r="W728" s="3"/>
      <c r="X728" s="3"/>
      <c r="Y728" s="3"/>
      <c r="Z728" s="3"/>
    </row>
    <row r="729" spans="1:26" ht="15.75" customHeight="1">
      <c r="A729" s="3"/>
      <c r="B729" s="2"/>
      <c r="C729" s="2"/>
      <c r="D729" s="2"/>
      <c r="E729" s="2"/>
      <c r="F729" s="2"/>
      <c r="G729" s="2"/>
      <c r="H729" s="2"/>
      <c r="I729" s="2"/>
      <c r="J729" s="564"/>
      <c r="K729" s="564"/>
      <c r="L729" s="564"/>
      <c r="M729" s="564"/>
      <c r="N729" s="564"/>
      <c r="O729" s="3"/>
      <c r="P729" s="3"/>
      <c r="Q729" s="3"/>
      <c r="R729" s="3"/>
      <c r="S729" s="3"/>
      <c r="T729" s="3"/>
      <c r="U729" s="3"/>
      <c r="V729" s="3"/>
      <c r="W729" s="3"/>
      <c r="X729" s="3"/>
      <c r="Y729" s="3"/>
      <c r="Z729" s="3"/>
    </row>
    <row r="730" spans="1:26" ht="15.75" customHeight="1">
      <c r="A730" s="3"/>
      <c r="B730" s="2"/>
      <c r="C730" s="2"/>
      <c r="D730" s="2"/>
      <c r="E730" s="2"/>
      <c r="F730" s="2"/>
      <c r="G730" s="2"/>
      <c r="H730" s="2"/>
      <c r="I730" s="2"/>
      <c r="J730" s="564"/>
      <c r="K730" s="564"/>
      <c r="L730" s="564"/>
      <c r="M730" s="564"/>
      <c r="N730" s="564"/>
      <c r="O730" s="3"/>
      <c r="P730" s="3"/>
      <c r="Q730" s="3"/>
      <c r="R730" s="3"/>
      <c r="S730" s="3"/>
      <c r="T730" s="3"/>
      <c r="U730" s="3"/>
      <c r="V730" s="3"/>
      <c r="W730" s="3"/>
      <c r="X730" s="3"/>
      <c r="Y730" s="3"/>
      <c r="Z730" s="3"/>
    </row>
    <row r="731" spans="1:26" ht="15.75" customHeight="1">
      <c r="A731" s="3"/>
      <c r="B731" s="2"/>
      <c r="C731" s="2"/>
      <c r="D731" s="2"/>
      <c r="E731" s="2"/>
      <c r="F731" s="2"/>
      <c r="G731" s="2"/>
      <c r="H731" s="2"/>
      <c r="I731" s="2"/>
      <c r="J731" s="564"/>
      <c r="K731" s="564"/>
      <c r="L731" s="564"/>
      <c r="M731" s="564"/>
      <c r="N731" s="564"/>
      <c r="O731" s="3"/>
      <c r="P731" s="3"/>
      <c r="Q731" s="3"/>
      <c r="R731" s="3"/>
      <c r="S731" s="3"/>
      <c r="T731" s="3"/>
      <c r="U731" s="3"/>
      <c r="V731" s="3"/>
      <c r="W731" s="3"/>
      <c r="X731" s="3"/>
      <c r="Y731" s="3"/>
      <c r="Z731" s="3"/>
    </row>
    <row r="732" spans="1:26" ht="15.75" customHeight="1">
      <c r="A732" s="3"/>
      <c r="B732" s="2"/>
      <c r="C732" s="2"/>
      <c r="D732" s="2"/>
      <c r="E732" s="2"/>
      <c r="F732" s="2"/>
      <c r="G732" s="2"/>
      <c r="H732" s="2"/>
      <c r="I732" s="2"/>
      <c r="J732" s="564"/>
      <c r="K732" s="564"/>
      <c r="L732" s="564"/>
      <c r="M732" s="564"/>
      <c r="N732" s="564"/>
      <c r="O732" s="3"/>
      <c r="P732" s="3"/>
      <c r="Q732" s="3"/>
      <c r="R732" s="3"/>
      <c r="S732" s="3"/>
      <c r="T732" s="3"/>
      <c r="U732" s="3"/>
      <c r="V732" s="3"/>
      <c r="W732" s="3"/>
      <c r="X732" s="3"/>
      <c r="Y732" s="3"/>
      <c r="Z732" s="3"/>
    </row>
    <row r="733" spans="1:26" ht="15.75" customHeight="1">
      <c r="A733" s="3"/>
      <c r="B733" s="2"/>
      <c r="C733" s="2"/>
      <c r="D733" s="2"/>
      <c r="E733" s="2"/>
      <c r="F733" s="2"/>
      <c r="G733" s="2"/>
      <c r="H733" s="2"/>
      <c r="I733" s="2"/>
      <c r="J733" s="564"/>
      <c r="K733" s="564"/>
      <c r="L733" s="564"/>
      <c r="M733" s="564"/>
      <c r="N733" s="564"/>
      <c r="O733" s="3"/>
      <c r="P733" s="3"/>
      <c r="Q733" s="3"/>
      <c r="R733" s="3"/>
      <c r="S733" s="3"/>
      <c r="T733" s="3"/>
      <c r="U733" s="3"/>
      <c r="V733" s="3"/>
      <c r="W733" s="3"/>
      <c r="X733" s="3"/>
      <c r="Y733" s="3"/>
      <c r="Z733" s="3"/>
    </row>
    <row r="734" spans="1:26" ht="15.75" customHeight="1">
      <c r="A734" s="3"/>
      <c r="B734" s="2"/>
      <c r="C734" s="2"/>
      <c r="D734" s="2"/>
      <c r="E734" s="2"/>
      <c r="F734" s="2"/>
      <c r="G734" s="2"/>
      <c r="H734" s="2"/>
      <c r="I734" s="2"/>
      <c r="J734" s="564"/>
      <c r="K734" s="564"/>
      <c r="L734" s="564"/>
      <c r="M734" s="564"/>
      <c r="N734" s="564"/>
      <c r="O734" s="3"/>
      <c r="P734" s="3"/>
      <c r="Q734" s="3"/>
      <c r="R734" s="3"/>
      <c r="S734" s="3"/>
      <c r="T734" s="3"/>
      <c r="U734" s="3"/>
      <c r="V734" s="3"/>
      <c r="W734" s="3"/>
      <c r="X734" s="3"/>
      <c r="Y734" s="3"/>
      <c r="Z734" s="3"/>
    </row>
    <row r="735" spans="1:26" ht="15.75" customHeight="1">
      <c r="A735" s="3"/>
      <c r="B735" s="2"/>
      <c r="C735" s="2"/>
      <c r="D735" s="2"/>
      <c r="E735" s="2"/>
      <c r="F735" s="2"/>
      <c r="G735" s="2"/>
      <c r="H735" s="2"/>
      <c r="I735" s="2"/>
      <c r="J735" s="564"/>
      <c r="K735" s="564"/>
      <c r="L735" s="564"/>
      <c r="M735" s="564"/>
      <c r="N735" s="564"/>
      <c r="O735" s="3"/>
      <c r="P735" s="3"/>
      <c r="Q735" s="3"/>
      <c r="R735" s="3"/>
      <c r="S735" s="3"/>
      <c r="T735" s="3"/>
      <c r="U735" s="3"/>
      <c r="V735" s="3"/>
      <c r="W735" s="3"/>
      <c r="X735" s="3"/>
      <c r="Y735" s="3"/>
      <c r="Z735" s="3"/>
    </row>
    <row r="736" spans="1:26" ht="15.75" customHeight="1">
      <c r="A736" s="3"/>
      <c r="B736" s="2"/>
      <c r="C736" s="2"/>
      <c r="D736" s="2"/>
      <c r="E736" s="2"/>
      <c r="F736" s="2"/>
      <c r="G736" s="2"/>
      <c r="H736" s="2"/>
      <c r="I736" s="2"/>
      <c r="J736" s="564"/>
      <c r="K736" s="564"/>
      <c r="L736" s="564"/>
      <c r="M736" s="564"/>
      <c r="N736" s="564"/>
      <c r="O736" s="3"/>
      <c r="P736" s="3"/>
      <c r="Q736" s="3"/>
      <c r="R736" s="3"/>
      <c r="S736" s="3"/>
      <c r="T736" s="3"/>
      <c r="U736" s="3"/>
      <c r="V736" s="3"/>
      <c r="W736" s="3"/>
      <c r="X736" s="3"/>
      <c r="Y736" s="3"/>
      <c r="Z736" s="3"/>
    </row>
    <row r="737" spans="1:26" ht="15.75" customHeight="1">
      <c r="A737" s="3"/>
      <c r="B737" s="2"/>
      <c r="C737" s="2"/>
      <c r="D737" s="2"/>
      <c r="E737" s="2"/>
      <c r="F737" s="2"/>
      <c r="G737" s="2"/>
      <c r="H737" s="2"/>
      <c r="I737" s="2"/>
      <c r="J737" s="564"/>
      <c r="K737" s="564"/>
      <c r="L737" s="564"/>
      <c r="M737" s="564"/>
      <c r="N737" s="564"/>
      <c r="O737" s="3"/>
      <c r="P737" s="3"/>
      <c r="Q737" s="3"/>
      <c r="R737" s="3"/>
      <c r="S737" s="3"/>
      <c r="T737" s="3"/>
      <c r="U737" s="3"/>
      <c r="V737" s="3"/>
      <c r="W737" s="3"/>
      <c r="X737" s="3"/>
      <c r="Y737" s="3"/>
      <c r="Z737" s="3"/>
    </row>
    <row r="738" spans="1:26" ht="15.75" customHeight="1">
      <c r="A738" s="3"/>
      <c r="B738" s="2"/>
      <c r="C738" s="2"/>
      <c r="D738" s="2"/>
      <c r="E738" s="2"/>
      <c r="F738" s="2"/>
      <c r="G738" s="2"/>
      <c r="H738" s="2"/>
      <c r="I738" s="2"/>
      <c r="J738" s="564"/>
      <c r="K738" s="564"/>
      <c r="L738" s="564"/>
      <c r="M738" s="564"/>
      <c r="N738" s="564"/>
      <c r="O738" s="3"/>
      <c r="P738" s="3"/>
      <c r="Q738" s="3"/>
      <c r="R738" s="3"/>
      <c r="S738" s="3"/>
      <c r="T738" s="3"/>
      <c r="U738" s="3"/>
      <c r="V738" s="3"/>
      <c r="W738" s="3"/>
      <c r="X738" s="3"/>
      <c r="Y738" s="3"/>
      <c r="Z738" s="3"/>
    </row>
    <row r="739" spans="1:26" ht="15.75" customHeight="1">
      <c r="A739" s="3"/>
      <c r="B739" s="2"/>
      <c r="C739" s="2"/>
      <c r="D739" s="2"/>
      <c r="E739" s="2"/>
      <c r="F739" s="2"/>
      <c r="G739" s="2"/>
      <c r="H739" s="2"/>
      <c r="I739" s="2"/>
      <c r="J739" s="564"/>
      <c r="K739" s="564"/>
      <c r="L739" s="564"/>
      <c r="M739" s="564"/>
      <c r="N739" s="564"/>
      <c r="O739" s="3"/>
      <c r="P739" s="3"/>
      <c r="Q739" s="3"/>
      <c r="R739" s="3"/>
      <c r="S739" s="3"/>
      <c r="T739" s="3"/>
      <c r="U739" s="3"/>
      <c r="V739" s="3"/>
      <c r="W739" s="3"/>
      <c r="X739" s="3"/>
      <c r="Y739" s="3"/>
      <c r="Z739" s="3"/>
    </row>
    <row r="740" spans="1:26" ht="15.75" customHeight="1">
      <c r="A740" s="3"/>
      <c r="B740" s="2"/>
      <c r="C740" s="2"/>
      <c r="D740" s="2"/>
      <c r="E740" s="2"/>
      <c r="F740" s="2"/>
      <c r="G740" s="2"/>
      <c r="H740" s="2"/>
      <c r="I740" s="2"/>
      <c r="J740" s="564"/>
      <c r="K740" s="564"/>
      <c r="L740" s="564"/>
      <c r="M740" s="564"/>
      <c r="N740" s="564"/>
      <c r="O740" s="3"/>
      <c r="P740" s="3"/>
      <c r="Q740" s="3"/>
      <c r="R740" s="3"/>
      <c r="S740" s="3"/>
      <c r="T740" s="3"/>
      <c r="U740" s="3"/>
      <c r="V740" s="3"/>
      <c r="W740" s="3"/>
      <c r="X740" s="3"/>
      <c r="Y740" s="3"/>
      <c r="Z740" s="3"/>
    </row>
    <row r="741" spans="1:26" ht="15.75" customHeight="1">
      <c r="A741" s="3"/>
      <c r="B741" s="2"/>
      <c r="C741" s="2"/>
      <c r="D741" s="2"/>
      <c r="E741" s="2"/>
      <c r="F741" s="2"/>
      <c r="G741" s="2"/>
      <c r="H741" s="2"/>
      <c r="I741" s="2"/>
      <c r="J741" s="564"/>
      <c r="K741" s="564"/>
      <c r="L741" s="564"/>
      <c r="M741" s="564"/>
      <c r="N741" s="564"/>
      <c r="O741" s="3"/>
      <c r="P741" s="3"/>
      <c r="Q741" s="3"/>
      <c r="R741" s="3"/>
      <c r="S741" s="3"/>
      <c r="T741" s="3"/>
      <c r="U741" s="3"/>
      <c r="V741" s="3"/>
      <c r="W741" s="3"/>
      <c r="X741" s="3"/>
      <c r="Y741" s="3"/>
      <c r="Z741" s="3"/>
    </row>
    <row r="742" spans="1:26" ht="15.75" customHeight="1">
      <c r="A742" s="3"/>
      <c r="B742" s="2"/>
      <c r="C742" s="2"/>
      <c r="D742" s="2"/>
      <c r="E742" s="2"/>
      <c r="F742" s="2"/>
      <c r="G742" s="2"/>
      <c r="H742" s="2"/>
      <c r="I742" s="2"/>
      <c r="J742" s="564"/>
      <c r="K742" s="564"/>
      <c r="L742" s="564"/>
      <c r="M742" s="564"/>
      <c r="N742" s="564"/>
      <c r="O742" s="3"/>
      <c r="P742" s="3"/>
      <c r="Q742" s="3"/>
      <c r="R742" s="3"/>
      <c r="S742" s="3"/>
      <c r="T742" s="3"/>
      <c r="U742" s="3"/>
      <c r="V742" s="3"/>
      <c r="W742" s="3"/>
      <c r="X742" s="3"/>
      <c r="Y742" s="3"/>
      <c r="Z742" s="3"/>
    </row>
    <row r="743" spans="1:26" ht="15.75" customHeight="1">
      <c r="A743" s="3"/>
      <c r="B743" s="2"/>
      <c r="C743" s="2"/>
      <c r="D743" s="2"/>
      <c r="E743" s="2"/>
      <c r="F743" s="2"/>
      <c r="G743" s="2"/>
      <c r="H743" s="2"/>
      <c r="I743" s="2"/>
      <c r="J743" s="564"/>
      <c r="K743" s="564"/>
      <c r="L743" s="564"/>
      <c r="M743" s="564"/>
      <c r="N743" s="564"/>
      <c r="O743" s="3"/>
      <c r="P743" s="3"/>
      <c r="Q743" s="3"/>
      <c r="R743" s="3"/>
      <c r="S743" s="3"/>
      <c r="T743" s="3"/>
      <c r="U743" s="3"/>
      <c r="V743" s="3"/>
      <c r="W743" s="3"/>
      <c r="X743" s="3"/>
      <c r="Y743" s="3"/>
      <c r="Z743" s="3"/>
    </row>
    <row r="744" spans="1:26" ht="15.75" customHeight="1">
      <c r="A744" s="3"/>
      <c r="B744" s="2"/>
      <c r="C744" s="2"/>
      <c r="D744" s="2"/>
      <c r="E744" s="2"/>
      <c r="F744" s="2"/>
      <c r="G744" s="2"/>
      <c r="H744" s="2"/>
      <c r="I744" s="2"/>
      <c r="J744" s="564"/>
      <c r="K744" s="564"/>
      <c r="L744" s="564"/>
      <c r="M744" s="564"/>
      <c r="N744" s="564"/>
      <c r="O744" s="3"/>
      <c r="P744" s="3"/>
      <c r="Q744" s="3"/>
      <c r="R744" s="3"/>
      <c r="S744" s="3"/>
      <c r="T744" s="3"/>
      <c r="U744" s="3"/>
      <c r="V744" s="3"/>
      <c r="W744" s="3"/>
      <c r="X744" s="3"/>
      <c r="Y744" s="3"/>
      <c r="Z744" s="3"/>
    </row>
    <row r="745" spans="1:26" ht="15.75" customHeight="1">
      <c r="A745" s="3"/>
      <c r="B745" s="2"/>
      <c r="C745" s="2"/>
      <c r="D745" s="2"/>
      <c r="E745" s="2"/>
      <c r="F745" s="2"/>
      <c r="G745" s="2"/>
      <c r="H745" s="2"/>
      <c r="I745" s="2"/>
      <c r="J745" s="564"/>
      <c r="K745" s="564"/>
      <c r="L745" s="564"/>
      <c r="M745" s="564"/>
      <c r="N745" s="564"/>
      <c r="O745" s="3"/>
      <c r="P745" s="3"/>
      <c r="Q745" s="3"/>
      <c r="R745" s="3"/>
      <c r="S745" s="3"/>
      <c r="T745" s="3"/>
      <c r="U745" s="3"/>
      <c r="V745" s="3"/>
      <c r="W745" s="3"/>
      <c r="X745" s="3"/>
      <c r="Y745" s="3"/>
      <c r="Z745" s="3"/>
    </row>
    <row r="746" spans="1:26" ht="15.75" customHeight="1">
      <c r="A746" s="3"/>
      <c r="B746" s="2"/>
      <c r="C746" s="2"/>
      <c r="D746" s="2"/>
      <c r="E746" s="2"/>
      <c r="F746" s="2"/>
      <c r="G746" s="2"/>
      <c r="H746" s="2"/>
      <c r="I746" s="2"/>
      <c r="J746" s="564"/>
      <c r="K746" s="564"/>
      <c r="L746" s="564"/>
      <c r="M746" s="564"/>
      <c r="N746" s="564"/>
      <c r="O746" s="3"/>
      <c r="P746" s="3"/>
      <c r="Q746" s="3"/>
      <c r="R746" s="3"/>
      <c r="S746" s="3"/>
      <c r="T746" s="3"/>
      <c r="U746" s="3"/>
      <c r="V746" s="3"/>
      <c r="W746" s="3"/>
      <c r="X746" s="3"/>
      <c r="Y746" s="3"/>
      <c r="Z746" s="3"/>
    </row>
    <row r="747" spans="1:26" ht="15.75" customHeight="1">
      <c r="A747" s="3"/>
      <c r="B747" s="2"/>
      <c r="C747" s="2"/>
      <c r="D747" s="2"/>
      <c r="E747" s="2"/>
      <c r="F747" s="2"/>
      <c r="G747" s="2"/>
      <c r="H747" s="2"/>
      <c r="I747" s="2"/>
      <c r="J747" s="564"/>
      <c r="K747" s="564"/>
      <c r="L747" s="564"/>
      <c r="M747" s="564"/>
      <c r="N747" s="564"/>
      <c r="O747" s="3"/>
      <c r="P747" s="3"/>
      <c r="Q747" s="3"/>
      <c r="R747" s="3"/>
      <c r="S747" s="3"/>
      <c r="T747" s="3"/>
      <c r="U747" s="3"/>
      <c r="V747" s="3"/>
      <c r="W747" s="3"/>
      <c r="X747" s="3"/>
      <c r="Y747" s="3"/>
      <c r="Z747" s="3"/>
    </row>
    <row r="748" spans="1:26" ht="15.75" customHeight="1">
      <c r="A748" s="3"/>
      <c r="B748" s="2"/>
      <c r="C748" s="2"/>
      <c r="D748" s="2"/>
      <c r="E748" s="2"/>
      <c r="F748" s="2"/>
      <c r="G748" s="2"/>
      <c r="H748" s="2"/>
      <c r="I748" s="2"/>
      <c r="J748" s="564"/>
      <c r="K748" s="564"/>
      <c r="L748" s="564"/>
      <c r="M748" s="564"/>
      <c r="N748" s="564"/>
      <c r="O748" s="3"/>
      <c r="P748" s="3"/>
      <c r="Q748" s="3"/>
      <c r="R748" s="3"/>
      <c r="S748" s="3"/>
      <c r="T748" s="3"/>
      <c r="U748" s="3"/>
      <c r="V748" s="3"/>
      <c r="W748" s="3"/>
      <c r="X748" s="3"/>
      <c r="Y748" s="3"/>
      <c r="Z748" s="3"/>
    </row>
    <row r="749" spans="1:26" ht="15.75" customHeight="1">
      <c r="A749" s="3"/>
      <c r="B749" s="2"/>
      <c r="C749" s="2"/>
      <c r="D749" s="2"/>
      <c r="E749" s="2"/>
      <c r="F749" s="2"/>
      <c r="G749" s="2"/>
      <c r="H749" s="2"/>
      <c r="I749" s="2"/>
      <c r="J749" s="564"/>
      <c r="K749" s="564"/>
      <c r="L749" s="564"/>
      <c r="M749" s="564"/>
      <c r="N749" s="564"/>
      <c r="O749" s="3"/>
      <c r="P749" s="3"/>
      <c r="Q749" s="3"/>
      <c r="R749" s="3"/>
      <c r="S749" s="3"/>
      <c r="T749" s="3"/>
      <c r="U749" s="3"/>
      <c r="V749" s="3"/>
      <c r="W749" s="3"/>
      <c r="X749" s="3"/>
      <c r="Y749" s="3"/>
      <c r="Z749" s="3"/>
    </row>
    <row r="750" spans="1:26" ht="15.75" customHeight="1">
      <c r="A750" s="3"/>
      <c r="B750" s="2"/>
      <c r="C750" s="2"/>
      <c r="D750" s="2"/>
      <c r="E750" s="2"/>
      <c r="F750" s="2"/>
      <c r="G750" s="2"/>
      <c r="H750" s="2"/>
      <c r="I750" s="2"/>
      <c r="J750" s="564"/>
      <c r="K750" s="564"/>
      <c r="L750" s="564"/>
      <c r="M750" s="564"/>
      <c r="N750" s="564"/>
      <c r="O750" s="3"/>
      <c r="P750" s="3"/>
      <c r="Q750" s="3"/>
      <c r="R750" s="3"/>
      <c r="S750" s="3"/>
      <c r="T750" s="3"/>
      <c r="U750" s="3"/>
      <c r="V750" s="3"/>
      <c r="W750" s="3"/>
      <c r="X750" s="3"/>
      <c r="Y750" s="3"/>
      <c r="Z750" s="3"/>
    </row>
    <row r="751" spans="1:26" ht="15.75" customHeight="1">
      <c r="A751" s="3"/>
      <c r="B751" s="2"/>
      <c r="C751" s="2"/>
      <c r="D751" s="2"/>
      <c r="E751" s="2"/>
      <c r="F751" s="2"/>
      <c r="G751" s="2"/>
      <c r="H751" s="2"/>
      <c r="I751" s="2"/>
      <c r="J751" s="564"/>
      <c r="K751" s="564"/>
      <c r="L751" s="564"/>
      <c r="M751" s="564"/>
      <c r="N751" s="564"/>
      <c r="O751" s="3"/>
      <c r="P751" s="3"/>
      <c r="Q751" s="3"/>
      <c r="R751" s="3"/>
      <c r="S751" s="3"/>
      <c r="T751" s="3"/>
      <c r="U751" s="3"/>
      <c r="V751" s="3"/>
      <c r="W751" s="3"/>
      <c r="X751" s="3"/>
      <c r="Y751" s="3"/>
      <c r="Z751" s="3"/>
    </row>
    <row r="752" spans="1:26" ht="15.75" customHeight="1">
      <c r="A752" s="3"/>
      <c r="B752" s="2"/>
      <c r="C752" s="2"/>
      <c r="D752" s="2"/>
      <c r="E752" s="2"/>
      <c r="F752" s="2"/>
      <c r="G752" s="2"/>
      <c r="H752" s="2"/>
      <c r="I752" s="2"/>
      <c r="J752" s="564"/>
      <c r="K752" s="564"/>
      <c r="L752" s="564"/>
      <c r="M752" s="564"/>
      <c r="N752" s="564"/>
      <c r="O752" s="3"/>
      <c r="P752" s="3"/>
      <c r="Q752" s="3"/>
      <c r="R752" s="3"/>
      <c r="S752" s="3"/>
      <c r="T752" s="3"/>
      <c r="U752" s="3"/>
      <c r="V752" s="3"/>
      <c r="W752" s="3"/>
      <c r="X752" s="3"/>
      <c r="Y752" s="3"/>
      <c r="Z752" s="3"/>
    </row>
    <row r="753" spans="1:26" ht="15.75" customHeight="1">
      <c r="A753" s="3"/>
      <c r="B753" s="2"/>
      <c r="C753" s="2"/>
      <c r="D753" s="2"/>
      <c r="E753" s="2"/>
      <c r="F753" s="2"/>
      <c r="G753" s="2"/>
      <c r="H753" s="2"/>
      <c r="I753" s="2"/>
      <c r="J753" s="564"/>
      <c r="K753" s="564"/>
      <c r="L753" s="564"/>
      <c r="M753" s="564"/>
      <c r="N753" s="564"/>
      <c r="O753" s="3"/>
      <c r="P753" s="3"/>
      <c r="Q753" s="3"/>
      <c r="R753" s="3"/>
      <c r="S753" s="3"/>
      <c r="T753" s="3"/>
      <c r="U753" s="3"/>
      <c r="V753" s="3"/>
      <c r="W753" s="3"/>
      <c r="X753" s="3"/>
      <c r="Y753" s="3"/>
      <c r="Z753" s="3"/>
    </row>
    <row r="754" spans="1:26" ht="15.75" customHeight="1">
      <c r="A754" s="3"/>
      <c r="B754" s="2"/>
      <c r="C754" s="2"/>
      <c r="D754" s="2"/>
      <c r="E754" s="2"/>
      <c r="F754" s="2"/>
      <c r="G754" s="2"/>
      <c r="H754" s="2"/>
      <c r="I754" s="2"/>
      <c r="J754" s="564"/>
      <c r="K754" s="564"/>
      <c r="L754" s="564"/>
      <c r="M754" s="564"/>
      <c r="N754" s="564"/>
      <c r="O754" s="3"/>
      <c r="P754" s="3"/>
      <c r="Q754" s="3"/>
      <c r="R754" s="3"/>
      <c r="S754" s="3"/>
      <c r="T754" s="3"/>
      <c r="U754" s="3"/>
      <c r="V754" s="3"/>
      <c r="W754" s="3"/>
      <c r="X754" s="3"/>
      <c r="Y754" s="3"/>
      <c r="Z754" s="3"/>
    </row>
    <row r="755" spans="1:26" ht="15.75" customHeight="1">
      <c r="A755" s="3"/>
      <c r="B755" s="2"/>
      <c r="C755" s="2"/>
      <c r="D755" s="2"/>
      <c r="E755" s="2"/>
      <c r="F755" s="2"/>
      <c r="G755" s="2"/>
      <c r="H755" s="2"/>
      <c r="I755" s="2"/>
      <c r="J755" s="564"/>
      <c r="K755" s="564"/>
      <c r="L755" s="564"/>
      <c r="M755" s="564"/>
      <c r="N755" s="564"/>
      <c r="O755" s="3"/>
      <c r="P755" s="3"/>
      <c r="Q755" s="3"/>
      <c r="R755" s="3"/>
      <c r="S755" s="3"/>
      <c r="T755" s="3"/>
      <c r="U755" s="3"/>
      <c r="V755" s="3"/>
      <c r="W755" s="3"/>
      <c r="X755" s="3"/>
      <c r="Y755" s="3"/>
      <c r="Z755" s="3"/>
    </row>
    <row r="756" spans="1:26" ht="15.75" customHeight="1">
      <c r="A756" s="3"/>
      <c r="B756" s="2"/>
      <c r="C756" s="2"/>
      <c r="D756" s="2"/>
      <c r="E756" s="2"/>
      <c r="F756" s="2"/>
      <c r="G756" s="2"/>
      <c r="H756" s="2"/>
      <c r="I756" s="2"/>
      <c r="J756" s="564"/>
      <c r="K756" s="564"/>
      <c r="L756" s="564"/>
      <c r="M756" s="564"/>
      <c r="N756" s="564"/>
      <c r="O756" s="3"/>
      <c r="P756" s="3"/>
      <c r="Q756" s="3"/>
      <c r="R756" s="3"/>
      <c r="S756" s="3"/>
      <c r="T756" s="3"/>
      <c r="U756" s="3"/>
      <c r="V756" s="3"/>
      <c r="W756" s="3"/>
      <c r="X756" s="3"/>
      <c r="Y756" s="3"/>
      <c r="Z756" s="3"/>
    </row>
    <row r="757" spans="1:26" ht="15.75" customHeight="1">
      <c r="A757" s="3"/>
      <c r="B757" s="2"/>
      <c r="C757" s="2"/>
      <c r="D757" s="2"/>
      <c r="E757" s="2"/>
      <c r="F757" s="2"/>
      <c r="G757" s="2"/>
      <c r="H757" s="2"/>
      <c r="I757" s="2"/>
      <c r="J757" s="564"/>
      <c r="K757" s="564"/>
      <c r="L757" s="564"/>
      <c r="M757" s="564"/>
      <c r="N757" s="564"/>
      <c r="O757" s="3"/>
      <c r="P757" s="3"/>
      <c r="Q757" s="3"/>
      <c r="R757" s="3"/>
      <c r="S757" s="3"/>
      <c r="T757" s="3"/>
      <c r="U757" s="3"/>
      <c r="V757" s="3"/>
      <c r="W757" s="3"/>
      <c r="X757" s="3"/>
      <c r="Y757" s="3"/>
      <c r="Z757" s="3"/>
    </row>
    <row r="758" spans="1:26" ht="15.75" customHeight="1">
      <c r="A758" s="3"/>
      <c r="B758" s="2"/>
      <c r="C758" s="2"/>
      <c r="D758" s="2"/>
      <c r="E758" s="2"/>
      <c r="F758" s="2"/>
      <c r="G758" s="2"/>
      <c r="H758" s="2"/>
      <c r="I758" s="2"/>
      <c r="J758" s="564"/>
      <c r="K758" s="564"/>
      <c r="L758" s="564"/>
      <c r="M758" s="564"/>
      <c r="N758" s="564"/>
      <c r="O758" s="3"/>
      <c r="P758" s="3"/>
      <c r="Q758" s="3"/>
      <c r="R758" s="3"/>
      <c r="S758" s="3"/>
      <c r="T758" s="3"/>
      <c r="U758" s="3"/>
      <c r="V758" s="3"/>
      <c r="W758" s="3"/>
      <c r="X758" s="3"/>
      <c r="Y758" s="3"/>
      <c r="Z758" s="3"/>
    </row>
    <row r="759" spans="1:26" ht="15.75" customHeight="1">
      <c r="A759" s="3"/>
      <c r="B759" s="2"/>
      <c r="C759" s="2"/>
      <c r="D759" s="2"/>
      <c r="E759" s="2"/>
      <c r="F759" s="2"/>
      <c r="G759" s="2"/>
      <c r="H759" s="2"/>
      <c r="I759" s="2"/>
      <c r="J759" s="564"/>
      <c r="K759" s="564"/>
      <c r="L759" s="564"/>
      <c r="M759" s="564"/>
      <c r="N759" s="564"/>
      <c r="O759" s="3"/>
      <c r="P759" s="3"/>
      <c r="Q759" s="3"/>
      <c r="R759" s="3"/>
      <c r="S759" s="3"/>
      <c r="T759" s="3"/>
      <c r="U759" s="3"/>
      <c r="V759" s="3"/>
      <c r="W759" s="3"/>
      <c r="X759" s="3"/>
      <c r="Y759" s="3"/>
      <c r="Z759" s="3"/>
    </row>
    <row r="760" spans="1:26" ht="15.75" customHeight="1">
      <c r="A760" s="3"/>
      <c r="B760" s="2"/>
      <c r="C760" s="2"/>
      <c r="D760" s="2"/>
      <c r="E760" s="2"/>
      <c r="F760" s="2"/>
      <c r="G760" s="2"/>
      <c r="H760" s="2"/>
      <c r="I760" s="2"/>
      <c r="J760" s="564"/>
      <c r="K760" s="564"/>
      <c r="L760" s="564"/>
      <c r="M760" s="564"/>
      <c r="N760" s="564"/>
      <c r="O760" s="3"/>
      <c r="P760" s="3"/>
      <c r="Q760" s="3"/>
      <c r="R760" s="3"/>
      <c r="S760" s="3"/>
      <c r="T760" s="3"/>
      <c r="U760" s="3"/>
      <c r="V760" s="3"/>
      <c r="W760" s="3"/>
      <c r="X760" s="3"/>
      <c r="Y760" s="3"/>
      <c r="Z760" s="3"/>
    </row>
    <row r="761" spans="1:26" ht="15.75" customHeight="1">
      <c r="A761" s="3"/>
      <c r="B761" s="2"/>
      <c r="C761" s="2"/>
      <c r="D761" s="2"/>
      <c r="E761" s="2"/>
      <c r="F761" s="2"/>
      <c r="G761" s="2"/>
      <c r="H761" s="2"/>
      <c r="I761" s="2"/>
      <c r="J761" s="564"/>
      <c r="K761" s="564"/>
      <c r="L761" s="564"/>
      <c r="M761" s="564"/>
      <c r="N761" s="564"/>
      <c r="O761" s="3"/>
      <c r="P761" s="3"/>
      <c r="Q761" s="3"/>
      <c r="R761" s="3"/>
      <c r="S761" s="3"/>
      <c r="T761" s="3"/>
      <c r="U761" s="3"/>
      <c r="V761" s="3"/>
      <c r="W761" s="3"/>
      <c r="X761" s="3"/>
      <c r="Y761" s="3"/>
      <c r="Z761" s="3"/>
    </row>
    <row r="762" spans="1:26" ht="15.75" customHeight="1">
      <c r="A762" s="3"/>
      <c r="B762" s="2"/>
      <c r="C762" s="2"/>
      <c r="D762" s="2"/>
      <c r="E762" s="2"/>
      <c r="F762" s="2"/>
      <c r="G762" s="2"/>
      <c r="H762" s="2"/>
      <c r="I762" s="2"/>
      <c r="J762" s="564"/>
      <c r="K762" s="564"/>
      <c r="L762" s="564"/>
      <c r="M762" s="564"/>
      <c r="N762" s="564"/>
      <c r="O762" s="3"/>
      <c r="P762" s="3"/>
      <c r="Q762" s="3"/>
      <c r="R762" s="3"/>
      <c r="S762" s="3"/>
      <c r="T762" s="3"/>
      <c r="U762" s="3"/>
      <c r="V762" s="3"/>
      <c r="W762" s="3"/>
      <c r="X762" s="3"/>
      <c r="Y762" s="3"/>
      <c r="Z762" s="3"/>
    </row>
    <row r="763" spans="1:26" ht="15.75" customHeight="1">
      <c r="A763" s="3"/>
      <c r="B763" s="2"/>
      <c r="C763" s="2"/>
      <c r="D763" s="2"/>
      <c r="E763" s="2"/>
      <c r="F763" s="2"/>
      <c r="G763" s="2"/>
      <c r="H763" s="2"/>
      <c r="I763" s="2"/>
      <c r="J763" s="564"/>
      <c r="K763" s="564"/>
      <c r="L763" s="564"/>
      <c r="M763" s="564"/>
      <c r="N763" s="564"/>
      <c r="O763" s="3"/>
      <c r="P763" s="3"/>
      <c r="Q763" s="3"/>
      <c r="R763" s="3"/>
      <c r="S763" s="3"/>
      <c r="T763" s="3"/>
      <c r="U763" s="3"/>
      <c r="V763" s="3"/>
      <c r="W763" s="3"/>
      <c r="X763" s="3"/>
      <c r="Y763" s="3"/>
      <c r="Z763" s="3"/>
    </row>
    <row r="764" spans="1:26" ht="15.75" customHeight="1">
      <c r="A764" s="3"/>
      <c r="B764" s="2"/>
      <c r="C764" s="2"/>
      <c r="D764" s="2"/>
      <c r="E764" s="2"/>
      <c r="F764" s="2"/>
      <c r="G764" s="2"/>
      <c r="H764" s="2"/>
      <c r="I764" s="2"/>
      <c r="J764" s="564"/>
      <c r="K764" s="564"/>
      <c r="L764" s="564"/>
      <c r="M764" s="564"/>
      <c r="N764" s="564"/>
      <c r="O764" s="3"/>
      <c r="P764" s="3"/>
      <c r="Q764" s="3"/>
      <c r="R764" s="3"/>
      <c r="S764" s="3"/>
      <c r="T764" s="3"/>
      <c r="U764" s="3"/>
      <c r="V764" s="3"/>
      <c r="W764" s="3"/>
      <c r="X764" s="3"/>
      <c r="Y764" s="3"/>
      <c r="Z764" s="3"/>
    </row>
    <row r="765" spans="1:26" ht="15.75" customHeight="1">
      <c r="A765" s="3"/>
      <c r="B765" s="2"/>
      <c r="C765" s="2"/>
      <c r="D765" s="2"/>
      <c r="E765" s="2"/>
      <c r="F765" s="2"/>
      <c r="G765" s="2"/>
      <c r="H765" s="2"/>
      <c r="I765" s="2"/>
      <c r="J765" s="564"/>
      <c r="K765" s="564"/>
      <c r="L765" s="564"/>
      <c r="M765" s="564"/>
      <c r="N765" s="564"/>
      <c r="O765" s="3"/>
      <c r="P765" s="3"/>
      <c r="Q765" s="3"/>
      <c r="R765" s="3"/>
      <c r="S765" s="3"/>
      <c r="T765" s="3"/>
      <c r="U765" s="3"/>
      <c r="V765" s="3"/>
      <c r="W765" s="3"/>
      <c r="X765" s="3"/>
      <c r="Y765" s="3"/>
      <c r="Z765" s="3"/>
    </row>
    <row r="766" spans="1:26" ht="15.75" customHeight="1">
      <c r="A766" s="3"/>
      <c r="B766" s="2"/>
      <c r="C766" s="2"/>
      <c r="D766" s="2"/>
      <c r="E766" s="2"/>
      <c r="F766" s="2"/>
      <c r="G766" s="2"/>
      <c r="H766" s="2"/>
      <c r="I766" s="2"/>
      <c r="J766" s="564"/>
      <c r="K766" s="564"/>
      <c r="L766" s="564"/>
      <c r="M766" s="564"/>
      <c r="N766" s="564"/>
      <c r="O766" s="3"/>
      <c r="P766" s="3"/>
      <c r="Q766" s="3"/>
      <c r="R766" s="3"/>
      <c r="S766" s="3"/>
      <c r="T766" s="3"/>
      <c r="U766" s="3"/>
      <c r="V766" s="3"/>
      <c r="W766" s="3"/>
      <c r="X766" s="3"/>
      <c r="Y766" s="3"/>
      <c r="Z766" s="3"/>
    </row>
    <row r="767" spans="1:26" ht="15.75" customHeight="1">
      <c r="A767" s="3"/>
      <c r="B767" s="2"/>
      <c r="C767" s="2"/>
      <c r="D767" s="2"/>
      <c r="E767" s="2"/>
      <c r="F767" s="2"/>
      <c r="G767" s="2"/>
      <c r="H767" s="2"/>
      <c r="I767" s="2"/>
      <c r="J767" s="564"/>
      <c r="K767" s="564"/>
      <c r="L767" s="564"/>
      <c r="M767" s="564"/>
      <c r="N767" s="564"/>
      <c r="O767" s="3"/>
      <c r="P767" s="3"/>
      <c r="Q767" s="3"/>
      <c r="R767" s="3"/>
      <c r="S767" s="3"/>
      <c r="T767" s="3"/>
      <c r="U767" s="3"/>
      <c r="V767" s="3"/>
      <c r="W767" s="3"/>
      <c r="X767" s="3"/>
      <c r="Y767" s="3"/>
      <c r="Z767" s="3"/>
    </row>
    <row r="768" spans="1:26" ht="15.75" customHeight="1">
      <c r="A768" s="3"/>
      <c r="B768" s="2"/>
      <c r="C768" s="2"/>
      <c r="D768" s="2"/>
      <c r="E768" s="2"/>
      <c r="F768" s="2"/>
      <c r="G768" s="2"/>
      <c r="H768" s="2"/>
      <c r="I768" s="2"/>
      <c r="J768" s="564"/>
      <c r="K768" s="564"/>
      <c r="L768" s="564"/>
      <c r="M768" s="564"/>
      <c r="N768" s="564"/>
      <c r="O768" s="3"/>
      <c r="P768" s="3"/>
      <c r="Q768" s="3"/>
      <c r="R768" s="3"/>
      <c r="S768" s="3"/>
      <c r="T768" s="3"/>
      <c r="U768" s="3"/>
      <c r="V768" s="3"/>
      <c r="W768" s="3"/>
      <c r="X768" s="3"/>
      <c r="Y768" s="3"/>
      <c r="Z768" s="3"/>
    </row>
    <row r="769" spans="1:26" ht="15.75" customHeight="1">
      <c r="A769" s="3"/>
      <c r="B769" s="2"/>
      <c r="C769" s="2"/>
      <c r="D769" s="2"/>
      <c r="E769" s="2"/>
      <c r="F769" s="2"/>
      <c r="G769" s="2"/>
      <c r="H769" s="2"/>
      <c r="I769" s="2"/>
      <c r="J769" s="564"/>
      <c r="K769" s="564"/>
      <c r="L769" s="564"/>
      <c r="M769" s="564"/>
      <c r="N769" s="564"/>
      <c r="O769" s="3"/>
      <c r="P769" s="3"/>
      <c r="Q769" s="3"/>
      <c r="R769" s="3"/>
      <c r="S769" s="3"/>
      <c r="T769" s="3"/>
      <c r="U769" s="3"/>
      <c r="V769" s="3"/>
      <c r="W769" s="3"/>
      <c r="X769" s="3"/>
      <c r="Y769" s="3"/>
      <c r="Z769" s="3"/>
    </row>
    <row r="770" spans="1:26" ht="15.75" customHeight="1">
      <c r="A770" s="3"/>
      <c r="B770" s="2"/>
      <c r="C770" s="2"/>
      <c r="D770" s="2"/>
      <c r="E770" s="2"/>
      <c r="F770" s="2"/>
      <c r="G770" s="2"/>
      <c r="H770" s="2"/>
      <c r="I770" s="2"/>
      <c r="J770" s="564"/>
      <c r="K770" s="564"/>
      <c r="L770" s="564"/>
      <c r="M770" s="564"/>
      <c r="N770" s="564"/>
      <c r="O770" s="3"/>
      <c r="P770" s="3"/>
      <c r="Q770" s="3"/>
      <c r="R770" s="3"/>
      <c r="S770" s="3"/>
      <c r="T770" s="3"/>
      <c r="U770" s="3"/>
      <c r="V770" s="3"/>
      <c r="W770" s="3"/>
      <c r="X770" s="3"/>
      <c r="Y770" s="3"/>
      <c r="Z770" s="3"/>
    </row>
    <row r="771" spans="1:26" ht="15.75" customHeight="1">
      <c r="A771" s="3"/>
      <c r="B771" s="2"/>
      <c r="C771" s="2"/>
      <c r="D771" s="2"/>
      <c r="E771" s="2"/>
      <c r="F771" s="2"/>
      <c r="G771" s="2"/>
      <c r="H771" s="2"/>
      <c r="I771" s="2"/>
      <c r="J771" s="564"/>
      <c r="K771" s="564"/>
      <c r="L771" s="564"/>
      <c r="M771" s="564"/>
      <c r="N771" s="564"/>
      <c r="O771" s="3"/>
      <c r="P771" s="3"/>
      <c r="Q771" s="3"/>
      <c r="R771" s="3"/>
      <c r="S771" s="3"/>
      <c r="T771" s="3"/>
      <c r="U771" s="3"/>
      <c r="V771" s="3"/>
      <c r="W771" s="3"/>
      <c r="X771" s="3"/>
      <c r="Y771" s="3"/>
      <c r="Z771" s="3"/>
    </row>
    <row r="772" spans="1:26" ht="15.75" customHeight="1">
      <c r="A772" s="3"/>
      <c r="B772" s="2"/>
      <c r="C772" s="2"/>
      <c r="D772" s="2"/>
      <c r="E772" s="2"/>
      <c r="F772" s="2"/>
      <c r="G772" s="2"/>
      <c r="H772" s="2"/>
      <c r="I772" s="2"/>
      <c r="J772" s="564"/>
      <c r="K772" s="564"/>
      <c r="L772" s="564"/>
      <c r="M772" s="564"/>
      <c r="N772" s="564"/>
      <c r="O772" s="3"/>
      <c r="P772" s="3"/>
      <c r="Q772" s="3"/>
      <c r="R772" s="3"/>
      <c r="S772" s="3"/>
      <c r="T772" s="3"/>
      <c r="U772" s="3"/>
      <c r="V772" s="3"/>
      <c r="W772" s="3"/>
      <c r="X772" s="3"/>
      <c r="Y772" s="3"/>
      <c r="Z772" s="3"/>
    </row>
    <row r="773" spans="1:26" ht="15.75" customHeight="1">
      <c r="A773" s="3"/>
      <c r="B773" s="2"/>
      <c r="C773" s="2"/>
      <c r="D773" s="2"/>
      <c r="E773" s="2"/>
      <c r="F773" s="2"/>
      <c r="G773" s="2"/>
      <c r="H773" s="2"/>
      <c r="I773" s="2"/>
      <c r="J773" s="564"/>
      <c r="K773" s="564"/>
      <c r="L773" s="564"/>
      <c r="M773" s="564"/>
      <c r="N773" s="564"/>
      <c r="O773" s="3"/>
      <c r="P773" s="3"/>
      <c r="Q773" s="3"/>
      <c r="R773" s="3"/>
      <c r="S773" s="3"/>
      <c r="T773" s="3"/>
      <c r="U773" s="3"/>
      <c r="V773" s="3"/>
      <c r="W773" s="3"/>
      <c r="X773" s="3"/>
      <c r="Y773" s="3"/>
      <c r="Z773" s="3"/>
    </row>
    <row r="774" spans="1:26" ht="15.75" customHeight="1">
      <c r="A774" s="3"/>
      <c r="B774" s="2"/>
      <c r="C774" s="2"/>
      <c r="D774" s="2"/>
      <c r="E774" s="2"/>
      <c r="F774" s="2"/>
      <c r="G774" s="2"/>
      <c r="H774" s="2"/>
      <c r="I774" s="2"/>
      <c r="J774" s="564"/>
      <c r="K774" s="564"/>
      <c r="L774" s="564"/>
      <c r="M774" s="564"/>
      <c r="N774" s="564"/>
      <c r="O774" s="3"/>
      <c r="P774" s="3"/>
      <c r="Q774" s="3"/>
      <c r="R774" s="3"/>
      <c r="S774" s="3"/>
      <c r="T774" s="3"/>
      <c r="U774" s="3"/>
      <c r="V774" s="3"/>
      <c r="W774" s="3"/>
      <c r="X774" s="3"/>
      <c r="Y774" s="3"/>
      <c r="Z774" s="3"/>
    </row>
    <row r="775" spans="1:26" ht="15.75" customHeight="1">
      <c r="A775" s="3"/>
      <c r="B775" s="2"/>
      <c r="C775" s="2"/>
      <c r="D775" s="2"/>
      <c r="E775" s="2"/>
      <c r="F775" s="2"/>
      <c r="G775" s="2"/>
      <c r="H775" s="2"/>
      <c r="I775" s="2"/>
      <c r="J775" s="564"/>
      <c r="K775" s="564"/>
      <c r="L775" s="564"/>
      <c r="M775" s="564"/>
      <c r="N775" s="564"/>
      <c r="O775" s="3"/>
      <c r="P775" s="3"/>
      <c r="Q775" s="3"/>
      <c r="R775" s="3"/>
      <c r="S775" s="3"/>
      <c r="T775" s="3"/>
      <c r="U775" s="3"/>
      <c r="V775" s="3"/>
      <c r="W775" s="3"/>
      <c r="X775" s="3"/>
      <c r="Y775" s="3"/>
      <c r="Z775" s="3"/>
    </row>
    <row r="776" spans="1:26" ht="15.75" customHeight="1">
      <c r="A776" s="3"/>
      <c r="B776" s="2"/>
      <c r="C776" s="2"/>
      <c r="D776" s="2"/>
      <c r="E776" s="2"/>
      <c r="F776" s="2"/>
      <c r="G776" s="2"/>
      <c r="H776" s="2"/>
      <c r="I776" s="2"/>
      <c r="J776" s="564"/>
      <c r="K776" s="564"/>
      <c r="L776" s="564"/>
      <c r="M776" s="564"/>
      <c r="N776" s="564"/>
      <c r="O776" s="3"/>
      <c r="P776" s="3"/>
      <c r="Q776" s="3"/>
      <c r="R776" s="3"/>
      <c r="S776" s="3"/>
      <c r="T776" s="3"/>
      <c r="U776" s="3"/>
      <c r="V776" s="3"/>
      <c r="W776" s="3"/>
      <c r="X776" s="3"/>
      <c r="Y776" s="3"/>
      <c r="Z776" s="3"/>
    </row>
    <row r="777" spans="1:26" ht="15.75" customHeight="1">
      <c r="A777" s="3"/>
      <c r="B777" s="2"/>
      <c r="C777" s="2"/>
      <c r="D777" s="2"/>
      <c r="E777" s="2"/>
      <c r="F777" s="2"/>
      <c r="G777" s="2"/>
      <c r="H777" s="2"/>
      <c r="I777" s="2"/>
      <c r="J777" s="564"/>
      <c r="K777" s="564"/>
      <c r="L777" s="564"/>
      <c r="M777" s="564"/>
      <c r="N777" s="564"/>
      <c r="O777" s="3"/>
      <c r="P777" s="3"/>
      <c r="Q777" s="3"/>
      <c r="R777" s="3"/>
      <c r="S777" s="3"/>
      <c r="T777" s="3"/>
      <c r="U777" s="3"/>
      <c r="V777" s="3"/>
      <c r="W777" s="3"/>
      <c r="X777" s="3"/>
      <c r="Y777" s="3"/>
      <c r="Z777" s="3"/>
    </row>
    <row r="778" spans="1:26" ht="15.75" customHeight="1">
      <c r="A778" s="3"/>
      <c r="B778" s="2"/>
      <c r="C778" s="2"/>
      <c r="D778" s="2"/>
      <c r="E778" s="2"/>
      <c r="F778" s="2"/>
      <c r="G778" s="2"/>
      <c r="H778" s="2"/>
      <c r="I778" s="2"/>
      <c r="J778" s="564"/>
      <c r="K778" s="564"/>
      <c r="L778" s="564"/>
      <c r="M778" s="564"/>
      <c r="N778" s="564"/>
      <c r="O778" s="3"/>
      <c r="P778" s="3"/>
      <c r="Q778" s="3"/>
      <c r="R778" s="3"/>
      <c r="S778" s="3"/>
      <c r="T778" s="3"/>
      <c r="U778" s="3"/>
      <c r="V778" s="3"/>
      <c r="W778" s="3"/>
      <c r="X778" s="3"/>
      <c r="Y778" s="3"/>
      <c r="Z778" s="3"/>
    </row>
    <row r="779" spans="1:26" ht="15.75" customHeight="1">
      <c r="A779" s="3"/>
      <c r="B779" s="2"/>
      <c r="C779" s="2"/>
      <c r="D779" s="2"/>
      <c r="E779" s="2"/>
      <c r="F779" s="2"/>
      <c r="G779" s="2"/>
      <c r="H779" s="2"/>
      <c r="I779" s="2"/>
      <c r="J779" s="564"/>
      <c r="K779" s="564"/>
      <c r="L779" s="564"/>
      <c r="M779" s="564"/>
      <c r="N779" s="564"/>
      <c r="O779" s="3"/>
      <c r="P779" s="3"/>
      <c r="Q779" s="3"/>
      <c r="R779" s="3"/>
      <c r="S779" s="3"/>
      <c r="T779" s="3"/>
      <c r="U779" s="3"/>
      <c r="V779" s="3"/>
      <c r="W779" s="3"/>
      <c r="X779" s="3"/>
      <c r="Y779" s="3"/>
      <c r="Z779" s="3"/>
    </row>
    <row r="780" spans="1:26" ht="15.75" customHeight="1">
      <c r="A780" s="3"/>
      <c r="B780" s="2"/>
      <c r="C780" s="2"/>
      <c r="D780" s="2"/>
      <c r="E780" s="2"/>
      <c r="F780" s="2"/>
      <c r="G780" s="2"/>
      <c r="H780" s="2"/>
      <c r="I780" s="2"/>
      <c r="J780" s="564"/>
      <c r="K780" s="564"/>
      <c r="L780" s="564"/>
      <c r="M780" s="564"/>
      <c r="N780" s="564"/>
      <c r="O780" s="3"/>
      <c r="P780" s="3"/>
      <c r="Q780" s="3"/>
      <c r="R780" s="3"/>
      <c r="S780" s="3"/>
      <c r="T780" s="3"/>
      <c r="U780" s="3"/>
      <c r="V780" s="3"/>
      <c r="W780" s="3"/>
      <c r="X780" s="3"/>
      <c r="Y780" s="3"/>
      <c r="Z780" s="3"/>
    </row>
    <row r="781" spans="1:26" ht="15.75" customHeight="1">
      <c r="A781" s="3"/>
      <c r="B781" s="2"/>
      <c r="C781" s="2"/>
      <c r="D781" s="2"/>
      <c r="E781" s="2"/>
      <c r="F781" s="2"/>
      <c r="G781" s="2"/>
      <c r="H781" s="2"/>
      <c r="I781" s="2"/>
      <c r="J781" s="564"/>
      <c r="K781" s="564"/>
      <c r="L781" s="564"/>
      <c r="M781" s="564"/>
      <c r="N781" s="564"/>
      <c r="O781" s="3"/>
      <c r="P781" s="3"/>
      <c r="Q781" s="3"/>
      <c r="R781" s="3"/>
      <c r="S781" s="3"/>
      <c r="T781" s="3"/>
      <c r="U781" s="3"/>
      <c r="V781" s="3"/>
      <c r="W781" s="3"/>
      <c r="X781" s="3"/>
      <c r="Y781" s="3"/>
      <c r="Z781" s="3"/>
    </row>
    <row r="782" spans="1:26" ht="15.75" customHeight="1">
      <c r="A782" s="3"/>
      <c r="B782" s="2"/>
      <c r="C782" s="2"/>
      <c r="D782" s="2"/>
      <c r="E782" s="2"/>
      <c r="F782" s="2"/>
      <c r="G782" s="2"/>
      <c r="H782" s="2"/>
      <c r="I782" s="2"/>
      <c r="J782" s="564"/>
      <c r="K782" s="564"/>
      <c r="L782" s="564"/>
      <c r="M782" s="564"/>
      <c r="N782" s="564"/>
      <c r="O782" s="3"/>
      <c r="P782" s="3"/>
      <c r="Q782" s="3"/>
      <c r="R782" s="3"/>
      <c r="S782" s="3"/>
      <c r="T782" s="3"/>
      <c r="U782" s="3"/>
      <c r="V782" s="3"/>
      <c r="W782" s="3"/>
      <c r="X782" s="3"/>
      <c r="Y782" s="3"/>
      <c r="Z782" s="3"/>
    </row>
    <row r="783" spans="1:26" ht="15.75" customHeight="1">
      <c r="A783" s="3"/>
      <c r="B783" s="2"/>
      <c r="C783" s="2"/>
      <c r="D783" s="2"/>
      <c r="E783" s="2"/>
      <c r="F783" s="2"/>
      <c r="G783" s="2"/>
      <c r="H783" s="2"/>
      <c r="I783" s="2"/>
      <c r="J783" s="564"/>
      <c r="K783" s="564"/>
      <c r="L783" s="564"/>
      <c r="M783" s="564"/>
      <c r="N783" s="564"/>
      <c r="O783" s="3"/>
      <c r="P783" s="3"/>
      <c r="Q783" s="3"/>
      <c r="R783" s="3"/>
      <c r="S783" s="3"/>
      <c r="T783" s="3"/>
      <c r="U783" s="3"/>
      <c r="V783" s="3"/>
      <c r="W783" s="3"/>
      <c r="X783" s="3"/>
      <c r="Y783" s="3"/>
      <c r="Z783" s="3"/>
    </row>
    <row r="784" spans="1:26" ht="15.75" customHeight="1">
      <c r="A784" s="3"/>
      <c r="B784" s="2"/>
      <c r="C784" s="2"/>
      <c r="D784" s="2"/>
      <c r="E784" s="2"/>
      <c r="F784" s="2"/>
      <c r="G784" s="2"/>
      <c r="H784" s="2"/>
      <c r="I784" s="2"/>
      <c r="J784" s="564"/>
      <c r="K784" s="564"/>
      <c r="L784" s="564"/>
      <c r="M784" s="564"/>
      <c r="N784" s="564"/>
      <c r="O784" s="3"/>
      <c r="P784" s="3"/>
      <c r="Q784" s="3"/>
      <c r="R784" s="3"/>
      <c r="S784" s="3"/>
      <c r="T784" s="3"/>
      <c r="U784" s="3"/>
      <c r="V784" s="3"/>
      <c r="W784" s="3"/>
      <c r="X784" s="3"/>
      <c r="Y784" s="3"/>
      <c r="Z784" s="3"/>
    </row>
    <row r="785" spans="1:26" ht="15.75" customHeight="1">
      <c r="A785" s="3"/>
      <c r="B785" s="2"/>
      <c r="C785" s="2"/>
      <c r="D785" s="2"/>
      <c r="E785" s="2"/>
      <c r="F785" s="2"/>
      <c r="G785" s="2"/>
      <c r="H785" s="2"/>
      <c r="I785" s="2"/>
      <c r="J785" s="564"/>
      <c r="K785" s="564"/>
      <c r="L785" s="564"/>
      <c r="M785" s="564"/>
      <c r="N785" s="564"/>
      <c r="O785" s="3"/>
      <c r="P785" s="3"/>
      <c r="Q785" s="3"/>
      <c r="R785" s="3"/>
      <c r="S785" s="3"/>
      <c r="T785" s="3"/>
      <c r="U785" s="3"/>
      <c r="V785" s="3"/>
      <c r="W785" s="3"/>
      <c r="X785" s="3"/>
      <c r="Y785" s="3"/>
      <c r="Z785" s="3"/>
    </row>
    <row r="786" spans="1:26" ht="15.75" customHeight="1">
      <c r="A786" s="3"/>
      <c r="B786" s="2"/>
      <c r="C786" s="2"/>
      <c r="D786" s="2"/>
      <c r="E786" s="2"/>
      <c r="F786" s="2"/>
      <c r="G786" s="2"/>
      <c r="H786" s="2"/>
      <c r="I786" s="2"/>
      <c r="J786" s="564"/>
      <c r="K786" s="564"/>
      <c r="L786" s="564"/>
      <c r="M786" s="564"/>
      <c r="N786" s="564"/>
      <c r="O786" s="3"/>
      <c r="P786" s="3"/>
      <c r="Q786" s="3"/>
      <c r="R786" s="3"/>
      <c r="S786" s="3"/>
      <c r="T786" s="3"/>
      <c r="U786" s="3"/>
      <c r="V786" s="3"/>
      <c r="W786" s="3"/>
      <c r="X786" s="3"/>
      <c r="Y786" s="3"/>
      <c r="Z786" s="3"/>
    </row>
    <row r="787" spans="1:26" ht="15.75" customHeight="1">
      <c r="A787" s="3"/>
      <c r="B787" s="2"/>
      <c r="C787" s="2"/>
      <c r="D787" s="2"/>
      <c r="E787" s="2"/>
      <c r="F787" s="2"/>
      <c r="G787" s="2"/>
      <c r="H787" s="2"/>
      <c r="I787" s="2"/>
      <c r="J787" s="564"/>
      <c r="K787" s="564"/>
      <c r="L787" s="564"/>
      <c r="M787" s="564"/>
      <c r="N787" s="564"/>
      <c r="O787" s="3"/>
      <c r="P787" s="3"/>
      <c r="Q787" s="3"/>
      <c r="R787" s="3"/>
      <c r="S787" s="3"/>
      <c r="T787" s="3"/>
      <c r="U787" s="3"/>
      <c r="V787" s="3"/>
      <c r="W787" s="3"/>
      <c r="X787" s="3"/>
      <c r="Y787" s="3"/>
      <c r="Z787" s="3"/>
    </row>
    <row r="788" spans="1:26" ht="15.75" customHeight="1">
      <c r="A788" s="3"/>
      <c r="B788" s="2"/>
      <c r="C788" s="2"/>
      <c r="D788" s="2"/>
      <c r="E788" s="2"/>
      <c r="F788" s="2"/>
      <c r="G788" s="2"/>
      <c r="H788" s="2"/>
      <c r="I788" s="2"/>
      <c r="J788" s="564"/>
      <c r="K788" s="564"/>
      <c r="L788" s="564"/>
      <c r="M788" s="564"/>
      <c r="N788" s="564"/>
      <c r="O788" s="3"/>
      <c r="P788" s="3"/>
      <c r="Q788" s="3"/>
      <c r="R788" s="3"/>
      <c r="S788" s="3"/>
      <c r="T788" s="3"/>
      <c r="U788" s="3"/>
      <c r="V788" s="3"/>
      <c r="W788" s="3"/>
      <c r="X788" s="3"/>
      <c r="Y788" s="3"/>
      <c r="Z788" s="3"/>
    </row>
    <row r="789" spans="1:26" ht="15.75" customHeight="1">
      <c r="A789" s="3"/>
      <c r="B789" s="2"/>
      <c r="C789" s="2"/>
      <c r="D789" s="2"/>
      <c r="E789" s="2"/>
      <c r="F789" s="2"/>
      <c r="G789" s="2"/>
      <c r="H789" s="2"/>
      <c r="I789" s="2"/>
      <c r="J789" s="564"/>
      <c r="K789" s="564"/>
      <c r="L789" s="564"/>
      <c r="M789" s="564"/>
      <c r="N789" s="564"/>
      <c r="O789" s="3"/>
      <c r="P789" s="3"/>
      <c r="Q789" s="3"/>
      <c r="R789" s="3"/>
      <c r="S789" s="3"/>
      <c r="T789" s="3"/>
      <c r="U789" s="3"/>
      <c r="V789" s="3"/>
      <c r="W789" s="3"/>
      <c r="X789" s="3"/>
      <c r="Y789" s="3"/>
      <c r="Z789" s="3"/>
    </row>
    <row r="790" spans="1:26" ht="15.75" customHeight="1">
      <c r="A790" s="3"/>
      <c r="B790" s="2"/>
      <c r="C790" s="2"/>
      <c r="D790" s="2"/>
      <c r="E790" s="2"/>
      <c r="F790" s="2"/>
      <c r="G790" s="2"/>
      <c r="H790" s="2"/>
      <c r="I790" s="2"/>
      <c r="J790" s="564"/>
      <c r="K790" s="564"/>
      <c r="L790" s="564"/>
      <c r="M790" s="564"/>
      <c r="N790" s="564"/>
      <c r="O790" s="3"/>
      <c r="P790" s="3"/>
      <c r="Q790" s="3"/>
      <c r="R790" s="3"/>
      <c r="S790" s="3"/>
      <c r="T790" s="3"/>
      <c r="U790" s="3"/>
      <c r="V790" s="3"/>
      <c r="W790" s="3"/>
      <c r="X790" s="3"/>
      <c r="Y790" s="3"/>
      <c r="Z790" s="3"/>
    </row>
    <row r="791" spans="1:26" ht="15.75" customHeight="1">
      <c r="A791" s="3"/>
      <c r="B791" s="2"/>
      <c r="C791" s="2"/>
      <c r="D791" s="2"/>
      <c r="E791" s="2"/>
      <c r="F791" s="2"/>
      <c r="G791" s="2"/>
      <c r="H791" s="2"/>
      <c r="I791" s="2"/>
      <c r="J791" s="564"/>
      <c r="K791" s="564"/>
      <c r="L791" s="564"/>
      <c r="M791" s="564"/>
      <c r="N791" s="564"/>
      <c r="O791" s="3"/>
      <c r="P791" s="3"/>
      <c r="Q791" s="3"/>
      <c r="R791" s="3"/>
      <c r="S791" s="3"/>
      <c r="T791" s="3"/>
      <c r="U791" s="3"/>
      <c r="V791" s="3"/>
      <c r="W791" s="3"/>
      <c r="X791" s="3"/>
      <c r="Y791" s="3"/>
      <c r="Z791" s="3"/>
    </row>
    <row r="792" spans="1:26" ht="15.75" customHeight="1">
      <c r="A792" s="3"/>
      <c r="B792" s="2"/>
      <c r="C792" s="2"/>
      <c r="D792" s="2"/>
      <c r="E792" s="2"/>
      <c r="F792" s="2"/>
      <c r="G792" s="2"/>
      <c r="H792" s="2"/>
      <c r="I792" s="2"/>
      <c r="J792" s="564"/>
      <c r="K792" s="564"/>
      <c r="L792" s="564"/>
      <c r="M792" s="564"/>
      <c r="N792" s="564"/>
      <c r="O792" s="3"/>
      <c r="P792" s="3"/>
      <c r="Q792" s="3"/>
      <c r="R792" s="3"/>
      <c r="S792" s="3"/>
      <c r="T792" s="3"/>
      <c r="U792" s="3"/>
      <c r="V792" s="3"/>
      <c r="W792" s="3"/>
      <c r="X792" s="3"/>
      <c r="Y792" s="3"/>
      <c r="Z792" s="3"/>
    </row>
    <row r="793" spans="1:26" ht="15.75" customHeight="1">
      <c r="A793" s="3"/>
      <c r="B793" s="2"/>
      <c r="C793" s="2"/>
      <c r="D793" s="2"/>
      <c r="E793" s="2"/>
      <c r="F793" s="2"/>
      <c r="G793" s="2"/>
      <c r="H793" s="2"/>
      <c r="I793" s="2"/>
      <c r="J793" s="564"/>
      <c r="K793" s="564"/>
      <c r="L793" s="564"/>
      <c r="M793" s="564"/>
      <c r="N793" s="564"/>
      <c r="O793" s="3"/>
      <c r="P793" s="3"/>
      <c r="Q793" s="3"/>
      <c r="R793" s="3"/>
      <c r="S793" s="3"/>
      <c r="T793" s="3"/>
      <c r="U793" s="3"/>
      <c r="V793" s="3"/>
      <c r="W793" s="3"/>
      <c r="X793" s="3"/>
      <c r="Y793" s="3"/>
      <c r="Z793" s="3"/>
    </row>
    <row r="794" spans="1:26" ht="15.75" customHeight="1">
      <c r="A794" s="3"/>
      <c r="B794" s="2"/>
      <c r="C794" s="2"/>
      <c r="D794" s="2"/>
      <c r="E794" s="2"/>
      <c r="F794" s="2"/>
      <c r="G794" s="2"/>
      <c r="H794" s="2"/>
      <c r="I794" s="2"/>
      <c r="J794" s="564"/>
      <c r="K794" s="564"/>
      <c r="L794" s="564"/>
      <c r="M794" s="564"/>
      <c r="N794" s="564"/>
      <c r="O794" s="3"/>
      <c r="P794" s="3"/>
      <c r="Q794" s="3"/>
      <c r="R794" s="3"/>
      <c r="S794" s="3"/>
      <c r="T794" s="3"/>
      <c r="U794" s="3"/>
      <c r="V794" s="3"/>
      <c r="W794" s="3"/>
      <c r="X794" s="3"/>
      <c r="Y794" s="3"/>
      <c r="Z794" s="3"/>
    </row>
    <row r="795" spans="1:26" ht="15.75" customHeight="1">
      <c r="A795" s="3"/>
      <c r="B795" s="2"/>
      <c r="C795" s="2"/>
      <c r="D795" s="2"/>
      <c r="E795" s="2"/>
      <c r="F795" s="2"/>
      <c r="G795" s="2"/>
      <c r="H795" s="2"/>
      <c r="I795" s="2"/>
      <c r="J795" s="564"/>
      <c r="K795" s="564"/>
      <c r="L795" s="564"/>
      <c r="M795" s="564"/>
      <c r="N795" s="564"/>
      <c r="O795" s="3"/>
      <c r="P795" s="3"/>
      <c r="Q795" s="3"/>
      <c r="R795" s="3"/>
      <c r="S795" s="3"/>
      <c r="T795" s="3"/>
      <c r="U795" s="3"/>
      <c r="V795" s="3"/>
      <c r="W795" s="3"/>
      <c r="X795" s="3"/>
      <c r="Y795" s="3"/>
      <c r="Z795" s="3"/>
    </row>
    <row r="796" spans="1:26" ht="15.75" customHeight="1">
      <c r="A796" s="3"/>
      <c r="B796" s="2"/>
      <c r="C796" s="2"/>
      <c r="D796" s="2"/>
      <c r="E796" s="2"/>
      <c r="F796" s="2"/>
      <c r="G796" s="2"/>
      <c r="H796" s="2"/>
      <c r="I796" s="2"/>
      <c r="J796" s="564"/>
      <c r="K796" s="564"/>
      <c r="L796" s="564"/>
      <c r="M796" s="564"/>
      <c r="N796" s="564"/>
      <c r="O796" s="3"/>
      <c r="P796" s="3"/>
      <c r="Q796" s="3"/>
      <c r="R796" s="3"/>
      <c r="S796" s="3"/>
      <c r="T796" s="3"/>
      <c r="U796" s="3"/>
      <c r="V796" s="3"/>
      <c r="W796" s="3"/>
      <c r="X796" s="3"/>
      <c r="Y796" s="3"/>
      <c r="Z796" s="3"/>
    </row>
    <row r="797" spans="1:26" ht="15.75" customHeight="1">
      <c r="A797" s="3"/>
      <c r="B797" s="2"/>
      <c r="C797" s="2"/>
      <c r="D797" s="2"/>
      <c r="E797" s="2"/>
      <c r="F797" s="2"/>
      <c r="G797" s="2"/>
      <c r="H797" s="2"/>
      <c r="I797" s="2"/>
      <c r="J797" s="564"/>
      <c r="K797" s="564"/>
      <c r="L797" s="564"/>
      <c r="M797" s="564"/>
      <c r="N797" s="564"/>
      <c r="O797" s="3"/>
      <c r="P797" s="3"/>
      <c r="Q797" s="3"/>
      <c r="R797" s="3"/>
      <c r="S797" s="3"/>
      <c r="T797" s="3"/>
      <c r="U797" s="3"/>
      <c r="V797" s="3"/>
      <c r="W797" s="3"/>
      <c r="X797" s="3"/>
      <c r="Y797" s="3"/>
      <c r="Z797" s="3"/>
    </row>
    <row r="798" spans="1:26" ht="15.75" customHeight="1">
      <c r="A798" s="3"/>
      <c r="B798" s="2"/>
      <c r="C798" s="2"/>
      <c r="D798" s="2"/>
      <c r="E798" s="2"/>
      <c r="F798" s="2"/>
      <c r="G798" s="2"/>
      <c r="H798" s="2"/>
      <c r="I798" s="2"/>
      <c r="J798" s="564"/>
      <c r="K798" s="564"/>
      <c r="L798" s="564"/>
      <c r="M798" s="564"/>
      <c r="N798" s="564"/>
      <c r="O798" s="3"/>
      <c r="P798" s="3"/>
      <c r="Q798" s="3"/>
      <c r="R798" s="3"/>
      <c r="S798" s="3"/>
      <c r="T798" s="3"/>
      <c r="U798" s="3"/>
      <c r="V798" s="3"/>
      <c r="W798" s="3"/>
      <c r="X798" s="3"/>
      <c r="Y798" s="3"/>
      <c r="Z798" s="3"/>
    </row>
    <row r="799" spans="1:26" ht="15.75" customHeight="1">
      <c r="A799" s="3"/>
      <c r="B799" s="2"/>
      <c r="C799" s="2"/>
      <c r="D799" s="2"/>
      <c r="E799" s="2"/>
      <c r="F799" s="2"/>
      <c r="G799" s="2"/>
      <c r="H799" s="2"/>
      <c r="I799" s="2"/>
      <c r="J799" s="564"/>
      <c r="K799" s="564"/>
      <c r="L799" s="564"/>
      <c r="M799" s="564"/>
      <c r="N799" s="564"/>
      <c r="O799" s="3"/>
      <c r="P799" s="3"/>
      <c r="Q799" s="3"/>
      <c r="R799" s="3"/>
      <c r="S799" s="3"/>
      <c r="T799" s="3"/>
      <c r="U799" s="3"/>
      <c r="V799" s="3"/>
      <c r="W799" s="3"/>
      <c r="X799" s="3"/>
      <c r="Y799" s="3"/>
      <c r="Z799" s="3"/>
    </row>
    <row r="800" spans="1:26" ht="15.75" customHeight="1">
      <c r="A800" s="3"/>
      <c r="B800" s="2"/>
      <c r="C800" s="2"/>
      <c r="D800" s="2"/>
      <c r="E800" s="2"/>
      <c r="F800" s="2"/>
      <c r="G800" s="2"/>
      <c r="H800" s="2"/>
      <c r="I800" s="2"/>
      <c r="J800" s="564"/>
      <c r="K800" s="564"/>
      <c r="L800" s="564"/>
      <c r="M800" s="564"/>
      <c r="N800" s="564"/>
      <c r="O800" s="3"/>
      <c r="P800" s="3"/>
      <c r="Q800" s="3"/>
      <c r="R800" s="3"/>
      <c r="S800" s="3"/>
      <c r="T800" s="3"/>
      <c r="U800" s="3"/>
      <c r="V800" s="3"/>
      <c r="W800" s="3"/>
      <c r="X800" s="3"/>
      <c r="Y800" s="3"/>
      <c r="Z800" s="3"/>
    </row>
    <row r="801" spans="1:26" ht="15.75" customHeight="1">
      <c r="A801" s="3"/>
      <c r="B801" s="2"/>
      <c r="C801" s="2"/>
      <c r="D801" s="2"/>
      <c r="E801" s="2"/>
      <c r="F801" s="2"/>
      <c r="G801" s="2"/>
      <c r="H801" s="2"/>
      <c r="I801" s="2"/>
      <c r="J801" s="564"/>
      <c r="K801" s="564"/>
      <c r="L801" s="564"/>
      <c r="M801" s="564"/>
      <c r="N801" s="564"/>
      <c r="O801" s="3"/>
      <c r="P801" s="3"/>
      <c r="Q801" s="3"/>
      <c r="R801" s="3"/>
      <c r="S801" s="3"/>
      <c r="T801" s="3"/>
      <c r="U801" s="3"/>
      <c r="V801" s="3"/>
      <c r="W801" s="3"/>
      <c r="X801" s="3"/>
      <c r="Y801" s="3"/>
      <c r="Z801" s="3"/>
    </row>
    <row r="802" spans="1:26" ht="15.75" customHeight="1">
      <c r="A802" s="3"/>
      <c r="B802" s="2"/>
      <c r="C802" s="2"/>
      <c r="D802" s="2"/>
      <c r="E802" s="2"/>
      <c r="F802" s="2"/>
      <c r="G802" s="2"/>
      <c r="H802" s="2"/>
      <c r="I802" s="2"/>
      <c r="J802" s="564"/>
      <c r="K802" s="564"/>
      <c r="L802" s="564"/>
      <c r="M802" s="564"/>
      <c r="N802" s="564"/>
      <c r="O802" s="3"/>
      <c r="P802" s="3"/>
      <c r="Q802" s="3"/>
      <c r="R802" s="3"/>
      <c r="S802" s="3"/>
      <c r="T802" s="3"/>
      <c r="U802" s="3"/>
      <c r="V802" s="3"/>
      <c r="W802" s="3"/>
      <c r="X802" s="3"/>
      <c r="Y802" s="3"/>
      <c r="Z802" s="3"/>
    </row>
    <row r="803" spans="1:26" ht="15.75" customHeight="1">
      <c r="A803" s="3"/>
      <c r="B803" s="2"/>
      <c r="C803" s="2"/>
      <c r="D803" s="2"/>
      <c r="E803" s="2"/>
      <c r="F803" s="2"/>
      <c r="G803" s="2"/>
      <c r="H803" s="2"/>
      <c r="I803" s="2"/>
      <c r="J803" s="564"/>
      <c r="K803" s="564"/>
      <c r="L803" s="564"/>
      <c r="M803" s="564"/>
      <c r="N803" s="564"/>
      <c r="O803" s="3"/>
      <c r="P803" s="3"/>
      <c r="Q803" s="3"/>
      <c r="R803" s="3"/>
      <c r="S803" s="3"/>
      <c r="T803" s="3"/>
      <c r="U803" s="3"/>
      <c r="V803" s="3"/>
      <c r="W803" s="3"/>
      <c r="X803" s="3"/>
      <c r="Y803" s="3"/>
      <c r="Z803" s="3"/>
    </row>
    <row r="804" spans="1:26" ht="15.75" customHeight="1">
      <c r="A804" s="3"/>
      <c r="B804" s="2"/>
      <c r="C804" s="2"/>
      <c r="D804" s="2"/>
      <c r="E804" s="2"/>
      <c r="F804" s="2"/>
      <c r="G804" s="2"/>
      <c r="H804" s="2"/>
      <c r="I804" s="2"/>
      <c r="J804" s="564"/>
      <c r="K804" s="564"/>
      <c r="L804" s="564"/>
      <c r="M804" s="564"/>
      <c r="N804" s="564"/>
      <c r="O804" s="3"/>
      <c r="P804" s="3"/>
      <c r="Q804" s="3"/>
      <c r="R804" s="3"/>
      <c r="S804" s="3"/>
      <c r="T804" s="3"/>
      <c r="U804" s="3"/>
      <c r="V804" s="3"/>
      <c r="W804" s="3"/>
      <c r="X804" s="3"/>
      <c r="Y804" s="3"/>
      <c r="Z804" s="3"/>
    </row>
    <row r="805" spans="1:26" ht="15.75" customHeight="1">
      <c r="A805" s="3"/>
      <c r="B805" s="2"/>
      <c r="C805" s="2"/>
      <c r="D805" s="2"/>
      <c r="E805" s="2"/>
      <c r="F805" s="2"/>
      <c r="G805" s="2"/>
      <c r="H805" s="2"/>
      <c r="I805" s="2"/>
      <c r="J805" s="564"/>
      <c r="K805" s="564"/>
      <c r="L805" s="564"/>
      <c r="M805" s="564"/>
      <c r="N805" s="564"/>
      <c r="O805" s="3"/>
      <c r="P805" s="3"/>
      <c r="Q805" s="3"/>
      <c r="R805" s="3"/>
      <c r="S805" s="3"/>
      <c r="T805" s="3"/>
      <c r="U805" s="3"/>
      <c r="V805" s="3"/>
      <c r="W805" s="3"/>
      <c r="X805" s="3"/>
      <c r="Y805" s="3"/>
      <c r="Z805" s="3"/>
    </row>
    <row r="806" spans="1:26" ht="15.75" customHeight="1">
      <c r="A806" s="3"/>
      <c r="B806" s="2"/>
      <c r="C806" s="2"/>
      <c r="D806" s="2"/>
      <c r="E806" s="2"/>
      <c r="F806" s="2"/>
      <c r="G806" s="2"/>
      <c r="H806" s="2"/>
      <c r="I806" s="2"/>
      <c r="J806" s="564"/>
      <c r="K806" s="564"/>
      <c r="L806" s="564"/>
      <c r="M806" s="564"/>
      <c r="N806" s="564"/>
      <c r="O806" s="3"/>
      <c r="P806" s="3"/>
      <c r="Q806" s="3"/>
      <c r="R806" s="3"/>
      <c r="S806" s="3"/>
      <c r="T806" s="3"/>
      <c r="U806" s="3"/>
      <c r="V806" s="3"/>
      <c r="W806" s="3"/>
      <c r="X806" s="3"/>
      <c r="Y806" s="3"/>
      <c r="Z806" s="3"/>
    </row>
    <row r="807" spans="1:26" ht="15.75" customHeight="1">
      <c r="A807" s="3"/>
      <c r="B807" s="2"/>
      <c r="C807" s="2"/>
      <c r="D807" s="2"/>
      <c r="E807" s="2"/>
      <c r="F807" s="2"/>
      <c r="G807" s="2"/>
      <c r="H807" s="2"/>
      <c r="I807" s="2"/>
      <c r="J807" s="564"/>
      <c r="K807" s="564"/>
      <c r="L807" s="564"/>
      <c r="M807" s="564"/>
      <c r="N807" s="564"/>
      <c r="O807" s="3"/>
      <c r="P807" s="3"/>
      <c r="Q807" s="3"/>
      <c r="R807" s="3"/>
      <c r="S807" s="3"/>
      <c r="T807" s="3"/>
      <c r="U807" s="3"/>
      <c r="V807" s="3"/>
      <c r="W807" s="3"/>
      <c r="X807" s="3"/>
      <c r="Y807" s="3"/>
      <c r="Z807" s="3"/>
    </row>
    <row r="808" spans="1:26" ht="15.75" customHeight="1">
      <c r="A808" s="3"/>
      <c r="B808" s="2"/>
      <c r="C808" s="2"/>
      <c r="D808" s="2"/>
      <c r="E808" s="2"/>
      <c r="F808" s="2"/>
      <c r="G808" s="2"/>
      <c r="H808" s="2"/>
      <c r="I808" s="2"/>
      <c r="J808" s="564"/>
      <c r="K808" s="564"/>
      <c r="L808" s="564"/>
      <c r="M808" s="564"/>
      <c r="N808" s="564"/>
      <c r="O808" s="3"/>
      <c r="P808" s="3"/>
      <c r="Q808" s="3"/>
      <c r="R808" s="3"/>
      <c r="S808" s="3"/>
      <c r="T808" s="3"/>
      <c r="U808" s="3"/>
      <c r="V808" s="3"/>
      <c r="W808" s="3"/>
      <c r="X808" s="3"/>
      <c r="Y808" s="3"/>
      <c r="Z808" s="3"/>
    </row>
    <row r="809" spans="1:26" ht="15.75" customHeight="1">
      <c r="A809" s="3"/>
      <c r="B809" s="2"/>
      <c r="C809" s="2"/>
      <c r="D809" s="2"/>
      <c r="E809" s="2"/>
      <c r="F809" s="2"/>
      <c r="G809" s="2"/>
      <c r="H809" s="2"/>
      <c r="I809" s="2"/>
      <c r="J809" s="564"/>
      <c r="K809" s="564"/>
      <c r="L809" s="564"/>
      <c r="M809" s="564"/>
      <c r="N809" s="564"/>
      <c r="O809" s="3"/>
      <c r="P809" s="3"/>
      <c r="Q809" s="3"/>
      <c r="R809" s="3"/>
      <c r="S809" s="3"/>
      <c r="T809" s="3"/>
      <c r="U809" s="3"/>
      <c r="V809" s="3"/>
      <c r="W809" s="3"/>
      <c r="X809" s="3"/>
      <c r="Y809" s="3"/>
      <c r="Z809" s="3"/>
    </row>
    <row r="810" spans="1:26" ht="15.75" customHeight="1">
      <c r="A810" s="3"/>
      <c r="B810" s="2"/>
      <c r="C810" s="2"/>
      <c r="D810" s="2"/>
      <c r="E810" s="2"/>
      <c r="F810" s="2"/>
      <c r="G810" s="2"/>
      <c r="H810" s="2"/>
      <c r="I810" s="2"/>
      <c r="J810" s="564"/>
      <c r="K810" s="564"/>
      <c r="L810" s="564"/>
      <c r="M810" s="564"/>
      <c r="N810" s="564"/>
      <c r="O810" s="3"/>
      <c r="P810" s="3"/>
      <c r="Q810" s="3"/>
      <c r="R810" s="3"/>
      <c r="S810" s="3"/>
      <c r="T810" s="3"/>
      <c r="U810" s="3"/>
      <c r="V810" s="3"/>
      <c r="W810" s="3"/>
      <c r="X810" s="3"/>
      <c r="Y810" s="3"/>
      <c r="Z810" s="3"/>
    </row>
    <row r="811" spans="1:26" ht="15.75" customHeight="1">
      <c r="A811" s="3"/>
      <c r="B811" s="2"/>
      <c r="C811" s="2"/>
      <c r="D811" s="2"/>
      <c r="E811" s="2"/>
      <c r="F811" s="2"/>
      <c r="G811" s="2"/>
      <c r="H811" s="2"/>
      <c r="I811" s="2"/>
      <c r="J811" s="564"/>
      <c r="K811" s="564"/>
      <c r="L811" s="564"/>
      <c r="M811" s="564"/>
      <c r="N811" s="564"/>
      <c r="O811" s="3"/>
      <c r="P811" s="3"/>
      <c r="Q811" s="3"/>
      <c r="R811" s="3"/>
      <c r="S811" s="3"/>
      <c r="T811" s="3"/>
      <c r="U811" s="3"/>
      <c r="V811" s="3"/>
      <c r="W811" s="3"/>
      <c r="X811" s="3"/>
      <c r="Y811" s="3"/>
      <c r="Z811" s="3"/>
    </row>
    <row r="812" spans="1:26" ht="15.75" customHeight="1">
      <c r="A812" s="3"/>
      <c r="B812" s="2"/>
      <c r="C812" s="2"/>
      <c r="D812" s="2"/>
      <c r="E812" s="2"/>
      <c r="F812" s="2"/>
      <c r="G812" s="2"/>
      <c r="H812" s="2"/>
      <c r="I812" s="2"/>
      <c r="J812" s="564"/>
      <c r="K812" s="564"/>
      <c r="L812" s="564"/>
      <c r="M812" s="564"/>
      <c r="N812" s="564"/>
      <c r="O812" s="3"/>
      <c r="P812" s="3"/>
      <c r="Q812" s="3"/>
      <c r="R812" s="3"/>
      <c r="S812" s="3"/>
      <c r="T812" s="3"/>
      <c r="U812" s="3"/>
      <c r="V812" s="3"/>
      <c r="W812" s="3"/>
      <c r="X812" s="3"/>
      <c r="Y812" s="3"/>
      <c r="Z812" s="3"/>
    </row>
    <row r="813" spans="1:26" ht="15.75" customHeight="1">
      <c r="A813" s="3"/>
      <c r="B813" s="2"/>
      <c r="C813" s="2"/>
      <c r="D813" s="2"/>
      <c r="E813" s="2"/>
      <c r="F813" s="2"/>
      <c r="G813" s="2"/>
      <c r="H813" s="2"/>
      <c r="I813" s="2"/>
      <c r="J813" s="564"/>
      <c r="K813" s="564"/>
      <c r="L813" s="564"/>
      <c r="M813" s="564"/>
      <c r="N813" s="564"/>
      <c r="O813" s="3"/>
      <c r="P813" s="3"/>
      <c r="Q813" s="3"/>
      <c r="R813" s="3"/>
      <c r="S813" s="3"/>
      <c r="T813" s="3"/>
      <c r="U813" s="3"/>
      <c r="V813" s="3"/>
      <c r="W813" s="3"/>
      <c r="X813" s="3"/>
      <c r="Y813" s="3"/>
      <c r="Z813" s="3"/>
    </row>
    <row r="814" spans="1:26" ht="15.75" customHeight="1">
      <c r="A814" s="3"/>
      <c r="B814" s="2"/>
      <c r="C814" s="2"/>
      <c r="D814" s="2"/>
      <c r="E814" s="2"/>
      <c r="F814" s="2"/>
      <c r="G814" s="2"/>
      <c r="H814" s="2"/>
      <c r="I814" s="2"/>
      <c r="J814" s="564"/>
      <c r="K814" s="564"/>
      <c r="L814" s="564"/>
      <c r="M814" s="564"/>
      <c r="N814" s="564"/>
      <c r="O814" s="3"/>
      <c r="P814" s="3"/>
      <c r="Q814" s="3"/>
      <c r="R814" s="3"/>
      <c r="S814" s="3"/>
      <c r="T814" s="3"/>
      <c r="U814" s="3"/>
      <c r="V814" s="3"/>
      <c r="W814" s="3"/>
      <c r="X814" s="3"/>
      <c r="Y814" s="3"/>
      <c r="Z814" s="3"/>
    </row>
    <row r="815" spans="1:26" ht="15.75" customHeight="1">
      <c r="A815" s="3"/>
      <c r="B815" s="2"/>
      <c r="C815" s="2"/>
      <c r="D815" s="2"/>
      <c r="E815" s="2"/>
      <c r="F815" s="2"/>
      <c r="G815" s="2"/>
      <c r="H815" s="2"/>
      <c r="I815" s="2"/>
      <c r="J815" s="564"/>
      <c r="K815" s="564"/>
      <c r="L815" s="564"/>
      <c r="M815" s="564"/>
      <c r="N815" s="564"/>
      <c r="O815" s="3"/>
      <c r="P815" s="3"/>
      <c r="Q815" s="3"/>
      <c r="R815" s="3"/>
      <c r="S815" s="3"/>
      <c r="T815" s="3"/>
      <c r="U815" s="3"/>
      <c r="V815" s="3"/>
      <c r="W815" s="3"/>
      <c r="X815" s="3"/>
      <c r="Y815" s="3"/>
      <c r="Z815" s="3"/>
    </row>
    <row r="816" spans="1:26" ht="15.75" customHeight="1">
      <c r="A816" s="3"/>
      <c r="B816" s="2"/>
      <c r="C816" s="2"/>
      <c r="D816" s="2"/>
      <c r="E816" s="2"/>
      <c r="F816" s="2"/>
      <c r="G816" s="2"/>
      <c r="H816" s="2"/>
      <c r="I816" s="2"/>
      <c r="J816" s="564"/>
      <c r="K816" s="564"/>
      <c r="L816" s="564"/>
      <c r="M816" s="564"/>
      <c r="N816" s="564"/>
      <c r="O816" s="3"/>
      <c r="P816" s="3"/>
      <c r="Q816" s="3"/>
      <c r="R816" s="3"/>
      <c r="S816" s="3"/>
      <c r="T816" s="3"/>
      <c r="U816" s="3"/>
      <c r="V816" s="3"/>
      <c r="W816" s="3"/>
      <c r="X816" s="3"/>
      <c r="Y816" s="3"/>
      <c r="Z816" s="3"/>
    </row>
    <row r="817" spans="1:26" ht="15.75" customHeight="1">
      <c r="A817" s="3"/>
      <c r="B817" s="2"/>
      <c r="C817" s="2"/>
      <c r="D817" s="2"/>
      <c r="E817" s="2"/>
      <c r="F817" s="2"/>
      <c r="G817" s="2"/>
      <c r="H817" s="2"/>
      <c r="I817" s="2"/>
      <c r="J817" s="564"/>
      <c r="K817" s="564"/>
      <c r="L817" s="564"/>
      <c r="M817" s="564"/>
      <c r="N817" s="564"/>
      <c r="O817" s="3"/>
      <c r="P817" s="3"/>
      <c r="Q817" s="3"/>
      <c r="R817" s="3"/>
      <c r="S817" s="3"/>
      <c r="T817" s="3"/>
      <c r="U817" s="3"/>
      <c r="V817" s="3"/>
      <c r="W817" s="3"/>
      <c r="X817" s="3"/>
      <c r="Y817" s="3"/>
      <c r="Z817" s="3"/>
    </row>
    <row r="818" spans="1:26" ht="15.75" customHeight="1">
      <c r="A818" s="3"/>
      <c r="B818" s="2"/>
      <c r="C818" s="2"/>
      <c r="D818" s="2"/>
      <c r="E818" s="2"/>
      <c r="F818" s="2"/>
      <c r="G818" s="2"/>
      <c r="H818" s="2"/>
      <c r="I818" s="2"/>
      <c r="J818" s="564"/>
      <c r="K818" s="564"/>
      <c r="L818" s="564"/>
      <c r="M818" s="564"/>
      <c r="N818" s="564"/>
      <c r="O818" s="3"/>
      <c r="P818" s="3"/>
      <c r="Q818" s="3"/>
      <c r="R818" s="3"/>
      <c r="S818" s="3"/>
      <c r="T818" s="3"/>
      <c r="U818" s="3"/>
      <c r="V818" s="3"/>
      <c r="W818" s="3"/>
      <c r="X818" s="3"/>
      <c r="Y818" s="3"/>
      <c r="Z818" s="3"/>
    </row>
    <row r="819" spans="1:26" ht="15.75" customHeight="1">
      <c r="A819" s="3"/>
      <c r="B819" s="2"/>
      <c r="C819" s="2"/>
      <c r="D819" s="2"/>
      <c r="E819" s="2"/>
      <c r="F819" s="2"/>
      <c r="G819" s="2"/>
      <c r="H819" s="2"/>
      <c r="I819" s="2"/>
      <c r="J819" s="564"/>
      <c r="K819" s="564"/>
      <c r="L819" s="564"/>
      <c r="M819" s="564"/>
      <c r="N819" s="564"/>
      <c r="O819" s="3"/>
      <c r="P819" s="3"/>
      <c r="Q819" s="3"/>
      <c r="R819" s="3"/>
      <c r="S819" s="3"/>
      <c r="T819" s="3"/>
      <c r="U819" s="3"/>
      <c r="V819" s="3"/>
      <c r="W819" s="3"/>
      <c r="X819" s="3"/>
      <c r="Y819" s="3"/>
      <c r="Z819" s="3"/>
    </row>
    <row r="820" spans="1:26" ht="15.75" customHeight="1">
      <c r="A820" s="3"/>
      <c r="B820" s="2"/>
      <c r="C820" s="2"/>
      <c r="D820" s="2"/>
      <c r="E820" s="2"/>
      <c r="F820" s="2"/>
      <c r="G820" s="2"/>
      <c r="H820" s="2"/>
      <c r="I820" s="2"/>
      <c r="J820" s="564"/>
      <c r="K820" s="564"/>
      <c r="L820" s="564"/>
      <c r="M820" s="564"/>
      <c r="N820" s="564"/>
      <c r="O820" s="3"/>
      <c r="P820" s="3"/>
      <c r="Q820" s="3"/>
      <c r="R820" s="3"/>
      <c r="S820" s="3"/>
      <c r="T820" s="3"/>
      <c r="U820" s="3"/>
      <c r="V820" s="3"/>
      <c r="W820" s="3"/>
      <c r="X820" s="3"/>
      <c r="Y820" s="3"/>
      <c r="Z820" s="3"/>
    </row>
    <row r="821" spans="1:26" ht="15.75" customHeight="1">
      <c r="A821" s="3"/>
      <c r="B821" s="2"/>
      <c r="C821" s="2"/>
      <c r="D821" s="2"/>
      <c r="E821" s="2"/>
      <c r="F821" s="2"/>
      <c r="G821" s="2"/>
      <c r="H821" s="2"/>
      <c r="I821" s="2"/>
      <c r="J821" s="564"/>
      <c r="K821" s="564"/>
      <c r="L821" s="564"/>
      <c r="M821" s="564"/>
      <c r="N821" s="564"/>
      <c r="O821" s="3"/>
      <c r="P821" s="3"/>
      <c r="Q821" s="3"/>
      <c r="R821" s="3"/>
      <c r="S821" s="3"/>
      <c r="T821" s="3"/>
      <c r="U821" s="3"/>
      <c r="V821" s="3"/>
      <c r="W821" s="3"/>
      <c r="X821" s="3"/>
      <c r="Y821" s="3"/>
      <c r="Z821" s="3"/>
    </row>
    <row r="822" spans="1:26" ht="15.75" customHeight="1">
      <c r="A822" s="3"/>
      <c r="B822" s="2"/>
      <c r="C822" s="2"/>
      <c r="D822" s="2"/>
      <c r="E822" s="2"/>
      <c r="F822" s="2"/>
      <c r="G822" s="2"/>
      <c r="H822" s="2"/>
      <c r="I822" s="2"/>
      <c r="J822" s="564"/>
      <c r="K822" s="564"/>
      <c r="L822" s="564"/>
      <c r="M822" s="564"/>
      <c r="N822" s="564"/>
      <c r="O822" s="3"/>
      <c r="P822" s="3"/>
      <c r="Q822" s="3"/>
      <c r="R822" s="3"/>
      <c r="S822" s="3"/>
      <c r="T822" s="3"/>
      <c r="U822" s="3"/>
      <c r="V822" s="3"/>
      <c r="W822" s="3"/>
      <c r="X822" s="3"/>
      <c r="Y822" s="3"/>
      <c r="Z822" s="3"/>
    </row>
    <row r="823" spans="1:26" ht="15.75" customHeight="1">
      <c r="A823" s="3"/>
      <c r="B823" s="2"/>
      <c r="C823" s="2"/>
      <c r="D823" s="2"/>
      <c r="E823" s="2"/>
      <c r="F823" s="2"/>
      <c r="G823" s="2"/>
      <c r="H823" s="2"/>
      <c r="I823" s="2"/>
      <c r="J823" s="564"/>
      <c r="K823" s="564"/>
      <c r="L823" s="564"/>
      <c r="M823" s="564"/>
      <c r="N823" s="564"/>
      <c r="O823" s="3"/>
      <c r="P823" s="3"/>
      <c r="Q823" s="3"/>
      <c r="R823" s="3"/>
      <c r="S823" s="3"/>
      <c r="T823" s="3"/>
      <c r="U823" s="3"/>
      <c r="V823" s="3"/>
      <c r="W823" s="3"/>
      <c r="X823" s="3"/>
      <c r="Y823" s="3"/>
      <c r="Z823" s="3"/>
    </row>
    <row r="824" spans="1:26" ht="15.75" customHeight="1">
      <c r="A824" s="3"/>
      <c r="B824" s="2"/>
      <c r="C824" s="2"/>
      <c r="D824" s="2"/>
      <c r="E824" s="2"/>
      <c r="F824" s="2"/>
      <c r="G824" s="2"/>
      <c r="H824" s="2"/>
      <c r="I824" s="2"/>
      <c r="J824" s="564"/>
      <c r="K824" s="564"/>
      <c r="L824" s="564"/>
      <c r="M824" s="564"/>
      <c r="N824" s="564"/>
      <c r="O824" s="3"/>
      <c r="P824" s="3"/>
      <c r="Q824" s="3"/>
      <c r="R824" s="3"/>
      <c r="S824" s="3"/>
      <c r="T824" s="3"/>
      <c r="U824" s="3"/>
      <c r="V824" s="3"/>
      <c r="W824" s="3"/>
      <c r="X824" s="3"/>
      <c r="Y824" s="3"/>
      <c r="Z824" s="3"/>
    </row>
    <row r="825" spans="1:26" ht="15.75" customHeight="1">
      <c r="A825" s="3"/>
      <c r="B825" s="2"/>
      <c r="C825" s="2"/>
      <c r="D825" s="2"/>
      <c r="E825" s="2"/>
      <c r="F825" s="2"/>
      <c r="G825" s="2"/>
      <c r="H825" s="2"/>
      <c r="I825" s="2"/>
      <c r="J825" s="564"/>
      <c r="K825" s="564"/>
      <c r="L825" s="564"/>
      <c r="M825" s="564"/>
      <c r="N825" s="564"/>
      <c r="O825" s="3"/>
      <c r="P825" s="3"/>
      <c r="Q825" s="3"/>
      <c r="R825" s="3"/>
      <c r="S825" s="3"/>
      <c r="T825" s="3"/>
      <c r="U825" s="3"/>
      <c r="V825" s="3"/>
      <c r="W825" s="3"/>
      <c r="X825" s="3"/>
      <c r="Y825" s="3"/>
      <c r="Z825" s="3"/>
    </row>
    <row r="826" spans="1:26" ht="15.75" customHeight="1">
      <c r="A826" s="3"/>
      <c r="B826" s="2"/>
      <c r="C826" s="2"/>
      <c r="D826" s="2"/>
      <c r="E826" s="2"/>
      <c r="F826" s="2"/>
      <c r="G826" s="2"/>
      <c r="H826" s="2"/>
      <c r="I826" s="2"/>
      <c r="J826" s="564"/>
      <c r="K826" s="564"/>
      <c r="L826" s="564"/>
      <c r="M826" s="564"/>
      <c r="N826" s="564"/>
      <c r="O826" s="3"/>
      <c r="P826" s="3"/>
      <c r="Q826" s="3"/>
      <c r="R826" s="3"/>
      <c r="S826" s="3"/>
      <c r="T826" s="3"/>
      <c r="U826" s="3"/>
      <c r="V826" s="3"/>
      <c r="W826" s="3"/>
      <c r="X826" s="3"/>
      <c r="Y826" s="3"/>
      <c r="Z826" s="3"/>
    </row>
    <row r="827" spans="1:26" ht="15.75" customHeight="1">
      <c r="A827" s="3"/>
      <c r="B827" s="2"/>
      <c r="C827" s="2"/>
      <c r="D827" s="2"/>
      <c r="E827" s="2"/>
      <c r="F827" s="2"/>
      <c r="G827" s="2"/>
      <c r="H827" s="2"/>
      <c r="I827" s="2"/>
      <c r="J827" s="564"/>
      <c r="K827" s="564"/>
      <c r="L827" s="564"/>
      <c r="M827" s="564"/>
      <c r="N827" s="564"/>
      <c r="O827" s="3"/>
      <c r="P827" s="3"/>
      <c r="Q827" s="3"/>
      <c r="R827" s="3"/>
      <c r="S827" s="3"/>
      <c r="T827" s="3"/>
      <c r="U827" s="3"/>
      <c r="V827" s="3"/>
      <c r="W827" s="3"/>
      <c r="X827" s="3"/>
      <c r="Y827" s="3"/>
      <c r="Z827" s="3"/>
    </row>
    <row r="828" spans="1:26" ht="15.75" customHeight="1">
      <c r="A828" s="3"/>
      <c r="B828" s="2"/>
      <c r="C828" s="2"/>
      <c r="D828" s="2"/>
      <c r="E828" s="2"/>
      <c r="F828" s="2"/>
      <c r="G828" s="2"/>
      <c r="H828" s="2"/>
      <c r="I828" s="2"/>
      <c r="J828" s="564"/>
      <c r="K828" s="564"/>
      <c r="L828" s="564"/>
      <c r="M828" s="564"/>
      <c r="N828" s="564"/>
      <c r="O828" s="3"/>
      <c r="P828" s="3"/>
      <c r="Q828" s="3"/>
      <c r="R828" s="3"/>
      <c r="S828" s="3"/>
      <c r="T828" s="3"/>
      <c r="U828" s="3"/>
      <c r="V828" s="3"/>
      <c r="W828" s="3"/>
      <c r="X828" s="3"/>
      <c r="Y828" s="3"/>
      <c r="Z828" s="3"/>
    </row>
    <row r="829" spans="1:26" ht="15.75" customHeight="1">
      <c r="A829" s="3"/>
      <c r="B829" s="2"/>
      <c r="C829" s="2"/>
      <c r="D829" s="2"/>
      <c r="E829" s="2"/>
      <c r="F829" s="2"/>
      <c r="G829" s="2"/>
      <c r="H829" s="2"/>
      <c r="I829" s="2"/>
      <c r="J829" s="564"/>
      <c r="K829" s="564"/>
      <c r="L829" s="564"/>
      <c r="M829" s="564"/>
      <c r="N829" s="564"/>
      <c r="O829" s="3"/>
      <c r="P829" s="3"/>
      <c r="Q829" s="3"/>
      <c r="R829" s="3"/>
      <c r="S829" s="3"/>
      <c r="T829" s="3"/>
      <c r="U829" s="3"/>
      <c r="V829" s="3"/>
      <c r="W829" s="3"/>
      <c r="X829" s="3"/>
      <c r="Y829" s="3"/>
      <c r="Z829" s="3"/>
    </row>
    <row r="830" spans="1:26" ht="15.75" customHeight="1">
      <c r="A830" s="3"/>
      <c r="B830" s="2"/>
      <c r="C830" s="2"/>
      <c r="D830" s="2"/>
      <c r="E830" s="2"/>
      <c r="F830" s="2"/>
      <c r="G830" s="2"/>
      <c r="H830" s="2"/>
      <c r="I830" s="2"/>
      <c r="J830" s="564"/>
      <c r="K830" s="564"/>
      <c r="L830" s="564"/>
      <c r="M830" s="564"/>
      <c r="N830" s="564"/>
      <c r="O830" s="3"/>
      <c r="P830" s="3"/>
      <c r="Q830" s="3"/>
      <c r="R830" s="3"/>
      <c r="S830" s="3"/>
      <c r="T830" s="3"/>
      <c r="U830" s="3"/>
      <c r="V830" s="3"/>
      <c r="W830" s="3"/>
      <c r="X830" s="3"/>
      <c r="Y830" s="3"/>
      <c r="Z830" s="3"/>
    </row>
    <row r="831" spans="1:26" ht="15.75" customHeight="1">
      <c r="A831" s="3"/>
      <c r="B831" s="2"/>
      <c r="C831" s="2"/>
      <c r="D831" s="2"/>
      <c r="E831" s="2"/>
      <c r="F831" s="2"/>
      <c r="G831" s="2"/>
      <c r="H831" s="2"/>
      <c r="I831" s="2"/>
      <c r="J831" s="564"/>
      <c r="K831" s="564"/>
      <c r="L831" s="564"/>
      <c r="M831" s="564"/>
      <c r="N831" s="564"/>
      <c r="O831" s="3"/>
      <c r="P831" s="3"/>
      <c r="Q831" s="3"/>
      <c r="R831" s="3"/>
      <c r="S831" s="3"/>
      <c r="T831" s="3"/>
      <c r="U831" s="3"/>
      <c r="V831" s="3"/>
      <c r="W831" s="3"/>
      <c r="X831" s="3"/>
      <c r="Y831" s="3"/>
      <c r="Z831" s="3"/>
    </row>
    <row r="832" spans="1:26" ht="15.75" customHeight="1">
      <c r="A832" s="3"/>
      <c r="B832" s="2"/>
      <c r="C832" s="2"/>
      <c r="D832" s="2"/>
      <c r="E832" s="2"/>
      <c r="F832" s="2"/>
      <c r="G832" s="2"/>
      <c r="H832" s="2"/>
      <c r="I832" s="2"/>
      <c r="J832" s="564"/>
      <c r="K832" s="564"/>
      <c r="L832" s="564"/>
      <c r="M832" s="564"/>
      <c r="N832" s="564"/>
      <c r="O832" s="3"/>
      <c r="P832" s="3"/>
      <c r="Q832" s="3"/>
      <c r="R832" s="3"/>
      <c r="S832" s="3"/>
      <c r="T832" s="3"/>
      <c r="U832" s="3"/>
      <c r="V832" s="3"/>
      <c r="W832" s="3"/>
      <c r="X832" s="3"/>
      <c r="Y832" s="3"/>
      <c r="Z832" s="3"/>
    </row>
    <row r="833" spans="1:26" ht="15.75" customHeight="1">
      <c r="A833" s="3"/>
      <c r="B833" s="2"/>
      <c r="C833" s="2"/>
      <c r="D833" s="2"/>
      <c r="E833" s="2"/>
      <c r="F833" s="2"/>
      <c r="G833" s="2"/>
      <c r="H833" s="2"/>
      <c r="I833" s="2"/>
      <c r="J833" s="564"/>
      <c r="K833" s="564"/>
      <c r="L833" s="564"/>
      <c r="M833" s="564"/>
      <c r="N833" s="564"/>
      <c r="O833" s="3"/>
      <c r="P833" s="3"/>
      <c r="Q833" s="3"/>
      <c r="R833" s="3"/>
      <c r="S833" s="3"/>
      <c r="T833" s="3"/>
      <c r="U833" s="3"/>
      <c r="V833" s="3"/>
      <c r="W833" s="3"/>
      <c r="X833" s="3"/>
      <c r="Y833" s="3"/>
      <c r="Z833" s="3"/>
    </row>
    <row r="834" spans="1:26" ht="15.75" customHeight="1">
      <c r="A834" s="3"/>
      <c r="B834" s="2"/>
      <c r="C834" s="2"/>
      <c r="D834" s="2"/>
      <c r="E834" s="2"/>
      <c r="F834" s="2"/>
      <c r="G834" s="2"/>
      <c r="H834" s="2"/>
      <c r="I834" s="2"/>
      <c r="J834" s="564"/>
      <c r="K834" s="564"/>
      <c r="L834" s="564"/>
      <c r="M834" s="564"/>
      <c r="N834" s="564"/>
      <c r="O834" s="3"/>
      <c r="P834" s="3"/>
      <c r="Q834" s="3"/>
      <c r="R834" s="3"/>
      <c r="S834" s="3"/>
      <c r="T834" s="3"/>
      <c r="U834" s="3"/>
      <c r="V834" s="3"/>
      <c r="W834" s="3"/>
      <c r="X834" s="3"/>
      <c r="Y834" s="3"/>
      <c r="Z834" s="3"/>
    </row>
    <row r="835" spans="1:26" ht="15.75" customHeight="1">
      <c r="A835" s="3"/>
      <c r="B835" s="2"/>
      <c r="C835" s="2"/>
      <c r="D835" s="2"/>
      <c r="E835" s="2"/>
      <c r="F835" s="2"/>
      <c r="G835" s="2"/>
      <c r="H835" s="2"/>
      <c r="I835" s="2"/>
      <c r="J835" s="564"/>
      <c r="K835" s="564"/>
      <c r="L835" s="564"/>
      <c r="M835" s="564"/>
      <c r="N835" s="564"/>
      <c r="O835" s="3"/>
      <c r="P835" s="3"/>
      <c r="Q835" s="3"/>
      <c r="R835" s="3"/>
      <c r="S835" s="3"/>
      <c r="T835" s="3"/>
      <c r="U835" s="3"/>
      <c r="V835" s="3"/>
      <c r="W835" s="3"/>
      <c r="X835" s="3"/>
      <c r="Y835" s="3"/>
      <c r="Z835" s="3"/>
    </row>
    <row r="836" spans="1:26" ht="15.75" customHeight="1">
      <c r="A836" s="3"/>
      <c r="B836" s="2"/>
      <c r="C836" s="2"/>
      <c r="D836" s="2"/>
      <c r="E836" s="2"/>
      <c r="F836" s="2"/>
      <c r="G836" s="2"/>
      <c r="H836" s="2"/>
      <c r="I836" s="2"/>
      <c r="J836" s="564"/>
      <c r="K836" s="564"/>
      <c r="L836" s="564"/>
      <c r="M836" s="564"/>
      <c r="N836" s="564"/>
      <c r="O836" s="3"/>
      <c r="P836" s="3"/>
      <c r="Q836" s="3"/>
      <c r="R836" s="3"/>
      <c r="S836" s="3"/>
      <c r="T836" s="3"/>
      <c r="U836" s="3"/>
      <c r="V836" s="3"/>
      <c r="W836" s="3"/>
      <c r="X836" s="3"/>
      <c r="Y836" s="3"/>
      <c r="Z836" s="3"/>
    </row>
    <row r="837" spans="1:26" ht="15.75" customHeight="1">
      <c r="A837" s="3"/>
      <c r="B837" s="2"/>
      <c r="C837" s="2"/>
      <c r="D837" s="2"/>
      <c r="E837" s="2"/>
      <c r="F837" s="2"/>
      <c r="G837" s="2"/>
      <c r="H837" s="2"/>
      <c r="I837" s="2"/>
      <c r="J837" s="564"/>
      <c r="K837" s="564"/>
      <c r="L837" s="564"/>
      <c r="M837" s="564"/>
      <c r="N837" s="564"/>
      <c r="O837" s="3"/>
      <c r="P837" s="3"/>
      <c r="Q837" s="3"/>
      <c r="R837" s="3"/>
      <c r="S837" s="3"/>
      <c r="T837" s="3"/>
      <c r="U837" s="3"/>
      <c r="V837" s="3"/>
      <c r="W837" s="3"/>
      <c r="X837" s="3"/>
      <c r="Y837" s="3"/>
      <c r="Z837" s="3"/>
    </row>
    <row r="838" spans="1:26" ht="15.75" customHeight="1">
      <c r="A838" s="3"/>
      <c r="B838" s="2"/>
      <c r="C838" s="2"/>
      <c r="D838" s="2"/>
      <c r="E838" s="2"/>
      <c r="F838" s="2"/>
      <c r="G838" s="2"/>
      <c r="H838" s="2"/>
      <c r="I838" s="2"/>
      <c r="J838" s="564"/>
      <c r="K838" s="564"/>
      <c r="L838" s="564"/>
      <c r="M838" s="564"/>
      <c r="N838" s="564"/>
      <c r="O838" s="3"/>
      <c r="P838" s="3"/>
      <c r="Q838" s="3"/>
      <c r="R838" s="3"/>
      <c r="S838" s="3"/>
      <c r="T838" s="3"/>
      <c r="U838" s="3"/>
      <c r="V838" s="3"/>
      <c r="W838" s="3"/>
      <c r="X838" s="3"/>
      <c r="Y838" s="3"/>
      <c r="Z838" s="3"/>
    </row>
    <row r="839" spans="1:26" ht="15.75" customHeight="1">
      <c r="A839" s="3"/>
      <c r="B839" s="2"/>
      <c r="C839" s="2"/>
      <c r="D839" s="2"/>
      <c r="E839" s="2"/>
      <c r="F839" s="2"/>
      <c r="G839" s="2"/>
      <c r="H839" s="2"/>
      <c r="I839" s="2"/>
      <c r="J839" s="564"/>
      <c r="K839" s="564"/>
      <c r="L839" s="564"/>
      <c r="M839" s="564"/>
      <c r="N839" s="564"/>
      <c r="O839" s="3"/>
      <c r="P839" s="3"/>
      <c r="Q839" s="3"/>
      <c r="R839" s="3"/>
      <c r="S839" s="3"/>
      <c r="T839" s="3"/>
      <c r="U839" s="3"/>
      <c r="V839" s="3"/>
      <c r="W839" s="3"/>
      <c r="X839" s="3"/>
      <c r="Y839" s="3"/>
      <c r="Z839" s="3"/>
    </row>
    <row r="840" spans="1:26" ht="15.75" customHeight="1">
      <c r="A840" s="3"/>
      <c r="B840" s="2"/>
      <c r="C840" s="2"/>
      <c r="D840" s="2"/>
      <c r="E840" s="2"/>
      <c r="F840" s="2"/>
      <c r="G840" s="2"/>
      <c r="H840" s="2"/>
      <c r="I840" s="2"/>
      <c r="J840" s="564"/>
      <c r="K840" s="564"/>
      <c r="L840" s="564"/>
      <c r="M840" s="564"/>
      <c r="N840" s="564"/>
      <c r="O840" s="3"/>
      <c r="P840" s="3"/>
      <c r="Q840" s="3"/>
      <c r="R840" s="3"/>
      <c r="S840" s="3"/>
      <c r="T840" s="3"/>
      <c r="U840" s="3"/>
      <c r="V840" s="3"/>
      <c r="W840" s="3"/>
      <c r="X840" s="3"/>
      <c r="Y840" s="3"/>
      <c r="Z840" s="3"/>
    </row>
    <row r="841" spans="1:26" ht="15.75" customHeight="1">
      <c r="A841" s="3"/>
      <c r="B841" s="2"/>
      <c r="C841" s="2"/>
      <c r="D841" s="2"/>
      <c r="E841" s="2"/>
      <c r="F841" s="2"/>
      <c r="G841" s="2"/>
      <c r="H841" s="2"/>
      <c r="I841" s="2"/>
      <c r="J841" s="564"/>
      <c r="K841" s="564"/>
      <c r="L841" s="564"/>
      <c r="M841" s="564"/>
      <c r="N841" s="564"/>
      <c r="O841" s="3"/>
      <c r="P841" s="3"/>
      <c r="Q841" s="3"/>
      <c r="R841" s="3"/>
      <c r="S841" s="3"/>
      <c r="T841" s="3"/>
      <c r="U841" s="3"/>
      <c r="V841" s="3"/>
      <c r="W841" s="3"/>
      <c r="X841" s="3"/>
      <c r="Y841" s="3"/>
      <c r="Z841" s="3"/>
    </row>
    <row r="842" spans="1:26" ht="15.75" customHeight="1">
      <c r="A842" s="3"/>
      <c r="B842" s="2"/>
      <c r="C842" s="2"/>
      <c r="D842" s="2"/>
      <c r="E842" s="2"/>
      <c r="F842" s="2"/>
      <c r="G842" s="2"/>
      <c r="H842" s="2"/>
      <c r="I842" s="2"/>
      <c r="J842" s="564"/>
      <c r="K842" s="564"/>
      <c r="L842" s="564"/>
      <c r="M842" s="564"/>
      <c r="N842" s="564"/>
      <c r="O842" s="3"/>
      <c r="P842" s="3"/>
      <c r="Q842" s="3"/>
      <c r="R842" s="3"/>
      <c r="S842" s="3"/>
      <c r="T842" s="3"/>
      <c r="U842" s="3"/>
      <c r="V842" s="3"/>
      <c r="W842" s="3"/>
      <c r="X842" s="3"/>
      <c r="Y842" s="3"/>
      <c r="Z842" s="3"/>
    </row>
    <row r="843" spans="1:26" ht="15.75" customHeight="1">
      <c r="A843" s="3"/>
      <c r="B843" s="2"/>
      <c r="C843" s="2"/>
      <c r="D843" s="2"/>
      <c r="E843" s="2"/>
      <c r="F843" s="2"/>
      <c r="G843" s="2"/>
      <c r="H843" s="2"/>
      <c r="I843" s="2"/>
      <c r="J843" s="564"/>
      <c r="K843" s="564"/>
      <c r="L843" s="564"/>
      <c r="M843" s="564"/>
      <c r="N843" s="564"/>
      <c r="O843" s="3"/>
      <c r="P843" s="3"/>
      <c r="Q843" s="3"/>
      <c r="R843" s="3"/>
      <c r="S843" s="3"/>
      <c r="T843" s="3"/>
      <c r="U843" s="3"/>
      <c r="V843" s="3"/>
      <c r="W843" s="3"/>
      <c r="X843" s="3"/>
      <c r="Y843" s="3"/>
      <c r="Z843" s="3"/>
    </row>
    <row r="844" spans="1:26" ht="15.75" customHeight="1">
      <c r="A844" s="3"/>
      <c r="B844" s="2"/>
      <c r="C844" s="2"/>
      <c r="D844" s="2"/>
      <c r="E844" s="2"/>
      <c r="F844" s="2"/>
      <c r="G844" s="2"/>
      <c r="H844" s="2"/>
      <c r="I844" s="2"/>
      <c r="J844" s="564"/>
      <c r="K844" s="564"/>
      <c r="L844" s="564"/>
      <c r="M844" s="564"/>
      <c r="N844" s="564"/>
      <c r="O844" s="3"/>
      <c r="P844" s="3"/>
      <c r="Q844" s="3"/>
      <c r="R844" s="3"/>
      <c r="S844" s="3"/>
      <c r="T844" s="3"/>
      <c r="U844" s="3"/>
      <c r="V844" s="3"/>
      <c r="W844" s="3"/>
      <c r="X844" s="3"/>
      <c r="Y844" s="3"/>
      <c r="Z844" s="3"/>
    </row>
    <row r="845" spans="1:26" ht="15.75" customHeight="1">
      <c r="A845" s="3"/>
      <c r="B845" s="2"/>
      <c r="C845" s="2"/>
      <c r="D845" s="2"/>
      <c r="E845" s="2"/>
      <c r="F845" s="2"/>
      <c r="G845" s="2"/>
      <c r="H845" s="2"/>
      <c r="I845" s="2"/>
      <c r="J845" s="564"/>
      <c r="K845" s="564"/>
      <c r="L845" s="564"/>
      <c r="M845" s="564"/>
      <c r="N845" s="564"/>
      <c r="O845" s="3"/>
      <c r="P845" s="3"/>
      <c r="Q845" s="3"/>
      <c r="R845" s="3"/>
      <c r="S845" s="3"/>
      <c r="T845" s="3"/>
      <c r="U845" s="3"/>
      <c r="V845" s="3"/>
      <c r="W845" s="3"/>
      <c r="X845" s="3"/>
      <c r="Y845" s="3"/>
      <c r="Z845" s="3"/>
    </row>
    <row r="846" spans="1:26" ht="15.75" customHeight="1">
      <c r="A846" s="3"/>
      <c r="B846" s="2"/>
      <c r="C846" s="2"/>
      <c r="D846" s="2"/>
      <c r="E846" s="2"/>
      <c r="F846" s="2"/>
      <c r="G846" s="2"/>
      <c r="H846" s="2"/>
      <c r="I846" s="2"/>
      <c r="J846" s="564"/>
      <c r="K846" s="564"/>
      <c r="L846" s="564"/>
      <c r="M846" s="564"/>
      <c r="N846" s="564"/>
      <c r="O846" s="3"/>
      <c r="P846" s="3"/>
      <c r="Q846" s="3"/>
      <c r="R846" s="3"/>
      <c r="S846" s="3"/>
      <c r="T846" s="3"/>
      <c r="U846" s="3"/>
      <c r="V846" s="3"/>
      <c r="W846" s="3"/>
      <c r="X846" s="3"/>
      <c r="Y846" s="3"/>
      <c r="Z846" s="3"/>
    </row>
    <row r="847" spans="1:26" ht="15.75" customHeight="1">
      <c r="A847" s="3"/>
      <c r="B847" s="2"/>
      <c r="C847" s="2"/>
      <c r="D847" s="2"/>
      <c r="E847" s="2"/>
      <c r="F847" s="2"/>
      <c r="G847" s="2"/>
      <c r="H847" s="2"/>
      <c r="I847" s="2"/>
      <c r="J847" s="564"/>
      <c r="K847" s="564"/>
      <c r="L847" s="564"/>
      <c r="M847" s="564"/>
      <c r="N847" s="564"/>
      <c r="O847" s="3"/>
      <c r="P847" s="3"/>
      <c r="Q847" s="3"/>
      <c r="R847" s="3"/>
      <c r="S847" s="3"/>
      <c r="T847" s="3"/>
      <c r="U847" s="3"/>
      <c r="V847" s="3"/>
      <c r="W847" s="3"/>
      <c r="X847" s="3"/>
      <c r="Y847" s="3"/>
      <c r="Z847" s="3"/>
    </row>
    <row r="848" spans="1:26" ht="15.75" customHeight="1">
      <c r="A848" s="3"/>
      <c r="B848" s="2"/>
      <c r="C848" s="2"/>
      <c r="D848" s="2"/>
      <c r="E848" s="2"/>
      <c r="F848" s="2"/>
      <c r="G848" s="2"/>
      <c r="H848" s="2"/>
      <c r="I848" s="2"/>
      <c r="J848" s="564"/>
      <c r="K848" s="564"/>
      <c r="L848" s="564"/>
      <c r="M848" s="564"/>
      <c r="N848" s="564"/>
      <c r="O848" s="3"/>
      <c r="P848" s="3"/>
      <c r="Q848" s="3"/>
      <c r="R848" s="3"/>
      <c r="S848" s="3"/>
      <c r="T848" s="3"/>
      <c r="U848" s="3"/>
      <c r="V848" s="3"/>
      <c r="W848" s="3"/>
      <c r="X848" s="3"/>
      <c r="Y848" s="3"/>
      <c r="Z848" s="3"/>
    </row>
    <row r="849" spans="1:26" ht="15.75" customHeight="1">
      <c r="A849" s="3"/>
      <c r="B849" s="2"/>
      <c r="C849" s="2"/>
      <c r="D849" s="2"/>
      <c r="E849" s="2"/>
      <c r="F849" s="2"/>
      <c r="G849" s="2"/>
      <c r="H849" s="2"/>
      <c r="I849" s="2"/>
      <c r="J849" s="564"/>
      <c r="K849" s="564"/>
      <c r="L849" s="564"/>
      <c r="M849" s="564"/>
      <c r="N849" s="564"/>
      <c r="O849" s="3"/>
      <c r="P849" s="3"/>
      <c r="Q849" s="3"/>
      <c r="R849" s="3"/>
      <c r="S849" s="3"/>
      <c r="T849" s="3"/>
      <c r="U849" s="3"/>
      <c r="V849" s="3"/>
      <c r="W849" s="3"/>
      <c r="X849" s="3"/>
      <c r="Y849" s="3"/>
      <c r="Z849" s="3"/>
    </row>
    <row r="850" spans="1:26" ht="15.75" customHeight="1">
      <c r="A850" s="3"/>
      <c r="B850" s="2"/>
      <c r="C850" s="2"/>
      <c r="D850" s="2"/>
      <c r="E850" s="2"/>
      <c r="F850" s="2"/>
      <c r="G850" s="2"/>
      <c r="H850" s="2"/>
      <c r="I850" s="2"/>
      <c r="J850" s="564"/>
      <c r="K850" s="564"/>
      <c r="L850" s="564"/>
      <c r="M850" s="564"/>
      <c r="N850" s="564"/>
      <c r="O850" s="3"/>
      <c r="P850" s="3"/>
      <c r="Q850" s="3"/>
      <c r="R850" s="3"/>
      <c r="S850" s="3"/>
      <c r="T850" s="3"/>
      <c r="U850" s="3"/>
      <c r="V850" s="3"/>
      <c r="W850" s="3"/>
      <c r="X850" s="3"/>
      <c r="Y850" s="3"/>
      <c r="Z850" s="3"/>
    </row>
    <row r="851" spans="1:26" ht="15.75" customHeight="1">
      <c r="A851" s="3"/>
      <c r="B851" s="2"/>
      <c r="C851" s="2"/>
      <c r="D851" s="2"/>
      <c r="E851" s="2"/>
      <c r="F851" s="2"/>
      <c r="G851" s="2"/>
      <c r="H851" s="2"/>
      <c r="I851" s="2"/>
      <c r="J851" s="564"/>
      <c r="K851" s="564"/>
      <c r="L851" s="564"/>
      <c r="M851" s="564"/>
      <c r="N851" s="564"/>
      <c r="O851" s="3"/>
      <c r="P851" s="3"/>
      <c r="Q851" s="3"/>
      <c r="R851" s="3"/>
      <c r="S851" s="3"/>
      <c r="T851" s="3"/>
      <c r="U851" s="3"/>
      <c r="V851" s="3"/>
      <c r="W851" s="3"/>
      <c r="X851" s="3"/>
      <c r="Y851" s="3"/>
      <c r="Z851" s="3"/>
    </row>
    <row r="852" spans="1:26" ht="15.75" customHeight="1">
      <c r="A852" s="3"/>
      <c r="B852" s="2"/>
      <c r="C852" s="2"/>
      <c r="D852" s="2"/>
      <c r="E852" s="2"/>
      <c r="F852" s="2"/>
      <c r="G852" s="2"/>
      <c r="H852" s="2"/>
      <c r="I852" s="2"/>
      <c r="J852" s="564"/>
      <c r="K852" s="564"/>
      <c r="L852" s="564"/>
      <c r="M852" s="564"/>
      <c r="N852" s="564"/>
      <c r="O852" s="3"/>
      <c r="P852" s="3"/>
      <c r="Q852" s="3"/>
      <c r="R852" s="3"/>
      <c r="S852" s="3"/>
      <c r="T852" s="3"/>
      <c r="U852" s="3"/>
      <c r="V852" s="3"/>
      <c r="W852" s="3"/>
      <c r="X852" s="3"/>
      <c r="Y852" s="3"/>
      <c r="Z852" s="3"/>
    </row>
    <row r="853" spans="1:26" ht="15.75" customHeight="1">
      <c r="A853" s="3"/>
      <c r="B853" s="2"/>
      <c r="C853" s="2"/>
      <c r="D853" s="2"/>
      <c r="E853" s="2"/>
      <c r="F853" s="2"/>
      <c r="G853" s="2"/>
      <c r="H853" s="2"/>
      <c r="I853" s="2"/>
      <c r="J853" s="564"/>
      <c r="K853" s="564"/>
      <c r="L853" s="564"/>
      <c r="M853" s="564"/>
      <c r="N853" s="564"/>
      <c r="O853" s="3"/>
      <c r="P853" s="3"/>
      <c r="Q853" s="3"/>
      <c r="R853" s="3"/>
      <c r="S853" s="3"/>
      <c r="T853" s="3"/>
      <c r="U853" s="3"/>
      <c r="V853" s="3"/>
      <c r="W853" s="3"/>
      <c r="X853" s="3"/>
      <c r="Y853" s="3"/>
      <c r="Z853" s="3"/>
    </row>
    <row r="854" spans="1:26" ht="15.75" customHeight="1">
      <c r="A854" s="3"/>
      <c r="B854" s="2"/>
      <c r="C854" s="2"/>
      <c r="D854" s="2"/>
      <c r="E854" s="2"/>
      <c r="F854" s="2"/>
      <c r="G854" s="2"/>
      <c r="H854" s="2"/>
      <c r="I854" s="2"/>
      <c r="J854" s="564"/>
      <c r="K854" s="564"/>
      <c r="L854" s="564"/>
      <c r="M854" s="564"/>
      <c r="N854" s="564"/>
      <c r="O854" s="3"/>
      <c r="P854" s="3"/>
      <c r="Q854" s="3"/>
      <c r="R854" s="3"/>
      <c r="S854" s="3"/>
      <c r="T854" s="3"/>
      <c r="U854" s="3"/>
      <c r="V854" s="3"/>
      <c r="W854" s="3"/>
      <c r="X854" s="3"/>
      <c r="Y854" s="3"/>
      <c r="Z854" s="3"/>
    </row>
    <row r="855" spans="1:26" ht="15.75" customHeight="1">
      <c r="A855" s="3"/>
      <c r="B855" s="2"/>
      <c r="C855" s="2"/>
      <c r="D855" s="2"/>
      <c r="E855" s="2"/>
      <c r="F855" s="2"/>
      <c r="G855" s="2"/>
      <c r="H855" s="2"/>
      <c r="I855" s="2"/>
      <c r="J855" s="564"/>
      <c r="K855" s="564"/>
      <c r="L855" s="564"/>
      <c r="M855" s="564"/>
      <c r="N855" s="564"/>
      <c r="O855" s="3"/>
      <c r="P855" s="3"/>
      <c r="Q855" s="3"/>
      <c r="R855" s="3"/>
      <c r="S855" s="3"/>
      <c r="T855" s="3"/>
      <c r="U855" s="3"/>
      <c r="V855" s="3"/>
      <c r="W855" s="3"/>
      <c r="X855" s="3"/>
      <c r="Y855" s="3"/>
      <c r="Z855" s="3"/>
    </row>
    <row r="856" spans="1:26" ht="15.75" customHeight="1">
      <c r="A856" s="3"/>
      <c r="B856" s="2"/>
      <c r="C856" s="2"/>
      <c r="D856" s="2"/>
      <c r="E856" s="2"/>
      <c r="F856" s="2"/>
      <c r="G856" s="2"/>
      <c r="H856" s="2"/>
      <c r="I856" s="2"/>
      <c r="J856" s="564"/>
      <c r="K856" s="564"/>
      <c r="L856" s="564"/>
      <c r="M856" s="564"/>
      <c r="N856" s="564"/>
      <c r="O856" s="3"/>
      <c r="P856" s="3"/>
      <c r="Q856" s="3"/>
      <c r="R856" s="3"/>
      <c r="S856" s="3"/>
      <c r="T856" s="3"/>
      <c r="U856" s="3"/>
      <c r="V856" s="3"/>
      <c r="W856" s="3"/>
      <c r="X856" s="3"/>
      <c r="Y856" s="3"/>
      <c r="Z856" s="3"/>
    </row>
    <row r="857" spans="1:26" ht="15.75" customHeight="1">
      <c r="A857" s="3"/>
      <c r="B857" s="2"/>
      <c r="C857" s="2"/>
      <c r="D857" s="2"/>
      <c r="E857" s="2"/>
      <c r="F857" s="2"/>
      <c r="G857" s="2"/>
      <c r="H857" s="2"/>
      <c r="I857" s="2"/>
      <c r="J857" s="564"/>
      <c r="K857" s="564"/>
      <c r="L857" s="564"/>
      <c r="M857" s="564"/>
      <c r="N857" s="564"/>
      <c r="O857" s="3"/>
      <c r="P857" s="3"/>
      <c r="Q857" s="3"/>
      <c r="R857" s="3"/>
      <c r="S857" s="3"/>
      <c r="T857" s="3"/>
      <c r="U857" s="3"/>
      <c r="V857" s="3"/>
      <c r="W857" s="3"/>
      <c r="X857" s="3"/>
      <c r="Y857" s="3"/>
      <c r="Z857" s="3"/>
    </row>
    <row r="858" spans="1:26" ht="15.75" customHeight="1">
      <c r="A858" s="3"/>
      <c r="B858" s="2"/>
      <c r="C858" s="2"/>
      <c r="D858" s="2"/>
      <c r="E858" s="2"/>
      <c r="F858" s="2"/>
      <c r="G858" s="2"/>
      <c r="H858" s="2"/>
      <c r="I858" s="2"/>
      <c r="J858" s="564"/>
      <c r="K858" s="564"/>
      <c r="L858" s="564"/>
      <c r="M858" s="564"/>
      <c r="N858" s="564"/>
      <c r="O858" s="3"/>
      <c r="P858" s="3"/>
      <c r="Q858" s="3"/>
      <c r="R858" s="3"/>
      <c r="S858" s="3"/>
      <c r="T858" s="3"/>
      <c r="U858" s="3"/>
      <c r="V858" s="3"/>
      <c r="W858" s="3"/>
      <c r="X858" s="3"/>
      <c r="Y858" s="3"/>
      <c r="Z858" s="3"/>
    </row>
    <row r="859" spans="1:26" ht="15.75" customHeight="1">
      <c r="A859" s="3"/>
      <c r="B859" s="2"/>
      <c r="C859" s="2"/>
      <c r="D859" s="2"/>
      <c r="E859" s="2"/>
      <c r="F859" s="2"/>
      <c r="G859" s="2"/>
      <c r="H859" s="2"/>
      <c r="I859" s="2"/>
      <c r="J859" s="564"/>
      <c r="K859" s="564"/>
      <c r="L859" s="564"/>
      <c r="M859" s="564"/>
      <c r="N859" s="564"/>
      <c r="O859" s="3"/>
      <c r="P859" s="3"/>
      <c r="Q859" s="3"/>
      <c r="R859" s="3"/>
      <c r="S859" s="3"/>
      <c r="T859" s="3"/>
      <c r="U859" s="3"/>
      <c r="V859" s="3"/>
      <c r="W859" s="3"/>
      <c r="X859" s="3"/>
      <c r="Y859" s="3"/>
      <c r="Z859" s="3"/>
    </row>
    <row r="860" spans="1:26" ht="15.75" customHeight="1">
      <c r="A860" s="3"/>
      <c r="B860" s="2"/>
      <c r="C860" s="2"/>
      <c r="D860" s="2"/>
      <c r="E860" s="2"/>
      <c r="F860" s="2"/>
      <c r="G860" s="2"/>
      <c r="H860" s="2"/>
      <c r="I860" s="2"/>
      <c r="J860" s="564"/>
      <c r="K860" s="564"/>
      <c r="L860" s="564"/>
      <c r="M860" s="564"/>
      <c r="N860" s="564"/>
      <c r="O860" s="3"/>
      <c r="P860" s="3"/>
      <c r="Q860" s="3"/>
      <c r="R860" s="3"/>
      <c r="S860" s="3"/>
      <c r="T860" s="3"/>
      <c r="U860" s="3"/>
      <c r="V860" s="3"/>
      <c r="W860" s="3"/>
      <c r="X860" s="3"/>
      <c r="Y860" s="3"/>
      <c r="Z860" s="3"/>
    </row>
    <row r="861" spans="1:26" ht="15.75" customHeight="1">
      <c r="A861" s="3"/>
      <c r="B861" s="2"/>
      <c r="C861" s="2"/>
      <c r="D861" s="2"/>
      <c r="E861" s="2"/>
      <c r="F861" s="2"/>
      <c r="G861" s="2"/>
      <c r="H861" s="2"/>
      <c r="I861" s="2"/>
      <c r="J861" s="564"/>
      <c r="K861" s="564"/>
      <c r="L861" s="564"/>
      <c r="M861" s="564"/>
      <c r="N861" s="564"/>
      <c r="O861" s="3"/>
      <c r="P861" s="3"/>
      <c r="Q861" s="3"/>
      <c r="R861" s="3"/>
      <c r="S861" s="3"/>
      <c r="T861" s="3"/>
      <c r="U861" s="3"/>
      <c r="V861" s="3"/>
      <c r="W861" s="3"/>
      <c r="X861" s="3"/>
      <c r="Y861" s="3"/>
      <c r="Z861" s="3"/>
    </row>
    <row r="862" spans="1:26" ht="15.75" customHeight="1">
      <c r="A862" s="3"/>
      <c r="B862" s="2"/>
      <c r="C862" s="2"/>
      <c r="D862" s="2"/>
      <c r="E862" s="2"/>
      <c r="F862" s="2"/>
      <c r="G862" s="2"/>
      <c r="H862" s="2"/>
      <c r="I862" s="2"/>
      <c r="J862" s="564"/>
      <c r="K862" s="564"/>
      <c r="L862" s="564"/>
      <c r="M862" s="564"/>
      <c r="N862" s="564"/>
      <c r="O862" s="3"/>
      <c r="P862" s="3"/>
      <c r="Q862" s="3"/>
      <c r="R862" s="3"/>
      <c r="S862" s="3"/>
      <c r="T862" s="3"/>
      <c r="U862" s="3"/>
      <c r="V862" s="3"/>
      <c r="W862" s="3"/>
      <c r="X862" s="3"/>
      <c r="Y862" s="3"/>
      <c r="Z862" s="3"/>
    </row>
    <row r="863" spans="1:26" ht="15.75" customHeight="1">
      <c r="A863" s="3"/>
      <c r="B863" s="2"/>
      <c r="C863" s="2"/>
      <c r="D863" s="2"/>
      <c r="E863" s="2"/>
      <c r="F863" s="2"/>
      <c r="G863" s="2"/>
      <c r="H863" s="2"/>
      <c r="I863" s="2"/>
      <c r="J863" s="564"/>
      <c r="K863" s="564"/>
      <c r="L863" s="564"/>
      <c r="M863" s="564"/>
      <c r="N863" s="564"/>
      <c r="O863" s="3"/>
      <c r="P863" s="3"/>
      <c r="Q863" s="3"/>
      <c r="R863" s="3"/>
      <c r="S863" s="3"/>
      <c r="T863" s="3"/>
      <c r="U863" s="3"/>
      <c r="V863" s="3"/>
      <c r="W863" s="3"/>
      <c r="X863" s="3"/>
      <c r="Y863" s="3"/>
      <c r="Z863" s="3"/>
    </row>
    <row r="864" spans="1:26" ht="15.75" customHeight="1">
      <c r="A864" s="3"/>
      <c r="B864" s="2"/>
      <c r="C864" s="2"/>
      <c r="D864" s="2"/>
      <c r="E864" s="2"/>
      <c r="F864" s="2"/>
      <c r="G864" s="2"/>
      <c r="H864" s="2"/>
      <c r="I864" s="2"/>
      <c r="J864" s="564"/>
      <c r="K864" s="564"/>
      <c r="L864" s="564"/>
      <c r="M864" s="564"/>
      <c r="N864" s="564"/>
      <c r="O864" s="3"/>
      <c r="P864" s="3"/>
      <c r="Q864" s="3"/>
      <c r="R864" s="3"/>
      <c r="S864" s="3"/>
      <c r="T864" s="3"/>
      <c r="U864" s="3"/>
      <c r="V864" s="3"/>
      <c r="W864" s="3"/>
      <c r="X864" s="3"/>
      <c r="Y864" s="3"/>
      <c r="Z864" s="3"/>
    </row>
    <row r="865" spans="1:26" ht="15.75" customHeight="1">
      <c r="A865" s="3"/>
      <c r="B865" s="2"/>
      <c r="C865" s="2"/>
      <c r="D865" s="2"/>
      <c r="E865" s="2"/>
      <c r="F865" s="2"/>
      <c r="G865" s="2"/>
      <c r="H865" s="2"/>
      <c r="I865" s="2"/>
      <c r="J865" s="564"/>
      <c r="K865" s="564"/>
      <c r="L865" s="564"/>
      <c r="M865" s="564"/>
      <c r="N865" s="564"/>
      <c r="O865" s="3"/>
      <c r="P865" s="3"/>
      <c r="Q865" s="3"/>
      <c r="R865" s="3"/>
      <c r="S865" s="3"/>
      <c r="T865" s="3"/>
      <c r="U865" s="3"/>
      <c r="V865" s="3"/>
      <c r="W865" s="3"/>
      <c r="X865" s="3"/>
      <c r="Y865" s="3"/>
      <c r="Z865" s="3"/>
    </row>
    <row r="866" spans="1:26" ht="15.75" customHeight="1">
      <c r="A866" s="3"/>
      <c r="B866" s="2"/>
      <c r="C866" s="2"/>
      <c r="D866" s="2"/>
      <c r="E866" s="2"/>
      <c r="F866" s="2"/>
      <c r="G866" s="2"/>
      <c r="H866" s="2"/>
      <c r="I866" s="2"/>
      <c r="J866" s="564"/>
      <c r="K866" s="564"/>
      <c r="L866" s="564"/>
      <c r="M866" s="564"/>
      <c r="N866" s="564"/>
      <c r="O866" s="3"/>
      <c r="P866" s="3"/>
      <c r="Q866" s="3"/>
      <c r="R866" s="3"/>
      <c r="S866" s="3"/>
      <c r="T866" s="3"/>
      <c r="U866" s="3"/>
      <c r="V866" s="3"/>
      <c r="W866" s="3"/>
      <c r="X866" s="3"/>
      <c r="Y866" s="3"/>
      <c r="Z866" s="3"/>
    </row>
    <row r="867" spans="1:26" ht="15.75" customHeight="1">
      <c r="A867" s="3"/>
      <c r="B867" s="2"/>
      <c r="C867" s="2"/>
      <c r="D867" s="2"/>
      <c r="E867" s="2"/>
      <c r="F867" s="2"/>
      <c r="G867" s="2"/>
      <c r="H867" s="2"/>
      <c r="I867" s="2"/>
      <c r="J867" s="564"/>
      <c r="K867" s="564"/>
      <c r="L867" s="564"/>
      <c r="M867" s="564"/>
      <c r="N867" s="564"/>
      <c r="O867" s="3"/>
      <c r="P867" s="3"/>
      <c r="Q867" s="3"/>
      <c r="R867" s="3"/>
      <c r="S867" s="3"/>
      <c r="T867" s="3"/>
      <c r="U867" s="3"/>
      <c r="V867" s="3"/>
      <c r="W867" s="3"/>
      <c r="X867" s="3"/>
      <c r="Y867" s="3"/>
      <c r="Z867" s="3"/>
    </row>
    <row r="868" spans="1:26" ht="15.75" customHeight="1">
      <c r="A868" s="3"/>
      <c r="B868" s="2"/>
      <c r="C868" s="2"/>
      <c r="D868" s="2"/>
      <c r="E868" s="2"/>
      <c r="F868" s="2"/>
      <c r="G868" s="2"/>
      <c r="H868" s="2"/>
      <c r="I868" s="2"/>
      <c r="J868" s="564"/>
      <c r="K868" s="564"/>
      <c r="L868" s="564"/>
      <c r="M868" s="564"/>
      <c r="N868" s="564"/>
      <c r="O868" s="3"/>
      <c r="P868" s="3"/>
      <c r="Q868" s="3"/>
      <c r="R868" s="3"/>
      <c r="S868" s="3"/>
      <c r="T868" s="3"/>
      <c r="U868" s="3"/>
      <c r="V868" s="3"/>
      <c r="W868" s="3"/>
      <c r="X868" s="3"/>
      <c r="Y868" s="3"/>
      <c r="Z868" s="3"/>
    </row>
    <row r="869" spans="1:26" ht="15.75" customHeight="1">
      <c r="A869" s="3"/>
      <c r="B869" s="2"/>
      <c r="C869" s="2"/>
      <c r="D869" s="2"/>
      <c r="E869" s="2"/>
      <c r="F869" s="2"/>
      <c r="G869" s="2"/>
      <c r="H869" s="2"/>
      <c r="I869" s="2"/>
      <c r="J869" s="564"/>
      <c r="K869" s="564"/>
      <c r="L869" s="564"/>
      <c r="M869" s="564"/>
      <c r="N869" s="564"/>
      <c r="O869" s="3"/>
      <c r="P869" s="3"/>
      <c r="Q869" s="3"/>
      <c r="R869" s="3"/>
      <c r="S869" s="3"/>
      <c r="T869" s="3"/>
      <c r="U869" s="3"/>
      <c r="V869" s="3"/>
      <c r="W869" s="3"/>
      <c r="X869" s="3"/>
      <c r="Y869" s="3"/>
      <c r="Z869" s="3"/>
    </row>
    <row r="870" spans="1:26" ht="15.75" customHeight="1">
      <c r="A870" s="3"/>
      <c r="B870" s="2"/>
      <c r="C870" s="2"/>
      <c r="D870" s="2"/>
      <c r="E870" s="2"/>
      <c r="F870" s="2"/>
      <c r="G870" s="2"/>
      <c r="H870" s="2"/>
      <c r="I870" s="2"/>
      <c r="J870" s="564"/>
      <c r="K870" s="564"/>
      <c r="L870" s="564"/>
      <c r="M870" s="564"/>
      <c r="N870" s="564"/>
      <c r="O870" s="3"/>
      <c r="P870" s="3"/>
      <c r="Q870" s="3"/>
      <c r="R870" s="3"/>
      <c r="S870" s="3"/>
      <c r="T870" s="3"/>
      <c r="U870" s="3"/>
      <c r="V870" s="3"/>
      <c r="W870" s="3"/>
      <c r="X870" s="3"/>
      <c r="Y870" s="3"/>
      <c r="Z870" s="3"/>
    </row>
    <row r="871" spans="1:26" ht="15.75" customHeight="1">
      <c r="A871" s="3"/>
      <c r="B871" s="2"/>
      <c r="C871" s="2"/>
      <c r="D871" s="2"/>
      <c r="E871" s="2"/>
      <c r="F871" s="2"/>
      <c r="G871" s="2"/>
      <c r="H871" s="2"/>
      <c r="I871" s="2"/>
      <c r="J871" s="564"/>
      <c r="K871" s="564"/>
      <c r="L871" s="564"/>
      <c r="M871" s="564"/>
      <c r="N871" s="564"/>
      <c r="O871" s="3"/>
      <c r="P871" s="3"/>
      <c r="Q871" s="3"/>
      <c r="R871" s="3"/>
      <c r="S871" s="3"/>
      <c r="T871" s="3"/>
      <c r="U871" s="3"/>
      <c r="V871" s="3"/>
      <c r="W871" s="3"/>
      <c r="X871" s="3"/>
      <c r="Y871" s="3"/>
      <c r="Z871" s="3"/>
    </row>
    <row r="872" spans="1:26" ht="15.75" customHeight="1">
      <c r="A872" s="3"/>
      <c r="B872" s="2"/>
      <c r="C872" s="2"/>
      <c r="D872" s="2"/>
      <c r="E872" s="2"/>
      <c r="F872" s="2"/>
      <c r="G872" s="2"/>
      <c r="H872" s="2"/>
      <c r="I872" s="2"/>
      <c r="J872" s="564"/>
      <c r="K872" s="564"/>
      <c r="L872" s="564"/>
      <c r="M872" s="564"/>
      <c r="N872" s="564"/>
      <c r="O872" s="3"/>
      <c r="P872" s="3"/>
      <c r="Q872" s="3"/>
      <c r="R872" s="3"/>
      <c r="S872" s="3"/>
      <c r="T872" s="3"/>
      <c r="U872" s="3"/>
      <c r="V872" s="3"/>
      <c r="W872" s="3"/>
      <c r="X872" s="3"/>
      <c r="Y872" s="3"/>
      <c r="Z872" s="3"/>
    </row>
    <row r="873" spans="1:26" ht="15.75" customHeight="1">
      <c r="A873" s="3"/>
      <c r="B873" s="2"/>
      <c r="C873" s="2"/>
      <c r="D873" s="2"/>
      <c r="E873" s="2"/>
      <c r="F873" s="2"/>
      <c r="G873" s="2"/>
      <c r="H873" s="2"/>
      <c r="I873" s="2"/>
      <c r="J873" s="564"/>
      <c r="K873" s="564"/>
      <c r="L873" s="564"/>
      <c r="M873" s="564"/>
      <c r="N873" s="564"/>
      <c r="O873" s="3"/>
      <c r="P873" s="3"/>
      <c r="Q873" s="3"/>
      <c r="R873" s="3"/>
      <c r="S873" s="3"/>
      <c r="T873" s="3"/>
      <c r="U873" s="3"/>
      <c r="V873" s="3"/>
      <c r="W873" s="3"/>
      <c r="X873" s="3"/>
      <c r="Y873" s="3"/>
      <c r="Z873" s="3"/>
    </row>
    <row r="874" spans="1:26" ht="15.75" customHeight="1">
      <c r="A874" s="3"/>
      <c r="B874" s="2"/>
      <c r="C874" s="2"/>
      <c r="D874" s="2"/>
      <c r="E874" s="2"/>
      <c r="F874" s="2"/>
      <c r="G874" s="2"/>
      <c r="H874" s="2"/>
      <c r="I874" s="2"/>
      <c r="J874" s="564"/>
      <c r="K874" s="564"/>
      <c r="L874" s="564"/>
      <c r="M874" s="564"/>
      <c r="N874" s="564"/>
      <c r="O874" s="3"/>
      <c r="P874" s="3"/>
      <c r="Q874" s="3"/>
      <c r="R874" s="3"/>
      <c r="S874" s="3"/>
      <c r="T874" s="3"/>
      <c r="U874" s="3"/>
      <c r="V874" s="3"/>
      <c r="W874" s="3"/>
      <c r="X874" s="3"/>
      <c r="Y874" s="3"/>
      <c r="Z874" s="3"/>
    </row>
    <row r="875" spans="1:26" ht="15.75" customHeight="1">
      <c r="A875" s="3"/>
      <c r="B875" s="2"/>
      <c r="C875" s="2"/>
      <c r="D875" s="2"/>
      <c r="E875" s="2"/>
      <c r="F875" s="2"/>
      <c r="G875" s="2"/>
      <c r="H875" s="2"/>
      <c r="I875" s="2"/>
      <c r="J875" s="564"/>
      <c r="K875" s="564"/>
      <c r="L875" s="564"/>
      <c r="M875" s="564"/>
      <c r="N875" s="564"/>
      <c r="O875" s="3"/>
      <c r="P875" s="3"/>
      <c r="Q875" s="3"/>
      <c r="R875" s="3"/>
      <c r="S875" s="3"/>
      <c r="T875" s="3"/>
      <c r="U875" s="3"/>
      <c r="V875" s="3"/>
      <c r="W875" s="3"/>
      <c r="X875" s="3"/>
      <c r="Y875" s="3"/>
      <c r="Z875" s="3"/>
    </row>
    <row r="876" spans="1:26" ht="15.75" customHeight="1">
      <c r="A876" s="3"/>
      <c r="B876" s="2"/>
      <c r="C876" s="2"/>
      <c r="D876" s="2"/>
      <c r="E876" s="2"/>
      <c r="F876" s="2"/>
      <c r="G876" s="2"/>
      <c r="H876" s="2"/>
      <c r="I876" s="2"/>
      <c r="J876" s="564"/>
      <c r="K876" s="564"/>
      <c r="L876" s="564"/>
      <c r="M876" s="564"/>
      <c r="N876" s="564"/>
      <c r="O876" s="3"/>
      <c r="P876" s="3"/>
      <c r="Q876" s="3"/>
      <c r="R876" s="3"/>
      <c r="S876" s="3"/>
      <c r="T876" s="3"/>
      <c r="U876" s="3"/>
      <c r="V876" s="3"/>
      <c r="W876" s="3"/>
      <c r="X876" s="3"/>
      <c r="Y876" s="3"/>
      <c r="Z876" s="3"/>
    </row>
    <row r="877" spans="1:26" ht="15.75" customHeight="1">
      <c r="A877" s="3"/>
      <c r="B877" s="2"/>
      <c r="C877" s="2"/>
      <c r="D877" s="2"/>
      <c r="E877" s="2"/>
      <c r="F877" s="2"/>
      <c r="G877" s="2"/>
      <c r="H877" s="2"/>
      <c r="I877" s="2"/>
      <c r="J877" s="564"/>
      <c r="K877" s="564"/>
      <c r="L877" s="564"/>
      <c r="M877" s="564"/>
      <c r="N877" s="564"/>
      <c r="O877" s="3"/>
      <c r="P877" s="3"/>
      <c r="Q877" s="3"/>
      <c r="R877" s="3"/>
      <c r="S877" s="3"/>
      <c r="T877" s="3"/>
      <c r="U877" s="3"/>
      <c r="V877" s="3"/>
      <c r="W877" s="3"/>
      <c r="X877" s="3"/>
      <c r="Y877" s="3"/>
      <c r="Z877" s="3"/>
    </row>
    <row r="878" spans="1:26" ht="15.75" customHeight="1">
      <c r="A878" s="3"/>
      <c r="B878" s="2"/>
      <c r="C878" s="2"/>
      <c r="D878" s="2"/>
      <c r="E878" s="2"/>
      <c r="F878" s="2"/>
      <c r="G878" s="2"/>
      <c r="H878" s="2"/>
      <c r="I878" s="2"/>
      <c r="J878" s="564"/>
      <c r="K878" s="564"/>
      <c r="L878" s="564"/>
      <c r="M878" s="564"/>
      <c r="N878" s="564"/>
      <c r="O878" s="3"/>
      <c r="P878" s="3"/>
      <c r="Q878" s="3"/>
      <c r="R878" s="3"/>
      <c r="S878" s="3"/>
      <c r="T878" s="3"/>
      <c r="U878" s="3"/>
      <c r="V878" s="3"/>
      <c r="W878" s="3"/>
      <c r="X878" s="3"/>
      <c r="Y878" s="3"/>
      <c r="Z878" s="3"/>
    </row>
    <row r="879" spans="1:26" ht="15.75" customHeight="1">
      <c r="A879" s="3"/>
      <c r="B879" s="2"/>
      <c r="C879" s="2"/>
      <c r="D879" s="2"/>
      <c r="E879" s="2"/>
      <c r="F879" s="2"/>
      <c r="G879" s="2"/>
      <c r="H879" s="2"/>
      <c r="I879" s="2"/>
      <c r="J879" s="564"/>
      <c r="K879" s="564"/>
      <c r="L879" s="564"/>
      <c r="M879" s="564"/>
      <c r="N879" s="564"/>
      <c r="O879" s="3"/>
      <c r="P879" s="3"/>
      <c r="Q879" s="3"/>
      <c r="R879" s="3"/>
      <c r="S879" s="3"/>
      <c r="T879" s="3"/>
      <c r="U879" s="3"/>
      <c r="V879" s="3"/>
      <c r="W879" s="3"/>
      <c r="X879" s="3"/>
      <c r="Y879" s="3"/>
      <c r="Z879" s="3"/>
    </row>
    <row r="880" spans="1:26" ht="15.75" customHeight="1">
      <c r="A880" s="3"/>
      <c r="B880" s="2"/>
      <c r="C880" s="2"/>
      <c r="D880" s="2"/>
      <c r="E880" s="2"/>
      <c r="F880" s="2"/>
      <c r="G880" s="2"/>
      <c r="H880" s="2"/>
      <c r="I880" s="2"/>
      <c r="J880" s="564"/>
      <c r="K880" s="564"/>
      <c r="L880" s="564"/>
      <c r="M880" s="564"/>
      <c r="N880" s="564"/>
      <c r="O880" s="3"/>
      <c r="P880" s="3"/>
      <c r="Q880" s="3"/>
      <c r="R880" s="3"/>
      <c r="S880" s="3"/>
      <c r="T880" s="3"/>
      <c r="U880" s="3"/>
      <c r="V880" s="3"/>
      <c r="W880" s="3"/>
      <c r="X880" s="3"/>
      <c r="Y880" s="3"/>
      <c r="Z880" s="3"/>
    </row>
    <row r="881" spans="1:26" ht="15.75" customHeight="1">
      <c r="A881" s="3"/>
      <c r="B881" s="2"/>
      <c r="C881" s="2"/>
      <c r="D881" s="2"/>
      <c r="E881" s="2"/>
      <c r="F881" s="2"/>
      <c r="G881" s="2"/>
      <c r="H881" s="2"/>
      <c r="I881" s="2"/>
      <c r="J881" s="564"/>
      <c r="K881" s="564"/>
      <c r="L881" s="564"/>
      <c r="M881" s="564"/>
      <c r="N881" s="564"/>
      <c r="O881" s="3"/>
      <c r="P881" s="3"/>
      <c r="Q881" s="3"/>
      <c r="R881" s="3"/>
      <c r="S881" s="3"/>
      <c r="T881" s="3"/>
      <c r="U881" s="3"/>
      <c r="V881" s="3"/>
      <c r="W881" s="3"/>
      <c r="X881" s="3"/>
      <c r="Y881" s="3"/>
      <c r="Z881" s="3"/>
    </row>
    <row r="882" spans="1:26" ht="15.75" customHeight="1">
      <c r="A882" s="3"/>
      <c r="B882" s="2"/>
      <c r="C882" s="2"/>
      <c r="D882" s="2"/>
      <c r="E882" s="2"/>
      <c r="F882" s="2"/>
      <c r="G882" s="2"/>
      <c r="H882" s="2"/>
      <c r="I882" s="2"/>
      <c r="J882" s="564"/>
      <c r="K882" s="564"/>
      <c r="L882" s="564"/>
      <c r="M882" s="564"/>
      <c r="N882" s="564"/>
      <c r="O882" s="3"/>
      <c r="P882" s="3"/>
      <c r="Q882" s="3"/>
      <c r="R882" s="3"/>
      <c r="S882" s="3"/>
      <c r="T882" s="3"/>
      <c r="U882" s="3"/>
      <c r="V882" s="3"/>
      <c r="W882" s="3"/>
      <c r="X882" s="3"/>
      <c r="Y882" s="3"/>
      <c r="Z882" s="3"/>
    </row>
    <row r="883" spans="1:26" ht="15.75" customHeight="1">
      <c r="A883" s="3"/>
      <c r="B883" s="2"/>
      <c r="C883" s="2"/>
      <c r="D883" s="2"/>
      <c r="E883" s="2"/>
      <c r="F883" s="2"/>
      <c r="G883" s="2"/>
      <c r="H883" s="2"/>
      <c r="I883" s="2"/>
      <c r="J883" s="564"/>
      <c r="K883" s="564"/>
      <c r="L883" s="564"/>
      <c r="M883" s="564"/>
      <c r="N883" s="564"/>
      <c r="O883" s="3"/>
      <c r="P883" s="3"/>
      <c r="Q883" s="3"/>
      <c r="R883" s="3"/>
      <c r="S883" s="3"/>
      <c r="T883" s="3"/>
      <c r="U883" s="3"/>
      <c r="V883" s="3"/>
      <c r="W883" s="3"/>
      <c r="X883" s="3"/>
      <c r="Y883" s="3"/>
      <c r="Z883" s="3"/>
    </row>
    <row r="884" spans="1:26" ht="15.75" customHeight="1">
      <c r="A884" s="3"/>
      <c r="B884" s="2"/>
      <c r="C884" s="2"/>
      <c r="D884" s="2"/>
      <c r="E884" s="2"/>
      <c r="F884" s="2"/>
      <c r="G884" s="2"/>
      <c r="H884" s="2"/>
      <c r="I884" s="2"/>
      <c r="J884" s="564"/>
      <c r="K884" s="564"/>
      <c r="L884" s="564"/>
      <c r="M884" s="564"/>
      <c r="N884" s="564"/>
      <c r="O884" s="3"/>
      <c r="P884" s="3"/>
      <c r="Q884" s="3"/>
      <c r="R884" s="3"/>
      <c r="S884" s="3"/>
      <c r="T884" s="3"/>
      <c r="U884" s="3"/>
      <c r="V884" s="3"/>
      <c r="W884" s="3"/>
      <c r="X884" s="3"/>
      <c r="Y884" s="3"/>
      <c r="Z884" s="3"/>
    </row>
    <row r="885" spans="1:26" ht="15.75" customHeight="1">
      <c r="A885" s="3"/>
      <c r="B885" s="2"/>
      <c r="C885" s="2"/>
      <c r="D885" s="2"/>
      <c r="E885" s="2"/>
      <c r="F885" s="2"/>
      <c r="G885" s="2"/>
      <c r="H885" s="2"/>
      <c r="I885" s="2"/>
      <c r="J885" s="564"/>
      <c r="K885" s="564"/>
      <c r="L885" s="564"/>
      <c r="M885" s="564"/>
      <c r="N885" s="564"/>
      <c r="O885" s="3"/>
      <c r="P885" s="3"/>
      <c r="Q885" s="3"/>
      <c r="R885" s="3"/>
      <c r="S885" s="3"/>
      <c r="T885" s="3"/>
      <c r="U885" s="3"/>
      <c r="V885" s="3"/>
      <c r="W885" s="3"/>
      <c r="X885" s="3"/>
      <c r="Y885" s="3"/>
      <c r="Z885" s="3"/>
    </row>
    <row r="886" spans="1:26" ht="15.75" customHeight="1">
      <c r="A886" s="3"/>
      <c r="B886" s="2"/>
      <c r="C886" s="2"/>
      <c r="D886" s="2"/>
      <c r="E886" s="2"/>
      <c r="F886" s="2"/>
      <c r="G886" s="2"/>
      <c r="H886" s="2"/>
      <c r="I886" s="2"/>
      <c r="J886" s="564"/>
      <c r="K886" s="564"/>
      <c r="L886" s="564"/>
      <c r="M886" s="564"/>
      <c r="N886" s="564"/>
      <c r="O886" s="3"/>
      <c r="P886" s="3"/>
      <c r="Q886" s="3"/>
      <c r="R886" s="3"/>
      <c r="S886" s="3"/>
      <c r="T886" s="3"/>
      <c r="U886" s="3"/>
      <c r="V886" s="3"/>
      <c r="W886" s="3"/>
      <c r="X886" s="3"/>
      <c r="Y886" s="3"/>
      <c r="Z886" s="3"/>
    </row>
    <row r="887" spans="1:26" ht="15.75" customHeight="1">
      <c r="A887" s="3"/>
      <c r="B887" s="2"/>
      <c r="C887" s="2"/>
      <c r="D887" s="2"/>
      <c r="E887" s="2"/>
      <c r="F887" s="2"/>
      <c r="G887" s="2"/>
      <c r="H887" s="2"/>
      <c r="I887" s="2"/>
      <c r="J887" s="564"/>
      <c r="K887" s="564"/>
      <c r="L887" s="564"/>
      <c r="M887" s="564"/>
      <c r="N887" s="564"/>
      <c r="O887" s="3"/>
      <c r="P887" s="3"/>
      <c r="Q887" s="3"/>
      <c r="R887" s="3"/>
      <c r="S887" s="3"/>
      <c r="T887" s="3"/>
      <c r="U887" s="3"/>
      <c r="V887" s="3"/>
      <c r="W887" s="3"/>
      <c r="X887" s="3"/>
      <c r="Y887" s="3"/>
      <c r="Z887" s="3"/>
    </row>
    <row r="888" spans="1:26" ht="15.75" customHeight="1">
      <c r="A888" s="3"/>
      <c r="B888" s="2"/>
      <c r="C888" s="2"/>
      <c r="D888" s="2"/>
      <c r="E888" s="2"/>
      <c r="F888" s="2"/>
      <c r="G888" s="2"/>
      <c r="H888" s="2"/>
      <c r="I888" s="2"/>
      <c r="J888" s="564"/>
      <c r="K888" s="564"/>
      <c r="L888" s="564"/>
      <c r="M888" s="564"/>
      <c r="N888" s="564"/>
      <c r="O888" s="3"/>
      <c r="P888" s="3"/>
      <c r="Q888" s="3"/>
      <c r="R888" s="3"/>
      <c r="S888" s="3"/>
      <c r="T888" s="3"/>
      <c r="U888" s="3"/>
      <c r="V888" s="3"/>
      <c r="W888" s="3"/>
      <c r="X888" s="3"/>
      <c r="Y888" s="3"/>
      <c r="Z888" s="3"/>
    </row>
    <row r="889" spans="1:26" ht="15.75" customHeight="1">
      <c r="A889" s="3"/>
      <c r="B889" s="2"/>
      <c r="C889" s="2"/>
      <c r="D889" s="2"/>
      <c r="E889" s="2"/>
      <c r="F889" s="2"/>
      <c r="G889" s="2"/>
      <c r="H889" s="2"/>
      <c r="I889" s="2"/>
      <c r="J889" s="564"/>
      <c r="K889" s="564"/>
      <c r="L889" s="564"/>
      <c r="M889" s="564"/>
      <c r="N889" s="564"/>
      <c r="O889" s="3"/>
      <c r="P889" s="3"/>
      <c r="Q889" s="3"/>
      <c r="R889" s="3"/>
      <c r="S889" s="3"/>
      <c r="T889" s="3"/>
      <c r="U889" s="3"/>
      <c r="V889" s="3"/>
      <c r="W889" s="3"/>
      <c r="X889" s="3"/>
      <c r="Y889" s="3"/>
      <c r="Z889" s="3"/>
    </row>
    <row r="890" spans="1:26" ht="15.75" customHeight="1">
      <c r="A890" s="3"/>
      <c r="B890" s="2"/>
      <c r="C890" s="2"/>
      <c r="D890" s="2"/>
      <c r="E890" s="2"/>
      <c r="F890" s="2"/>
      <c r="G890" s="2"/>
      <c r="H890" s="2"/>
      <c r="I890" s="2"/>
      <c r="J890" s="564"/>
      <c r="K890" s="564"/>
      <c r="L890" s="564"/>
      <c r="M890" s="564"/>
      <c r="N890" s="564"/>
      <c r="O890" s="3"/>
      <c r="P890" s="3"/>
      <c r="Q890" s="3"/>
      <c r="R890" s="3"/>
      <c r="S890" s="3"/>
      <c r="T890" s="3"/>
      <c r="U890" s="3"/>
      <c r="V890" s="3"/>
      <c r="W890" s="3"/>
      <c r="X890" s="3"/>
      <c r="Y890" s="3"/>
      <c r="Z890" s="3"/>
    </row>
    <row r="891" spans="1:26" ht="15.75" customHeight="1">
      <c r="A891" s="3"/>
      <c r="B891" s="2"/>
      <c r="C891" s="2"/>
      <c r="D891" s="2"/>
      <c r="E891" s="2"/>
      <c r="F891" s="2"/>
      <c r="G891" s="2"/>
      <c r="H891" s="2"/>
      <c r="I891" s="2"/>
      <c r="J891" s="564"/>
      <c r="K891" s="564"/>
      <c r="L891" s="564"/>
      <c r="M891" s="564"/>
      <c r="N891" s="564"/>
      <c r="O891" s="3"/>
      <c r="P891" s="3"/>
      <c r="Q891" s="3"/>
      <c r="R891" s="3"/>
      <c r="S891" s="3"/>
      <c r="T891" s="3"/>
      <c r="U891" s="3"/>
      <c r="V891" s="3"/>
      <c r="W891" s="3"/>
      <c r="X891" s="3"/>
      <c r="Y891" s="3"/>
      <c r="Z891" s="3"/>
    </row>
    <row r="892" spans="1:26" ht="15.75" customHeight="1">
      <c r="A892" s="3"/>
      <c r="B892" s="2"/>
      <c r="C892" s="2"/>
      <c r="D892" s="2"/>
      <c r="E892" s="2"/>
      <c r="F892" s="2"/>
      <c r="G892" s="2"/>
      <c r="H892" s="2"/>
      <c r="I892" s="2"/>
      <c r="J892" s="564"/>
      <c r="K892" s="564"/>
      <c r="L892" s="564"/>
      <c r="M892" s="564"/>
      <c r="N892" s="564"/>
      <c r="O892" s="3"/>
      <c r="P892" s="3"/>
      <c r="Q892" s="3"/>
      <c r="R892" s="3"/>
      <c r="S892" s="3"/>
      <c r="T892" s="3"/>
      <c r="U892" s="3"/>
      <c r="V892" s="3"/>
      <c r="W892" s="3"/>
      <c r="X892" s="3"/>
      <c r="Y892" s="3"/>
      <c r="Z892" s="3"/>
    </row>
    <row r="893" spans="1:26" ht="15.75" customHeight="1">
      <c r="A893" s="3"/>
      <c r="B893" s="2"/>
      <c r="C893" s="2"/>
      <c r="D893" s="2"/>
      <c r="E893" s="2"/>
      <c r="F893" s="2"/>
      <c r="G893" s="2"/>
      <c r="H893" s="2"/>
      <c r="I893" s="2"/>
      <c r="J893" s="564"/>
      <c r="K893" s="564"/>
      <c r="L893" s="564"/>
      <c r="M893" s="564"/>
      <c r="N893" s="564"/>
      <c r="O893" s="3"/>
      <c r="P893" s="3"/>
      <c r="Q893" s="3"/>
      <c r="R893" s="3"/>
      <c r="S893" s="3"/>
      <c r="T893" s="3"/>
      <c r="U893" s="3"/>
      <c r="V893" s="3"/>
      <c r="W893" s="3"/>
      <c r="X893" s="3"/>
      <c r="Y893" s="3"/>
      <c r="Z893" s="3"/>
    </row>
    <row r="894" spans="1:26" ht="15.75" customHeight="1">
      <c r="A894" s="3"/>
      <c r="B894" s="2"/>
      <c r="C894" s="2"/>
      <c r="D894" s="2"/>
      <c r="E894" s="2"/>
      <c r="F894" s="2"/>
      <c r="G894" s="2"/>
      <c r="H894" s="2"/>
      <c r="I894" s="2"/>
      <c r="J894" s="564"/>
      <c r="K894" s="564"/>
      <c r="L894" s="564"/>
      <c r="M894" s="564"/>
      <c r="N894" s="564"/>
      <c r="O894" s="3"/>
      <c r="P894" s="3"/>
      <c r="Q894" s="3"/>
      <c r="R894" s="3"/>
      <c r="S894" s="3"/>
      <c r="T894" s="3"/>
      <c r="U894" s="3"/>
      <c r="V894" s="3"/>
      <c r="W894" s="3"/>
      <c r="X894" s="3"/>
      <c r="Y894" s="3"/>
      <c r="Z894" s="3"/>
    </row>
    <row r="895" spans="1:26" ht="15.75" customHeight="1">
      <c r="A895" s="3"/>
      <c r="B895" s="2"/>
      <c r="C895" s="2"/>
      <c r="D895" s="2"/>
      <c r="E895" s="2"/>
      <c r="F895" s="2"/>
      <c r="G895" s="2"/>
      <c r="H895" s="2"/>
      <c r="I895" s="2"/>
      <c r="J895" s="564"/>
      <c r="K895" s="564"/>
      <c r="L895" s="564"/>
      <c r="M895" s="564"/>
      <c r="N895" s="564"/>
      <c r="O895" s="3"/>
      <c r="P895" s="3"/>
      <c r="Q895" s="3"/>
      <c r="R895" s="3"/>
      <c r="S895" s="3"/>
      <c r="T895" s="3"/>
      <c r="U895" s="3"/>
      <c r="V895" s="3"/>
      <c r="W895" s="3"/>
      <c r="X895" s="3"/>
      <c r="Y895" s="3"/>
      <c r="Z895" s="3"/>
    </row>
    <row r="896" spans="1:26" ht="15.75" customHeight="1">
      <c r="A896" s="3"/>
      <c r="B896" s="2"/>
      <c r="C896" s="2"/>
      <c r="D896" s="2"/>
      <c r="E896" s="2"/>
      <c r="F896" s="2"/>
      <c r="G896" s="2"/>
      <c r="H896" s="2"/>
      <c r="I896" s="2"/>
      <c r="J896" s="564"/>
      <c r="K896" s="564"/>
      <c r="L896" s="564"/>
      <c r="M896" s="564"/>
      <c r="N896" s="564"/>
      <c r="O896" s="3"/>
      <c r="P896" s="3"/>
      <c r="Q896" s="3"/>
      <c r="R896" s="3"/>
      <c r="S896" s="3"/>
      <c r="T896" s="3"/>
      <c r="U896" s="3"/>
      <c r="V896" s="3"/>
      <c r="W896" s="3"/>
      <c r="X896" s="3"/>
      <c r="Y896" s="3"/>
      <c r="Z896" s="3"/>
    </row>
    <row r="897" spans="1:26" ht="15.75" customHeight="1">
      <c r="A897" s="3"/>
      <c r="B897" s="2"/>
      <c r="C897" s="2"/>
      <c r="D897" s="2"/>
      <c r="E897" s="2"/>
      <c r="F897" s="2"/>
      <c r="G897" s="2"/>
      <c r="H897" s="2"/>
      <c r="I897" s="2"/>
      <c r="J897" s="564"/>
      <c r="K897" s="564"/>
      <c r="L897" s="564"/>
      <c r="M897" s="564"/>
      <c r="N897" s="564"/>
      <c r="O897" s="3"/>
      <c r="P897" s="3"/>
      <c r="Q897" s="3"/>
      <c r="R897" s="3"/>
      <c r="S897" s="3"/>
      <c r="T897" s="3"/>
      <c r="U897" s="3"/>
      <c r="V897" s="3"/>
      <c r="W897" s="3"/>
      <c r="X897" s="3"/>
      <c r="Y897" s="3"/>
      <c r="Z897" s="3"/>
    </row>
    <row r="898" spans="1:26" ht="15.75" customHeight="1">
      <c r="A898" s="3"/>
      <c r="B898" s="2"/>
      <c r="C898" s="2"/>
      <c r="D898" s="2"/>
      <c r="E898" s="2"/>
      <c r="F898" s="2"/>
      <c r="G898" s="2"/>
      <c r="H898" s="2"/>
      <c r="I898" s="2"/>
      <c r="J898" s="564"/>
      <c r="K898" s="564"/>
      <c r="L898" s="564"/>
      <c r="M898" s="564"/>
      <c r="N898" s="564"/>
      <c r="O898" s="3"/>
      <c r="P898" s="3"/>
      <c r="Q898" s="3"/>
      <c r="R898" s="3"/>
      <c r="S898" s="3"/>
      <c r="T898" s="3"/>
      <c r="U898" s="3"/>
      <c r="V898" s="3"/>
      <c r="W898" s="3"/>
      <c r="X898" s="3"/>
      <c r="Y898" s="3"/>
      <c r="Z898" s="3"/>
    </row>
    <row r="899" spans="1:26" ht="15.75" customHeight="1">
      <c r="A899" s="3"/>
      <c r="B899" s="2"/>
      <c r="C899" s="2"/>
      <c r="D899" s="2"/>
      <c r="E899" s="2"/>
      <c r="F899" s="2"/>
      <c r="G899" s="2"/>
      <c r="H899" s="2"/>
      <c r="I899" s="2"/>
      <c r="J899" s="564"/>
      <c r="K899" s="564"/>
      <c r="L899" s="564"/>
      <c r="M899" s="564"/>
      <c r="N899" s="564"/>
      <c r="O899" s="3"/>
      <c r="P899" s="3"/>
      <c r="Q899" s="3"/>
      <c r="R899" s="3"/>
      <c r="S899" s="3"/>
      <c r="T899" s="3"/>
      <c r="U899" s="3"/>
      <c r="V899" s="3"/>
      <c r="W899" s="3"/>
      <c r="X899" s="3"/>
      <c r="Y899" s="3"/>
      <c r="Z899" s="3"/>
    </row>
    <row r="900" spans="1:26" ht="15.75" customHeight="1">
      <c r="A900" s="3"/>
      <c r="B900" s="2"/>
      <c r="C900" s="2"/>
      <c r="D900" s="2"/>
      <c r="E900" s="2"/>
      <c r="F900" s="2"/>
      <c r="G900" s="2"/>
      <c r="H900" s="2"/>
      <c r="I900" s="2"/>
      <c r="J900" s="564"/>
      <c r="K900" s="564"/>
      <c r="L900" s="564"/>
      <c r="M900" s="564"/>
      <c r="N900" s="564"/>
      <c r="O900" s="3"/>
      <c r="P900" s="3"/>
      <c r="Q900" s="3"/>
      <c r="R900" s="3"/>
      <c r="S900" s="3"/>
      <c r="T900" s="3"/>
      <c r="U900" s="3"/>
      <c r="V900" s="3"/>
      <c r="W900" s="3"/>
      <c r="X900" s="3"/>
      <c r="Y900" s="3"/>
      <c r="Z900" s="3"/>
    </row>
    <row r="901" spans="1:26" ht="15.75" customHeight="1">
      <c r="A901" s="3"/>
      <c r="B901" s="2"/>
      <c r="C901" s="2"/>
      <c r="D901" s="2"/>
      <c r="E901" s="2"/>
      <c r="F901" s="2"/>
      <c r="G901" s="2"/>
      <c r="H901" s="2"/>
      <c r="I901" s="2"/>
      <c r="J901" s="564"/>
      <c r="K901" s="564"/>
      <c r="L901" s="564"/>
      <c r="M901" s="564"/>
      <c r="N901" s="564"/>
      <c r="O901" s="3"/>
      <c r="P901" s="3"/>
      <c r="Q901" s="3"/>
      <c r="R901" s="3"/>
      <c r="S901" s="3"/>
      <c r="T901" s="3"/>
      <c r="U901" s="3"/>
      <c r="V901" s="3"/>
      <c r="W901" s="3"/>
      <c r="X901" s="3"/>
      <c r="Y901" s="3"/>
      <c r="Z901" s="3"/>
    </row>
    <row r="902" spans="1:26" ht="15.75" customHeight="1">
      <c r="A902" s="3"/>
      <c r="B902" s="2"/>
      <c r="C902" s="2"/>
      <c r="D902" s="2"/>
      <c r="E902" s="2"/>
      <c r="F902" s="2"/>
      <c r="G902" s="2"/>
      <c r="H902" s="2"/>
      <c r="I902" s="2"/>
      <c r="J902" s="564"/>
      <c r="K902" s="564"/>
      <c r="L902" s="564"/>
      <c r="M902" s="564"/>
      <c r="N902" s="564"/>
      <c r="O902" s="3"/>
      <c r="P902" s="3"/>
      <c r="Q902" s="3"/>
      <c r="R902" s="3"/>
      <c r="S902" s="3"/>
      <c r="T902" s="3"/>
      <c r="U902" s="3"/>
      <c r="V902" s="3"/>
      <c r="W902" s="3"/>
      <c r="X902" s="3"/>
      <c r="Y902" s="3"/>
      <c r="Z902" s="3"/>
    </row>
    <row r="903" spans="1:26" ht="15.75" customHeight="1">
      <c r="A903" s="3"/>
      <c r="B903" s="2"/>
      <c r="C903" s="2"/>
      <c r="D903" s="2"/>
      <c r="E903" s="2"/>
      <c r="F903" s="2"/>
      <c r="G903" s="2"/>
      <c r="H903" s="2"/>
      <c r="I903" s="2"/>
      <c r="J903" s="564"/>
      <c r="K903" s="564"/>
      <c r="L903" s="564"/>
      <c r="M903" s="564"/>
      <c r="N903" s="564"/>
      <c r="O903" s="3"/>
      <c r="P903" s="3"/>
      <c r="Q903" s="3"/>
      <c r="R903" s="3"/>
      <c r="S903" s="3"/>
      <c r="T903" s="3"/>
      <c r="U903" s="3"/>
      <c r="V903" s="3"/>
      <c r="W903" s="3"/>
      <c r="X903" s="3"/>
      <c r="Y903" s="3"/>
      <c r="Z903" s="3"/>
    </row>
    <row r="904" spans="1:26" ht="15.75" customHeight="1">
      <c r="A904" s="3"/>
      <c r="B904" s="2"/>
      <c r="C904" s="2"/>
      <c r="D904" s="2"/>
      <c r="E904" s="2"/>
      <c r="F904" s="2"/>
      <c r="G904" s="2"/>
      <c r="H904" s="2"/>
      <c r="I904" s="2"/>
      <c r="J904" s="564"/>
      <c r="K904" s="564"/>
      <c r="L904" s="564"/>
      <c r="M904" s="564"/>
      <c r="N904" s="564"/>
      <c r="O904" s="3"/>
      <c r="P904" s="3"/>
      <c r="Q904" s="3"/>
      <c r="R904" s="3"/>
      <c r="S904" s="3"/>
      <c r="T904" s="3"/>
      <c r="U904" s="3"/>
      <c r="V904" s="3"/>
      <c r="W904" s="3"/>
      <c r="X904" s="3"/>
      <c r="Y904" s="3"/>
      <c r="Z904" s="3"/>
    </row>
    <row r="905" spans="1:26" ht="15.75" customHeight="1">
      <c r="A905" s="3"/>
      <c r="B905" s="2"/>
      <c r="C905" s="2"/>
      <c r="D905" s="2"/>
      <c r="E905" s="2"/>
      <c r="F905" s="2"/>
      <c r="G905" s="2"/>
      <c r="H905" s="2"/>
      <c r="I905" s="2"/>
      <c r="J905" s="564"/>
      <c r="K905" s="564"/>
      <c r="L905" s="564"/>
      <c r="M905" s="564"/>
      <c r="N905" s="564"/>
      <c r="O905" s="3"/>
      <c r="P905" s="3"/>
      <c r="Q905" s="3"/>
      <c r="R905" s="3"/>
      <c r="S905" s="3"/>
      <c r="T905" s="3"/>
      <c r="U905" s="3"/>
      <c r="V905" s="3"/>
      <c r="W905" s="3"/>
      <c r="X905" s="3"/>
      <c r="Y905" s="3"/>
      <c r="Z905" s="3"/>
    </row>
    <row r="906" spans="1:26" ht="15.75" customHeight="1">
      <c r="A906" s="3"/>
      <c r="B906" s="2"/>
      <c r="C906" s="2"/>
      <c r="D906" s="2"/>
      <c r="E906" s="2"/>
      <c r="F906" s="2"/>
      <c r="G906" s="2"/>
      <c r="H906" s="2"/>
      <c r="I906" s="2"/>
      <c r="J906" s="564"/>
      <c r="K906" s="564"/>
      <c r="L906" s="564"/>
      <c r="M906" s="564"/>
      <c r="N906" s="564"/>
      <c r="O906" s="3"/>
      <c r="P906" s="3"/>
      <c r="Q906" s="3"/>
      <c r="R906" s="3"/>
      <c r="S906" s="3"/>
      <c r="T906" s="3"/>
      <c r="U906" s="3"/>
      <c r="V906" s="3"/>
      <c r="W906" s="3"/>
      <c r="X906" s="3"/>
      <c r="Y906" s="3"/>
      <c r="Z906" s="3"/>
    </row>
    <row r="907" spans="1:26" ht="15.75" customHeight="1">
      <c r="A907" s="3"/>
      <c r="B907" s="2"/>
      <c r="C907" s="2"/>
      <c r="D907" s="2"/>
      <c r="E907" s="2"/>
      <c r="F907" s="2"/>
      <c r="G907" s="2"/>
      <c r="H907" s="2"/>
      <c r="I907" s="2"/>
      <c r="J907" s="564"/>
      <c r="K907" s="564"/>
      <c r="L907" s="564"/>
      <c r="M907" s="564"/>
      <c r="N907" s="564"/>
      <c r="O907" s="3"/>
      <c r="P907" s="3"/>
      <c r="Q907" s="3"/>
      <c r="R907" s="3"/>
      <c r="S907" s="3"/>
      <c r="T907" s="3"/>
      <c r="U907" s="3"/>
      <c r="V907" s="3"/>
      <c r="W907" s="3"/>
      <c r="X907" s="3"/>
      <c r="Y907" s="3"/>
      <c r="Z907" s="3"/>
    </row>
    <row r="908" spans="1:26" ht="15.75" customHeight="1">
      <c r="A908" s="3"/>
      <c r="B908" s="2"/>
      <c r="C908" s="2"/>
      <c r="D908" s="2"/>
      <c r="E908" s="2"/>
      <c r="F908" s="2"/>
      <c r="G908" s="2"/>
      <c r="H908" s="2"/>
      <c r="I908" s="2"/>
      <c r="J908" s="564"/>
      <c r="K908" s="564"/>
      <c r="L908" s="564"/>
      <c r="M908" s="564"/>
      <c r="N908" s="564"/>
      <c r="O908" s="3"/>
      <c r="P908" s="3"/>
      <c r="Q908" s="3"/>
      <c r="R908" s="3"/>
      <c r="S908" s="3"/>
      <c r="T908" s="3"/>
      <c r="U908" s="3"/>
      <c r="V908" s="3"/>
      <c r="W908" s="3"/>
      <c r="X908" s="3"/>
      <c r="Y908" s="3"/>
      <c r="Z908" s="3"/>
    </row>
    <row r="909" spans="1:26" ht="15.75" customHeight="1">
      <c r="A909" s="3"/>
      <c r="B909" s="2"/>
      <c r="C909" s="2"/>
      <c r="D909" s="2"/>
      <c r="E909" s="2"/>
      <c r="F909" s="2"/>
      <c r="G909" s="2"/>
      <c r="H909" s="2"/>
      <c r="I909" s="2"/>
      <c r="J909" s="564"/>
      <c r="K909" s="564"/>
      <c r="L909" s="564"/>
      <c r="M909" s="564"/>
      <c r="N909" s="564"/>
      <c r="O909" s="3"/>
      <c r="P909" s="3"/>
      <c r="Q909" s="3"/>
      <c r="R909" s="3"/>
      <c r="S909" s="3"/>
      <c r="T909" s="3"/>
      <c r="U909" s="3"/>
      <c r="V909" s="3"/>
      <c r="W909" s="3"/>
      <c r="X909" s="3"/>
      <c r="Y909" s="3"/>
      <c r="Z909" s="3"/>
    </row>
    <row r="910" spans="1:26" ht="15.75" customHeight="1">
      <c r="A910" s="3"/>
      <c r="B910" s="2"/>
      <c r="C910" s="2"/>
      <c r="D910" s="2"/>
      <c r="E910" s="2"/>
      <c r="F910" s="2"/>
      <c r="G910" s="2"/>
      <c r="H910" s="2"/>
      <c r="I910" s="2"/>
      <c r="J910" s="564"/>
      <c r="K910" s="564"/>
      <c r="L910" s="564"/>
      <c r="M910" s="564"/>
      <c r="N910" s="564"/>
      <c r="O910" s="3"/>
      <c r="P910" s="3"/>
      <c r="Q910" s="3"/>
      <c r="R910" s="3"/>
      <c r="S910" s="3"/>
      <c r="T910" s="3"/>
      <c r="U910" s="3"/>
      <c r="V910" s="3"/>
      <c r="W910" s="3"/>
      <c r="X910" s="3"/>
      <c r="Y910" s="3"/>
      <c r="Z910" s="3"/>
    </row>
    <row r="911" spans="1:26" ht="15.75" customHeight="1">
      <c r="A911" s="3"/>
      <c r="B911" s="2"/>
      <c r="C911" s="2"/>
      <c r="D911" s="2"/>
      <c r="E911" s="2"/>
      <c r="F911" s="2"/>
      <c r="G911" s="2"/>
      <c r="H911" s="2"/>
      <c r="I911" s="2"/>
      <c r="J911" s="564"/>
      <c r="K911" s="564"/>
      <c r="L911" s="564"/>
      <c r="M911" s="564"/>
      <c r="N911" s="564"/>
      <c r="O911" s="3"/>
      <c r="P911" s="3"/>
      <c r="Q911" s="3"/>
      <c r="R911" s="3"/>
      <c r="S911" s="3"/>
      <c r="T911" s="3"/>
      <c r="U911" s="3"/>
      <c r="V911" s="3"/>
      <c r="W911" s="3"/>
      <c r="X911" s="3"/>
      <c r="Y911" s="3"/>
      <c r="Z911" s="3"/>
    </row>
    <row r="912" spans="1:26" ht="15.75" customHeight="1">
      <c r="A912" s="3"/>
      <c r="B912" s="2"/>
      <c r="C912" s="2"/>
      <c r="D912" s="2"/>
      <c r="E912" s="2"/>
      <c r="F912" s="2"/>
      <c r="G912" s="2"/>
      <c r="H912" s="2"/>
      <c r="I912" s="2"/>
      <c r="J912" s="564"/>
      <c r="K912" s="564"/>
      <c r="L912" s="564"/>
      <c r="M912" s="564"/>
      <c r="N912" s="564"/>
      <c r="O912" s="3"/>
      <c r="P912" s="3"/>
      <c r="Q912" s="3"/>
      <c r="R912" s="3"/>
      <c r="S912" s="3"/>
      <c r="T912" s="3"/>
      <c r="U912" s="3"/>
      <c r="V912" s="3"/>
      <c r="W912" s="3"/>
      <c r="X912" s="3"/>
      <c r="Y912" s="3"/>
      <c r="Z912" s="3"/>
    </row>
    <row r="913" spans="1:26" ht="15.75" customHeight="1">
      <c r="A913" s="3"/>
      <c r="B913" s="2"/>
      <c r="C913" s="2"/>
      <c r="D913" s="2"/>
      <c r="E913" s="2"/>
      <c r="F913" s="2"/>
      <c r="G913" s="2"/>
      <c r="H913" s="2"/>
      <c r="I913" s="2"/>
      <c r="J913" s="564"/>
      <c r="K913" s="564"/>
      <c r="L913" s="564"/>
      <c r="M913" s="564"/>
      <c r="N913" s="564"/>
      <c r="O913" s="3"/>
      <c r="P913" s="3"/>
      <c r="Q913" s="3"/>
      <c r="R913" s="3"/>
      <c r="S913" s="3"/>
      <c r="T913" s="3"/>
      <c r="U913" s="3"/>
      <c r="V913" s="3"/>
      <c r="W913" s="3"/>
      <c r="X913" s="3"/>
      <c r="Y913" s="3"/>
      <c r="Z913" s="3"/>
    </row>
    <row r="914" spans="1:26" ht="15.75" customHeight="1">
      <c r="A914" s="3"/>
      <c r="B914" s="2"/>
      <c r="C914" s="2"/>
      <c r="D914" s="2"/>
      <c r="E914" s="2"/>
      <c r="F914" s="2"/>
      <c r="G914" s="2"/>
      <c r="H914" s="2"/>
      <c r="I914" s="2"/>
      <c r="J914" s="564"/>
      <c r="K914" s="564"/>
      <c r="L914" s="564"/>
      <c r="M914" s="564"/>
      <c r="N914" s="564"/>
      <c r="O914" s="3"/>
      <c r="P914" s="3"/>
      <c r="Q914" s="3"/>
      <c r="R914" s="3"/>
      <c r="S914" s="3"/>
      <c r="T914" s="3"/>
      <c r="U914" s="3"/>
      <c r="V914" s="3"/>
      <c r="W914" s="3"/>
      <c r="X914" s="3"/>
      <c r="Y914" s="3"/>
      <c r="Z914" s="3"/>
    </row>
    <row r="915" spans="1:26" ht="15.75" customHeight="1">
      <c r="A915" s="3"/>
      <c r="B915" s="2"/>
      <c r="C915" s="2"/>
      <c r="D915" s="2"/>
      <c r="E915" s="2"/>
      <c r="F915" s="2"/>
      <c r="G915" s="2"/>
      <c r="H915" s="2"/>
      <c r="I915" s="2"/>
      <c r="J915" s="564"/>
      <c r="K915" s="564"/>
      <c r="L915" s="564"/>
      <c r="M915" s="564"/>
      <c r="N915" s="564"/>
      <c r="O915" s="3"/>
      <c r="P915" s="3"/>
      <c r="Q915" s="3"/>
      <c r="R915" s="3"/>
      <c r="S915" s="3"/>
      <c r="T915" s="3"/>
      <c r="U915" s="3"/>
      <c r="V915" s="3"/>
      <c r="W915" s="3"/>
      <c r="X915" s="3"/>
      <c r="Y915" s="3"/>
      <c r="Z915" s="3"/>
    </row>
    <row r="916" spans="1:26" ht="15.75" customHeight="1">
      <c r="A916" s="3"/>
      <c r="B916" s="2"/>
      <c r="C916" s="2"/>
      <c r="D916" s="2"/>
      <c r="E916" s="2"/>
      <c r="F916" s="2"/>
      <c r="G916" s="2"/>
      <c r="H916" s="2"/>
      <c r="I916" s="2"/>
      <c r="J916" s="564"/>
      <c r="K916" s="564"/>
      <c r="L916" s="564"/>
      <c r="M916" s="564"/>
      <c r="N916" s="564"/>
      <c r="O916" s="3"/>
      <c r="P916" s="3"/>
      <c r="Q916" s="3"/>
      <c r="R916" s="3"/>
      <c r="S916" s="3"/>
      <c r="T916" s="3"/>
      <c r="U916" s="3"/>
      <c r="V916" s="3"/>
      <c r="W916" s="3"/>
      <c r="X916" s="3"/>
      <c r="Y916" s="3"/>
      <c r="Z916" s="3"/>
    </row>
    <row r="917" spans="1:26" ht="15.75" customHeight="1">
      <c r="A917" s="3"/>
      <c r="B917" s="2"/>
      <c r="C917" s="2"/>
      <c r="D917" s="2"/>
      <c r="E917" s="2"/>
      <c r="F917" s="2"/>
      <c r="G917" s="2"/>
      <c r="H917" s="2"/>
      <c r="I917" s="2"/>
      <c r="J917" s="564"/>
      <c r="K917" s="564"/>
      <c r="L917" s="564"/>
      <c r="M917" s="564"/>
      <c r="N917" s="564"/>
      <c r="O917" s="3"/>
      <c r="P917" s="3"/>
      <c r="Q917" s="3"/>
      <c r="R917" s="3"/>
      <c r="S917" s="3"/>
      <c r="T917" s="3"/>
      <c r="U917" s="3"/>
      <c r="V917" s="3"/>
      <c r="W917" s="3"/>
      <c r="X917" s="3"/>
      <c r="Y917" s="3"/>
      <c r="Z917" s="3"/>
    </row>
    <row r="918" spans="1:26" ht="15.75" customHeight="1">
      <c r="A918" s="3"/>
      <c r="B918" s="2"/>
      <c r="C918" s="2"/>
      <c r="D918" s="2"/>
      <c r="E918" s="2"/>
      <c r="F918" s="2"/>
      <c r="G918" s="2"/>
      <c r="H918" s="2"/>
      <c r="I918" s="2"/>
      <c r="J918" s="564"/>
      <c r="K918" s="564"/>
      <c r="L918" s="564"/>
      <c r="M918" s="564"/>
      <c r="N918" s="564"/>
      <c r="O918" s="3"/>
      <c r="P918" s="3"/>
      <c r="Q918" s="3"/>
      <c r="R918" s="3"/>
      <c r="S918" s="3"/>
      <c r="T918" s="3"/>
      <c r="U918" s="3"/>
      <c r="V918" s="3"/>
      <c r="W918" s="3"/>
      <c r="X918" s="3"/>
      <c r="Y918" s="3"/>
      <c r="Z918" s="3"/>
    </row>
    <row r="919" spans="1:26" ht="15.75" customHeight="1">
      <c r="A919" s="3"/>
      <c r="B919" s="2"/>
      <c r="C919" s="2"/>
      <c r="D919" s="2"/>
      <c r="E919" s="2"/>
      <c r="F919" s="2"/>
      <c r="G919" s="2"/>
      <c r="H919" s="2"/>
      <c r="I919" s="2"/>
      <c r="J919" s="564"/>
      <c r="K919" s="564"/>
      <c r="L919" s="564"/>
      <c r="M919" s="564"/>
      <c r="N919" s="564"/>
      <c r="O919" s="3"/>
      <c r="P919" s="3"/>
      <c r="Q919" s="3"/>
      <c r="R919" s="3"/>
      <c r="S919" s="3"/>
      <c r="T919" s="3"/>
      <c r="U919" s="3"/>
      <c r="V919" s="3"/>
      <c r="W919" s="3"/>
      <c r="X919" s="3"/>
      <c r="Y919" s="3"/>
      <c r="Z919" s="3"/>
    </row>
    <row r="920" spans="1:26" ht="15.75" customHeight="1">
      <c r="A920" s="3"/>
      <c r="B920" s="2"/>
      <c r="C920" s="2"/>
      <c r="D920" s="2"/>
      <c r="E920" s="2"/>
      <c r="F920" s="2"/>
      <c r="G920" s="2"/>
      <c r="H920" s="2"/>
      <c r="I920" s="2"/>
      <c r="J920" s="564"/>
      <c r="K920" s="564"/>
      <c r="L920" s="564"/>
      <c r="M920" s="564"/>
      <c r="N920" s="564"/>
      <c r="O920" s="3"/>
      <c r="P920" s="3"/>
      <c r="Q920" s="3"/>
      <c r="R920" s="3"/>
      <c r="S920" s="3"/>
      <c r="T920" s="3"/>
      <c r="U920" s="3"/>
      <c r="V920" s="3"/>
      <c r="W920" s="3"/>
      <c r="X920" s="3"/>
      <c r="Y920" s="3"/>
      <c r="Z920" s="3"/>
    </row>
    <row r="921" spans="1:26" ht="15.75" customHeight="1">
      <c r="A921" s="3"/>
      <c r="B921" s="2"/>
      <c r="C921" s="2"/>
      <c r="D921" s="2"/>
      <c r="E921" s="2"/>
      <c r="F921" s="2"/>
      <c r="G921" s="2"/>
      <c r="H921" s="2"/>
      <c r="I921" s="2"/>
      <c r="J921" s="564"/>
      <c r="K921" s="564"/>
      <c r="L921" s="564"/>
      <c r="M921" s="564"/>
      <c r="N921" s="564"/>
      <c r="O921" s="3"/>
      <c r="P921" s="3"/>
      <c r="Q921" s="3"/>
      <c r="R921" s="3"/>
      <c r="S921" s="3"/>
      <c r="T921" s="3"/>
      <c r="U921" s="3"/>
      <c r="V921" s="3"/>
      <c r="W921" s="3"/>
      <c r="X921" s="3"/>
      <c r="Y921" s="3"/>
      <c r="Z921" s="3"/>
    </row>
    <row r="922" spans="1:26" ht="15.75" customHeight="1">
      <c r="A922" s="3"/>
      <c r="B922" s="2"/>
      <c r="C922" s="2"/>
      <c r="D922" s="2"/>
      <c r="E922" s="2"/>
      <c r="F922" s="2"/>
      <c r="G922" s="2"/>
      <c r="H922" s="2"/>
      <c r="I922" s="2"/>
      <c r="J922" s="564"/>
      <c r="K922" s="564"/>
      <c r="L922" s="564"/>
      <c r="M922" s="564"/>
      <c r="N922" s="564"/>
      <c r="O922" s="3"/>
      <c r="P922" s="3"/>
      <c r="Q922" s="3"/>
      <c r="R922" s="3"/>
      <c r="S922" s="3"/>
      <c r="T922" s="3"/>
      <c r="U922" s="3"/>
      <c r="V922" s="3"/>
      <c r="W922" s="3"/>
      <c r="X922" s="3"/>
      <c r="Y922" s="3"/>
      <c r="Z922" s="3"/>
    </row>
    <row r="923" spans="1:26" ht="15.75" customHeight="1">
      <c r="A923" s="3"/>
      <c r="B923" s="2"/>
      <c r="C923" s="2"/>
      <c r="D923" s="2"/>
      <c r="E923" s="2"/>
      <c r="F923" s="2"/>
      <c r="G923" s="2"/>
      <c r="H923" s="2"/>
      <c r="I923" s="2"/>
      <c r="J923" s="564"/>
      <c r="K923" s="564"/>
      <c r="L923" s="564"/>
      <c r="M923" s="564"/>
      <c r="N923" s="564"/>
      <c r="O923" s="3"/>
      <c r="P923" s="3"/>
      <c r="Q923" s="3"/>
      <c r="R923" s="3"/>
      <c r="S923" s="3"/>
      <c r="T923" s="3"/>
      <c r="U923" s="3"/>
      <c r="V923" s="3"/>
      <c r="W923" s="3"/>
      <c r="X923" s="3"/>
      <c r="Y923" s="3"/>
      <c r="Z923" s="3"/>
    </row>
    <row r="924" spans="1:26" ht="15.75" customHeight="1">
      <c r="A924" s="3"/>
      <c r="B924" s="2"/>
      <c r="C924" s="2"/>
      <c r="D924" s="2"/>
      <c r="E924" s="2"/>
      <c r="F924" s="2"/>
      <c r="G924" s="2"/>
      <c r="H924" s="2"/>
      <c r="I924" s="2"/>
      <c r="J924" s="564"/>
      <c r="K924" s="564"/>
      <c r="L924" s="564"/>
      <c r="M924" s="564"/>
      <c r="N924" s="564"/>
      <c r="O924" s="3"/>
      <c r="P924" s="3"/>
      <c r="Q924" s="3"/>
      <c r="R924" s="3"/>
      <c r="S924" s="3"/>
      <c r="T924" s="3"/>
      <c r="U924" s="3"/>
      <c r="V924" s="3"/>
      <c r="W924" s="3"/>
      <c r="X924" s="3"/>
      <c r="Y924" s="3"/>
      <c r="Z924" s="3"/>
    </row>
    <row r="925" spans="1:26" ht="15.75" customHeight="1">
      <c r="A925" s="3"/>
      <c r="B925" s="2"/>
      <c r="C925" s="2"/>
      <c r="D925" s="2"/>
      <c r="E925" s="2"/>
      <c r="F925" s="2"/>
      <c r="G925" s="2"/>
      <c r="H925" s="2"/>
      <c r="I925" s="2"/>
      <c r="J925" s="564"/>
      <c r="K925" s="564"/>
      <c r="L925" s="564"/>
      <c r="M925" s="564"/>
      <c r="N925" s="564"/>
      <c r="O925" s="3"/>
      <c r="P925" s="3"/>
      <c r="Q925" s="3"/>
      <c r="R925" s="3"/>
      <c r="S925" s="3"/>
      <c r="T925" s="3"/>
      <c r="U925" s="3"/>
      <c r="V925" s="3"/>
      <c r="W925" s="3"/>
      <c r="X925" s="3"/>
      <c r="Y925" s="3"/>
      <c r="Z925" s="3"/>
    </row>
    <row r="926" spans="1:26" ht="15.75" customHeight="1">
      <c r="A926" s="3"/>
      <c r="B926" s="2"/>
      <c r="C926" s="2"/>
      <c r="D926" s="2"/>
      <c r="E926" s="2"/>
      <c r="F926" s="2"/>
      <c r="G926" s="2"/>
      <c r="H926" s="2"/>
      <c r="I926" s="2"/>
      <c r="J926" s="564"/>
      <c r="K926" s="564"/>
      <c r="L926" s="564"/>
      <c r="M926" s="564"/>
      <c r="N926" s="564"/>
      <c r="O926" s="3"/>
      <c r="P926" s="3"/>
      <c r="Q926" s="3"/>
      <c r="R926" s="3"/>
      <c r="S926" s="3"/>
      <c r="T926" s="3"/>
      <c r="U926" s="3"/>
      <c r="V926" s="3"/>
      <c r="W926" s="3"/>
      <c r="X926" s="3"/>
      <c r="Y926" s="3"/>
      <c r="Z926" s="3"/>
    </row>
    <row r="927" spans="1:26" ht="15.75" customHeight="1">
      <c r="A927" s="3"/>
      <c r="B927" s="2"/>
      <c r="C927" s="2"/>
      <c r="D927" s="2"/>
      <c r="E927" s="2"/>
      <c r="F927" s="2"/>
      <c r="G927" s="2"/>
      <c r="H927" s="2"/>
      <c r="I927" s="2"/>
      <c r="J927" s="564"/>
      <c r="K927" s="564"/>
      <c r="L927" s="564"/>
      <c r="M927" s="564"/>
      <c r="N927" s="564"/>
      <c r="O927" s="3"/>
      <c r="P927" s="3"/>
      <c r="Q927" s="3"/>
      <c r="R927" s="3"/>
      <c r="S927" s="3"/>
      <c r="T927" s="3"/>
      <c r="U927" s="3"/>
      <c r="V927" s="3"/>
      <c r="W927" s="3"/>
      <c r="X927" s="3"/>
      <c r="Y927" s="3"/>
      <c r="Z927" s="3"/>
    </row>
    <row r="928" spans="1:26" ht="15.75" customHeight="1">
      <c r="A928" s="3"/>
      <c r="B928" s="2"/>
      <c r="C928" s="2"/>
      <c r="D928" s="2"/>
      <c r="E928" s="2"/>
      <c r="F928" s="2"/>
      <c r="G928" s="2"/>
      <c r="H928" s="2"/>
      <c r="I928" s="2"/>
      <c r="J928" s="564"/>
      <c r="K928" s="564"/>
      <c r="L928" s="564"/>
      <c r="M928" s="564"/>
      <c r="N928" s="564"/>
      <c r="O928" s="3"/>
      <c r="P928" s="3"/>
      <c r="Q928" s="3"/>
      <c r="R928" s="3"/>
      <c r="S928" s="3"/>
      <c r="T928" s="3"/>
      <c r="U928" s="3"/>
      <c r="V928" s="3"/>
      <c r="W928" s="3"/>
      <c r="X928" s="3"/>
      <c r="Y928" s="3"/>
      <c r="Z928" s="3"/>
    </row>
    <row r="929" spans="1:26" ht="15.75" customHeight="1">
      <c r="A929" s="3"/>
      <c r="B929" s="2"/>
      <c r="C929" s="2"/>
      <c r="D929" s="2"/>
      <c r="E929" s="2"/>
      <c r="F929" s="2"/>
      <c r="G929" s="2"/>
      <c r="H929" s="2"/>
      <c r="I929" s="2"/>
      <c r="J929" s="564"/>
      <c r="K929" s="564"/>
      <c r="L929" s="564"/>
      <c r="M929" s="564"/>
      <c r="N929" s="564"/>
      <c r="O929" s="3"/>
      <c r="P929" s="3"/>
      <c r="Q929" s="3"/>
      <c r="R929" s="3"/>
      <c r="S929" s="3"/>
      <c r="T929" s="3"/>
      <c r="U929" s="3"/>
      <c r="V929" s="3"/>
      <c r="W929" s="3"/>
      <c r="X929" s="3"/>
      <c r="Y929" s="3"/>
      <c r="Z929" s="3"/>
    </row>
    <row r="930" spans="1:26" ht="15.75" customHeight="1">
      <c r="A930" s="3"/>
      <c r="B930" s="2"/>
      <c r="C930" s="2"/>
      <c r="D930" s="2"/>
      <c r="E930" s="2"/>
      <c r="F930" s="2"/>
      <c r="G930" s="2"/>
      <c r="H930" s="2"/>
      <c r="I930" s="2"/>
      <c r="J930" s="564"/>
      <c r="K930" s="564"/>
      <c r="L930" s="564"/>
      <c r="M930" s="564"/>
      <c r="N930" s="564"/>
      <c r="O930" s="3"/>
      <c r="P930" s="3"/>
      <c r="Q930" s="3"/>
      <c r="R930" s="3"/>
      <c r="S930" s="3"/>
      <c r="T930" s="3"/>
      <c r="U930" s="3"/>
      <c r="V930" s="3"/>
      <c r="W930" s="3"/>
      <c r="X930" s="3"/>
      <c r="Y930" s="3"/>
      <c r="Z930" s="3"/>
    </row>
    <row r="931" spans="1:26" ht="15.75" customHeight="1">
      <c r="A931" s="3"/>
      <c r="B931" s="2"/>
      <c r="C931" s="2"/>
      <c r="D931" s="2"/>
      <c r="E931" s="2"/>
      <c r="F931" s="2"/>
      <c r="G931" s="2"/>
      <c r="H931" s="2"/>
      <c r="I931" s="2"/>
      <c r="J931" s="564"/>
      <c r="K931" s="564"/>
      <c r="L931" s="564"/>
      <c r="M931" s="564"/>
      <c r="N931" s="564"/>
      <c r="O931" s="3"/>
      <c r="P931" s="3"/>
      <c r="Q931" s="3"/>
      <c r="R931" s="3"/>
      <c r="S931" s="3"/>
      <c r="T931" s="3"/>
      <c r="U931" s="3"/>
      <c r="V931" s="3"/>
      <c r="W931" s="3"/>
      <c r="X931" s="3"/>
      <c r="Y931" s="3"/>
      <c r="Z931" s="3"/>
    </row>
    <row r="932" spans="1:26" ht="15.75" customHeight="1">
      <c r="A932" s="3"/>
      <c r="B932" s="2"/>
      <c r="C932" s="2"/>
      <c r="D932" s="2"/>
      <c r="E932" s="2"/>
      <c r="F932" s="2"/>
      <c r="G932" s="2"/>
      <c r="H932" s="2"/>
      <c r="I932" s="2"/>
      <c r="J932" s="564"/>
      <c r="K932" s="564"/>
      <c r="L932" s="564"/>
      <c r="M932" s="564"/>
      <c r="N932" s="564"/>
      <c r="O932" s="3"/>
      <c r="P932" s="3"/>
      <c r="Q932" s="3"/>
      <c r="R932" s="3"/>
      <c r="S932" s="3"/>
      <c r="T932" s="3"/>
      <c r="U932" s="3"/>
      <c r="V932" s="3"/>
      <c r="W932" s="3"/>
      <c r="X932" s="3"/>
      <c r="Y932" s="3"/>
      <c r="Z932" s="3"/>
    </row>
    <row r="933" spans="1:26" ht="15.75" customHeight="1">
      <c r="A933" s="3"/>
      <c r="B933" s="2"/>
      <c r="C933" s="2"/>
      <c r="D933" s="2"/>
      <c r="E933" s="2"/>
      <c r="F933" s="2"/>
      <c r="G933" s="2"/>
      <c r="H933" s="2"/>
      <c r="I933" s="2"/>
      <c r="J933" s="564"/>
      <c r="K933" s="564"/>
      <c r="L933" s="564"/>
      <c r="M933" s="564"/>
      <c r="N933" s="564"/>
      <c r="O933" s="3"/>
      <c r="P933" s="3"/>
      <c r="Q933" s="3"/>
      <c r="R933" s="3"/>
      <c r="S933" s="3"/>
      <c r="T933" s="3"/>
      <c r="U933" s="3"/>
      <c r="V933" s="3"/>
      <c r="W933" s="3"/>
      <c r="X933" s="3"/>
      <c r="Y933" s="3"/>
      <c r="Z933" s="3"/>
    </row>
    <row r="934" spans="1:26" ht="15.75" customHeight="1">
      <c r="A934" s="3"/>
      <c r="B934" s="2"/>
      <c r="C934" s="2"/>
      <c r="D934" s="2"/>
      <c r="E934" s="2"/>
      <c r="F934" s="2"/>
      <c r="G934" s="2"/>
      <c r="H934" s="2"/>
      <c r="I934" s="2"/>
      <c r="J934" s="564"/>
      <c r="K934" s="564"/>
      <c r="L934" s="564"/>
      <c r="M934" s="564"/>
      <c r="N934" s="564"/>
      <c r="O934" s="3"/>
      <c r="P934" s="3"/>
      <c r="Q934" s="3"/>
      <c r="R934" s="3"/>
      <c r="S934" s="3"/>
      <c r="T934" s="3"/>
      <c r="U934" s="3"/>
      <c r="V934" s="3"/>
      <c r="W934" s="3"/>
      <c r="X934" s="3"/>
      <c r="Y934" s="3"/>
      <c r="Z934" s="3"/>
    </row>
    <row r="935" spans="1:26" ht="15.75" customHeight="1">
      <c r="A935" s="3"/>
      <c r="B935" s="2"/>
      <c r="C935" s="2"/>
      <c r="D935" s="2"/>
      <c r="E935" s="2"/>
      <c r="F935" s="2"/>
      <c r="G935" s="2"/>
      <c r="H935" s="2"/>
      <c r="I935" s="2"/>
      <c r="J935" s="564"/>
      <c r="K935" s="564"/>
      <c r="L935" s="564"/>
      <c r="M935" s="564"/>
      <c r="N935" s="564"/>
      <c r="O935" s="3"/>
      <c r="P935" s="3"/>
      <c r="Q935" s="3"/>
      <c r="R935" s="3"/>
      <c r="S935" s="3"/>
      <c r="T935" s="3"/>
      <c r="U935" s="3"/>
      <c r="V935" s="3"/>
      <c r="W935" s="3"/>
      <c r="X935" s="3"/>
      <c r="Y935" s="3"/>
      <c r="Z935" s="3"/>
    </row>
    <row r="936" spans="1:26" ht="15.75" customHeight="1">
      <c r="A936" s="3"/>
      <c r="B936" s="2"/>
      <c r="C936" s="2"/>
      <c r="D936" s="2"/>
      <c r="E936" s="2"/>
      <c r="F936" s="2"/>
      <c r="G936" s="2"/>
      <c r="H936" s="2"/>
      <c r="I936" s="2"/>
      <c r="J936" s="564"/>
      <c r="K936" s="564"/>
      <c r="L936" s="564"/>
      <c r="M936" s="564"/>
      <c r="N936" s="564"/>
      <c r="O936" s="3"/>
      <c r="P936" s="3"/>
      <c r="Q936" s="3"/>
      <c r="R936" s="3"/>
      <c r="S936" s="3"/>
      <c r="T936" s="3"/>
      <c r="U936" s="3"/>
      <c r="V936" s="3"/>
      <c r="W936" s="3"/>
      <c r="X936" s="3"/>
      <c r="Y936" s="3"/>
      <c r="Z936" s="3"/>
    </row>
    <row r="937" spans="1:26" ht="15.75" customHeight="1">
      <c r="A937" s="3"/>
      <c r="B937" s="2"/>
      <c r="C937" s="2"/>
      <c r="D937" s="2"/>
      <c r="E937" s="2"/>
      <c r="F937" s="2"/>
      <c r="G937" s="2"/>
      <c r="H937" s="2"/>
      <c r="I937" s="2"/>
      <c r="J937" s="564"/>
      <c r="K937" s="564"/>
      <c r="L937" s="564"/>
      <c r="M937" s="564"/>
      <c r="N937" s="564"/>
      <c r="O937" s="3"/>
      <c r="P937" s="3"/>
      <c r="Q937" s="3"/>
      <c r="R937" s="3"/>
      <c r="S937" s="3"/>
      <c r="T937" s="3"/>
      <c r="U937" s="3"/>
      <c r="V937" s="3"/>
      <c r="W937" s="3"/>
      <c r="X937" s="3"/>
      <c r="Y937" s="3"/>
      <c r="Z937" s="3"/>
    </row>
    <row r="938" spans="1:26" ht="15.75" customHeight="1">
      <c r="A938" s="3"/>
      <c r="B938" s="2"/>
      <c r="C938" s="2"/>
      <c r="D938" s="2"/>
      <c r="E938" s="2"/>
      <c r="F938" s="2"/>
      <c r="G938" s="2"/>
      <c r="H938" s="2"/>
      <c r="I938" s="2"/>
      <c r="J938" s="564"/>
      <c r="K938" s="564"/>
      <c r="L938" s="564"/>
      <c r="M938" s="564"/>
      <c r="N938" s="564"/>
      <c r="O938" s="3"/>
      <c r="P938" s="3"/>
      <c r="Q938" s="3"/>
      <c r="R938" s="3"/>
      <c r="S938" s="3"/>
      <c r="T938" s="3"/>
      <c r="U938" s="3"/>
      <c r="V938" s="3"/>
      <c r="W938" s="3"/>
      <c r="X938" s="3"/>
      <c r="Y938" s="3"/>
      <c r="Z938" s="3"/>
    </row>
    <row r="939" spans="1:26" ht="15.75" customHeight="1">
      <c r="A939" s="3"/>
      <c r="B939" s="2"/>
      <c r="C939" s="2"/>
      <c r="D939" s="2"/>
      <c r="E939" s="2"/>
      <c r="F939" s="2"/>
      <c r="G939" s="2"/>
      <c r="H939" s="2"/>
      <c r="I939" s="2"/>
      <c r="J939" s="564"/>
      <c r="K939" s="564"/>
      <c r="L939" s="564"/>
      <c r="M939" s="564"/>
      <c r="N939" s="564"/>
      <c r="O939" s="3"/>
      <c r="P939" s="3"/>
      <c r="Q939" s="3"/>
      <c r="R939" s="3"/>
      <c r="S939" s="3"/>
      <c r="T939" s="3"/>
      <c r="U939" s="3"/>
      <c r="V939" s="3"/>
      <c r="W939" s="3"/>
      <c r="X939" s="3"/>
      <c r="Y939" s="3"/>
      <c r="Z939" s="3"/>
    </row>
    <row r="940" spans="1:26" ht="15.75" customHeight="1">
      <c r="A940" s="3"/>
      <c r="B940" s="2"/>
      <c r="C940" s="2"/>
      <c r="D940" s="2"/>
      <c r="E940" s="2"/>
      <c r="F940" s="2"/>
      <c r="G940" s="2"/>
      <c r="H940" s="2"/>
      <c r="I940" s="2"/>
      <c r="J940" s="564"/>
      <c r="K940" s="564"/>
      <c r="L940" s="564"/>
      <c r="M940" s="564"/>
      <c r="N940" s="564"/>
      <c r="O940" s="3"/>
      <c r="P940" s="3"/>
      <c r="Q940" s="3"/>
      <c r="R940" s="3"/>
      <c r="S940" s="3"/>
      <c r="T940" s="3"/>
      <c r="U940" s="3"/>
      <c r="V940" s="3"/>
      <c r="W940" s="3"/>
      <c r="X940" s="3"/>
      <c r="Y940" s="3"/>
      <c r="Z940" s="3"/>
    </row>
    <row r="941" spans="1:26" ht="15.75" customHeight="1">
      <c r="A941" s="3"/>
      <c r="B941" s="2"/>
      <c r="C941" s="2"/>
      <c r="D941" s="2"/>
      <c r="E941" s="2"/>
      <c r="F941" s="2"/>
      <c r="G941" s="2"/>
      <c r="H941" s="2"/>
      <c r="I941" s="2"/>
      <c r="J941" s="564"/>
      <c r="K941" s="564"/>
      <c r="L941" s="564"/>
      <c r="M941" s="564"/>
      <c r="N941" s="564"/>
      <c r="O941" s="3"/>
      <c r="P941" s="3"/>
      <c r="Q941" s="3"/>
      <c r="R941" s="3"/>
      <c r="S941" s="3"/>
      <c r="T941" s="3"/>
      <c r="U941" s="3"/>
      <c r="V941" s="3"/>
      <c r="W941" s="3"/>
      <c r="X941" s="3"/>
      <c r="Y941" s="3"/>
      <c r="Z941" s="3"/>
    </row>
    <row r="942" spans="1:26" ht="15.75" customHeight="1">
      <c r="A942" s="3"/>
      <c r="B942" s="2"/>
      <c r="C942" s="2"/>
      <c r="D942" s="2"/>
      <c r="E942" s="2"/>
      <c r="F942" s="2"/>
      <c r="G942" s="2"/>
      <c r="H942" s="2"/>
      <c r="I942" s="2"/>
      <c r="J942" s="564"/>
      <c r="K942" s="564"/>
      <c r="L942" s="564"/>
      <c r="M942" s="564"/>
      <c r="N942" s="564"/>
      <c r="O942" s="3"/>
      <c r="P942" s="3"/>
      <c r="Q942" s="3"/>
      <c r="R942" s="3"/>
      <c r="S942" s="3"/>
      <c r="T942" s="3"/>
      <c r="U942" s="3"/>
      <c r="V942" s="3"/>
      <c r="W942" s="3"/>
      <c r="X942" s="3"/>
      <c r="Y942" s="3"/>
      <c r="Z942" s="3"/>
    </row>
    <row r="943" spans="1:26" ht="15.75" customHeight="1">
      <c r="A943" s="3"/>
      <c r="B943" s="2"/>
      <c r="C943" s="2"/>
      <c r="D943" s="2"/>
      <c r="E943" s="2"/>
      <c r="F943" s="2"/>
      <c r="G943" s="2"/>
      <c r="H943" s="2"/>
      <c r="I943" s="2"/>
      <c r="J943" s="564"/>
      <c r="K943" s="564"/>
      <c r="L943" s="564"/>
      <c r="M943" s="564"/>
      <c r="N943" s="564"/>
      <c r="O943" s="3"/>
      <c r="P943" s="3"/>
      <c r="Q943" s="3"/>
      <c r="R943" s="3"/>
      <c r="S943" s="3"/>
      <c r="T943" s="3"/>
      <c r="U943" s="3"/>
      <c r="V943" s="3"/>
      <c r="W943" s="3"/>
      <c r="X943" s="3"/>
      <c r="Y943" s="3"/>
      <c r="Z943" s="3"/>
    </row>
    <row r="944" spans="1:26" ht="15.75" customHeight="1">
      <c r="A944" s="3"/>
      <c r="B944" s="2"/>
      <c r="C944" s="2"/>
      <c r="D944" s="2"/>
      <c r="E944" s="2"/>
      <c r="F944" s="2"/>
      <c r="G944" s="2"/>
      <c r="H944" s="2"/>
      <c r="I944" s="2"/>
      <c r="J944" s="564"/>
      <c r="K944" s="564"/>
      <c r="L944" s="564"/>
      <c r="M944" s="564"/>
      <c r="N944" s="564"/>
      <c r="O944" s="3"/>
      <c r="P944" s="3"/>
      <c r="Q944" s="3"/>
      <c r="R944" s="3"/>
      <c r="S944" s="3"/>
      <c r="T944" s="3"/>
      <c r="U944" s="3"/>
      <c r="V944" s="3"/>
      <c r="W944" s="3"/>
      <c r="X944" s="3"/>
      <c r="Y944" s="3"/>
      <c r="Z944" s="3"/>
    </row>
    <row r="945" spans="1:26" ht="15.75" customHeight="1">
      <c r="A945" s="3"/>
      <c r="B945" s="2"/>
      <c r="C945" s="2"/>
      <c r="D945" s="2"/>
      <c r="E945" s="2"/>
      <c r="F945" s="2"/>
      <c r="G945" s="2"/>
      <c r="H945" s="2"/>
      <c r="I945" s="2"/>
      <c r="J945" s="564"/>
      <c r="K945" s="564"/>
      <c r="L945" s="564"/>
      <c r="M945" s="564"/>
      <c r="N945" s="564"/>
      <c r="O945" s="3"/>
      <c r="P945" s="3"/>
      <c r="Q945" s="3"/>
      <c r="R945" s="3"/>
      <c r="S945" s="3"/>
      <c r="T945" s="3"/>
      <c r="U945" s="3"/>
      <c r="V945" s="3"/>
      <c r="W945" s="3"/>
      <c r="X945" s="3"/>
      <c r="Y945" s="3"/>
      <c r="Z945" s="3"/>
    </row>
    <row r="946" spans="1:26" ht="15.75" customHeight="1">
      <c r="A946" s="3"/>
      <c r="B946" s="2"/>
      <c r="C946" s="2"/>
      <c r="D946" s="2"/>
      <c r="E946" s="2"/>
      <c r="F946" s="2"/>
      <c r="G946" s="2"/>
      <c r="H946" s="2"/>
      <c r="I946" s="2"/>
      <c r="J946" s="564"/>
      <c r="K946" s="564"/>
      <c r="L946" s="564"/>
      <c r="M946" s="564"/>
      <c r="N946" s="564"/>
      <c r="O946" s="3"/>
      <c r="P946" s="3"/>
      <c r="Q946" s="3"/>
      <c r="R946" s="3"/>
      <c r="S946" s="3"/>
      <c r="T946" s="3"/>
      <c r="U946" s="3"/>
      <c r="V946" s="3"/>
      <c r="W946" s="3"/>
      <c r="X946" s="3"/>
      <c r="Y946" s="3"/>
      <c r="Z946" s="3"/>
    </row>
    <row r="947" spans="1:26" ht="15.75" customHeight="1">
      <c r="A947" s="3"/>
      <c r="B947" s="2"/>
      <c r="C947" s="2"/>
      <c r="D947" s="2"/>
      <c r="E947" s="2"/>
      <c r="F947" s="2"/>
      <c r="G947" s="2"/>
      <c r="H947" s="2"/>
      <c r="I947" s="2"/>
      <c r="J947" s="564"/>
      <c r="K947" s="564"/>
      <c r="L947" s="564"/>
      <c r="M947" s="564"/>
      <c r="N947" s="564"/>
      <c r="O947" s="3"/>
      <c r="P947" s="3"/>
      <c r="Q947" s="3"/>
      <c r="R947" s="3"/>
      <c r="S947" s="3"/>
      <c r="T947" s="3"/>
      <c r="U947" s="3"/>
      <c r="V947" s="3"/>
      <c r="W947" s="3"/>
      <c r="X947" s="3"/>
      <c r="Y947" s="3"/>
      <c r="Z947" s="3"/>
    </row>
    <row r="948" spans="1:26" ht="15.75" customHeight="1">
      <c r="A948" s="3"/>
      <c r="B948" s="2"/>
      <c r="C948" s="2"/>
      <c r="D948" s="2"/>
      <c r="E948" s="2"/>
      <c r="F948" s="2"/>
      <c r="G948" s="2"/>
      <c r="H948" s="2"/>
      <c r="I948" s="2"/>
      <c r="J948" s="564"/>
      <c r="K948" s="564"/>
      <c r="L948" s="564"/>
      <c r="M948" s="564"/>
      <c r="N948" s="564"/>
      <c r="O948" s="3"/>
      <c r="P948" s="3"/>
      <c r="Q948" s="3"/>
      <c r="R948" s="3"/>
      <c r="S948" s="3"/>
      <c r="T948" s="3"/>
      <c r="U948" s="3"/>
      <c r="V948" s="3"/>
      <c r="W948" s="3"/>
      <c r="X948" s="3"/>
      <c r="Y948" s="3"/>
      <c r="Z948" s="3"/>
    </row>
    <row r="949" spans="1:26" ht="15.75" customHeight="1">
      <c r="A949" s="3"/>
      <c r="B949" s="2"/>
      <c r="C949" s="2"/>
      <c r="D949" s="2"/>
      <c r="E949" s="2"/>
      <c r="F949" s="2"/>
      <c r="G949" s="2"/>
      <c r="H949" s="2"/>
      <c r="I949" s="2"/>
      <c r="J949" s="564"/>
      <c r="K949" s="564"/>
      <c r="L949" s="564"/>
      <c r="M949" s="564"/>
      <c r="N949" s="564"/>
      <c r="O949" s="3"/>
      <c r="P949" s="3"/>
      <c r="Q949" s="3"/>
      <c r="R949" s="3"/>
      <c r="S949" s="3"/>
      <c r="T949" s="3"/>
      <c r="U949" s="3"/>
      <c r="V949" s="3"/>
      <c r="W949" s="3"/>
      <c r="X949" s="3"/>
      <c r="Y949" s="3"/>
      <c r="Z949" s="3"/>
    </row>
    <row r="950" spans="1:26" ht="15.75" customHeight="1">
      <c r="A950" s="3"/>
      <c r="B950" s="2"/>
      <c r="C950" s="2"/>
      <c r="D950" s="2"/>
      <c r="E950" s="2"/>
      <c r="F950" s="2"/>
      <c r="G950" s="2"/>
      <c r="H950" s="2"/>
      <c r="I950" s="2"/>
      <c r="J950" s="564"/>
      <c r="K950" s="564"/>
      <c r="L950" s="564"/>
      <c r="M950" s="564"/>
      <c r="N950" s="564"/>
      <c r="O950" s="3"/>
      <c r="P950" s="3"/>
      <c r="Q950" s="3"/>
      <c r="R950" s="3"/>
      <c r="S950" s="3"/>
      <c r="T950" s="3"/>
      <c r="U950" s="3"/>
      <c r="V950" s="3"/>
      <c r="W950" s="3"/>
      <c r="X950" s="3"/>
      <c r="Y950" s="3"/>
      <c r="Z950" s="3"/>
    </row>
    <row r="951" spans="1:26" ht="15.75" customHeight="1">
      <c r="A951" s="3"/>
      <c r="B951" s="2"/>
      <c r="C951" s="2"/>
      <c r="D951" s="2"/>
      <c r="E951" s="2"/>
      <c r="F951" s="2"/>
      <c r="G951" s="2"/>
      <c r="H951" s="2"/>
      <c r="I951" s="2"/>
      <c r="J951" s="564"/>
      <c r="K951" s="564"/>
      <c r="L951" s="564"/>
      <c r="M951" s="564"/>
      <c r="N951" s="564"/>
      <c r="O951" s="3"/>
      <c r="P951" s="3"/>
      <c r="Q951" s="3"/>
      <c r="R951" s="3"/>
      <c r="S951" s="3"/>
      <c r="T951" s="3"/>
      <c r="U951" s="3"/>
      <c r="V951" s="3"/>
      <c r="W951" s="3"/>
      <c r="X951" s="3"/>
      <c r="Y951" s="3"/>
      <c r="Z951" s="3"/>
    </row>
    <row r="952" spans="1:26" ht="15.75" customHeight="1">
      <c r="A952" s="3"/>
      <c r="B952" s="2"/>
      <c r="C952" s="2"/>
      <c r="D952" s="2"/>
      <c r="E952" s="2"/>
      <c r="F952" s="2"/>
      <c r="G952" s="2"/>
      <c r="H952" s="2"/>
      <c r="I952" s="2"/>
      <c r="J952" s="564"/>
      <c r="K952" s="564"/>
      <c r="L952" s="564"/>
      <c r="M952" s="564"/>
      <c r="N952" s="564"/>
      <c r="O952" s="3"/>
      <c r="P952" s="3"/>
      <c r="Q952" s="3"/>
      <c r="R952" s="3"/>
      <c r="S952" s="3"/>
      <c r="T952" s="3"/>
      <c r="U952" s="3"/>
      <c r="V952" s="3"/>
      <c r="W952" s="3"/>
      <c r="X952" s="3"/>
      <c r="Y952" s="3"/>
      <c r="Z952" s="3"/>
    </row>
    <row r="953" spans="1:26" ht="15.75" customHeight="1">
      <c r="A953" s="3"/>
      <c r="B953" s="2"/>
      <c r="C953" s="2"/>
      <c r="D953" s="2"/>
      <c r="E953" s="2"/>
      <c r="F953" s="2"/>
      <c r="G953" s="2"/>
      <c r="H953" s="2"/>
      <c r="I953" s="2"/>
      <c r="J953" s="564"/>
      <c r="K953" s="564"/>
      <c r="L953" s="564"/>
      <c r="M953" s="564"/>
      <c r="N953" s="564"/>
      <c r="O953" s="3"/>
      <c r="P953" s="3"/>
      <c r="Q953" s="3"/>
      <c r="R953" s="3"/>
      <c r="S953" s="3"/>
      <c r="T953" s="3"/>
      <c r="U953" s="3"/>
      <c r="V953" s="3"/>
      <c r="W953" s="3"/>
      <c r="X953" s="3"/>
      <c r="Y953" s="3"/>
      <c r="Z953" s="3"/>
    </row>
    <row r="954" spans="1:26" ht="15.75" customHeight="1">
      <c r="A954" s="3"/>
      <c r="B954" s="2"/>
      <c r="C954" s="2"/>
      <c r="D954" s="2"/>
      <c r="E954" s="2"/>
      <c r="F954" s="2"/>
      <c r="G954" s="2"/>
      <c r="H954" s="2"/>
      <c r="I954" s="2"/>
      <c r="J954" s="564"/>
      <c r="K954" s="564"/>
      <c r="L954" s="564"/>
      <c r="M954" s="564"/>
      <c r="N954" s="564"/>
      <c r="O954" s="3"/>
      <c r="P954" s="3"/>
      <c r="Q954" s="3"/>
      <c r="R954" s="3"/>
      <c r="S954" s="3"/>
      <c r="T954" s="3"/>
      <c r="U954" s="3"/>
      <c r="V954" s="3"/>
      <c r="W954" s="3"/>
      <c r="X954" s="3"/>
      <c r="Y954" s="3"/>
      <c r="Z954" s="3"/>
    </row>
    <row r="955" spans="1:26" ht="15.75" customHeight="1">
      <c r="A955" s="3"/>
      <c r="B955" s="2"/>
      <c r="C955" s="2"/>
      <c r="D955" s="2"/>
      <c r="E955" s="2"/>
      <c r="F955" s="2"/>
      <c r="G955" s="2"/>
      <c r="H955" s="2"/>
      <c r="I955" s="2"/>
      <c r="J955" s="564"/>
      <c r="K955" s="564"/>
      <c r="L955" s="564"/>
      <c r="M955" s="564"/>
      <c r="N955" s="564"/>
      <c r="O955" s="3"/>
      <c r="P955" s="3"/>
      <c r="Q955" s="3"/>
      <c r="R955" s="3"/>
      <c r="S955" s="3"/>
      <c r="T955" s="3"/>
      <c r="U955" s="3"/>
      <c r="V955" s="3"/>
      <c r="W955" s="3"/>
      <c r="X955" s="3"/>
      <c r="Y955" s="3"/>
      <c r="Z955" s="3"/>
    </row>
    <row r="956" spans="1:26" ht="15.75" customHeight="1">
      <c r="A956" s="3"/>
      <c r="B956" s="2"/>
      <c r="C956" s="2"/>
      <c r="D956" s="2"/>
      <c r="E956" s="2"/>
      <c r="F956" s="2"/>
      <c r="G956" s="2"/>
      <c r="H956" s="2"/>
      <c r="I956" s="2"/>
      <c r="J956" s="564"/>
      <c r="K956" s="564"/>
      <c r="L956" s="564"/>
      <c r="M956" s="564"/>
      <c r="N956" s="564"/>
      <c r="O956" s="3"/>
      <c r="P956" s="3"/>
      <c r="Q956" s="3"/>
      <c r="R956" s="3"/>
      <c r="S956" s="3"/>
      <c r="T956" s="3"/>
      <c r="U956" s="3"/>
      <c r="V956" s="3"/>
      <c r="W956" s="3"/>
      <c r="X956" s="3"/>
      <c r="Y956" s="3"/>
      <c r="Z956" s="3"/>
    </row>
    <row r="957" spans="1:26" ht="15.75" customHeight="1">
      <c r="A957" s="3"/>
      <c r="B957" s="2"/>
      <c r="C957" s="2"/>
      <c r="D957" s="2"/>
      <c r="E957" s="2"/>
      <c r="F957" s="2"/>
      <c r="G957" s="2"/>
      <c r="H957" s="2"/>
      <c r="I957" s="2"/>
      <c r="J957" s="564"/>
      <c r="K957" s="564"/>
      <c r="L957" s="564"/>
      <c r="M957" s="564"/>
      <c r="N957" s="564"/>
      <c r="O957" s="3"/>
      <c r="P957" s="3"/>
      <c r="Q957" s="3"/>
      <c r="R957" s="3"/>
      <c r="S957" s="3"/>
      <c r="T957" s="3"/>
      <c r="U957" s="3"/>
      <c r="V957" s="3"/>
      <c r="W957" s="3"/>
      <c r="X957" s="3"/>
      <c r="Y957" s="3"/>
      <c r="Z957" s="3"/>
    </row>
    <row r="958" spans="1:26" ht="15.75" customHeight="1">
      <c r="A958" s="3"/>
      <c r="B958" s="2"/>
      <c r="C958" s="2"/>
      <c r="D958" s="2"/>
      <c r="E958" s="2"/>
      <c r="F958" s="2"/>
      <c r="G958" s="2"/>
      <c r="H958" s="2"/>
      <c r="I958" s="2"/>
      <c r="J958" s="564"/>
      <c r="K958" s="564"/>
      <c r="L958" s="564"/>
      <c r="M958" s="564"/>
      <c r="N958" s="564"/>
      <c r="O958" s="3"/>
      <c r="P958" s="3"/>
      <c r="Q958" s="3"/>
      <c r="R958" s="3"/>
      <c r="S958" s="3"/>
      <c r="T958" s="3"/>
      <c r="U958" s="3"/>
      <c r="V958" s="3"/>
      <c r="W958" s="3"/>
      <c r="X958" s="3"/>
      <c r="Y958" s="3"/>
      <c r="Z958" s="3"/>
    </row>
    <row r="959" spans="1:26" ht="15.75" customHeight="1">
      <c r="A959" s="3"/>
      <c r="B959" s="2"/>
      <c r="C959" s="2"/>
      <c r="D959" s="2"/>
      <c r="E959" s="2"/>
      <c r="F959" s="2"/>
      <c r="G959" s="2"/>
      <c r="H959" s="2"/>
      <c r="I959" s="2"/>
      <c r="J959" s="564"/>
      <c r="K959" s="564"/>
      <c r="L959" s="564"/>
      <c r="M959" s="564"/>
      <c r="N959" s="564"/>
      <c r="O959" s="3"/>
      <c r="P959" s="3"/>
      <c r="Q959" s="3"/>
      <c r="R959" s="3"/>
      <c r="S959" s="3"/>
      <c r="T959" s="3"/>
      <c r="U959" s="3"/>
      <c r="V959" s="3"/>
      <c r="W959" s="3"/>
      <c r="X959" s="3"/>
      <c r="Y959" s="3"/>
      <c r="Z959" s="3"/>
    </row>
    <row r="960" spans="1:26" ht="15.75" customHeight="1">
      <c r="A960" s="3"/>
      <c r="B960" s="2"/>
      <c r="C960" s="2"/>
      <c r="D960" s="2"/>
      <c r="E960" s="2"/>
      <c r="F960" s="2"/>
      <c r="G960" s="2"/>
      <c r="H960" s="2"/>
      <c r="I960" s="2"/>
      <c r="J960" s="564"/>
      <c r="K960" s="564"/>
      <c r="L960" s="564"/>
      <c r="M960" s="564"/>
      <c r="N960" s="564"/>
      <c r="O960" s="3"/>
      <c r="P960" s="3"/>
      <c r="Q960" s="3"/>
      <c r="R960" s="3"/>
      <c r="S960" s="3"/>
      <c r="T960" s="3"/>
      <c r="U960" s="3"/>
      <c r="V960" s="3"/>
      <c r="W960" s="3"/>
      <c r="X960" s="3"/>
      <c r="Y960" s="3"/>
      <c r="Z960" s="3"/>
    </row>
    <row r="961" spans="1:26" ht="15.75" customHeight="1">
      <c r="A961" s="3"/>
      <c r="B961" s="2"/>
      <c r="C961" s="2"/>
      <c r="D961" s="2"/>
      <c r="E961" s="2"/>
      <c r="F961" s="2"/>
      <c r="G961" s="2"/>
      <c r="H961" s="2"/>
      <c r="I961" s="2"/>
      <c r="J961" s="564"/>
      <c r="K961" s="564"/>
      <c r="L961" s="564"/>
      <c r="M961" s="564"/>
      <c r="N961" s="564"/>
      <c r="O961" s="3"/>
      <c r="P961" s="3"/>
      <c r="Q961" s="3"/>
      <c r="R961" s="3"/>
      <c r="S961" s="3"/>
      <c r="T961" s="3"/>
      <c r="U961" s="3"/>
      <c r="V961" s="3"/>
      <c r="W961" s="3"/>
      <c r="X961" s="3"/>
      <c r="Y961" s="3"/>
      <c r="Z961" s="3"/>
    </row>
    <row r="962" spans="1:26" ht="15.75" customHeight="1">
      <c r="A962" s="3"/>
      <c r="B962" s="2"/>
      <c r="C962" s="2"/>
      <c r="D962" s="2"/>
      <c r="E962" s="2"/>
      <c r="F962" s="2"/>
      <c r="G962" s="2"/>
      <c r="H962" s="2"/>
      <c r="I962" s="2"/>
      <c r="J962" s="564"/>
      <c r="K962" s="564"/>
      <c r="L962" s="564"/>
      <c r="M962" s="564"/>
      <c r="N962" s="564"/>
      <c r="O962" s="3"/>
      <c r="P962" s="3"/>
      <c r="Q962" s="3"/>
      <c r="R962" s="3"/>
      <c r="S962" s="3"/>
      <c r="T962" s="3"/>
      <c r="U962" s="3"/>
      <c r="V962" s="3"/>
      <c r="W962" s="3"/>
      <c r="X962" s="3"/>
      <c r="Y962" s="3"/>
      <c r="Z962" s="3"/>
    </row>
    <row r="963" spans="1:26" ht="15.75" customHeight="1">
      <c r="A963" s="3"/>
      <c r="B963" s="2"/>
      <c r="C963" s="2"/>
      <c r="D963" s="2"/>
      <c r="E963" s="2"/>
      <c r="F963" s="2"/>
      <c r="G963" s="2"/>
      <c r="H963" s="2"/>
      <c r="I963" s="2"/>
      <c r="J963" s="564"/>
      <c r="K963" s="564"/>
      <c r="L963" s="564"/>
      <c r="M963" s="564"/>
      <c r="N963" s="564"/>
      <c r="O963" s="3"/>
      <c r="P963" s="3"/>
      <c r="Q963" s="3"/>
      <c r="R963" s="3"/>
      <c r="S963" s="3"/>
      <c r="T963" s="3"/>
      <c r="U963" s="3"/>
      <c r="V963" s="3"/>
      <c r="W963" s="3"/>
      <c r="X963" s="3"/>
      <c r="Y963" s="3"/>
      <c r="Z963" s="3"/>
    </row>
    <row r="964" spans="1:26" ht="15.75" customHeight="1">
      <c r="A964" s="3"/>
      <c r="B964" s="2"/>
      <c r="C964" s="2"/>
      <c r="D964" s="2"/>
      <c r="E964" s="2"/>
      <c r="F964" s="2"/>
      <c r="G964" s="2"/>
      <c r="H964" s="2"/>
      <c r="I964" s="2"/>
      <c r="J964" s="564"/>
      <c r="K964" s="564"/>
      <c r="L964" s="564"/>
      <c r="M964" s="564"/>
      <c r="N964" s="564"/>
      <c r="O964" s="3"/>
      <c r="P964" s="3"/>
      <c r="Q964" s="3"/>
      <c r="R964" s="3"/>
      <c r="S964" s="3"/>
      <c r="T964" s="3"/>
      <c r="U964" s="3"/>
      <c r="V964" s="3"/>
      <c r="W964" s="3"/>
      <c r="X964" s="3"/>
      <c r="Y964" s="3"/>
      <c r="Z964" s="3"/>
    </row>
    <row r="965" spans="1:26" ht="15.75" customHeight="1">
      <c r="A965" s="3"/>
      <c r="B965" s="2"/>
      <c r="C965" s="2"/>
      <c r="D965" s="2"/>
      <c r="E965" s="2"/>
      <c r="F965" s="2"/>
      <c r="G965" s="2"/>
      <c r="H965" s="2"/>
      <c r="I965" s="2"/>
      <c r="J965" s="564"/>
      <c r="K965" s="564"/>
      <c r="L965" s="564"/>
      <c r="M965" s="564"/>
      <c r="N965" s="564"/>
      <c r="O965" s="3"/>
      <c r="P965" s="3"/>
      <c r="Q965" s="3"/>
      <c r="R965" s="3"/>
      <c r="S965" s="3"/>
      <c r="T965" s="3"/>
      <c r="U965" s="3"/>
      <c r="V965" s="3"/>
      <c r="W965" s="3"/>
      <c r="X965" s="3"/>
      <c r="Y965" s="3"/>
      <c r="Z965" s="3"/>
    </row>
    <row r="966" spans="1:26" ht="15.75" customHeight="1">
      <c r="A966" s="3"/>
      <c r="B966" s="2"/>
      <c r="C966" s="2"/>
      <c r="D966" s="2"/>
      <c r="E966" s="2"/>
      <c r="F966" s="2"/>
      <c r="G966" s="2"/>
      <c r="H966" s="2"/>
      <c r="I966" s="2"/>
      <c r="J966" s="564"/>
      <c r="K966" s="564"/>
      <c r="L966" s="564"/>
      <c r="M966" s="564"/>
      <c r="N966" s="564"/>
      <c r="O966" s="3"/>
      <c r="P966" s="3"/>
      <c r="Q966" s="3"/>
      <c r="R966" s="3"/>
      <c r="S966" s="3"/>
      <c r="T966" s="3"/>
      <c r="U966" s="3"/>
      <c r="V966" s="3"/>
      <c r="W966" s="3"/>
      <c r="X966" s="3"/>
      <c r="Y966" s="3"/>
      <c r="Z966" s="3"/>
    </row>
    <row r="967" spans="1:26" ht="15.75" customHeight="1">
      <c r="A967" s="3"/>
      <c r="B967" s="2"/>
      <c r="C967" s="2"/>
      <c r="D967" s="2"/>
      <c r="E967" s="2"/>
      <c r="F967" s="2"/>
      <c r="G967" s="2"/>
      <c r="H967" s="2"/>
      <c r="I967" s="2"/>
      <c r="J967" s="564"/>
      <c r="K967" s="564"/>
      <c r="L967" s="564"/>
      <c r="M967" s="564"/>
      <c r="N967" s="564"/>
      <c r="O967" s="3"/>
      <c r="P967" s="3"/>
      <c r="Q967" s="3"/>
      <c r="R967" s="3"/>
      <c r="S967" s="3"/>
      <c r="T967" s="3"/>
      <c r="U967" s="3"/>
      <c r="V967" s="3"/>
      <c r="W967" s="3"/>
      <c r="X967" s="3"/>
      <c r="Y967" s="3"/>
      <c r="Z967" s="3"/>
    </row>
    <row r="968" spans="1:26" ht="15.75" customHeight="1">
      <c r="A968" s="3"/>
      <c r="B968" s="2"/>
      <c r="C968" s="2"/>
      <c r="D968" s="2"/>
      <c r="E968" s="2"/>
      <c r="F968" s="2"/>
      <c r="G968" s="2"/>
      <c r="H968" s="2"/>
      <c r="I968" s="2"/>
      <c r="J968" s="564"/>
      <c r="K968" s="564"/>
      <c r="L968" s="564"/>
      <c r="M968" s="564"/>
      <c r="N968" s="564"/>
      <c r="O968" s="3"/>
      <c r="P968" s="3"/>
      <c r="Q968" s="3"/>
      <c r="R968" s="3"/>
      <c r="S968" s="3"/>
      <c r="T968" s="3"/>
      <c r="U968" s="3"/>
      <c r="V968" s="3"/>
      <c r="W968" s="3"/>
      <c r="X968" s="3"/>
      <c r="Y968" s="3"/>
      <c r="Z968" s="3"/>
    </row>
    <row r="969" spans="1:26" ht="15.75" customHeight="1">
      <c r="A969" s="3"/>
      <c r="B969" s="2"/>
      <c r="C969" s="2"/>
      <c r="D969" s="2"/>
      <c r="E969" s="2"/>
      <c r="F969" s="2"/>
      <c r="G969" s="2"/>
      <c r="H969" s="2"/>
      <c r="I969" s="2"/>
      <c r="J969" s="564"/>
      <c r="K969" s="564"/>
      <c r="L969" s="564"/>
      <c r="M969" s="564"/>
      <c r="N969" s="564"/>
      <c r="O969" s="3"/>
      <c r="P969" s="3"/>
      <c r="Q969" s="3"/>
      <c r="R969" s="3"/>
      <c r="S969" s="3"/>
      <c r="T969" s="3"/>
      <c r="U969" s="3"/>
      <c r="V969" s="3"/>
      <c r="W969" s="3"/>
      <c r="X969" s="3"/>
      <c r="Y969" s="3"/>
      <c r="Z969" s="3"/>
    </row>
    <row r="970" spans="1:26" ht="15.75" customHeight="1">
      <c r="A970" s="3"/>
      <c r="B970" s="2"/>
      <c r="C970" s="2"/>
      <c r="D970" s="2"/>
      <c r="E970" s="2"/>
      <c r="F970" s="2"/>
      <c r="G970" s="2"/>
      <c r="H970" s="2"/>
      <c r="I970" s="2"/>
      <c r="J970" s="564"/>
      <c r="K970" s="564"/>
      <c r="L970" s="564"/>
      <c r="M970" s="564"/>
      <c r="N970" s="564"/>
      <c r="O970" s="3"/>
      <c r="P970" s="3"/>
      <c r="Q970" s="3"/>
      <c r="R970" s="3"/>
      <c r="S970" s="3"/>
      <c r="T970" s="3"/>
      <c r="U970" s="3"/>
      <c r="V970" s="3"/>
      <c r="W970" s="3"/>
      <c r="X970" s="3"/>
      <c r="Y970" s="3"/>
      <c r="Z970" s="3"/>
    </row>
    <row r="971" spans="1:26" ht="15.75" customHeight="1">
      <c r="A971" s="3"/>
      <c r="B971" s="2"/>
      <c r="C971" s="2"/>
      <c r="D971" s="2"/>
      <c r="E971" s="2"/>
      <c r="F971" s="2"/>
      <c r="G971" s="2"/>
      <c r="H971" s="2"/>
      <c r="I971" s="2"/>
      <c r="J971" s="564"/>
      <c r="K971" s="564"/>
      <c r="L971" s="564"/>
      <c r="M971" s="564"/>
      <c r="N971" s="564"/>
      <c r="O971" s="3"/>
      <c r="P971" s="3"/>
      <c r="Q971" s="3"/>
      <c r="R971" s="3"/>
      <c r="S971" s="3"/>
      <c r="T971" s="3"/>
      <c r="U971" s="3"/>
      <c r="V971" s="3"/>
      <c r="W971" s="3"/>
      <c r="X971" s="3"/>
      <c r="Y971" s="3"/>
      <c r="Z971" s="3"/>
    </row>
    <row r="972" spans="1:26" ht="15.75" customHeight="1">
      <c r="A972" s="3"/>
      <c r="B972" s="2"/>
      <c r="C972" s="2"/>
      <c r="D972" s="2"/>
      <c r="E972" s="2"/>
      <c r="F972" s="2"/>
      <c r="G972" s="2"/>
      <c r="H972" s="2"/>
      <c r="I972" s="2"/>
      <c r="J972" s="564"/>
      <c r="K972" s="564"/>
      <c r="L972" s="564"/>
      <c r="M972" s="564"/>
      <c r="N972" s="564"/>
      <c r="O972" s="3"/>
      <c r="P972" s="3"/>
      <c r="Q972" s="3"/>
      <c r="R972" s="3"/>
      <c r="S972" s="3"/>
      <c r="T972" s="3"/>
      <c r="U972" s="3"/>
      <c r="V972" s="3"/>
      <c r="W972" s="3"/>
      <c r="X972" s="3"/>
      <c r="Y972" s="3"/>
      <c r="Z972" s="3"/>
    </row>
    <row r="973" spans="1:26" ht="15.75" customHeight="1">
      <c r="A973" s="3"/>
      <c r="B973" s="2"/>
      <c r="C973" s="2"/>
      <c r="D973" s="2"/>
      <c r="E973" s="2"/>
      <c r="F973" s="2"/>
      <c r="G973" s="2"/>
      <c r="H973" s="2"/>
      <c r="I973" s="2"/>
      <c r="J973" s="564"/>
      <c r="K973" s="564"/>
      <c r="L973" s="564"/>
      <c r="M973" s="564"/>
      <c r="N973" s="564"/>
      <c r="O973" s="3"/>
      <c r="P973" s="3"/>
      <c r="Q973" s="3"/>
      <c r="R973" s="3"/>
      <c r="S973" s="3"/>
      <c r="T973" s="3"/>
      <c r="U973" s="3"/>
      <c r="V973" s="3"/>
      <c r="W973" s="3"/>
      <c r="X973" s="3"/>
      <c r="Y973" s="3"/>
      <c r="Z973" s="3"/>
    </row>
    <row r="974" spans="1:26" ht="15.75" customHeight="1">
      <c r="A974" s="3"/>
      <c r="B974" s="2"/>
      <c r="C974" s="2"/>
      <c r="D974" s="2"/>
      <c r="E974" s="2"/>
      <c r="F974" s="2"/>
      <c r="G974" s="2"/>
      <c r="H974" s="2"/>
      <c r="I974" s="2"/>
      <c r="J974" s="564"/>
      <c r="K974" s="564"/>
      <c r="L974" s="564"/>
      <c r="M974" s="564"/>
      <c r="N974" s="564"/>
      <c r="O974" s="3"/>
      <c r="P974" s="3"/>
      <c r="Q974" s="3"/>
      <c r="R974" s="3"/>
      <c r="S974" s="3"/>
      <c r="T974" s="3"/>
      <c r="U974" s="3"/>
      <c r="V974" s="3"/>
      <c r="W974" s="3"/>
      <c r="X974" s="3"/>
      <c r="Y974" s="3"/>
      <c r="Z974" s="3"/>
    </row>
    <row r="975" spans="1:26" ht="15.75" customHeight="1">
      <c r="A975" s="3"/>
      <c r="B975" s="2"/>
      <c r="C975" s="2"/>
      <c r="D975" s="2"/>
      <c r="E975" s="2"/>
      <c r="F975" s="2"/>
      <c r="G975" s="2"/>
      <c r="H975" s="2"/>
      <c r="I975" s="2"/>
      <c r="J975" s="564"/>
      <c r="K975" s="564"/>
      <c r="L975" s="564"/>
      <c r="M975" s="564"/>
      <c r="N975" s="564"/>
      <c r="O975" s="3"/>
      <c r="P975" s="3"/>
      <c r="Q975" s="3"/>
      <c r="R975" s="3"/>
      <c r="S975" s="3"/>
      <c r="T975" s="3"/>
      <c r="U975" s="3"/>
      <c r="V975" s="3"/>
      <c r="W975" s="3"/>
      <c r="X975" s="3"/>
      <c r="Y975" s="3"/>
      <c r="Z975" s="3"/>
    </row>
    <row r="976" spans="1:26" ht="15.75" customHeight="1">
      <c r="A976" s="3"/>
      <c r="B976" s="2"/>
      <c r="C976" s="2"/>
      <c r="D976" s="2"/>
      <c r="E976" s="2"/>
      <c r="F976" s="2"/>
      <c r="G976" s="2"/>
      <c r="H976" s="2"/>
      <c r="I976" s="2"/>
      <c r="J976" s="564"/>
      <c r="K976" s="564"/>
      <c r="L976" s="564"/>
      <c r="M976" s="564"/>
      <c r="N976" s="564"/>
      <c r="O976" s="3"/>
      <c r="P976" s="3"/>
      <c r="Q976" s="3"/>
      <c r="R976" s="3"/>
      <c r="S976" s="3"/>
      <c r="T976" s="3"/>
      <c r="U976" s="3"/>
      <c r="V976" s="3"/>
      <c r="W976" s="3"/>
      <c r="X976" s="3"/>
      <c r="Y976" s="3"/>
      <c r="Z976" s="3"/>
    </row>
    <row r="977" spans="1:26" ht="15.75" customHeight="1">
      <c r="A977" s="3"/>
      <c r="B977" s="2"/>
      <c r="C977" s="2"/>
      <c r="D977" s="2"/>
      <c r="E977" s="2"/>
      <c r="F977" s="2"/>
      <c r="G977" s="2"/>
      <c r="H977" s="2"/>
      <c r="I977" s="2"/>
      <c r="J977" s="564"/>
      <c r="K977" s="564"/>
      <c r="L977" s="564"/>
      <c r="M977" s="564"/>
      <c r="N977" s="564"/>
      <c r="O977" s="3"/>
      <c r="P977" s="3"/>
      <c r="Q977" s="3"/>
      <c r="R977" s="3"/>
      <c r="S977" s="3"/>
      <c r="T977" s="3"/>
      <c r="U977" s="3"/>
      <c r="V977" s="3"/>
      <c r="W977" s="3"/>
      <c r="X977" s="3"/>
      <c r="Y977" s="3"/>
      <c r="Z977" s="3"/>
    </row>
    <row r="978" spans="1:26" ht="15.75" customHeight="1">
      <c r="A978" s="3"/>
      <c r="B978" s="2"/>
      <c r="C978" s="2"/>
      <c r="D978" s="2"/>
      <c r="E978" s="2"/>
      <c r="F978" s="2"/>
      <c r="G978" s="2"/>
      <c r="H978" s="2"/>
      <c r="I978" s="2"/>
      <c r="J978" s="564"/>
      <c r="K978" s="564"/>
      <c r="L978" s="564"/>
      <c r="M978" s="564"/>
      <c r="N978" s="564"/>
      <c r="O978" s="3"/>
      <c r="P978" s="3"/>
      <c r="Q978" s="3"/>
      <c r="R978" s="3"/>
      <c r="S978" s="3"/>
      <c r="T978" s="3"/>
      <c r="U978" s="3"/>
      <c r="V978" s="3"/>
      <c r="W978" s="3"/>
      <c r="X978" s="3"/>
      <c r="Y978" s="3"/>
      <c r="Z978" s="3"/>
    </row>
    <row r="979" spans="1:26" ht="15.75" customHeight="1">
      <c r="A979" s="3"/>
      <c r="B979" s="2"/>
      <c r="C979" s="2"/>
      <c r="D979" s="2"/>
      <c r="E979" s="2"/>
      <c r="F979" s="2"/>
      <c r="G979" s="2"/>
      <c r="H979" s="2"/>
      <c r="I979" s="2"/>
      <c r="J979" s="564"/>
      <c r="K979" s="564"/>
      <c r="L979" s="564"/>
      <c r="M979" s="564"/>
      <c r="N979" s="564"/>
      <c r="O979" s="3"/>
      <c r="P979" s="3"/>
      <c r="Q979" s="3"/>
      <c r="R979" s="3"/>
      <c r="S979" s="3"/>
      <c r="T979" s="3"/>
      <c r="U979" s="3"/>
      <c r="V979" s="3"/>
      <c r="W979" s="3"/>
      <c r="X979" s="3"/>
      <c r="Y979" s="3"/>
      <c r="Z979" s="3"/>
    </row>
    <row r="980" spans="1:26" ht="15.75" customHeight="1">
      <c r="A980" s="3"/>
      <c r="B980" s="2"/>
      <c r="C980" s="2"/>
      <c r="D980" s="2"/>
      <c r="E980" s="2"/>
      <c r="F980" s="2"/>
      <c r="G980" s="2"/>
      <c r="H980" s="2"/>
      <c r="I980" s="2"/>
      <c r="J980" s="564"/>
      <c r="K980" s="564"/>
      <c r="L980" s="564"/>
      <c r="M980" s="564"/>
      <c r="N980" s="564"/>
      <c r="O980" s="3"/>
      <c r="P980" s="3"/>
      <c r="Q980" s="3"/>
      <c r="R980" s="3"/>
      <c r="S980" s="3"/>
      <c r="T980" s="3"/>
      <c r="U980" s="3"/>
      <c r="V980" s="3"/>
      <c r="W980" s="3"/>
      <c r="X980" s="3"/>
      <c r="Y980" s="3"/>
      <c r="Z980" s="3"/>
    </row>
    <row r="981" spans="1:26" ht="15.75" customHeight="1">
      <c r="A981" s="3"/>
      <c r="B981" s="2"/>
      <c r="C981" s="2"/>
      <c r="D981" s="2"/>
      <c r="E981" s="2"/>
      <c r="F981" s="2"/>
      <c r="G981" s="2"/>
      <c r="H981" s="2"/>
      <c r="I981" s="2"/>
      <c r="J981" s="564"/>
      <c r="K981" s="564"/>
      <c r="L981" s="564"/>
      <c r="M981" s="564"/>
      <c r="N981" s="564"/>
      <c r="O981" s="3"/>
      <c r="P981" s="3"/>
      <c r="Q981" s="3"/>
      <c r="R981" s="3"/>
      <c r="S981" s="3"/>
      <c r="T981" s="3"/>
      <c r="U981" s="3"/>
      <c r="V981" s="3"/>
      <c r="W981" s="3"/>
      <c r="X981" s="3"/>
      <c r="Y981" s="3"/>
      <c r="Z981" s="3"/>
    </row>
    <row r="982" spans="1:26" ht="15.75" customHeight="1">
      <c r="A982" s="3"/>
      <c r="B982" s="2"/>
      <c r="C982" s="2"/>
      <c r="D982" s="2"/>
      <c r="E982" s="2"/>
      <c r="F982" s="2"/>
      <c r="G982" s="2"/>
      <c r="H982" s="2"/>
      <c r="I982" s="2"/>
      <c r="J982" s="564"/>
      <c r="K982" s="564"/>
      <c r="L982" s="564"/>
      <c r="M982" s="564"/>
      <c r="N982" s="564"/>
      <c r="O982" s="3"/>
      <c r="P982" s="3"/>
      <c r="Q982" s="3"/>
      <c r="R982" s="3"/>
      <c r="S982" s="3"/>
      <c r="T982" s="3"/>
      <c r="U982" s="3"/>
      <c r="V982" s="3"/>
      <c r="W982" s="3"/>
      <c r="X982" s="3"/>
      <c r="Y982" s="3"/>
      <c r="Z982" s="3"/>
    </row>
    <row r="983" spans="1:26" ht="15.75" customHeight="1">
      <c r="A983" s="3"/>
      <c r="B983" s="2"/>
      <c r="C983" s="2"/>
      <c r="D983" s="2"/>
      <c r="E983" s="2"/>
      <c r="F983" s="2"/>
      <c r="G983" s="2"/>
      <c r="H983" s="2"/>
      <c r="I983" s="2"/>
      <c r="J983" s="564"/>
      <c r="K983" s="564"/>
      <c r="L983" s="564"/>
      <c r="M983" s="564"/>
      <c r="N983" s="564"/>
      <c r="O983" s="3"/>
      <c r="P983" s="3"/>
      <c r="Q983" s="3"/>
      <c r="R983" s="3"/>
      <c r="S983" s="3"/>
      <c r="T983" s="3"/>
      <c r="U983" s="3"/>
      <c r="V983" s="3"/>
      <c r="W983" s="3"/>
      <c r="X983" s="3"/>
      <c r="Y983" s="3"/>
      <c r="Z983" s="3"/>
    </row>
    <row r="984" spans="1:26" ht="15.75" customHeight="1">
      <c r="A984" s="3"/>
      <c r="B984" s="2"/>
      <c r="C984" s="2"/>
      <c r="D984" s="2"/>
      <c r="E984" s="2"/>
      <c r="F984" s="2"/>
      <c r="G984" s="2"/>
      <c r="H984" s="2"/>
      <c r="I984" s="2"/>
      <c r="J984" s="564"/>
      <c r="K984" s="564"/>
      <c r="L984" s="564"/>
      <c r="M984" s="564"/>
      <c r="N984" s="564"/>
      <c r="O984" s="3"/>
      <c r="P984" s="3"/>
      <c r="Q984" s="3"/>
      <c r="R984" s="3"/>
      <c r="S984" s="3"/>
      <c r="T984" s="3"/>
      <c r="U984" s="3"/>
      <c r="V984" s="3"/>
      <c r="W984" s="3"/>
      <c r="X984" s="3"/>
      <c r="Y984" s="3"/>
      <c r="Z984" s="3"/>
    </row>
    <row r="985" spans="1:26" ht="15.75" customHeight="1">
      <c r="A985" s="3"/>
      <c r="B985" s="2"/>
      <c r="C985" s="2"/>
      <c r="D985" s="2"/>
      <c r="E985" s="2"/>
      <c r="F985" s="2"/>
      <c r="G985" s="2"/>
      <c r="H985" s="2"/>
      <c r="I985" s="2"/>
      <c r="J985" s="564"/>
      <c r="K985" s="564"/>
      <c r="L985" s="564"/>
      <c r="M985" s="564"/>
      <c r="N985" s="564"/>
      <c r="O985" s="3"/>
      <c r="P985" s="3"/>
      <c r="Q985" s="3"/>
      <c r="R985" s="3"/>
      <c r="S985" s="3"/>
      <c r="T985" s="3"/>
      <c r="U985" s="3"/>
      <c r="V985" s="3"/>
      <c r="W985" s="3"/>
      <c r="X985" s="3"/>
      <c r="Y985" s="3"/>
      <c r="Z985" s="3"/>
    </row>
    <row r="986" spans="1:26" ht="15.75" customHeight="1">
      <c r="A986" s="3"/>
      <c r="B986" s="2"/>
      <c r="C986" s="2"/>
      <c r="D986" s="2"/>
      <c r="E986" s="2"/>
      <c r="F986" s="2"/>
      <c r="G986" s="2"/>
      <c r="H986" s="2"/>
      <c r="I986" s="2"/>
      <c r="J986" s="564"/>
      <c r="K986" s="564"/>
      <c r="L986" s="564"/>
      <c r="M986" s="564"/>
      <c r="N986" s="564"/>
      <c r="O986" s="3"/>
      <c r="P986" s="3"/>
      <c r="Q986" s="3"/>
      <c r="R986" s="3"/>
      <c r="S986" s="3"/>
      <c r="T986" s="3"/>
      <c r="U986" s="3"/>
      <c r="V986" s="3"/>
      <c r="W986" s="3"/>
      <c r="X986" s="3"/>
      <c r="Y986" s="3"/>
      <c r="Z986" s="3"/>
    </row>
    <row r="987" spans="1:26" ht="15.75" customHeight="1">
      <c r="A987" s="3"/>
      <c r="B987" s="2"/>
      <c r="C987" s="2"/>
      <c r="D987" s="2"/>
      <c r="E987" s="2"/>
      <c r="F987" s="2"/>
      <c r="G987" s="2"/>
      <c r="H987" s="2"/>
      <c r="I987" s="2"/>
      <c r="J987" s="564"/>
      <c r="K987" s="564"/>
      <c r="L987" s="564"/>
      <c r="M987" s="564"/>
      <c r="N987" s="564"/>
      <c r="O987" s="3"/>
      <c r="P987" s="3"/>
      <c r="Q987" s="3"/>
      <c r="R987" s="3"/>
      <c r="S987" s="3"/>
      <c r="T987" s="3"/>
      <c r="U987" s="3"/>
      <c r="V987" s="3"/>
      <c r="W987" s="3"/>
      <c r="X987" s="3"/>
      <c r="Y987" s="3"/>
      <c r="Z987" s="3"/>
    </row>
    <row r="988" spans="1:26" ht="15.75" customHeight="1">
      <c r="A988" s="3"/>
      <c r="B988" s="2"/>
      <c r="C988" s="2"/>
      <c r="D988" s="2"/>
      <c r="E988" s="2"/>
      <c r="F988" s="2"/>
      <c r="G988" s="2"/>
      <c r="H988" s="2"/>
      <c r="I988" s="2"/>
      <c r="J988" s="564"/>
      <c r="K988" s="564"/>
      <c r="L988" s="564"/>
      <c r="M988" s="564"/>
      <c r="N988" s="564"/>
      <c r="O988" s="3"/>
      <c r="P988" s="3"/>
      <c r="Q988" s="3"/>
      <c r="R988" s="3"/>
      <c r="S988" s="3"/>
      <c r="T988" s="3"/>
      <c r="U988" s="3"/>
      <c r="V988" s="3"/>
      <c r="W988" s="3"/>
      <c r="X988" s="3"/>
      <c r="Y988" s="3"/>
      <c r="Z988" s="3"/>
    </row>
    <row r="989" spans="1:26" ht="15.75" customHeight="1">
      <c r="A989" s="3"/>
      <c r="B989" s="2"/>
      <c r="C989" s="2"/>
      <c r="D989" s="2"/>
      <c r="E989" s="2"/>
      <c r="F989" s="2"/>
      <c r="G989" s="2"/>
      <c r="H989" s="2"/>
      <c r="I989" s="2"/>
      <c r="J989" s="564"/>
      <c r="K989" s="564"/>
      <c r="L989" s="564"/>
      <c r="M989" s="564"/>
      <c r="N989" s="564"/>
      <c r="O989" s="3"/>
      <c r="P989" s="3"/>
      <c r="Q989" s="3"/>
      <c r="R989" s="3"/>
      <c r="S989" s="3"/>
      <c r="T989" s="3"/>
      <c r="U989" s="3"/>
      <c r="V989" s="3"/>
      <c r="W989" s="3"/>
      <c r="X989" s="3"/>
      <c r="Y989" s="3"/>
      <c r="Z989" s="3"/>
    </row>
    <row r="990" spans="1:26" ht="15.75" customHeight="1">
      <c r="A990" s="3"/>
      <c r="B990" s="2"/>
      <c r="C990" s="2"/>
      <c r="D990" s="2"/>
      <c r="E990" s="2"/>
      <c r="F990" s="2"/>
      <c r="G990" s="2"/>
      <c r="H990" s="2"/>
      <c r="I990" s="2"/>
      <c r="J990" s="564"/>
      <c r="K990" s="564"/>
      <c r="L990" s="564"/>
      <c r="M990" s="564"/>
      <c r="N990" s="564"/>
      <c r="O990" s="3"/>
      <c r="P990" s="3"/>
      <c r="Q990" s="3"/>
      <c r="R990" s="3"/>
      <c r="S990" s="3"/>
      <c r="T990" s="3"/>
      <c r="U990" s="3"/>
      <c r="V990" s="3"/>
      <c r="W990" s="3"/>
      <c r="X990" s="3"/>
      <c r="Y990" s="3"/>
      <c r="Z990" s="3"/>
    </row>
    <row r="991" spans="1:26" ht="15.75" customHeight="1">
      <c r="A991" s="3"/>
      <c r="B991" s="2"/>
      <c r="C991" s="2"/>
      <c r="D991" s="2"/>
      <c r="E991" s="2"/>
      <c r="F991" s="2"/>
      <c r="G991" s="2"/>
      <c r="H991" s="2"/>
      <c r="I991" s="2"/>
      <c r="J991" s="564"/>
      <c r="K991" s="564"/>
      <c r="L991" s="564"/>
      <c r="M991" s="564"/>
      <c r="N991" s="564"/>
      <c r="O991" s="3"/>
      <c r="P991" s="3"/>
      <c r="Q991" s="3"/>
      <c r="R991" s="3"/>
      <c r="S991" s="3"/>
      <c r="T991" s="3"/>
      <c r="U991" s="3"/>
      <c r="V991" s="3"/>
      <c r="W991" s="3"/>
      <c r="X991" s="3"/>
      <c r="Y991" s="3"/>
      <c r="Z991" s="3"/>
    </row>
    <row r="992" spans="1:26" ht="15.75" customHeight="1">
      <c r="A992" s="3"/>
      <c r="B992" s="2"/>
      <c r="C992" s="2"/>
      <c r="D992" s="2"/>
      <c r="E992" s="2"/>
      <c r="F992" s="2"/>
      <c r="G992" s="2"/>
      <c r="H992" s="2"/>
      <c r="I992" s="2"/>
      <c r="J992" s="564"/>
      <c r="K992" s="564"/>
      <c r="L992" s="564"/>
      <c r="M992" s="564"/>
      <c r="N992" s="564"/>
      <c r="O992" s="3"/>
      <c r="P992" s="3"/>
      <c r="Q992" s="3"/>
      <c r="R992" s="3"/>
      <c r="S992" s="3"/>
      <c r="T992" s="3"/>
      <c r="U992" s="3"/>
      <c r="V992" s="3"/>
      <c r="W992" s="3"/>
      <c r="X992" s="3"/>
      <c r="Y992" s="3"/>
      <c r="Z992" s="3"/>
    </row>
    <row r="993" spans="1:26" ht="15.75" customHeight="1">
      <c r="A993" s="3"/>
      <c r="B993" s="2"/>
      <c r="C993" s="2"/>
      <c r="D993" s="2"/>
      <c r="E993" s="2"/>
      <c r="F993" s="2"/>
      <c r="G993" s="2"/>
      <c r="H993" s="2"/>
      <c r="I993" s="2"/>
      <c r="J993" s="564"/>
      <c r="K993" s="564"/>
      <c r="L993" s="564"/>
      <c r="M993" s="564"/>
      <c r="N993" s="564"/>
      <c r="O993" s="3"/>
      <c r="P993" s="3"/>
      <c r="Q993" s="3"/>
      <c r="R993" s="3"/>
      <c r="S993" s="3"/>
      <c r="T993" s="3"/>
      <c r="U993" s="3"/>
      <c r="V993" s="3"/>
      <c r="W993" s="3"/>
      <c r="X993" s="3"/>
      <c r="Y993" s="3"/>
      <c r="Z993" s="3"/>
    </row>
    <row r="994" spans="1:26" ht="15.75" customHeight="1">
      <c r="A994" s="3"/>
      <c r="B994" s="2"/>
      <c r="C994" s="2"/>
      <c r="D994" s="2"/>
      <c r="E994" s="2"/>
      <c r="F994" s="2"/>
      <c r="G994" s="2"/>
      <c r="H994" s="2"/>
      <c r="I994" s="2"/>
      <c r="J994" s="564"/>
      <c r="K994" s="564"/>
      <c r="L994" s="564"/>
      <c r="M994" s="564"/>
      <c r="N994" s="564"/>
      <c r="O994" s="3"/>
      <c r="P994" s="3"/>
      <c r="Q994" s="3"/>
      <c r="R994" s="3"/>
      <c r="S994" s="3"/>
      <c r="T994" s="3"/>
      <c r="U994" s="3"/>
      <c r="V994" s="3"/>
      <c r="W994" s="3"/>
      <c r="X994" s="3"/>
      <c r="Y994" s="3"/>
      <c r="Z994" s="3"/>
    </row>
  </sheetData>
  <pageMargins left="0.70866141732283472" right="0.70866141732283472" top="0.74803149606299213" bottom="0.74803149606299213" header="0" footer="0"/>
  <pageSetup paperSize="9" scale="10" orientation="landscape" r:id="rId1"/>
  <ignoredErrors>
    <ignoredError sqref="J39:P45 O14 O13 K12:O12 J21:N21 K23:N23 J15:O16 J14:N14 J19:O20 J25:O25 I12:J12 J13:N13 J18:O18 C17:I18 J47 J46:N46 P46 O47:P47 O27:O30 O32 O33 M36:N36 M33:N33 N35:O35 J24:N24 J17:M17 O17" evalError="1"/>
    <ignoredError sqref="O46"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929"/>
  <sheetViews>
    <sheetView showGridLines="0" zoomScaleNormal="100" workbookViewId="0">
      <selection activeCell="C4" sqref="C4"/>
    </sheetView>
  </sheetViews>
  <sheetFormatPr baseColWidth="10" defaultColWidth="14.42578125" defaultRowHeight="15" customHeight="1"/>
  <cols>
    <col min="1" max="1" width="4.5703125" customWidth="1"/>
    <col min="2" max="2" width="40.5703125" customWidth="1"/>
    <col min="3" max="3" width="17" style="292" customWidth="1"/>
    <col min="4" max="4" width="22" customWidth="1"/>
    <col min="5" max="5" width="26.7109375" customWidth="1"/>
    <col min="6" max="6" width="14.5703125" customWidth="1"/>
    <col min="7" max="7" width="22.140625" customWidth="1"/>
    <col min="8" max="8" width="15.28515625" customWidth="1"/>
    <col min="9" max="26" width="10.7109375" customWidth="1"/>
  </cols>
  <sheetData>
    <row r="1" spans="1:26" ht="18.75">
      <c r="A1" s="3"/>
      <c r="B1" s="56" t="s">
        <v>474</v>
      </c>
      <c r="C1" s="293"/>
      <c r="D1" s="3"/>
      <c r="E1" s="57"/>
      <c r="F1" s="58"/>
      <c r="G1" s="58"/>
      <c r="H1" s="58"/>
      <c r="I1" s="58"/>
      <c r="J1" s="58"/>
      <c r="K1" s="58"/>
      <c r="L1" s="58"/>
      <c r="M1" s="58"/>
      <c r="N1" s="58"/>
      <c r="O1" s="58"/>
      <c r="P1" s="58"/>
      <c r="Q1" s="58"/>
      <c r="R1" s="58"/>
      <c r="S1" s="58"/>
      <c r="T1" s="58"/>
      <c r="U1" s="58"/>
      <c r="V1" s="58"/>
      <c r="W1" s="58"/>
      <c r="X1" s="58"/>
      <c r="Y1" s="58"/>
      <c r="Z1" s="58"/>
    </row>
    <row r="2" spans="1:26">
      <c r="A2" s="3"/>
      <c r="B2" s="58"/>
      <c r="C2" s="293"/>
      <c r="D2" s="3"/>
      <c r="E2" s="57"/>
      <c r="F2" s="58"/>
      <c r="G2" s="58"/>
      <c r="H2" s="58"/>
      <c r="I2" s="58"/>
      <c r="J2" s="58"/>
      <c r="K2" s="58"/>
      <c r="L2" s="58"/>
      <c r="M2" s="58"/>
      <c r="N2" s="58"/>
      <c r="O2" s="58"/>
      <c r="P2" s="58"/>
      <c r="Q2" s="58"/>
      <c r="R2" s="58"/>
      <c r="S2" s="58"/>
      <c r="T2" s="58"/>
      <c r="U2" s="58"/>
      <c r="V2" s="58"/>
      <c r="W2" s="58"/>
      <c r="X2" s="58"/>
      <c r="Y2" s="58"/>
      <c r="Z2" s="58"/>
    </row>
    <row r="3" spans="1:26" ht="18.75">
      <c r="A3" s="3"/>
      <c r="B3" s="283" t="s">
        <v>43</v>
      </c>
      <c r="C3" s="294"/>
      <c r="D3" s="294"/>
      <c r="E3" s="294"/>
      <c r="F3" s="275"/>
      <c r="G3" s="275"/>
      <c r="H3" s="275"/>
      <c r="I3" s="58"/>
      <c r="J3" s="58"/>
      <c r="K3" s="58"/>
      <c r="L3" s="58"/>
      <c r="M3" s="58"/>
      <c r="N3" s="58"/>
      <c r="O3" s="58"/>
      <c r="P3" s="58"/>
      <c r="Q3" s="58"/>
      <c r="R3" s="58"/>
      <c r="S3" s="58"/>
      <c r="T3" s="58"/>
      <c r="U3" s="58"/>
      <c r="V3" s="58"/>
      <c r="W3" s="58"/>
      <c r="X3" s="58"/>
      <c r="Y3" s="58"/>
      <c r="Z3" s="58"/>
    </row>
    <row r="4" spans="1:26">
      <c r="A4" s="3"/>
      <c r="B4" s="285" t="s">
        <v>45</v>
      </c>
      <c r="C4" s="447">
        <f>+ACUMULADOS!Z2</f>
        <v>70186.919999999955</v>
      </c>
      <c r="D4" s="284">
        <v>50000</v>
      </c>
      <c r="E4" s="59" t="s">
        <v>223</v>
      </c>
      <c r="F4" s="58"/>
      <c r="G4" s="58"/>
      <c r="H4" s="58"/>
      <c r="I4" s="58"/>
      <c r="J4" s="58"/>
      <c r="K4" s="58"/>
      <c r="L4" s="58"/>
      <c r="M4" s="58"/>
      <c r="N4" s="58"/>
      <c r="O4" s="58"/>
      <c r="P4" s="58"/>
      <c r="Q4" s="58"/>
      <c r="R4" s="58"/>
      <c r="S4" s="58"/>
      <c r="T4" s="58"/>
      <c r="U4" s="58"/>
      <c r="V4" s="58"/>
      <c r="W4" s="58"/>
      <c r="X4" s="58"/>
      <c r="Y4" s="58"/>
      <c r="Z4" s="58"/>
    </row>
    <row r="5" spans="1:26">
      <c r="A5" s="3"/>
      <c r="B5" s="286" t="s">
        <v>46</v>
      </c>
      <c r="C5" s="446">
        <f>+ACUMULADOS!M2</f>
        <v>2338657632.9089236</v>
      </c>
      <c r="D5" s="281"/>
      <c r="E5" s="57"/>
      <c r="F5" s="58"/>
      <c r="G5" s="58"/>
      <c r="H5" s="58"/>
      <c r="I5" s="58"/>
      <c r="J5" s="58"/>
      <c r="K5" s="58"/>
      <c r="L5" s="58"/>
      <c r="M5" s="58"/>
      <c r="N5" s="58"/>
      <c r="O5" s="58"/>
      <c r="P5" s="58"/>
      <c r="Q5" s="58"/>
      <c r="R5" s="58"/>
      <c r="S5" s="58"/>
      <c r="T5" s="58"/>
      <c r="U5" s="58"/>
      <c r="V5" s="58"/>
      <c r="W5" s="58"/>
      <c r="X5" s="58"/>
      <c r="Y5" s="58"/>
      <c r="Z5" s="58"/>
    </row>
    <row r="6" spans="1:26">
      <c r="A6" s="3"/>
      <c r="B6" s="285" t="s">
        <v>222</v>
      </c>
      <c r="C6" s="295">
        <f ca="1">+ACUMULADOS!AE3</f>
        <v>32106.914449402222</v>
      </c>
      <c r="D6" s="282">
        <f>+ACUMULADOS!AJ3</f>
        <v>34174.431926924743</v>
      </c>
      <c r="E6" s="59" t="s">
        <v>59</v>
      </c>
      <c r="F6" s="58"/>
      <c r="G6" s="58"/>
      <c r="H6" s="58"/>
      <c r="I6" s="58"/>
      <c r="J6" s="58"/>
      <c r="K6" s="58"/>
      <c r="L6" s="58"/>
      <c r="M6" s="58"/>
      <c r="N6" s="58"/>
      <c r="O6" s="58"/>
      <c r="P6" s="58"/>
      <c r="Q6" s="58"/>
      <c r="R6" s="58"/>
      <c r="S6" s="58"/>
      <c r="T6" s="58"/>
      <c r="U6" s="58"/>
      <c r="V6" s="58"/>
      <c r="W6" s="58"/>
      <c r="X6" s="58"/>
      <c r="Y6" s="58"/>
      <c r="Z6" s="58"/>
    </row>
    <row r="7" spans="1:26">
      <c r="A7" s="3"/>
      <c r="B7" s="285" t="s">
        <v>10</v>
      </c>
      <c r="C7" s="297">
        <f ca="1">+ACUMULADOS!AL3</f>
        <v>-6.0498956703757267E-2</v>
      </c>
      <c r="D7" s="281"/>
      <c r="E7" s="57"/>
      <c r="F7" s="58"/>
      <c r="G7" s="58"/>
      <c r="H7" s="58"/>
      <c r="I7" s="58"/>
      <c r="J7" s="58"/>
      <c r="K7" s="58"/>
      <c r="L7" s="58"/>
      <c r="M7" s="58"/>
      <c r="N7" s="58"/>
      <c r="O7" s="58"/>
      <c r="P7" s="58"/>
      <c r="Q7" s="58"/>
      <c r="R7" s="58"/>
      <c r="S7" s="58"/>
      <c r="T7" s="58"/>
      <c r="U7" s="58"/>
      <c r="V7" s="58"/>
      <c r="W7" s="58"/>
      <c r="X7" s="58"/>
      <c r="Y7" s="58"/>
      <c r="Z7" s="58"/>
    </row>
    <row r="8" spans="1:26" s="383" customFormat="1">
      <c r="A8" s="281"/>
      <c r="B8" s="285" t="s">
        <v>54</v>
      </c>
      <c r="C8" s="297">
        <f ca="1">+(((C6/1.21/50)+(2700/50/1.21)+(C6*0.048/50/1.21))/D9)-1</f>
        <v>-0.29318334773021826</v>
      </c>
      <c r="D8" s="281"/>
      <c r="E8" s="57"/>
      <c r="F8" s="223"/>
      <c r="G8" s="223"/>
      <c r="H8" s="223"/>
      <c r="I8" s="223"/>
      <c r="J8" s="223"/>
      <c r="K8" s="223"/>
      <c r="L8" s="223"/>
      <c r="M8" s="223"/>
      <c r="N8" s="223"/>
      <c r="O8" s="223"/>
      <c r="P8" s="223"/>
      <c r="Q8" s="223"/>
      <c r="R8" s="223"/>
      <c r="S8" s="223"/>
      <c r="T8" s="223"/>
      <c r="U8" s="223"/>
      <c r="V8" s="223"/>
      <c r="W8" s="223"/>
      <c r="X8" s="223"/>
      <c r="Y8" s="223"/>
      <c r="Z8" s="223"/>
    </row>
    <row r="9" spans="1:26" s="383" customFormat="1">
      <c r="A9" s="281"/>
      <c r="B9" s="285" t="s">
        <v>55</v>
      </c>
      <c r="C9" s="298">
        <f>+ACUMULADOS!J3</f>
        <v>579.27325090813383</v>
      </c>
      <c r="D9" s="282">
        <f>+'COMPARATIVO PCIOS REFERENCIA'!F8</f>
        <v>850</v>
      </c>
      <c r="E9" s="59" t="s">
        <v>56</v>
      </c>
      <c r="F9" s="223"/>
      <c r="G9" s="223"/>
      <c r="H9" s="223"/>
      <c r="I9" s="223"/>
      <c r="J9" s="223"/>
      <c r="K9" s="223"/>
      <c r="L9" s="223"/>
      <c r="M9" s="223"/>
      <c r="N9" s="223"/>
      <c r="O9" s="223"/>
      <c r="P9" s="223"/>
      <c r="Q9" s="223"/>
      <c r="R9" s="223"/>
      <c r="S9" s="223"/>
      <c r="T9" s="223"/>
      <c r="U9" s="223"/>
      <c r="V9" s="223"/>
      <c r="W9" s="223"/>
      <c r="X9" s="223"/>
      <c r="Y9" s="223"/>
      <c r="Z9" s="223"/>
    </row>
    <row r="10" spans="1:26" s="383" customFormat="1">
      <c r="A10" s="281"/>
      <c r="B10" s="285" t="s">
        <v>57</v>
      </c>
      <c r="C10" s="460">
        <f>+C9/C12*1000</f>
        <v>410.25017769697865</v>
      </c>
      <c r="D10" s="281"/>
      <c r="E10" s="57"/>
      <c r="F10" s="223"/>
      <c r="G10" s="223"/>
      <c r="H10" s="223"/>
      <c r="I10" s="223"/>
      <c r="J10" s="223"/>
      <c r="K10" s="223"/>
      <c r="L10" s="223"/>
      <c r="M10" s="223"/>
      <c r="N10" s="223"/>
      <c r="O10" s="223"/>
      <c r="P10" s="223"/>
      <c r="Q10" s="223"/>
      <c r="R10" s="223"/>
      <c r="S10" s="223"/>
      <c r="T10" s="223"/>
      <c r="U10" s="223"/>
      <c r="V10" s="223"/>
      <c r="W10" s="223"/>
      <c r="X10" s="223"/>
      <c r="Y10" s="223"/>
      <c r="Z10" s="223"/>
    </row>
    <row r="11" spans="1:26" s="383" customFormat="1">
      <c r="A11" s="281"/>
      <c r="B11" s="285" t="s">
        <v>454</v>
      </c>
      <c r="C11" s="296">
        <f>+C9/D11-1</f>
        <v>0.27394603245945359</v>
      </c>
      <c r="D11" s="282">
        <f>+'COMPARATIVO ANUAL'!F10</f>
        <v>454.70784173627902</v>
      </c>
      <c r="E11" s="59" t="s">
        <v>455</v>
      </c>
      <c r="F11" s="223"/>
      <c r="G11" s="223"/>
      <c r="H11" s="223"/>
      <c r="I11" s="223"/>
      <c r="J11" s="223"/>
      <c r="K11" s="223"/>
      <c r="L11" s="223"/>
      <c r="M11" s="223"/>
      <c r="N11" s="223"/>
      <c r="O11" s="223"/>
      <c r="P11" s="223"/>
      <c r="Q11" s="223"/>
      <c r="R11" s="223"/>
      <c r="S11" s="223"/>
      <c r="T11" s="223"/>
      <c r="U11" s="223"/>
      <c r="V11" s="223"/>
      <c r="W11" s="223"/>
      <c r="X11" s="223"/>
      <c r="Y11" s="223"/>
      <c r="Z11" s="223"/>
    </row>
    <row r="12" spans="1:26" s="383" customFormat="1">
      <c r="A12" s="281"/>
      <c r="B12" s="448" t="s">
        <v>232</v>
      </c>
      <c r="C12" s="449">
        <f>+KPI´S!C54</f>
        <v>1412</v>
      </c>
      <c r="D12" s="3"/>
      <c r="E12" s="57"/>
      <c r="F12" s="223"/>
      <c r="G12" s="223"/>
      <c r="H12" s="223"/>
      <c r="I12" s="223"/>
      <c r="J12" s="223"/>
      <c r="K12" s="223"/>
      <c r="L12" s="223"/>
      <c r="M12" s="223"/>
      <c r="N12" s="223"/>
      <c r="O12" s="223"/>
      <c r="P12" s="223"/>
      <c r="Q12" s="223"/>
      <c r="R12" s="223"/>
      <c r="S12" s="223"/>
      <c r="T12" s="223"/>
      <c r="U12" s="223"/>
      <c r="V12" s="223"/>
      <c r="W12" s="223"/>
      <c r="X12" s="223"/>
      <c r="Y12" s="223"/>
      <c r="Z12" s="223"/>
    </row>
    <row r="13" spans="1:26">
      <c r="A13" s="3"/>
      <c r="F13" s="58"/>
      <c r="G13" s="58"/>
      <c r="H13" s="58"/>
      <c r="I13" s="58"/>
      <c r="J13" s="58"/>
      <c r="K13" s="58"/>
      <c r="L13" s="58"/>
      <c r="M13" s="58"/>
      <c r="N13" s="58"/>
      <c r="O13" s="58"/>
      <c r="P13" s="58"/>
      <c r="Q13" s="58"/>
      <c r="R13" s="58"/>
      <c r="S13" s="58"/>
      <c r="T13" s="58"/>
      <c r="U13" s="58"/>
      <c r="V13" s="58"/>
      <c r="W13" s="58"/>
      <c r="X13" s="58"/>
      <c r="Y13" s="58"/>
      <c r="Z13" s="58"/>
    </row>
    <row r="14" spans="1:26" ht="18.75">
      <c r="A14" s="3"/>
      <c r="B14" s="283" t="s">
        <v>48</v>
      </c>
      <c r="C14" s="294"/>
      <c r="D14" s="294"/>
      <c r="E14" s="294"/>
      <c r="F14" s="58"/>
      <c r="G14" s="58"/>
      <c r="H14" s="58"/>
      <c r="I14" s="58"/>
      <c r="J14" s="58"/>
      <c r="K14" s="58"/>
      <c r="L14" s="58"/>
      <c r="M14" s="58"/>
      <c r="N14" s="58"/>
      <c r="O14" s="58"/>
      <c r="P14" s="58"/>
      <c r="Q14" s="58"/>
      <c r="R14" s="58"/>
      <c r="S14" s="58"/>
      <c r="T14" s="58"/>
      <c r="U14" s="58"/>
      <c r="V14" s="58"/>
      <c r="W14" s="58"/>
      <c r="X14" s="58"/>
      <c r="Y14" s="58"/>
      <c r="Z14" s="58"/>
    </row>
    <row r="15" spans="1:26">
      <c r="A15" s="3"/>
      <c r="B15" s="285" t="s">
        <v>45</v>
      </c>
      <c r="C15" s="447">
        <f>+ACUMULADOS!Z4</f>
        <v>104239.59999999998</v>
      </c>
      <c r="D15" s="284">
        <v>60000</v>
      </c>
      <c r="E15" s="59" t="s">
        <v>223</v>
      </c>
      <c r="F15" s="58"/>
      <c r="G15" s="60"/>
      <c r="H15" s="58"/>
      <c r="I15" s="58"/>
      <c r="J15" s="58"/>
      <c r="K15" s="58"/>
      <c r="L15" s="58"/>
      <c r="M15" s="58"/>
      <c r="N15" s="58"/>
      <c r="O15" s="58"/>
      <c r="P15" s="58"/>
      <c r="Q15" s="58"/>
      <c r="R15" s="58"/>
      <c r="S15" s="58"/>
      <c r="T15" s="58"/>
      <c r="U15" s="58"/>
      <c r="V15" s="58"/>
      <c r="W15" s="58"/>
      <c r="X15" s="58"/>
      <c r="Y15" s="58"/>
      <c r="Z15" s="58"/>
    </row>
    <row r="16" spans="1:26" ht="15.75" customHeight="1">
      <c r="A16" s="3"/>
      <c r="B16" s="286" t="s">
        <v>46</v>
      </c>
      <c r="C16" s="446">
        <f>+ACUMULADOS!M4</f>
        <v>3022214181.0076809</v>
      </c>
      <c r="D16" s="281"/>
      <c r="E16" s="512"/>
      <c r="F16" s="516"/>
      <c r="G16" s="58"/>
      <c r="H16" s="58"/>
      <c r="I16" s="58"/>
      <c r="J16" s="58"/>
      <c r="K16" s="58"/>
      <c r="L16" s="58"/>
      <c r="M16" s="58"/>
      <c r="N16" s="58"/>
      <c r="O16" s="58"/>
      <c r="P16" s="58"/>
      <c r="Q16" s="58"/>
      <c r="R16" s="58"/>
      <c r="S16" s="58"/>
      <c r="T16" s="58"/>
      <c r="U16" s="58"/>
      <c r="V16" s="58"/>
      <c r="W16" s="58"/>
      <c r="X16" s="58"/>
      <c r="Y16" s="58"/>
      <c r="Z16" s="58"/>
    </row>
    <row r="17" spans="1:26" ht="15.75" customHeight="1">
      <c r="A17" s="3"/>
      <c r="B17" s="285" t="s">
        <v>222</v>
      </c>
      <c r="C17" s="295">
        <f>+ACUMULADOS!AE5</f>
        <v>29204.471846982593</v>
      </c>
      <c r="D17" s="282">
        <f>+ACUMULADOS!AJ5</f>
        <v>33811.815222247045</v>
      </c>
      <c r="E17" s="59" t="s">
        <v>59</v>
      </c>
      <c r="F17" s="58"/>
      <c r="G17" s="58"/>
      <c r="H17" s="58"/>
      <c r="I17" s="58"/>
      <c r="J17" s="58"/>
      <c r="K17" s="58"/>
      <c r="L17" s="58"/>
      <c r="M17" s="58"/>
      <c r="N17" s="58"/>
      <c r="O17" s="58"/>
      <c r="P17" s="58"/>
      <c r="Q17" s="58"/>
      <c r="R17" s="58"/>
      <c r="S17" s="58"/>
      <c r="T17" s="58"/>
      <c r="U17" s="58"/>
      <c r="V17" s="58"/>
      <c r="W17" s="58"/>
      <c r="X17" s="58"/>
      <c r="Y17" s="58"/>
      <c r="Z17" s="58"/>
    </row>
    <row r="18" spans="1:26" ht="15.75" customHeight="1">
      <c r="A18" s="3"/>
      <c r="B18" s="285" t="s">
        <v>10</v>
      </c>
      <c r="C18" s="297">
        <f>+ACUMULADOS!AL5</f>
        <v>-0.13626430125032074</v>
      </c>
      <c r="D18" s="281"/>
      <c r="E18" s="57"/>
      <c r="F18" s="58"/>
      <c r="G18" s="58"/>
      <c r="H18" s="58"/>
      <c r="I18" s="58"/>
      <c r="J18" s="58"/>
      <c r="K18" s="58"/>
      <c r="L18" s="58"/>
      <c r="M18" s="58"/>
      <c r="N18" s="58"/>
      <c r="O18" s="58"/>
      <c r="P18" s="58"/>
      <c r="Q18" s="58"/>
      <c r="R18" s="58"/>
      <c r="S18" s="58"/>
      <c r="T18" s="58"/>
      <c r="U18" s="58"/>
      <c r="V18" s="58"/>
      <c r="W18" s="58"/>
      <c r="X18" s="58"/>
      <c r="Y18" s="58"/>
      <c r="Z18" s="58"/>
    </row>
    <row r="19" spans="1:26" ht="15.75" customHeight="1">
      <c r="A19" s="3"/>
      <c r="B19" s="285" t="s">
        <v>54</v>
      </c>
      <c r="C19" s="297">
        <f>+(((C17/1.21/50)+(2700/50/1.21)+(C17*0.048/50/1.21))/D20)-1</f>
        <v>-0.38831429760077574</v>
      </c>
      <c r="D19" s="281"/>
      <c r="E19" s="57"/>
      <c r="F19" s="58"/>
      <c r="G19" s="58"/>
      <c r="H19" s="58"/>
      <c r="I19" s="58"/>
      <c r="J19" s="58"/>
      <c r="K19" s="58"/>
      <c r="L19" s="58"/>
      <c r="M19" s="58"/>
      <c r="N19" s="58"/>
      <c r="O19" s="58"/>
      <c r="P19" s="58"/>
      <c r="Q19" s="58"/>
      <c r="R19" s="58"/>
      <c r="S19" s="58"/>
      <c r="T19" s="58"/>
      <c r="U19" s="58"/>
      <c r="V19" s="58"/>
      <c r="W19" s="58"/>
      <c r="X19" s="58"/>
      <c r="Y19" s="58"/>
      <c r="Z19" s="58"/>
    </row>
    <row r="20" spans="1:26" s="383" customFormat="1" ht="15.75" customHeight="1">
      <c r="A20" s="281"/>
      <c r="B20" s="285" t="s">
        <v>55</v>
      </c>
      <c r="C20" s="298">
        <f>+ACUMULADOS!J5</f>
        <v>483.75910558297863</v>
      </c>
      <c r="D20" s="282">
        <f>+'COMPARATIVO PCIOS REFERENCIA'!F9</f>
        <v>900</v>
      </c>
      <c r="E20" s="59" t="s">
        <v>56</v>
      </c>
      <c r="F20" s="223"/>
      <c r="G20" s="223"/>
      <c r="H20" s="223"/>
      <c r="I20" s="223"/>
      <c r="J20" s="223"/>
      <c r="K20" s="223"/>
      <c r="L20" s="223"/>
      <c r="M20" s="223"/>
      <c r="N20" s="223"/>
      <c r="O20" s="223"/>
      <c r="P20" s="223"/>
      <c r="Q20" s="223"/>
      <c r="R20" s="223"/>
      <c r="S20" s="223"/>
      <c r="T20" s="223"/>
      <c r="U20" s="223"/>
      <c r="V20" s="223"/>
      <c r="W20" s="223"/>
      <c r="X20" s="223"/>
      <c r="Y20" s="223"/>
      <c r="Z20" s="223"/>
    </row>
    <row r="21" spans="1:26" s="383" customFormat="1" ht="15.75" customHeight="1">
      <c r="A21" s="281"/>
      <c r="B21" s="285" t="s">
        <v>57</v>
      </c>
      <c r="C21" s="460">
        <f>+C20/C23*1000</f>
        <v>318.49161102828532</v>
      </c>
      <c r="D21" s="281"/>
      <c r="E21" s="57"/>
      <c r="F21" s="223"/>
      <c r="G21" s="223"/>
      <c r="H21" s="223"/>
      <c r="I21" s="223"/>
      <c r="J21" s="223"/>
      <c r="K21" s="223"/>
      <c r="L21" s="223"/>
      <c r="M21" s="223"/>
      <c r="N21" s="223"/>
      <c r="O21" s="223"/>
      <c r="P21" s="223"/>
      <c r="Q21" s="223"/>
      <c r="R21" s="223"/>
      <c r="S21" s="223"/>
      <c r="T21" s="223"/>
      <c r="U21" s="223"/>
      <c r="V21" s="223"/>
      <c r="W21" s="223"/>
      <c r="X21" s="223"/>
      <c r="Y21" s="223"/>
      <c r="Z21" s="223"/>
    </row>
    <row r="22" spans="1:26" s="383" customFormat="1" ht="15.75" customHeight="1">
      <c r="A22" s="281"/>
      <c r="B22" s="285" t="s">
        <v>454</v>
      </c>
      <c r="C22" s="296">
        <f>+C20/D22-1</f>
        <v>-3.0116002337561731E-2</v>
      </c>
      <c r="D22" s="282">
        <f>+'COMPARATIVO ANUAL'!F11</f>
        <v>498.7803765696811</v>
      </c>
      <c r="E22" s="59" t="s">
        <v>456</v>
      </c>
      <c r="F22" s="223"/>
      <c r="G22" s="223"/>
      <c r="H22" s="223"/>
      <c r="I22" s="223"/>
      <c r="J22" s="223"/>
      <c r="K22" s="223"/>
      <c r="L22" s="223"/>
      <c r="M22" s="223"/>
      <c r="N22" s="223"/>
      <c r="O22" s="223"/>
      <c r="P22" s="223"/>
      <c r="Q22" s="223"/>
      <c r="R22" s="223"/>
      <c r="S22" s="223"/>
      <c r="T22" s="223"/>
      <c r="U22" s="223"/>
      <c r="V22" s="223"/>
      <c r="W22" s="223"/>
      <c r="X22" s="223"/>
      <c r="Y22" s="223"/>
      <c r="Z22" s="223"/>
    </row>
    <row r="23" spans="1:26" s="383" customFormat="1" ht="15.75" customHeight="1">
      <c r="A23" s="281"/>
      <c r="B23" s="448" t="s">
        <v>232</v>
      </c>
      <c r="C23" s="491">
        <f>+KPI´S!D54</f>
        <v>1518.9069</v>
      </c>
      <c r="D23" s="281"/>
      <c r="E23" s="57"/>
      <c r="F23" s="223"/>
      <c r="G23" s="223"/>
      <c r="H23" s="223"/>
      <c r="I23" s="223"/>
      <c r="J23" s="223"/>
      <c r="K23" s="223"/>
      <c r="L23" s="223"/>
      <c r="M23" s="223"/>
      <c r="N23" s="223"/>
      <c r="O23" s="223"/>
      <c r="P23" s="223"/>
      <c r="Q23" s="223"/>
      <c r="R23" s="223"/>
      <c r="S23" s="223"/>
      <c r="T23" s="223"/>
      <c r="U23" s="223"/>
      <c r="V23" s="223"/>
      <c r="W23" s="223"/>
      <c r="X23" s="223"/>
      <c r="Y23" s="223"/>
      <c r="Z23" s="223"/>
    </row>
    <row r="24" spans="1:26" s="383" customFormat="1" ht="15.75" customHeight="1">
      <c r="A24" s="281"/>
      <c r="F24" s="223"/>
      <c r="G24" s="223"/>
      <c r="H24" s="223"/>
      <c r="I24" s="223"/>
      <c r="J24" s="223"/>
      <c r="K24" s="223"/>
      <c r="L24" s="223"/>
      <c r="M24" s="223"/>
      <c r="N24" s="223"/>
      <c r="O24" s="223"/>
      <c r="P24" s="223"/>
      <c r="Q24" s="223"/>
      <c r="R24" s="223"/>
      <c r="S24" s="223"/>
      <c r="T24" s="223"/>
      <c r="U24" s="223"/>
      <c r="V24" s="223"/>
      <c r="W24" s="223"/>
      <c r="X24" s="223"/>
      <c r="Y24" s="223"/>
      <c r="Z24" s="223"/>
    </row>
    <row r="25" spans="1:26" ht="15.75" customHeight="1">
      <c r="A25" s="3"/>
      <c r="B25" s="283" t="s">
        <v>49</v>
      </c>
      <c r="C25" s="294"/>
      <c r="D25" s="294"/>
      <c r="E25" s="294"/>
      <c r="F25" s="58"/>
      <c r="G25" s="58"/>
      <c r="H25" s="58"/>
      <c r="I25" s="58"/>
      <c r="J25" s="58"/>
      <c r="K25" s="58"/>
      <c r="L25" s="58"/>
      <c r="M25" s="58"/>
      <c r="N25" s="58"/>
      <c r="O25" s="58"/>
      <c r="P25" s="58"/>
      <c r="Q25" s="58"/>
      <c r="R25" s="58"/>
      <c r="S25" s="58"/>
      <c r="T25" s="58"/>
      <c r="U25" s="58"/>
      <c r="V25" s="58"/>
      <c r="W25" s="58"/>
      <c r="X25" s="58"/>
      <c r="Y25" s="58"/>
      <c r="Z25" s="58"/>
    </row>
    <row r="26" spans="1:26" ht="15.75" customHeight="1">
      <c r="A26" s="3"/>
      <c r="B26" s="285" t="s">
        <v>45</v>
      </c>
      <c r="C26" s="447">
        <f>+ACUMULADOS!Z7</f>
        <v>70284</v>
      </c>
      <c r="D26" s="284">
        <v>60000</v>
      </c>
      <c r="E26" s="59" t="s">
        <v>223</v>
      </c>
      <c r="F26" s="60"/>
      <c r="G26" s="58"/>
      <c r="H26" s="58"/>
      <c r="I26" s="58"/>
      <c r="J26" s="58"/>
      <c r="K26" s="58"/>
      <c r="L26" s="58"/>
      <c r="M26" s="58"/>
      <c r="N26" s="58"/>
      <c r="O26" s="58"/>
      <c r="P26" s="58"/>
      <c r="Q26" s="58"/>
      <c r="R26" s="58"/>
      <c r="S26" s="58"/>
      <c r="T26" s="58"/>
      <c r="U26" s="58"/>
      <c r="V26" s="58"/>
      <c r="W26" s="58"/>
      <c r="X26" s="58"/>
      <c r="Y26" s="58"/>
      <c r="Z26" s="58"/>
    </row>
    <row r="27" spans="1:26" ht="15.75" customHeight="1">
      <c r="A27" s="3"/>
      <c r="B27" s="286" t="s">
        <v>46</v>
      </c>
      <c r="C27" s="446">
        <f>+ACUMULADOS!M7</f>
        <v>2010720398.4363291</v>
      </c>
      <c r="E27" s="512"/>
      <c r="F27" s="58"/>
      <c r="G27" s="58"/>
      <c r="H27" s="58"/>
      <c r="I27" s="58"/>
      <c r="J27" s="58"/>
      <c r="K27" s="58"/>
      <c r="L27" s="58"/>
      <c r="M27" s="58"/>
      <c r="N27" s="58"/>
      <c r="O27" s="58"/>
      <c r="P27" s="58"/>
      <c r="Q27" s="58"/>
      <c r="R27" s="58"/>
      <c r="S27" s="58"/>
      <c r="T27" s="58"/>
      <c r="U27" s="58"/>
      <c r="V27" s="58"/>
      <c r="W27" s="58"/>
      <c r="X27" s="58"/>
      <c r="Y27" s="58"/>
      <c r="Z27" s="58"/>
    </row>
    <row r="28" spans="1:26" ht="15.75" customHeight="1">
      <c r="A28" s="3"/>
      <c r="B28" s="285" t="s">
        <v>222</v>
      </c>
      <c r="C28" s="295" t="e">
        <f>+ACUMULADOS!AE8</f>
        <v>#VALUE!</v>
      </c>
      <c r="D28" s="282">
        <f>+ACUMULADOS!AJ8</f>
        <v>33759.479166666664</v>
      </c>
      <c r="E28" s="59" t="s">
        <v>59</v>
      </c>
      <c r="F28" s="58"/>
      <c r="G28" s="58"/>
      <c r="H28" s="58"/>
      <c r="I28" s="58"/>
      <c r="J28" s="58"/>
      <c r="K28" s="58"/>
      <c r="L28" s="58"/>
      <c r="M28" s="58"/>
      <c r="N28" s="58"/>
      <c r="O28" s="58"/>
      <c r="P28" s="58"/>
      <c r="Q28" s="58"/>
      <c r="R28" s="58"/>
      <c r="S28" s="58"/>
      <c r="T28" s="58"/>
      <c r="U28" s="58"/>
      <c r="V28" s="58"/>
      <c r="W28" s="58"/>
      <c r="X28" s="58"/>
      <c r="Y28" s="58"/>
      <c r="Z28" s="58"/>
    </row>
    <row r="29" spans="1:26" ht="15.75" customHeight="1">
      <c r="A29" s="3"/>
      <c r="B29" s="285" t="s">
        <v>10</v>
      </c>
      <c r="C29" s="297" t="e">
        <f>+ACUMULADOS!AO8</f>
        <v>#VALUE!</v>
      </c>
      <c r="D29" s="281"/>
      <c r="E29" s="57"/>
      <c r="F29" s="58"/>
      <c r="G29" s="58"/>
      <c r="H29" s="58"/>
      <c r="I29" s="58"/>
      <c r="J29" s="58"/>
      <c r="K29" s="58"/>
      <c r="L29" s="58"/>
      <c r="M29" s="58"/>
      <c r="N29" s="58"/>
      <c r="O29" s="58"/>
      <c r="P29" s="58"/>
      <c r="Q29" s="58"/>
      <c r="R29" s="58"/>
      <c r="S29" s="58"/>
      <c r="T29" s="58"/>
      <c r="U29" s="58"/>
      <c r="V29" s="58"/>
      <c r="W29" s="58"/>
      <c r="X29" s="58"/>
      <c r="Y29" s="58"/>
      <c r="Z29" s="58"/>
    </row>
    <row r="30" spans="1:26" ht="15.75" customHeight="1">
      <c r="A30" s="3"/>
      <c r="B30" s="285" t="s">
        <v>54</v>
      </c>
      <c r="C30" s="297" t="e">
        <f>+(((C28/1.21/50)+(+(2525*1.21)/50/1.21)+(C28*0.048/50/1.21))/D31)-1</f>
        <v>#VALUE!</v>
      </c>
      <c r="D30" s="281"/>
      <c r="E30" s="57"/>
      <c r="F30" s="58"/>
      <c r="G30" s="58"/>
      <c r="H30" s="58"/>
      <c r="I30" s="58"/>
      <c r="J30" s="58"/>
      <c r="K30" s="58"/>
      <c r="L30" s="58"/>
      <c r="M30" s="58"/>
      <c r="N30" s="58"/>
      <c r="O30" s="58"/>
      <c r="P30" s="58"/>
      <c r="Q30" s="58"/>
      <c r="R30" s="58"/>
      <c r="S30" s="58"/>
      <c r="T30" s="58"/>
      <c r="U30" s="58"/>
      <c r="V30" s="58"/>
      <c r="W30" s="58"/>
      <c r="X30" s="58"/>
      <c r="Y30" s="58"/>
      <c r="Z30" s="58"/>
    </row>
    <row r="31" spans="1:26" s="383" customFormat="1" ht="15.75" customHeight="1">
      <c r="A31" s="281"/>
      <c r="B31" s="285" t="s">
        <v>55</v>
      </c>
      <c r="C31" s="298">
        <f>+ACUMULADOS!J8</f>
        <v>472.89725981189628</v>
      </c>
      <c r="D31" s="282">
        <f>+'COMPARATIVO PCIOS REFERENCIA'!F10</f>
        <v>900</v>
      </c>
      <c r="E31" s="59" t="s">
        <v>56</v>
      </c>
      <c r="F31" s="495"/>
      <c r="G31" s="495"/>
      <c r="H31" s="223"/>
      <c r="I31" s="223"/>
      <c r="J31" s="223"/>
      <c r="K31" s="223"/>
      <c r="L31" s="223"/>
      <c r="M31" s="223"/>
      <c r="N31" s="223"/>
      <c r="O31" s="223"/>
      <c r="P31" s="223"/>
      <c r="Q31" s="223"/>
      <c r="R31" s="223"/>
      <c r="S31" s="223"/>
      <c r="T31" s="223"/>
      <c r="U31" s="223"/>
      <c r="V31" s="223"/>
      <c r="W31" s="223"/>
      <c r="X31" s="223"/>
      <c r="Y31" s="223"/>
      <c r="Z31" s="223"/>
    </row>
    <row r="32" spans="1:26" s="383" customFormat="1" ht="15.75" customHeight="1">
      <c r="A32" s="281"/>
      <c r="B32" s="285" t="s">
        <v>57</v>
      </c>
      <c r="C32" s="460">
        <f>+C31/C34*1000</f>
        <v>305.83547857721436</v>
      </c>
      <c r="D32" s="281"/>
      <c r="E32" s="57"/>
      <c r="F32" s="223"/>
      <c r="G32" s="223"/>
      <c r="H32" s="223"/>
      <c r="I32" s="223"/>
      <c r="J32" s="223"/>
      <c r="K32" s="223"/>
      <c r="L32" s="223"/>
      <c r="M32" s="223"/>
      <c r="N32" s="223"/>
      <c r="O32" s="223"/>
      <c r="P32" s="223"/>
      <c r="Q32" s="223"/>
      <c r="R32" s="223"/>
      <c r="S32" s="223"/>
      <c r="T32" s="223"/>
      <c r="U32" s="223"/>
      <c r="V32" s="223"/>
      <c r="W32" s="223"/>
      <c r="X32" s="223"/>
      <c r="Y32" s="223"/>
      <c r="Z32" s="223"/>
    </row>
    <row r="33" spans="1:26" s="383" customFormat="1" ht="15.75" customHeight="1">
      <c r="A33" s="281"/>
      <c r="B33" s="285" t="s">
        <v>454</v>
      </c>
      <c r="C33" s="296">
        <f>+C31/D33-1</f>
        <v>-4.5777671638881356E-2</v>
      </c>
      <c r="D33" s="282">
        <f>+'COMPARATIVO ANUAL'!F12</f>
        <v>495.58393862371628</v>
      </c>
      <c r="E33" s="59" t="s">
        <v>457</v>
      </c>
      <c r="F33" s="223"/>
      <c r="G33" s="223"/>
      <c r="H33" s="223"/>
      <c r="I33" s="223"/>
      <c r="J33" s="223"/>
      <c r="K33" s="223"/>
      <c r="L33" s="223"/>
      <c r="M33" s="223"/>
      <c r="N33" s="223"/>
      <c r="O33" s="223"/>
      <c r="P33" s="223"/>
      <c r="Q33" s="223"/>
      <c r="R33" s="223"/>
      <c r="S33" s="223"/>
      <c r="T33" s="223"/>
      <c r="U33" s="223"/>
      <c r="V33" s="223"/>
      <c r="W33" s="223"/>
      <c r="X33" s="223"/>
      <c r="Y33" s="223"/>
      <c r="Z33" s="223"/>
    </row>
    <row r="34" spans="1:26" s="383" customFormat="1" ht="15.75" customHeight="1">
      <c r="A34" s="281"/>
      <c r="B34" s="448" t="s">
        <v>232</v>
      </c>
      <c r="C34" s="491">
        <f>+KPI´S!E54</f>
        <v>1546.2472241999999</v>
      </c>
      <c r="D34" s="281"/>
      <c r="E34" s="57"/>
      <c r="F34" s="223"/>
      <c r="G34" s="223"/>
      <c r="H34" s="223"/>
      <c r="I34" s="223"/>
      <c r="J34" s="223"/>
      <c r="K34" s="223"/>
      <c r="L34" s="223"/>
      <c r="M34" s="223"/>
      <c r="N34" s="223"/>
      <c r="O34" s="223"/>
      <c r="P34" s="223"/>
      <c r="Q34" s="223"/>
      <c r="R34" s="223"/>
      <c r="S34" s="223"/>
      <c r="T34" s="223"/>
      <c r="U34" s="223"/>
      <c r="V34" s="223"/>
      <c r="W34" s="223"/>
      <c r="X34" s="223"/>
      <c r="Y34" s="223"/>
      <c r="Z34" s="223"/>
    </row>
    <row r="35" spans="1:26" s="383" customFormat="1" ht="15.75" customHeight="1">
      <c r="A35" s="281"/>
      <c r="F35" s="223"/>
      <c r="G35" s="223"/>
      <c r="H35" s="223"/>
      <c r="I35" s="223"/>
      <c r="J35" s="223"/>
      <c r="K35" s="223"/>
      <c r="L35" s="223"/>
      <c r="M35" s="223"/>
      <c r="N35" s="223"/>
      <c r="O35" s="223"/>
      <c r="P35" s="223"/>
      <c r="Q35" s="223"/>
      <c r="R35" s="223"/>
      <c r="S35" s="223"/>
      <c r="T35" s="223"/>
      <c r="U35" s="223"/>
      <c r="V35" s="223"/>
      <c r="W35" s="223"/>
      <c r="X35" s="223"/>
      <c r="Y35" s="223"/>
      <c r="Z35" s="223"/>
    </row>
    <row r="36" spans="1:26" ht="15.75" customHeight="1">
      <c r="A36" s="3"/>
      <c r="B36" s="283" t="s">
        <v>50</v>
      </c>
      <c r="C36" s="294"/>
      <c r="D36" s="294"/>
      <c r="E36" s="294"/>
    </row>
    <row r="37" spans="1:26" ht="15.75" customHeight="1">
      <c r="A37" s="3"/>
      <c r="B37" s="285" t="s">
        <v>45</v>
      </c>
      <c r="C37" s="447">
        <f>+ACUMULADOS!Z10</f>
        <v>0</v>
      </c>
      <c r="D37" s="284">
        <v>50000</v>
      </c>
      <c r="E37" s="59" t="s">
        <v>223</v>
      </c>
      <c r="F37" s="58"/>
      <c r="G37" s="58"/>
      <c r="H37" s="58"/>
      <c r="I37" s="58"/>
      <c r="J37" s="58"/>
      <c r="K37" s="58"/>
      <c r="L37" s="58"/>
      <c r="M37" s="58"/>
      <c r="N37" s="58"/>
      <c r="O37" s="58"/>
      <c r="P37" s="58"/>
      <c r="Q37" s="58"/>
      <c r="R37" s="58"/>
      <c r="S37" s="58"/>
      <c r="T37" s="58"/>
      <c r="U37" s="58"/>
      <c r="V37" s="58"/>
      <c r="W37" s="58"/>
      <c r="X37" s="58"/>
      <c r="Y37" s="58"/>
      <c r="Z37" s="58"/>
    </row>
    <row r="38" spans="1:26" ht="15.75" customHeight="1">
      <c r="A38" s="3"/>
      <c r="B38" s="286" t="s">
        <v>46</v>
      </c>
      <c r="C38" s="446">
        <f>+ACUMULADOS!M10</f>
        <v>0</v>
      </c>
      <c r="E38" s="512"/>
      <c r="F38" s="58"/>
      <c r="G38" s="58"/>
      <c r="H38" s="58"/>
      <c r="I38" s="58"/>
      <c r="J38" s="58"/>
      <c r="K38" s="58"/>
      <c r="L38" s="58"/>
      <c r="M38" s="58"/>
      <c r="N38" s="58"/>
      <c r="O38" s="58"/>
      <c r="P38" s="58"/>
      <c r="Q38" s="58"/>
      <c r="R38" s="58"/>
      <c r="S38" s="58"/>
      <c r="T38" s="58"/>
      <c r="U38" s="58"/>
      <c r="V38" s="58"/>
      <c r="W38" s="58"/>
      <c r="X38" s="58"/>
      <c r="Y38" s="58"/>
      <c r="Z38" s="58"/>
    </row>
    <row r="39" spans="1:26" ht="15.75" customHeight="1">
      <c r="A39" s="3"/>
      <c r="B39" s="285" t="s">
        <v>222</v>
      </c>
      <c r="C39" s="295" t="e">
        <f>+ACUMULADOS!AE8</f>
        <v>#VALUE!</v>
      </c>
      <c r="D39" s="282" t="e">
        <f>+ACUMULADOS!AJ11</f>
        <v>#DIV/0!</v>
      </c>
      <c r="E39" s="59" t="s">
        <v>59</v>
      </c>
      <c r="F39" s="3"/>
      <c r="G39" s="57"/>
      <c r="H39" s="58"/>
      <c r="I39" s="58"/>
      <c r="J39" s="58"/>
      <c r="K39" s="58"/>
      <c r="L39" s="58"/>
      <c r="M39" s="58"/>
      <c r="N39" s="58"/>
      <c r="O39" s="58"/>
      <c r="P39" s="58"/>
      <c r="Q39" s="58"/>
      <c r="R39" s="58"/>
      <c r="S39" s="58"/>
      <c r="T39" s="58"/>
      <c r="U39" s="58"/>
      <c r="V39" s="58"/>
      <c r="W39" s="58"/>
      <c r="X39" s="58"/>
      <c r="Y39" s="58"/>
      <c r="Z39" s="58"/>
    </row>
    <row r="40" spans="1:26" ht="15.75" customHeight="1">
      <c r="A40" s="3"/>
      <c r="B40" s="285" t="s">
        <v>10</v>
      </c>
      <c r="C40" s="297" t="e">
        <f>+ACUMULADOS!AL11</f>
        <v>#DIV/0!</v>
      </c>
      <c r="D40" s="281"/>
      <c r="E40" s="57"/>
      <c r="F40" s="3"/>
      <c r="G40" s="57"/>
      <c r="H40" s="58"/>
      <c r="I40" s="58"/>
      <c r="J40" s="58"/>
      <c r="K40" s="58"/>
      <c r="L40" s="58"/>
      <c r="M40" s="58"/>
      <c r="N40" s="58"/>
      <c r="O40" s="58"/>
      <c r="P40" s="58"/>
      <c r="Q40" s="58"/>
      <c r="R40" s="58"/>
      <c r="S40" s="58"/>
      <c r="T40" s="58"/>
      <c r="U40" s="58"/>
      <c r="V40" s="58"/>
      <c r="W40" s="58"/>
      <c r="X40" s="58"/>
      <c r="Y40" s="58"/>
      <c r="Z40" s="58"/>
    </row>
    <row r="41" spans="1:26" s="383" customFormat="1" ht="15.75" customHeight="1">
      <c r="A41" s="281"/>
      <c r="B41" s="285" t="s">
        <v>54</v>
      </c>
      <c r="C41" s="297" t="e">
        <f>+(((C39/1.21/50)+((2525*1.21)/50/1.21)+(C39*0.048/50/1.21))/D42)-1</f>
        <v>#VALUE!</v>
      </c>
      <c r="D41" s="281"/>
      <c r="E41" s="57"/>
      <c r="F41" s="281"/>
      <c r="G41" s="57"/>
      <c r="H41" s="223"/>
      <c r="I41" s="223"/>
      <c r="J41" s="223"/>
      <c r="K41" s="223"/>
      <c r="L41" s="223"/>
      <c r="M41" s="223"/>
      <c r="N41" s="223"/>
      <c r="O41" s="223"/>
      <c r="P41" s="223"/>
      <c r="Q41" s="223"/>
      <c r="R41" s="223"/>
      <c r="S41" s="223"/>
      <c r="T41" s="223"/>
      <c r="U41" s="223"/>
      <c r="V41" s="223"/>
      <c r="W41" s="223"/>
      <c r="X41" s="223"/>
      <c r="Y41" s="223"/>
      <c r="Z41" s="223"/>
    </row>
    <row r="42" spans="1:26" s="383" customFormat="1" ht="15.75" customHeight="1">
      <c r="A42" s="281"/>
      <c r="B42" s="285" t="s">
        <v>55</v>
      </c>
      <c r="C42" s="298" t="e">
        <f>+ACUMULADOS!J11</f>
        <v>#DIV/0!</v>
      </c>
      <c r="D42" s="282">
        <f>+'COMPARATIVO PCIOS REFERENCIA'!F11</f>
        <v>0</v>
      </c>
      <c r="E42" s="59" t="s">
        <v>56</v>
      </c>
      <c r="F42" s="495"/>
      <c r="G42" s="57"/>
      <c r="H42" s="223"/>
      <c r="I42" s="223"/>
      <c r="J42" s="223"/>
      <c r="K42" s="223"/>
      <c r="L42" s="223"/>
      <c r="M42" s="223"/>
      <c r="N42" s="223"/>
      <c r="O42" s="223"/>
      <c r="P42" s="223"/>
      <c r="Q42" s="223"/>
      <c r="R42" s="223"/>
      <c r="S42" s="223"/>
      <c r="T42" s="223"/>
      <c r="U42" s="223"/>
      <c r="V42" s="223"/>
      <c r="W42" s="223"/>
      <c r="X42" s="223"/>
      <c r="Y42" s="223"/>
      <c r="Z42" s="223"/>
    </row>
    <row r="43" spans="1:26" s="383" customFormat="1" ht="15.75" customHeight="1">
      <c r="A43" s="281"/>
      <c r="B43" s="285" t="s">
        <v>57</v>
      </c>
      <c r="C43" s="460" t="e">
        <f>+C42/C45*1000</f>
        <v>#DIV/0!</v>
      </c>
      <c r="D43" s="281"/>
      <c r="E43" s="57"/>
      <c r="F43" s="281"/>
      <c r="G43" s="57"/>
      <c r="H43" s="223"/>
      <c r="I43" s="223"/>
      <c r="J43" s="223"/>
      <c r="K43" s="223"/>
      <c r="L43" s="223"/>
      <c r="M43" s="223"/>
      <c r="N43" s="223"/>
      <c r="O43" s="223"/>
      <c r="P43" s="223"/>
      <c r="Q43" s="223"/>
      <c r="R43" s="223"/>
      <c r="S43" s="223"/>
      <c r="T43" s="223"/>
      <c r="U43" s="223"/>
      <c r="V43" s="223"/>
      <c r="W43" s="223"/>
      <c r="X43" s="223"/>
      <c r="Y43" s="223"/>
      <c r="Z43" s="223"/>
    </row>
    <row r="44" spans="1:26" s="383" customFormat="1" ht="15.75" customHeight="1">
      <c r="A44" s="281"/>
      <c r="B44" s="285" t="s">
        <v>454</v>
      </c>
      <c r="C44" s="296" t="e">
        <f>+C42/D44-1</f>
        <v>#DIV/0!</v>
      </c>
      <c r="D44" s="282">
        <f>+'COMPARATIVO ANUAL'!F13</f>
        <v>443.34076817045758</v>
      </c>
      <c r="E44" s="59" t="s">
        <v>458</v>
      </c>
      <c r="F44" s="281"/>
      <c r="G44" s="57"/>
      <c r="H44" s="223"/>
      <c r="I44" s="223"/>
      <c r="J44" s="223"/>
      <c r="K44" s="223"/>
      <c r="L44" s="223"/>
      <c r="M44" s="223"/>
      <c r="N44" s="223"/>
      <c r="O44" s="223"/>
      <c r="P44" s="223"/>
      <c r="Q44" s="223"/>
      <c r="R44" s="223"/>
      <c r="S44" s="223"/>
      <c r="T44" s="223"/>
      <c r="U44" s="223"/>
      <c r="V44" s="223"/>
      <c r="W44" s="223"/>
      <c r="X44" s="223"/>
      <c r="Y44" s="223"/>
      <c r="Z44" s="223"/>
    </row>
    <row r="45" spans="1:26" ht="15.75" customHeight="1">
      <c r="A45" s="3"/>
      <c r="B45" s="448" t="s">
        <v>232</v>
      </c>
      <c r="C45" s="449">
        <f>+KPI´S!F54</f>
        <v>1574.0796742355999</v>
      </c>
      <c r="D45" s="383"/>
      <c r="E45" s="383"/>
      <c r="F45" s="3"/>
      <c r="G45" s="57"/>
    </row>
    <row r="46" spans="1:26" s="383" customFormat="1" ht="15.75" customHeight="1">
      <c r="A46" s="281"/>
      <c r="F46" s="281"/>
      <c r="G46" s="57"/>
    </row>
    <row r="47" spans="1:26" ht="15.75" customHeight="1">
      <c r="A47" s="3"/>
      <c r="B47" s="283" t="s">
        <v>51</v>
      </c>
      <c r="C47" s="294"/>
      <c r="D47" s="294"/>
      <c r="E47" s="294"/>
      <c r="F47" s="3"/>
      <c r="G47" s="57"/>
      <c r="H47" s="58"/>
      <c r="I47" s="58"/>
      <c r="J47" s="58"/>
      <c r="K47" s="58"/>
      <c r="L47" s="58"/>
      <c r="M47" s="58"/>
      <c r="N47" s="58"/>
      <c r="O47" s="58"/>
      <c r="P47" s="58"/>
      <c r="Q47" s="58"/>
      <c r="R47" s="58"/>
      <c r="S47" s="58"/>
      <c r="T47" s="58"/>
      <c r="U47" s="58"/>
      <c r="V47" s="58"/>
      <c r="W47" s="58"/>
      <c r="X47" s="58"/>
      <c r="Y47" s="58"/>
      <c r="Z47" s="58"/>
    </row>
    <row r="48" spans="1:26" ht="15.75" customHeight="1">
      <c r="A48" s="3"/>
      <c r="B48" s="285" t="s">
        <v>45</v>
      </c>
      <c r="C48" s="447">
        <f>+ACUMULADOS!Z13</f>
        <v>0</v>
      </c>
      <c r="D48" s="284">
        <v>50000</v>
      </c>
      <c r="E48" s="59" t="s">
        <v>223</v>
      </c>
      <c r="F48" s="522"/>
      <c r="G48" s="57"/>
    </row>
    <row r="49" spans="1:7" ht="15.75" customHeight="1">
      <c r="A49" s="3"/>
      <c r="B49" s="286" t="s">
        <v>46</v>
      </c>
      <c r="C49" s="446">
        <f>+ACUMULADOS!M13</f>
        <v>0</v>
      </c>
      <c r="F49" s="3"/>
      <c r="G49" s="57"/>
    </row>
    <row r="50" spans="1:7" ht="15.75" customHeight="1">
      <c r="A50" s="3"/>
      <c r="B50" s="285" t="s">
        <v>222</v>
      </c>
      <c r="C50" s="295" t="e">
        <f>+ACUMULADOS!AE14</f>
        <v>#VALUE!</v>
      </c>
      <c r="D50" s="282" t="e">
        <f>+ACUMULADOS!AJ14</f>
        <v>#DIV/0!</v>
      </c>
      <c r="E50" s="59" t="s">
        <v>59</v>
      </c>
      <c r="F50" s="3"/>
      <c r="G50" s="57"/>
    </row>
    <row r="51" spans="1:7" ht="15.75" customHeight="1">
      <c r="A51" s="3"/>
      <c r="B51" s="285" t="s">
        <v>10</v>
      </c>
      <c r="C51" s="297" t="e">
        <f>+ACUMULADOS!AL14</f>
        <v>#DIV/0!</v>
      </c>
      <c r="D51" s="281"/>
      <c r="E51" s="57"/>
      <c r="F51" s="3"/>
      <c r="G51" s="57"/>
    </row>
    <row r="52" spans="1:7" s="383" customFormat="1" ht="15.75" customHeight="1">
      <c r="A52" s="281"/>
      <c r="B52" s="285" t="s">
        <v>54</v>
      </c>
      <c r="C52" s="297" t="e">
        <f>+(((C50/1.21/50)+((2525*1.21)/50/1.21)+(C50*0.048/50/1.21))/D53)-1</f>
        <v>#VALUE!</v>
      </c>
      <c r="D52" s="281"/>
      <c r="E52" s="57"/>
      <c r="F52" s="281"/>
      <c r="G52" s="538"/>
    </row>
    <row r="53" spans="1:7" s="383" customFormat="1" ht="15.75" customHeight="1">
      <c r="A53" s="281"/>
      <c r="B53" s="285" t="s">
        <v>55</v>
      </c>
      <c r="C53" s="298" t="e">
        <f>+ACUMULADOS!J14</f>
        <v>#DIV/0!</v>
      </c>
      <c r="D53" s="282">
        <f>+'COMPARATIVO PCIOS REFERENCIA'!F12</f>
        <v>0</v>
      </c>
      <c r="E53" s="59" t="s">
        <v>56</v>
      </c>
      <c r="F53" s="281"/>
      <c r="G53" s="57"/>
    </row>
    <row r="54" spans="1:7" s="790" customFormat="1" ht="15.75" customHeight="1">
      <c r="A54" s="281"/>
      <c r="B54" s="285" t="s">
        <v>57</v>
      </c>
      <c r="C54" s="460" t="e">
        <f>+C53/C56*1000</f>
        <v>#DIV/0!</v>
      </c>
      <c r="D54" s="313"/>
      <c r="E54" s="314"/>
      <c r="F54" s="281"/>
      <c r="G54" s="57"/>
    </row>
    <row r="55" spans="1:7" s="525" customFormat="1" ht="15.75" customHeight="1">
      <c r="A55" s="281"/>
      <c r="B55" s="285" t="s">
        <v>454</v>
      </c>
      <c r="C55" s="296" t="e">
        <f>+C53/D55-1</f>
        <v>#DIV/0!</v>
      </c>
      <c r="D55" s="282">
        <f>+'COMPARATIVO ANUAL'!F14</f>
        <v>421.68591258817077</v>
      </c>
      <c r="E55" s="59" t="s">
        <v>459</v>
      </c>
      <c r="F55" s="281"/>
      <c r="G55" s="57"/>
    </row>
    <row r="56" spans="1:7" s="383" customFormat="1" ht="15.75" customHeight="1">
      <c r="A56" s="281"/>
      <c r="B56" s="448" t="s">
        <v>232</v>
      </c>
      <c r="C56" s="703">
        <f>+KPI´S!G54</f>
        <v>1602.4131083718407</v>
      </c>
      <c r="D56" s="281"/>
      <c r="E56" s="57"/>
      <c r="F56" s="281"/>
      <c r="G56" s="57"/>
    </row>
    <row r="57" spans="1:7" s="383" customFormat="1" ht="15.75" customHeight="1">
      <c r="A57" s="281"/>
      <c r="B57" s="535"/>
      <c r="D57" s="281"/>
      <c r="E57" s="57"/>
      <c r="F57" s="281"/>
      <c r="G57" s="57"/>
    </row>
    <row r="58" spans="1:7" ht="15.75" customHeight="1">
      <c r="A58" s="3"/>
      <c r="B58" s="283" t="s">
        <v>52</v>
      </c>
      <c r="C58" s="294"/>
      <c r="D58" s="294"/>
      <c r="E58" s="294"/>
      <c r="F58" s="3"/>
      <c r="G58" s="57"/>
    </row>
    <row r="59" spans="1:7" ht="15.75" customHeight="1">
      <c r="A59" s="3"/>
      <c r="B59" s="285" t="s">
        <v>45</v>
      </c>
      <c r="C59" s="447">
        <f>+ACUMULADOS!Z16</f>
        <v>0</v>
      </c>
      <c r="D59" s="284">
        <v>50000</v>
      </c>
      <c r="E59" s="59" t="s">
        <v>223</v>
      </c>
      <c r="F59" s="3"/>
      <c r="G59" s="3"/>
    </row>
    <row r="60" spans="1:7" ht="15.75" customHeight="1">
      <c r="A60" s="3"/>
      <c r="B60" s="286" t="s">
        <v>46</v>
      </c>
      <c r="C60" s="446">
        <f>+ACUMULADOS!M16</f>
        <v>0</v>
      </c>
      <c r="D60" s="281"/>
      <c r="E60" s="57"/>
      <c r="F60" s="3"/>
      <c r="G60" s="57"/>
    </row>
    <row r="61" spans="1:7" ht="15.75" customHeight="1">
      <c r="A61" s="3"/>
      <c r="B61" s="285" t="s">
        <v>222</v>
      </c>
      <c r="C61" s="295" t="e">
        <f>+ACUMULADOS!AE17</f>
        <v>#VALUE!</v>
      </c>
      <c r="D61" s="282" t="e">
        <f>+ACUMULADOS!AJ17</f>
        <v>#DIV/0!</v>
      </c>
      <c r="E61" s="59" t="s">
        <v>59</v>
      </c>
      <c r="F61" s="3"/>
      <c r="G61" s="57"/>
    </row>
    <row r="62" spans="1:7" ht="15.75" customHeight="1">
      <c r="A62" s="3"/>
      <c r="B62" s="285" t="s">
        <v>10</v>
      </c>
      <c r="C62" s="297" t="e">
        <f>+ACUMULADOS!AL17</f>
        <v>#DIV/0!</v>
      </c>
      <c r="D62" s="281"/>
      <c r="E62" s="57"/>
      <c r="F62" s="3"/>
      <c r="G62" s="57"/>
    </row>
    <row r="63" spans="1:7" s="383" customFormat="1" ht="15.75" customHeight="1">
      <c r="A63" s="281"/>
      <c r="B63" s="285" t="s">
        <v>54</v>
      </c>
      <c r="C63" s="297" t="e">
        <f>+(((C61/1.21/50)+((2525*1.21)/50/1.21)+(C61*0.048/50/1.21))/D64)-1</f>
        <v>#VALUE!</v>
      </c>
      <c r="D63" s="537"/>
      <c r="E63" s="57"/>
      <c r="F63" s="281"/>
      <c r="G63" s="57"/>
    </row>
    <row r="64" spans="1:7" s="383" customFormat="1" ht="15.75" customHeight="1">
      <c r="A64" s="281"/>
      <c r="B64" s="285" t="s">
        <v>55</v>
      </c>
      <c r="C64" s="298" t="e">
        <f>+ACUMULADOS!J17</f>
        <v>#DIV/0!</v>
      </c>
      <c r="D64" s="282">
        <f>+'COMPARATIVO PCIOS REFERENCIA'!F13</f>
        <v>0</v>
      </c>
      <c r="E64" s="59" t="s">
        <v>56</v>
      </c>
      <c r="F64" s="281"/>
      <c r="G64" s="57"/>
    </row>
    <row r="65" spans="1:26" s="383" customFormat="1" ht="15.75" customHeight="1">
      <c r="A65" s="281"/>
      <c r="B65" s="285" t="s">
        <v>57</v>
      </c>
      <c r="C65" s="460" t="e">
        <f>+C64/C67*1000</f>
        <v>#DIV/0!</v>
      </c>
      <c r="D65" s="281"/>
      <c r="E65" s="57"/>
      <c r="F65" s="281"/>
      <c r="G65" s="57"/>
    </row>
    <row r="66" spans="1:26" s="790" customFormat="1" ht="15.75" customHeight="1">
      <c r="A66" s="281"/>
      <c r="B66" s="285" t="s">
        <v>454</v>
      </c>
      <c r="C66" s="296" t="e">
        <f>+C64/D66-1</f>
        <v>#DIV/0!</v>
      </c>
      <c r="D66" s="282">
        <f>+'COMPARATIVO ANUAL'!F15</f>
        <v>453.84907976739834</v>
      </c>
      <c r="E66" s="59" t="s">
        <v>460</v>
      </c>
      <c r="F66" s="281"/>
      <c r="G66" s="57"/>
    </row>
    <row r="67" spans="1:26" s="383" customFormat="1" ht="15.75" customHeight="1">
      <c r="A67" s="281"/>
      <c r="B67" s="448" t="s">
        <v>232</v>
      </c>
      <c r="C67" s="449">
        <f>+KPI´S!H54</f>
        <v>1631.256544322534</v>
      </c>
      <c r="F67" s="281"/>
      <c r="G67" s="57"/>
    </row>
    <row r="68" spans="1:26" s="280" customFormat="1" ht="15.75" customHeight="1">
      <c r="A68" s="3"/>
      <c r="B68" s="535"/>
      <c r="D68" s="3"/>
      <c r="E68" s="57"/>
      <c r="F68" s="223"/>
      <c r="G68" s="223"/>
      <c r="H68" s="223"/>
      <c r="I68" s="223"/>
      <c r="J68" s="223"/>
      <c r="K68" s="223"/>
      <c r="L68" s="223"/>
      <c r="M68" s="223"/>
      <c r="N68" s="223"/>
      <c r="O68" s="223"/>
      <c r="P68" s="223"/>
      <c r="Q68" s="223"/>
      <c r="R68" s="223"/>
      <c r="S68" s="223"/>
      <c r="T68" s="223"/>
      <c r="U68" s="223"/>
      <c r="V68" s="223"/>
      <c r="W68" s="223"/>
      <c r="X68" s="223"/>
      <c r="Y68" s="223"/>
      <c r="Z68" s="223"/>
    </row>
    <row r="69" spans="1:26" ht="15.75" customHeight="1">
      <c r="A69" s="3"/>
      <c r="B69" s="283" t="s">
        <v>278</v>
      </c>
      <c r="C69" s="294"/>
      <c r="D69" s="294"/>
      <c r="E69" s="294"/>
      <c r="F69" s="58"/>
      <c r="G69" s="58"/>
      <c r="H69" s="58"/>
      <c r="I69" s="58"/>
      <c r="J69" s="58"/>
      <c r="K69" s="58"/>
      <c r="L69" s="58"/>
      <c r="M69" s="58"/>
      <c r="N69" s="58"/>
      <c r="O69" s="58"/>
      <c r="P69" s="58"/>
      <c r="Q69" s="58"/>
      <c r="R69" s="58"/>
      <c r="S69" s="58"/>
      <c r="T69" s="58"/>
      <c r="U69" s="58"/>
      <c r="V69" s="58"/>
      <c r="W69" s="58"/>
      <c r="X69" s="58"/>
      <c r="Y69" s="58"/>
      <c r="Z69" s="58"/>
    </row>
    <row r="70" spans="1:26" ht="15.75" customHeight="1">
      <c r="A70" s="3"/>
      <c r="B70" s="285" t="s">
        <v>45</v>
      </c>
      <c r="C70" s="447">
        <f>+ACUMULADOS!Z19</f>
        <v>0</v>
      </c>
      <c r="D70" s="284">
        <v>20000</v>
      </c>
      <c r="E70" s="59" t="s">
        <v>223</v>
      </c>
      <c r="F70" s="695"/>
    </row>
    <row r="71" spans="1:26" ht="15.75" customHeight="1">
      <c r="A71" s="3"/>
      <c r="B71" s="286" t="s">
        <v>46</v>
      </c>
      <c r="C71" s="446">
        <f>+ACUMULADOS!M19</f>
        <v>0</v>
      </c>
      <c r="D71" s="281"/>
      <c r="E71" s="57"/>
    </row>
    <row r="72" spans="1:26" ht="15.75" customHeight="1">
      <c r="A72" s="3"/>
      <c r="B72" s="285" t="s">
        <v>222</v>
      </c>
      <c r="C72" s="295" t="e">
        <f>+ACUMULADOS!AE20</f>
        <v>#VALUE!</v>
      </c>
      <c r="D72" s="282" t="e">
        <f>+ACUMULADOS!AJ20</f>
        <v>#DIV/0!</v>
      </c>
      <c r="E72" s="59" t="s">
        <v>59</v>
      </c>
    </row>
    <row r="73" spans="1:26" ht="15.75" customHeight="1">
      <c r="A73" s="3"/>
      <c r="B73" s="285" t="s">
        <v>10</v>
      </c>
      <c r="C73" s="297" t="e">
        <f>+ACUMULADOS!AL20</f>
        <v>#DIV/0!</v>
      </c>
      <c r="D73" s="281"/>
      <c r="E73" s="57"/>
    </row>
    <row r="74" spans="1:26" ht="15.75" customHeight="1">
      <c r="A74" s="3"/>
      <c r="B74" s="285" t="s">
        <v>54</v>
      </c>
      <c r="C74" s="297" t="e">
        <f>+(((C72/1.21/50)+((2525*1.21)/50/1.21)+(C72*0.048/50/1.21))/D75)-1</f>
        <v>#VALUE!</v>
      </c>
      <c r="D74" s="281"/>
      <c r="E74" s="57"/>
    </row>
    <row r="75" spans="1:26" ht="15.75" customHeight="1">
      <c r="A75" s="3"/>
      <c r="B75" s="285" t="s">
        <v>55</v>
      </c>
      <c r="C75" s="298" t="e">
        <f>+ACUMULADOS!J20</f>
        <v>#DIV/0!</v>
      </c>
      <c r="D75" s="282">
        <f>+'COMPARATIVO PCIOS REFERENCIA'!F14</f>
        <v>0</v>
      </c>
      <c r="E75" s="59" t="s">
        <v>56</v>
      </c>
    </row>
    <row r="76" spans="1:26" s="790" customFormat="1" ht="15.75" customHeight="1">
      <c r="A76" s="281"/>
      <c r="B76" s="285" t="s">
        <v>57</v>
      </c>
      <c r="C76" s="460" t="e">
        <f>+C75/C78*1000</f>
        <v>#DIV/0!</v>
      </c>
      <c r="D76"/>
      <c r="E76"/>
    </row>
    <row r="77" spans="1:26" s="685" customFormat="1" ht="15.75" customHeight="1">
      <c r="A77" s="281"/>
      <c r="B77" s="285" t="s">
        <v>454</v>
      </c>
      <c r="C77" s="688" t="e">
        <f>+C75/D77-1</f>
        <v>#DIV/0!</v>
      </c>
      <c r="D77" s="282">
        <f>+'COMPARATIVO ANUAL'!F16</f>
        <v>482.29338935085872</v>
      </c>
      <c r="E77" s="59" t="s">
        <v>461</v>
      </c>
    </row>
    <row r="78" spans="1:26" ht="15.75" customHeight="1">
      <c r="A78" s="3"/>
      <c r="B78" s="448" t="s">
        <v>232</v>
      </c>
      <c r="C78" s="449">
        <f>+KPI´S!I54</f>
        <v>1660.6191621203395</v>
      </c>
      <c r="D78" s="281"/>
      <c r="E78" s="57"/>
    </row>
    <row r="79" spans="1:26" ht="15.75" customHeight="1">
      <c r="A79" s="3"/>
      <c r="F79" s="58"/>
      <c r="G79" s="58"/>
      <c r="H79" s="58"/>
      <c r="I79" s="58"/>
      <c r="J79" s="58"/>
      <c r="K79" s="58"/>
      <c r="L79" s="58"/>
      <c r="M79" s="58"/>
      <c r="N79" s="58"/>
      <c r="O79" s="58"/>
      <c r="P79" s="58"/>
      <c r="Q79" s="58"/>
      <c r="R79" s="58"/>
      <c r="S79" s="58"/>
      <c r="T79" s="58"/>
      <c r="U79" s="58"/>
      <c r="V79" s="58"/>
      <c r="W79" s="58"/>
      <c r="X79" s="58"/>
      <c r="Y79" s="58"/>
      <c r="Z79" s="58"/>
    </row>
    <row r="80" spans="1:26" ht="15.75" customHeight="1">
      <c r="A80" s="3"/>
      <c r="B80" s="283" t="s">
        <v>58</v>
      </c>
      <c r="C80" s="294"/>
      <c r="D80" s="294"/>
      <c r="E80" s="294"/>
    </row>
    <row r="81" spans="1:26" ht="15.75" customHeight="1">
      <c r="A81" s="3"/>
      <c r="B81" s="285" t="s">
        <v>45</v>
      </c>
      <c r="C81" s="447">
        <f>+ACUMULADOS!Z22</f>
        <v>0</v>
      </c>
      <c r="D81" s="284">
        <v>20000</v>
      </c>
      <c r="E81" s="59" t="s">
        <v>223</v>
      </c>
      <c r="G81" s="253"/>
    </row>
    <row r="82" spans="1:26" ht="15.75" customHeight="1">
      <c r="A82" s="3"/>
      <c r="B82" s="286" t="s">
        <v>46</v>
      </c>
      <c r="C82" s="446">
        <f>+ACUMULADOS!M22</f>
        <v>0</v>
      </c>
      <c r="D82" s="281"/>
      <c r="E82" s="57"/>
    </row>
    <row r="83" spans="1:26" ht="15.75" customHeight="1">
      <c r="A83" s="3"/>
      <c r="B83" s="285" t="s">
        <v>222</v>
      </c>
      <c r="C83" s="295" t="e">
        <f>+ACUMULADOS!AE23</f>
        <v>#VALUE!</v>
      </c>
      <c r="D83" s="282" t="e">
        <f>+ACUMULADOS!AJ23</f>
        <v>#DIV/0!</v>
      </c>
      <c r="E83" s="59" t="s">
        <v>59</v>
      </c>
    </row>
    <row r="84" spans="1:26" ht="15.75" customHeight="1">
      <c r="A84" s="3"/>
      <c r="B84" s="285" t="s">
        <v>10</v>
      </c>
      <c r="C84" s="297" t="e">
        <f>+ACUMULADOS!AL23</f>
        <v>#DIV/0!</v>
      </c>
      <c r="D84" s="281"/>
      <c r="E84" s="57"/>
    </row>
    <row r="85" spans="1:26" ht="15.75" customHeight="1">
      <c r="A85" s="3"/>
      <c r="B85" s="285" t="s">
        <v>54</v>
      </c>
      <c r="C85" s="297" t="e">
        <f>+(((C83/1.21/50)+((2525*1.21)/50/1.21)+(C83*0.048/50/1.21))/D86)-1</f>
        <v>#VALUE!</v>
      </c>
      <c r="D85" s="281"/>
      <c r="E85" s="57"/>
    </row>
    <row r="86" spans="1:26" ht="15.75" customHeight="1">
      <c r="A86" s="3"/>
      <c r="B86" s="285" t="s">
        <v>55</v>
      </c>
      <c r="C86" s="298" t="e">
        <f>+ACUMULADOS!J23</f>
        <v>#DIV/0!</v>
      </c>
      <c r="D86" s="282">
        <f>+'COMPARATIVO PCIOS REFERENCIA'!F15</f>
        <v>0</v>
      </c>
      <c r="E86" s="59" t="s">
        <v>56</v>
      </c>
    </row>
    <row r="87" spans="1:26" ht="15.75" customHeight="1">
      <c r="B87" s="285" t="s">
        <v>57</v>
      </c>
      <c r="C87" s="460" t="e">
        <f>+C86/C89*1000</f>
        <v>#DIV/0!</v>
      </c>
      <c r="D87" s="281"/>
      <c r="E87" s="57"/>
      <c r="F87" s="58"/>
      <c r="G87" s="58"/>
      <c r="H87" s="58"/>
      <c r="I87" s="58"/>
      <c r="J87" s="58"/>
      <c r="K87" s="58"/>
      <c r="L87" s="58"/>
      <c r="M87" s="58"/>
      <c r="N87" s="58"/>
      <c r="O87" s="58"/>
      <c r="P87" s="58"/>
      <c r="Q87" s="58"/>
      <c r="R87" s="58"/>
      <c r="S87" s="58"/>
      <c r="T87" s="58"/>
      <c r="U87" s="58"/>
      <c r="V87" s="58"/>
      <c r="W87" s="58"/>
      <c r="X87" s="58"/>
      <c r="Y87" s="58"/>
      <c r="Z87" s="58"/>
    </row>
    <row r="88" spans="1:26" ht="15.75" customHeight="1">
      <c r="A88" s="3"/>
      <c r="B88" s="285" t="s">
        <v>454</v>
      </c>
      <c r="C88" s="296" t="e">
        <f>+C86/D88-1</f>
        <v>#DIV/0!</v>
      </c>
      <c r="D88" s="282">
        <f>+'COMPARATIVO ANUAL'!F17</f>
        <v>518.40927829439022</v>
      </c>
      <c r="E88" s="59" t="s">
        <v>462</v>
      </c>
      <c r="G88" s="738"/>
    </row>
    <row r="89" spans="1:26" ht="15.75" customHeight="1">
      <c r="A89" s="3"/>
      <c r="B89" s="448" t="s">
        <v>232</v>
      </c>
      <c r="C89" s="449">
        <f>+KPI´S!J54</f>
        <v>1685.5284495521444</v>
      </c>
      <c r="D89" s="281"/>
      <c r="E89" s="57"/>
    </row>
    <row r="90" spans="1:26" ht="15.75" customHeight="1">
      <c r="A90" s="3"/>
    </row>
    <row r="91" spans="1:26" ht="15.75" customHeight="1">
      <c r="A91" s="3"/>
      <c r="B91" s="283" t="s">
        <v>60</v>
      </c>
      <c r="C91" s="294"/>
      <c r="D91" s="294"/>
      <c r="E91" s="294"/>
    </row>
    <row r="92" spans="1:26" ht="15.75" customHeight="1">
      <c r="A92" s="3"/>
      <c r="B92" s="285" t="s">
        <v>45</v>
      </c>
      <c r="C92" s="447">
        <f>+ACUMULADOS!Z25</f>
        <v>0</v>
      </c>
      <c r="D92" s="284">
        <v>20000</v>
      </c>
      <c r="E92" s="59" t="s">
        <v>223</v>
      </c>
      <c r="F92" s="253"/>
    </row>
    <row r="93" spans="1:26" ht="15.75" customHeight="1">
      <c r="A93" s="3"/>
      <c r="B93" s="286" t="s">
        <v>46</v>
      </c>
      <c r="C93" s="446">
        <f>+ACUMULADOS!M25</f>
        <v>0</v>
      </c>
      <c r="D93" s="281"/>
      <c r="E93" s="57"/>
    </row>
    <row r="94" spans="1:26" ht="15.75" customHeight="1">
      <c r="A94" s="3"/>
      <c r="B94" s="285" t="s">
        <v>222</v>
      </c>
      <c r="C94" s="295" t="e">
        <f>+ACUMULADOS!AE26</f>
        <v>#VALUE!</v>
      </c>
      <c r="D94" s="282" t="e">
        <f>+ACUMULADOS!AJ26</f>
        <v>#DIV/0!</v>
      </c>
      <c r="E94" s="59" t="s">
        <v>59</v>
      </c>
    </row>
    <row r="95" spans="1:26" ht="15.75" customHeight="1">
      <c r="A95" s="3"/>
      <c r="B95" s="285" t="s">
        <v>10</v>
      </c>
      <c r="C95" s="297" t="e">
        <f>+ACUMULADOS!AL26</f>
        <v>#DIV/0!</v>
      </c>
      <c r="D95" s="281"/>
      <c r="E95" s="57"/>
    </row>
    <row r="96" spans="1:26" ht="15.75" customHeight="1">
      <c r="A96" s="3"/>
      <c r="B96" s="285" t="s">
        <v>54</v>
      </c>
      <c r="C96" s="297" t="e">
        <f>+(((C94/1.21/50)+((2650*1.21)/50/1.21)+(C94*0.048/50/1.21))/D97)-1</f>
        <v>#VALUE!</v>
      </c>
      <c r="D96" s="281"/>
      <c r="E96" s="57"/>
    </row>
    <row r="97" spans="1:26" ht="15.75" customHeight="1">
      <c r="A97" s="3"/>
      <c r="B97" s="285" t="s">
        <v>55</v>
      </c>
      <c r="C97" s="298" t="e">
        <f>+ACUMULADOS!J26</f>
        <v>#DIV/0!</v>
      </c>
      <c r="D97" s="282">
        <f>+'COMPARATIVO PCIOS REFERENCIA'!F16</f>
        <v>0</v>
      </c>
      <c r="E97" s="59" t="s">
        <v>56</v>
      </c>
    </row>
    <row r="98" spans="1:26" ht="15" customHeight="1">
      <c r="A98" s="61"/>
      <c r="B98" s="285" t="s">
        <v>57</v>
      </c>
      <c r="C98" s="460" t="e">
        <f>+C97/C100*1000</f>
        <v>#DIV/0!</v>
      </c>
      <c r="D98" s="281"/>
      <c r="E98" s="57"/>
      <c r="F98" s="61"/>
      <c r="G98" s="61"/>
      <c r="H98" s="61"/>
      <c r="I98" s="61"/>
      <c r="J98" s="61"/>
      <c r="K98" s="61"/>
      <c r="L98" s="61"/>
      <c r="M98" s="61"/>
      <c r="N98" s="61"/>
      <c r="O98" s="61"/>
      <c r="P98" s="61"/>
      <c r="Q98" s="61"/>
      <c r="R98" s="61"/>
      <c r="S98" s="61"/>
      <c r="T98" s="61"/>
      <c r="U98" s="61"/>
      <c r="V98" s="61"/>
      <c r="W98" s="61"/>
      <c r="X98" s="61"/>
      <c r="Y98" s="61"/>
      <c r="Z98" s="61"/>
    </row>
    <row r="99" spans="1:26" ht="15.75" customHeight="1">
      <c r="A99" s="3"/>
      <c r="B99" s="285" t="s">
        <v>454</v>
      </c>
      <c r="C99" s="296" t="e">
        <f>+C97/D99-1</f>
        <v>#DIV/0!</v>
      </c>
      <c r="D99" s="282">
        <f>+'COMPARATIVO ANUAL'!F18</f>
        <v>617.72720053241267</v>
      </c>
      <c r="E99" s="59" t="s">
        <v>463</v>
      </c>
    </row>
    <row r="100" spans="1:26" ht="15.75" customHeight="1">
      <c r="A100" s="3"/>
      <c r="B100" s="448" t="s">
        <v>232</v>
      </c>
      <c r="C100" s="449">
        <f>+KPI´S!K54</f>
        <v>1790</v>
      </c>
      <c r="D100" s="281"/>
      <c r="E100" s="57"/>
    </row>
    <row r="101" spans="1:26" ht="15.75" customHeight="1">
      <c r="A101" s="3"/>
    </row>
    <row r="102" spans="1:26" ht="15.75" customHeight="1">
      <c r="A102" s="3"/>
      <c r="B102" s="283" t="s">
        <v>61</v>
      </c>
      <c r="C102" s="294"/>
      <c r="D102" s="294"/>
      <c r="E102" s="294"/>
    </row>
    <row r="103" spans="1:26" ht="15.75" customHeight="1">
      <c r="A103" s="3"/>
      <c r="B103" s="285" t="s">
        <v>45</v>
      </c>
      <c r="C103" s="447">
        <f>+ACUMULADOS!Z28</f>
        <v>0</v>
      </c>
      <c r="D103" s="284">
        <v>20000</v>
      </c>
      <c r="E103" s="59" t="s">
        <v>223</v>
      </c>
    </row>
    <row r="104" spans="1:26" ht="15.75" customHeight="1">
      <c r="A104" s="3"/>
      <c r="B104" s="286" t="s">
        <v>46</v>
      </c>
      <c r="C104" s="446">
        <f>+ACUMULADOS!M28</f>
        <v>0</v>
      </c>
      <c r="D104" s="281"/>
      <c r="E104" s="57"/>
    </row>
    <row r="105" spans="1:26" ht="15.75" customHeight="1">
      <c r="A105" s="3"/>
      <c r="B105" s="285" t="s">
        <v>222</v>
      </c>
      <c r="C105" s="295" t="e">
        <f>+ACUMULADOS!AE29</f>
        <v>#VALUE!</v>
      </c>
      <c r="D105" s="282" t="e">
        <f>+ACUMULADOS!AJ29</f>
        <v>#DIV/0!</v>
      </c>
      <c r="E105" s="59" t="s">
        <v>59</v>
      </c>
    </row>
    <row r="106" spans="1:26" ht="15.75" customHeight="1">
      <c r="A106" s="3"/>
      <c r="B106" s="285" t="s">
        <v>10</v>
      </c>
      <c r="C106" s="297" t="e">
        <f>+ACUMULADOS!AL29</f>
        <v>#DIV/0!</v>
      </c>
      <c r="D106" s="281"/>
      <c r="E106" s="57"/>
    </row>
    <row r="107" spans="1:26" ht="15.75" customHeight="1">
      <c r="A107" s="3"/>
      <c r="B107" s="285" t="s">
        <v>54</v>
      </c>
      <c r="C107" s="297" t="e">
        <f>+(((C105/1.21/50)+((2650*1.21)/50/1.21)+(C105*0.048/50/1.21))/D108)-1</f>
        <v>#VALUE!</v>
      </c>
      <c r="D107" s="281"/>
      <c r="E107" s="57"/>
    </row>
    <row r="108" spans="1:26" ht="15.75" customHeight="1">
      <c r="A108" s="3"/>
      <c r="B108" s="285" t="s">
        <v>55</v>
      </c>
      <c r="C108" s="298" t="e">
        <f>+ACUMULADOS!J29</f>
        <v>#DIV/0!</v>
      </c>
      <c r="D108" s="282">
        <f>+'COMPARATIVO PCIOS REFERENCIA'!F17</f>
        <v>0</v>
      </c>
      <c r="E108" s="59" t="s">
        <v>56</v>
      </c>
      <c r="F108" s="315"/>
    </row>
    <row r="109" spans="1:26" ht="15.75" customHeight="1">
      <c r="A109" s="3"/>
      <c r="B109" s="285" t="s">
        <v>57</v>
      </c>
      <c r="C109" s="460" t="e">
        <f>+C108/C111*1000</f>
        <v>#DIV/0!</v>
      </c>
      <c r="D109" s="281"/>
      <c r="E109" s="57"/>
    </row>
    <row r="110" spans="1:26" ht="15.75" customHeight="1">
      <c r="A110" s="3"/>
      <c r="B110" s="285" t="s">
        <v>454</v>
      </c>
      <c r="C110" s="296" t="e">
        <f>+C108/D110-1</f>
        <v>#DIV/0!</v>
      </c>
      <c r="D110" s="282">
        <f>+'COMPARATIVO ANUAL'!F19</f>
        <v>642.7650727322391</v>
      </c>
      <c r="E110" s="59" t="s">
        <v>464</v>
      </c>
    </row>
    <row r="111" spans="1:26" ht="15.75" customHeight="1">
      <c r="A111" s="3"/>
      <c r="B111" s="448" t="s">
        <v>232</v>
      </c>
      <c r="C111" s="449">
        <f>+KPI´S!L54</f>
        <v>1799</v>
      </c>
      <c r="D111" s="281"/>
      <c r="E111" s="57"/>
    </row>
    <row r="112" spans="1:26" ht="15.75" customHeight="1">
      <c r="A112" s="3"/>
    </row>
    <row r="113" spans="1:8" ht="15.75" customHeight="1">
      <c r="A113" s="3"/>
      <c r="B113" s="283" t="s">
        <v>137</v>
      </c>
      <c r="C113" s="294"/>
      <c r="D113" s="294"/>
      <c r="E113" s="294"/>
      <c r="F113" s="274"/>
      <c r="G113" s="274"/>
      <c r="H113" s="274"/>
    </row>
    <row r="114" spans="1:8" ht="15.75" customHeight="1">
      <c r="A114" s="3"/>
      <c r="B114" s="285" t="s">
        <v>45</v>
      </c>
      <c r="C114" s="447">
        <f>+ACUMULADOS!Z31</f>
        <v>0</v>
      </c>
      <c r="D114" s="284">
        <v>20000</v>
      </c>
      <c r="E114" s="59" t="s">
        <v>223</v>
      </c>
      <c r="F114" s="253"/>
      <c r="G114" s="274"/>
      <c r="H114" s="253"/>
    </row>
    <row r="115" spans="1:8" ht="15.75" customHeight="1">
      <c r="A115" s="3"/>
      <c r="B115" s="286" t="s">
        <v>46</v>
      </c>
      <c r="C115" s="446">
        <f>+ACUMULADOS!M31</f>
        <v>0</v>
      </c>
      <c r="D115" s="281"/>
      <c r="E115" s="57"/>
      <c r="F115" s="274"/>
      <c r="G115" s="274"/>
      <c r="H115" s="274"/>
    </row>
    <row r="116" spans="1:8" ht="15.75" customHeight="1">
      <c r="A116" s="3"/>
      <c r="B116" s="285" t="s">
        <v>222</v>
      </c>
      <c r="C116" s="295" t="e">
        <f>+ACUMULADOS!AE32</f>
        <v>#VALUE!</v>
      </c>
      <c r="D116" s="282" t="e">
        <f>+ACUMULADOS!AJ32</f>
        <v>#DIV/0!</v>
      </c>
      <c r="E116" s="59" t="s">
        <v>59</v>
      </c>
      <c r="F116" s="274"/>
      <c r="G116" s="274"/>
      <c r="H116" s="274"/>
    </row>
    <row r="117" spans="1:8" ht="15.75" customHeight="1">
      <c r="A117" s="3"/>
      <c r="B117" s="285" t="s">
        <v>10</v>
      </c>
      <c r="C117" s="297" t="e">
        <f>+ACUMULADOS!AO32</f>
        <v>#VALUE!</v>
      </c>
      <c r="D117" s="281"/>
      <c r="E117" s="57"/>
      <c r="F117" s="274"/>
      <c r="G117" s="274"/>
      <c r="H117" s="274"/>
    </row>
    <row r="118" spans="1:8" ht="15.75" customHeight="1">
      <c r="A118" s="3"/>
      <c r="B118" s="285" t="s">
        <v>54</v>
      </c>
      <c r="C118" s="297" t="e">
        <f>+(((C116/1.21/50)+(2700/50/1.21)+(C116*0.048/50/1.21))/D119)-1</f>
        <v>#VALUE!</v>
      </c>
      <c r="D118" s="281"/>
      <c r="E118" s="57"/>
      <c r="F118" s="274"/>
      <c r="G118" s="274"/>
      <c r="H118" s="274"/>
    </row>
    <row r="119" spans="1:8" ht="15.75" customHeight="1">
      <c r="A119" s="3"/>
      <c r="B119" s="285" t="s">
        <v>55</v>
      </c>
      <c r="C119" s="298" t="e">
        <f>+ACUMULADOS!J32</f>
        <v>#DIV/0!</v>
      </c>
      <c r="D119" s="282">
        <f>+'COMPARATIVO PCIOS REFERENCIA'!F18</f>
        <v>0</v>
      </c>
      <c r="E119" s="59" t="s">
        <v>56</v>
      </c>
      <c r="F119" s="315"/>
      <c r="G119" s="274"/>
      <c r="H119" s="274"/>
    </row>
    <row r="120" spans="1:8" ht="15.75" customHeight="1">
      <c r="A120" s="3"/>
      <c r="B120" s="285" t="s">
        <v>57</v>
      </c>
      <c r="C120" s="460" t="e">
        <f>+C119/C122*1000</f>
        <v>#DIV/0!</v>
      </c>
      <c r="D120" s="281"/>
      <c r="E120" s="57"/>
      <c r="F120" s="274"/>
      <c r="G120" s="274"/>
      <c r="H120" s="274"/>
    </row>
    <row r="121" spans="1:8" ht="15.75" customHeight="1">
      <c r="A121" s="3"/>
      <c r="B121" s="285" t="s">
        <v>454</v>
      </c>
      <c r="C121" s="296" t="e">
        <f>+C119/D121-1</f>
        <v>#DIV/0!</v>
      </c>
      <c r="D121" s="282">
        <f>+'COMPARATIVO ANUAL'!F20</f>
        <v>670.58013542991637</v>
      </c>
      <c r="E121" s="59" t="s">
        <v>465</v>
      </c>
      <c r="F121" s="274"/>
      <c r="G121" s="274"/>
      <c r="H121" s="274"/>
    </row>
    <row r="122" spans="1:8" ht="15.75" customHeight="1">
      <c r="A122" s="3"/>
      <c r="B122" s="448" t="s">
        <v>232</v>
      </c>
      <c r="C122" s="449">
        <v>1396.33</v>
      </c>
      <c r="D122" s="281"/>
      <c r="E122" s="57"/>
      <c r="F122" s="274"/>
      <c r="G122" s="274"/>
      <c r="H122" s="274"/>
    </row>
    <row r="123" spans="1:8" ht="15.75" customHeight="1">
      <c r="A123" s="3"/>
    </row>
    <row r="124" spans="1:8" ht="15.75" customHeight="1">
      <c r="A124" s="3"/>
      <c r="B124" s="283" t="s">
        <v>94</v>
      </c>
      <c r="C124" s="294"/>
      <c r="D124" s="294"/>
      <c r="E124" s="294"/>
      <c r="F124" s="255"/>
      <c r="G124" s="255"/>
      <c r="H124" s="255"/>
    </row>
    <row r="125" spans="1:8" ht="15.75" customHeight="1">
      <c r="A125" s="3"/>
      <c r="B125" s="285" t="s">
        <v>45</v>
      </c>
      <c r="C125" s="447">
        <f>+ACUMULADOS!Z34</f>
        <v>0</v>
      </c>
      <c r="D125" s="284">
        <v>20000</v>
      </c>
      <c r="E125" s="59" t="s">
        <v>223</v>
      </c>
      <c r="F125" s="253"/>
      <c r="G125" s="253"/>
      <c r="H125" s="253"/>
    </row>
    <row r="126" spans="1:8" ht="15.75" customHeight="1">
      <c r="A126" s="3"/>
      <c r="B126" s="286" t="s">
        <v>46</v>
      </c>
      <c r="C126" s="446">
        <f>+ACUMULADOS!M34</f>
        <v>0</v>
      </c>
      <c r="D126" s="281"/>
      <c r="E126" s="57"/>
      <c r="F126" s="279"/>
      <c r="G126" s="279"/>
      <c r="H126" s="279"/>
    </row>
    <row r="127" spans="1:8" ht="15.75" customHeight="1">
      <c r="A127" s="3"/>
      <c r="B127" s="285" t="s">
        <v>222</v>
      </c>
      <c r="C127" s="295" t="e">
        <f>+ACUMULADOS!AE35</f>
        <v>#VALUE!</v>
      </c>
      <c r="D127" s="282" t="e">
        <f>+ACUMULADOS!AJ35</f>
        <v>#DIV/0!</v>
      </c>
      <c r="E127" s="59" t="s">
        <v>59</v>
      </c>
      <c r="F127" s="279"/>
      <c r="G127" s="279"/>
      <c r="H127" s="279"/>
    </row>
    <row r="128" spans="1:8" ht="15.75" customHeight="1">
      <c r="A128" s="3"/>
      <c r="B128" s="285" t="s">
        <v>10</v>
      </c>
      <c r="C128" s="297" t="e">
        <f>+ACUMULADOS!AL35</f>
        <v>#DIV/0!</v>
      </c>
      <c r="D128" s="281"/>
      <c r="E128" s="57"/>
      <c r="F128" s="279"/>
      <c r="G128" s="279"/>
      <c r="H128" s="279"/>
    </row>
    <row r="129" spans="1:10" ht="15.75" customHeight="1">
      <c r="A129" s="3"/>
      <c r="B129" s="285" t="s">
        <v>54</v>
      </c>
      <c r="C129" s="297" t="e">
        <f>+(((C127/1.21/50)+(2700/50/1.21)+(C127*0.048/50/1.21))/D130)-1</f>
        <v>#VALUE!</v>
      </c>
      <c r="D129" s="281"/>
      <c r="E129" s="57"/>
      <c r="F129" s="279"/>
      <c r="G129" s="279"/>
      <c r="H129" s="279"/>
    </row>
    <row r="130" spans="1:10" ht="15.75" customHeight="1">
      <c r="A130" s="3"/>
      <c r="B130" s="285" t="s">
        <v>55</v>
      </c>
      <c r="C130" s="298" t="e">
        <f>+ACUMULADOS!J35</f>
        <v>#DIV/0!</v>
      </c>
      <c r="D130" s="282">
        <f>+'COMPARATIVO PCIOS REFERENCIA'!F19</f>
        <v>0</v>
      </c>
      <c r="E130" s="59" t="s">
        <v>56</v>
      </c>
      <c r="F130" s="279"/>
      <c r="G130" s="279"/>
      <c r="H130" s="279"/>
    </row>
    <row r="131" spans="1:10" ht="15.75" customHeight="1">
      <c r="A131" s="3"/>
      <c r="B131" s="285" t="s">
        <v>57</v>
      </c>
      <c r="C131" s="460" t="e">
        <f>+C130/C133*1000</f>
        <v>#DIV/0!</v>
      </c>
      <c r="D131" s="281"/>
      <c r="E131" s="57"/>
      <c r="F131" s="279"/>
      <c r="G131" s="279"/>
      <c r="H131" s="279"/>
    </row>
    <row r="132" spans="1:10" ht="15.75" customHeight="1">
      <c r="A132" s="3"/>
      <c r="B132" s="285" t="s">
        <v>454</v>
      </c>
      <c r="C132" s="296" t="e">
        <f>+C130/D132-1</f>
        <v>#DIV/0!</v>
      </c>
      <c r="D132" s="282">
        <f>+'COMPARATIVO ANUAL'!F21</f>
        <v>684.09182137580842</v>
      </c>
      <c r="E132" s="59" t="s">
        <v>466</v>
      </c>
      <c r="F132" s="279"/>
      <c r="G132" s="279"/>
      <c r="H132" s="279"/>
    </row>
    <row r="133" spans="1:10" ht="15.75" customHeight="1">
      <c r="A133" s="3"/>
      <c r="B133" s="448" t="s">
        <v>232</v>
      </c>
      <c r="C133" s="449">
        <v>1400</v>
      </c>
      <c r="D133" s="281"/>
      <c r="E133" s="57"/>
      <c r="F133" s="279"/>
      <c r="G133" s="279"/>
      <c r="H133" s="279"/>
    </row>
    <row r="134" spans="1:10" s="292" customFormat="1" ht="15.75" customHeight="1">
      <c r="A134" s="281"/>
    </row>
    <row r="135" spans="1:10" ht="15.75" customHeight="1">
      <c r="A135" s="3"/>
      <c r="C135" s="224" t="s">
        <v>491</v>
      </c>
      <c r="D135" s="928">
        <f>+D125+D114+D103+D92+D81+D70+D59+D48+D37+D27+D15+D4</f>
        <v>380000</v>
      </c>
      <c r="E135" s="57"/>
    </row>
    <row r="136" spans="1:10" ht="15.75" customHeight="1">
      <c r="A136" s="3"/>
      <c r="C136" s="293" t="s">
        <v>261</v>
      </c>
      <c r="D136" s="928">
        <v>120000</v>
      </c>
      <c r="E136" s="57"/>
    </row>
    <row r="137" spans="1:10" ht="15.75" customHeight="1">
      <c r="A137" s="3"/>
      <c r="C137" s="293"/>
      <c r="D137" s="928">
        <f>+D135+D136</f>
        <v>500000</v>
      </c>
      <c r="E137" s="57"/>
      <c r="H137" s="253"/>
    </row>
    <row r="138" spans="1:10" ht="15.75" customHeight="1">
      <c r="A138" s="3"/>
      <c r="C138" s="293"/>
      <c r="D138" s="3"/>
      <c r="E138" s="57"/>
      <c r="H138" s="253"/>
    </row>
    <row r="139" spans="1:10" ht="15.75" customHeight="1">
      <c r="A139" s="3"/>
      <c r="C139" s="293"/>
      <c r="D139" s="3"/>
      <c r="E139" s="57"/>
      <c r="H139" s="253"/>
      <c r="J139" s="253"/>
    </row>
    <row r="140" spans="1:10" ht="15.75" customHeight="1">
      <c r="A140" s="3"/>
      <c r="B140" s="299"/>
      <c r="C140" s="293"/>
      <c r="D140" s="3"/>
      <c r="E140" s="57"/>
    </row>
    <row r="141" spans="1:10" ht="15.75" customHeight="1">
      <c r="A141" s="3"/>
      <c r="C141" s="321"/>
      <c r="E141" s="57"/>
    </row>
    <row r="142" spans="1:10" ht="15.75" customHeight="1">
      <c r="A142" s="3"/>
      <c r="B142" s="317"/>
      <c r="C142"/>
      <c r="E142" s="57"/>
      <c r="I142" s="253"/>
    </row>
    <row r="143" spans="1:10" ht="15.75" customHeight="1">
      <c r="A143" s="3"/>
      <c r="B143" s="318"/>
      <c r="C143"/>
      <c r="E143" s="57"/>
    </row>
    <row r="144" spans="1:10" ht="15.75" customHeight="1">
      <c r="A144" s="3"/>
      <c r="B144" s="317"/>
      <c r="C144"/>
      <c r="E144" s="57"/>
    </row>
    <row r="145" spans="1:5" ht="15.75" customHeight="1">
      <c r="A145" s="3"/>
      <c r="B145" s="320"/>
      <c r="C145" s="248"/>
      <c r="E145" s="57"/>
    </row>
    <row r="146" spans="1:5" ht="15.75" customHeight="1">
      <c r="A146" s="3"/>
      <c r="B146" s="317"/>
      <c r="C146"/>
      <c r="E146" s="57"/>
    </row>
    <row r="147" spans="1:5" ht="15.75" customHeight="1">
      <c r="A147" s="3"/>
      <c r="B147" s="317"/>
      <c r="E147" s="57"/>
    </row>
    <row r="148" spans="1:5" ht="15.75" customHeight="1">
      <c r="A148" s="3"/>
      <c r="B148" s="320"/>
      <c r="C148" s="324"/>
      <c r="E148" s="57"/>
    </row>
    <row r="149" spans="1:5" ht="15.75" customHeight="1">
      <c r="A149" s="3"/>
      <c r="B149" s="317"/>
      <c r="C149" s="287"/>
      <c r="E149" s="57"/>
    </row>
    <row r="150" spans="1:5" ht="15.75" customHeight="1">
      <c r="A150" s="3"/>
      <c r="B150" s="317"/>
      <c r="C150" s="240"/>
      <c r="E150" s="57"/>
    </row>
    <row r="151" spans="1:5" ht="15.75" customHeight="1">
      <c r="A151" s="3"/>
      <c r="B151" s="317"/>
      <c r="C151" s="240"/>
      <c r="E151" s="57"/>
    </row>
    <row r="152" spans="1:5" ht="15.75" customHeight="1">
      <c r="A152" s="3"/>
      <c r="B152" s="320"/>
      <c r="C152" s="324"/>
      <c r="E152" s="57"/>
    </row>
    <row r="153" spans="1:5" ht="15.75" customHeight="1">
      <c r="A153" s="3"/>
      <c r="C153"/>
      <c r="E153" s="57"/>
    </row>
    <row r="154" spans="1:5" ht="15.75" customHeight="1">
      <c r="A154" s="3"/>
      <c r="B154" s="317"/>
      <c r="C154" s="323"/>
      <c r="E154" s="57"/>
    </row>
    <row r="155" spans="1:5" ht="15.75" customHeight="1">
      <c r="A155" s="3"/>
      <c r="B155" s="317"/>
      <c r="C155" s="323"/>
      <c r="E155" s="57"/>
    </row>
    <row r="156" spans="1:5" ht="15.75" customHeight="1">
      <c r="A156" s="3"/>
      <c r="B156" s="320"/>
      <c r="C156" s="324"/>
      <c r="E156" s="57"/>
    </row>
    <row r="157" spans="1:5" ht="15.75" customHeight="1">
      <c r="A157" s="3"/>
      <c r="C157"/>
      <c r="E157" s="57"/>
    </row>
    <row r="158" spans="1:5" ht="15.75" customHeight="1">
      <c r="A158" s="3"/>
      <c r="B158" s="317"/>
      <c r="C158"/>
      <c r="E158" s="57"/>
    </row>
    <row r="159" spans="1:5" ht="15.75" customHeight="1">
      <c r="A159" s="3"/>
      <c r="B159" s="317"/>
      <c r="C159" s="319"/>
      <c r="E159" s="57"/>
    </row>
    <row r="160" spans="1:5" ht="15.75" customHeight="1">
      <c r="A160" s="3"/>
      <c r="B160" s="317"/>
      <c r="C160" s="287"/>
      <c r="E160" s="57"/>
    </row>
    <row r="161" spans="1:5" ht="15.75" customHeight="1">
      <c r="A161" s="3"/>
      <c r="B161" s="317"/>
      <c r="C161"/>
      <c r="E161" s="57"/>
    </row>
    <row r="162" spans="1:5" ht="15.75" customHeight="1">
      <c r="A162" s="3"/>
      <c r="B162" s="317"/>
      <c r="C162"/>
      <c r="E162" s="57"/>
    </row>
    <row r="163" spans="1:5" ht="15.75" customHeight="1">
      <c r="A163" s="3"/>
      <c r="B163" s="317"/>
      <c r="C163"/>
      <c r="E163" s="57"/>
    </row>
    <row r="164" spans="1:5" ht="15.75" customHeight="1">
      <c r="A164" s="3"/>
      <c r="B164" s="317"/>
      <c r="C164"/>
      <c r="E164" s="57"/>
    </row>
    <row r="165" spans="1:5" ht="15.75" customHeight="1">
      <c r="A165" s="3"/>
      <c r="B165" s="317"/>
      <c r="C165" s="319"/>
      <c r="E165" s="57"/>
    </row>
    <row r="166" spans="1:5" ht="15.75" customHeight="1">
      <c r="A166" s="3"/>
      <c r="C166"/>
      <c r="E166" s="57"/>
    </row>
    <row r="167" spans="1:5" ht="15.75" customHeight="1">
      <c r="A167" s="3"/>
      <c r="B167" s="317"/>
      <c r="C167"/>
      <c r="E167" s="57"/>
    </row>
    <row r="168" spans="1:5" ht="15.75" customHeight="1">
      <c r="A168" s="3"/>
      <c r="C168" s="322"/>
      <c r="E168" s="57"/>
    </row>
    <row r="169" spans="1:5" ht="15.75" customHeight="1">
      <c r="A169" s="3"/>
      <c r="C169" s="322"/>
      <c r="E169" s="57"/>
    </row>
    <row r="170" spans="1:5" ht="15.75" customHeight="1">
      <c r="A170" s="3"/>
      <c r="C170" s="322"/>
      <c r="E170" s="57"/>
    </row>
    <row r="171" spans="1:5" ht="15.75" customHeight="1">
      <c r="A171" s="3"/>
      <c r="C171" s="376"/>
      <c r="E171" s="57"/>
    </row>
    <row r="172" spans="1:5" ht="15.75" customHeight="1">
      <c r="A172" s="3"/>
      <c r="C172"/>
      <c r="E172" s="57"/>
    </row>
    <row r="173" spans="1:5" ht="15.75" customHeight="1">
      <c r="A173" s="3"/>
      <c r="C173"/>
      <c r="E173" s="57"/>
    </row>
    <row r="174" spans="1:5" ht="15.75" customHeight="1">
      <c r="A174" s="3"/>
      <c r="C174" s="315"/>
      <c r="E174" s="57"/>
    </row>
    <row r="175" spans="1:5" ht="15.75" customHeight="1">
      <c r="A175" s="3"/>
      <c r="C175"/>
      <c r="E175" s="57"/>
    </row>
    <row r="176" spans="1:5" ht="15.75" customHeight="1">
      <c r="A176" s="3"/>
      <c r="C176"/>
      <c r="E176" s="57"/>
    </row>
    <row r="177" spans="1:5" ht="15.75" customHeight="1">
      <c r="A177" s="3"/>
      <c r="C177"/>
      <c r="E177" s="57"/>
    </row>
    <row r="178" spans="1:5" ht="15.75" customHeight="1">
      <c r="A178" s="3"/>
      <c r="C178"/>
      <c r="E178" s="57"/>
    </row>
    <row r="179" spans="1:5" ht="15.75" customHeight="1">
      <c r="A179" s="3"/>
      <c r="C179"/>
      <c r="E179" s="57"/>
    </row>
    <row r="180" spans="1:5" ht="15.75" customHeight="1">
      <c r="A180" s="3"/>
      <c r="C180"/>
      <c r="E180" s="57"/>
    </row>
    <row r="181" spans="1:5" ht="15.75" customHeight="1">
      <c r="A181" s="3"/>
      <c r="C181"/>
      <c r="E181" s="57"/>
    </row>
    <row r="182" spans="1:5" ht="15.75" customHeight="1">
      <c r="A182" s="3"/>
      <c r="C182"/>
      <c r="E182" s="57"/>
    </row>
    <row r="183" spans="1:5" ht="15.75" customHeight="1">
      <c r="A183" s="3"/>
      <c r="C183"/>
      <c r="E183" s="57"/>
    </row>
    <row r="184" spans="1:5" ht="15.75" customHeight="1">
      <c r="A184" s="3"/>
      <c r="C184"/>
      <c r="E184" s="57"/>
    </row>
    <row r="185" spans="1:5" ht="15.75" customHeight="1">
      <c r="A185" s="3"/>
      <c r="C185"/>
      <c r="E185" s="57"/>
    </row>
    <row r="186" spans="1:5" ht="15.75" customHeight="1">
      <c r="A186" s="3"/>
      <c r="C186"/>
      <c r="E186" s="57"/>
    </row>
    <row r="187" spans="1:5" ht="15.75" customHeight="1">
      <c r="A187" s="3"/>
      <c r="C187"/>
      <c r="E187" s="57"/>
    </row>
    <row r="188" spans="1:5" ht="15.75" customHeight="1">
      <c r="A188" s="3"/>
      <c r="C188"/>
      <c r="E188" s="57"/>
    </row>
    <row r="189" spans="1:5" ht="15.75" customHeight="1">
      <c r="A189" s="3"/>
      <c r="C189"/>
      <c r="E189" s="57"/>
    </row>
    <row r="190" spans="1:5" ht="15.75" customHeight="1">
      <c r="A190" s="3"/>
      <c r="C190"/>
      <c r="E190" s="57"/>
    </row>
    <row r="191" spans="1:5" ht="15.75" customHeight="1">
      <c r="A191" s="3"/>
      <c r="C191" s="293"/>
      <c r="D191" s="3"/>
      <c r="E191" s="57"/>
    </row>
    <row r="192" spans="1:5" ht="15.75" customHeight="1">
      <c r="A192" s="3"/>
      <c r="C192" s="293"/>
      <c r="D192" s="3"/>
      <c r="E192" s="57"/>
    </row>
    <row r="193" spans="1:5" ht="15.75" customHeight="1">
      <c r="A193" s="3"/>
      <c r="C193" s="293"/>
      <c r="D193" s="3"/>
      <c r="E193" s="57"/>
    </row>
    <row r="194" spans="1:5" ht="15.75" customHeight="1">
      <c r="A194" s="3"/>
      <c r="C194" s="293"/>
      <c r="D194" s="3"/>
      <c r="E194" s="57"/>
    </row>
    <row r="195" spans="1:5" ht="15.75" customHeight="1">
      <c r="A195" s="3"/>
      <c r="C195" s="293"/>
      <c r="D195" s="3"/>
      <c r="E195" s="57"/>
    </row>
    <row r="196" spans="1:5" ht="15.75" customHeight="1">
      <c r="A196" s="3"/>
      <c r="C196" s="293"/>
      <c r="D196" s="3"/>
      <c r="E196" s="57"/>
    </row>
    <row r="197" spans="1:5" ht="15.75" customHeight="1">
      <c r="A197" s="3"/>
      <c r="C197" s="293"/>
      <c r="D197" s="3"/>
      <c r="E197" s="57"/>
    </row>
    <row r="198" spans="1:5" ht="15.75" customHeight="1">
      <c r="A198" s="3"/>
      <c r="C198" s="293"/>
      <c r="D198" s="3"/>
      <c r="E198" s="57"/>
    </row>
    <row r="199" spans="1:5" ht="15.75" customHeight="1">
      <c r="A199" s="3"/>
      <c r="C199" s="293"/>
      <c r="D199" s="3"/>
      <c r="E199" s="57"/>
    </row>
    <row r="200" spans="1:5" ht="15.75" customHeight="1">
      <c r="A200" s="3"/>
      <c r="C200" s="293"/>
      <c r="D200" s="3"/>
      <c r="E200" s="57"/>
    </row>
    <row r="201" spans="1:5" ht="15.75" customHeight="1">
      <c r="A201" s="3"/>
      <c r="C201" s="293"/>
      <c r="D201" s="3"/>
      <c r="E201" s="57"/>
    </row>
    <row r="202" spans="1:5" ht="15.75" customHeight="1">
      <c r="A202" s="3"/>
      <c r="C202" s="293"/>
      <c r="D202" s="3"/>
      <c r="E202" s="57"/>
    </row>
    <row r="203" spans="1:5" ht="15.75" customHeight="1">
      <c r="A203" s="3"/>
      <c r="C203" s="293"/>
      <c r="D203" s="3"/>
      <c r="E203" s="57"/>
    </row>
    <row r="204" spans="1:5" ht="15.75" customHeight="1">
      <c r="A204" s="3"/>
      <c r="C204" s="293"/>
      <c r="D204" s="3"/>
      <c r="E204" s="57"/>
    </row>
    <row r="205" spans="1:5" ht="15.75" customHeight="1">
      <c r="A205" s="3"/>
      <c r="C205" s="293"/>
      <c r="D205" s="3"/>
      <c r="E205" s="57"/>
    </row>
    <row r="206" spans="1:5" ht="15.75" customHeight="1">
      <c r="A206" s="3"/>
      <c r="C206" s="293"/>
      <c r="D206" s="3"/>
      <c r="E206" s="57"/>
    </row>
    <row r="207" spans="1:5" ht="15.75" customHeight="1">
      <c r="A207" s="3"/>
      <c r="C207" s="293"/>
      <c r="D207" s="3"/>
      <c r="E207" s="57"/>
    </row>
    <row r="208" spans="1:5" ht="15.75" customHeight="1">
      <c r="A208" s="3"/>
      <c r="C208" s="293"/>
      <c r="D208" s="3"/>
      <c r="E208" s="57"/>
    </row>
    <row r="209" spans="1:5" ht="15.75" customHeight="1">
      <c r="A209" s="3"/>
      <c r="C209" s="293"/>
      <c r="D209" s="3"/>
      <c r="E209" s="57"/>
    </row>
    <row r="210" spans="1:5" ht="15.75" customHeight="1">
      <c r="A210" s="3"/>
      <c r="C210" s="293"/>
      <c r="D210" s="3"/>
      <c r="E210" s="57"/>
    </row>
    <row r="211" spans="1:5" ht="15.75" customHeight="1">
      <c r="A211" s="3"/>
      <c r="C211" s="293"/>
      <c r="D211" s="3"/>
      <c r="E211" s="57"/>
    </row>
    <row r="212" spans="1:5" ht="15.75" customHeight="1">
      <c r="A212" s="3"/>
      <c r="C212" s="293"/>
      <c r="D212" s="3"/>
      <c r="E212" s="57"/>
    </row>
    <row r="213" spans="1:5" ht="15.75" customHeight="1">
      <c r="A213" s="3"/>
      <c r="C213" s="293"/>
      <c r="D213" s="3"/>
      <c r="E213" s="57"/>
    </row>
    <row r="214" spans="1:5" ht="15.75" customHeight="1">
      <c r="A214" s="3"/>
      <c r="C214" s="293"/>
      <c r="D214" s="3"/>
      <c r="E214" s="57"/>
    </row>
    <row r="215" spans="1:5" ht="15.75" customHeight="1">
      <c r="A215" s="3"/>
      <c r="C215" s="293"/>
      <c r="D215" s="3"/>
      <c r="E215" s="57"/>
    </row>
    <row r="216" spans="1:5" ht="15.75" customHeight="1">
      <c r="A216" s="3"/>
      <c r="C216" s="293"/>
      <c r="D216" s="3"/>
      <c r="E216" s="57"/>
    </row>
    <row r="217" spans="1:5" ht="15.75" customHeight="1">
      <c r="A217" s="3"/>
      <c r="C217" s="293"/>
      <c r="D217" s="3"/>
      <c r="E217" s="57"/>
    </row>
    <row r="218" spans="1:5" ht="15.75" customHeight="1">
      <c r="A218" s="3"/>
      <c r="C218" s="293"/>
      <c r="D218" s="3"/>
      <c r="E218" s="57"/>
    </row>
    <row r="219" spans="1:5" ht="15.75" customHeight="1">
      <c r="A219" s="3"/>
      <c r="C219" s="293"/>
      <c r="D219" s="3"/>
      <c r="E219" s="57"/>
    </row>
    <row r="220" spans="1:5" ht="15.75" customHeight="1">
      <c r="A220" s="3"/>
      <c r="C220" s="293"/>
      <c r="D220" s="3"/>
      <c r="E220" s="57"/>
    </row>
    <row r="221" spans="1:5" ht="15.75" customHeight="1">
      <c r="A221" s="3"/>
      <c r="C221" s="293"/>
      <c r="D221" s="3"/>
      <c r="E221" s="57"/>
    </row>
    <row r="222" spans="1:5" ht="15.75" customHeight="1">
      <c r="A222" s="3"/>
      <c r="C222" s="293"/>
      <c r="D222" s="3"/>
      <c r="E222" s="57"/>
    </row>
    <row r="223" spans="1:5" ht="15.75" customHeight="1">
      <c r="A223" s="3"/>
      <c r="C223" s="293"/>
      <c r="D223" s="3"/>
      <c r="E223" s="57"/>
    </row>
    <row r="224" spans="1:5" ht="15.75" customHeight="1">
      <c r="A224" s="3"/>
      <c r="C224" s="293"/>
      <c r="D224" s="3"/>
      <c r="E224" s="57"/>
    </row>
    <row r="225" spans="1:5" ht="15.75" customHeight="1">
      <c r="A225" s="3"/>
      <c r="C225" s="293"/>
      <c r="D225" s="3"/>
      <c r="E225" s="57"/>
    </row>
    <row r="226" spans="1:5" ht="15.75" customHeight="1">
      <c r="A226" s="3"/>
      <c r="C226" s="293"/>
      <c r="D226" s="3"/>
      <c r="E226" s="57"/>
    </row>
    <row r="227" spans="1:5" ht="15.75" customHeight="1">
      <c r="A227" s="3"/>
      <c r="C227" s="293"/>
      <c r="D227" s="3"/>
      <c r="E227" s="57"/>
    </row>
    <row r="228" spans="1:5" ht="15.75" customHeight="1">
      <c r="A228" s="3"/>
      <c r="C228" s="293"/>
      <c r="D228" s="3"/>
      <c r="E228" s="57"/>
    </row>
    <row r="229" spans="1:5" ht="15.75" customHeight="1">
      <c r="A229" s="3"/>
      <c r="C229" s="293"/>
      <c r="D229" s="3"/>
      <c r="E229" s="57"/>
    </row>
    <row r="230" spans="1:5" ht="15.75" customHeight="1">
      <c r="A230" s="3"/>
      <c r="C230" s="293"/>
      <c r="D230" s="3"/>
      <c r="E230" s="57"/>
    </row>
    <row r="231" spans="1:5" ht="15.75" customHeight="1">
      <c r="A231" s="3"/>
      <c r="C231" s="293"/>
      <c r="D231" s="3"/>
      <c r="E231" s="57"/>
    </row>
    <row r="232" spans="1:5" ht="15.75" customHeight="1">
      <c r="A232" s="3"/>
      <c r="C232" s="293"/>
      <c r="D232" s="3"/>
      <c r="E232" s="57"/>
    </row>
    <row r="233" spans="1:5" ht="15.75" customHeight="1">
      <c r="A233" s="3"/>
      <c r="C233" s="293"/>
      <c r="D233" s="3"/>
      <c r="E233" s="57"/>
    </row>
    <row r="234" spans="1:5" ht="15.75" customHeight="1">
      <c r="A234" s="3"/>
      <c r="C234" s="293"/>
      <c r="D234" s="3"/>
      <c r="E234" s="57"/>
    </row>
    <row r="235" spans="1:5" ht="15.75" customHeight="1">
      <c r="A235" s="3"/>
      <c r="C235" s="293"/>
      <c r="D235" s="3"/>
      <c r="E235" s="57"/>
    </row>
    <row r="236" spans="1:5" ht="15.75" customHeight="1">
      <c r="A236" s="3"/>
      <c r="C236" s="293"/>
      <c r="D236" s="3"/>
      <c r="E236" s="57"/>
    </row>
    <row r="237" spans="1:5" ht="15.75" customHeight="1">
      <c r="A237" s="3"/>
      <c r="C237" s="293"/>
      <c r="D237" s="3"/>
      <c r="E237" s="57"/>
    </row>
    <row r="238" spans="1:5" ht="15.75" customHeight="1">
      <c r="A238" s="3"/>
      <c r="C238" s="293"/>
      <c r="D238" s="3"/>
      <c r="E238" s="57"/>
    </row>
    <row r="239" spans="1:5" ht="15.75" customHeight="1">
      <c r="A239" s="3"/>
      <c r="C239" s="293"/>
      <c r="D239" s="3"/>
      <c r="E239" s="57"/>
    </row>
    <row r="240" spans="1:5" ht="15.75" customHeight="1">
      <c r="A240" s="3"/>
      <c r="C240" s="293"/>
      <c r="D240" s="3"/>
      <c r="E240" s="57"/>
    </row>
    <row r="241" spans="1:5" ht="15.75" customHeight="1">
      <c r="A241" s="3"/>
      <c r="C241" s="293"/>
      <c r="D241" s="3"/>
      <c r="E241" s="57"/>
    </row>
    <row r="242" spans="1:5" ht="15.75" customHeight="1">
      <c r="A242" s="3"/>
      <c r="C242" s="293"/>
      <c r="D242" s="3"/>
      <c r="E242" s="57"/>
    </row>
    <row r="243" spans="1:5" ht="15.75" customHeight="1">
      <c r="A243" s="3"/>
      <c r="C243" s="293"/>
      <c r="D243" s="3"/>
      <c r="E243" s="57"/>
    </row>
    <row r="244" spans="1:5" ht="15.75" customHeight="1">
      <c r="A244" s="3"/>
      <c r="C244" s="293"/>
      <c r="D244" s="3"/>
      <c r="E244" s="57"/>
    </row>
    <row r="245" spans="1:5" ht="15.75" customHeight="1">
      <c r="A245" s="3"/>
      <c r="C245" s="293"/>
      <c r="D245" s="3"/>
      <c r="E245" s="57"/>
    </row>
    <row r="246" spans="1:5" ht="15.75" customHeight="1">
      <c r="A246" s="3"/>
      <c r="C246" s="293"/>
      <c r="D246" s="3"/>
      <c r="E246" s="57"/>
    </row>
    <row r="247" spans="1:5" ht="15.75" customHeight="1">
      <c r="A247" s="3"/>
      <c r="C247" s="293"/>
      <c r="D247" s="3"/>
      <c r="E247" s="57"/>
    </row>
    <row r="248" spans="1:5" ht="15.75" customHeight="1">
      <c r="A248" s="3"/>
      <c r="C248" s="293"/>
      <c r="D248" s="3"/>
      <c r="E248" s="57"/>
    </row>
    <row r="249" spans="1:5" ht="15.75" customHeight="1">
      <c r="A249" s="3"/>
      <c r="C249" s="293"/>
      <c r="D249" s="3"/>
      <c r="E249" s="57"/>
    </row>
    <row r="250" spans="1:5" ht="15.75" customHeight="1">
      <c r="A250" s="3"/>
      <c r="C250" s="293"/>
      <c r="D250" s="3"/>
      <c r="E250" s="57"/>
    </row>
    <row r="251" spans="1:5" ht="15.75" customHeight="1">
      <c r="A251" s="3"/>
      <c r="C251" s="293"/>
      <c r="D251" s="3"/>
      <c r="E251" s="57"/>
    </row>
    <row r="252" spans="1:5" ht="15.75" customHeight="1">
      <c r="A252" s="3"/>
      <c r="C252" s="293"/>
      <c r="D252" s="3"/>
      <c r="E252" s="57"/>
    </row>
    <row r="253" spans="1:5" ht="15.75" customHeight="1">
      <c r="A253" s="3"/>
      <c r="C253" s="293"/>
      <c r="D253" s="3"/>
      <c r="E253" s="57"/>
    </row>
    <row r="254" spans="1:5" ht="15.75" customHeight="1">
      <c r="A254" s="3"/>
      <c r="C254" s="293"/>
      <c r="D254" s="3"/>
      <c r="E254" s="57"/>
    </row>
    <row r="255" spans="1:5" ht="15.75" customHeight="1">
      <c r="A255" s="3"/>
      <c r="C255" s="293"/>
      <c r="D255" s="3"/>
      <c r="E255" s="57"/>
    </row>
    <row r="256" spans="1:5" ht="15.75" customHeight="1">
      <c r="A256" s="3"/>
      <c r="C256" s="293"/>
      <c r="D256" s="3"/>
      <c r="E256" s="57"/>
    </row>
    <row r="257" spans="1:5" ht="15.75" customHeight="1">
      <c r="A257" s="3"/>
      <c r="C257" s="293"/>
      <c r="D257" s="3"/>
      <c r="E257" s="57"/>
    </row>
    <row r="258" spans="1:5" ht="15.75" customHeight="1">
      <c r="A258" s="3"/>
      <c r="C258" s="293"/>
      <c r="D258" s="3"/>
      <c r="E258" s="57"/>
    </row>
    <row r="259" spans="1:5" ht="15.75" customHeight="1">
      <c r="A259" s="3"/>
      <c r="C259" s="293"/>
      <c r="D259" s="3"/>
      <c r="E259" s="57"/>
    </row>
    <row r="260" spans="1:5" ht="15.75" customHeight="1">
      <c r="A260" s="3"/>
      <c r="C260" s="293"/>
      <c r="D260" s="3"/>
      <c r="E260" s="57"/>
    </row>
    <row r="261" spans="1:5" ht="15.75" customHeight="1">
      <c r="A261" s="3"/>
      <c r="C261" s="293"/>
      <c r="D261" s="3"/>
      <c r="E261" s="57"/>
    </row>
    <row r="262" spans="1:5" ht="15.75" customHeight="1">
      <c r="A262" s="3"/>
      <c r="C262" s="293"/>
      <c r="D262" s="3"/>
      <c r="E262" s="57"/>
    </row>
    <row r="263" spans="1:5" ht="15.75" customHeight="1">
      <c r="A263" s="3"/>
      <c r="C263" s="293"/>
      <c r="D263" s="3"/>
      <c r="E263" s="57"/>
    </row>
    <row r="264" spans="1:5" ht="15.75" customHeight="1">
      <c r="A264" s="3"/>
      <c r="C264" s="293"/>
      <c r="D264" s="3"/>
      <c r="E264" s="57"/>
    </row>
    <row r="265" spans="1:5" ht="15.75" customHeight="1">
      <c r="A265" s="3"/>
      <c r="C265" s="293"/>
      <c r="D265" s="3"/>
      <c r="E265" s="57"/>
    </row>
    <row r="266" spans="1:5" ht="15.75" customHeight="1">
      <c r="A266" s="3"/>
      <c r="C266" s="293"/>
      <c r="D266" s="3"/>
      <c r="E266" s="57"/>
    </row>
    <row r="267" spans="1:5" ht="15.75" customHeight="1">
      <c r="A267" s="3"/>
      <c r="C267" s="293"/>
      <c r="D267" s="3"/>
      <c r="E267" s="57"/>
    </row>
    <row r="268" spans="1:5" ht="15.75" customHeight="1">
      <c r="A268" s="3"/>
      <c r="C268" s="293"/>
      <c r="D268" s="3"/>
      <c r="E268" s="57"/>
    </row>
    <row r="269" spans="1:5" ht="15.75" customHeight="1">
      <c r="A269" s="3"/>
      <c r="C269" s="293"/>
      <c r="D269" s="3"/>
      <c r="E269" s="57"/>
    </row>
    <row r="270" spans="1:5" ht="15.75" customHeight="1">
      <c r="A270" s="3"/>
      <c r="C270" s="293"/>
      <c r="D270" s="3"/>
      <c r="E270" s="57"/>
    </row>
    <row r="271" spans="1:5" ht="15.75" customHeight="1">
      <c r="A271" s="3"/>
      <c r="C271" s="293"/>
      <c r="D271" s="3"/>
      <c r="E271" s="57"/>
    </row>
    <row r="272" spans="1:5" ht="15.75" customHeight="1">
      <c r="A272" s="3"/>
      <c r="C272" s="293"/>
      <c r="D272" s="3"/>
      <c r="E272" s="57"/>
    </row>
    <row r="273" spans="1:5" ht="15.75" customHeight="1">
      <c r="A273" s="3"/>
      <c r="C273" s="293"/>
      <c r="D273" s="3"/>
      <c r="E273" s="57"/>
    </row>
    <row r="274" spans="1:5" ht="15.75" customHeight="1">
      <c r="A274" s="3"/>
      <c r="C274" s="293"/>
      <c r="D274" s="3"/>
      <c r="E274" s="57"/>
    </row>
    <row r="275" spans="1:5" ht="15.75" customHeight="1">
      <c r="A275" s="3"/>
      <c r="C275" s="293"/>
      <c r="D275" s="3"/>
      <c r="E275" s="57"/>
    </row>
    <row r="276" spans="1:5" ht="15.75" customHeight="1">
      <c r="A276" s="3"/>
      <c r="C276" s="293"/>
      <c r="D276" s="3"/>
      <c r="E276" s="57"/>
    </row>
    <row r="277" spans="1:5" ht="15.75" customHeight="1">
      <c r="A277" s="3"/>
      <c r="C277" s="293"/>
      <c r="D277" s="3"/>
      <c r="E277" s="57"/>
    </row>
    <row r="278" spans="1:5" ht="15.75" customHeight="1">
      <c r="A278" s="3"/>
      <c r="C278" s="293"/>
      <c r="D278" s="3"/>
      <c r="E278" s="57"/>
    </row>
    <row r="279" spans="1:5" ht="15.75" customHeight="1">
      <c r="A279" s="3"/>
      <c r="C279" s="293"/>
      <c r="D279" s="3"/>
      <c r="E279" s="57"/>
    </row>
    <row r="280" spans="1:5" ht="15.75" customHeight="1">
      <c r="A280" s="3"/>
      <c r="C280" s="293"/>
      <c r="D280" s="3"/>
      <c r="E280" s="57"/>
    </row>
    <row r="281" spans="1:5" ht="15.75" customHeight="1">
      <c r="A281" s="3"/>
      <c r="C281" s="293"/>
      <c r="D281" s="3"/>
      <c r="E281" s="57"/>
    </row>
    <row r="282" spans="1:5" ht="15.75" customHeight="1">
      <c r="A282" s="3"/>
      <c r="C282" s="293"/>
      <c r="D282" s="3"/>
      <c r="E282" s="57"/>
    </row>
    <row r="283" spans="1:5" ht="15.75" customHeight="1">
      <c r="A283" s="3"/>
      <c r="C283" s="293"/>
      <c r="D283" s="3"/>
      <c r="E283" s="57"/>
    </row>
    <row r="284" spans="1:5" ht="15.75" customHeight="1">
      <c r="A284" s="3"/>
      <c r="C284" s="293"/>
      <c r="D284" s="3"/>
      <c r="E284" s="57"/>
    </row>
    <row r="285" spans="1:5" ht="15.75" customHeight="1">
      <c r="A285" s="3"/>
      <c r="C285" s="293"/>
      <c r="D285" s="3"/>
      <c r="E285" s="57"/>
    </row>
    <row r="286" spans="1:5" ht="15.75" customHeight="1">
      <c r="A286" s="3"/>
      <c r="C286" s="293"/>
      <c r="D286" s="3"/>
      <c r="E286" s="57"/>
    </row>
    <row r="287" spans="1:5" ht="15.75" customHeight="1">
      <c r="A287" s="3"/>
      <c r="C287" s="293"/>
      <c r="D287" s="3"/>
      <c r="E287" s="57"/>
    </row>
    <row r="288" spans="1:5" ht="15.75" customHeight="1">
      <c r="A288" s="3"/>
      <c r="C288" s="293"/>
      <c r="D288" s="3"/>
      <c r="E288" s="57"/>
    </row>
    <row r="289" spans="1:5" ht="15.75" customHeight="1">
      <c r="A289" s="3"/>
      <c r="C289" s="293"/>
      <c r="D289" s="3"/>
      <c r="E289" s="57"/>
    </row>
    <row r="290" spans="1:5" ht="15.75" customHeight="1">
      <c r="A290" s="3"/>
      <c r="C290" s="293"/>
      <c r="D290" s="3"/>
      <c r="E290" s="57"/>
    </row>
    <row r="291" spans="1:5" ht="15.75" customHeight="1">
      <c r="A291" s="3"/>
      <c r="C291" s="293"/>
      <c r="D291" s="3"/>
      <c r="E291" s="57"/>
    </row>
    <row r="292" spans="1:5" ht="15.75" customHeight="1">
      <c r="A292" s="3"/>
      <c r="C292" s="293"/>
      <c r="D292" s="3"/>
      <c r="E292" s="57"/>
    </row>
    <row r="293" spans="1:5" ht="15.75" customHeight="1">
      <c r="A293" s="3"/>
      <c r="C293" s="293"/>
      <c r="D293" s="3"/>
      <c r="E293" s="57"/>
    </row>
    <row r="294" spans="1:5" ht="15.75" customHeight="1">
      <c r="A294" s="3"/>
      <c r="C294" s="293"/>
      <c r="D294" s="3"/>
      <c r="E294" s="57"/>
    </row>
    <row r="295" spans="1:5" ht="15.75" customHeight="1">
      <c r="A295" s="3"/>
      <c r="C295" s="293"/>
      <c r="D295" s="3"/>
      <c r="E295" s="57"/>
    </row>
    <row r="296" spans="1:5" ht="15.75" customHeight="1">
      <c r="A296" s="3"/>
      <c r="C296" s="293"/>
      <c r="D296" s="3"/>
      <c r="E296" s="57"/>
    </row>
    <row r="297" spans="1:5" ht="15.75" customHeight="1">
      <c r="A297" s="3"/>
      <c r="C297" s="293"/>
      <c r="D297" s="3"/>
      <c r="E297" s="57"/>
    </row>
    <row r="298" spans="1:5" ht="15.75" customHeight="1">
      <c r="A298" s="3"/>
      <c r="C298" s="293"/>
      <c r="D298" s="3"/>
      <c r="E298" s="57"/>
    </row>
    <row r="299" spans="1:5" ht="15.75" customHeight="1">
      <c r="A299" s="3"/>
      <c r="C299" s="293"/>
      <c r="D299" s="3"/>
      <c r="E299" s="57"/>
    </row>
    <row r="300" spans="1:5" ht="15.75" customHeight="1">
      <c r="A300" s="3"/>
      <c r="C300" s="293"/>
      <c r="D300" s="3"/>
      <c r="E300" s="57"/>
    </row>
    <row r="301" spans="1:5" ht="15.75" customHeight="1">
      <c r="A301" s="3"/>
      <c r="C301" s="293"/>
      <c r="D301" s="3"/>
      <c r="E301" s="57"/>
    </row>
    <row r="302" spans="1:5" ht="15.75" customHeight="1">
      <c r="A302" s="3"/>
      <c r="C302" s="293"/>
      <c r="D302" s="3"/>
      <c r="E302" s="57"/>
    </row>
    <row r="303" spans="1:5" ht="15.75" customHeight="1">
      <c r="A303" s="3"/>
      <c r="C303" s="293"/>
      <c r="D303" s="3"/>
      <c r="E303" s="57"/>
    </row>
    <row r="304" spans="1:5" ht="15.75" customHeight="1">
      <c r="A304" s="3"/>
      <c r="C304" s="293"/>
      <c r="D304" s="3"/>
      <c r="E304" s="57"/>
    </row>
    <row r="305" spans="1:5" ht="15.75" customHeight="1">
      <c r="A305" s="3"/>
      <c r="C305" s="293"/>
      <c r="D305" s="3"/>
      <c r="E305" s="57"/>
    </row>
    <row r="306" spans="1:5" ht="15.75" customHeight="1">
      <c r="A306" s="3"/>
      <c r="C306" s="293"/>
      <c r="D306" s="3"/>
      <c r="E306" s="57"/>
    </row>
    <row r="307" spans="1:5" ht="15.75" customHeight="1">
      <c r="A307" s="3"/>
      <c r="C307" s="293"/>
      <c r="D307" s="3"/>
      <c r="E307" s="57"/>
    </row>
    <row r="308" spans="1:5" ht="15.75" customHeight="1">
      <c r="A308" s="3"/>
      <c r="C308" s="293"/>
      <c r="D308" s="3"/>
      <c r="E308" s="57"/>
    </row>
    <row r="309" spans="1:5" ht="15.75" customHeight="1">
      <c r="A309" s="3"/>
      <c r="C309" s="293"/>
      <c r="D309" s="3"/>
      <c r="E309" s="57"/>
    </row>
    <row r="310" spans="1:5" ht="15.75" customHeight="1">
      <c r="A310" s="3"/>
      <c r="C310" s="293"/>
      <c r="D310" s="3"/>
      <c r="E310" s="57"/>
    </row>
    <row r="311" spans="1:5" ht="15.75" customHeight="1">
      <c r="A311" s="3"/>
      <c r="C311" s="293"/>
      <c r="D311" s="3"/>
      <c r="E311" s="57"/>
    </row>
    <row r="312" spans="1:5" ht="15.75" customHeight="1">
      <c r="A312" s="3"/>
      <c r="C312" s="293"/>
      <c r="D312" s="3"/>
      <c r="E312" s="57"/>
    </row>
    <row r="313" spans="1:5" ht="15.75" customHeight="1">
      <c r="A313" s="3"/>
      <c r="C313" s="293"/>
      <c r="D313" s="3"/>
      <c r="E313" s="57"/>
    </row>
    <row r="314" spans="1:5" ht="15.75" customHeight="1">
      <c r="A314" s="3"/>
      <c r="C314" s="293"/>
      <c r="D314" s="3"/>
      <c r="E314" s="57"/>
    </row>
    <row r="315" spans="1:5" ht="15.75" customHeight="1">
      <c r="A315" s="3"/>
      <c r="C315" s="293"/>
      <c r="D315" s="3"/>
      <c r="E315" s="57"/>
    </row>
    <row r="316" spans="1:5" ht="15.75" customHeight="1">
      <c r="A316" s="3"/>
      <c r="C316" s="293"/>
      <c r="D316" s="3"/>
      <c r="E316" s="57"/>
    </row>
    <row r="317" spans="1:5" ht="15.75" customHeight="1">
      <c r="A317" s="3"/>
      <c r="C317" s="293"/>
      <c r="D317" s="3"/>
      <c r="E317" s="57"/>
    </row>
    <row r="318" spans="1:5" ht="15.75" customHeight="1">
      <c r="A318" s="3"/>
      <c r="C318" s="293"/>
      <c r="D318" s="3"/>
      <c r="E318" s="57"/>
    </row>
    <row r="319" spans="1:5" ht="15.75" customHeight="1">
      <c r="A319" s="3"/>
      <c r="C319" s="293"/>
      <c r="D319" s="3"/>
      <c r="E319" s="57"/>
    </row>
    <row r="320" spans="1:5" ht="15.75" customHeight="1">
      <c r="A320" s="3"/>
      <c r="C320" s="293"/>
      <c r="D320" s="3"/>
      <c r="E320" s="57"/>
    </row>
    <row r="321" spans="1:5" ht="15.75" customHeight="1">
      <c r="A321" s="3"/>
      <c r="C321" s="293"/>
      <c r="D321" s="3"/>
      <c r="E321" s="57"/>
    </row>
    <row r="322" spans="1:5" ht="15.75" customHeight="1">
      <c r="A322" s="3"/>
      <c r="C322" s="293"/>
      <c r="D322" s="3"/>
      <c r="E322" s="57"/>
    </row>
    <row r="323" spans="1:5" ht="15.75" customHeight="1">
      <c r="A323" s="3"/>
      <c r="C323" s="293"/>
      <c r="D323" s="3"/>
      <c r="E323" s="57"/>
    </row>
    <row r="324" spans="1:5" ht="15.75" customHeight="1">
      <c r="A324" s="3"/>
      <c r="C324" s="293"/>
      <c r="D324" s="3"/>
      <c r="E324" s="57"/>
    </row>
    <row r="325" spans="1:5" ht="15.75" customHeight="1">
      <c r="A325" s="3"/>
      <c r="C325" s="293"/>
      <c r="D325" s="3"/>
      <c r="E325" s="57"/>
    </row>
    <row r="326" spans="1:5" ht="15.75" customHeight="1">
      <c r="A326" s="3"/>
      <c r="C326" s="293"/>
      <c r="D326" s="3"/>
      <c r="E326" s="57"/>
    </row>
    <row r="327" spans="1:5" ht="15.75" customHeight="1">
      <c r="A327" s="3"/>
      <c r="C327" s="293"/>
      <c r="D327" s="3"/>
      <c r="E327" s="57"/>
    </row>
    <row r="328" spans="1:5" ht="15.75" customHeight="1">
      <c r="A328" s="3"/>
      <c r="C328" s="293"/>
      <c r="D328" s="3"/>
      <c r="E328" s="57"/>
    </row>
    <row r="329" spans="1:5" ht="15.75" customHeight="1">
      <c r="A329" s="3"/>
      <c r="C329" s="293"/>
      <c r="D329" s="3"/>
      <c r="E329" s="57"/>
    </row>
    <row r="330" spans="1:5" ht="15.75" customHeight="1">
      <c r="A330" s="3"/>
      <c r="C330" s="293"/>
      <c r="D330" s="3"/>
      <c r="E330" s="57"/>
    </row>
    <row r="331" spans="1:5" ht="15.75" customHeight="1">
      <c r="A331" s="3"/>
      <c r="C331" s="293"/>
      <c r="D331" s="3"/>
      <c r="E331" s="57"/>
    </row>
    <row r="332" spans="1:5" ht="15.75" customHeight="1">
      <c r="A332" s="3"/>
      <c r="C332" s="293"/>
      <c r="D332" s="3"/>
      <c r="E332" s="57"/>
    </row>
    <row r="333" spans="1:5" ht="15.75" customHeight="1">
      <c r="A333" s="3"/>
      <c r="C333" s="293"/>
      <c r="D333" s="3"/>
      <c r="E333" s="57"/>
    </row>
    <row r="334" spans="1:5" ht="15.75" customHeight="1">
      <c r="A334" s="3"/>
      <c r="C334" s="293"/>
      <c r="D334" s="3"/>
      <c r="E334" s="57"/>
    </row>
    <row r="335" spans="1:5" ht="15.75" customHeight="1">
      <c r="A335" s="3"/>
      <c r="C335" s="293"/>
      <c r="D335" s="3"/>
      <c r="E335" s="57"/>
    </row>
    <row r="336" spans="1:5" ht="15.75" customHeight="1">
      <c r="A336" s="3"/>
      <c r="C336" s="293"/>
      <c r="D336" s="3"/>
      <c r="E336" s="57"/>
    </row>
    <row r="337" spans="1:5" ht="15.75" customHeight="1">
      <c r="A337" s="3"/>
      <c r="C337" s="293"/>
      <c r="D337" s="3"/>
      <c r="E337" s="57"/>
    </row>
    <row r="338" spans="1:5" ht="15.75" customHeight="1">
      <c r="A338" s="3"/>
      <c r="C338" s="293"/>
      <c r="D338" s="3"/>
      <c r="E338" s="57"/>
    </row>
    <row r="339" spans="1:5" ht="15.75" customHeight="1">
      <c r="A339" s="3"/>
      <c r="C339" s="293"/>
      <c r="D339" s="3"/>
      <c r="E339" s="57"/>
    </row>
    <row r="340" spans="1:5" ht="15.75" customHeight="1">
      <c r="A340" s="3"/>
      <c r="C340" s="293"/>
      <c r="D340" s="3"/>
      <c r="E340" s="57"/>
    </row>
    <row r="341" spans="1:5" ht="15.75" customHeight="1">
      <c r="A341" s="3"/>
      <c r="C341" s="293"/>
      <c r="D341" s="3"/>
      <c r="E341" s="57"/>
    </row>
    <row r="342" spans="1:5" ht="15.75" customHeight="1">
      <c r="A342" s="3"/>
      <c r="C342" s="293"/>
      <c r="D342" s="3"/>
      <c r="E342" s="57"/>
    </row>
    <row r="343" spans="1:5" ht="15.75" customHeight="1">
      <c r="A343" s="3"/>
      <c r="C343" s="293"/>
      <c r="D343" s="3"/>
      <c r="E343" s="57"/>
    </row>
    <row r="344" spans="1:5" ht="15.75" customHeight="1">
      <c r="A344" s="3"/>
      <c r="C344" s="293"/>
      <c r="D344" s="3"/>
      <c r="E344" s="57"/>
    </row>
    <row r="345" spans="1:5" ht="15.75" customHeight="1">
      <c r="A345" s="3"/>
      <c r="C345" s="293"/>
      <c r="D345" s="3"/>
      <c r="E345" s="57"/>
    </row>
    <row r="346" spans="1:5" ht="15.75" customHeight="1">
      <c r="A346" s="3"/>
      <c r="C346" s="293"/>
      <c r="D346" s="3"/>
      <c r="E346" s="57"/>
    </row>
    <row r="347" spans="1:5" ht="15.75" customHeight="1">
      <c r="A347" s="3"/>
      <c r="C347" s="293"/>
      <c r="D347" s="3"/>
      <c r="E347" s="57"/>
    </row>
    <row r="348" spans="1:5" ht="15.75" customHeight="1">
      <c r="A348" s="3"/>
      <c r="C348" s="293"/>
      <c r="D348" s="3"/>
      <c r="E348" s="57"/>
    </row>
    <row r="349" spans="1:5" ht="15.75" customHeight="1">
      <c r="A349" s="3"/>
      <c r="C349" s="293"/>
      <c r="D349" s="3"/>
      <c r="E349" s="57"/>
    </row>
    <row r="350" spans="1:5" ht="15.75" customHeight="1">
      <c r="A350" s="3"/>
      <c r="C350" s="293"/>
      <c r="D350" s="3"/>
      <c r="E350" s="57"/>
    </row>
    <row r="351" spans="1:5" ht="15.75" customHeight="1">
      <c r="A351" s="3"/>
      <c r="C351" s="293"/>
      <c r="D351" s="3"/>
      <c r="E351" s="57"/>
    </row>
    <row r="352" spans="1:5" ht="15.75" customHeight="1">
      <c r="A352" s="3"/>
      <c r="C352" s="293"/>
      <c r="D352" s="3"/>
      <c r="E352" s="57"/>
    </row>
    <row r="353" spans="1:5" ht="15.75" customHeight="1">
      <c r="A353" s="3"/>
      <c r="C353" s="293"/>
      <c r="D353" s="3"/>
      <c r="E353" s="57"/>
    </row>
    <row r="354" spans="1:5" ht="15.75" customHeight="1">
      <c r="A354" s="3"/>
      <c r="C354" s="293"/>
      <c r="D354" s="3"/>
      <c r="E354" s="57"/>
    </row>
    <row r="355" spans="1:5" ht="15.75" customHeight="1">
      <c r="A355" s="3"/>
      <c r="C355" s="293"/>
      <c r="D355" s="3"/>
      <c r="E355" s="57"/>
    </row>
    <row r="356" spans="1:5" ht="15.75" customHeight="1">
      <c r="A356" s="3"/>
      <c r="C356" s="293"/>
      <c r="D356" s="3"/>
      <c r="E356" s="57"/>
    </row>
    <row r="357" spans="1:5" ht="15.75" customHeight="1">
      <c r="A357" s="3"/>
      <c r="C357" s="293"/>
      <c r="D357" s="3"/>
      <c r="E357" s="57"/>
    </row>
    <row r="358" spans="1:5" ht="15.75" customHeight="1">
      <c r="A358" s="3"/>
      <c r="C358" s="293"/>
      <c r="D358" s="3"/>
      <c r="E358" s="57"/>
    </row>
    <row r="359" spans="1:5" ht="15.75" customHeight="1">
      <c r="A359" s="3"/>
      <c r="C359" s="293"/>
      <c r="D359" s="3"/>
      <c r="E359" s="57"/>
    </row>
    <row r="360" spans="1:5" ht="15.75" customHeight="1">
      <c r="A360" s="3"/>
      <c r="C360" s="293"/>
      <c r="D360" s="3"/>
      <c r="E360" s="57"/>
    </row>
    <row r="361" spans="1:5" ht="15.75" customHeight="1">
      <c r="A361" s="3"/>
      <c r="C361" s="293"/>
      <c r="D361" s="3"/>
      <c r="E361" s="57"/>
    </row>
    <row r="362" spans="1:5" ht="15.75" customHeight="1">
      <c r="A362" s="3"/>
      <c r="C362" s="293"/>
      <c r="D362" s="3"/>
      <c r="E362" s="57"/>
    </row>
    <row r="363" spans="1:5" ht="15.75" customHeight="1">
      <c r="A363" s="3"/>
      <c r="C363" s="293"/>
      <c r="D363" s="3"/>
      <c r="E363" s="57"/>
    </row>
    <row r="364" spans="1:5" ht="15.75" customHeight="1">
      <c r="A364" s="3"/>
      <c r="C364" s="293"/>
      <c r="D364" s="3"/>
      <c r="E364" s="57"/>
    </row>
    <row r="365" spans="1:5" ht="15.75" customHeight="1">
      <c r="A365" s="3"/>
      <c r="C365" s="293"/>
      <c r="D365" s="3"/>
      <c r="E365" s="57"/>
    </row>
    <row r="366" spans="1:5" ht="15.75" customHeight="1">
      <c r="A366" s="3"/>
      <c r="C366" s="293"/>
      <c r="D366" s="3"/>
      <c r="E366" s="57"/>
    </row>
    <row r="367" spans="1:5" ht="15.75" customHeight="1">
      <c r="A367" s="3"/>
      <c r="C367" s="293"/>
      <c r="D367" s="3"/>
      <c r="E367" s="57"/>
    </row>
    <row r="368" spans="1:5" ht="15.75" customHeight="1">
      <c r="A368" s="3"/>
      <c r="C368" s="293"/>
      <c r="D368" s="3"/>
      <c r="E368" s="57"/>
    </row>
    <row r="369" spans="1:5" ht="15.75" customHeight="1">
      <c r="A369" s="3"/>
      <c r="C369" s="293"/>
      <c r="D369" s="3"/>
      <c r="E369" s="57"/>
    </row>
    <row r="370" spans="1:5" ht="15.75" customHeight="1">
      <c r="A370" s="3"/>
      <c r="C370" s="293"/>
      <c r="D370" s="3"/>
      <c r="E370" s="57"/>
    </row>
    <row r="371" spans="1:5" ht="15.75" customHeight="1">
      <c r="A371" s="3"/>
      <c r="C371" s="293"/>
      <c r="D371" s="3"/>
      <c r="E371" s="57"/>
    </row>
    <row r="372" spans="1:5" ht="15.75" customHeight="1">
      <c r="A372" s="3"/>
      <c r="C372" s="293"/>
      <c r="D372" s="3"/>
      <c r="E372" s="57"/>
    </row>
    <row r="373" spans="1:5" ht="15.75" customHeight="1">
      <c r="A373" s="3"/>
      <c r="C373" s="293"/>
      <c r="D373" s="3"/>
      <c r="E373" s="57"/>
    </row>
    <row r="374" spans="1:5" ht="15.75" customHeight="1">
      <c r="A374" s="3"/>
      <c r="C374" s="293"/>
      <c r="D374" s="3"/>
      <c r="E374" s="57"/>
    </row>
    <row r="375" spans="1:5" ht="15.75" customHeight="1">
      <c r="A375" s="3"/>
      <c r="C375" s="293"/>
      <c r="D375" s="3"/>
      <c r="E375" s="57"/>
    </row>
    <row r="376" spans="1:5" ht="15.75" customHeight="1">
      <c r="A376" s="3"/>
      <c r="C376" s="293"/>
      <c r="D376" s="3"/>
      <c r="E376" s="57"/>
    </row>
    <row r="377" spans="1:5" ht="15.75" customHeight="1">
      <c r="A377" s="3"/>
      <c r="C377" s="293"/>
      <c r="D377" s="3"/>
      <c r="E377" s="57"/>
    </row>
    <row r="378" spans="1:5" ht="15.75" customHeight="1">
      <c r="A378" s="3"/>
      <c r="C378" s="293"/>
      <c r="D378" s="3"/>
      <c r="E378" s="57"/>
    </row>
    <row r="379" spans="1:5" ht="15.75" customHeight="1">
      <c r="A379" s="3"/>
      <c r="C379" s="293"/>
      <c r="D379" s="3"/>
      <c r="E379" s="57"/>
    </row>
    <row r="380" spans="1:5" ht="15.75" customHeight="1">
      <c r="A380" s="3"/>
      <c r="C380" s="293"/>
      <c r="D380" s="3"/>
      <c r="E380" s="57"/>
    </row>
    <row r="381" spans="1:5" ht="15.75" customHeight="1">
      <c r="A381" s="3"/>
      <c r="C381" s="293"/>
      <c r="D381" s="3"/>
      <c r="E381" s="57"/>
    </row>
    <row r="382" spans="1:5" ht="15.75" customHeight="1">
      <c r="A382" s="3"/>
      <c r="C382" s="293"/>
      <c r="D382" s="3"/>
      <c r="E382" s="57"/>
    </row>
    <row r="383" spans="1:5" ht="15.75" customHeight="1">
      <c r="A383" s="3"/>
      <c r="C383" s="293"/>
      <c r="D383" s="3"/>
      <c r="E383" s="57"/>
    </row>
    <row r="384" spans="1:5" ht="15.75" customHeight="1">
      <c r="A384" s="3"/>
      <c r="C384" s="293"/>
      <c r="D384" s="3"/>
      <c r="E384" s="57"/>
    </row>
    <row r="385" spans="1:5" ht="15.75" customHeight="1">
      <c r="A385" s="3"/>
      <c r="C385" s="293"/>
      <c r="D385" s="3"/>
      <c r="E385" s="57"/>
    </row>
    <row r="386" spans="1:5" ht="15.75" customHeight="1">
      <c r="A386" s="3"/>
      <c r="C386" s="293"/>
      <c r="D386" s="3"/>
      <c r="E386" s="57"/>
    </row>
    <row r="387" spans="1:5" ht="15.75" customHeight="1">
      <c r="A387" s="3"/>
      <c r="C387" s="293"/>
      <c r="D387" s="3"/>
      <c r="E387" s="57"/>
    </row>
    <row r="388" spans="1:5" ht="15.75" customHeight="1">
      <c r="A388" s="3"/>
      <c r="C388" s="293"/>
      <c r="D388" s="3"/>
      <c r="E388" s="57"/>
    </row>
    <row r="389" spans="1:5" ht="15.75" customHeight="1">
      <c r="A389" s="3"/>
      <c r="C389" s="293"/>
      <c r="D389" s="3"/>
      <c r="E389" s="57"/>
    </row>
    <row r="390" spans="1:5" ht="15.75" customHeight="1">
      <c r="A390" s="3"/>
      <c r="C390" s="293"/>
      <c r="D390" s="3"/>
      <c r="E390" s="57"/>
    </row>
    <row r="391" spans="1:5" ht="15.75" customHeight="1">
      <c r="A391" s="3"/>
      <c r="C391" s="293"/>
      <c r="D391" s="3"/>
      <c r="E391" s="57"/>
    </row>
    <row r="392" spans="1:5" ht="15.75" customHeight="1">
      <c r="A392" s="3"/>
      <c r="C392" s="293"/>
      <c r="D392" s="3"/>
      <c r="E392" s="57"/>
    </row>
    <row r="393" spans="1:5" ht="15.75" customHeight="1">
      <c r="A393" s="3"/>
      <c r="C393" s="293"/>
      <c r="D393" s="3"/>
      <c r="E393" s="57"/>
    </row>
    <row r="394" spans="1:5" ht="15.75" customHeight="1">
      <c r="A394" s="3"/>
      <c r="C394" s="293"/>
      <c r="D394" s="3"/>
      <c r="E394" s="57"/>
    </row>
    <row r="395" spans="1:5" ht="15.75" customHeight="1">
      <c r="A395" s="3"/>
      <c r="C395" s="293"/>
      <c r="D395" s="3"/>
      <c r="E395" s="57"/>
    </row>
    <row r="396" spans="1:5" ht="15.75" customHeight="1">
      <c r="A396" s="3"/>
      <c r="C396" s="293"/>
      <c r="D396" s="3"/>
      <c r="E396" s="57"/>
    </row>
    <row r="397" spans="1:5" ht="15.75" customHeight="1">
      <c r="A397" s="3"/>
      <c r="C397" s="293"/>
      <c r="D397" s="3"/>
      <c r="E397" s="57"/>
    </row>
    <row r="398" spans="1:5" ht="15.75" customHeight="1">
      <c r="A398" s="3"/>
      <c r="C398" s="293"/>
      <c r="D398" s="3"/>
      <c r="E398" s="57"/>
    </row>
    <row r="399" spans="1:5" ht="15.75" customHeight="1">
      <c r="A399" s="3"/>
      <c r="C399" s="293"/>
      <c r="D399" s="3"/>
      <c r="E399" s="57"/>
    </row>
    <row r="400" spans="1:5" ht="15.75" customHeight="1">
      <c r="A400" s="3"/>
      <c r="C400" s="293"/>
      <c r="D400" s="3"/>
      <c r="E400" s="57"/>
    </row>
    <row r="401" spans="1:5" ht="15.75" customHeight="1">
      <c r="A401" s="3"/>
      <c r="C401" s="293"/>
      <c r="D401" s="3"/>
      <c r="E401" s="57"/>
    </row>
    <row r="402" spans="1:5" ht="15.75" customHeight="1">
      <c r="A402" s="3"/>
      <c r="C402" s="293"/>
      <c r="D402" s="3"/>
      <c r="E402" s="57"/>
    </row>
    <row r="403" spans="1:5" ht="15.75" customHeight="1">
      <c r="A403" s="3"/>
      <c r="C403" s="293"/>
      <c r="D403" s="3"/>
      <c r="E403" s="57"/>
    </row>
    <row r="404" spans="1:5" ht="15.75" customHeight="1">
      <c r="A404" s="3"/>
      <c r="C404" s="293"/>
      <c r="D404" s="3"/>
      <c r="E404" s="57"/>
    </row>
    <row r="405" spans="1:5" ht="15.75" customHeight="1">
      <c r="A405" s="3"/>
      <c r="C405" s="293"/>
      <c r="D405" s="3"/>
      <c r="E405" s="57"/>
    </row>
    <row r="406" spans="1:5" ht="15.75" customHeight="1">
      <c r="A406" s="3"/>
      <c r="C406" s="293"/>
      <c r="D406" s="3"/>
      <c r="E406" s="57"/>
    </row>
    <row r="407" spans="1:5" ht="15.75" customHeight="1">
      <c r="A407" s="3"/>
      <c r="C407" s="293"/>
      <c r="D407" s="3"/>
      <c r="E407" s="57"/>
    </row>
    <row r="408" spans="1:5" ht="15.75" customHeight="1">
      <c r="A408" s="3"/>
      <c r="C408" s="293"/>
      <c r="D408" s="3"/>
      <c r="E408" s="57"/>
    </row>
    <row r="409" spans="1:5" ht="15.75" customHeight="1">
      <c r="A409" s="3"/>
      <c r="C409" s="293"/>
      <c r="D409" s="3"/>
      <c r="E409" s="57"/>
    </row>
    <row r="410" spans="1:5" ht="15.75" customHeight="1">
      <c r="A410" s="3"/>
      <c r="C410" s="293"/>
      <c r="D410" s="3"/>
      <c r="E410" s="57"/>
    </row>
    <row r="411" spans="1:5" ht="15.75" customHeight="1">
      <c r="A411" s="3"/>
      <c r="C411" s="293"/>
      <c r="D411" s="3"/>
      <c r="E411" s="57"/>
    </row>
    <row r="412" spans="1:5" ht="15.75" customHeight="1">
      <c r="A412" s="3"/>
      <c r="C412" s="293"/>
      <c r="D412" s="3"/>
      <c r="E412" s="57"/>
    </row>
    <row r="413" spans="1:5" ht="15.75" customHeight="1">
      <c r="A413" s="3"/>
      <c r="C413" s="293"/>
      <c r="D413" s="3"/>
      <c r="E413" s="57"/>
    </row>
    <row r="414" spans="1:5" ht="15.75" customHeight="1">
      <c r="A414" s="3"/>
      <c r="C414" s="293"/>
      <c r="D414" s="3"/>
      <c r="E414" s="57"/>
    </row>
    <row r="415" spans="1:5" ht="15.75" customHeight="1">
      <c r="A415" s="3"/>
      <c r="C415" s="293"/>
      <c r="D415" s="3"/>
      <c r="E415" s="57"/>
    </row>
    <row r="416" spans="1:5" ht="15.75" customHeight="1">
      <c r="A416" s="3"/>
      <c r="C416" s="293"/>
      <c r="D416" s="3"/>
      <c r="E416" s="57"/>
    </row>
    <row r="417" spans="1:5" ht="15.75" customHeight="1">
      <c r="A417" s="3"/>
      <c r="C417" s="293"/>
      <c r="D417" s="3"/>
      <c r="E417" s="57"/>
    </row>
    <row r="418" spans="1:5" ht="15.75" customHeight="1">
      <c r="A418" s="3"/>
      <c r="C418" s="293"/>
      <c r="D418" s="3"/>
      <c r="E418" s="57"/>
    </row>
    <row r="419" spans="1:5" ht="15.75" customHeight="1">
      <c r="A419" s="3"/>
      <c r="C419" s="293"/>
      <c r="D419" s="3"/>
      <c r="E419" s="57"/>
    </row>
    <row r="420" spans="1:5" ht="15.75" customHeight="1">
      <c r="A420" s="3"/>
      <c r="C420" s="293"/>
      <c r="D420" s="3"/>
      <c r="E420" s="57"/>
    </row>
    <row r="421" spans="1:5" ht="15.75" customHeight="1">
      <c r="A421" s="3"/>
      <c r="C421" s="293"/>
      <c r="D421" s="3"/>
      <c r="E421" s="57"/>
    </row>
    <row r="422" spans="1:5" ht="15.75" customHeight="1">
      <c r="A422" s="3"/>
      <c r="C422" s="293"/>
      <c r="D422" s="3"/>
      <c r="E422" s="57"/>
    </row>
    <row r="423" spans="1:5" ht="15.75" customHeight="1">
      <c r="A423" s="3"/>
      <c r="C423" s="293"/>
      <c r="D423" s="3"/>
      <c r="E423" s="57"/>
    </row>
    <row r="424" spans="1:5" ht="15.75" customHeight="1">
      <c r="A424" s="3"/>
      <c r="C424" s="293"/>
      <c r="D424" s="3"/>
      <c r="E424" s="57"/>
    </row>
    <row r="425" spans="1:5" ht="15.75" customHeight="1">
      <c r="A425" s="3"/>
      <c r="C425" s="293"/>
      <c r="D425" s="3"/>
      <c r="E425" s="57"/>
    </row>
    <row r="426" spans="1:5" ht="15.75" customHeight="1">
      <c r="A426" s="3"/>
      <c r="C426" s="293"/>
      <c r="D426" s="3"/>
      <c r="E426" s="57"/>
    </row>
    <row r="427" spans="1:5" ht="15.75" customHeight="1">
      <c r="A427" s="3"/>
      <c r="C427" s="293"/>
      <c r="D427" s="3"/>
      <c r="E427" s="57"/>
    </row>
    <row r="428" spans="1:5" ht="15.75" customHeight="1">
      <c r="A428" s="3"/>
      <c r="C428" s="293"/>
      <c r="D428" s="3"/>
      <c r="E428" s="57"/>
    </row>
    <row r="429" spans="1:5" ht="15.75" customHeight="1">
      <c r="A429" s="3"/>
      <c r="C429" s="293"/>
      <c r="D429" s="3"/>
      <c r="E429" s="57"/>
    </row>
    <row r="430" spans="1:5" ht="15.75" customHeight="1">
      <c r="A430" s="3"/>
      <c r="C430" s="293"/>
      <c r="D430" s="3"/>
      <c r="E430" s="57"/>
    </row>
    <row r="431" spans="1:5" ht="15.75" customHeight="1">
      <c r="A431" s="3"/>
      <c r="C431" s="293"/>
      <c r="D431" s="3"/>
      <c r="E431" s="57"/>
    </row>
    <row r="432" spans="1:5" ht="15.75" customHeight="1">
      <c r="A432" s="3"/>
      <c r="C432" s="293"/>
      <c r="D432" s="3"/>
      <c r="E432" s="57"/>
    </row>
    <row r="433" spans="1:5" ht="15.75" customHeight="1">
      <c r="A433" s="3"/>
      <c r="C433" s="293"/>
      <c r="D433" s="3"/>
      <c r="E433" s="57"/>
    </row>
    <row r="434" spans="1:5" ht="15.75" customHeight="1">
      <c r="A434" s="3"/>
      <c r="C434" s="293"/>
      <c r="D434" s="3"/>
      <c r="E434" s="57"/>
    </row>
    <row r="435" spans="1:5" ht="15.75" customHeight="1">
      <c r="A435" s="3"/>
      <c r="C435" s="293"/>
      <c r="D435" s="3"/>
      <c r="E435" s="57"/>
    </row>
    <row r="436" spans="1:5" ht="15.75" customHeight="1">
      <c r="A436" s="3"/>
      <c r="C436" s="293"/>
      <c r="D436" s="3"/>
      <c r="E436" s="57"/>
    </row>
    <row r="437" spans="1:5" ht="15.75" customHeight="1">
      <c r="A437" s="3"/>
      <c r="C437" s="293"/>
      <c r="D437" s="3"/>
      <c r="E437" s="57"/>
    </row>
    <row r="438" spans="1:5" ht="15.75" customHeight="1">
      <c r="A438" s="3"/>
      <c r="C438" s="293"/>
      <c r="D438" s="3"/>
      <c r="E438" s="57"/>
    </row>
    <row r="439" spans="1:5" ht="15.75" customHeight="1">
      <c r="A439" s="3"/>
      <c r="C439" s="293"/>
      <c r="D439" s="3"/>
      <c r="E439" s="57"/>
    </row>
    <row r="440" spans="1:5" ht="15.75" customHeight="1">
      <c r="A440" s="3"/>
      <c r="C440" s="293"/>
      <c r="D440" s="3"/>
      <c r="E440" s="57"/>
    </row>
    <row r="441" spans="1:5" ht="15.75" customHeight="1">
      <c r="A441" s="3"/>
      <c r="C441" s="293"/>
      <c r="D441" s="3"/>
      <c r="E441" s="57"/>
    </row>
    <row r="442" spans="1:5" ht="15.75" customHeight="1">
      <c r="A442" s="3"/>
      <c r="C442" s="293"/>
      <c r="D442" s="3"/>
      <c r="E442" s="57"/>
    </row>
    <row r="443" spans="1:5" ht="15.75" customHeight="1">
      <c r="A443" s="3"/>
      <c r="C443" s="293"/>
      <c r="D443" s="3"/>
      <c r="E443" s="57"/>
    </row>
    <row r="444" spans="1:5" ht="15.75" customHeight="1">
      <c r="A444" s="3"/>
      <c r="C444" s="293"/>
      <c r="D444" s="3"/>
      <c r="E444" s="57"/>
    </row>
    <row r="445" spans="1:5" ht="15.75" customHeight="1">
      <c r="A445" s="3"/>
      <c r="C445" s="293"/>
      <c r="D445" s="3"/>
      <c r="E445" s="57"/>
    </row>
    <row r="446" spans="1:5" ht="15.75" customHeight="1">
      <c r="A446" s="3"/>
      <c r="C446" s="293"/>
      <c r="D446" s="3"/>
      <c r="E446" s="57"/>
    </row>
    <row r="447" spans="1:5" ht="15.75" customHeight="1">
      <c r="A447" s="3"/>
      <c r="C447" s="293"/>
      <c r="D447" s="3"/>
      <c r="E447" s="57"/>
    </row>
    <row r="448" spans="1:5" ht="15.75" customHeight="1">
      <c r="A448" s="3"/>
      <c r="C448" s="293"/>
      <c r="D448" s="3"/>
      <c r="E448" s="57"/>
    </row>
    <row r="449" spans="1:5" ht="15.75" customHeight="1">
      <c r="A449" s="3"/>
      <c r="C449" s="293"/>
      <c r="D449" s="3"/>
      <c r="E449" s="57"/>
    </row>
    <row r="450" spans="1:5" ht="15.75" customHeight="1">
      <c r="A450" s="3"/>
      <c r="C450" s="293"/>
      <c r="D450" s="3"/>
      <c r="E450" s="57"/>
    </row>
    <row r="451" spans="1:5" ht="15.75" customHeight="1">
      <c r="A451" s="3"/>
      <c r="C451" s="293"/>
      <c r="D451" s="3"/>
      <c r="E451" s="57"/>
    </row>
    <row r="452" spans="1:5" ht="15.75" customHeight="1">
      <c r="A452" s="3"/>
      <c r="C452" s="293"/>
      <c r="D452" s="3"/>
      <c r="E452" s="57"/>
    </row>
    <row r="453" spans="1:5" ht="15.75" customHeight="1">
      <c r="A453" s="3"/>
      <c r="C453" s="293"/>
      <c r="D453" s="3"/>
      <c r="E453" s="57"/>
    </row>
    <row r="454" spans="1:5" ht="15.75" customHeight="1">
      <c r="A454" s="3"/>
      <c r="C454" s="293"/>
      <c r="D454" s="3"/>
      <c r="E454" s="57"/>
    </row>
    <row r="455" spans="1:5" ht="15.75" customHeight="1">
      <c r="A455" s="3"/>
      <c r="C455" s="293"/>
      <c r="D455" s="3"/>
      <c r="E455" s="57"/>
    </row>
    <row r="456" spans="1:5" ht="15.75" customHeight="1">
      <c r="A456" s="3"/>
      <c r="C456" s="293"/>
      <c r="D456" s="3"/>
      <c r="E456" s="57"/>
    </row>
    <row r="457" spans="1:5" ht="15.75" customHeight="1">
      <c r="A457" s="3"/>
      <c r="C457" s="293"/>
      <c r="D457" s="3"/>
      <c r="E457" s="57"/>
    </row>
    <row r="458" spans="1:5" ht="15.75" customHeight="1">
      <c r="A458" s="3"/>
      <c r="C458" s="293"/>
      <c r="D458" s="3"/>
      <c r="E458" s="57"/>
    </row>
    <row r="459" spans="1:5" ht="15.75" customHeight="1">
      <c r="A459" s="3"/>
      <c r="C459" s="293"/>
      <c r="D459" s="3"/>
      <c r="E459" s="57"/>
    </row>
    <row r="460" spans="1:5" ht="15.75" customHeight="1">
      <c r="A460" s="3"/>
      <c r="C460" s="293"/>
      <c r="D460" s="3"/>
      <c r="E460" s="57"/>
    </row>
    <row r="461" spans="1:5" ht="15.75" customHeight="1">
      <c r="A461" s="3"/>
      <c r="C461" s="293"/>
      <c r="D461" s="3"/>
      <c r="E461" s="57"/>
    </row>
    <row r="462" spans="1:5" ht="15.75" customHeight="1">
      <c r="A462" s="3"/>
      <c r="C462" s="293"/>
      <c r="D462" s="3"/>
      <c r="E462" s="57"/>
    </row>
    <row r="463" spans="1:5" ht="15.75" customHeight="1">
      <c r="A463" s="3"/>
      <c r="C463" s="293"/>
      <c r="D463" s="3"/>
      <c r="E463" s="57"/>
    </row>
    <row r="464" spans="1:5" ht="15.75" customHeight="1">
      <c r="A464" s="3"/>
      <c r="C464" s="293"/>
      <c r="D464" s="3"/>
      <c r="E464" s="57"/>
    </row>
    <row r="465" spans="1:5" ht="15.75" customHeight="1">
      <c r="A465" s="3"/>
      <c r="C465" s="293"/>
      <c r="D465" s="3"/>
      <c r="E465" s="57"/>
    </row>
    <row r="466" spans="1:5" ht="15.75" customHeight="1">
      <c r="A466" s="3"/>
      <c r="C466" s="293"/>
      <c r="D466" s="3"/>
      <c r="E466" s="57"/>
    </row>
    <row r="467" spans="1:5" ht="15.75" customHeight="1">
      <c r="A467" s="3"/>
      <c r="C467" s="293"/>
      <c r="D467" s="3"/>
      <c r="E467" s="57"/>
    </row>
    <row r="468" spans="1:5" ht="15.75" customHeight="1">
      <c r="A468" s="3"/>
      <c r="C468" s="293"/>
      <c r="D468" s="3"/>
      <c r="E468" s="57"/>
    </row>
    <row r="469" spans="1:5" ht="15.75" customHeight="1">
      <c r="A469" s="3"/>
      <c r="C469" s="293"/>
      <c r="D469" s="3"/>
      <c r="E469" s="57"/>
    </row>
    <row r="470" spans="1:5" ht="15.75" customHeight="1">
      <c r="A470" s="3"/>
      <c r="C470" s="293"/>
      <c r="D470" s="3"/>
      <c r="E470" s="57"/>
    </row>
    <row r="471" spans="1:5" ht="15.75" customHeight="1">
      <c r="A471" s="3"/>
      <c r="C471" s="293"/>
      <c r="D471" s="3"/>
      <c r="E471" s="57"/>
    </row>
    <row r="472" spans="1:5" ht="15.75" customHeight="1">
      <c r="A472" s="3"/>
      <c r="C472" s="293"/>
      <c r="D472" s="3"/>
      <c r="E472" s="57"/>
    </row>
    <row r="473" spans="1:5" ht="15.75" customHeight="1">
      <c r="A473" s="3"/>
      <c r="C473" s="293"/>
      <c r="D473" s="3"/>
      <c r="E473" s="57"/>
    </row>
    <row r="474" spans="1:5" ht="15.75" customHeight="1">
      <c r="A474" s="3"/>
      <c r="C474" s="293"/>
      <c r="D474" s="3"/>
      <c r="E474" s="57"/>
    </row>
    <row r="475" spans="1:5" ht="15.75" customHeight="1">
      <c r="A475" s="3"/>
      <c r="C475" s="293"/>
      <c r="D475" s="3"/>
      <c r="E475" s="57"/>
    </row>
    <row r="476" spans="1:5" ht="15.75" customHeight="1">
      <c r="A476" s="3"/>
      <c r="C476" s="293"/>
      <c r="D476" s="3"/>
      <c r="E476" s="57"/>
    </row>
    <row r="477" spans="1:5" ht="15.75" customHeight="1">
      <c r="A477" s="3"/>
      <c r="C477" s="293"/>
      <c r="D477" s="3"/>
      <c r="E477" s="57"/>
    </row>
    <row r="478" spans="1:5" ht="15.75" customHeight="1">
      <c r="A478" s="3"/>
      <c r="C478" s="293"/>
      <c r="D478" s="3"/>
      <c r="E478" s="57"/>
    </row>
    <row r="479" spans="1:5" ht="15.75" customHeight="1">
      <c r="A479" s="3"/>
      <c r="C479" s="293"/>
      <c r="D479" s="3"/>
      <c r="E479" s="57"/>
    </row>
    <row r="480" spans="1:5" ht="15.75" customHeight="1">
      <c r="A480" s="3"/>
      <c r="C480" s="293"/>
      <c r="D480" s="3"/>
      <c r="E480" s="57"/>
    </row>
    <row r="481" spans="1:5" ht="15.75" customHeight="1">
      <c r="A481" s="3"/>
      <c r="C481" s="293"/>
      <c r="D481" s="3"/>
      <c r="E481" s="57"/>
    </row>
    <row r="482" spans="1:5" ht="15.75" customHeight="1">
      <c r="A482" s="3"/>
      <c r="C482" s="293"/>
      <c r="D482" s="3"/>
      <c r="E482" s="57"/>
    </row>
    <row r="483" spans="1:5" ht="15.75" customHeight="1">
      <c r="A483" s="3"/>
      <c r="C483" s="293"/>
      <c r="D483" s="3"/>
      <c r="E483" s="57"/>
    </row>
    <row r="484" spans="1:5" ht="15.75" customHeight="1">
      <c r="A484" s="3"/>
      <c r="C484" s="293"/>
      <c r="D484" s="3"/>
      <c r="E484" s="57"/>
    </row>
    <row r="485" spans="1:5" ht="15.75" customHeight="1">
      <c r="A485" s="3"/>
      <c r="C485" s="293"/>
      <c r="D485" s="3"/>
      <c r="E485" s="57"/>
    </row>
    <row r="486" spans="1:5" ht="15.75" customHeight="1">
      <c r="A486" s="3"/>
      <c r="C486" s="293"/>
      <c r="D486" s="3"/>
      <c r="E486" s="57"/>
    </row>
    <row r="487" spans="1:5" ht="15.75" customHeight="1">
      <c r="A487" s="3"/>
      <c r="C487" s="293"/>
      <c r="D487" s="3"/>
      <c r="E487" s="57"/>
    </row>
    <row r="488" spans="1:5" ht="15.75" customHeight="1">
      <c r="A488" s="3"/>
      <c r="C488" s="293"/>
      <c r="D488" s="3"/>
      <c r="E488" s="57"/>
    </row>
    <row r="489" spans="1:5" ht="15.75" customHeight="1">
      <c r="A489" s="3"/>
      <c r="C489" s="293"/>
      <c r="D489" s="3"/>
      <c r="E489" s="57"/>
    </row>
    <row r="490" spans="1:5" ht="15.75" customHeight="1">
      <c r="A490" s="3"/>
      <c r="C490" s="293"/>
      <c r="D490" s="3"/>
      <c r="E490" s="57"/>
    </row>
    <row r="491" spans="1:5" ht="15.75" customHeight="1">
      <c r="A491" s="3"/>
      <c r="C491" s="293"/>
      <c r="D491" s="3"/>
      <c r="E491" s="57"/>
    </row>
    <row r="492" spans="1:5" ht="15.75" customHeight="1">
      <c r="A492" s="3"/>
      <c r="C492" s="293"/>
      <c r="D492" s="3"/>
      <c r="E492" s="57"/>
    </row>
    <row r="493" spans="1:5" ht="15.75" customHeight="1">
      <c r="A493" s="3"/>
      <c r="C493" s="293"/>
      <c r="D493" s="3"/>
      <c r="E493" s="57"/>
    </row>
    <row r="494" spans="1:5" ht="15.75" customHeight="1">
      <c r="A494" s="3"/>
      <c r="C494" s="293"/>
      <c r="D494" s="3"/>
      <c r="E494" s="57"/>
    </row>
    <row r="495" spans="1:5" ht="15.75" customHeight="1">
      <c r="A495" s="3"/>
      <c r="C495" s="293"/>
      <c r="D495" s="3"/>
      <c r="E495" s="57"/>
    </row>
    <row r="496" spans="1:5" ht="15.75" customHeight="1">
      <c r="A496" s="3"/>
      <c r="C496" s="293"/>
      <c r="D496" s="3"/>
      <c r="E496" s="57"/>
    </row>
    <row r="497" spans="1:5" ht="15.75" customHeight="1">
      <c r="A497" s="3"/>
      <c r="C497" s="293"/>
      <c r="D497" s="3"/>
      <c r="E497" s="57"/>
    </row>
    <row r="498" spans="1:5" ht="15.75" customHeight="1">
      <c r="A498" s="3"/>
      <c r="C498" s="293"/>
      <c r="D498" s="3"/>
      <c r="E498" s="57"/>
    </row>
    <row r="499" spans="1:5" ht="15.75" customHeight="1">
      <c r="A499" s="3"/>
      <c r="C499" s="293"/>
      <c r="D499" s="3"/>
      <c r="E499" s="57"/>
    </row>
    <row r="500" spans="1:5" ht="15.75" customHeight="1">
      <c r="A500" s="3"/>
      <c r="C500" s="293"/>
      <c r="D500" s="3"/>
      <c r="E500" s="57"/>
    </row>
    <row r="501" spans="1:5" ht="15.75" customHeight="1">
      <c r="A501" s="3"/>
      <c r="C501" s="293"/>
      <c r="D501" s="3"/>
      <c r="E501" s="57"/>
    </row>
    <row r="502" spans="1:5" ht="15.75" customHeight="1">
      <c r="A502" s="3"/>
      <c r="C502" s="293"/>
      <c r="D502" s="3"/>
      <c r="E502" s="57"/>
    </row>
    <row r="503" spans="1:5" ht="15.75" customHeight="1">
      <c r="A503" s="3"/>
      <c r="C503" s="293"/>
      <c r="D503" s="3"/>
      <c r="E503" s="57"/>
    </row>
    <row r="504" spans="1:5" ht="15.75" customHeight="1">
      <c r="A504" s="3"/>
      <c r="C504" s="293"/>
      <c r="D504" s="3"/>
      <c r="E504" s="57"/>
    </row>
    <row r="505" spans="1:5" ht="15.75" customHeight="1">
      <c r="A505" s="3"/>
      <c r="C505" s="293"/>
      <c r="D505" s="3"/>
      <c r="E505" s="57"/>
    </row>
    <row r="506" spans="1:5" ht="15.75" customHeight="1">
      <c r="A506" s="3"/>
      <c r="C506" s="293"/>
      <c r="D506" s="3"/>
      <c r="E506" s="57"/>
    </row>
    <row r="507" spans="1:5" ht="15.75" customHeight="1">
      <c r="A507" s="3"/>
      <c r="C507" s="293"/>
      <c r="D507" s="3"/>
      <c r="E507" s="57"/>
    </row>
    <row r="508" spans="1:5" ht="15.75" customHeight="1">
      <c r="A508" s="3"/>
      <c r="C508" s="293"/>
      <c r="D508" s="3"/>
      <c r="E508" s="57"/>
    </row>
    <row r="509" spans="1:5" ht="15.75" customHeight="1">
      <c r="A509" s="3"/>
      <c r="C509" s="293"/>
      <c r="D509" s="3"/>
      <c r="E509" s="57"/>
    </row>
    <row r="510" spans="1:5" ht="15.75" customHeight="1">
      <c r="A510" s="3"/>
      <c r="C510" s="293"/>
      <c r="D510" s="3"/>
      <c r="E510" s="57"/>
    </row>
    <row r="511" spans="1:5" ht="15.75" customHeight="1">
      <c r="A511" s="3"/>
      <c r="C511" s="293"/>
      <c r="D511" s="3"/>
      <c r="E511" s="57"/>
    </row>
    <row r="512" spans="1:5" ht="15.75" customHeight="1">
      <c r="A512" s="3"/>
      <c r="C512" s="293"/>
      <c r="D512" s="3"/>
      <c r="E512" s="57"/>
    </row>
    <row r="513" spans="1:5" ht="15.75" customHeight="1">
      <c r="A513" s="3"/>
      <c r="C513" s="293"/>
      <c r="D513" s="3"/>
      <c r="E513" s="57"/>
    </row>
    <row r="514" spans="1:5" ht="15.75" customHeight="1">
      <c r="A514" s="3"/>
      <c r="C514" s="293"/>
      <c r="D514" s="3"/>
      <c r="E514" s="57"/>
    </row>
    <row r="515" spans="1:5" ht="15.75" customHeight="1">
      <c r="A515" s="3"/>
      <c r="C515" s="293"/>
      <c r="D515" s="3"/>
      <c r="E515" s="57"/>
    </row>
    <row r="516" spans="1:5" ht="15.75" customHeight="1">
      <c r="A516" s="3"/>
      <c r="C516" s="293"/>
      <c r="D516" s="3"/>
      <c r="E516" s="57"/>
    </row>
    <row r="517" spans="1:5" ht="15.75" customHeight="1">
      <c r="A517" s="3"/>
      <c r="C517" s="293"/>
      <c r="D517" s="3"/>
      <c r="E517" s="57"/>
    </row>
    <row r="518" spans="1:5" ht="15.75" customHeight="1">
      <c r="A518" s="3"/>
      <c r="C518" s="293"/>
      <c r="D518" s="3"/>
      <c r="E518" s="57"/>
    </row>
    <row r="519" spans="1:5" ht="15.75" customHeight="1">
      <c r="A519" s="3"/>
      <c r="C519" s="293"/>
      <c r="D519" s="3"/>
      <c r="E519" s="57"/>
    </row>
    <row r="520" spans="1:5" ht="15.75" customHeight="1">
      <c r="A520" s="3"/>
      <c r="C520" s="293"/>
      <c r="D520" s="3"/>
      <c r="E520" s="57"/>
    </row>
    <row r="521" spans="1:5" ht="15.75" customHeight="1">
      <c r="A521" s="3"/>
      <c r="C521" s="293"/>
      <c r="D521" s="3"/>
      <c r="E521" s="57"/>
    </row>
    <row r="522" spans="1:5" ht="15.75" customHeight="1">
      <c r="A522" s="3"/>
      <c r="C522" s="293"/>
      <c r="D522" s="3"/>
      <c r="E522" s="57"/>
    </row>
    <row r="523" spans="1:5" ht="15.75" customHeight="1">
      <c r="A523" s="3"/>
      <c r="C523" s="293"/>
      <c r="D523" s="3"/>
      <c r="E523" s="57"/>
    </row>
    <row r="524" spans="1:5" ht="15.75" customHeight="1">
      <c r="A524" s="3"/>
      <c r="C524" s="293"/>
      <c r="D524" s="3"/>
      <c r="E524" s="57"/>
    </row>
    <row r="525" spans="1:5" ht="15.75" customHeight="1">
      <c r="A525" s="3"/>
      <c r="C525" s="293"/>
      <c r="D525" s="3"/>
      <c r="E525" s="57"/>
    </row>
    <row r="526" spans="1:5" ht="15.75" customHeight="1">
      <c r="A526" s="3"/>
      <c r="C526" s="293"/>
      <c r="D526" s="3"/>
      <c r="E526" s="57"/>
    </row>
    <row r="527" spans="1:5" ht="15.75" customHeight="1">
      <c r="A527" s="3"/>
      <c r="C527" s="293"/>
      <c r="D527" s="3"/>
      <c r="E527" s="57"/>
    </row>
    <row r="528" spans="1:5" ht="15.75" customHeight="1">
      <c r="A528" s="3"/>
      <c r="C528" s="293"/>
      <c r="D528" s="3"/>
      <c r="E528" s="57"/>
    </row>
    <row r="529" spans="1:5" ht="15.75" customHeight="1">
      <c r="A529" s="3"/>
      <c r="C529" s="293"/>
      <c r="D529" s="3"/>
      <c r="E529" s="57"/>
    </row>
    <row r="530" spans="1:5" ht="15.75" customHeight="1">
      <c r="A530" s="3"/>
      <c r="C530" s="293"/>
      <c r="D530" s="3"/>
      <c r="E530" s="57"/>
    </row>
    <row r="531" spans="1:5" ht="15.75" customHeight="1">
      <c r="A531" s="3"/>
      <c r="C531" s="293"/>
      <c r="D531" s="3"/>
      <c r="E531" s="57"/>
    </row>
    <row r="532" spans="1:5" ht="15.75" customHeight="1">
      <c r="A532" s="3"/>
      <c r="C532" s="293"/>
      <c r="D532" s="3"/>
      <c r="E532" s="57"/>
    </row>
    <row r="533" spans="1:5" ht="15.75" customHeight="1">
      <c r="A533" s="3"/>
      <c r="C533" s="293"/>
      <c r="D533" s="3"/>
      <c r="E533" s="57"/>
    </row>
    <row r="534" spans="1:5" ht="15.75" customHeight="1">
      <c r="A534" s="3"/>
      <c r="C534" s="293"/>
      <c r="D534" s="3"/>
      <c r="E534" s="57"/>
    </row>
    <row r="535" spans="1:5" ht="15.75" customHeight="1">
      <c r="A535" s="3"/>
      <c r="C535" s="293"/>
      <c r="D535" s="3"/>
      <c r="E535" s="57"/>
    </row>
    <row r="536" spans="1:5" ht="15.75" customHeight="1">
      <c r="A536" s="3"/>
      <c r="C536" s="293"/>
      <c r="D536" s="3"/>
      <c r="E536" s="57"/>
    </row>
    <row r="537" spans="1:5" ht="15.75" customHeight="1">
      <c r="A537" s="3"/>
      <c r="C537" s="293"/>
      <c r="D537" s="3"/>
      <c r="E537" s="57"/>
    </row>
    <row r="538" spans="1:5" ht="15.75" customHeight="1">
      <c r="A538" s="3"/>
      <c r="C538" s="293"/>
      <c r="D538" s="3"/>
      <c r="E538" s="57"/>
    </row>
    <row r="539" spans="1:5" ht="15.75" customHeight="1">
      <c r="A539" s="3"/>
      <c r="C539" s="293"/>
      <c r="D539" s="3"/>
      <c r="E539" s="57"/>
    </row>
    <row r="540" spans="1:5" ht="15.75" customHeight="1">
      <c r="A540" s="3"/>
      <c r="C540" s="293"/>
      <c r="D540" s="3"/>
      <c r="E540" s="57"/>
    </row>
    <row r="541" spans="1:5" ht="15.75" customHeight="1">
      <c r="A541" s="3"/>
      <c r="C541" s="293"/>
      <c r="D541" s="3"/>
      <c r="E541" s="57"/>
    </row>
    <row r="542" spans="1:5" ht="15.75" customHeight="1">
      <c r="A542" s="3"/>
      <c r="C542" s="293"/>
      <c r="D542" s="3"/>
      <c r="E542" s="57"/>
    </row>
    <row r="543" spans="1:5" ht="15.75" customHeight="1">
      <c r="A543" s="3"/>
      <c r="C543" s="293"/>
      <c r="D543" s="3"/>
      <c r="E543" s="57"/>
    </row>
    <row r="544" spans="1:5" ht="15.75" customHeight="1">
      <c r="A544" s="3"/>
      <c r="C544" s="293"/>
      <c r="D544" s="3"/>
      <c r="E544" s="57"/>
    </row>
    <row r="545" spans="1:5" ht="15.75" customHeight="1">
      <c r="A545" s="3"/>
      <c r="C545" s="293"/>
      <c r="D545" s="3"/>
      <c r="E545" s="57"/>
    </row>
    <row r="546" spans="1:5" ht="15.75" customHeight="1">
      <c r="A546" s="3"/>
      <c r="C546" s="293"/>
      <c r="D546" s="3"/>
      <c r="E546" s="57"/>
    </row>
    <row r="547" spans="1:5" ht="15.75" customHeight="1">
      <c r="A547" s="3"/>
      <c r="C547" s="293"/>
      <c r="D547" s="3"/>
      <c r="E547" s="57"/>
    </row>
    <row r="548" spans="1:5" ht="15.75" customHeight="1">
      <c r="A548" s="3"/>
      <c r="C548" s="293"/>
      <c r="D548" s="3"/>
      <c r="E548" s="57"/>
    </row>
    <row r="549" spans="1:5" ht="15.75" customHeight="1">
      <c r="A549" s="3"/>
      <c r="C549" s="293"/>
      <c r="D549" s="3"/>
      <c r="E549" s="57"/>
    </row>
    <row r="550" spans="1:5" ht="15.75" customHeight="1">
      <c r="A550" s="3"/>
      <c r="C550" s="293"/>
      <c r="D550" s="3"/>
      <c r="E550" s="57"/>
    </row>
    <row r="551" spans="1:5" ht="15.75" customHeight="1">
      <c r="A551" s="3"/>
      <c r="C551" s="293"/>
      <c r="D551" s="3"/>
      <c r="E551" s="57"/>
    </row>
    <row r="552" spans="1:5" ht="15.75" customHeight="1">
      <c r="A552" s="3"/>
      <c r="C552" s="293"/>
      <c r="D552" s="3"/>
      <c r="E552" s="57"/>
    </row>
    <row r="553" spans="1:5" ht="15.75" customHeight="1">
      <c r="A553" s="3"/>
      <c r="C553" s="293"/>
      <c r="D553" s="3"/>
      <c r="E553" s="57"/>
    </row>
    <row r="554" spans="1:5" ht="15.75" customHeight="1">
      <c r="A554" s="3"/>
      <c r="C554" s="293"/>
      <c r="D554" s="3"/>
      <c r="E554" s="57"/>
    </row>
    <row r="555" spans="1:5" ht="15.75" customHeight="1">
      <c r="A555" s="3"/>
      <c r="C555" s="293"/>
      <c r="D555" s="3"/>
      <c r="E555" s="57"/>
    </row>
    <row r="556" spans="1:5" ht="15.75" customHeight="1">
      <c r="A556" s="3"/>
      <c r="C556" s="293"/>
      <c r="D556" s="3"/>
      <c r="E556" s="57"/>
    </row>
    <row r="557" spans="1:5" ht="15.75" customHeight="1">
      <c r="A557" s="3"/>
      <c r="C557" s="293"/>
      <c r="D557" s="3"/>
      <c r="E557" s="57"/>
    </row>
    <row r="558" spans="1:5" ht="15.75" customHeight="1">
      <c r="A558" s="3"/>
      <c r="C558" s="293"/>
      <c r="D558" s="3"/>
      <c r="E558" s="57"/>
    </row>
    <row r="559" spans="1:5" ht="15.75" customHeight="1">
      <c r="A559" s="3"/>
      <c r="C559" s="293"/>
      <c r="D559" s="3"/>
      <c r="E559" s="57"/>
    </row>
    <row r="560" spans="1:5" ht="15.75" customHeight="1">
      <c r="A560" s="3"/>
      <c r="C560" s="293"/>
      <c r="D560" s="3"/>
      <c r="E560" s="57"/>
    </row>
    <row r="561" spans="1:5" ht="15.75" customHeight="1">
      <c r="A561" s="3"/>
      <c r="C561" s="293"/>
      <c r="D561" s="3"/>
      <c r="E561" s="57"/>
    </row>
    <row r="562" spans="1:5" ht="15.75" customHeight="1">
      <c r="A562" s="3"/>
      <c r="C562" s="293"/>
      <c r="D562" s="3"/>
      <c r="E562" s="57"/>
    </row>
    <row r="563" spans="1:5" ht="15.75" customHeight="1">
      <c r="A563" s="3"/>
      <c r="C563" s="293"/>
      <c r="D563" s="3"/>
      <c r="E563" s="57"/>
    </row>
    <row r="564" spans="1:5" ht="15.75" customHeight="1">
      <c r="A564" s="3"/>
      <c r="C564" s="293"/>
      <c r="D564" s="3"/>
      <c r="E564" s="57"/>
    </row>
    <row r="565" spans="1:5" ht="15.75" customHeight="1">
      <c r="A565" s="3"/>
      <c r="C565" s="293"/>
      <c r="D565" s="3"/>
      <c r="E565" s="57"/>
    </row>
    <row r="566" spans="1:5" ht="15.75" customHeight="1">
      <c r="A566" s="3"/>
      <c r="C566" s="293"/>
      <c r="D566" s="3"/>
      <c r="E566" s="57"/>
    </row>
    <row r="567" spans="1:5" ht="15.75" customHeight="1">
      <c r="A567" s="3"/>
      <c r="C567" s="293"/>
      <c r="D567" s="3"/>
      <c r="E567" s="57"/>
    </row>
    <row r="568" spans="1:5" ht="15.75" customHeight="1">
      <c r="A568" s="3"/>
      <c r="C568" s="293"/>
      <c r="D568" s="3"/>
      <c r="E568" s="57"/>
    </row>
    <row r="569" spans="1:5" ht="15.75" customHeight="1">
      <c r="A569" s="3"/>
      <c r="C569" s="293"/>
      <c r="D569" s="3"/>
      <c r="E569" s="57"/>
    </row>
    <row r="570" spans="1:5" ht="15.75" customHeight="1">
      <c r="A570" s="3"/>
      <c r="C570" s="293"/>
      <c r="D570" s="3"/>
      <c r="E570" s="57"/>
    </row>
    <row r="571" spans="1:5" ht="15.75" customHeight="1">
      <c r="A571" s="3"/>
      <c r="C571" s="293"/>
      <c r="D571" s="3"/>
      <c r="E571" s="57"/>
    </row>
    <row r="572" spans="1:5" ht="15.75" customHeight="1">
      <c r="A572" s="3"/>
      <c r="C572" s="293"/>
      <c r="D572" s="3"/>
      <c r="E572" s="57"/>
    </row>
    <row r="573" spans="1:5" ht="15.75" customHeight="1">
      <c r="A573" s="3"/>
      <c r="C573" s="293"/>
      <c r="D573" s="3"/>
      <c r="E573" s="57"/>
    </row>
    <row r="574" spans="1:5" ht="15.75" customHeight="1">
      <c r="A574" s="3"/>
      <c r="C574" s="293"/>
      <c r="D574" s="3"/>
      <c r="E574" s="57"/>
    </row>
    <row r="575" spans="1:5" ht="15.75" customHeight="1">
      <c r="A575" s="3"/>
      <c r="C575" s="293"/>
      <c r="D575" s="3"/>
      <c r="E575" s="57"/>
    </row>
    <row r="576" spans="1:5" ht="15.75" customHeight="1">
      <c r="A576" s="3"/>
      <c r="C576" s="293"/>
      <c r="D576" s="3"/>
      <c r="E576" s="57"/>
    </row>
    <row r="577" spans="1:5" ht="15.75" customHeight="1">
      <c r="A577" s="3"/>
      <c r="C577" s="293"/>
      <c r="D577" s="3"/>
      <c r="E577" s="57"/>
    </row>
    <row r="578" spans="1:5" ht="15.75" customHeight="1">
      <c r="A578" s="3"/>
      <c r="C578" s="293"/>
      <c r="D578" s="3"/>
      <c r="E578" s="57"/>
    </row>
    <row r="579" spans="1:5" ht="15.75" customHeight="1">
      <c r="A579" s="3"/>
      <c r="C579" s="293"/>
      <c r="D579" s="3"/>
      <c r="E579" s="57"/>
    </row>
    <row r="580" spans="1:5" ht="15.75" customHeight="1">
      <c r="A580" s="3"/>
      <c r="C580" s="293"/>
      <c r="D580" s="3"/>
      <c r="E580" s="57"/>
    </row>
    <row r="581" spans="1:5" ht="15.75" customHeight="1">
      <c r="A581" s="3"/>
      <c r="C581" s="293"/>
      <c r="D581" s="3"/>
      <c r="E581" s="57"/>
    </row>
    <row r="582" spans="1:5" ht="15.75" customHeight="1">
      <c r="A582" s="3"/>
      <c r="C582" s="293"/>
      <c r="D582" s="3"/>
      <c r="E582" s="57"/>
    </row>
    <row r="583" spans="1:5" ht="15.75" customHeight="1">
      <c r="A583" s="3"/>
      <c r="C583" s="293"/>
      <c r="D583" s="3"/>
      <c r="E583" s="57"/>
    </row>
    <row r="584" spans="1:5" ht="15.75" customHeight="1">
      <c r="A584" s="3"/>
      <c r="C584" s="293"/>
      <c r="D584" s="3"/>
      <c r="E584" s="57"/>
    </row>
    <row r="585" spans="1:5" ht="15.75" customHeight="1">
      <c r="A585" s="3"/>
      <c r="C585" s="293"/>
      <c r="D585" s="3"/>
      <c r="E585" s="57"/>
    </row>
    <row r="586" spans="1:5" ht="15.75" customHeight="1">
      <c r="A586" s="3"/>
      <c r="C586" s="293"/>
      <c r="D586" s="3"/>
      <c r="E586" s="57"/>
    </row>
    <row r="587" spans="1:5" ht="15.75" customHeight="1">
      <c r="A587" s="3"/>
      <c r="C587" s="293"/>
      <c r="D587" s="3"/>
      <c r="E587" s="57"/>
    </row>
    <row r="588" spans="1:5" ht="15.75" customHeight="1">
      <c r="A588" s="3"/>
      <c r="C588" s="293"/>
      <c r="D588" s="3"/>
      <c r="E588" s="57"/>
    </row>
    <row r="589" spans="1:5" ht="15.75" customHeight="1">
      <c r="A589" s="3"/>
      <c r="C589" s="293"/>
      <c r="D589" s="3"/>
      <c r="E589" s="57"/>
    </row>
    <row r="590" spans="1:5" ht="15.75" customHeight="1">
      <c r="A590" s="3"/>
      <c r="C590" s="293"/>
      <c r="D590" s="3"/>
      <c r="E590" s="57"/>
    </row>
    <row r="591" spans="1:5" ht="15.75" customHeight="1">
      <c r="A591" s="3"/>
      <c r="C591" s="293"/>
      <c r="D591" s="3"/>
      <c r="E591" s="57"/>
    </row>
    <row r="592" spans="1:5" ht="15.75" customHeight="1">
      <c r="A592" s="3"/>
      <c r="C592" s="293"/>
      <c r="D592" s="3"/>
      <c r="E592" s="57"/>
    </row>
    <row r="593" spans="1:5" ht="15.75" customHeight="1">
      <c r="A593" s="3"/>
      <c r="C593" s="293"/>
      <c r="D593" s="3"/>
      <c r="E593" s="57"/>
    </row>
    <row r="594" spans="1:5" ht="15.75" customHeight="1">
      <c r="A594" s="3"/>
      <c r="C594" s="293"/>
      <c r="D594" s="3"/>
      <c r="E594" s="57"/>
    </row>
    <row r="595" spans="1:5" ht="15.75" customHeight="1">
      <c r="A595" s="3"/>
      <c r="C595" s="293"/>
      <c r="D595" s="3"/>
      <c r="E595" s="57"/>
    </row>
    <row r="596" spans="1:5" ht="15.75" customHeight="1">
      <c r="A596" s="3"/>
      <c r="C596" s="293"/>
      <c r="D596" s="3"/>
      <c r="E596" s="57"/>
    </row>
    <row r="597" spans="1:5" ht="15.75" customHeight="1">
      <c r="A597" s="3"/>
      <c r="C597" s="293"/>
      <c r="D597" s="3"/>
      <c r="E597" s="57"/>
    </row>
    <row r="598" spans="1:5" ht="15.75" customHeight="1">
      <c r="A598" s="3"/>
      <c r="C598" s="293"/>
      <c r="D598" s="3"/>
      <c r="E598" s="57"/>
    </row>
    <row r="599" spans="1:5" ht="15.75" customHeight="1">
      <c r="A599" s="3"/>
      <c r="C599" s="293"/>
      <c r="D599" s="3"/>
      <c r="E599" s="57"/>
    </row>
    <row r="600" spans="1:5" ht="15.75" customHeight="1">
      <c r="A600" s="3"/>
      <c r="C600" s="293"/>
      <c r="D600" s="3"/>
      <c r="E600" s="57"/>
    </row>
    <row r="601" spans="1:5" ht="15.75" customHeight="1">
      <c r="A601" s="3"/>
      <c r="C601" s="293"/>
      <c r="D601" s="3"/>
      <c r="E601" s="57"/>
    </row>
    <row r="602" spans="1:5" ht="15.75" customHeight="1">
      <c r="A602" s="3"/>
      <c r="C602" s="293"/>
      <c r="D602" s="3"/>
      <c r="E602" s="57"/>
    </row>
    <row r="603" spans="1:5" ht="15.75" customHeight="1">
      <c r="A603" s="3"/>
      <c r="C603" s="293"/>
      <c r="D603" s="3"/>
      <c r="E603" s="57"/>
    </row>
    <row r="604" spans="1:5" ht="15.75" customHeight="1">
      <c r="A604" s="3"/>
      <c r="C604" s="293"/>
      <c r="D604" s="3"/>
      <c r="E604" s="57"/>
    </row>
    <row r="605" spans="1:5" ht="15.75" customHeight="1">
      <c r="A605" s="3"/>
      <c r="C605" s="293"/>
      <c r="D605" s="3"/>
      <c r="E605" s="57"/>
    </row>
    <row r="606" spans="1:5" ht="15.75" customHeight="1">
      <c r="A606" s="3"/>
      <c r="C606" s="293"/>
      <c r="D606" s="3"/>
      <c r="E606" s="57"/>
    </row>
    <row r="607" spans="1:5" ht="15.75" customHeight="1">
      <c r="A607" s="3"/>
      <c r="C607" s="293"/>
      <c r="D607" s="3"/>
      <c r="E607" s="57"/>
    </row>
    <row r="608" spans="1:5" ht="15.75" customHeight="1">
      <c r="A608" s="3"/>
      <c r="C608" s="293"/>
      <c r="D608" s="3"/>
      <c r="E608" s="57"/>
    </row>
    <row r="609" spans="1:5" ht="15.75" customHeight="1">
      <c r="A609" s="3"/>
      <c r="C609" s="293"/>
      <c r="D609" s="3"/>
      <c r="E609" s="57"/>
    </row>
    <row r="610" spans="1:5" ht="15.75" customHeight="1">
      <c r="A610" s="3"/>
      <c r="C610" s="293"/>
      <c r="D610" s="3"/>
      <c r="E610" s="57"/>
    </row>
    <row r="611" spans="1:5" ht="15.75" customHeight="1">
      <c r="A611" s="3"/>
      <c r="C611" s="293"/>
      <c r="D611" s="3"/>
      <c r="E611" s="57"/>
    </row>
    <row r="612" spans="1:5" ht="15.75" customHeight="1">
      <c r="A612" s="3"/>
      <c r="C612" s="293"/>
      <c r="D612" s="3"/>
      <c r="E612" s="57"/>
    </row>
    <row r="613" spans="1:5" ht="15.75" customHeight="1">
      <c r="A613" s="3"/>
      <c r="C613" s="293"/>
      <c r="D613" s="3"/>
      <c r="E613" s="57"/>
    </row>
    <row r="614" spans="1:5" ht="15.75" customHeight="1">
      <c r="A614" s="3"/>
      <c r="C614" s="293"/>
      <c r="D614" s="3"/>
      <c r="E614" s="57"/>
    </row>
    <row r="615" spans="1:5" ht="15.75" customHeight="1">
      <c r="A615" s="3"/>
      <c r="C615" s="293"/>
      <c r="D615" s="3"/>
      <c r="E615" s="57"/>
    </row>
    <row r="616" spans="1:5" ht="15.75" customHeight="1">
      <c r="A616" s="3"/>
      <c r="C616" s="293"/>
      <c r="D616" s="3"/>
      <c r="E616" s="57"/>
    </row>
    <row r="617" spans="1:5" ht="15.75" customHeight="1">
      <c r="A617" s="3"/>
      <c r="C617" s="293"/>
      <c r="D617" s="3"/>
      <c r="E617" s="57"/>
    </row>
    <row r="618" spans="1:5" ht="15.75" customHeight="1">
      <c r="A618" s="3"/>
      <c r="C618" s="293"/>
      <c r="D618" s="3"/>
      <c r="E618" s="57"/>
    </row>
    <row r="619" spans="1:5" ht="15.75" customHeight="1">
      <c r="A619" s="3"/>
      <c r="C619" s="293"/>
      <c r="D619" s="3"/>
      <c r="E619" s="57"/>
    </row>
    <row r="620" spans="1:5" ht="15.75" customHeight="1">
      <c r="A620" s="3"/>
      <c r="C620" s="293"/>
      <c r="D620" s="3"/>
      <c r="E620" s="57"/>
    </row>
    <row r="621" spans="1:5" ht="15.75" customHeight="1">
      <c r="A621" s="3"/>
      <c r="C621" s="293"/>
      <c r="D621" s="3"/>
      <c r="E621" s="57"/>
    </row>
    <row r="622" spans="1:5" ht="15.75" customHeight="1">
      <c r="A622" s="3"/>
      <c r="C622" s="293"/>
      <c r="D622" s="3"/>
      <c r="E622" s="57"/>
    </row>
    <row r="623" spans="1:5" ht="15.75" customHeight="1">
      <c r="A623" s="3"/>
      <c r="C623" s="293"/>
      <c r="D623" s="3"/>
      <c r="E623" s="57"/>
    </row>
    <row r="624" spans="1:5" ht="15.75" customHeight="1">
      <c r="A624" s="3"/>
      <c r="C624" s="293"/>
      <c r="D624" s="3"/>
      <c r="E624" s="57"/>
    </row>
    <row r="625" spans="1:5" ht="15.75" customHeight="1">
      <c r="A625" s="3"/>
      <c r="C625" s="293"/>
      <c r="D625" s="3"/>
      <c r="E625" s="57"/>
    </row>
    <row r="626" spans="1:5" ht="15.75" customHeight="1">
      <c r="A626" s="3"/>
      <c r="C626" s="293"/>
      <c r="D626" s="3"/>
      <c r="E626" s="57"/>
    </row>
    <row r="627" spans="1:5" ht="15.75" customHeight="1">
      <c r="A627" s="3"/>
      <c r="C627" s="293"/>
      <c r="D627" s="3"/>
      <c r="E627" s="57"/>
    </row>
    <row r="628" spans="1:5" ht="15.75" customHeight="1">
      <c r="A628" s="3"/>
      <c r="C628" s="293"/>
      <c r="D628" s="3"/>
      <c r="E628" s="57"/>
    </row>
    <row r="629" spans="1:5" ht="15.75" customHeight="1">
      <c r="A629" s="3"/>
      <c r="C629" s="293"/>
      <c r="D629" s="3"/>
      <c r="E629" s="57"/>
    </row>
    <row r="630" spans="1:5" ht="15.75" customHeight="1">
      <c r="A630" s="3"/>
      <c r="C630" s="293"/>
      <c r="D630" s="3"/>
      <c r="E630" s="57"/>
    </row>
    <row r="631" spans="1:5" ht="15.75" customHeight="1">
      <c r="A631" s="3"/>
      <c r="C631" s="293"/>
      <c r="D631" s="3"/>
      <c r="E631" s="57"/>
    </row>
    <row r="632" spans="1:5" ht="15.75" customHeight="1">
      <c r="A632" s="3"/>
      <c r="C632" s="293"/>
      <c r="D632" s="3"/>
      <c r="E632" s="57"/>
    </row>
    <row r="633" spans="1:5" ht="15.75" customHeight="1">
      <c r="A633" s="3"/>
      <c r="C633" s="293"/>
      <c r="D633" s="3"/>
      <c r="E633" s="57"/>
    </row>
    <row r="634" spans="1:5" ht="15.75" customHeight="1">
      <c r="A634" s="3"/>
      <c r="C634" s="293"/>
      <c r="D634" s="3"/>
      <c r="E634" s="57"/>
    </row>
    <row r="635" spans="1:5" ht="15.75" customHeight="1">
      <c r="A635" s="3"/>
      <c r="C635" s="293"/>
      <c r="D635" s="3"/>
      <c r="E635" s="57"/>
    </row>
    <row r="636" spans="1:5" ht="15.75" customHeight="1">
      <c r="A636" s="3"/>
      <c r="C636" s="293"/>
      <c r="D636" s="3"/>
      <c r="E636" s="57"/>
    </row>
    <row r="637" spans="1:5" ht="15.75" customHeight="1">
      <c r="A637" s="3"/>
      <c r="C637" s="293"/>
      <c r="D637" s="3"/>
      <c r="E637" s="57"/>
    </row>
    <row r="638" spans="1:5" ht="15.75" customHeight="1">
      <c r="A638" s="3"/>
      <c r="C638" s="293"/>
      <c r="D638" s="3"/>
      <c r="E638" s="57"/>
    </row>
    <row r="639" spans="1:5" ht="15.75" customHeight="1">
      <c r="A639" s="3"/>
      <c r="C639" s="293"/>
      <c r="D639" s="3"/>
      <c r="E639" s="57"/>
    </row>
    <row r="640" spans="1:5" ht="15.75" customHeight="1">
      <c r="A640" s="3"/>
      <c r="C640" s="293"/>
      <c r="D640" s="3"/>
      <c r="E640" s="57"/>
    </row>
    <row r="641" spans="1:5" ht="15.75" customHeight="1">
      <c r="A641" s="3"/>
      <c r="C641" s="293"/>
      <c r="D641" s="3"/>
      <c r="E641" s="57"/>
    </row>
    <row r="642" spans="1:5" ht="15.75" customHeight="1">
      <c r="A642" s="3"/>
      <c r="C642" s="293"/>
      <c r="D642" s="3"/>
      <c r="E642" s="57"/>
    </row>
    <row r="643" spans="1:5" ht="15.75" customHeight="1">
      <c r="A643" s="3"/>
      <c r="C643" s="293"/>
      <c r="D643" s="3"/>
      <c r="E643" s="57"/>
    </row>
    <row r="644" spans="1:5" ht="15.75" customHeight="1">
      <c r="A644" s="3"/>
      <c r="C644" s="293"/>
      <c r="D644" s="3"/>
      <c r="E644" s="57"/>
    </row>
    <row r="645" spans="1:5" ht="15.75" customHeight="1">
      <c r="A645" s="3"/>
      <c r="C645" s="293"/>
      <c r="D645" s="3"/>
      <c r="E645" s="57"/>
    </row>
    <row r="646" spans="1:5" ht="15.75" customHeight="1">
      <c r="A646" s="3"/>
      <c r="C646" s="293"/>
      <c r="D646" s="3"/>
      <c r="E646" s="57"/>
    </row>
    <row r="647" spans="1:5" ht="15.75" customHeight="1">
      <c r="A647" s="3"/>
      <c r="C647" s="293"/>
      <c r="D647" s="3"/>
      <c r="E647" s="57"/>
    </row>
    <row r="648" spans="1:5" ht="15.75" customHeight="1">
      <c r="A648" s="3"/>
      <c r="C648" s="293"/>
      <c r="D648" s="3"/>
      <c r="E648" s="57"/>
    </row>
    <row r="649" spans="1:5" ht="15.75" customHeight="1">
      <c r="A649" s="3"/>
      <c r="C649" s="293"/>
      <c r="D649" s="3"/>
      <c r="E649" s="57"/>
    </row>
    <row r="650" spans="1:5" ht="15.75" customHeight="1">
      <c r="A650" s="3"/>
      <c r="C650" s="293"/>
      <c r="D650" s="3"/>
      <c r="E650" s="57"/>
    </row>
    <row r="651" spans="1:5" ht="15.75" customHeight="1">
      <c r="A651" s="3"/>
      <c r="C651" s="293"/>
      <c r="D651" s="3"/>
      <c r="E651" s="57"/>
    </row>
    <row r="652" spans="1:5" ht="15.75" customHeight="1">
      <c r="A652" s="3"/>
      <c r="C652" s="293"/>
      <c r="D652" s="3"/>
      <c r="E652" s="57"/>
    </row>
    <row r="653" spans="1:5" ht="15.75" customHeight="1">
      <c r="A653" s="3"/>
      <c r="C653" s="293"/>
      <c r="D653" s="3"/>
      <c r="E653" s="57"/>
    </row>
    <row r="654" spans="1:5" ht="15.75" customHeight="1">
      <c r="A654" s="3"/>
      <c r="C654" s="293"/>
      <c r="D654" s="3"/>
      <c r="E654" s="57"/>
    </row>
    <row r="655" spans="1:5" ht="15.75" customHeight="1">
      <c r="A655" s="3"/>
      <c r="C655" s="293"/>
      <c r="D655" s="3"/>
      <c r="E655" s="57"/>
    </row>
    <row r="656" spans="1:5" ht="15.75" customHeight="1">
      <c r="A656" s="3"/>
      <c r="C656" s="293"/>
      <c r="D656" s="3"/>
      <c r="E656" s="57"/>
    </row>
    <row r="657" spans="1:5" ht="15.75" customHeight="1">
      <c r="A657" s="3"/>
      <c r="C657" s="293"/>
      <c r="D657" s="3"/>
      <c r="E657" s="57"/>
    </row>
    <row r="658" spans="1:5" ht="15.75" customHeight="1">
      <c r="A658" s="3"/>
      <c r="C658" s="293"/>
      <c r="D658" s="3"/>
      <c r="E658" s="57"/>
    </row>
    <row r="659" spans="1:5" ht="15.75" customHeight="1">
      <c r="A659" s="3"/>
      <c r="C659" s="293"/>
      <c r="D659" s="3"/>
      <c r="E659" s="57"/>
    </row>
    <row r="660" spans="1:5" ht="15.75" customHeight="1">
      <c r="A660" s="3"/>
      <c r="C660" s="293"/>
      <c r="D660" s="3"/>
      <c r="E660" s="57"/>
    </row>
    <row r="661" spans="1:5" ht="15.75" customHeight="1">
      <c r="A661" s="3"/>
      <c r="C661" s="293"/>
      <c r="D661" s="3"/>
      <c r="E661" s="57"/>
    </row>
    <row r="662" spans="1:5" ht="15.75" customHeight="1">
      <c r="A662" s="3"/>
      <c r="C662" s="293"/>
      <c r="D662" s="3"/>
      <c r="E662" s="57"/>
    </row>
    <row r="663" spans="1:5" ht="15.75" customHeight="1">
      <c r="A663" s="3"/>
      <c r="C663" s="293"/>
      <c r="D663" s="3"/>
      <c r="E663" s="57"/>
    </row>
    <row r="664" spans="1:5" ht="15.75" customHeight="1">
      <c r="A664" s="3"/>
      <c r="C664" s="293"/>
      <c r="D664" s="3"/>
      <c r="E664" s="57"/>
    </row>
    <row r="665" spans="1:5" ht="15.75" customHeight="1">
      <c r="A665" s="3"/>
      <c r="C665" s="293"/>
      <c r="D665" s="3"/>
      <c r="E665" s="57"/>
    </row>
    <row r="666" spans="1:5" ht="15.75" customHeight="1">
      <c r="A666" s="3"/>
      <c r="C666" s="293"/>
      <c r="D666" s="3"/>
      <c r="E666" s="57"/>
    </row>
    <row r="667" spans="1:5" ht="15.75" customHeight="1">
      <c r="A667" s="3"/>
      <c r="C667" s="293"/>
      <c r="D667" s="3"/>
      <c r="E667" s="57"/>
    </row>
    <row r="668" spans="1:5" ht="15.75" customHeight="1">
      <c r="A668" s="3"/>
      <c r="C668" s="293"/>
      <c r="D668" s="3"/>
      <c r="E668" s="57"/>
    </row>
    <row r="669" spans="1:5" ht="15.75" customHeight="1">
      <c r="A669" s="3"/>
      <c r="C669" s="293"/>
      <c r="D669" s="3"/>
      <c r="E669" s="57"/>
    </row>
    <row r="670" spans="1:5" ht="15.75" customHeight="1">
      <c r="A670" s="3"/>
      <c r="C670" s="293"/>
      <c r="D670" s="3"/>
      <c r="E670" s="57"/>
    </row>
    <row r="671" spans="1:5" ht="15.75" customHeight="1">
      <c r="A671" s="3"/>
      <c r="C671" s="293"/>
      <c r="D671" s="3"/>
      <c r="E671" s="57"/>
    </row>
    <row r="672" spans="1:5" ht="15.75" customHeight="1">
      <c r="A672" s="3"/>
      <c r="C672" s="293"/>
      <c r="D672" s="3"/>
      <c r="E672" s="57"/>
    </row>
    <row r="673" spans="1:5" ht="15.75" customHeight="1">
      <c r="A673" s="3"/>
      <c r="C673" s="293"/>
      <c r="D673" s="3"/>
      <c r="E673" s="57"/>
    </row>
    <row r="674" spans="1:5" ht="15.75" customHeight="1">
      <c r="A674" s="3"/>
      <c r="C674" s="293"/>
      <c r="D674" s="3"/>
      <c r="E674" s="57"/>
    </row>
    <row r="675" spans="1:5" ht="15.75" customHeight="1">
      <c r="A675" s="3"/>
      <c r="C675" s="293"/>
      <c r="D675" s="3"/>
      <c r="E675" s="57"/>
    </row>
    <row r="676" spans="1:5" ht="15.75" customHeight="1">
      <c r="A676" s="3"/>
      <c r="C676" s="293"/>
      <c r="D676" s="3"/>
      <c r="E676" s="57"/>
    </row>
    <row r="677" spans="1:5" ht="15.75" customHeight="1">
      <c r="A677" s="3"/>
      <c r="C677" s="293"/>
      <c r="D677" s="3"/>
      <c r="E677" s="57"/>
    </row>
    <row r="678" spans="1:5" ht="15.75" customHeight="1">
      <c r="A678" s="3"/>
      <c r="C678" s="293"/>
      <c r="D678" s="3"/>
      <c r="E678" s="57"/>
    </row>
    <row r="679" spans="1:5" ht="15.75" customHeight="1">
      <c r="A679" s="3"/>
      <c r="C679" s="293"/>
      <c r="D679" s="3"/>
      <c r="E679" s="57"/>
    </row>
    <row r="680" spans="1:5" ht="15.75" customHeight="1">
      <c r="A680" s="3"/>
      <c r="C680" s="293"/>
      <c r="D680" s="3"/>
      <c r="E680" s="57"/>
    </row>
    <row r="681" spans="1:5" ht="15.75" customHeight="1">
      <c r="A681" s="3"/>
      <c r="C681" s="293"/>
      <c r="D681" s="3"/>
      <c r="E681" s="57"/>
    </row>
    <row r="682" spans="1:5" ht="15.75" customHeight="1">
      <c r="A682" s="3"/>
      <c r="C682" s="293"/>
      <c r="D682" s="3"/>
      <c r="E682" s="57"/>
    </row>
    <row r="683" spans="1:5" ht="15.75" customHeight="1">
      <c r="A683" s="3"/>
      <c r="C683" s="293"/>
      <c r="D683" s="3"/>
      <c r="E683" s="57"/>
    </row>
    <row r="684" spans="1:5" ht="15.75" customHeight="1">
      <c r="A684" s="3"/>
      <c r="C684" s="293"/>
      <c r="D684" s="3"/>
      <c r="E684" s="57"/>
    </row>
    <row r="685" spans="1:5" ht="15.75" customHeight="1">
      <c r="A685" s="3"/>
      <c r="C685" s="293"/>
      <c r="D685" s="3"/>
      <c r="E685" s="57"/>
    </row>
    <row r="686" spans="1:5" ht="15.75" customHeight="1">
      <c r="A686" s="3"/>
      <c r="C686" s="293"/>
      <c r="D686" s="3"/>
      <c r="E686" s="57"/>
    </row>
    <row r="687" spans="1:5" ht="15.75" customHeight="1">
      <c r="A687" s="3"/>
      <c r="C687" s="293"/>
      <c r="D687" s="3"/>
      <c r="E687" s="57"/>
    </row>
    <row r="688" spans="1:5" ht="15.75" customHeight="1">
      <c r="A688" s="3"/>
      <c r="C688" s="293"/>
      <c r="D688" s="3"/>
      <c r="E688" s="57"/>
    </row>
    <row r="689" spans="1:5" ht="15.75" customHeight="1">
      <c r="A689" s="3"/>
      <c r="C689" s="293"/>
      <c r="D689" s="3"/>
      <c r="E689" s="57"/>
    </row>
    <row r="690" spans="1:5" ht="15.75" customHeight="1">
      <c r="A690" s="3"/>
      <c r="C690" s="293"/>
      <c r="D690" s="3"/>
      <c r="E690" s="57"/>
    </row>
    <row r="691" spans="1:5" ht="15.75" customHeight="1">
      <c r="A691" s="3"/>
      <c r="C691" s="293"/>
      <c r="D691" s="3"/>
      <c r="E691" s="57"/>
    </row>
    <row r="692" spans="1:5" ht="15.75" customHeight="1">
      <c r="A692" s="3"/>
      <c r="C692" s="293"/>
      <c r="D692" s="3"/>
      <c r="E692" s="57"/>
    </row>
    <row r="693" spans="1:5" ht="15.75" customHeight="1">
      <c r="A693" s="3"/>
      <c r="C693" s="293"/>
      <c r="D693" s="3"/>
      <c r="E693" s="57"/>
    </row>
    <row r="694" spans="1:5" ht="15.75" customHeight="1">
      <c r="A694" s="3"/>
      <c r="C694" s="293"/>
      <c r="D694" s="3"/>
      <c r="E694" s="57"/>
    </row>
    <row r="695" spans="1:5" ht="15.75" customHeight="1">
      <c r="A695" s="3"/>
      <c r="C695" s="293"/>
      <c r="D695" s="3"/>
      <c r="E695" s="57"/>
    </row>
    <row r="696" spans="1:5" ht="15.75" customHeight="1">
      <c r="A696" s="3"/>
      <c r="C696" s="293"/>
      <c r="D696" s="3"/>
      <c r="E696" s="57"/>
    </row>
    <row r="697" spans="1:5" ht="15.75" customHeight="1">
      <c r="A697" s="3"/>
      <c r="C697" s="293"/>
      <c r="D697" s="3"/>
      <c r="E697" s="57"/>
    </row>
    <row r="698" spans="1:5" ht="15.75" customHeight="1">
      <c r="A698" s="3"/>
      <c r="C698" s="293"/>
      <c r="D698" s="3"/>
      <c r="E698" s="57"/>
    </row>
    <row r="699" spans="1:5" ht="15.75" customHeight="1">
      <c r="A699" s="3"/>
      <c r="C699" s="293"/>
      <c r="D699" s="3"/>
      <c r="E699" s="57"/>
    </row>
    <row r="700" spans="1:5" ht="15.75" customHeight="1">
      <c r="A700" s="3"/>
      <c r="C700" s="293"/>
      <c r="D700" s="3"/>
      <c r="E700" s="57"/>
    </row>
    <row r="701" spans="1:5" ht="15.75" customHeight="1">
      <c r="A701" s="3"/>
      <c r="C701" s="293"/>
      <c r="D701" s="3"/>
      <c r="E701" s="57"/>
    </row>
    <row r="702" spans="1:5" ht="15.75" customHeight="1">
      <c r="A702" s="3"/>
      <c r="C702" s="293"/>
      <c r="D702" s="3"/>
      <c r="E702" s="57"/>
    </row>
    <row r="703" spans="1:5" ht="15.75" customHeight="1">
      <c r="A703" s="3"/>
      <c r="C703" s="293"/>
      <c r="D703" s="3"/>
      <c r="E703" s="57"/>
    </row>
    <row r="704" spans="1:5" ht="15.75" customHeight="1">
      <c r="A704" s="3"/>
      <c r="C704" s="293"/>
      <c r="D704" s="3"/>
      <c r="E704" s="57"/>
    </row>
    <row r="705" spans="1:5" ht="15.75" customHeight="1">
      <c r="A705" s="3"/>
      <c r="C705" s="293"/>
      <c r="D705" s="3"/>
      <c r="E705" s="57"/>
    </row>
    <row r="706" spans="1:5" ht="15.75" customHeight="1">
      <c r="A706" s="3"/>
      <c r="C706" s="293"/>
      <c r="D706" s="3"/>
      <c r="E706" s="57"/>
    </row>
    <row r="707" spans="1:5" ht="15.75" customHeight="1">
      <c r="A707" s="3"/>
      <c r="C707" s="293"/>
      <c r="D707" s="3"/>
      <c r="E707" s="57"/>
    </row>
    <row r="708" spans="1:5" ht="15.75" customHeight="1">
      <c r="A708" s="3"/>
      <c r="C708" s="293"/>
      <c r="D708" s="3"/>
      <c r="E708" s="57"/>
    </row>
    <row r="709" spans="1:5" ht="15.75" customHeight="1">
      <c r="A709" s="3"/>
      <c r="C709" s="293"/>
      <c r="D709" s="3"/>
      <c r="E709" s="57"/>
    </row>
    <row r="710" spans="1:5" ht="15.75" customHeight="1">
      <c r="A710" s="3"/>
      <c r="C710" s="293"/>
      <c r="D710" s="3"/>
      <c r="E710" s="57"/>
    </row>
    <row r="711" spans="1:5" ht="15.75" customHeight="1">
      <c r="A711" s="3"/>
      <c r="C711" s="293"/>
      <c r="D711" s="3"/>
      <c r="E711" s="57"/>
    </row>
    <row r="712" spans="1:5" ht="15.75" customHeight="1">
      <c r="A712" s="3"/>
      <c r="C712" s="293"/>
      <c r="D712" s="3"/>
      <c r="E712" s="57"/>
    </row>
    <row r="713" spans="1:5" ht="15.75" customHeight="1">
      <c r="A713" s="3"/>
      <c r="C713" s="293"/>
      <c r="D713" s="3"/>
      <c r="E713" s="57"/>
    </row>
    <row r="714" spans="1:5" ht="15.75" customHeight="1">
      <c r="A714" s="3"/>
      <c r="C714" s="293"/>
      <c r="D714" s="3"/>
      <c r="E714" s="57"/>
    </row>
    <row r="715" spans="1:5" ht="15.75" customHeight="1">
      <c r="A715" s="3"/>
      <c r="C715" s="293"/>
      <c r="D715" s="3"/>
      <c r="E715" s="57"/>
    </row>
    <row r="716" spans="1:5" ht="15.75" customHeight="1">
      <c r="A716" s="3"/>
      <c r="C716" s="293"/>
      <c r="D716" s="3"/>
      <c r="E716" s="57"/>
    </row>
    <row r="717" spans="1:5" ht="15.75" customHeight="1">
      <c r="A717" s="3"/>
      <c r="C717" s="293"/>
      <c r="D717" s="3"/>
      <c r="E717" s="57"/>
    </row>
    <row r="718" spans="1:5" ht="15.75" customHeight="1">
      <c r="A718" s="3"/>
      <c r="C718" s="293"/>
      <c r="D718" s="3"/>
      <c r="E718" s="57"/>
    </row>
    <row r="719" spans="1:5" ht="15.75" customHeight="1">
      <c r="A719" s="3"/>
      <c r="C719" s="293"/>
      <c r="D719" s="3"/>
      <c r="E719" s="57"/>
    </row>
    <row r="720" spans="1:5" ht="15.75" customHeight="1">
      <c r="A720" s="3"/>
      <c r="C720" s="293"/>
      <c r="D720" s="3"/>
      <c r="E720" s="57"/>
    </row>
    <row r="721" spans="1:5" ht="15.75" customHeight="1">
      <c r="A721" s="3"/>
      <c r="C721" s="293"/>
      <c r="D721" s="3"/>
      <c r="E721" s="57"/>
    </row>
    <row r="722" spans="1:5" ht="15.75" customHeight="1">
      <c r="A722" s="3"/>
      <c r="C722" s="293"/>
      <c r="D722" s="3"/>
      <c r="E722" s="57"/>
    </row>
    <row r="723" spans="1:5" ht="15.75" customHeight="1">
      <c r="A723" s="3"/>
      <c r="C723" s="293"/>
      <c r="D723" s="3"/>
      <c r="E723" s="57"/>
    </row>
    <row r="724" spans="1:5" ht="15.75" customHeight="1">
      <c r="A724" s="3"/>
      <c r="C724" s="293"/>
      <c r="D724" s="3"/>
      <c r="E724" s="57"/>
    </row>
    <row r="725" spans="1:5" ht="15.75" customHeight="1">
      <c r="A725" s="3"/>
      <c r="C725" s="293"/>
      <c r="D725" s="3"/>
      <c r="E725" s="57"/>
    </row>
    <row r="726" spans="1:5" ht="15.75" customHeight="1">
      <c r="A726" s="3"/>
      <c r="C726" s="293"/>
      <c r="D726" s="3"/>
      <c r="E726" s="57"/>
    </row>
    <row r="727" spans="1:5" ht="15.75" customHeight="1">
      <c r="A727" s="3"/>
      <c r="C727" s="293"/>
      <c r="D727" s="3"/>
      <c r="E727" s="57"/>
    </row>
    <row r="728" spans="1:5" ht="15.75" customHeight="1">
      <c r="A728" s="3"/>
      <c r="C728" s="293"/>
      <c r="D728" s="3"/>
      <c r="E728" s="57"/>
    </row>
    <row r="729" spans="1:5" ht="15.75" customHeight="1">
      <c r="A729" s="3"/>
      <c r="C729" s="293"/>
      <c r="D729" s="3"/>
      <c r="E729" s="57"/>
    </row>
    <row r="730" spans="1:5" ht="15.75" customHeight="1">
      <c r="A730" s="3"/>
      <c r="C730" s="293"/>
      <c r="D730" s="3"/>
      <c r="E730" s="57"/>
    </row>
    <row r="731" spans="1:5" ht="15.75" customHeight="1">
      <c r="A731" s="3"/>
      <c r="C731" s="293"/>
      <c r="D731" s="3"/>
      <c r="E731" s="57"/>
    </row>
    <row r="732" spans="1:5" ht="15.75" customHeight="1">
      <c r="A732" s="3"/>
      <c r="C732" s="293"/>
      <c r="D732" s="3"/>
      <c r="E732" s="57"/>
    </row>
    <row r="733" spans="1:5" ht="15.75" customHeight="1">
      <c r="A733" s="3"/>
      <c r="C733" s="293"/>
      <c r="D733" s="3"/>
      <c r="E733" s="57"/>
    </row>
    <row r="734" spans="1:5" ht="15.75" customHeight="1">
      <c r="A734" s="3"/>
      <c r="C734" s="293"/>
      <c r="D734" s="3"/>
      <c r="E734" s="57"/>
    </row>
    <row r="735" spans="1:5" ht="15.75" customHeight="1">
      <c r="A735" s="3"/>
      <c r="C735" s="293"/>
      <c r="D735" s="3"/>
      <c r="E735" s="57"/>
    </row>
    <row r="736" spans="1:5" ht="15.75" customHeight="1">
      <c r="A736" s="3"/>
      <c r="C736" s="293"/>
      <c r="D736" s="3"/>
      <c r="E736" s="57"/>
    </row>
    <row r="737" spans="1:5" ht="15.75" customHeight="1">
      <c r="A737" s="3"/>
      <c r="C737" s="293"/>
      <c r="D737" s="3"/>
      <c r="E737" s="57"/>
    </row>
    <row r="738" spans="1:5" ht="15.75" customHeight="1">
      <c r="A738" s="3"/>
      <c r="C738" s="293"/>
      <c r="D738" s="3"/>
      <c r="E738" s="57"/>
    </row>
    <row r="739" spans="1:5" ht="15.75" customHeight="1">
      <c r="A739" s="3"/>
      <c r="C739" s="293"/>
      <c r="D739" s="3"/>
      <c r="E739" s="57"/>
    </row>
    <row r="740" spans="1:5" ht="15.75" customHeight="1">
      <c r="A740" s="3"/>
      <c r="C740" s="293"/>
      <c r="D740" s="3"/>
      <c r="E740" s="57"/>
    </row>
    <row r="741" spans="1:5" ht="15.75" customHeight="1">
      <c r="A741" s="3"/>
      <c r="C741" s="293"/>
      <c r="D741" s="3"/>
      <c r="E741" s="57"/>
    </row>
    <row r="742" spans="1:5" ht="15.75" customHeight="1">
      <c r="A742" s="3"/>
      <c r="C742" s="293"/>
      <c r="D742" s="3"/>
      <c r="E742" s="57"/>
    </row>
    <row r="743" spans="1:5" ht="15.75" customHeight="1">
      <c r="A743" s="3"/>
      <c r="C743" s="293"/>
      <c r="D743" s="3"/>
      <c r="E743" s="57"/>
    </row>
    <row r="744" spans="1:5" ht="15.75" customHeight="1">
      <c r="A744" s="3"/>
      <c r="C744" s="293"/>
      <c r="D744" s="3"/>
      <c r="E744" s="57"/>
    </row>
    <row r="745" spans="1:5" ht="15.75" customHeight="1">
      <c r="A745" s="3"/>
      <c r="C745" s="293"/>
      <c r="D745" s="3"/>
      <c r="E745" s="57"/>
    </row>
    <row r="746" spans="1:5" ht="15.75" customHeight="1">
      <c r="A746" s="3"/>
      <c r="C746" s="293"/>
      <c r="D746" s="3"/>
      <c r="E746" s="57"/>
    </row>
    <row r="747" spans="1:5" ht="15.75" customHeight="1">
      <c r="A747" s="3"/>
      <c r="C747" s="293"/>
      <c r="D747" s="3"/>
      <c r="E747" s="57"/>
    </row>
    <row r="748" spans="1:5" ht="15.75" customHeight="1">
      <c r="A748" s="3"/>
      <c r="C748" s="293"/>
      <c r="D748" s="3"/>
      <c r="E748" s="57"/>
    </row>
    <row r="749" spans="1:5" ht="15.75" customHeight="1">
      <c r="A749" s="3"/>
      <c r="C749" s="293"/>
      <c r="D749" s="3"/>
      <c r="E749" s="57"/>
    </row>
    <row r="750" spans="1:5" ht="15.75" customHeight="1">
      <c r="A750" s="3"/>
      <c r="C750" s="293"/>
      <c r="D750" s="3"/>
      <c r="E750" s="57"/>
    </row>
    <row r="751" spans="1:5" ht="15.75" customHeight="1">
      <c r="A751" s="3"/>
      <c r="C751" s="293"/>
      <c r="D751" s="3"/>
      <c r="E751" s="57"/>
    </row>
    <row r="752" spans="1:5" ht="15.75" customHeight="1">
      <c r="A752" s="3"/>
      <c r="C752" s="293"/>
      <c r="D752" s="3"/>
      <c r="E752" s="57"/>
    </row>
    <row r="753" spans="1:5" ht="15.75" customHeight="1">
      <c r="A753" s="3"/>
      <c r="C753" s="293"/>
      <c r="D753" s="3"/>
      <c r="E753" s="57"/>
    </row>
    <row r="754" spans="1:5" ht="15.75" customHeight="1">
      <c r="A754" s="3"/>
      <c r="C754" s="293"/>
      <c r="D754" s="3"/>
      <c r="E754" s="57"/>
    </row>
    <row r="755" spans="1:5" ht="15.75" customHeight="1">
      <c r="A755" s="3"/>
      <c r="C755" s="293"/>
      <c r="D755" s="3"/>
      <c r="E755" s="57"/>
    </row>
    <row r="756" spans="1:5" ht="15.75" customHeight="1">
      <c r="A756" s="3"/>
      <c r="C756" s="293"/>
      <c r="D756" s="3"/>
      <c r="E756" s="57"/>
    </row>
    <row r="757" spans="1:5" ht="15.75" customHeight="1">
      <c r="A757" s="3"/>
      <c r="C757" s="293"/>
      <c r="D757" s="3"/>
      <c r="E757" s="57"/>
    </row>
    <row r="758" spans="1:5" ht="15.75" customHeight="1">
      <c r="A758" s="3"/>
      <c r="C758" s="293"/>
      <c r="D758" s="3"/>
      <c r="E758" s="57"/>
    </row>
    <row r="759" spans="1:5" ht="15.75" customHeight="1">
      <c r="A759" s="3"/>
      <c r="C759" s="293"/>
      <c r="D759" s="3"/>
      <c r="E759" s="57"/>
    </row>
    <row r="760" spans="1:5" ht="15.75" customHeight="1">
      <c r="A760" s="3"/>
      <c r="C760" s="293"/>
      <c r="D760" s="3"/>
      <c r="E760" s="57"/>
    </row>
    <row r="761" spans="1:5" ht="15.75" customHeight="1">
      <c r="A761" s="3"/>
      <c r="C761" s="293"/>
      <c r="D761" s="3"/>
      <c r="E761" s="57"/>
    </row>
    <row r="762" spans="1:5" ht="15.75" customHeight="1">
      <c r="A762" s="3"/>
      <c r="C762" s="293"/>
      <c r="D762" s="3"/>
      <c r="E762" s="57"/>
    </row>
    <row r="763" spans="1:5" ht="15.75" customHeight="1">
      <c r="A763" s="3"/>
      <c r="C763" s="293"/>
      <c r="D763" s="3"/>
      <c r="E763" s="57"/>
    </row>
    <row r="764" spans="1:5" ht="15.75" customHeight="1">
      <c r="A764" s="3"/>
      <c r="C764" s="293"/>
      <c r="D764" s="3"/>
      <c r="E764" s="57"/>
    </row>
    <row r="765" spans="1:5" ht="15.75" customHeight="1">
      <c r="A765" s="3"/>
      <c r="C765" s="293"/>
      <c r="D765" s="3"/>
      <c r="E765" s="57"/>
    </row>
    <row r="766" spans="1:5" ht="15.75" customHeight="1">
      <c r="A766" s="3"/>
      <c r="C766" s="293"/>
      <c r="D766" s="3"/>
      <c r="E766" s="57"/>
    </row>
    <row r="767" spans="1:5" ht="15.75" customHeight="1">
      <c r="A767" s="3"/>
      <c r="C767" s="293"/>
      <c r="D767" s="3"/>
      <c r="E767" s="57"/>
    </row>
    <row r="768" spans="1:5" ht="15.75" customHeight="1">
      <c r="A768" s="3"/>
      <c r="C768" s="293"/>
      <c r="D768" s="3"/>
      <c r="E768" s="57"/>
    </row>
    <row r="769" spans="1:5" ht="15.75" customHeight="1">
      <c r="A769" s="3"/>
      <c r="C769" s="293"/>
      <c r="D769" s="3"/>
      <c r="E769" s="57"/>
    </row>
    <row r="770" spans="1:5" ht="15.75" customHeight="1">
      <c r="A770" s="3"/>
      <c r="C770" s="293"/>
      <c r="D770" s="3"/>
      <c r="E770" s="57"/>
    </row>
    <row r="771" spans="1:5" ht="15.75" customHeight="1">
      <c r="A771" s="3"/>
      <c r="C771" s="293"/>
      <c r="D771" s="3"/>
      <c r="E771" s="57"/>
    </row>
    <row r="772" spans="1:5" ht="15.75" customHeight="1">
      <c r="A772" s="3"/>
      <c r="C772" s="293"/>
      <c r="D772" s="3"/>
      <c r="E772" s="57"/>
    </row>
    <row r="773" spans="1:5" ht="15.75" customHeight="1">
      <c r="A773" s="3"/>
      <c r="C773" s="293"/>
      <c r="D773" s="3"/>
      <c r="E773" s="57"/>
    </row>
    <row r="774" spans="1:5" ht="15.75" customHeight="1">
      <c r="A774" s="3"/>
      <c r="C774" s="293"/>
      <c r="D774" s="3"/>
      <c r="E774" s="57"/>
    </row>
    <row r="775" spans="1:5" ht="15.75" customHeight="1">
      <c r="A775" s="3"/>
      <c r="C775" s="293"/>
      <c r="D775" s="3"/>
      <c r="E775" s="57"/>
    </row>
    <row r="776" spans="1:5" ht="15.75" customHeight="1">
      <c r="A776" s="3"/>
      <c r="C776" s="293"/>
      <c r="D776" s="3"/>
      <c r="E776" s="57"/>
    </row>
    <row r="777" spans="1:5" ht="15.75" customHeight="1">
      <c r="A777" s="3"/>
      <c r="C777" s="293"/>
      <c r="D777" s="3"/>
      <c r="E777" s="57"/>
    </row>
    <row r="778" spans="1:5" ht="15.75" customHeight="1">
      <c r="A778" s="3"/>
      <c r="C778" s="293"/>
      <c r="D778" s="3"/>
      <c r="E778" s="57"/>
    </row>
    <row r="779" spans="1:5" ht="15.75" customHeight="1">
      <c r="A779" s="3"/>
      <c r="C779" s="293"/>
      <c r="D779" s="3"/>
      <c r="E779" s="57"/>
    </row>
    <row r="780" spans="1:5" ht="15.75" customHeight="1">
      <c r="A780" s="3"/>
      <c r="C780" s="293"/>
      <c r="D780" s="3"/>
      <c r="E780" s="57"/>
    </row>
    <row r="781" spans="1:5" ht="15.75" customHeight="1">
      <c r="A781" s="3"/>
      <c r="C781" s="293"/>
      <c r="D781" s="3"/>
      <c r="E781" s="57"/>
    </row>
    <row r="782" spans="1:5" ht="15.75" customHeight="1">
      <c r="A782" s="3"/>
      <c r="C782" s="293"/>
      <c r="D782" s="3"/>
      <c r="E782" s="57"/>
    </row>
    <row r="783" spans="1:5" ht="15.75" customHeight="1">
      <c r="A783" s="3"/>
      <c r="C783" s="293"/>
      <c r="D783" s="3"/>
      <c r="E783" s="57"/>
    </row>
    <row r="784" spans="1:5" ht="15.75" customHeight="1">
      <c r="A784" s="3"/>
      <c r="C784" s="293"/>
      <c r="D784" s="3"/>
      <c r="E784" s="57"/>
    </row>
    <row r="785" spans="1:5" ht="15.75" customHeight="1">
      <c r="A785" s="3"/>
      <c r="C785" s="293"/>
      <c r="D785" s="3"/>
      <c r="E785" s="57"/>
    </row>
    <row r="786" spans="1:5" ht="15.75" customHeight="1">
      <c r="A786" s="3"/>
      <c r="C786" s="293"/>
      <c r="D786" s="3"/>
      <c r="E786" s="57"/>
    </row>
    <row r="787" spans="1:5" ht="15.75" customHeight="1">
      <c r="A787" s="3"/>
      <c r="C787" s="293"/>
      <c r="D787" s="3"/>
      <c r="E787" s="57"/>
    </row>
    <row r="788" spans="1:5" ht="15.75" customHeight="1">
      <c r="A788" s="3"/>
      <c r="C788" s="293"/>
      <c r="D788" s="3"/>
      <c r="E788" s="57"/>
    </row>
    <row r="789" spans="1:5" ht="15.75" customHeight="1">
      <c r="A789" s="3"/>
      <c r="C789" s="293"/>
      <c r="D789" s="3"/>
      <c r="E789" s="57"/>
    </row>
    <row r="790" spans="1:5" ht="15.75" customHeight="1">
      <c r="A790" s="3"/>
      <c r="C790" s="293"/>
      <c r="D790" s="3"/>
      <c r="E790" s="57"/>
    </row>
    <row r="791" spans="1:5" ht="15.75" customHeight="1">
      <c r="A791" s="3"/>
      <c r="C791" s="293"/>
      <c r="D791" s="3"/>
      <c r="E791" s="57"/>
    </row>
    <row r="792" spans="1:5" ht="15.75" customHeight="1">
      <c r="A792" s="3"/>
      <c r="C792" s="293"/>
      <c r="D792" s="3"/>
      <c r="E792" s="57"/>
    </row>
    <row r="793" spans="1:5" ht="15.75" customHeight="1">
      <c r="A793" s="3"/>
      <c r="C793" s="293"/>
      <c r="D793" s="3"/>
      <c r="E793" s="57"/>
    </row>
    <row r="794" spans="1:5" ht="15.75" customHeight="1">
      <c r="A794" s="3"/>
      <c r="C794" s="293"/>
      <c r="D794" s="3"/>
      <c r="E794" s="57"/>
    </row>
    <row r="795" spans="1:5" ht="15.75" customHeight="1">
      <c r="A795" s="3"/>
      <c r="C795" s="293"/>
      <c r="D795" s="3"/>
      <c r="E795" s="57"/>
    </row>
    <row r="796" spans="1:5" ht="15.75" customHeight="1">
      <c r="A796" s="3"/>
      <c r="C796" s="293"/>
      <c r="D796" s="3"/>
      <c r="E796" s="57"/>
    </row>
    <row r="797" spans="1:5" ht="15.75" customHeight="1">
      <c r="A797" s="3"/>
      <c r="C797" s="293"/>
      <c r="D797" s="3"/>
      <c r="E797" s="57"/>
    </row>
    <row r="798" spans="1:5" ht="15.75" customHeight="1">
      <c r="A798" s="3"/>
      <c r="C798" s="293"/>
      <c r="D798" s="3"/>
      <c r="E798" s="57"/>
    </row>
    <row r="799" spans="1:5" ht="15.75" customHeight="1">
      <c r="A799" s="3"/>
      <c r="C799" s="293"/>
      <c r="D799" s="3"/>
      <c r="E799" s="57"/>
    </row>
    <row r="800" spans="1:5" ht="15.75" customHeight="1">
      <c r="A800" s="3"/>
      <c r="C800" s="293"/>
      <c r="D800" s="3"/>
      <c r="E800" s="57"/>
    </row>
    <row r="801" spans="1:5" ht="15.75" customHeight="1">
      <c r="A801" s="3"/>
      <c r="C801" s="293"/>
      <c r="D801" s="3"/>
      <c r="E801" s="57"/>
    </row>
    <row r="802" spans="1:5" ht="15.75" customHeight="1">
      <c r="A802" s="3"/>
      <c r="C802" s="293"/>
      <c r="D802" s="3"/>
      <c r="E802" s="57"/>
    </row>
    <row r="803" spans="1:5" ht="15.75" customHeight="1">
      <c r="A803" s="3"/>
      <c r="C803" s="293"/>
      <c r="D803" s="3"/>
      <c r="E803" s="57"/>
    </row>
    <row r="804" spans="1:5" ht="15.75" customHeight="1">
      <c r="A804" s="3"/>
      <c r="C804" s="293"/>
      <c r="D804" s="3"/>
      <c r="E804" s="57"/>
    </row>
    <row r="805" spans="1:5" ht="15.75" customHeight="1">
      <c r="A805" s="3"/>
      <c r="C805" s="293"/>
      <c r="D805" s="3"/>
      <c r="E805" s="57"/>
    </row>
    <row r="806" spans="1:5" ht="15.75" customHeight="1">
      <c r="A806" s="3"/>
      <c r="C806" s="293"/>
      <c r="D806" s="3"/>
      <c r="E806" s="57"/>
    </row>
    <row r="807" spans="1:5" ht="15.75" customHeight="1">
      <c r="A807" s="3"/>
      <c r="C807" s="293"/>
      <c r="D807" s="3"/>
      <c r="E807" s="57"/>
    </row>
    <row r="808" spans="1:5" ht="15.75" customHeight="1">
      <c r="A808" s="3"/>
      <c r="C808" s="293"/>
      <c r="D808" s="3"/>
      <c r="E808" s="57"/>
    </row>
    <row r="809" spans="1:5" ht="15.75" customHeight="1">
      <c r="A809" s="3"/>
      <c r="C809" s="293"/>
      <c r="D809" s="3"/>
      <c r="E809" s="57"/>
    </row>
    <row r="810" spans="1:5" ht="15.75" customHeight="1">
      <c r="A810" s="3"/>
      <c r="C810" s="293"/>
      <c r="D810" s="3"/>
      <c r="E810" s="57"/>
    </row>
    <row r="811" spans="1:5" ht="15.75" customHeight="1">
      <c r="A811" s="3"/>
      <c r="C811" s="293"/>
      <c r="D811" s="3"/>
      <c r="E811" s="57"/>
    </row>
    <row r="812" spans="1:5" ht="15.75" customHeight="1">
      <c r="A812" s="3"/>
      <c r="C812" s="293"/>
      <c r="D812" s="3"/>
      <c r="E812" s="57"/>
    </row>
    <row r="813" spans="1:5" ht="15.75" customHeight="1">
      <c r="A813" s="3"/>
      <c r="C813" s="293"/>
      <c r="D813" s="3"/>
      <c r="E813" s="57"/>
    </row>
    <row r="814" spans="1:5" ht="15.75" customHeight="1">
      <c r="A814" s="3"/>
      <c r="C814" s="293"/>
      <c r="D814" s="3"/>
      <c r="E814" s="57"/>
    </row>
    <row r="815" spans="1:5" ht="15.75" customHeight="1">
      <c r="A815" s="3"/>
      <c r="C815" s="293"/>
      <c r="D815" s="3"/>
      <c r="E815" s="57"/>
    </row>
    <row r="816" spans="1:5" ht="15.75" customHeight="1">
      <c r="A816" s="3"/>
      <c r="C816" s="293"/>
      <c r="D816" s="3"/>
      <c r="E816" s="57"/>
    </row>
    <row r="817" spans="1:5" ht="15.75" customHeight="1">
      <c r="A817" s="3"/>
      <c r="C817" s="293"/>
      <c r="D817" s="3"/>
      <c r="E817" s="57"/>
    </row>
    <row r="818" spans="1:5" ht="15.75" customHeight="1">
      <c r="A818" s="3"/>
      <c r="C818" s="293"/>
      <c r="D818" s="3"/>
      <c r="E818" s="57"/>
    </row>
    <row r="819" spans="1:5" ht="15.75" customHeight="1">
      <c r="A819" s="3"/>
      <c r="C819" s="293"/>
      <c r="D819" s="3"/>
      <c r="E819" s="57"/>
    </row>
    <row r="820" spans="1:5" ht="15.75" customHeight="1">
      <c r="A820" s="3"/>
      <c r="C820" s="293"/>
      <c r="D820" s="3"/>
      <c r="E820" s="57"/>
    </row>
    <row r="821" spans="1:5" ht="15.75" customHeight="1">
      <c r="A821" s="3"/>
      <c r="C821" s="293"/>
      <c r="D821" s="3"/>
      <c r="E821" s="57"/>
    </row>
    <row r="822" spans="1:5" ht="15.75" customHeight="1">
      <c r="A822" s="3"/>
      <c r="C822" s="293"/>
      <c r="D822" s="3"/>
      <c r="E822" s="57"/>
    </row>
    <row r="823" spans="1:5" ht="15.75" customHeight="1">
      <c r="A823" s="3"/>
      <c r="C823" s="293"/>
      <c r="D823" s="3"/>
      <c r="E823" s="57"/>
    </row>
    <row r="824" spans="1:5" ht="15.75" customHeight="1">
      <c r="A824" s="3"/>
      <c r="C824" s="293"/>
      <c r="D824" s="3"/>
      <c r="E824" s="57"/>
    </row>
    <row r="825" spans="1:5" ht="15.75" customHeight="1">
      <c r="A825" s="3"/>
      <c r="C825" s="293"/>
      <c r="D825" s="3"/>
      <c r="E825" s="57"/>
    </row>
    <row r="826" spans="1:5" ht="15.75" customHeight="1">
      <c r="A826" s="3"/>
      <c r="C826" s="293"/>
      <c r="D826" s="3"/>
      <c r="E826" s="57"/>
    </row>
    <row r="827" spans="1:5" ht="15.75" customHeight="1">
      <c r="A827" s="3"/>
      <c r="C827" s="293"/>
      <c r="D827" s="3"/>
      <c r="E827" s="57"/>
    </row>
    <row r="828" spans="1:5" ht="15.75" customHeight="1">
      <c r="A828" s="3"/>
      <c r="C828" s="293"/>
      <c r="D828" s="3"/>
      <c r="E828" s="57"/>
    </row>
    <row r="829" spans="1:5" ht="15.75" customHeight="1">
      <c r="A829" s="3"/>
      <c r="C829" s="293"/>
      <c r="D829" s="3"/>
      <c r="E829" s="57"/>
    </row>
    <row r="830" spans="1:5" ht="15.75" customHeight="1">
      <c r="A830" s="3"/>
      <c r="C830" s="293"/>
      <c r="D830" s="3"/>
      <c r="E830" s="57"/>
    </row>
    <row r="831" spans="1:5" ht="15.75" customHeight="1">
      <c r="A831" s="3"/>
      <c r="C831" s="293"/>
      <c r="D831" s="3"/>
      <c r="E831" s="57"/>
    </row>
    <row r="832" spans="1:5" ht="15.75" customHeight="1">
      <c r="A832" s="3"/>
      <c r="C832" s="293"/>
      <c r="D832" s="3"/>
      <c r="E832" s="57"/>
    </row>
    <row r="833" spans="1:5" ht="15.75" customHeight="1">
      <c r="A833" s="3"/>
      <c r="C833" s="293"/>
      <c r="D833" s="3"/>
      <c r="E833" s="57"/>
    </row>
    <row r="834" spans="1:5" ht="15.75" customHeight="1">
      <c r="A834" s="3"/>
      <c r="C834" s="293"/>
      <c r="D834" s="3"/>
      <c r="E834" s="57"/>
    </row>
    <row r="835" spans="1:5" ht="15.75" customHeight="1">
      <c r="A835" s="3"/>
      <c r="C835" s="293"/>
      <c r="D835" s="3"/>
      <c r="E835" s="57"/>
    </row>
    <row r="836" spans="1:5" ht="15.75" customHeight="1">
      <c r="A836" s="3"/>
      <c r="C836" s="293"/>
      <c r="D836" s="3"/>
      <c r="E836" s="57"/>
    </row>
    <row r="837" spans="1:5" ht="15.75" customHeight="1">
      <c r="A837" s="3"/>
      <c r="C837" s="293"/>
      <c r="D837" s="3"/>
      <c r="E837" s="57"/>
    </row>
    <row r="838" spans="1:5" ht="15.75" customHeight="1">
      <c r="A838" s="3"/>
      <c r="C838" s="293"/>
      <c r="D838" s="3"/>
      <c r="E838" s="57"/>
    </row>
    <row r="839" spans="1:5" ht="15.75" customHeight="1">
      <c r="A839" s="3"/>
      <c r="C839" s="293"/>
      <c r="D839" s="3"/>
      <c r="E839" s="57"/>
    </row>
    <row r="840" spans="1:5" ht="15.75" customHeight="1">
      <c r="A840" s="3"/>
      <c r="C840" s="293"/>
      <c r="D840" s="3"/>
      <c r="E840" s="57"/>
    </row>
    <row r="841" spans="1:5" ht="15.75" customHeight="1">
      <c r="A841" s="3"/>
      <c r="C841" s="293"/>
      <c r="D841" s="3"/>
      <c r="E841" s="57"/>
    </row>
    <row r="842" spans="1:5" ht="15.75" customHeight="1">
      <c r="A842" s="3"/>
      <c r="C842" s="293"/>
      <c r="D842" s="3"/>
      <c r="E842" s="57"/>
    </row>
    <row r="843" spans="1:5" ht="15.75" customHeight="1">
      <c r="A843" s="3"/>
      <c r="C843" s="293"/>
      <c r="D843" s="3"/>
      <c r="E843" s="57"/>
    </row>
    <row r="844" spans="1:5" ht="15.75" customHeight="1">
      <c r="A844" s="3"/>
      <c r="C844" s="293"/>
      <c r="D844" s="3"/>
      <c r="E844" s="57"/>
    </row>
    <row r="845" spans="1:5" ht="15.75" customHeight="1">
      <c r="A845" s="3"/>
      <c r="C845" s="293"/>
      <c r="D845" s="3"/>
      <c r="E845" s="57"/>
    </row>
    <row r="846" spans="1:5" ht="15.75" customHeight="1">
      <c r="A846" s="3"/>
      <c r="C846" s="293"/>
      <c r="D846" s="3"/>
      <c r="E846" s="57"/>
    </row>
    <row r="847" spans="1:5" ht="15.75" customHeight="1">
      <c r="A847" s="3"/>
      <c r="C847" s="293"/>
      <c r="D847" s="3"/>
      <c r="E847" s="57"/>
    </row>
    <row r="848" spans="1:5" ht="15.75" customHeight="1">
      <c r="A848" s="3"/>
      <c r="C848" s="293"/>
      <c r="D848" s="3"/>
      <c r="E848" s="57"/>
    </row>
    <row r="849" spans="1:5" ht="15.75" customHeight="1">
      <c r="A849" s="3"/>
      <c r="C849" s="293"/>
      <c r="D849" s="3"/>
      <c r="E849" s="57"/>
    </row>
    <row r="850" spans="1:5" ht="15.75" customHeight="1">
      <c r="A850" s="3"/>
      <c r="C850" s="293"/>
      <c r="D850" s="3"/>
      <c r="E850" s="57"/>
    </row>
    <row r="851" spans="1:5" ht="15.75" customHeight="1">
      <c r="A851" s="3"/>
      <c r="C851" s="293"/>
      <c r="D851" s="3"/>
      <c r="E851" s="57"/>
    </row>
    <row r="852" spans="1:5" ht="15.75" customHeight="1">
      <c r="A852" s="3"/>
      <c r="C852" s="293"/>
      <c r="D852" s="3"/>
      <c r="E852" s="57"/>
    </row>
    <row r="853" spans="1:5" ht="15.75" customHeight="1">
      <c r="A853" s="3"/>
      <c r="C853" s="293"/>
      <c r="D853" s="3"/>
      <c r="E853" s="57"/>
    </row>
    <row r="854" spans="1:5" ht="15.75" customHeight="1">
      <c r="A854" s="3"/>
      <c r="C854" s="293"/>
      <c r="D854" s="3"/>
      <c r="E854" s="57"/>
    </row>
    <row r="855" spans="1:5" ht="15.75" customHeight="1">
      <c r="A855" s="3"/>
      <c r="C855" s="293"/>
      <c r="D855" s="3"/>
      <c r="E855" s="57"/>
    </row>
    <row r="856" spans="1:5" ht="15.75" customHeight="1">
      <c r="A856" s="3"/>
      <c r="C856" s="293"/>
      <c r="D856" s="3"/>
      <c r="E856" s="57"/>
    </row>
    <row r="857" spans="1:5" ht="15.75" customHeight="1">
      <c r="A857" s="3"/>
      <c r="C857" s="293"/>
      <c r="D857" s="3"/>
      <c r="E857" s="57"/>
    </row>
    <row r="858" spans="1:5" ht="15.75" customHeight="1">
      <c r="A858" s="3"/>
      <c r="C858" s="293"/>
      <c r="D858" s="3"/>
      <c r="E858" s="57"/>
    </row>
    <row r="859" spans="1:5" ht="15.75" customHeight="1">
      <c r="A859" s="3"/>
      <c r="C859" s="293"/>
      <c r="D859" s="3"/>
      <c r="E859" s="57"/>
    </row>
    <row r="860" spans="1:5" ht="15.75" customHeight="1">
      <c r="A860" s="3"/>
      <c r="C860" s="293"/>
      <c r="D860" s="3"/>
      <c r="E860" s="57"/>
    </row>
    <row r="861" spans="1:5" ht="15.75" customHeight="1">
      <c r="A861" s="3"/>
      <c r="C861" s="293"/>
      <c r="D861" s="3"/>
      <c r="E861" s="57"/>
    </row>
    <row r="862" spans="1:5" ht="15.75" customHeight="1">
      <c r="A862" s="3"/>
      <c r="C862" s="293"/>
      <c r="D862" s="3"/>
      <c r="E862" s="57"/>
    </row>
    <row r="863" spans="1:5" ht="15.75" customHeight="1">
      <c r="A863" s="3"/>
      <c r="C863" s="293"/>
      <c r="D863" s="3"/>
      <c r="E863" s="57"/>
    </row>
    <row r="864" spans="1:5" ht="15.75" customHeight="1">
      <c r="A864" s="3"/>
      <c r="C864" s="293"/>
      <c r="D864" s="3"/>
      <c r="E864" s="57"/>
    </row>
    <row r="865" spans="1:5" ht="15.75" customHeight="1">
      <c r="A865" s="3"/>
      <c r="C865" s="293"/>
      <c r="D865" s="3"/>
      <c r="E865" s="57"/>
    </row>
    <row r="866" spans="1:5" ht="15.75" customHeight="1">
      <c r="A866" s="3"/>
      <c r="C866" s="293"/>
      <c r="D866" s="3"/>
      <c r="E866" s="57"/>
    </row>
    <row r="867" spans="1:5" ht="15.75" customHeight="1">
      <c r="A867" s="3"/>
      <c r="C867" s="293"/>
      <c r="D867" s="3"/>
      <c r="E867" s="57"/>
    </row>
    <row r="868" spans="1:5" ht="15.75" customHeight="1">
      <c r="A868" s="3"/>
      <c r="C868" s="293"/>
      <c r="D868" s="3"/>
      <c r="E868" s="57"/>
    </row>
    <row r="869" spans="1:5" ht="15.75" customHeight="1">
      <c r="A869" s="3"/>
      <c r="C869" s="293"/>
      <c r="D869" s="3"/>
      <c r="E869" s="57"/>
    </row>
    <row r="870" spans="1:5" ht="15.75" customHeight="1">
      <c r="A870" s="3"/>
      <c r="C870" s="293"/>
      <c r="D870" s="3"/>
      <c r="E870" s="57"/>
    </row>
    <row r="871" spans="1:5" ht="15.75" customHeight="1">
      <c r="A871" s="3"/>
      <c r="C871" s="293"/>
      <c r="D871" s="3"/>
      <c r="E871" s="57"/>
    </row>
    <row r="872" spans="1:5" ht="15.75" customHeight="1">
      <c r="A872" s="3"/>
      <c r="C872" s="293"/>
      <c r="D872" s="3"/>
      <c r="E872" s="57"/>
    </row>
    <row r="873" spans="1:5" ht="15.75" customHeight="1">
      <c r="A873" s="3"/>
      <c r="C873" s="293"/>
      <c r="D873" s="3"/>
      <c r="E873" s="57"/>
    </row>
    <row r="874" spans="1:5" ht="15.75" customHeight="1">
      <c r="A874" s="3"/>
      <c r="C874" s="293"/>
      <c r="D874" s="3"/>
      <c r="E874" s="57"/>
    </row>
    <row r="875" spans="1:5" ht="15.75" customHeight="1">
      <c r="A875" s="3"/>
      <c r="C875" s="293"/>
      <c r="D875" s="3"/>
      <c r="E875" s="57"/>
    </row>
    <row r="876" spans="1:5" ht="15.75" customHeight="1">
      <c r="A876" s="3"/>
      <c r="C876" s="293"/>
      <c r="D876" s="3"/>
      <c r="E876" s="57"/>
    </row>
    <row r="877" spans="1:5" ht="15.75" customHeight="1">
      <c r="A877" s="3"/>
      <c r="C877" s="293"/>
      <c r="D877" s="3"/>
      <c r="E877" s="57"/>
    </row>
    <row r="878" spans="1:5" ht="15.75" customHeight="1">
      <c r="A878" s="3"/>
      <c r="C878" s="293"/>
      <c r="D878" s="3"/>
      <c r="E878" s="57"/>
    </row>
    <row r="879" spans="1:5" ht="15.75" customHeight="1">
      <c r="A879" s="3"/>
      <c r="C879" s="293"/>
      <c r="D879" s="3"/>
      <c r="E879" s="57"/>
    </row>
    <row r="880" spans="1:5" ht="15.75" customHeight="1">
      <c r="A880" s="3"/>
      <c r="C880" s="293"/>
      <c r="D880" s="3"/>
      <c r="E880" s="57"/>
    </row>
    <row r="881" spans="1:5" ht="15.75" customHeight="1">
      <c r="A881" s="3"/>
      <c r="C881" s="293"/>
      <c r="D881" s="3"/>
      <c r="E881" s="57"/>
    </row>
    <row r="882" spans="1:5" ht="15.75" customHeight="1">
      <c r="A882" s="3"/>
      <c r="C882" s="293"/>
      <c r="D882" s="3"/>
      <c r="E882" s="57"/>
    </row>
    <row r="883" spans="1:5" ht="15.75" customHeight="1">
      <c r="A883" s="3"/>
      <c r="C883" s="293"/>
      <c r="D883" s="3"/>
      <c r="E883" s="57"/>
    </row>
    <row r="884" spans="1:5" ht="15.75" customHeight="1">
      <c r="A884" s="3"/>
      <c r="C884" s="293"/>
      <c r="D884" s="3"/>
      <c r="E884" s="57"/>
    </row>
    <row r="885" spans="1:5" ht="15.75" customHeight="1">
      <c r="A885" s="3"/>
      <c r="C885" s="293"/>
      <c r="D885" s="3"/>
      <c r="E885" s="57"/>
    </row>
    <row r="886" spans="1:5" ht="15.75" customHeight="1">
      <c r="A886" s="3"/>
      <c r="C886" s="293"/>
      <c r="D886" s="3"/>
      <c r="E886" s="57"/>
    </row>
    <row r="887" spans="1:5" ht="15.75" customHeight="1">
      <c r="A887" s="3"/>
      <c r="C887" s="293"/>
      <c r="D887" s="3"/>
      <c r="E887" s="57"/>
    </row>
    <row r="888" spans="1:5" ht="15.75" customHeight="1">
      <c r="A888" s="3"/>
      <c r="C888" s="293"/>
      <c r="D888" s="3"/>
      <c r="E888" s="57"/>
    </row>
    <row r="889" spans="1:5" ht="15.75" customHeight="1">
      <c r="A889" s="3"/>
      <c r="C889" s="293"/>
      <c r="D889" s="3"/>
      <c r="E889" s="57"/>
    </row>
    <row r="890" spans="1:5" ht="15.75" customHeight="1">
      <c r="A890" s="3"/>
      <c r="C890" s="293"/>
      <c r="D890" s="3"/>
      <c r="E890" s="57"/>
    </row>
    <row r="891" spans="1:5" ht="15.75" customHeight="1">
      <c r="A891" s="3"/>
      <c r="C891" s="293"/>
      <c r="D891" s="3"/>
      <c r="E891" s="57"/>
    </row>
    <row r="892" spans="1:5" ht="15.75" customHeight="1">
      <c r="A892" s="3"/>
      <c r="C892" s="293"/>
      <c r="D892" s="3"/>
      <c r="E892" s="57"/>
    </row>
    <row r="893" spans="1:5" ht="15.75" customHeight="1">
      <c r="A893" s="3"/>
      <c r="C893" s="293"/>
      <c r="D893" s="3"/>
      <c r="E893" s="57"/>
    </row>
    <row r="894" spans="1:5" ht="15.75" customHeight="1">
      <c r="A894" s="3"/>
      <c r="C894" s="293"/>
      <c r="D894" s="3"/>
      <c r="E894" s="57"/>
    </row>
    <row r="895" spans="1:5" ht="15.75" customHeight="1">
      <c r="A895" s="3"/>
      <c r="C895" s="293"/>
      <c r="D895" s="3"/>
      <c r="E895" s="57"/>
    </row>
    <row r="896" spans="1:5" ht="15.75" customHeight="1">
      <c r="A896" s="3"/>
      <c r="C896" s="293"/>
      <c r="D896" s="3"/>
      <c r="E896" s="57"/>
    </row>
    <row r="897" spans="1:5" ht="15.75" customHeight="1">
      <c r="A897" s="3"/>
      <c r="C897" s="293"/>
      <c r="D897" s="3"/>
      <c r="E897" s="57"/>
    </row>
    <row r="898" spans="1:5" ht="15.75" customHeight="1">
      <c r="A898" s="3"/>
      <c r="C898" s="293"/>
      <c r="D898" s="3"/>
      <c r="E898" s="57"/>
    </row>
    <row r="899" spans="1:5" ht="15.75" customHeight="1">
      <c r="A899" s="3"/>
      <c r="C899" s="293"/>
      <c r="D899" s="3"/>
      <c r="E899" s="57"/>
    </row>
    <row r="900" spans="1:5" ht="15.75" customHeight="1">
      <c r="A900" s="3"/>
      <c r="C900" s="293"/>
      <c r="D900" s="3"/>
      <c r="E900" s="57"/>
    </row>
    <row r="901" spans="1:5" ht="15.75" customHeight="1">
      <c r="A901" s="3"/>
      <c r="C901" s="293"/>
      <c r="D901" s="3"/>
      <c r="E901" s="57"/>
    </row>
    <row r="902" spans="1:5" ht="15.75" customHeight="1">
      <c r="A902" s="3"/>
      <c r="C902" s="293"/>
      <c r="D902" s="3"/>
      <c r="E902" s="57"/>
    </row>
    <row r="903" spans="1:5" ht="15.75" customHeight="1">
      <c r="A903" s="3"/>
      <c r="C903" s="293"/>
      <c r="D903" s="3"/>
      <c r="E903" s="57"/>
    </row>
    <row r="904" spans="1:5" ht="15.75" customHeight="1">
      <c r="A904" s="3"/>
      <c r="C904" s="293"/>
      <c r="D904" s="3"/>
      <c r="E904" s="57"/>
    </row>
    <row r="905" spans="1:5" ht="15.75" customHeight="1">
      <c r="A905" s="3"/>
      <c r="C905" s="293"/>
      <c r="D905" s="3"/>
      <c r="E905" s="57"/>
    </row>
    <row r="906" spans="1:5" ht="15.75" customHeight="1">
      <c r="A906" s="3"/>
      <c r="C906" s="293"/>
      <c r="D906" s="3"/>
      <c r="E906" s="57"/>
    </row>
    <row r="907" spans="1:5" ht="15.75" customHeight="1">
      <c r="A907" s="3"/>
      <c r="C907" s="293"/>
      <c r="D907" s="3"/>
      <c r="E907" s="57"/>
    </row>
    <row r="908" spans="1:5" ht="15.75" customHeight="1">
      <c r="A908" s="3"/>
      <c r="C908" s="293"/>
      <c r="D908" s="3"/>
      <c r="E908" s="57"/>
    </row>
    <row r="909" spans="1:5" ht="15.75" customHeight="1">
      <c r="A909" s="3"/>
      <c r="C909" s="293"/>
      <c r="D909" s="3"/>
      <c r="E909" s="57"/>
    </row>
    <row r="910" spans="1:5" ht="15.75" customHeight="1">
      <c r="A910" s="3"/>
      <c r="C910" s="293"/>
      <c r="D910" s="3"/>
      <c r="E910" s="57"/>
    </row>
    <row r="911" spans="1:5" ht="15.75" customHeight="1">
      <c r="A911" s="3"/>
      <c r="C911" s="293"/>
      <c r="D911" s="3"/>
      <c r="E911" s="57"/>
    </row>
    <row r="912" spans="1:5" ht="15.75" customHeight="1">
      <c r="A912" s="3"/>
      <c r="C912" s="293"/>
      <c r="D912" s="3"/>
      <c r="E912" s="57"/>
    </row>
    <row r="913" spans="1:5" ht="15.75" customHeight="1">
      <c r="A913" s="3"/>
      <c r="C913" s="293"/>
      <c r="D913" s="3"/>
      <c r="E913" s="57"/>
    </row>
    <row r="914" spans="1:5" ht="15.75" customHeight="1">
      <c r="A914" s="3"/>
      <c r="C914" s="293"/>
      <c r="D914" s="3"/>
      <c r="E914" s="57"/>
    </row>
    <row r="915" spans="1:5" ht="15.75" customHeight="1">
      <c r="A915" s="3"/>
      <c r="C915" s="293"/>
      <c r="D915" s="3"/>
      <c r="E915" s="57"/>
    </row>
    <row r="916" spans="1:5" ht="15.75" customHeight="1">
      <c r="A916" s="3"/>
      <c r="C916" s="293"/>
      <c r="D916" s="3"/>
      <c r="E916" s="57"/>
    </row>
    <row r="917" spans="1:5" ht="15.75" customHeight="1">
      <c r="A917" s="3"/>
      <c r="C917" s="293"/>
      <c r="D917" s="3"/>
      <c r="E917" s="57"/>
    </row>
    <row r="918" spans="1:5" ht="15.75" customHeight="1">
      <c r="A918" s="3"/>
      <c r="C918" s="293"/>
      <c r="D918" s="3"/>
      <c r="E918" s="57"/>
    </row>
    <row r="919" spans="1:5" ht="15.75" customHeight="1">
      <c r="A919" s="3"/>
      <c r="C919" s="293"/>
      <c r="D919" s="3"/>
      <c r="E919" s="57"/>
    </row>
    <row r="920" spans="1:5" ht="15.75" customHeight="1">
      <c r="A920" s="3"/>
      <c r="C920" s="293"/>
      <c r="D920" s="3"/>
      <c r="E920" s="57"/>
    </row>
    <row r="921" spans="1:5" ht="15.75" customHeight="1">
      <c r="A921" s="3"/>
      <c r="C921" s="293"/>
      <c r="D921" s="3"/>
      <c r="E921" s="57"/>
    </row>
    <row r="922" spans="1:5" ht="15.75" customHeight="1">
      <c r="A922" s="3"/>
      <c r="C922" s="293"/>
      <c r="D922" s="3"/>
      <c r="E922" s="57"/>
    </row>
    <row r="923" spans="1:5" ht="15.75" customHeight="1">
      <c r="A923" s="3"/>
      <c r="C923" s="293"/>
      <c r="D923" s="3"/>
      <c r="E923" s="57"/>
    </row>
    <row r="924" spans="1:5" ht="15.75" customHeight="1">
      <c r="A924" s="3"/>
      <c r="C924" s="293"/>
      <c r="D924" s="3"/>
      <c r="E924" s="57"/>
    </row>
    <row r="925" spans="1:5" ht="15.75" customHeight="1">
      <c r="A925" s="3"/>
      <c r="C925" s="293"/>
      <c r="D925" s="3"/>
      <c r="E925" s="57"/>
    </row>
    <row r="926" spans="1:5" ht="15.75" customHeight="1">
      <c r="A926" s="3"/>
      <c r="C926" s="293"/>
      <c r="D926" s="3"/>
      <c r="E926" s="57"/>
    </row>
    <row r="927" spans="1:5" ht="15.75" customHeight="1">
      <c r="A927" s="3"/>
      <c r="C927" s="293"/>
      <c r="D927" s="3"/>
      <c r="E927" s="57"/>
    </row>
    <row r="928" spans="1:5" ht="15.75" customHeight="1">
      <c r="A928" s="3"/>
      <c r="C928" s="293"/>
      <c r="D928" s="3"/>
      <c r="E928" s="57"/>
    </row>
    <row r="929" spans="1:5" ht="15.75" customHeight="1">
      <c r="A929" s="3"/>
      <c r="C929" s="293"/>
      <c r="D929" s="3"/>
      <c r="E929" s="57"/>
    </row>
  </sheetData>
  <pageMargins left="0.70866141732283472" right="0.70866141732283472" top="0.74803149606299213" bottom="0.74803149606299213" header="0" footer="0"/>
  <pageSetup paperSize="9" scale="10" orientation="portrait" r:id="rId1"/>
  <ignoredErrors>
    <ignoredError sqref="C61 C116 C127:C131 C119:C120"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pageSetUpPr fitToPage="1"/>
  </sheetPr>
  <dimension ref="A1:BH1008"/>
  <sheetViews>
    <sheetView showGridLines="0" tabSelected="1" zoomScale="80" zoomScaleNormal="80" workbookViewId="0">
      <pane xSplit="3" ySplit="3" topLeftCell="D4" activePane="bottomRight" state="frozen"/>
      <selection activeCell="A95" sqref="A95"/>
      <selection pane="topRight" activeCell="A95" sqref="A95"/>
      <selection pane="bottomLeft" activeCell="A95" sqref="A95"/>
      <selection pane="bottomRight" activeCell="G35" sqref="G35"/>
    </sheetView>
  </sheetViews>
  <sheetFormatPr baseColWidth="10" defaultColWidth="14.42578125" defaultRowHeight="15" customHeight="1"/>
  <cols>
    <col min="1" max="1" width="15" style="794" customWidth="1"/>
    <col min="2" max="2" width="12.85546875" style="793" customWidth="1"/>
    <col min="3" max="3" width="46.42578125" style="793" customWidth="1"/>
    <col min="4" max="4" width="24.140625" style="916" customWidth="1"/>
    <col min="5" max="5" width="22" style="793" customWidth="1"/>
    <col min="6" max="6" width="37.5703125" style="793" customWidth="1"/>
    <col min="7" max="7" width="20.5703125" style="793" customWidth="1"/>
    <col min="8" max="8" width="26.28515625" style="793" customWidth="1"/>
    <col min="9" max="9" width="17.140625" style="793" customWidth="1"/>
    <col min="10" max="10" width="20.7109375" style="795" customWidth="1"/>
    <col min="11" max="11" width="22.42578125" style="793" customWidth="1"/>
    <col min="12" max="12" width="24.28515625" style="793" customWidth="1"/>
    <col min="13" max="13" width="25.7109375" style="793" customWidth="1"/>
    <col min="14" max="14" width="26.85546875" style="796" customWidth="1"/>
    <col min="15" max="15" width="24.5703125" style="796" customWidth="1"/>
    <col min="16" max="16" width="22" style="796" customWidth="1"/>
    <col min="17" max="17" width="31.28515625" style="797" customWidth="1"/>
    <col min="18" max="18" width="20.42578125" style="793" customWidth="1"/>
    <col min="19" max="19" width="23.140625" style="793" customWidth="1"/>
    <col min="20" max="20" width="16.42578125" style="921" customWidth="1"/>
    <col min="21" max="21" width="20.42578125" style="793" customWidth="1"/>
    <col min="22" max="22" width="11.42578125" style="793" customWidth="1"/>
    <col min="23" max="23" width="22.28515625" style="793" customWidth="1"/>
    <col min="24" max="24" width="18" style="793" customWidth="1"/>
    <col min="25" max="25" width="12.85546875" style="793" customWidth="1"/>
    <col min="26" max="26" width="14.42578125" style="793" customWidth="1"/>
    <col min="27" max="27" width="22.5703125" style="793" customWidth="1"/>
    <col min="28" max="28" width="14.5703125" style="793" customWidth="1"/>
    <col min="29" max="29" width="25" style="793" customWidth="1"/>
    <col min="30" max="30" width="19.140625" style="793" customWidth="1"/>
    <col min="31" max="31" width="22.5703125" style="793" customWidth="1"/>
    <col min="32" max="32" width="24.85546875" style="793" customWidth="1"/>
    <col min="33" max="33" width="34.28515625" style="793" customWidth="1"/>
    <col min="34" max="34" width="23.5703125" style="793" customWidth="1"/>
    <col min="35" max="35" width="19.85546875" style="793" customWidth="1"/>
    <col min="36" max="36" width="23" style="793" customWidth="1"/>
    <col min="37" max="37" width="26.28515625" style="793" customWidth="1"/>
    <col min="38" max="38" width="25" style="793" customWidth="1"/>
    <col min="39" max="41" width="22.28515625" style="793" customWidth="1"/>
    <col min="42" max="42" width="17" style="793" customWidth="1"/>
    <col min="43" max="43" width="15.5703125" style="793" customWidth="1"/>
    <col min="44" max="44" width="14.42578125" style="801" customWidth="1"/>
    <col min="45" max="45" width="42.42578125" style="801" customWidth="1"/>
    <col min="46" max="46" width="19.42578125" style="804" customWidth="1"/>
    <col min="47" max="47" width="14.42578125" style="803" customWidth="1"/>
    <col min="48" max="48" width="22.5703125" style="803" customWidth="1"/>
    <col min="49" max="49" width="17.7109375" style="803" customWidth="1"/>
    <col min="50" max="50" width="24" style="803" customWidth="1"/>
    <col min="51" max="54" width="14.42578125" style="803" customWidth="1"/>
    <col min="55" max="55" width="14.42578125" style="801"/>
    <col min="56" max="56" width="23.5703125" style="793" customWidth="1"/>
    <col min="57" max="16384" width="14.42578125" style="793"/>
  </cols>
  <sheetData>
    <row r="1" spans="1:56" ht="15" customHeight="1">
      <c r="R1" s="798"/>
      <c r="T1" s="918"/>
      <c r="Z1" s="799"/>
      <c r="AK1" s="800"/>
    </row>
    <row r="2" spans="1:56" ht="15.75" thickBot="1">
      <c r="F2" s="804"/>
      <c r="G2" s="805"/>
      <c r="J2" s="806"/>
      <c r="L2" s="807"/>
      <c r="O2" s="808"/>
      <c r="Q2" s="809"/>
      <c r="R2" s="798"/>
      <c r="T2" s="919"/>
      <c r="U2" s="810">
        <f ca="1">TODAY()</f>
        <v>46181</v>
      </c>
      <c r="Z2" s="799"/>
      <c r="AA2" s="807"/>
      <c r="AB2" s="803"/>
      <c r="AJ2" s="807"/>
      <c r="AK2" s="800"/>
    </row>
    <row r="3" spans="1:56" ht="90" customHeight="1" thickBot="1">
      <c r="A3" s="811" t="s">
        <v>154</v>
      </c>
      <c r="B3" s="812" t="s">
        <v>186</v>
      </c>
      <c r="C3" s="791" t="s">
        <v>151</v>
      </c>
      <c r="D3" s="812" t="s">
        <v>187</v>
      </c>
      <c r="E3" s="812" t="s">
        <v>188</v>
      </c>
      <c r="F3" s="812" t="s">
        <v>189</v>
      </c>
      <c r="G3" s="812" t="s">
        <v>190</v>
      </c>
      <c r="H3" s="812" t="s">
        <v>191</v>
      </c>
      <c r="I3" s="813" t="s">
        <v>192</v>
      </c>
      <c r="J3" s="814" t="s">
        <v>308</v>
      </c>
      <c r="K3" s="812" t="s">
        <v>193</v>
      </c>
      <c r="L3" s="813" t="s">
        <v>194</v>
      </c>
      <c r="M3" s="815" t="s">
        <v>309</v>
      </c>
      <c r="N3" s="816" t="s">
        <v>75</v>
      </c>
      <c r="O3" s="816" t="s">
        <v>76</v>
      </c>
      <c r="P3" s="816" t="s">
        <v>229</v>
      </c>
      <c r="Q3" s="817" t="s">
        <v>78</v>
      </c>
      <c r="R3" s="812" t="s">
        <v>195</v>
      </c>
      <c r="S3" s="817" t="s">
        <v>196</v>
      </c>
      <c r="T3" s="920" t="s">
        <v>197</v>
      </c>
      <c r="U3" s="813" t="s">
        <v>240</v>
      </c>
      <c r="V3" s="813" t="s">
        <v>199</v>
      </c>
      <c r="W3" s="813" t="s">
        <v>183</v>
      </c>
      <c r="X3" s="818" t="s">
        <v>200</v>
      </c>
      <c r="Y3" s="819" t="s">
        <v>201</v>
      </c>
      <c r="Z3" s="820" t="s">
        <v>235</v>
      </c>
      <c r="AA3" s="819" t="s">
        <v>310</v>
      </c>
      <c r="AB3" s="819" t="s">
        <v>311</v>
      </c>
      <c r="AC3" s="821" t="s">
        <v>312</v>
      </c>
      <c r="AD3" s="822" t="s">
        <v>313</v>
      </c>
      <c r="AE3" s="823" t="s">
        <v>314</v>
      </c>
      <c r="AF3" s="824" t="s">
        <v>208</v>
      </c>
      <c r="AG3" s="824" t="s">
        <v>152</v>
      </c>
      <c r="AH3" s="824" t="s">
        <v>479</v>
      </c>
      <c r="AI3" s="824" t="s">
        <v>230</v>
      </c>
      <c r="AJ3" s="825" t="s">
        <v>315</v>
      </c>
      <c r="AK3" s="826" t="s">
        <v>316</v>
      </c>
      <c r="AL3" s="826" t="s">
        <v>317</v>
      </c>
      <c r="AM3" s="821" t="s">
        <v>318</v>
      </c>
      <c r="AN3" s="821" t="s">
        <v>319</v>
      </c>
      <c r="AO3" s="821" t="s">
        <v>320</v>
      </c>
      <c r="AP3" s="821" t="s">
        <v>231</v>
      </c>
      <c r="AQ3" s="821" t="s">
        <v>321</v>
      </c>
      <c r="AR3" s="821" t="s">
        <v>322</v>
      </c>
      <c r="AS3" s="821" t="s">
        <v>553</v>
      </c>
      <c r="AT3" s="922" t="s">
        <v>224</v>
      </c>
      <c r="AU3" s="827" t="s">
        <v>269</v>
      </c>
      <c r="AV3" s="827" t="s">
        <v>306</v>
      </c>
      <c r="AW3" s="827" t="s">
        <v>325</v>
      </c>
      <c r="AX3" s="827" t="s">
        <v>326</v>
      </c>
      <c r="AY3" s="827" t="s">
        <v>307</v>
      </c>
      <c r="AZ3" s="827" t="s">
        <v>323</v>
      </c>
      <c r="BA3" s="827" t="s">
        <v>324</v>
      </c>
      <c r="BB3" s="827" t="s">
        <v>301</v>
      </c>
      <c r="BC3" s="821" t="s">
        <v>300</v>
      </c>
      <c r="BD3" s="821" t="s">
        <v>552</v>
      </c>
    </row>
    <row r="4" spans="1:56" ht="15.75" customHeight="1">
      <c r="A4" s="912">
        <v>46143</v>
      </c>
      <c r="B4" s="828">
        <v>1</v>
      </c>
      <c r="C4" s="792" t="s">
        <v>406</v>
      </c>
      <c r="D4" s="829">
        <f>+Tabla1[[#This Row],[FECHA Entrega]]</f>
        <v>46168.793055555558</v>
      </c>
      <c r="E4" s="830">
        <v>700000869</v>
      </c>
      <c r="F4" s="831" t="s">
        <v>358</v>
      </c>
      <c r="G4" s="832" t="s">
        <v>357</v>
      </c>
      <c r="H4" s="833">
        <v>46168.793055555558</v>
      </c>
      <c r="I4" s="834">
        <f>564*50</f>
        <v>28200</v>
      </c>
      <c r="J4" s="835">
        <f>0.315*Tabla1[[#This Row],[TIPO DE CAMBIO]]</f>
        <v>455.58481499999999</v>
      </c>
      <c r="K4" s="836">
        <f>+J4*I4</f>
        <v>12847491.783</v>
      </c>
      <c r="L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2697973.2744299998</v>
      </c>
      <c r="M4" s="837">
        <f t="shared" ref="M4:M71" si="0">SUM(K4:L4)</f>
        <v>15545465.057429999</v>
      </c>
      <c r="N4" s="838"/>
      <c r="O4" s="838">
        <v>0</v>
      </c>
      <c r="P4" s="838">
        <v>0</v>
      </c>
      <c r="Q4" s="839">
        <f>+Tabla1[[#This Row],[VENTA TOTAL $ (IVA INC) ]]-Tabla1[[#This Row],[PENDIENTE DE COBRO]]</f>
        <v>15545465.057429999</v>
      </c>
      <c r="R4" s="840">
        <f>+Tabla1[[#This Row],[FECHA FC]]+Tabla1[[#This Row],[PLAZO ENTREGA VALORES]]</f>
        <v>46051</v>
      </c>
      <c r="S4" s="840">
        <f>+Tabla1[[#This Row],[FECHA FC]]+Tabla1[[#This Row],[PLAZO PAGO (DIAS)]]</f>
        <v>46168.793055555558</v>
      </c>
      <c r="T4" s="834">
        <f ca="1">+S4-$U$2</f>
        <v>-12.206944444442343</v>
      </c>
      <c r="U4" s="831">
        <f>+Tabla1[[#This Row],[FECHA OC]]-Tabla1[[#This Row],[FECHA Entrega]]</f>
        <v>-117.79305555555766</v>
      </c>
      <c r="V4" s="831"/>
      <c r="W4" s="841">
        <f>+Tabla1[[#This Row],[FECHA VTO VALORES]]+7</f>
        <v>46175.793055555558</v>
      </c>
      <c r="X4" s="831"/>
      <c r="Y4" s="840">
        <v>46051</v>
      </c>
      <c r="Z4" s="842">
        <f>Tabla1[[#This Row],[KGS]]/50</f>
        <v>564</v>
      </c>
      <c r="AA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4" s="844">
        <f>-Tabla1[[#This Row],[COSTO FLETE $ POR BOLSA 5O KG (SIN IVA)]]*1.21-Tabla1[[#This Row],[PRECIO $/ KG A PLAZO EN CLIENTE ( SIN IVA)]]*0.003*1.21*50</f>
        <v>-0.40864392249999071</v>
      </c>
      <c r="AC4" s="845">
        <f>SUM(Tabla1[[#This Row],[PRECIO $ BOLSA 50 KG (IVA INC) ]]+Tabla1[[#This Row],[COSTO FLETE $ BOLSA 50 KG (IVA INC)]])</f>
        <v>27562.4726635775</v>
      </c>
      <c r="AD4" s="844">
        <f>-Tabla1[[#This Row],[PRECIO $ BOLSA 50 KG (IVA INC) ]]*(Tabla1[[#This Row],[TASA FINANCIACION MENSUAL]]/365)*Tabla1[[#This Row],[PLAZO ENTREGA VALORES]]</f>
        <v>257.95825825929342</v>
      </c>
      <c r="AE4" s="845">
        <f>SUM(Tabla1[[#This Row],[PRECIO $ BOLSA50 KG  FOB TUCUMAN A PLAZO (IVA INC)]]+Tabla1[[#This Row],[GASTOS FINANCIEROS $ BOLSA 50 KG (IVA INC)]])</f>
        <v>27820.430921836793</v>
      </c>
      <c r="AF4" s="828" t="s">
        <v>476</v>
      </c>
      <c r="AG4" s="828" t="s">
        <v>365</v>
      </c>
      <c r="AH4" s="828" t="s">
        <v>387</v>
      </c>
      <c r="AI4" s="828" t="s">
        <v>261</v>
      </c>
      <c r="AJ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4" s="846">
        <f>SUM(Tabla1[[#This Row],[PRECIO $ BOLSA 50KG  FOB CDO TUC (IVA INC)]]-Tabla1[[#This Row],[PRECIO REF $ BOLSA 50 KG CACTU (IVA INC)]])</f>
        <v>-4694.5690781632075</v>
      </c>
      <c r="AL4" s="847">
        <f>IFERROR(Tabla1[[#This Row],[PRECIO $ BOLSA 50KG  FOB CDO TUC (IVA INC)]]/Tabla1[[#This Row],[PRECIO REF $ BOLSA 50 KG CACTU (IVA INC)]]-1,"")</f>
        <v>-0.14438164164733835</v>
      </c>
      <c r="AM4" s="846">
        <f>+Tabla1[[#This Row],[DIF $ PRECIO NETO INDUSTRIA vs Neto TUCUMAN (IVA INC)]]*Tabla1[[#This Row],[Q Bolsas Equivalentes 50kg]]</f>
        <v>-2647736.960084049</v>
      </c>
      <c r="AN4" s="846">
        <f>Tabla1[[#This Row],[PRECIO REF $ BOLSA 50 KG CACTU (IVA INC)]]*Tabla1[[#This Row],[Q Bolsas Equivalentes 50kg]]</f>
        <v>18338460</v>
      </c>
      <c r="AO4" s="846">
        <f>+Tabla1[[#This Row],[PRECIO $ BOLSA 50KG  FOB CDO TUC (IVA INC)]]*Tabla1[[#This Row],[Q Bolsas Equivalentes 50kg]]</f>
        <v>15690723.039915951</v>
      </c>
      <c r="AP4" s="847">
        <v>2.9000000000000001E-2</v>
      </c>
      <c r="AQ4" s="846">
        <v>-68</v>
      </c>
      <c r="AR4" s="848"/>
      <c r="AS4" s="849"/>
      <c r="AT4" s="923">
        <f>+Tabla1[[#This Row],[VENTA TOTAL $ (IVA INC) ]]-(SUM(Tabla1[[#This Row],[PENDIENTE DE ENTREGA]:[VALORES COBRADOS]]))</f>
        <v>0</v>
      </c>
      <c r="AU4" s="850">
        <f>VLOOKUP(Tabla1[[#This Row],[FECHA OC]],'TIPO DE CAMBIO'!A:B,2,TRUE)</f>
        <v>1446.3009999999999</v>
      </c>
      <c r="AV4" s="850">
        <f>+Tabla1[[#This Row],[SUBTOTAL]]/Tabla1[[#This Row],[TIPO DE CAMBIO]]</f>
        <v>8883</v>
      </c>
      <c r="AW4" s="851"/>
      <c r="AX4" s="850">
        <f>IFERROR(Tabla1[[#This Row],[VENTA TOTAL USD A PLAZO EN CLIENTE  (SIN IVA)]]*(1+Tabla1[[#This Row],[% IVA ]]),"")</f>
        <v>8883</v>
      </c>
      <c r="AY4" s="850">
        <f>+Tabla1[[#This Row],[VENTA TOTAL USD A PLAZO EN CLIENTE  (SIN IVA)]]/Tabla1[[#This Row],[KGS]]*1000</f>
        <v>315</v>
      </c>
      <c r="AZ4" s="850">
        <v>0</v>
      </c>
      <c r="BA4" s="850">
        <f>+Tabla1[[#This Row],[GASTOS FINANCIEROS $ BOLSA 50 KG (IVA INC)]]*20/Tabla1[[#This Row],[TIPO DE CAMBIO]]</f>
        <v>3.5671448510274613</v>
      </c>
      <c r="BB4" s="850">
        <f>+Tabla1[[#This Row],[PRECIO POR TN USD EN CLIENTE A PLAZO (SIN IVA)]]+Tabla1[[#This Row],[COSTO USD FLETE /TN (SIN IVA)]]+Tabla1[[#This Row],[COSTO FINANCIERO USD POR BOLSA 50KG (IVA INC)]]</f>
        <v>318.56714485102748</v>
      </c>
      <c r="BC4" s="848">
        <v>5</v>
      </c>
      <c r="BD4" s="944"/>
    </row>
    <row r="5" spans="1:56" ht="15.75" customHeight="1">
      <c r="A5" s="912">
        <v>46143</v>
      </c>
      <c r="B5" s="828">
        <v>1</v>
      </c>
      <c r="C5" s="792" t="s">
        <v>406</v>
      </c>
      <c r="D5" s="829">
        <f>+Tabla1[[#This Row],[FECHA Entrega]]</f>
        <v>46168.938194444447</v>
      </c>
      <c r="E5" s="830">
        <v>700000869</v>
      </c>
      <c r="F5" s="831" t="s">
        <v>358</v>
      </c>
      <c r="G5" s="832" t="s">
        <v>357</v>
      </c>
      <c r="H5" s="833">
        <v>46168.938194444447</v>
      </c>
      <c r="I5" s="834">
        <f>600*50</f>
        <v>30000</v>
      </c>
      <c r="J5" s="835">
        <f>0.315*Tabla1[[#This Row],[TIPO DE CAMBIO]]</f>
        <v>455.58481499999999</v>
      </c>
      <c r="K5" s="836">
        <f t="shared" ref="K5:K90" si="1">+J5*I5</f>
        <v>13667544.449999999</v>
      </c>
      <c r="L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2870184.3344999999</v>
      </c>
      <c r="M5" s="837">
        <f t="shared" si="0"/>
        <v>16537728.784499999</v>
      </c>
      <c r="N5" s="838"/>
      <c r="O5" s="838">
        <v>0</v>
      </c>
      <c r="P5" s="838">
        <v>0</v>
      </c>
      <c r="Q5" s="839">
        <f>+Tabla1[[#This Row],[VENTA TOTAL $ (IVA INC) ]]-Tabla1[[#This Row],[PENDIENTE DE COBRO]]</f>
        <v>16537728.784499999</v>
      </c>
      <c r="R5" s="840">
        <f>+Tabla1[[#This Row],[FECHA FC]]+Tabla1[[#This Row],[PLAZO ENTREGA VALORES]]</f>
        <v>46051</v>
      </c>
      <c r="S5" s="840">
        <f>+Tabla1[[#This Row],[FECHA FC]]+Tabla1[[#This Row],[PLAZO PAGO (DIAS)]]</f>
        <v>46168.938194444447</v>
      </c>
      <c r="T5" s="834">
        <f ca="1">+S5-$U$2</f>
        <v>-12.061805555553292</v>
      </c>
      <c r="U5" s="831">
        <f>+Tabla1[[#This Row],[FECHA OC]]-Tabla1[[#This Row],[FECHA Entrega]]</f>
        <v>-117.93819444444671</v>
      </c>
      <c r="V5" s="831"/>
      <c r="W5" s="841">
        <f>+Tabla1[[#This Row],[FECHA VTO VALORES]]+7</f>
        <v>46175.938194444447</v>
      </c>
      <c r="X5" s="831"/>
      <c r="Y5" s="840">
        <v>46051</v>
      </c>
      <c r="Z5" s="842">
        <f>Tabla1[[#This Row],[KGS]]/50</f>
        <v>600</v>
      </c>
      <c r="AA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5" s="844">
        <f>-Tabla1[[#This Row],[COSTO FLETE $ POR BOLSA 5O KG (SIN IVA)]]*1.21-Tabla1[[#This Row],[PRECIO $/ KG A PLAZO EN CLIENTE ( SIN IVA)]]*0.003*1.21*50</f>
        <v>-0.40864392249999071</v>
      </c>
      <c r="AC5" s="845">
        <f>SUM(Tabla1[[#This Row],[PRECIO $ BOLSA 50 KG (IVA INC) ]]+Tabla1[[#This Row],[COSTO FLETE $ BOLSA 50 KG (IVA INC)]])</f>
        <v>27562.4726635775</v>
      </c>
      <c r="AD5" s="844">
        <f>-Tabla1[[#This Row],[PRECIO $ BOLSA 50 KG (IVA INC) ]]*(Tabla1[[#This Row],[TASA FINANCIACION MENSUAL]]/365)*Tabla1[[#This Row],[PLAZO ENTREGA VALORES]]</f>
        <v>258.27610191150978</v>
      </c>
      <c r="AE5" s="845">
        <f>SUM(Tabla1[[#This Row],[PRECIO $ BOLSA50 KG  FOB TUCUMAN A PLAZO (IVA INC)]]+Tabla1[[#This Row],[GASTOS FINANCIEROS $ BOLSA 50 KG (IVA INC)]])</f>
        <v>27820.74876548901</v>
      </c>
      <c r="AF5" s="828" t="s">
        <v>476</v>
      </c>
      <c r="AG5" s="828" t="s">
        <v>365</v>
      </c>
      <c r="AH5" s="828" t="s">
        <v>387</v>
      </c>
      <c r="AI5" s="828" t="s">
        <v>261</v>
      </c>
      <c r="AJ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5" s="846">
        <f>SUM(Tabla1[[#This Row],[PRECIO $ BOLSA 50KG  FOB CDO TUC (IVA INC)]]-Tabla1[[#This Row],[PRECIO REF $ BOLSA 50 KG CACTU (IVA INC)]])</f>
        <v>-4694.2512345109899</v>
      </c>
      <c r="AL5" s="847">
        <f>IFERROR(Tabla1[[#This Row],[PRECIO $ BOLSA 50KG  FOB CDO TUC (IVA INC)]]/Tabla1[[#This Row],[PRECIO REF $ BOLSA 50 KG CACTU (IVA INC)]]-1,"")</f>
        <v>-0.14437186635432842</v>
      </c>
      <c r="AM5" s="846">
        <f>+Tabla1[[#This Row],[DIF $ PRECIO NETO INDUSTRIA vs Neto TUCUMAN (IVA INC)]]*Tabla1[[#This Row],[Q Bolsas Equivalentes 50kg]]</f>
        <v>-2816550.7407065937</v>
      </c>
      <c r="AN5" s="846">
        <f>Tabla1[[#This Row],[PRECIO REF $ BOLSA 50 KG CACTU (IVA INC)]]*Tabla1[[#This Row],[Q Bolsas Equivalentes 50kg]]</f>
        <v>19509000</v>
      </c>
      <c r="AO5" s="846">
        <f>+Tabla1[[#This Row],[PRECIO $ BOLSA 50KG  FOB CDO TUC (IVA INC)]]*Tabla1[[#This Row],[Q Bolsas Equivalentes 50kg]]</f>
        <v>16692449.259293405</v>
      </c>
      <c r="AP5" s="847">
        <v>2.9000000000000001E-2</v>
      </c>
      <c r="AQ5" s="846">
        <v>-68</v>
      </c>
      <c r="AR5" s="848"/>
      <c r="AS5" s="849"/>
      <c r="AT5" s="923">
        <f>+Tabla1[[#This Row],[VENTA TOTAL $ (IVA INC) ]]-(SUM(Tabla1[[#This Row],[PENDIENTE DE ENTREGA]:[VALORES COBRADOS]]))</f>
        <v>0</v>
      </c>
      <c r="AU5" s="850">
        <f>VLOOKUP(Tabla1[[#This Row],[FECHA OC]],'TIPO DE CAMBIO'!A:B,2,TRUE)</f>
        <v>1446.3009999999999</v>
      </c>
      <c r="AV5" s="850">
        <f>+Tabla1[[#This Row],[SUBTOTAL]]/Tabla1[[#This Row],[TIPO DE CAMBIO]]</f>
        <v>9450</v>
      </c>
      <c r="AW5" s="851"/>
      <c r="AX5" s="850">
        <f>IFERROR(Tabla1[[#This Row],[VENTA TOTAL USD A PLAZO EN CLIENTE  (SIN IVA)]]*(1+Tabla1[[#This Row],[% IVA ]]),"")</f>
        <v>9450</v>
      </c>
      <c r="AY5" s="850">
        <f>+Tabla1[[#This Row],[VENTA TOTAL USD A PLAZO EN CLIENTE  (SIN IVA)]]/Tabla1[[#This Row],[KGS]]*1000</f>
        <v>315</v>
      </c>
      <c r="AZ5" s="850">
        <v>0</v>
      </c>
      <c r="BA5" s="850">
        <f>+Tabla1[[#This Row],[GASTOS FINANCIEROS $ BOLSA 50 KG (IVA INC)]]*20/Tabla1[[#This Row],[TIPO DE CAMBIO]]</f>
        <v>3.5715401138699319</v>
      </c>
      <c r="BB5" s="850">
        <f>+Tabla1[[#This Row],[PRECIO POR TN USD EN CLIENTE A PLAZO (SIN IVA)]]+Tabla1[[#This Row],[COSTO USD FLETE /TN (SIN IVA)]]+Tabla1[[#This Row],[COSTO FINANCIERO USD POR BOLSA 50KG (IVA INC)]]</f>
        <v>318.57154011386996</v>
      </c>
      <c r="BC5" s="848">
        <v>5</v>
      </c>
      <c r="BD5" s="944"/>
    </row>
    <row r="6" spans="1:56" ht="15.75" customHeight="1">
      <c r="A6" s="912">
        <v>46143</v>
      </c>
      <c r="B6" s="828">
        <v>1</v>
      </c>
      <c r="C6" s="792" t="s">
        <v>406</v>
      </c>
      <c r="D6" s="829">
        <f>+Tabla1[[#This Row],[FECHA Entrega]]</f>
        <v>46168.950694444444</v>
      </c>
      <c r="E6" s="830">
        <v>700000869</v>
      </c>
      <c r="F6" s="831" t="s">
        <v>358</v>
      </c>
      <c r="G6" s="832" t="s">
        <v>357</v>
      </c>
      <c r="H6" s="833">
        <v>46168.950694444444</v>
      </c>
      <c r="I6" s="834">
        <f>579*50</f>
        <v>28950</v>
      </c>
      <c r="J6" s="835">
        <f>0.315*Tabla1[[#This Row],[TIPO DE CAMBIO]]</f>
        <v>455.58481499999999</v>
      </c>
      <c r="K6" s="836">
        <f t="shared" si="1"/>
        <v>13189180.39425</v>
      </c>
      <c r="L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2769727.8827924998</v>
      </c>
      <c r="M6" s="837">
        <f t="shared" si="0"/>
        <v>15958908.277042501</v>
      </c>
      <c r="N6" s="838"/>
      <c r="O6" s="838">
        <v>0</v>
      </c>
      <c r="P6" s="838">
        <v>0</v>
      </c>
      <c r="Q6" s="839">
        <f>+Tabla1[[#This Row],[VENTA TOTAL $ (IVA INC) ]]-Tabla1[[#This Row],[PENDIENTE DE COBRO]]</f>
        <v>15958908.277042501</v>
      </c>
      <c r="R6" s="840">
        <f>+Tabla1[[#This Row],[FECHA FC]]+Tabla1[[#This Row],[PLAZO ENTREGA VALORES]]</f>
        <v>46051</v>
      </c>
      <c r="S6" s="840">
        <f>+Tabla1[[#This Row],[FECHA FC]]+Tabla1[[#This Row],[PLAZO PAGO (DIAS)]]</f>
        <v>46168.950694444444</v>
      </c>
      <c r="T6" s="834">
        <f ca="1">+S6-$U$2</f>
        <v>-12.049305555556202</v>
      </c>
      <c r="U6" s="831">
        <f>+Tabla1[[#This Row],[FECHA OC]]-Tabla1[[#This Row],[FECHA Entrega]]</f>
        <v>-117.9506944444438</v>
      </c>
      <c r="V6" s="831"/>
      <c r="W6" s="841">
        <f>+Tabla1[[#This Row],[FECHA VTO VALORES]]+7</f>
        <v>46175.950694444444</v>
      </c>
      <c r="X6" s="831"/>
      <c r="Y6" s="840">
        <v>46051</v>
      </c>
      <c r="Z6" s="842">
        <f>Tabla1[[#This Row],[KGS]]/50</f>
        <v>579</v>
      </c>
      <c r="AA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6" s="844">
        <f>-Tabla1[[#This Row],[COSTO FLETE $ POR BOLSA 5O KG (SIN IVA)]]*1.21-Tabla1[[#This Row],[PRECIO $/ KG A PLAZO EN CLIENTE ( SIN IVA)]]*0.003*1.21*50</f>
        <v>-0.40864392249999071</v>
      </c>
      <c r="AC6" s="845">
        <f>SUM(Tabla1[[#This Row],[PRECIO $ BOLSA 50 KG (IVA INC) ]]+Tabla1[[#This Row],[COSTO FLETE $ BOLSA 50 KG (IVA INC)]])</f>
        <v>27562.4726635775</v>
      </c>
      <c r="AD6" s="844">
        <f>-Tabla1[[#This Row],[PRECIO $ BOLSA 50 KG (IVA INC) ]]*(Tabla1[[#This Row],[TASA FINANCIACION MENSUAL]]/365)*Tabla1[[#This Row],[PLAZO ENTREGA VALORES]]</f>
        <v>258.30347600595263</v>
      </c>
      <c r="AE6" s="845">
        <f>SUM(Tabla1[[#This Row],[PRECIO $ BOLSA50 KG  FOB TUCUMAN A PLAZO (IVA INC)]]+Tabla1[[#This Row],[GASTOS FINANCIEROS $ BOLSA 50 KG (IVA INC)]])</f>
        <v>27820.776139583453</v>
      </c>
      <c r="AF6" s="828" t="s">
        <v>476</v>
      </c>
      <c r="AG6" s="828" t="s">
        <v>365</v>
      </c>
      <c r="AH6" s="828" t="s">
        <v>387</v>
      </c>
      <c r="AI6" s="828" t="s">
        <v>261</v>
      </c>
      <c r="AJ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6" s="846">
        <f>SUM(Tabla1[[#This Row],[PRECIO $ BOLSA 50KG  FOB CDO TUC (IVA INC)]]-Tabla1[[#This Row],[PRECIO REF $ BOLSA 50 KG CACTU (IVA INC)]])</f>
        <v>-4694.2238604165468</v>
      </c>
      <c r="AL6" s="847">
        <f>IFERROR(Tabla1[[#This Row],[PRECIO $ BOLSA 50KG  FOB CDO TUC (IVA INC)]]/Tabla1[[#This Row],[PRECIO REF $ BOLSA 50 KG CACTU (IVA INC)]]-1,"")</f>
        <v>-0.1443710244630646</v>
      </c>
      <c r="AM6" s="846">
        <f>+Tabla1[[#This Row],[DIF $ PRECIO NETO INDUSTRIA vs Neto TUCUMAN (IVA INC)]]*Tabla1[[#This Row],[Q Bolsas Equivalentes 50kg]]</f>
        <v>-2717955.6151811806</v>
      </c>
      <c r="AN6" s="846">
        <f>Tabla1[[#This Row],[PRECIO REF $ BOLSA 50 KG CACTU (IVA INC)]]*Tabla1[[#This Row],[Q Bolsas Equivalentes 50kg]]</f>
        <v>18826185</v>
      </c>
      <c r="AO6" s="846">
        <f>+Tabla1[[#This Row],[PRECIO $ BOLSA 50KG  FOB CDO TUC (IVA INC)]]*Tabla1[[#This Row],[Q Bolsas Equivalentes 50kg]]</f>
        <v>16108229.38481882</v>
      </c>
      <c r="AP6" s="847">
        <v>2.9000000000000001E-2</v>
      </c>
      <c r="AQ6" s="846">
        <v>-68</v>
      </c>
      <c r="AR6" s="848"/>
      <c r="AS6" s="945" t="s">
        <v>578</v>
      </c>
      <c r="AT6" s="923">
        <f>+Tabla1[[#This Row],[VENTA TOTAL $ (IVA INC) ]]-(SUM(Tabla1[[#This Row],[PENDIENTE DE ENTREGA]:[VALORES COBRADOS]]))</f>
        <v>0</v>
      </c>
      <c r="AU6" s="850">
        <f>VLOOKUP(Tabla1[[#This Row],[FECHA OC]],'TIPO DE CAMBIO'!A:B,2,TRUE)</f>
        <v>1446.3009999999999</v>
      </c>
      <c r="AV6" s="850">
        <f>+Tabla1[[#This Row],[SUBTOTAL]]/Tabla1[[#This Row],[TIPO DE CAMBIO]]</f>
        <v>9119.25</v>
      </c>
      <c r="AW6" s="851"/>
      <c r="AX6" s="850">
        <f>IFERROR(Tabla1[[#This Row],[VENTA TOTAL USD A PLAZO EN CLIENTE  (SIN IVA)]]*(1+Tabla1[[#This Row],[% IVA ]]),"")</f>
        <v>9119.25</v>
      </c>
      <c r="AY6" s="850">
        <f>+Tabla1[[#This Row],[VENTA TOTAL USD A PLAZO EN CLIENTE  (SIN IVA)]]/Tabla1[[#This Row],[KGS]]*1000</f>
        <v>315</v>
      </c>
      <c r="AZ6" s="850">
        <v>0</v>
      </c>
      <c r="BA6" s="850">
        <f>+Tabla1[[#This Row],[GASTOS FINANCIEROS $ BOLSA 50 KG (IVA INC)]]*20/Tabla1[[#This Row],[TIPO DE CAMBIO]]</f>
        <v>3.5719186532534053</v>
      </c>
      <c r="BB6" s="850">
        <f>+Tabla1[[#This Row],[PRECIO POR TN USD EN CLIENTE A PLAZO (SIN IVA)]]+Tabla1[[#This Row],[COSTO USD FLETE /TN (SIN IVA)]]+Tabla1[[#This Row],[COSTO FINANCIERO USD POR BOLSA 50KG (IVA INC)]]</f>
        <v>318.57191865325342</v>
      </c>
      <c r="BC6" s="848">
        <v>5</v>
      </c>
      <c r="BD6" s="944"/>
    </row>
    <row r="7" spans="1:56" ht="15.75" customHeight="1">
      <c r="A7" s="912">
        <v>46143</v>
      </c>
      <c r="B7" s="828">
        <v>1</v>
      </c>
      <c r="C7" s="792" t="s">
        <v>406</v>
      </c>
      <c r="D7" s="829">
        <f>+Tabla1[[#This Row],[FECHA Entrega]]</f>
        <v>46170.651388888888</v>
      </c>
      <c r="E7" s="830">
        <v>700000869</v>
      </c>
      <c r="F7" s="831" t="s">
        <v>358</v>
      </c>
      <c r="G7" s="832" t="s">
        <v>357</v>
      </c>
      <c r="H7" s="833">
        <v>46170.651388888888</v>
      </c>
      <c r="I7" s="834">
        <f>588*50</f>
        <v>29400</v>
      </c>
      <c r="J7" s="835">
        <f>0.315*Tabla1[[#This Row],[TIPO DE CAMBIO]]</f>
        <v>455.58481499999999</v>
      </c>
      <c r="K7" s="836">
        <f t="shared" si="1"/>
        <v>13394193.561000001</v>
      </c>
      <c r="L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2812780.64781</v>
      </c>
      <c r="M7" s="837">
        <f t="shared" si="0"/>
        <v>16206974.208810002</v>
      </c>
      <c r="N7" s="838"/>
      <c r="O7" s="838">
        <v>0</v>
      </c>
      <c r="P7" s="838">
        <v>0</v>
      </c>
      <c r="Q7" s="839">
        <f>+Tabla1[[#This Row],[VENTA TOTAL $ (IVA INC) ]]-Tabla1[[#This Row],[PENDIENTE DE COBRO]]</f>
        <v>16206974.208810002</v>
      </c>
      <c r="R7" s="840">
        <f>+Tabla1[[#This Row],[FECHA FC]]+Tabla1[[#This Row],[PLAZO ENTREGA VALORES]]</f>
        <v>46051</v>
      </c>
      <c r="S7" s="840">
        <f>+Tabla1[[#This Row],[FECHA FC]]+Tabla1[[#This Row],[PLAZO PAGO (DIAS)]]</f>
        <v>46170.651388888888</v>
      </c>
      <c r="T7" s="834">
        <f ca="1">+S7-$U$2</f>
        <v>-10.348611111112405</v>
      </c>
      <c r="U7" s="831">
        <f>+Tabla1[[#This Row],[FECHA OC]]-Tabla1[[#This Row],[FECHA Entrega]]</f>
        <v>-119.6513888888876</v>
      </c>
      <c r="V7" s="831"/>
      <c r="W7" s="841">
        <f>+Tabla1[[#This Row],[FECHA VTO VALORES]]+7</f>
        <v>46177.651388888888</v>
      </c>
      <c r="X7" s="831"/>
      <c r="Y7" s="840">
        <v>46051</v>
      </c>
      <c r="Z7" s="842">
        <f>Tabla1[[#This Row],[KGS]]/50</f>
        <v>588</v>
      </c>
      <c r="AA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7" s="844">
        <f>-Tabla1[[#This Row],[COSTO FLETE $ POR BOLSA 5O KG (SIN IVA)]]*1.21-Tabla1[[#This Row],[PRECIO $/ KG A PLAZO EN CLIENTE ( SIN IVA)]]*0.003*1.21*50</f>
        <v>-0.40864392249999071</v>
      </c>
      <c r="AC7" s="845">
        <f>SUM(Tabla1[[#This Row],[PRECIO $ BOLSA 50 KG (IVA INC) ]]+Tabla1[[#This Row],[COSTO FLETE $ BOLSA 50 KG (IVA INC)]])</f>
        <v>27562.4726635775</v>
      </c>
      <c r="AD7" s="844">
        <f>-Tabla1[[#This Row],[PRECIO $ BOLSA 50 KG (IVA INC) ]]*(Tabla1[[#This Row],[TASA FINANCIACION MENSUAL]]/365)*Tabla1[[#This Row],[PLAZO ENTREGA VALORES]]</f>
        <v>262.0278736340714</v>
      </c>
      <c r="AE7" s="845">
        <f>SUM(Tabla1[[#This Row],[PRECIO $ BOLSA50 KG  FOB TUCUMAN A PLAZO (IVA INC)]]+Tabla1[[#This Row],[GASTOS FINANCIEROS $ BOLSA 50 KG (IVA INC)]])</f>
        <v>27824.50053721157</v>
      </c>
      <c r="AF7" s="828" t="s">
        <v>476</v>
      </c>
      <c r="AG7" s="828" t="s">
        <v>365</v>
      </c>
      <c r="AH7" s="828" t="s">
        <v>387</v>
      </c>
      <c r="AI7" s="828" t="s">
        <v>261</v>
      </c>
      <c r="AJ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7" s="846">
        <f>SUM(Tabla1[[#This Row],[PRECIO $ BOLSA 50KG  FOB CDO TUC (IVA INC)]]-Tabla1[[#This Row],[PRECIO REF $ BOLSA 50 KG CACTU (IVA INC)]])</f>
        <v>-4690.4994627884298</v>
      </c>
      <c r="AL7" s="847">
        <f>IFERROR(Tabla1[[#This Row],[PRECIO $ BOLSA 50KG  FOB CDO TUC (IVA INC)]]/Tabla1[[#This Row],[PRECIO REF $ BOLSA 50 KG CACTU (IVA INC)]]-1,"")</f>
        <v>-0.14425648047942274</v>
      </c>
      <c r="AM7" s="846">
        <f>+Tabla1[[#This Row],[DIF $ PRECIO NETO INDUSTRIA vs Neto TUCUMAN (IVA INC)]]*Tabla1[[#This Row],[Q Bolsas Equivalentes 50kg]]</f>
        <v>-2758013.6841195966</v>
      </c>
      <c r="AN7" s="846">
        <f>Tabla1[[#This Row],[PRECIO REF $ BOLSA 50 KG CACTU (IVA INC)]]*Tabla1[[#This Row],[Q Bolsas Equivalentes 50kg]]</f>
        <v>19118820</v>
      </c>
      <c r="AO7" s="846">
        <f>+Tabla1[[#This Row],[PRECIO $ BOLSA 50KG  FOB CDO TUC (IVA INC)]]*Tabla1[[#This Row],[Q Bolsas Equivalentes 50kg]]</f>
        <v>16360806.315880403</v>
      </c>
      <c r="AP7" s="847">
        <v>2.9000000000000001E-2</v>
      </c>
      <c r="AQ7" s="846">
        <v>-68</v>
      </c>
      <c r="AR7" s="848"/>
      <c r="AS7" s="945" t="s">
        <v>579</v>
      </c>
      <c r="AT7" s="923">
        <f>+Tabla1[[#This Row],[VENTA TOTAL $ (IVA INC) ]]-(SUM(Tabla1[[#This Row],[PENDIENTE DE ENTREGA]:[VALORES COBRADOS]]))</f>
        <v>0</v>
      </c>
      <c r="AU7" s="850">
        <f>VLOOKUP(Tabla1[[#This Row],[FECHA OC]],'TIPO DE CAMBIO'!A:B,2,TRUE)</f>
        <v>1446.3009999999999</v>
      </c>
      <c r="AV7" s="850">
        <f>+Tabla1[[#This Row],[SUBTOTAL]]/Tabla1[[#This Row],[TIPO DE CAMBIO]]</f>
        <v>9261.0000000000018</v>
      </c>
      <c r="AW7" s="851"/>
      <c r="AX7" s="850">
        <f>IFERROR(Tabla1[[#This Row],[VENTA TOTAL USD A PLAZO EN CLIENTE  (SIN IVA)]]*(1+Tabla1[[#This Row],[% IVA ]]),"")</f>
        <v>9261.0000000000018</v>
      </c>
      <c r="AY7" s="850">
        <f>+Tabla1[[#This Row],[VENTA TOTAL USD A PLAZO EN CLIENTE  (SIN IVA)]]/Tabla1[[#This Row],[KGS]]*1000</f>
        <v>315.00000000000006</v>
      </c>
      <c r="AZ7" s="850">
        <v>0</v>
      </c>
      <c r="BA7" s="850">
        <f>+Tabla1[[#This Row],[GASTOS FINANCIEROS $ BOLSA 50 KG (IVA INC)]]*20/Tabla1[[#This Row],[TIPO DE CAMBIO]]</f>
        <v>3.6234210393835231</v>
      </c>
      <c r="BB7" s="850">
        <f>+Tabla1[[#This Row],[PRECIO POR TN USD EN CLIENTE A PLAZO (SIN IVA)]]+Tabla1[[#This Row],[COSTO USD FLETE /TN (SIN IVA)]]+Tabla1[[#This Row],[COSTO FINANCIERO USD POR BOLSA 50KG (IVA INC)]]</f>
        <v>318.62342103938357</v>
      </c>
      <c r="BC7" s="848">
        <v>5</v>
      </c>
      <c r="BD7" s="944"/>
    </row>
    <row r="8" spans="1:56" ht="15.75" customHeight="1">
      <c r="A8" s="912">
        <v>46143</v>
      </c>
      <c r="B8" s="828">
        <v>1</v>
      </c>
      <c r="C8" s="792" t="s">
        <v>406</v>
      </c>
      <c r="D8" s="829">
        <f>+Tabla1[[#This Row],[FECHA Entrega]]</f>
        <v>46170.654861111114</v>
      </c>
      <c r="E8" s="830">
        <v>700000869</v>
      </c>
      <c r="F8" s="831" t="s">
        <v>358</v>
      </c>
      <c r="G8" s="832" t="s">
        <v>357</v>
      </c>
      <c r="H8" s="833">
        <v>46170.654861111114</v>
      </c>
      <c r="I8" s="834">
        <f>581*50</f>
        <v>29050</v>
      </c>
      <c r="J8" s="835">
        <f>0.315*Tabla1[[#This Row],[TIPO DE CAMBIO]]</f>
        <v>455.58481499999999</v>
      </c>
      <c r="K8" s="836">
        <f t="shared" ref="K8:K20" si="2">+J8*I8</f>
        <v>13234738.87575</v>
      </c>
      <c r="L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2779295.1639075</v>
      </c>
      <c r="M8" s="837">
        <f t="shared" si="0"/>
        <v>16014034.0396575</v>
      </c>
      <c r="N8" s="838"/>
      <c r="O8" s="838">
        <v>0</v>
      </c>
      <c r="P8" s="838">
        <v>0</v>
      </c>
      <c r="Q8" s="839">
        <f>+Tabla1[[#This Row],[VENTA TOTAL $ (IVA INC) ]]-Tabla1[[#This Row],[PENDIENTE DE COBRO]]</f>
        <v>16014034.0396575</v>
      </c>
      <c r="R8" s="840">
        <f>+Tabla1[[#This Row],[FECHA FC]]+Tabla1[[#This Row],[PLAZO ENTREGA VALORES]]</f>
        <v>46051</v>
      </c>
      <c r="S8" s="840">
        <f>+Tabla1[[#This Row],[FECHA FC]]+Tabla1[[#This Row],[PLAZO PAGO (DIAS)]]</f>
        <v>46170.654861111114</v>
      </c>
      <c r="T8" s="834">
        <f t="shared" ref="T8:T20" ca="1" si="3">+S8-$U$2</f>
        <v>-10.34513888888614</v>
      </c>
      <c r="U8" s="831">
        <f>+Tabla1[[#This Row],[FECHA OC]]-Tabla1[[#This Row],[FECHA Entrega]]</f>
        <v>-119.65486111111386</v>
      </c>
      <c r="V8" s="831"/>
      <c r="W8" s="841">
        <f>+Tabla1[[#This Row],[FECHA VTO VALORES]]+7</f>
        <v>46177.654861111114</v>
      </c>
      <c r="X8" s="831"/>
      <c r="Y8" s="840">
        <v>46051</v>
      </c>
      <c r="Z8" s="842">
        <f>Tabla1[[#This Row],[KGS]]/50</f>
        <v>581</v>
      </c>
      <c r="AA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8" s="844">
        <f>-Tabla1[[#This Row],[COSTO FLETE $ POR BOLSA 5O KG (SIN IVA)]]*1.21-Tabla1[[#This Row],[PRECIO $/ KG A PLAZO EN CLIENTE ( SIN IVA)]]*0.003*1.21*50</f>
        <v>-0.40864392249999071</v>
      </c>
      <c r="AC8" s="845">
        <f>SUM(Tabla1[[#This Row],[PRECIO $ BOLSA 50 KG (IVA INC) ]]+Tabla1[[#This Row],[COSTO FLETE $ BOLSA 50 KG (IVA INC)]])</f>
        <v>27562.4726635775</v>
      </c>
      <c r="AD8" s="844">
        <f>-Tabla1[[#This Row],[PRECIO $ BOLSA 50 KG (IVA INC) ]]*(Tabla1[[#This Row],[TASA FINANCIACION MENSUAL]]/365)*Tabla1[[#This Row],[PLAZO ENTREGA VALORES]]</f>
        <v>262.03547754920504</v>
      </c>
      <c r="AE8" s="845">
        <f>SUM(Tabla1[[#This Row],[PRECIO $ BOLSA50 KG  FOB TUCUMAN A PLAZO (IVA INC)]]+Tabla1[[#This Row],[GASTOS FINANCIEROS $ BOLSA 50 KG (IVA INC)]])</f>
        <v>27824.508141126706</v>
      </c>
      <c r="AF8" s="828" t="s">
        <v>476</v>
      </c>
      <c r="AG8" s="828" t="s">
        <v>365</v>
      </c>
      <c r="AH8" s="828" t="s">
        <v>387</v>
      </c>
      <c r="AI8" s="828" t="s">
        <v>261</v>
      </c>
      <c r="AJ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8" s="846">
        <f>SUM(Tabla1[[#This Row],[PRECIO $ BOLSA 50KG  FOB CDO TUC (IVA INC)]]-Tabla1[[#This Row],[PRECIO REF $ BOLSA 50 KG CACTU (IVA INC)]])</f>
        <v>-4690.4918588732944</v>
      </c>
      <c r="AL8" s="847">
        <f>IFERROR(Tabla1[[#This Row],[PRECIO $ BOLSA 50KG  FOB CDO TUC (IVA INC)]]/Tabla1[[#This Row],[PRECIO REF $ BOLSA 50 KG CACTU (IVA INC)]]-1,"")</f>
        <v>-0.14425624662073799</v>
      </c>
      <c r="AM8" s="846">
        <f>+Tabla1[[#This Row],[DIF $ PRECIO NETO INDUSTRIA vs Neto TUCUMAN (IVA INC)]]*Tabla1[[#This Row],[Q Bolsas Equivalentes 50kg]]</f>
        <v>-2725175.770005384</v>
      </c>
      <c r="AN8" s="846">
        <f>Tabla1[[#This Row],[PRECIO REF $ BOLSA 50 KG CACTU (IVA INC)]]*Tabla1[[#This Row],[Q Bolsas Equivalentes 50kg]]</f>
        <v>18891215</v>
      </c>
      <c r="AO8" s="846">
        <f>+Tabla1[[#This Row],[PRECIO $ BOLSA 50KG  FOB CDO TUC (IVA INC)]]*Tabla1[[#This Row],[Q Bolsas Equivalentes 50kg]]</f>
        <v>16166039.229994616</v>
      </c>
      <c r="AP8" s="847">
        <v>2.9000000000000001E-2</v>
      </c>
      <c r="AQ8" s="846">
        <v>-68</v>
      </c>
      <c r="AR8" s="848"/>
      <c r="AS8" s="945" t="s">
        <v>580</v>
      </c>
      <c r="AT8" s="923">
        <f>+Tabla1[[#This Row],[VENTA TOTAL $ (IVA INC) ]]-(SUM(Tabla1[[#This Row],[PENDIENTE DE ENTREGA]:[VALORES COBRADOS]]))</f>
        <v>0</v>
      </c>
      <c r="AU8" s="850">
        <f>VLOOKUP(Tabla1[[#This Row],[FECHA OC]],'TIPO DE CAMBIO'!A:B,2,TRUE)</f>
        <v>1446.3009999999999</v>
      </c>
      <c r="AV8" s="850">
        <f>+Tabla1[[#This Row],[SUBTOTAL]]/Tabla1[[#This Row],[TIPO DE CAMBIO]]</f>
        <v>9150.75</v>
      </c>
      <c r="AW8" s="851"/>
      <c r="AX8" s="850">
        <f>IFERROR(Tabla1[[#This Row],[VENTA TOTAL USD A PLAZO EN CLIENTE  (SIN IVA)]]*(1+Tabla1[[#This Row],[% IVA ]]),"")</f>
        <v>9150.75</v>
      </c>
      <c r="AY8" s="850">
        <f>+Tabla1[[#This Row],[VENTA TOTAL USD A PLAZO EN CLIENTE  (SIN IVA)]]/Tabla1[[#This Row],[KGS]]*1000</f>
        <v>315</v>
      </c>
      <c r="AZ8" s="850">
        <v>0</v>
      </c>
      <c r="BA8" s="850">
        <f>+Tabla1[[#This Row],[GASTOS FINANCIEROS $ BOLSA 50 KG (IVA INC)]]*20/Tabla1[[#This Row],[TIPO DE CAMBIO]]</f>
        <v>3.6235261892124124</v>
      </c>
      <c r="BB8" s="850">
        <f>+Tabla1[[#This Row],[PRECIO POR TN USD EN CLIENTE A PLAZO (SIN IVA)]]+Tabla1[[#This Row],[COSTO USD FLETE /TN (SIN IVA)]]+Tabla1[[#This Row],[COSTO FINANCIERO USD POR BOLSA 50KG (IVA INC)]]</f>
        <v>318.62352618921238</v>
      </c>
      <c r="BC8" s="848">
        <v>5</v>
      </c>
      <c r="BD8" s="944"/>
    </row>
    <row r="9" spans="1:56" ht="15.75" customHeight="1">
      <c r="A9" s="912">
        <v>46143</v>
      </c>
      <c r="B9" s="828">
        <v>1</v>
      </c>
      <c r="C9" s="792" t="s">
        <v>406</v>
      </c>
      <c r="D9" s="829">
        <f>+Tabla1[[#This Row],[FECHA Entrega]]</f>
        <v>46170.757638888892</v>
      </c>
      <c r="E9" s="830">
        <v>700000869</v>
      </c>
      <c r="F9" s="831" t="s">
        <v>358</v>
      </c>
      <c r="G9" s="832" t="s">
        <v>357</v>
      </c>
      <c r="H9" s="833">
        <v>46170.757638888892</v>
      </c>
      <c r="I9" s="834">
        <f>586*50</f>
        <v>29300</v>
      </c>
      <c r="J9" s="835">
        <f>0.315*Tabla1[[#This Row],[TIPO DE CAMBIO]]</f>
        <v>455.58481499999999</v>
      </c>
      <c r="K9" s="836">
        <f t="shared" si="2"/>
        <v>13348635.079499999</v>
      </c>
      <c r="L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2803213.3666949999</v>
      </c>
      <c r="M9" s="837">
        <f t="shared" si="0"/>
        <v>16151848.446194999</v>
      </c>
      <c r="N9" s="838"/>
      <c r="O9" s="838">
        <v>0</v>
      </c>
      <c r="P9" s="838">
        <v>0</v>
      </c>
      <c r="Q9" s="839">
        <f>+Tabla1[[#This Row],[VENTA TOTAL $ (IVA INC) ]]-Tabla1[[#This Row],[PENDIENTE DE COBRO]]</f>
        <v>16151848.446194999</v>
      </c>
      <c r="R9" s="840">
        <f>+Tabla1[[#This Row],[FECHA FC]]+Tabla1[[#This Row],[PLAZO ENTREGA VALORES]]</f>
        <v>46051</v>
      </c>
      <c r="S9" s="840">
        <f>+Tabla1[[#This Row],[FECHA FC]]+Tabla1[[#This Row],[PLAZO PAGO (DIAS)]]</f>
        <v>46170.757638888892</v>
      </c>
      <c r="T9" s="834">
        <f t="shared" ca="1" si="3"/>
        <v>-10.242361111108039</v>
      </c>
      <c r="U9" s="831">
        <f>+Tabla1[[#This Row],[FECHA OC]]-Tabla1[[#This Row],[FECHA Entrega]]</f>
        <v>-119.75763888889196</v>
      </c>
      <c r="V9" s="831"/>
      <c r="W9" s="841">
        <f>+Tabla1[[#This Row],[FECHA VTO VALORES]]+7</f>
        <v>46177.757638888892</v>
      </c>
      <c r="X9" s="831"/>
      <c r="Y9" s="840">
        <v>46051</v>
      </c>
      <c r="Z9" s="842">
        <f>Tabla1[[#This Row],[KGS]]/50</f>
        <v>586</v>
      </c>
      <c r="AA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9" s="844">
        <f>-Tabla1[[#This Row],[COSTO FLETE $ POR BOLSA 5O KG (SIN IVA)]]*1.21-Tabla1[[#This Row],[PRECIO $/ KG A PLAZO EN CLIENTE ( SIN IVA)]]*0.003*1.21*50</f>
        <v>-0.40864392249999071</v>
      </c>
      <c r="AC9" s="845">
        <f>SUM(Tabla1[[#This Row],[PRECIO $ BOLSA 50 KG (IVA INC) ]]+Tabla1[[#This Row],[COSTO FLETE $ BOLSA 50 KG (IVA INC)]])</f>
        <v>27562.4726635775</v>
      </c>
      <c r="AD9" s="844">
        <f>-Tabla1[[#This Row],[PRECIO $ BOLSA 50 KG (IVA INC) ]]*(Tabla1[[#This Row],[TASA FINANCIACION MENSUAL]]/365)*Tabla1[[#This Row],[PLAZO ENTREGA VALORES]]</f>
        <v>262.26055343689939</v>
      </c>
      <c r="AE9" s="845">
        <f>SUM(Tabla1[[#This Row],[PRECIO $ BOLSA50 KG  FOB TUCUMAN A PLAZO (IVA INC)]]+Tabla1[[#This Row],[GASTOS FINANCIEROS $ BOLSA 50 KG (IVA INC)]])</f>
        <v>27824.7332170144</v>
      </c>
      <c r="AF9" s="828" t="s">
        <v>476</v>
      </c>
      <c r="AG9" s="828" t="s">
        <v>365</v>
      </c>
      <c r="AH9" s="828" t="s">
        <v>387</v>
      </c>
      <c r="AI9" s="828" t="s">
        <v>261</v>
      </c>
      <c r="AJ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9" s="846">
        <f>SUM(Tabla1[[#This Row],[PRECIO $ BOLSA 50KG  FOB CDO TUC (IVA INC)]]-Tabla1[[#This Row],[PRECIO REF $ BOLSA 50 KG CACTU (IVA INC)]])</f>
        <v>-4690.2667829856</v>
      </c>
      <c r="AL9" s="847">
        <f>IFERROR(Tabla1[[#This Row],[PRECIO $ BOLSA 50KG  FOB CDO TUC (IVA INC)]]/Tabla1[[#This Row],[PRECIO REF $ BOLSA 50 KG CACTU (IVA INC)]]-1,"")</f>
        <v>-0.14424932440367833</v>
      </c>
      <c r="AM9" s="846">
        <f>+Tabla1[[#This Row],[DIF $ PRECIO NETO INDUSTRIA vs Neto TUCUMAN (IVA INC)]]*Tabla1[[#This Row],[Q Bolsas Equivalentes 50kg]]</f>
        <v>-2748496.3348295614</v>
      </c>
      <c r="AN9" s="846">
        <f>Tabla1[[#This Row],[PRECIO REF $ BOLSA 50 KG CACTU (IVA INC)]]*Tabla1[[#This Row],[Q Bolsas Equivalentes 50kg]]</f>
        <v>19053790</v>
      </c>
      <c r="AO9" s="846">
        <f>+Tabla1[[#This Row],[PRECIO $ BOLSA 50KG  FOB CDO TUC (IVA INC)]]*Tabla1[[#This Row],[Q Bolsas Equivalentes 50kg]]</f>
        <v>16305293.665170439</v>
      </c>
      <c r="AP9" s="847">
        <v>2.9000000000000001E-2</v>
      </c>
      <c r="AQ9" s="846">
        <v>-68</v>
      </c>
      <c r="AR9" s="848"/>
      <c r="AS9" s="945" t="s">
        <v>581</v>
      </c>
      <c r="AT9" s="923">
        <f>+Tabla1[[#This Row],[VENTA TOTAL $ (IVA INC) ]]-(SUM(Tabla1[[#This Row],[PENDIENTE DE ENTREGA]:[VALORES COBRADOS]]))</f>
        <v>0</v>
      </c>
      <c r="AU9" s="850">
        <f>VLOOKUP(Tabla1[[#This Row],[FECHA OC]],'TIPO DE CAMBIO'!A:B,2,TRUE)</f>
        <v>1446.3009999999999</v>
      </c>
      <c r="AV9" s="850">
        <f>+Tabla1[[#This Row],[SUBTOTAL]]/Tabla1[[#This Row],[TIPO DE CAMBIO]]</f>
        <v>9229.5</v>
      </c>
      <c r="AW9" s="851"/>
      <c r="AX9" s="850">
        <f>IFERROR(Tabla1[[#This Row],[VENTA TOTAL USD A PLAZO EN CLIENTE  (SIN IVA)]]*(1+Tabla1[[#This Row],[% IVA ]]),"")</f>
        <v>9229.5</v>
      </c>
      <c r="AY9" s="850">
        <f>+Tabla1[[#This Row],[VENTA TOTAL USD A PLAZO EN CLIENTE  (SIN IVA)]]/Tabla1[[#This Row],[KGS]]*1000</f>
        <v>315</v>
      </c>
      <c r="AZ9" s="850">
        <v>0</v>
      </c>
      <c r="BA9" s="850">
        <f>+Tabla1[[#This Row],[GASTOS FINANCIEROS $ BOLSA 50 KG (IVA INC)]]*20/Tabla1[[#This Row],[TIPO DE CAMBIO]]</f>
        <v>3.6266386241439288</v>
      </c>
      <c r="BB9" s="850">
        <f>+Tabla1[[#This Row],[PRECIO POR TN USD EN CLIENTE A PLAZO (SIN IVA)]]+Tabla1[[#This Row],[COSTO USD FLETE /TN (SIN IVA)]]+Tabla1[[#This Row],[COSTO FINANCIERO USD POR BOLSA 50KG (IVA INC)]]</f>
        <v>318.62663862414394</v>
      </c>
      <c r="BC9" s="848">
        <v>5</v>
      </c>
      <c r="BD9" s="944"/>
    </row>
    <row r="10" spans="1:56" ht="15.75" customHeight="1">
      <c r="A10" s="912">
        <v>46143</v>
      </c>
      <c r="B10" s="828">
        <v>1</v>
      </c>
      <c r="C10" s="792" t="s">
        <v>406</v>
      </c>
      <c r="D10" s="829">
        <f>+Tabla1[[#This Row],[FECHA Entrega]]</f>
        <v>46170.808333333334</v>
      </c>
      <c r="E10" s="830">
        <v>700000869</v>
      </c>
      <c r="F10" s="831" t="s">
        <v>358</v>
      </c>
      <c r="G10" s="832" t="s">
        <v>357</v>
      </c>
      <c r="H10" s="833">
        <v>46170.808333333334</v>
      </c>
      <c r="I10" s="834">
        <f>728*50</f>
        <v>36400</v>
      </c>
      <c r="J10" s="835">
        <f>0.315*Tabla1[[#This Row],[TIPO DE CAMBIO]]</f>
        <v>455.58481499999999</v>
      </c>
      <c r="K10" s="836">
        <f t="shared" si="2"/>
        <v>16583287.265999999</v>
      </c>
      <c r="L1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3482490.3258599997</v>
      </c>
      <c r="M10" s="837">
        <f t="shared" si="0"/>
        <v>20065777.59186</v>
      </c>
      <c r="N10" s="838"/>
      <c r="O10" s="838">
        <v>0</v>
      </c>
      <c r="P10" s="838">
        <v>0</v>
      </c>
      <c r="Q10" s="839">
        <f>+Tabla1[[#This Row],[VENTA TOTAL $ (IVA INC) ]]-Tabla1[[#This Row],[PENDIENTE DE COBRO]]</f>
        <v>20065777.59186</v>
      </c>
      <c r="R10" s="840">
        <f>+Tabla1[[#This Row],[FECHA FC]]+Tabla1[[#This Row],[PLAZO ENTREGA VALORES]]</f>
        <v>46051</v>
      </c>
      <c r="S10" s="840">
        <f>+Tabla1[[#This Row],[FECHA FC]]+Tabla1[[#This Row],[PLAZO PAGO (DIAS)]]</f>
        <v>46170.808333333334</v>
      </c>
      <c r="T10" s="834">
        <f t="shared" ca="1" si="3"/>
        <v>-10.191666666665697</v>
      </c>
      <c r="U10" s="831">
        <f>+Tabla1[[#This Row],[FECHA OC]]-Tabla1[[#This Row],[FECHA Entrega]]</f>
        <v>-119.8083333333343</v>
      </c>
      <c r="V10" s="831"/>
      <c r="W10" s="841">
        <f>+Tabla1[[#This Row],[FECHA VTO VALORES]]+7</f>
        <v>46177.808333333334</v>
      </c>
      <c r="X10" s="831"/>
      <c r="Y10" s="840">
        <v>46051</v>
      </c>
      <c r="Z10" s="842">
        <f>Tabla1[[#This Row],[KGS]]/50</f>
        <v>728</v>
      </c>
      <c r="AA1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0" s="844">
        <f>-Tabla1[[#This Row],[COSTO FLETE $ POR BOLSA 5O KG (SIN IVA)]]*1.21-Tabla1[[#This Row],[PRECIO $/ KG A PLAZO EN CLIENTE ( SIN IVA)]]*0.003*1.21*50</f>
        <v>-0.40864392249999071</v>
      </c>
      <c r="AC10" s="845">
        <f>SUM(Tabla1[[#This Row],[PRECIO $ BOLSA 50 KG (IVA INC) ]]+Tabla1[[#This Row],[COSTO FLETE $ BOLSA 50 KG (IVA INC)]])</f>
        <v>27562.4726635775</v>
      </c>
      <c r="AD10" s="844">
        <f>-Tabla1[[#This Row],[PRECIO $ BOLSA 50 KG (IVA INC) ]]*(Tabla1[[#This Row],[TASA FINANCIACION MENSUAL]]/365)*Tabla1[[#This Row],[PLAZO ENTREGA VALORES]]</f>
        <v>262.3715705977167</v>
      </c>
      <c r="AE10" s="845">
        <f>SUM(Tabla1[[#This Row],[PRECIO $ BOLSA50 KG  FOB TUCUMAN A PLAZO (IVA INC)]]+Tabla1[[#This Row],[GASTOS FINANCIEROS $ BOLSA 50 KG (IVA INC)]])</f>
        <v>27824.844234175216</v>
      </c>
      <c r="AF10" s="828" t="s">
        <v>476</v>
      </c>
      <c r="AG10" s="828" t="s">
        <v>365</v>
      </c>
      <c r="AH10" s="828" t="s">
        <v>387</v>
      </c>
      <c r="AI10" s="828" t="s">
        <v>261</v>
      </c>
      <c r="AJ1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0" s="846">
        <f>SUM(Tabla1[[#This Row],[PRECIO $ BOLSA 50KG  FOB CDO TUC (IVA INC)]]-Tabla1[[#This Row],[PRECIO REF $ BOLSA 50 KG CACTU (IVA INC)]])</f>
        <v>-4690.1557658247839</v>
      </c>
      <c r="AL10" s="847">
        <f>IFERROR(Tabla1[[#This Row],[PRECIO $ BOLSA 50KG  FOB CDO TUC (IVA INC)]]/Tabla1[[#This Row],[PRECIO REF $ BOLSA 50 KG CACTU (IVA INC)]]-1,"")</f>
        <v>-0.14424591006688559</v>
      </c>
      <c r="AM10" s="846">
        <f>+Tabla1[[#This Row],[DIF $ PRECIO NETO INDUSTRIA vs Neto TUCUMAN (IVA INC)]]*Tabla1[[#This Row],[Q Bolsas Equivalentes 50kg]]</f>
        <v>-3414433.3975204425</v>
      </c>
      <c r="AN10" s="846">
        <f>Tabla1[[#This Row],[PRECIO REF $ BOLSA 50 KG CACTU (IVA INC)]]*Tabla1[[#This Row],[Q Bolsas Equivalentes 50kg]]</f>
        <v>23670920</v>
      </c>
      <c r="AO10" s="846">
        <f>+Tabla1[[#This Row],[PRECIO $ BOLSA 50KG  FOB CDO TUC (IVA INC)]]*Tabla1[[#This Row],[Q Bolsas Equivalentes 50kg]]</f>
        <v>20256486.602479558</v>
      </c>
      <c r="AP10" s="847">
        <v>2.9000000000000001E-2</v>
      </c>
      <c r="AQ10" s="846">
        <v>-68</v>
      </c>
      <c r="AR10" s="848"/>
      <c r="AS10" s="945" t="s">
        <v>582</v>
      </c>
      <c r="AT10" s="923">
        <f>+Tabla1[[#This Row],[VENTA TOTAL $ (IVA INC) ]]-(SUM(Tabla1[[#This Row],[PENDIENTE DE ENTREGA]:[VALORES COBRADOS]]))</f>
        <v>0</v>
      </c>
      <c r="AU10" s="850">
        <f>VLOOKUP(Tabla1[[#This Row],[FECHA OC]],'TIPO DE CAMBIO'!A:B,2,TRUE)</f>
        <v>1446.3009999999999</v>
      </c>
      <c r="AV10" s="850">
        <f>+Tabla1[[#This Row],[SUBTOTAL]]/Tabla1[[#This Row],[TIPO DE CAMBIO]]</f>
        <v>11466</v>
      </c>
      <c r="AW10" s="851"/>
      <c r="AX10" s="850">
        <f>IFERROR(Tabla1[[#This Row],[VENTA TOTAL USD A PLAZO EN CLIENTE  (SIN IVA)]]*(1+Tabla1[[#This Row],[% IVA ]]),"")</f>
        <v>11466</v>
      </c>
      <c r="AY10" s="850">
        <f>+Tabla1[[#This Row],[VENTA TOTAL USD A PLAZO EN CLIENTE  (SIN IVA)]]/Tabla1[[#This Row],[KGS]]*1000</f>
        <v>315</v>
      </c>
      <c r="AZ10" s="850">
        <v>0</v>
      </c>
      <c r="BA10" s="850">
        <f>+Tabla1[[#This Row],[GASTOS FINANCIEROS $ BOLSA 50 KG (IVA INC)]]*20/Tabla1[[#This Row],[TIPO DE CAMBIO]]</f>
        <v>3.6281738116438658</v>
      </c>
      <c r="BB10" s="850">
        <f>+Tabla1[[#This Row],[PRECIO POR TN USD EN CLIENTE A PLAZO (SIN IVA)]]+Tabla1[[#This Row],[COSTO USD FLETE /TN (SIN IVA)]]+Tabla1[[#This Row],[COSTO FINANCIERO USD POR BOLSA 50KG (IVA INC)]]</f>
        <v>318.62817381164388</v>
      </c>
      <c r="BC10" s="848">
        <v>5</v>
      </c>
      <c r="BD10" s="944"/>
    </row>
    <row r="11" spans="1:56" ht="15.75" customHeight="1">
      <c r="A11" s="912">
        <v>46143</v>
      </c>
      <c r="B11" s="828">
        <v>1</v>
      </c>
      <c r="C11" s="792" t="s">
        <v>406</v>
      </c>
      <c r="D11" s="829">
        <f>+Tabla1[[#This Row],[FECHA Entrega]]</f>
        <v>46172.361111111109</v>
      </c>
      <c r="E11" s="830">
        <v>700000869</v>
      </c>
      <c r="F11" s="831" t="s">
        <v>358</v>
      </c>
      <c r="G11" s="832" t="s">
        <v>357</v>
      </c>
      <c r="H11" s="833">
        <v>46172.361111111109</v>
      </c>
      <c r="I11" s="834">
        <f>732*50</f>
        <v>36600</v>
      </c>
      <c r="J11" s="835">
        <f>0.315*Tabla1[[#This Row],[TIPO DE CAMBIO]]</f>
        <v>455.58481499999999</v>
      </c>
      <c r="K11" s="836">
        <f t="shared" si="2"/>
        <v>16674404.229</v>
      </c>
      <c r="L1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3501624.88809</v>
      </c>
      <c r="M11" s="837">
        <f t="shared" si="0"/>
        <v>20176029.117090002</v>
      </c>
      <c r="N11" s="838"/>
      <c r="O11" s="838">
        <v>0</v>
      </c>
      <c r="P11" s="838">
        <v>0</v>
      </c>
      <c r="Q11" s="839">
        <f>+Tabla1[[#This Row],[VENTA TOTAL $ (IVA INC) ]]-Tabla1[[#This Row],[PENDIENTE DE COBRO]]</f>
        <v>20176029.117090002</v>
      </c>
      <c r="R11" s="840">
        <f>+Tabla1[[#This Row],[FECHA FC]]+Tabla1[[#This Row],[PLAZO ENTREGA VALORES]]</f>
        <v>46051</v>
      </c>
      <c r="S11" s="840">
        <f>+Tabla1[[#This Row],[FECHA FC]]+Tabla1[[#This Row],[PLAZO PAGO (DIAS)]]</f>
        <v>46172.361111111109</v>
      </c>
      <c r="T11" s="834">
        <f t="shared" ca="1" si="3"/>
        <v>-8.6388888888905058</v>
      </c>
      <c r="U11" s="831">
        <f>+Tabla1[[#This Row],[FECHA OC]]-Tabla1[[#This Row],[FECHA Entrega]]</f>
        <v>-121.36111111110949</v>
      </c>
      <c r="V11" s="831"/>
      <c r="W11" s="841">
        <f>+Tabla1[[#This Row],[FECHA VTO VALORES]]+7</f>
        <v>46179.361111111109</v>
      </c>
      <c r="X11" s="831"/>
      <c r="Y11" s="840">
        <v>46051</v>
      </c>
      <c r="Z11" s="842">
        <f>Tabla1[[#This Row],[KGS]]/50</f>
        <v>732</v>
      </c>
      <c r="AA1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1" s="844">
        <f>-Tabla1[[#This Row],[COSTO FLETE $ POR BOLSA 5O KG (SIN IVA)]]*1.21-Tabla1[[#This Row],[PRECIO $/ KG A PLAZO EN CLIENTE ( SIN IVA)]]*0.003*1.21*50</f>
        <v>-0.40864392249999071</v>
      </c>
      <c r="AC11" s="845">
        <f>SUM(Tabla1[[#This Row],[PRECIO $ BOLSA 50 KG (IVA INC) ]]+Tabla1[[#This Row],[COSTO FLETE $ BOLSA 50 KG (IVA INC)]])</f>
        <v>27562.4726635775</v>
      </c>
      <c r="AD11" s="844">
        <f>-Tabla1[[#This Row],[PRECIO $ BOLSA 50 KG (IVA INC) ]]*(Tabla1[[#This Row],[TASA FINANCIACION MENSUAL]]/365)*Tabla1[[#This Row],[PLAZO ENTREGA VALORES]]</f>
        <v>265.77204144151528</v>
      </c>
      <c r="AE11" s="845">
        <f>SUM(Tabla1[[#This Row],[PRECIO $ BOLSA50 KG  FOB TUCUMAN A PLAZO (IVA INC)]]+Tabla1[[#This Row],[GASTOS FINANCIEROS $ BOLSA 50 KG (IVA INC)]])</f>
        <v>27828.244705019017</v>
      </c>
      <c r="AF11" s="828" t="s">
        <v>476</v>
      </c>
      <c r="AG11" s="828" t="s">
        <v>365</v>
      </c>
      <c r="AH11" s="828" t="s">
        <v>387</v>
      </c>
      <c r="AI11" s="828" t="s">
        <v>261</v>
      </c>
      <c r="AJ1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1" s="846">
        <f>SUM(Tabla1[[#This Row],[PRECIO $ BOLSA 50KG  FOB CDO TUC (IVA INC)]]-Tabla1[[#This Row],[PRECIO REF $ BOLSA 50 KG CACTU (IVA INC)]])</f>
        <v>-4686.7552949809833</v>
      </c>
      <c r="AL11" s="847">
        <f>IFERROR(Tabla1[[#This Row],[PRECIO $ BOLSA 50KG  FOB CDO TUC (IVA INC)]]/Tabla1[[#This Row],[PRECIO REF $ BOLSA 50 KG CACTU (IVA INC)]]-1,"")</f>
        <v>-0.14414132846320105</v>
      </c>
      <c r="AM11" s="846">
        <f>+Tabla1[[#This Row],[DIF $ PRECIO NETO INDUSTRIA vs Neto TUCUMAN (IVA INC)]]*Tabla1[[#This Row],[Q Bolsas Equivalentes 50kg]]</f>
        <v>-3430704.8759260797</v>
      </c>
      <c r="AN11" s="846">
        <f>Tabla1[[#This Row],[PRECIO REF $ BOLSA 50 KG CACTU (IVA INC)]]*Tabla1[[#This Row],[Q Bolsas Equivalentes 50kg]]</f>
        <v>23800980</v>
      </c>
      <c r="AO11" s="846">
        <f>+Tabla1[[#This Row],[PRECIO $ BOLSA 50KG  FOB CDO TUC (IVA INC)]]*Tabla1[[#This Row],[Q Bolsas Equivalentes 50kg]]</f>
        <v>20370275.124073919</v>
      </c>
      <c r="AP11" s="847">
        <v>2.9000000000000001E-2</v>
      </c>
      <c r="AQ11" s="846">
        <v>-68</v>
      </c>
      <c r="AR11" s="848"/>
      <c r="AS11" s="945" t="s">
        <v>583</v>
      </c>
      <c r="AT11" s="923">
        <f>+Tabla1[[#This Row],[VENTA TOTAL $ (IVA INC) ]]-(SUM(Tabla1[[#This Row],[PENDIENTE DE ENTREGA]:[VALORES COBRADOS]]))</f>
        <v>0</v>
      </c>
      <c r="AU11" s="850">
        <f>VLOOKUP(Tabla1[[#This Row],[FECHA OC]],'TIPO DE CAMBIO'!A:B,2,TRUE)</f>
        <v>1446.3009999999999</v>
      </c>
      <c r="AV11" s="850">
        <f>+Tabla1[[#This Row],[SUBTOTAL]]/Tabla1[[#This Row],[TIPO DE CAMBIO]]</f>
        <v>11529</v>
      </c>
      <c r="AW11" s="851"/>
      <c r="AX11" s="850">
        <f>IFERROR(Tabla1[[#This Row],[VENTA TOTAL USD A PLAZO EN CLIENTE  (SIN IVA)]]*(1+Tabla1[[#This Row],[% IVA ]]),"")</f>
        <v>11529</v>
      </c>
      <c r="AY11" s="850">
        <f>+Tabla1[[#This Row],[VENTA TOTAL USD A PLAZO EN CLIENTE  (SIN IVA)]]/Tabla1[[#This Row],[KGS]]*1000</f>
        <v>315</v>
      </c>
      <c r="AZ11" s="850">
        <v>0</v>
      </c>
      <c r="BA11" s="850">
        <f>+Tabla1[[#This Row],[GASTOS FINANCIEROS $ BOLSA 50 KG (IVA INC)]]*20/Tabla1[[#This Row],[TIPO DE CAMBIO]]</f>
        <v>3.6751968150684444</v>
      </c>
      <c r="BB11" s="850">
        <f>+Tabla1[[#This Row],[PRECIO POR TN USD EN CLIENTE A PLAZO (SIN IVA)]]+Tabla1[[#This Row],[COSTO USD FLETE /TN (SIN IVA)]]+Tabla1[[#This Row],[COSTO FINANCIERO USD POR BOLSA 50KG (IVA INC)]]</f>
        <v>318.67519681506843</v>
      </c>
      <c r="BC11" s="848">
        <v>5</v>
      </c>
      <c r="BD11" s="944"/>
    </row>
    <row r="12" spans="1:56" ht="15.75" customHeight="1">
      <c r="A12" s="912">
        <v>46143</v>
      </c>
      <c r="B12" s="828">
        <v>1</v>
      </c>
      <c r="C12" s="792" t="s">
        <v>406</v>
      </c>
      <c r="D12" s="829">
        <f>+Tabla1[[#This Row],[FECHA Entrega]]</f>
        <v>46172.393750000003</v>
      </c>
      <c r="E12" s="830">
        <v>700000869</v>
      </c>
      <c r="F12" s="831" t="s">
        <v>358</v>
      </c>
      <c r="G12" s="832" t="s">
        <v>357</v>
      </c>
      <c r="H12" s="833">
        <v>46172.393750000003</v>
      </c>
      <c r="I12" s="834">
        <f>588*50</f>
        <v>29400</v>
      </c>
      <c r="J12" s="835">
        <f>0.315*Tabla1[[#This Row],[TIPO DE CAMBIO]]</f>
        <v>455.58481499999999</v>
      </c>
      <c r="K12" s="836">
        <f t="shared" si="2"/>
        <v>13394193.561000001</v>
      </c>
      <c r="L1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2812780.64781</v>
      </c>
      <c r="M12" s="837">
        <f t="shared" si="0"/>
        <v>16206974.208810002</v>
      </c>
      <c r="N12" s="838"/>
      <c r="O12" s="838">
        <v>0</v>
      </c>
      <c r="P12" s="838">
        <v>0</v>
      </c>
      <c r="Q12" s="839">
        <f>+Tabla1[[#This Row],[VENTA TOTAL $ (IVA INC) ]]-Tabla1[[#This Row],[PENDIENTE DE COBRO]]</f>
        <v>16206974.208810002</v>
      </c>
      <c r="R12" s="840">
        <f>+Tabla1[[#This Row],[FECHA FC]]+Tabla1[[#This Row],[PLAZO ENTREGA VALORES]]</f>
        <v>46051</v>
      </c>
      <c r="S12" s="840">
        <f>+Tabla1[[#This Row],[FECHA FC]]+Tabla1[[#This Row],[PLAZO PAGO (DIAS)]]</f>
        <v>46172.393750000003</v>
      </c>
      <c r="T12" s="834">
        <f t="shared" ca="1" si="3"/>
        <v>-8.6062499999970896</v>
      </c>
      <c r="U12" s="831">
        <f>+Tabla1[[#This Row],[FECHA OC]]-Tabla1[[#This Row],[FECHA Entrega]]</f>
        <v>-121.39375000000291</v>
      </c>
      <c r="V12" s="831"/>
      <c r="W12" s="841">
        <f>+Tabla1[[#This Row],[FECHA VTO VALORES]]+7</f>
        <v>46179.393750000003</v>
      </c>
      <c r="X12" s="831"/>
      <c r="Y12" s="840">
        <v>46051</v>
      </c>
      <c r="Z12" s="842">
        <f>Tabla1[[#This Row],[KGS]]/50</f>
        <v>588</v>
      </c>
      <c r="AA1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2" s="844">
        <f>-Tabla1[[#This Row],[COSTO FLETE $ POR BOLSA 5O KG (SIN IVA)]]*1.21-Tabla1[[#This Row],[PRECIO $/ KG A PLAZO EN CLIENTE ( SIN IVA)]]*0.003*1.21*50</f>
        <v>-0.40864392249999071</v>
      </c>
      <c r="AC12" s="845">
        <f>SUM(Tabla1[[#This Row],[PRECIO $ BOLSA 50 KG (IVA INC) ]]+Tabla1[[#This Row],[COSTO FLETE $ BOLSA 50 KG (IVA INC)]])</f>
        <v>27562.4726635775</v>
      </c>
      <c r="AD12" s="844">
        <f>-Tabla1[[#This Row],[PRECIO $ BOLSA 50 KG (IVA INC) ]]*(Tabla1[[#This Row],[TASA FINANCIACION MENSUAL]]/365)*Tabla1[[#This Row],[PLAZO ENTREGA VALORES]]</f>
        <v>265.84351824369821</v>
      </c>
      <c r="AE12" s="845">
        <f>SUM(Tabla1[[#This Row],[PRECIO $ BOLSA50 KG  FOB TUCUMAN A PLAZO (IVA INC)]]+Tabla1[[#This Row],[GASTOS FINANCIEROS $ BOLSA 50 KG (IVA INC)]])</f>
        <v>27828.316181821199</v>
      </c>
      <c r="AF12" s="828" t="s">
        <v>476</v>
      </c>
      <c r="AG12" s="828" t="s">
        <v>365</v>
      </c>
      <c r="AH12" s="828" t="s">
        <v>387</v>
      </c>
      <c r="AI12" s="828" t="s">
        <v>261</v>
      </c>
      <c r="AJ1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2" s="846">
        <f>SUM(Tabla1[[#This Row],[PRECIO $ BOLSA 50KG  FOB CDO TUC (IVA INC)]]-Tabla1[[#This Row],[PRECIO REF $ BOLSA 50 KG CACTU (IVA INC)]])</f>
        <v>-4686.6838181788007</v>
      </c>
      <c r="AL12" s="847">
        <f>IFERROR(Tabla1[[#This Row],[PRECIO $ BOLSA 50KG  FOB CDO TUC (IVA INC)]]/Tabla1[[#This Row],[PRECIO REF $ BOLSA 50 KG CACTU (IVA INC)]]-1,"")</f>
        <v>-0.14413913019156699</v>
      </c>
      <c r="AM12" s="846">
        <f>+Tabla1[[#This Row],[DIF $ PRECIO NETO INDUSTRIA vs Neto TUCUMAN (IVA INC)]]*Tabla1[[#This Row],[Q Bolsas Equivalentes 50kg]]</f>
        <v>-2755770.085089135</v>
      </c>
      <c r="AN12" s="846">
        <f>Tabla1[[#This Row],[PRECIO REF $ BOLSA 50 KG CACTU (IVA INC)]]*Tabla1[[#This Row],[Q Bolsas Equivalentes 50kg]]</f>
        <v>19118820</v>
      </c>
      <c r="AO12" s="846">
        <f>+Tabla1[[#This Row],[PRECIO $ BOLSA 50KG  FOB CDO TUC (IVA INC)]]*Tabla1[[#This Row],[Q Bolsas Equivalentes 50kg]]</f>
        <v>16363049.914910866</v>
      </c>
      <c r="AP12" s="847">
        <v>2.9000000000000001E-2</v>
      </c>
      <c r="AQ12" s="846">
        <v>-68</v>
      </c>
      <c r="AR12" s="848"/>
      <c r="AS12" s="945" t="s">
        <v>584</v>
      </c>
      <c r="AT12" s="923">
        <f>+Tabla1[[#This Row],[VENTA TOTAL $ (IVA INC) ]]-(SUM(Tabla1[[#This Row],[PENDIENTE DE ENTREGA]:[VALORES COBRADOS]]))</f>
        <v>0</v>
      </c>
      <c r="AU12" s="850">
        <f>VLOOKUP(Tabla1[[#This Row],[FECHA OC]],'TIPO DE CAMBIO'!A:B,2,TRUE)</f>
        <v>1446.3009999999999</v>
      </c>
      <c r="AV12" s="850">
        <f>+Tabla1[[#This Row],[SUBTOTAL]]/Tabla1[[#This Row],[TIPO DE CAMBIO]]</f>
        <v>9261.0000000000018</v>
      </c>
      <c r="AW12" s="851"/>
      <c r="AX12" s="850">
        <f>IFERROR(Tabla1[[#This Row],[VENTA TOTAL USD A PLAZO EN CLIENTE  (SIN IVA)]]*(1+Tabla1[[#This Row],[% IVA ]]),"")</f>
        <v>9261.0000000000018</v>
      </c>
      <c r="AY12" s="850">
        <f>+Tabla1[[#This Row],[VENTA TOTAL USD A PLAZO EN CLIENTE  (SIN IVA)]]/Tabla1[[#This Row],[KGS]]*1000</f>
        <v>315.00000000000006</v>
      </c>
      <c r="AZ12" s="850">
        <v>0</v>
      </c>
      <c r="BA12" s="850">
        <f>+Tabla1[[#This Row],[GASTOS FINANCIEROS $ BOLSA 50 KG (IVA INC)]]*20/Tabla1[[#This Row],[TIPO DE CAMBIO]]</f>
        <v>3.6761852234589929</v>
      </c>
      <c r="BB12" s="850">
        <f>+Tabla1[[#This Row],[PRECIO POR TN USD EN CLIENTE A PLAZO (SIN IVA)]]+Tabla1[[#This Row],[COSTO USD FLETE /TN (SIN IVA)]]+Tabla1[[#This Row],[COSTO FINANCIERO USD POR BOLSA 50KG (IVA INC)]]</f>
        <v>318.67618522345907</v>
      </c>
      <c r="BC12" s="848">
        <v>5</v>
      </c>
      <c r="BD12" s="944"/>
    </row>
    <row r="13" spans="1:56" ht="15.75" customHeight="1">
      <c r="A13" s="912">
        <v>46143</v>
      </c>
      <c r="B13" s="828">
        <v>1</v>
      </c>
      <c r="C13" s="792" t="s">
        <v>406</v>
      </c>
      <c r="D13" s="829">
        <f>+Tabla1[[#This Row],[FECHA Entrega]]</f>
        <v>46173.388194444444</v>
      </c>
      <c r="E13" s="830">
        <v>700000869</v>
      </c>
      <c r="F13" s="831" t="s">
        <v>358</v>
      </c>
      <c r="G13" s="832" t="s">
        <v>357</v>
      </c>
      <c r="H13" s="833">
        <v>46173.388194444444</v>
      </c>
      <c r="I13" s="834">
        <f>575*50</f>
        <v>28750</v>
      </c>
      <c r="J13" s="835">
        <f>0.315*Tabla1[[#This Row],[TIPO DE CAMBIO]]</f>
        <v>455.58481499999999</v>
      </c>
      <c r="K13" s="836">
        <f t="shared" si="2"/>
        <v>13098063.43125</v>
      </c>
      <c r="L1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2750593.3205625</v>
      </c>
      <c r="M13" s="837">
        <f t="shared" si="0"/>
        <v>15848656.751812501</v>
      </c>
      <c r="N13" s="838"/>
      <c r="O13" s="838">
        <v>0</v>
      </c>
      <c r="P13" s="838">
        <v>0</v>
      </c>
      <c r="Q13" s="839">
        <f>+Tabla1[[#This Row],[VENTA TOTAL $ (IVA INC) ]]-Tabla1[[#This Row],[PENDIENTE DE COBRO]]</f>
        <v>15848656.751812501</v>
      </c>
      <c r="R13" s="840">
        <f>+Tabla1[[#This Row],[FECHA FC]]+Tabla1[[#This Row],[PLAZO ENTREGA VALORES]]</f>
        <v>46051</v>
      </c>
      <c r="S13" s="840">
        <f>+Tabla1[[#This Row],[FECHA FC]]+Tabla1[[#This Row],[PLAZO PAGO (DIAS)]]</f>
        <v>46173.388194444444</v>
      </c>
      <c r="T13" s="834">
        <f t="shared" ca="1" si="3"/>
        <v>-7.6118055555562023</v>
      </c>
      <c r="U13" s="831">
        <f>+Tabla1[[#This Row],[FECHA OC]]-Tabla1[[#This Row],[FECHA Entrega]]</f>
        <v>-122.3881944444438</v>
      </c>
      <c r="V13" s="831"/>
      <c r="W13" s="841">
        <f>+Tabla1[[#This Row],[FECHA VTO VALORES]]+7</f>
        <v>46180.388194444444</v>
      </c>
      <c r="X13" s="831"/>
      <c r="Y13" s="840">
        <v>46051</v>
      </c>
      <c r="Z13" s="842">
        <f>Tabla1[[#This Row],[KGS]]/50</f>
        <v>575</v>
      </c>
      <c r="AA1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3" s="844">
        <f>-Tabla1[[#This Row],[COSTO FLETE $ POR BOLSA 5O KG (SIN IVA)]]*1.21-Tabla1[[#This Row],[PRECIO $/ KG A PLAZO EN CLIENTE ( SIN IVA)]]*0.003*1.21*50</f>
        <v>-0.40864392249999071</v>
      </c>
      <c r="AC13" s="845">
        <f>SUM(Tabla1[[#This Row],[PRECIO $ BOLSA 50 KG (IVA INC) ]]+Tabla1[[#This Row],[COSTO FLETE $ BOLSA 50 KG (IVA INC)]])</f>
        <v>27562.4726635775</v>
      </c>
      <c r="AD13" s="844">
        <f>-Tabla1[[#This Row],[PRECIO $ BOLSA 50 KG (IVA INC) ]]*(Tabla1[[#This Row],[TASA FINANCIACION MENSUAL]]/365)*Tabla1[[#This Row],[PLAZO ENTREGA VALORES]]</f>
        <v>268.02127953542913</v>
      </c>
      <c r="AE13" s="845">
        <f>SUM(Tabla1[[#This Row],[PRECIO $ BOLSA50 KG  FOB TUCUMAN A PLAZO (IVA INC)]]+Tabla1[[#This Row],[GASTOS FINANCIEROS $ BOLSA 50 KG (IVA INC)]])</f>
        <v>27830.493943112931</v>
      </c>
      <c r="AF13" s="828" t="s">
        <v>476</v>
      </c>
      <c r="AG13" s="828" t="s">
        <v>365</v>
      </c>
      <c r="AH13" s="828" t="s">
        <v>387</v>
      </c>
      <c r="AI13" s="828" t="s">
        <v>261</v>
      </c>
      <c r="AJ1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3" s="846">
        <f>SUM(Tabla1[[#This Row],[PRECIO $ BOLSA 50KG  FOB CDO TUC (IVA INC)]]-Tabla1[[#This Row],[PRECIO REF $ BOLSA 50 KG CACTU (IVA INC)]])</f>
        <v>-4684.5060568870686</v>
      </c>
      <c r="AL13" s="847">
        <f>IFERROR(Tabla1[[#This Row],[PRECIO $ BOLSA 50KG  FOB CDO TUC (IVA INC)]]/Tabla1[[#This Row],[PRECIO REF $ BOLSA 50 KG CACTU (IVA INC)]]-1,"")</f>
        <v>-0.14407215306434162</v>
      </c>
      <c r="AM13" s="846">
        <f>+Tabla1[[#This Row],[DIF $ PRECIO NETO INDUSTRIA vs Neto TUCUMAN (IVA INC)]]*Tabla1[[#This Row],[Q Bolsas Equivalentes 50kg]]</f>
        <v>-2693590.9827100644</v>
      </c>
      <c r="AN13" s="846">
        <f>Tabla1[[#This Row],[PRECIO REF $ BOLSA 50 KG CACTU (IVA INC)]]*Tabla1[[#This Row],[Q Bolsas Equivalentes 50kg]]</f>
        <v>18696125</v>
      </c>
      <c r="AO13" s="846">
        <f>+Tabla1[[#This Row],[PRECIO $ BOLSA 50KG  FOB CDO TUC (IVA INC)]]*Tabla1[[#This Row],[Q Bolsas Equivalentes 50kg]]</f>
        <v>16002534.017289935</v>
      </c>
      <c r="AP13" s="847">
        <v>2.9000000000000001E-2</v>
      </c>
      <c r="AQ13" s="846">
        <v>-68</v>
      </c>
      <c r="AR13" s="848"/>
      <c r="AS13" s="945" t="s">
        <v>585</v>
      </c>
      <c r="AT13" s="923">
        <f>+Tabla1[[#This Row],[VENTA TOTAL $ (IVA INC) ]]-(SUM(Tabla1[[#This Row],[PENDIENTE DE ENTREGA]:[VALORES COBRADOS]]))</f>
        <v>0</v>
      </c>
      <c r="AU13" s="850">
        <f>VLOOKUP(Tabla1[[#This Row],[FECHA OC]],'TIPO DE CAMBIO'!A:B,2,TRUE)</f>
        <v>1446.3009999999999</v>
      </c>
      <c r="AV13" s="850">
        <f>+Tabla1[[#This Row],[SUBTOTAL]]/Tabla1[[#This Row],[TIPO DE CAMBIO]]</f>
        <v>9056.25</v>
      </c>
      <c r="AW13" s="851"/>
      <c r="AX13" s="850">
        <f>IFERROR(Tabla1[[#This Row],[VENTA TOTAL USD A PLAZO EN CLIENTE  (SIN IVA)]]*(1+Tabla1[[#This Row],[% IVA ]]),"")</f>
        <v>9056.25</v>
      </c>
      <c r="AY13" s="850">
        <f>+Tabla1[[#This Row],[VENTA TOTAL USD A PLAZO EN CLIENTE  (SIN IVA)]]/Tabla1[[#This Row],[KGS]]*1000</f>
        <v>315</v>
      </c>
      <c r="AZ13" s="850">
        <v>0</v>
      </c>
      <c r="BA13" s="850">
        <f>+Tabla1[[#This Row],[GASTOS FINANCIEROS $ BOLSA 50 KG (IVA INC)]]*20/Tabla1[[#This Row],[TIPO DE CAMBIO]]</f>
        <v>3.706300134417789</v>
      </c>
      <c r="BB13" s="850">
        <f>+Tabla1[[#This Row],[PRECIO POR TN USD EN CLIENTE A PLAZO (SIN IVA)]]+Tabla1[[#This Row],[COSTO USD FLETE /TN (SIN IVA)]]+Tabla1[[#This Row],[COSTO FINANCIERO USD POR BOLSA 50KG (IVA INC)]]</f>
        <v>318.7063001344178</v>
      </c>
      <c r="BC13" s="848">
        <v>5</v>
      </c>
      <c r="BD13" s="944"/>
    </row>
    <row r="14" spans="1:56" ht="15.75" customHeight="1">
      <c r="A14" s="912">
        <v>46143</v>
      </c>
      <c r="B14" s="828">
        <v>1</v>
      </c>
      <c r="C14" s="792" t="s">
        <v>406</v>
      </c>
      <c r="D14" s="829">
        <f>+Tabla1[[#This Row],[FECHA Entrega]]</f>
        <v>46173.84652777778</v>
      </c>
      <c r="E14" s="830">
        <v>700000869</v>
      </c>
      <c r="F14" s="831" t="s">
        <v>358</v>
      </c>
      <c r="G14" s="832" t="s">
        <v>357</v>
      </c>
      <c r="H14" s="833">
        <v>46173.84652777778</v>
      </c>
      <c r="I14" s="834">
        <f>707*50</f>
        <v>35350</v>
      </c>
      <c r="J14" s="835">
        <f>0.315*Tabla1[[#This Row],[TIPO DE CAMBIO]]</f>
        <v>455.58481499999999</v>
      </c>
      <c r="K14" s="836">
        <f t="shared" si="2"/>
        <v>16104923.21025</v>
      </c>
      <c r="L1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3382033.8741524997</v>
      </c>
      <c r="M14" s="837">
        <f t="shared" si="0"/>
        <v>19486957.084402498</v>
      </c>
      <c r="N14" s="838"/>
      <c r="O14" s="838">
        <v>0</v>
      </c>
      <c r="P14" s="838">
        <v>0</v>
      </c>
      <c r="Q14" s="839">
        <f>+Tabla1[[#This Row],[VENTA TOTAL $ (IVA INC) ]]-Tabla1[[#This Row],[PENDIENTE DE COBRO]]</f>
        <v>19486957.084402498</v>
      </c>
      <c r="R14" s="840">
        <f>+Tabla1[[#This Row],[FECHA FC]]+Tabla1[[#This Row],[PLAZO ENTREGA VALORES]]</f>
        <v>46051</v>
      </c>
      <c r="S14" s="840">
        <f>+Tabla1[[#This Row],[FECHA FC]]+Tabla1[[#This Row],[PLAZO PAGO (DIAS)]]</f>
        <v>46173.84652777778</v>
      </c>
      <c r="T14" s="834">
        <f t="shared" ca="1" si="3"/>
        <v>-7.1534722222204437</v>
      </c>
      <c r="U14" s="831">
        <f>+Tabla1[[#This Row],[FECHA OC]]-Tabla1[[#This Row],[FECHA Entrega]]</f>
        <v>-122.84652777777956</v>
      </c>
      <c r="V14" s="831"/>
      <c r="W14" s="841">
        <f>+Tabla1[[#This Row],[FECHA VTO VALORES]]+7</f>
        <v>46180.84652777778</v>
      </c>
      <c r="X14" s="831"/>
      <c r="Y14" s="840">
        <v>46051</v>
      </c>
      <c r="Z14" s="842">
        <f>Tabla1[[#This Row],[KGS]]/50</f>
        <v>707</v>
      </c>
      <c r="AA1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4" s="844">
        <f>-Tabla1[[#This Row],[COSTO FLETE $ POR BOLSA 5O KG (SIN IVA)]]*1.21-Tabla1[[#This Row],[PRECIO $/ KG A PLAZO EN CLIENTE ( SIN IVA)]]*0.003*1.21*50</f>
        <v>-0.40864392249999071</v>
      </c>
      <c r="AC14" s="845">
        <f>SUM(Tabla1[[#This Row],[PRECIO $ BOLSA 50 KG (IVA INC) ]]+Tabla1[[#This Row],[COSTO FLETE $ BOLSA 50 KG (IVA INC)]])</f>
        <v>27562.4726635775</v>
      </c>
      <c r="AD14" s="844">
        <f>-Tabla1[[#This Row],[PRECIO $ BOLSA 50 KG (IVA INC) ]]*(Tabla1[[#This Row],[TASA FINANCIACION MENSUAL]]/365)*Tabla1[[#This Row],[PLAZO ENTREGA VALORES]]</f>
        <v>269.02499633190615</v>
      </c>
      <c r="AE14" s="845">
        <f>SUM(Tabla1[[#This Row],[PRECIO $ BOLSA50 KG  FOB TUCUMAN A PLAZO (IVA INC)]]+Tabla1[[#This Row],[GASTOS FINANCIEROS $ BOLSA 50 KG (IVA INC)]])</f>
        <v>27831.497659909408</v>
      </c>
      <c r="AF14" s="828" t="s">
        <v>476</v>
      </c>
      <c r="AG14" s="828" t="s">
        <v>365</v>
      </c>
      <c r="AH14" s="828" t="s">
        <v>387</v>
      </c>
      <c r="AI14" s="828" t="s">
        <v>261</v>
      </c>
      <c r="AJ1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4" s="846">
        <f>SUM(Tabla1[[#This Row],[PRECIO $ BOLSA 50KG  FOB CDO TUC (IVA INC)]]-Tabla1[[#This Row],[PRECIO REF $ BOLSA 50 KG CACTU (IVA INC)]])</f>
        <v>-4683.502340090592</v>
      </c>
      <c r="AL14" s="847">
        <f>IFERROR(Tabla1[[#This Row],[PRECIO $ BOLSA 50KG  FOB CDO TUC (IVA INC)]]/Tabla1[[#This Row],[PRECIO REF $ BOLSA 50 KG CACTU (IVA INC)]]-1,"")</f>
        <v>-0.14404128371799452</v>
      </c>
      <c r="AM14" s="846">
        <f>+Tabla1[[#This Row],[DIF $ PRECIO NETO INDUSTRIA vs Neto TUCUMAN (IVA INC)]]*Tabla1[[#This Row],[Q Bolsas Equivalentes 50kg]]</f>
        <v>-3311236.1544440486</v>
      </c>
      <c r="AN14" s="846">
        <f>Tabla1[[#This Row],[PRECIO REF $ BOLSA 50 KG CACTU (IVA INC)]]*Tabla1[[#This Row],[Q Bolsas Equivalentes 50kg]]</f>
        <v>22988105</v>
      </c>
      <c r="AO14" s="846">
        <f>+Tabla1[[#This Row],[PRECIO $ BOLSA 50KG  FOB CDO TUC (IVA INC)]]*Tabla1[[#This Row],[Q Bolsas Equivalentes 50kg]]</f>
        <v>19676868.84555595</v>
      </c>
      <c r="AP14" s="847">
        <v>2.9000000000000001E-2</v>
      </c>
      <c r="AQ14" s="846">
        <v>-68</v>
      </c>
      <c r="AR14" s="848"/>
      <c r="AS14" s="945" t="s">
        <v>586</v>
      </c>
      <c r="AT14" s="923">
        <f>+Tabla1[[#This Row],[VENTA TOTAL $ (IVA INC) ]]-(SUM(Tabla1[[#This Row],[PENDIENTE DE ENTREGA]:[VALORES COBRADOS]]))</f>
        <v>0</v>
      </c>
      <c r="AU14" s="850">
        <f>VLOOKUP(Tabla1[[#This Row],[FECHA OC]],'TIPO DE CAMBIO'!A:B,2,TRUE)</f>
        <v>1446.3009999999999</v>
      </c>
      <c r="AV14" s="850">
        <f>+Tabla1[[#This Row],[SUBTOTAL]]/Tabla1[[#This Row],[TIPO DE CAMBIO]]</f>
        <v>11135.25</v>
      </c>
      <c r="AW14" s="851"/>
      <c r="AX14" s="850">
        <f>IFERROR(Tabla1[[#This Row],[VENTA TOTAL USD A PLAZO EN CLIENTE  (SIN IVA)]]*(1+Tabla1[[#This Row],[% IVA ]]),"")</f>
        <v>11135.25</v>
      </c>
      <c r="AY14" s="850">
        <f>+Tabla1[[#This Row],[VENTA TOTAL USD A PLAZO EN CLIENTE  (SIN IVA)]]/Tabla1[[#This Row],[KGS]]*1000</f>
        <v>315</v>
      </c>
      <c r="AZ14" s="850">
        <v>0</v>
      </c>
      <c r="BA14" s="850">
        <f>+Tabla1[[#This Row],[GASTOS FINANCIEROS $ BOLSA 50 KG (IVA INC)]]*20/Tabla1[[#This Row],[TIPO DE CAMBIO]]</f>
        <v>3.7201799118151224</v>
      </c>
      <c r="BB14" s="850">
        <f>+Tabla1[[#This Row],[PRECIO POR TN USD EN CLIENTE A PLAZO (SIN IVA)]]+Tabla1[[#This Row],[COSTO USD FLETE /TN (SIN IVA)]]+Tabla1[[#This Row],[COSTO FINANCIERO USD POR BOLSA 50KG (IVA INC)]]</f>
        <v>318.72017991181514</v>
      </c>
      <c r="BC14" s="848">
        <v>5</v>
      </c>
      <c r="BD14" s="944"/>
    </row>
    <row r="15" spans="1:56" ht="15.75" customHeight="1">
      <c r="A15" s="912">
        <v>46143</v>
      </c>
      <c r="B15" s="828">
        <v>1</v>
      </c>
      <c r="C15" s="792" t="s">
        <v>406</v>
      </c>
      <c r="D15" s="829">
        <f>+Tabla1[[#This Row],[FECHA Entrega]]</f>
        <v>46173.909722222219</v>
      </c>
      <c r="E15" s="830">
        <v>700000869</v>
      </c>
      <c r="F15" s="831" t="s">
        <v>358</v>
      </c>
      <c r="G15" s="832" t="s">
        <v>357</v>
      </c>
      <c r="H15" s="833">
        <v>46173.909722222219</v>
      </c>
      <c r="I15" s="834">
        <f>591*50</f>
        <v>29550</v>
      </c>
      <c r="J15" s="835">
        <f>0.315*Tabla1[[#This Row],[TIPO DE CAMBIO]]</f>
        <v>455.58481499999999</v>
      </c>
      <c r="K15" s="836">
        <f t="shared" si="2"/>
        <v>13462531.28325</v>
      </c>
      <c r="L1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2827131.5694824997</v>
      </c>
      <c r="M15" s="837">
        <f t="shared" si="0"/>
        <v>16289662.8527325</v>
      </c>
      <c r="N15" s="838"/>
      <c r="O15" s="838">
        <v>0</v>
      </c>
      <c r="P15" s="838">
        <v>0</v>
      </c>
      <c r="Q15" s="839">
        <f>+Tabla1[[#This Row],[VENTA TOTAL $ (IVA INC) ]]-Tabla1[[#This Row],[PENDIENTE DE COBRO]]</f>
        <v>16289662.8527325</v>
      </c>
      <c r="R15" s="840">
        <f>+Tabla1[[#This Row],[FECHA FC]]+Tabla1[[#This Row],[PLAZO ENTREGA VALORES]]</f>
        <v>46051</v>
      </c>
      <c r="S15" s="840">
        <f>+Tabla1[[#This Row],[FECHA FC]]+Tabla1[[#This Row],[PLAZO PAGO (DIAS)]]</f>
        <v>46173.909722222219</v>
      </c>
      <c r="T15" s="834">
        <f t="shared" ca="1" si="3"/>
        <v>-7.0902777777810115</v>
      </c>
      <c r="U15" s="831">
        <f>+Tabla1[[#This Row],[FECHA OC]]-Tabla1[[#This Row],[FECHA Entrega]]</f>
        <v>-122.90972222221899</v>
      </c>
      <c r="V15" s="831"/>
      <c r="W15" s="841">
        <f>+Tabla1[[#This Row],[FECHA VTO VALORES]]+7</f>
        <v>46180.909722222219</v>
      </c>
      <c r="X15" s="831"/>
      <c r="Y15" s="840">
        <v>46051</v>
      </c>
      <c r="Z15" s="842">
        <f>Tabla1[[#This Row],[KGS]]/50</f>
        <v>591</v>
      </c>
      <c r="AA1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5" s="844">
        <f>-Tabla1[[#This Row],[COSTO FLETE $ POR BOLSA 5O KG (SIN IVA)]]*1.21-Tabla1[[#This Row],[PRECIO $/ KG A PLAZO EN CLIENTE ( SIN IVA)]]*0.003*1.21*50</f>
        <v>-0.40864392249999071</v>
      </c>
      <c r="AC15" s="845">
        <f>SUM(Tabla1[[#This Row],[PRECIO $ BOLSA 50 KG (IVA INC) ]]+Tabla1[[#This Row],[COSTO FLETE $ BOLSA 50 KG (IVA INC)]])</f>
        <v>27562.4726635775</v>
      </c>
      <c r="AD15" s="844">
        <f>-Tabla1[[#This Row],[PRECIO $ BOLSA 50 KG (IVA INC) ]]*(Tabla1[[#This Row],[TASA FINANCIACION MENSUAL]]/365)*Tabla1[[#This Row],[PLAZO ENTREGA VALORES]]</f>
        <v>269.16338758716631</v>
      </c>
      <c r="AE15" s="845">
        <f>SUM(Tabla1[[#This Row],[PRECIO $ BOLSA50 KG  FOB TUCUMAN A PLAZO (IVA INC)]]+Tabla1[[#This Row],[GASTOS FINANCIEROS $ BOLSA 50 KG (IVA INC)]])</f>
        <v>27831.636051164667</v>
      </c>
      <c r="AF15" s="828" t="s">
        <v>476</v>
      </c>
      <c r="AG15" s="828" t="s">
        <v>365</v>
      </c>
      <c r="AH15" s="828" t="s">
        <v>387</v>
      </c>
      <c r="AI15" s="828" t="s">
        <v>261</v>
      </c>
      <c r="AJ1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5" s="846">
        <f>SUM(Tabla1[[#This Row],[PRECIO $ BOLSA 50KG  FOB CDO TUC (IVA INC)]]-Tabla1[[#This Row],[PRECIO REF $ BOLSA 50 KG CACTU (IVA INC)]])</f>
        <v>-4683.3639488353328</v>
      </c>
      <c r="AL15" s="847">
        <f>IFERROR(Tabla1[[#This Row],[PRECIO $ BOLSA 50KG  FOB CDO TUC (IVA INC)]]/Tabla1[[#This Row],[PRECIO REF $ BOLSA 50 KG CACTU (IVA INC)]]-1,"")</f>
        <v>-0.14403702748993796</v>
      </c>
      <c r="AM15" s="846">
        <f>+Tabla1[[#This Row],[DIF $ PRECIO NETO INDUSTRIA vs Neto TUCUMAN (IVA INC)]]*Tabla1[[#This Row],[Q Bolsas Equivalentes 50kg]]</f>
        <v>-2767868.0937616816</v>
      </c>
      <c r="AN15" s="846">
        <f>Tabla1[[#This Row],[PRECIO REF $ BOLSA 50 KG CACTU (IVA INC)]]*Tabla1[[#This Row],[Q Bolsas Equivalentes 50kg]]</f>
        <v>19216365</v>
      </c>
      <c r="AO15" s="846">
        <f>+Tabla1[[#This Row],[PRECIO $ BOLSA 50KG  FOB CDO TUC (IVA INC)]]*Tabla1[[#This Row],[Q Bolsas Equivalentes 50kg]]</f>
        <v>16448496.906238317</v>
      </c>
      <c r="AP15" s="847">
        <v>2.9000000000000001E-2</v>
      </c>
      <c r="AQ15" s="846">
        <v>-68</v>
      </c>
      <c r="AR15" s="848"/>
      <c r="AS15" s="945" t="s">
        <v>587</v>
      </c>
      <c r="AT15" s="923">
        <f>+Tabla1[[#This Row],[VENTA TOTAL $ (IVA INC) ]]-(SUM(Tabla1[[#This Row],[PENDIENTE DE ENTREGA]:[VALORES COBRADOS]]))</f>
        <v>0</v>
      </c>
      <c r="AU15" s="850">
        <f>VLOOKUP(Tabla1[[#This Row],[FECHA OC]],'TIPO DE CAMBIO'!A:B,2,TRUE)</f>
        <v>1446.3009999999999</v>
      </c>
      <c r="AV15" s="850">
        <f>+Tabla1[[#This Row],[SUBTOTAL]]/Tabla1[[#This Row],[TIPO DE CAMBIO]]</f>
        <v>9308.25</v>
      </c>
      <c r="AW15" s="851"/>
      <c r="AX15" s="850">
        <f>IFERROR(Tabla1[[#This Row],[VENTA TOTAL USD A PLAZO EN CLIENTE  (SIN IVA)]]*(1+Tabla1[[#This Row],[% IVA ]]),"")</f>
        <v>9308.25</v>
      </c>
      <c r="AY15" s="850">
        <f>+Tabla1[[#This Row],[VENTA TOTAL USD A PLAZO EN CLIENTE  (SIN IVA)]]/Tabla1[[#This Row],[KGS]]*1000</f>
        <v>315</v>
      </c>
      <c r="AZ15" s="850">
        <v>0</v>
      </c>
      <c r="BA15" s="850">
        <f>+Tabla1[[#This Row],[GASTOS FINANCIEROS $ BOLSA 50 KG (IVA INC)]]*20/Tabla1[[#This Row],[TIPO DE CAMBIO]]</f>
        <v>3.7220936386985324</v>
      </c>
      <c r="BB15" s="850">
        <f>+Tabla1[[#This Row],[PRECIO POR TN USD EN CLIENTE A PLAZO (SIN IVA)]]+Tabla1[[#This Row],[COSTO USD FLETE /TN (SIN IVA)]]+Tabla1[[#This Row],[COSTO FINANCIERO USD POR BOLSA 50KG (IVA INC)]]</f>
        <v>318.72209363869854</v>
      </c>
      <c r="BC15" s="848">
        <v>5</v>
      </c>
      <c r="BD15" s="944"/>
    </row>
    <row r="16" spans="1:56" ht="15.75" customHeight="1">
      <c r="A16" s="912">
        <v>46143</v>
      </c>
      <c r="B16" s="828">
        <v>1</v>
      </c>
      <c r="C16" s="792" t="s">
        <v>406</v>
      </c>
      <c r="D16" s="829">
        <f>+Tabla1[[#This Row],[FECHA Entrega]]</f>
        <v>46173.927083333336</v>
      </c>
      <c r="E16" s="830">
        <v>700000869</v>
      </c>
      <c r="F16" s="831" t="s">
        <v>358</v>
      </c>
      <c r="G16" s="832" t="s">
        <v>357</v>
      </c>
      <c r="H16" s="833">
        <v>46173.927083333336</v>
      </c>
      <c r="I16" s="834">
        <f>597*50</f>
        <v>29850</v>
      </c>
      <c r="J16" s="835">
        <f>0.315*Tabla1[[#This Row],[TIPO DE CAMBIO]]</f>
        <v>455.58481499999999</v>
      </c>
      <c r="K16" s="836">
        <f t="shared" si="2"/>
        <v>13599206.72775</v>
      </c>
      <c r="L1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2855833.4128274997</v>
      </c>
      <c r="M16" s="837">
        <f t="shared" si="0"/>
        <v>16455040.140577499</v>
      </c>
      <c r="N16" s="838"/>
      <c r="O16" s="838">
        <v>0</v>
      </c>
      <c r="P16" s="838">
        <v>0</v>
      </c>
      <c r="Q16" s="839">
        <f>+Tabla1[[#This Row],[VENTA TOTAL $ (IVA INC) ]]-Tabla1[[#This Row],[PENDIENTE DE COBRO]]</f>
        <v>16455040.140577499</v>
      </c>
      <c r="R16" s="840">
        <f>+Tabla1[[#This Row],[FECHA FC]]+Tabla1[[#This Row],[PLAZO ENTREGA VALORES]]</f>
        <v>46051</v>
      </c>
      <c r="S16" s="840">
        <f>+Tabla1[[#This Row],[FECHA FC]]+Tabla1[[#This Row],[PLAZO PAGO (DIAS)]]</f>
        <v>46173.927083333336</v>
      </c>
      <c r="T16" s="834">
        <f t="shared" ca="1" si="3"/>
        <v>-7.0729166666642413</v>
      </c>
      <c r="U16" s="831">
        <f>+Tabla1[[#This Row],[FECHA OC]]-Tabla1[[#This Row],[FECHA Entrega]]</f>
        <v>-122.92708333333576</v>
      </c>
      <c r="V16" s="831"/>
      <c r="W16" s="841">
        <f>+Tabla1[[#This Row],[FECHA VTO VALORES]]+7</f>
        <v>46180.927083333336</v>
      </c>
      <c r="X16" s="831"/>
      <c r="Y16" s="840">
        <v>46051</v>
      </c>
      <c r="Z16" s="842">
        <f>Tabla1[[#This Row],[KGS]]/50</f>
        <v>597</v>
      </c>
      <c r="AA1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6" s="844">
        <f>-Tabla1[[#This Row],[COSTO FLETE $ POR BOLSA 5O KG (SIN IVA)]]*1.21-Tabla1[[#This Row],[PRECIO $/ KG A PLAZO EN CLIENTE ( SIN IVA)]]*0.003*1.21*50</f>
        <v>-0.40864392249999071</v>
      </c>
      <c r="AC16" s="845">
        <f>SUM(Tabla1[[#This Row],[PRECIO $ BOLSA 50 KG (IVA INC) ]]+Tabla1[[#This Row],[COSTO FLETE $ BOLSA 50 KG (IVA INC)]])</f>
        <v>27562.4726635775</v>
      </c>
      <c r="AD16" s="844">
        <f>-Tabla1[[#This Row],[PRECIO $ BOLSA 50 KG (IVA INC) ]]*(Tabla1[[#This Row],[TASA FINANCIACION MENSUAL]]/365)*Tabla1[[#This Row],[PLAZO ENTREGA VALORES]]</f>
        <v>269.20140716280264</v>
      </c>
      <c r="AE16" s="845">
        <f>SUM(Tabla1[[#This Row],[PRECIO $ BOLSA50 KG  FOB TUCUMAN A PLAZO (IVA INC)]]+Tabla1[[#This Row],[GASTOS FINANCIEROS $ BOLSA 50 KG (IVA INC)]])</f>
        <v>27831.674070740304</v>
      </c>
      <c r="AF16" s="828" t="s">
        <v>476</v>
      </c>
      <c r="AG16" s="828" t="s">
        <v>365</v>
      </c>
      <c r="AH16" s="828" t="s">
        <v>387</v>
      </c>
      <c r="AI16" s="828" t="s">
        <v>261</v>
      </c>
      <c r="AJ1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6" s="846">
        <f>SUM(Tabla1[[#This Row],[PRECIO $ BOLSA 50KG  FOB CDO TUC (IVA INC)]]-Tabla1[[#This Row],[PRECIO REF $ BOLSA 50 KG CACTU (IVA INC)]])</f>
        <v>-4683.3259292596958</v>
      </c>
      <c r="AL16" s="847">
        <f>IFERROR(Tabla1[[#This Row],[PRECIO $ BOLSA 50KG  FOB CDO TUC (IVA INC)]]/Tabla1[[#This Row],[PRECIO REF $ BOLSA 50 KG CACTU (IVA INC)]]-1,"")</f>
        <v>-0.14403585819651532</v>
      </c>
      <c r="AM16" s="846">
        <f>+Tabla1[[#This Row],[DIF $ PRECIO NETO INDUSTRIA vs Neto TUCUMAN (IVA INC)]]*Tabla1[[#This Row],[Q Bolsas Equivalentes 50kg]]</f>
        <v>-2795945.5797680384</v>
      </c>
      <c r="AN16" s="846">
        <f>Tabla1[[#This Row],[PRECIO REF $ BOLSA 50 KG CACTU (IVA INC)]]*Tabla1[[#This Row],[Q Bolsas Equivalentes 50kg]]</f>
        <v>19411455</v>
      </c>
      <c r="AO16" s="846">
        <f>+Tabla1[[#This Row],[PRECIO $ BOLSA 50KG  FOB CDO TUC (IVA INC)]]*Tabla1[[#This Row],[Q Bolsas Equivalentes 50kg]]</f>
        <v>16615509.420231961</v>
      </c>
      <c r="AP16" s="847">
        <v>2.9000000000000001E-2</v>
      </c>
      <c r="AQ16" s="846">
        <v>-68</v>
      </c>
      <c r="AR16" s="848"/>
      <c r="AS16" s="945" t="s">
        <v>588</v>
      </c>
      <c r="AT16" s="923">
        <f>+Tabla1[[#This Row],[VENTA TOTAL $ (IVA INC) ]]-(SUM(Tabla1[[#This Row],[PENDIENTE DE ENTREGA]:[VALORES COBRADOS]]))</f>
        <v>0</v>
      </c>
      <c r="AU16" s="850">
        <f>VLOOKUP(Tabla1[[#This Row],[FECHA OC]],'TIPO DE CAMBIO'!A:B,2,TRUE)</f>
        <v>1446.3009999999999</v>
      </c>
      <c r="AV16" s="850">
        <f>+Tabla1[[#This Row],[SUBTOTAL]]/Tabla1[[#This Row],[TIPO DE CAMBIO]]</f>
        <v>9402.75</v>
      </c>
      <c r="AW16" s="851"/>
      <c r="AX16" s="850">
        <f>IFERROR(Tabla1[[#This Row],[VENTA TOTAL USD A PLAZO EN CLIENTE  (SIN IVA)]]*(1+Tabla1[[#This Row],[% IVA ]]),"")</f>
        <v>9402.75</v>
      </c>
      <c r="AY16" s="850">
        <f>+Tabla1[[#This Row],[VENTA TOTAL USD A PLAZO EN CLIENTE  (SIN IVA)]]/Tabla1[[#This Row],[KGS]]*1000</f>
        <v>315</v>
      </c>
      <c r="AZ16" s="850">
        <v>0</v>
      </c>
      <c r="BA16" s="850">
        <f>+Tabla1[[#This Row],[GASTOS FINANCIEROS $ BOLSA 50 KG (IVA INC)]]*20/Tabla1[[#This Row],[TIPO DE CAMBIO]]</f>
        <v>3.7226193878425402</v>
      </c>
      <c r="BB16" s="850">
        <f>+Tabla1[[#This Row],[PRECIO POR TN USD EN CLIENTE A PLAZO (SIN IVA)]]+Tabla1[[#This Row],[COSTO USD FLETE /TN (SIN IVA)]]+Tabla1[[#This Row],[COSTO FINANCIERO USD POR BOLSA 50KG (IVA INC)]]</f>
        <v>318.72261938784254</v>
      </c>
      <c r="BC16" s="848">
        <v>5</v>
      </c>
      <c r="BD16" s="944"/>
    </row>
    <row r="17" spans="1:56" ht="15.75" customHeight="1">
      <c r="A17" s="912">
        <v>46143</v>
      </c>
      <c r="B17" s="828">
        <v>1</v>
      </c>
      <c r="C17" s="792" t="s">
        <v>406</v>
      </c>
      <c r="D17" s="829">
        <f>+Tabla1[[#This Row],[FECHA Entrega]]</f>
        <v>46175.831250000003</v>
      </c>
      <c r="E17" s="830">
        <v>700000869</v>
      </c>
      <c r="F17" s="831" t="s">
        <v>358</v>
      </c>
      <c r="G17" s="832" t="s">
        <v>357</v>
      </c>
      <c r="H17" s="833">
        <v>46175.831250000003</v>
      </c>
      <c r="I17" s="834">
        <f>719*50</f>
        <v>35950</v>
      </c>
      <c r="J17" s="835">
        <f>0.315*Tabla1[[#This Row],[TIPO DE CAMBIO]]</f>
        <v>455.58481499999999</v>
      </c>
      <c r="K17" s="836">
        <f t="shared" si="2"/>
        <v>16378274.09925</v>
      </c>
      <c r="L1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3439437.5608425001</v>
      </c>
      <c r="M17" s="837">
        <f t="shared" si="0"/>
        <v>19817711.660092499</v>
      </c>
      <c r="N17" s="838"/>
      <c r="O17" s="838">
        <v>0</v>
      </c>
      <c r="P17" s="838">
        <v>0</v>
      </c>
      <c r="Q17" s="839">
        <f>+Tabla1[[#This Row],[VENTA TOTAL $ (IVA INC) ]]-Tabla1[[#This Row],[PENDIENTE DE COBRO]]</f>
        <v>19817711.660092499</v>
      </c>
      <c r="R17" s="840">
        <f>+Tabla1[[#This Row],[FECHA FC]]+Tabla1[[#This Row],[PLAZO ENTREGA VALORES]]</f>
        <v>46051</v>
      </c>
      <c r="S17" s="840">
        <f>+Tabla1[[#This Row],[FECHA FC]]+Tabla1[[#This Row],[PLAZO PAGO (DIAS)]]</f>
        <v>46175.831250000003</v>
      </c>
      <c r="T17" s="834">
        <f t="shared" ca="1" si="3"/>
        <v>-5.1687499999970896</v>
      </c>
      <c r="U17" s="831">
        <f>+Tabla1[[#This Row],[FECHA OC]]-Tabla1[[#This Row],[FECHA Entrega]]</f>
        <v>-124.83125000000291</v>
      </c>
      <c r="V17" s="831"/>
      <c r="W17" s="841">
        <f>+Tabla1[[#This Row],[FECHA VTO VALORES]]+7</f>
        <v>46182.831250000003</v>
      </c>
      <c r="X17" s="831"/>
      <c r="Y17" s="840">
        <v>46051</v>
      </c>
      <c r="Z17" s="842">
        <f>Tabla1[[#This Row],[KGS]]/50</f>
        <v>719</v>
      </c>
      <c r="AA1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7" s="844">
        <f>-Tabla1[[#This Row],[COSTO FLETE $ POR BOLSA 5O KG (SIN IVA)]]*1.21-Tabla1[[#This Row],[PRECIO $/ KG A PLAZO EN CLIENTE ( SIN IVA)]]*0.003*1.21*50</f>
        <v>-0.40864392249999071</v>
      </c>
      <c r="AC17" s="845">
        <f>SUM(Tabla1[[#This Row],[PRECIO $ BOLSA 50 KG (IVA INC) ]]+Tabla1[[#This Row],[COSTO FLETE $ BOLSA 50 KG (IVA INC)]])</f>
        <v>27562.4726635775</v>
      </c>
      <c r="AD17" s="844">
        <f>-Tabla1[[#This Row],[PRECIO $ BOLSA 50 KG (IVA INC) ]]*(Tabla1[[#This Row],[TASA FINANCIACION MENSUAL]]/365)*Tabla1[[#This Row],[PLAZO ENTREGA VALORES]]</f>
        <v>273.37139421723629</v>
      </c>
      <c r="AE17" s="845">
        <f>SUM(Tabla1[[#This Row],[PRECIO $ BOLSA50 KG  FOB TUCUMAN A PLAZO (IVA INC)]]+Tabla1[[#This Row],[GASTOS FINANCIEROS $ BOLSA 50 KG (IVA INC)]])</f>
        <v>27835.844057794737</v>
      </c>
      <c r="AF17" s="828" t="s">
        <v>476</v>
      </c>
      <c r="AG17" s="828" t="s">
        <v>365</v>
      </c>
      <c r="AH17" s="828" t="s">
        <v>387</v>
      </c>
      <c r="AI17" s="828" t="s">
        <v>261</v>
      </c>
      <c r="AJ1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7" s="846">
        <f>SUM(Tabla1[[#This Row],[PRECIO $ BOLSA 50KG  FOB CDO TUC (IVA INC)]]-Tabla1[[#This Row],[PRECIO REF $ BOLSA 50 KG CACTU (IVA INC)]])</f>
        <v>-4679.1559422052633</v>
      </c>
      <c r="AL17" s="847">
        <f>IFERROR(Tabla1[[#This Row],[PRECIO $ BOLSA 50KG  FOB CDO TUC (IVA INC)]]/Tabla1[[#This Row],[PRECIO REF $ BOLSA 50 KG CACTU (IVA INC)]]-1,"")</f>
        <v>-0.14390761009396469</v>
      </c>
      <c r="AM17" s="846">
        <f>+Tabla1[[#This Row],[DIF $ PRECIO NETO INDUSTRIA vs Neto TUCUMAN (IVA INC)]]*Tabla1[[#This Row],[Q Bolsas Equivalentes 50kg]]</f>
        <v>-3364313.1224455843</v>
      </c>
      <c r="AN17" s="846">
        <f>Tabla1[[#This Row],[PRECIO REF $ BOLSA 50 KG CACTU (IVA INC)]]*Tabla1[[#This Row],[Q Bolsas Equivalentes 50kg]]</f>
        <v>23378285</v>
      </c>
      <c r="AO17" s="846">
        <f>+Tabla1[[#This Row],[PRECIO $ BOLSA 50KG  FOB CDO TUC (IVA INC)]]*Tabla1[[#This Row],[Q Bolsas Equivalentes 50kg]]</f>
        <v>20013971.877554417</v>
      </c>
      <c r="AP17" s="847">
        <v>2.9000000000000001E-2</v>
      </c>
      <c r="AQ17" s="846">
        <v>-68</v>
      </c>
      <c r="AR17" s="848"/>
      <c r="AS17" s="945" t="s">
        <v>589</v>
      </c>
      <c r="AT17" s="923">
        <f>+Tabla1[[#This Row],[VENTA TOTAL $ (IVA INC) ]]-(SUM(Tabla1[[#This Row],[PENDIENTE DE ENTREGA]:[VALORES COBRADOS]]))</f>
        <v>0</v>
      </c>
      <c r="AU17" s="850">
        <f>VLOOKUP(Tabla1[[#This Row],[FECHA OC]],'TIPO DE CAMBIO'!A:B,2,TRUE)</f>
        <v>1446.3009999999999</v>
      </c>
      <c r="AV17" s="850">
        <f>+Tabla1[[#This Row],[SUBTOTAL]]/Tabla1[[#This Row],[TIPO DE CAMBIO]]</f>
        <v>11324.25</v>
      </c>
      <c r="AW17" s="851"/>
      <c r="AX17" s="850">
        <f>IFERROR(Tabla1[[#This Row],[VENTA TOTAL USD A PLAZO EN CLIENTE  (SIN IVA)]]*(1+Tabla1[[#This Row],[% IVA ]]),"")</f>
        <v>11324.25</v>
      </c>
      <c r="AY17" s="850">
        <f>+Tabla1[[#This Row],[VENTA TOTAL USD A PLAZO EN CLIENTE  (SIN IVA)]]/Tabla1[[#This Row],[KGS]]*1000</f>
        <v>315</v>
      </c>
      <c r="AZ17" s="850">
        <v>0</v>
      </c>
      <c r="BA17" s="850">
        <f>+Tabla1[[#This Row],[GASTOS FINANCIEROS $ BOLSA 50 KG (IVA INC)]]*20/Tabla1[[#This Row],[TIPO DE CAMBIO]]</f>
        <v>3.7802835539384443</v>
      </c>
      <c r="BB17" s="850">
        <f>+Tabla1[[#This Row],[PRECIO POR TN USD EN CLIENTE A PLAZO (SIN IVA)]]+Tabla1[[#This Row],[COSTO USD FLETE /TN (SIN IVA)]]+Tabla1[[#This Row],[COSTO FINANCIERO USD POR BOLSA 50KG (IVA INC)]]</f>
        <v>318.78028355393843</v>
      </c>
      <c r="BC17" s="848">
        <v>5</v>
      </c>
      <c r="BD17" s="944"/>
    </row>
    <row r="18" spans="1:56" ht="15.75" customHeight="1">
      <c r="A18" s="912">
        <v>46143</v>
      </c>
      <c r="B18" s="828">
        <v>1</v>
      </c>
      <c r="C18" s="792" t="s">
        <v>406</v>
      </c>
      <c r="D18" s="829">
        <f>+Tabla1[[#This Row],[FECHA Entrega]]</f>
        <v>46175.833333333336</v>
      </c>
      <c r="E18" s="830">
        <v>700000869</v>
      </c>
      <c r="F18" s="831" t="s">
        <v>358</v>
      </c>
      <c r="G18" s="832" t="s">
        <v>357</v>
      </c>
      <c r="H18" s="833">
        <v>46175.833333333336</v>
      </c>
      <c r="I18" s="834">
        <f>573*50</f>
        <v>28650</v>
      </c>
      <c r="J18" s="835">
        <f>0.315*Tabla1[[#This Row],[TIPO DE CAMBIO]]</f>
        <v>455.58481499999999</v>
      </c>
      <c r="K18" s="836">
        <f t="shared" si="2"/>
        <v>13052504.949750001</v>
      </c>
      <c r="L1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2741026.0394474999</v>
      </c>
      <c r="M18" s="837">
        <f t="shared" si="0"/>
        <v>15793530.9891975</v>
      </c>
      <c r="N18" s="838"/>
      <c r="O18" s="838">
        <v>0</v>
      </c>
      <c r="P18" s="838">
        <v>0</v>
      </c>
      <c r="Q18" s="839">
        <f>+Tabla1[[#This Row],[VENTA TOTAL $ (IVA INC) ]]-Tabla1[[#This Row],[PENDIENTE DE COBRO]]</f>
        <v>15793530.9891975</v>
      </c>
      <c r="R18" s="840">
        <f>+Tabla1[[#This Row],[FECHA FC]]+Tabla1[[#This Row],[PLAZO ENTREGA VALORES]]</f>
        <v>46051</v>
      </c>
      <c r="S18" s="840">
        <f>+Tabla1[[#This Row],[FECHA FC]]+Tabla1[[#This Row],[PLAZO PAGO (DIAS)]]</f>
        <v>46175.833333333336</v>
      </c>
      <c r="T18" s="834">
        <f t="shared" ca="1" si="3"/>
        <v>-5.1666666666642413</v>
      </c>
      <c r="U18" s="831">
        <f>+Tabla1[[#This Row],[FECHA OC]]-Tabla1[[#This Row],[FECHA Entrega]]</f>
        <v>-124.83333333333576</v>
      </c>
      <c r="V18" s="831"/>
      <c r="W18" s="841">
        <f>+Tabla1[[#This Row],[FECHA VTO VALORES]]+7</f>
        <v>46182.833333333336</v>
      </c>
      <c r="X18" s="831"/>
      <c r="Y18" s="840">
        <v>46051</v>
      </c>
      <c r="Z18" s="842">
        <f>Tabla1[[#This Row],[KGS]]/50</f>
        <v>573</v>
      </c>
      <c r="AA1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8" s="844">
        <f>-Tabla1[[#This Row],[COSTO FLETE $ POR BOLSA 5O KG (SIN IVA)]]*1.21-Tabla1[[#This Row],[PRECIO $/ KG A PLAZO EN CLIENTE ( SIN IVA)]]*0.003*1.21*50</f>
        <v>-0.40864392249999071</v>
      </c>
      <c r="AC18" s="845">
        <f>SUM(Tabla1[[#This Row],[PRECIO $ BOLSA 50 KG (IVA INC) ]]+Tabla1[[#This Row],[COSTO FLETE $ BOLSA 50 KG (IVA INC)]])</f>
        <v>27562.4726635775</v>
      </c>
      <c r="AD18" s="844">
        <f>-Tabla1[[#This Row],[PRECIO $ BOLSA 50 KG (IVA INC) ]]*(Tabla1[[#This Row],[TASA FINANCIACION MENSUAL]]/365)*Tabla1[[#This Row],[PLAZO ENTREGA VALORES]]</f>
        <v>273.37595656631009</v>
      </c>
      <c r="AE18" s="845">
        <f>SUM(Tabla1[[#This Row],[PRECIO $ BOLSA50 KG  FOB TUCUMAN A PLAZO (IVA INC)]]+Tabla1[[#This Row],[GASTOS FINANCIEROS $ BOLSA 50 KG (IVA INC)]])</f>
        <v>27835.84862014381</v>
      </c>
      <c r="AF18" s="828" t="s">
        <v>476</v>
      </c>
      <c r="AG18" s="828" t="s">
        <v>365</v>
      </c>
      <c r="AH18" s="828" t="s">
        <v>387</v>
      </c>
      <c r="AI18" s="828" t="s">
        <v>261</v>
      </c>
      <c r="AJ1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8" s="846">
        <f>SUM(Tabla1[[#This Row],[PRECIO $ BOLSA 50KG  FOB CDO TUC (IVA INC)]]-Tabla1[[#This Row],[PRECIO REF $ BOLSA 50 KG CACTU (IVA INC)]])</f>
        <v>-4679.15137985619</v>
      </c>
      <c r="AL18" s="847">
        <f>IFERROR(Tabla1[[#This Row],[PRECIO $ BOLSA 50KG  FOB CDO TUC (IVA INC)]]/Tabla1[[#This Row],[PRECIO REF $ BOLSA 50 KG CACTU (IVA INC)]]-1,"")</f>
        <v>-0.14390746977875413</v>
      </c>
      <c r="AM18" s="846">
        <f>+Tabla1[[#This Row],[DIF $ PRECIO NETO INDUSTRIA vs Neto TUCUMAN (IVA INC)]]*Tabla1[[#This Row],[Q Bolsas Equivalentes 50kg]]</f>
        <v>-2681153.7406575968</v>
      </c>
      <c r="AN18" s="846">
        <f>Tabla1[[#This Row],[PRECIO REF $ BOLSA 50 KG CACTU (IVA INC)]]*Tabla1[[#This Row],[Q Bolsas Equivalentes 50kg]]</f>
        <v>18631095</v>
      </c>
      <c r="AO18" s="846">
        <f>+Tabla1[[#This Row],[PRECIO $ BOLSA 50KG  FOB CDO TUC (IVA INC)]]*Tabla1[[#This Row],[Q Bolsas Equivalentes 50kg]]</f>
        <v>15949941.259342402</v>
      </c>
      <c r="AP18" s="847">
        <v>2.9000000000000001E-2</v>
      </c>
      <c r="AQ18" s="846">
        <v>-68</v>
      </c>
      <c r="AR18" s="848"/>
      <c r="AS18" s="945" t="s">
        <v>590</v>
      </c>
      <c r="AT18" s="923">
        <f>+Tabla1[[#This Row],[VENTA TOTAL $ (IVA INC) ]]-(SUM(Tabla1[[#This Row],[PENDIENTE DE ENTREGA]:[VALORES COBRADOS]]))</f>
        <v>0</v>
      </c>
      <c r="AU18" s="850">
        <f>VLOOKUP(Tabla1[[#This Row],[FECHA OC]],'TIPO DE CAMBIO'!A:B,2,TRUE)</f>
        <v>1446.3009999999999</v>
      </c>
      <c r="AV18" s="850">
        <f>+Tabla1[[#This Row],[SUBTOTAL]]/Tabla1[[#This Row],[TIPO DE CAMBIO]]</f>
        <v>9024.75</v>
      </c>
      <c r="AW18" s="851"/>
      <c r="AX18" s="850">
        <f>IFERROR(Tabla1[[#This Row],[VENTA TOTAL USD A PLAZO EN CLIENTE  (SIN IVA)]]*(1+Tabla1[[#This Row],[% IVA ]]),"")</f>
        <v>9024.75</v>
      </c>
      <c r="AY18" s="850">
        <f>+Tabla1[[#This Row],[VENTA TOTAL USD A PLAZO EN CLIENTE  (SIN IVA)]]/Tabla1[[#This Row],[KGS]]*1000</f>
        <v>315</v>
      </c>
      <c r="AZ18" s="850">
        <v>0</v>
      </c>
      <c r="BA18" s="850">
        <f>+Tabla1[[#This Row],[GASTOS FINANCIEROS $ BOLSA 50 KG (IVA INC)]]*20/Tabla1[[#This Row],[TIPO DE CAMBIO]]</f>
        <v>3.7803466438356899</v>
      </c>
      <c r="BB18" s="850">
        <f>+Tabla1[[#This Row],[PRECIO POR TN USD EN CLIENTE A PLAZO (SIN IVA)]]+Tabla1[[#This Row],[COSTO USD FLETE /TN (SIN IVA)]]+Tabla1[[#This Row],[COSTO FINANCIERO USD POR BOLSA 50KG (IVA INC)]]</f>
        <v>318.78034664383568</v>
      </c>
      <c r="BC18" s="848">
        <v>5</v>
      </c>
      <c r="BD18" s="944"/>
    </row>
    <row r="19" spans="1:56" ht="15.75" customHeight="1">
      <c r="A19" s="912">
        <v>46143</v>
      </c>
      <c r="B19" s="828">
        <v>1</v>
      </c>
      <c r="C19" s="792" t="s">
        <v>406</v>
      </c>
      <c r="D19" s="829">
        <f>+Tabla1[[#This Row],[FECHA Entrega]]</f>
        <v>46175.834722222222</v>
      </c>
      <c r="E19" s="830">
        <v>700000869</v>
      </c>
      <c r="F19" s="831" t="s">
        <v>358</v>
      </c>
      <c r="G19" s="832" t="s">
        <v>357</v>
      </c>
      <c r="H19" s="833">
        <v>46175.834722222222</v>
      </c>
      <c r="I19" s="834">
        <f>586*50</f>
        <v>29300</v>
      </c>
      <c r="J19" s="835">
        <f>0.315*Tabla1[[#This Row],[TIPO DE CAMBIO]]</f>
        <v>455.58481499999999</v>
      </c>
      <c r="K19" s="836">
        <f t="shared" si="2"/>
        <v>13348635.079499999</v>
      </c>
      <c r="L1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2803213.3666949999</v>
      </c>
      <c r="M19" s="837">
        <f t="shared" si="0"/>
        <v>16151848.446194999</v>
      </c>
      <c r="N19" s="838"/>
      <c r="O19" s="838">
        <v>0</v>
      </c>
      <c r="P19" s="838">
        <v>0</v>
      </c>
      <c r="Q19" s="839">
        <f>+Tabla1[[#This Row],[VENTA TOTAL $ (IVA INC) ]]-Tabla1[[#This Row],[PENDIENTE DE COBRO]]</f>
        <v>16151848.446194999</v>
      </c>
      <c r="R19" s="840">
        <f>+Tabla1[[#This Row],[FECHA FC]]+Tabla1[[#This Row],[PLAZO ENTREGA VALORES]]</f>
        <v>46051</v>
      </c>
      <c r="S19" s="840">
        <f>+Tabla1[[#This Row],[FECHA FC]]+Tabla1[[#This Row],[PLAZO PAGO (DIAS)]]</f>
        <v>46175.834722222222</v>
      </c>
      <c r="T19" s="834">
        <f t="shared" ca="1" si="3"/>
        <v>-5.1652777777781012</v>
      </c>
      <c r="U19" s="831">
        <f>+Tabla1[[#This Row],[FECHA OC]]-Tabla1[[#This Row],[FECHA Entrega]]</f>
        <v>-124.8347222222219</v>
      </c>
      <c r="V19" s="831"/>
      <c r="W19" s="841">
        <f>+Tabla1[[#This Row],[FECHA VTO VALORES]]+7</f>
        <v>46182.834722222222</v>
      </c>
      <c r="X19" s="831"/>
      <c r="Y19" s="840">
        <v>46051</v>
      </c>
      <c r="Z19" s="842">
        <f>Tabla1[[#This Row],[KGS]]/50</f>
        <v>586</v>
      </c>
      <c r="AA1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9" s="844">
        <f>-Tabla1[[#This Row],[COSTO FLETE $ POR BOLSA 5O KG (SIN IVA)]]*1.21-Tabla1[[#This Row],[PRECIO $/ KG A PLAZO EN CLIENTE ( SIN IVA)]]*0.003*1.21*50</f>
        <v>-0.40864392249999071</v>
      </c>
      <c r="AC19" s="845">
        <f>SUM(Tabla1[[#This Row],[PRECIO $ BOLSA 50 KG (IVA INC) ]]+Tabla1[[#This Row],[COSTO FLETE $ BOLSA 50 KG (IVA INC)]])</f>
        <v>27562.4726635775</v>
      </c>
      <c r="AD19" s="844">
        <f>-Tabla1[[#This Row],[PRECIO $ BOLSA 50 KG (IVA INC) ]]*(Tabla1[[#This Row],[TASA FINANCIACION MENSUAL]]/365)*Tabla1[[#This Row],[PLAZO ENTREGA VALORES]]</f>
        <v>273.37899813235401</v>
      </c>
      <c r="AE19" s="845">
        <f>SUM(Tabla1[[#This Row],[PRECIO $ BOLSA50 KG  FOB TUCUMAN A PLAZO (IVA INC)]]+Tabla1[[#This Row],[GASTOS FINANCIEROS $ BOLSA 50 KG (IVA INC)]])</f>
        <v>27835.851661709854</v>
      </c>
      <c r="AF19" s="828" t="s">
        <v>476</v>
      </c>
      <c r="AG19" s="828" t="s">
        <v>365</v>
      </c>
      <c r="AH19" s="828" t="s">
        <v>387</v>
      </c>
      <c r="AI19" s="828" t="s">
        <v>261</v>
      </c>
      <c r="AJ1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9" s="846">
        <f>SUM(Tabla1[[#This Row],[PRECIO $ BOLSA 50KG  FOB CDO TUC (IVA INC)]]-Tabla1[[#This Row],[PRECIO REF $ BOLSA 50 KG CACTU (IVA INC)]])</f>
        <v>-4679.1483382901461</v>
      </c>
      <c r="AL19" s="847">
        <f>IFERROR(Tabla1[[#This Row],[PRECIO $ BOLSA 50KG  FOB CDO TUC (IVA INC)]]/Tabla1[[#This Row],[PRECIO REF $ BOLSA 50 KG CACTU (IVA INC)]]-1,"")</f>
        <v>-0.14390737623528049</v>
      </c>
      <c r="AM19" s="846">
        <f>+Tabla1[[#This Row],[DIF $ PRECIO NETO INDUSTRIA vs Neto TUCUMAN (IVA INC)]]*Tabla1[[#This Row],[Q Bolsas Equivalentes 50kg]]</f>
        <v>-2741980.9262380255</v>
      </c>
      <c r="AN19" s="846">
        <f>Tabla1[[#This Row],[PRECIO REF $ BOLSA 50 KG CACTU (IVA INC)]]*Tabla1[[#This Row],[Q Bolsas Equivalentes 50kg]]</f>
        <v>19053790</v>
      </c>
      <c r="AO19" s="846">
        <f>+Tabla1[[#This Row],[PRECIO $ BOLSA 50KG  FOB CDO TUC (IVA INC)]]*Tabla1[[#This Row],[Q Bolsas Equivalentes 50kg]]</f>
        <v>16311809.073761974</v>
      </c>
      <c r="AP19" s="847">
        <v>2.9000000000000001E-2</v>
      </c>
      <c r="AQ19" s="846">
        <v>-68</v>
      </c>
      <c r="AR19" s="848"/>
      <c r="AS19" s="945" t="s">
        <v>591</v>
      </c>
      <c r="AT19" s="923">
        <f>+Tabla1[[#This Row],[VENTA TOTAL $ (IVA INC) ]]-(SUM(Tabla1[[#This Row],[PENDIENTE DE ENTREGA]:[VALORES COBRADOS]]))</f>
        <v>0</v>
      </c>
      <c r="AU19" s="850">
        <f>VLOOKUP(Tabla1[[#This Row],[FECHA OC]],'TIPO DE CAMBIO'!A:B,2,TRUE)</f>
        <v>1446.3009999999999</v>
      </c>
      <c r="AV19" s="850">
        <f>+Tabla1[[#This Row],[SUBTOTAL]]/Tabla1[[#This Row],[TIPO DE CAMBIO]]</f>
        <v>9229.5</v>
      </c>
      <c r="AW19" s="851"/>
      <c r="AX19" s="850">
        <f>IFERROR(Tabla1[[#This Row],[VENTA TOTAL USD A PLAZO EN CLIENTE  (SIN IVA)]]*(1+Tabla1[[#This Row],[% IVA ]]),"")</f>
        <v>9229.5</v>
      </c>
      <c r="AY19" s="850">
        <f>+Tabla1[[#This Row],[VENTA TOTAL USD A PLAZO EN CLIENTE  (SIN IVA)]]/Tabla1[[#This Row],[KGS]]*1000</f>
        <v>315</v>
      </c>
      <c r="AZ19" s="850">
        <v>0</v>
      </c>
      <c r="BA19" s="850">
        <f>+Tabla1[[#This Row],[GASTOS FINANCIEROS $ BOLSA 50 KG (IVA INC)]]*20/Tabla1[[#This Row],[TIPO DE CAMBIO]]</f>
        <v>3.7803887037671133</v>
      </c>
      <c r="BB19" s="850">
        <f>+Tabla1[[#This Row],[PRECIO POR TN USD EN CLIENTE A PLAZO (SIN IVA)]]+Tabla1[[#This Row],[COSTO USD FLETE /TN (SIN IVA)]]+Tabla1[[#This Row],[COSTO FINANCIERO USD POR BOLSA 50KG (IVA INC)]]</f>
        <v>318.78038870376713</v>
      </c>
      <c r="BC19" s="848">
        <v>5</v>
      </c>
      <c r="BD19" s="944"/>
    </row>
    <row r="20" spans="1:56" ht="15.75" customHeight="1">
      <c r="A20" s="912">
        <v>46143</v>
      </c>
      <c r="B20" s="828">
        <v>1</v>
      </c>
      <c r="C20" s="792" t="s">
        <v>406</v>
      </c>
      <c r="D20" s="829">
        <f>+Tabla1[[#This Row],[FECHA Entrega]]</f>
        <v>46177</v>
      </c>
      <c r="E20" s="830">
        <v>700000869</v>
      </c>
      <c r="F20" s="831" t="s">
        <v>358</v>
      </c>
      <c r="G20" s="832" t="s">
        <v>216</v>
      </c>
      <c r="H20" s="833">
        <v>46177</v>
      </c>
      <c r="I20" s="834">
        <f t="shared" ref="I20:I25" si="4">700*50</f>
        <v>35000</v>
      </c>
      <c r="J20" s="835">
        <f>0.315*Tabla1[[#This Row],[TIPO DE CAMBIO]]</f>
        <v>455.58481499999999</v>
      </c>
      <c r="K20" s="836">
        <f t="shared" si="2"/>
        <v>15945468.525</v>
      </c>
      <c r="L2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0" s="837">
        <f t="shared" si="0"/>
        <v>19294016.91525</v>
      </c>
      <c r="N20" s="838"/>
      <c r="O20" s="838">
        <v>0</v>
      </c>
      <c r="P20" s="838">
        <v>0</v>
      </c>
      <c r="Q20" s="839">
        <f>+Tabla1[[#This Row],[VENTA TOTAL $ (IVA INC) ]]-Tabla1[[#This Row],[PENDIENTE DE COBRO]]</f>
        <v>19294016.91525</v>
      </c>
      <c r="R20" s="840">
        <f>+Tabla1[[#This Row],[FECHA FC]]+Tabla1[[#This Row],[PLAZO ENTREGA VALORES]]</f>
        <v>46051</v>
      </c>
      <c r="S20" s="840">
        <f>+Tabla1[[#This Row],[FECHA FC]]+Tabla1[[#This Row],[PLAZO PAGO (DIAS)]]</f>
        <v>46177</v>
      </c>
      <c r="T20" s="834">
        <f t="shared" ca="1" si="3"/>
        <v>-4</v>
      </c>
      <c r="U20" s="831">
        <f>+Tabla1[[#This Row],[FECHA OC]]-Tabla1[[#This Row],[FECHA Entrega]]</f>
        <v>-126</v>
      </c>
      <c r="V20" s="831"/>
      <c r="W20" s="841">
        <f>+Tabla1[[#This Row],[FECHA VTO VALORES]]+7</f>
        <v>46184</v>
      </c>
      <c r="X20" s="831"/>
      <c r="Y20" s="840">
        <v>46051</v>
      </c>
      <c r="Z20" s="842">
        <f>Tabla1[[#This Row],[KGS]]/50</f>
        <v>700</v>
      </c>
      <c r="AA2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0" s="844">
        <f>-Tabla1[[#This Row],[COSTO FLETE $ POR BOLSA 5O KG (SIN IVA)]]*1.21-Tabla1[[#This Row],[PRECIO $/ KG A PLAZO EN CLIENTE ( SIN IVA)]]*0.003*1.21*50</f>
        <v>-0.40864392249999071</v>
      </c>
      <c r="AC20" s="845">
        <f>SUM(Tabla1[[#This Row],[PRECIO $ BOLSA 50 KG (IVA INC) ]]+Tabla1[[#This Row],[COSTO FLETE $ BOLSA 50 KG (IVA INC)]])</f>
        <v>27562.4726635775</v>
      </c>
      <c r="AD20" s="844">
        <f>-Tabla1[[#This Row],[PRECIO $ BOLSA 50 KG (IVA INC) ]]*(Tabla1[[#This Row],[TASA FINANCIACION MENSUAL]]/365)*Tabla1[[#This Row],[PLAZO ENTREGA VALORES]]</f>
        <v>275.93087204823286</v>
      </c>
      <c r="AE20" s="845">
        <f>SUM(Tabla1[[#This Row],[PRECIO $ BOLSA50 KG  FOB TUCUMAN A PLAZO (IVA INC)]]+Tabla1[[#This Row],[GASTOS FINANCIEROS $ BOLSA 50 KG (IVA INC)]])</f>
        <v>27838.403535625734</v>
      </c>
      <c r="AF20" s="828" t="s">
        <v>476</v>
      </c>
      <c r="AG20" s="828" t="s">
        <v>365</v>
      </c>
      <c r="AH20" s="828" t="s">
        <v>387</v>
      </c>
      <c r="AI20" s="828" t="s">
        <v>261</v>
      </c>
      <c r="AJ2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0" s="846">
        <f>SUM(Tabla1[[#This Row],[PRECIO $ BOLSA 50KG  FOB CDO TUC (IVA INC)]]-Tabla1[[#This Row],[PRECIO REF $ BOLSA 50 KG CACTU (IVA INC)]])</f>
        <v>-4676.5964643742664</v>
      </c>
      <c r="AL20" s="847">
        <f>IFERROR(Tabla1[[#This Row],[PRECIO $ BOLSA 50KG  FOB CDO TUC (IVA INC)]]/Tabla1[[#This Row],[PRECIO REF $ BOLSA 50 KG CACTU (IVA INC)]]-1,"")</f>
        <v>-0.14382889326078019</v>
      </c>
      <c r="AM20" s="846">
        <f>+Tabla1[[#This Row],[DIF $ PRECIO NETO INDUSTRIA vs Neto TUCUMAN (IVA INC)]]*Tabla1[[#This Row],[Q Bolsas Equivalentes 50kg]]</f>
        <v>-3273617.5250619864</v>
      </c>
      <c r="AN20" s="846">
        <f>Tabla1[[#This Row],[PRECIO REF $ BOLSA 50 KG CACTU (IVA INC)]]*Tabla1[[#This Row],[Q Bolsas Equivalentes 50kg]]</f>
        <v>22760500</v>
      </c>
      <c r="AO20" s="846">
        <f>+Tabla1[[#This Row],[PRECIO $ BOLSA 50KG  FOB CDO TUC (IVA INC)]]*Tabla1[[#This Row],[Q Bolsas Equivalentes 50kg]]</f>
        <v>19486882.474938013</v>
      </c>
      <c r="AP20" s="847">
        <v>2.9000000000000001E-2</v>
      </c>
      <c r="AQ20" s="846">
        <v>-68</v>
      </c>
      <c r="AR20" s="848"/>
      <c r="AS20" s="849"/>
      <c r="AT20" s="923">
        <f>+Tabla1[[#This Row],[VENTA TOTAL $ (IVA INC) ]]-(SUM(Tabla1[[#This Row],[PENDIENTE DE ENTREGA]:[VALORES COBRADOS]]))</f>
        <v>0</v>
      </c>
      <c r="AU20" s="850">
        <f>VLOOKUP(Tabla1[[#This Row],[FECHA OC]],'TIPO DE CAMBIO'!A:B,2,TRUE)</f>
        <v>1446.3009999999999</v>
      </c>
      <c r="AV20" s="850">
        <f>+Tabla1[[#This Row],[SUBTOTAL]]/Tabla1[[#This Row],[TIPO DE CAMBIO]]</f>
        <v>11025</v>
      </c>
      <c r="AW20" s="851"/>
      <c r="AX20" s="850">
        <f>IFERROR(Tabla1[[#This Row],[VENTA TOTAL USD A PLAZO EN CLIENTE  (SIN IVA)]]*(1+Tabla1[[#This Row],[% IVA ]]),"")</f>
        <v>11025</v>
      </c>
      <c r="AY20" s="850">
        <f>+Tabla1[[#This Row],[VENTA TOTAL USD A PLAZO EN CLIENTE  (SIN IVA)]]/Tabla1[[#This Row],[KGS]]*1000</f>
        <v>315</v>
      </c>
      <c r="AZ20" s="850">
        <v>0</v>
      </c>
      <c r="BA20" s="850">
        <f>+Tabla1[[#This Row],[GASTOS FINANCIEROS $ BOLSA 50 KG (IVA INC)]]*20/Tabla1[[#This Row],[TIPO DE CAMBIO]]</f>
        <v>3.8156769863013698</v>
      </c>
      <c r="BB20" s="850">
        <f>+Tabla1[[#This Row],[PRECIO POR TN USD EN CLIENTE A PLAZO (SIN IVA)]]+Tabla1[[#This Row],[COSTO USD FLETE /TN (SIN IVA)]]+Tabla1[[#This Row],[COSTO FINANCIERO USD POR BOLSA 50KG (IVA INC)]]</f>
        <v>318.81567698630136</v>
      </c>
      <c r="BC20" s="848">
        <v>5</v>
      </c>
      <c r="BD20" s="944"/>
    </row>
    <row r="21" spans="1:56" ht="15.75" customHeight="1">
      <c r="A21" s="912">
        <v>46143</v>
      </c>
      <c r="B21" s="828">
        <v>1</v>
      </c>
      <c r="C21" s="792" t="s">
        <v>406</v>
      </c>
      <c r="D21" s="829">
        <f>+Tabla1[[#This Row],[FECHA Entrega]]</f>
        <v>46178</v>
      </c>
      <c r="E21" s="830">
        <v>700000869</v>
      </c>
      <c r="F21" s="831" t="s">
        <v>358</v>
      </c>
      <c r="G21" s="832" t="s">
        <v>216</v>
      </c>
      <c r="H21" s="833">
        <v>46178</v>
      </c>
      <c r="I21" s="834">
        <f t="shared" si="4"/>
        <v>35000</v>
      </c>
      <c r="J21" s="835">
        <f>0.315*Tabla1[[#This Row],[TIPO DE CAMBIO]]</f>
        <v>455.58481499999999</v>
      </c>
      <c r="K21" s="836">
        <f t="shared" si="1"/>
        <v>15945468.525</v>
      </c>
      <c r="L2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1" s="837">
        <f t="shared" si="0"/>
        <v>19294016.91525</v>
      </c>
      <c r="N21" s="838"/>
      <c r="O21" s="838">
        <v>0</v>
      </c>
      <c r="P21" s="838">
        <v>0</v>
      </c>
      <c r="Q21" s="839">
        <f>+Tabla1[[#This Row],[VENTA TOTAL $ (IVA INC) ]]-Tabla1[[#This Row],[PENDIENTE DE COBRO]]</f>
        <v>19294016.91525</v>
      </c>
      <c r="R21" s="840">
        <f>+Tabla1[[#This Row],[FECHA FC]]+Tabla1[[#This Row],[PLAZO ENTREGA VALORES]]</f>
        <v>46051</v>
      </c>
      <c r="S21" s="840">
        <f>+Tabla1[[#This Row],[FECHA FC]]+Tabla1[[#This Row],[PLAZO PAGO (DIAS)]]</f>
        <v>46178</v>
      </c>
      <c r="T21" s="834">
        <f t="shared" ref="T21:T53" ca="1" si="5">+S21-$U$2</f>
        <v>-3</v>
      </c>
      <c r="U21" s="831">
        <f>+Tabla1[[#This Row],[FECHA OC]]-Tabla1[[#This Row],[FECHA Entrega]]</f>
        <v>-127</v>
      </c>
      <c r="V21" s="831"/>
      <c r="W21" s="841">
        <f>+Tabla1[[#This Row],[FECHA VTO VALORES]]+7</f>
        <v>46185</v>
      </c>
      <c r="X21" s="831"/>
      <c r="Y21" s="840">
        <v>46051</v>
      </c>
      <c r="Z21" s="842">
        <f>Tabla1[[#This Row],[KGS]]/50</f>
        <v>700</v>
      </c>
      <c r="AA2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1" s="844">
        <f>-Tabla1[[#This Row],[COSTO FLETE $ POR BOLSA 5O KG (SIN IVA)]]*1.21-Tabla1[[#This Row],[PRECIO $/ KG A PLAZO EN CLIENTE ( SIN IVA)]]*0.003*1.21*50</f>
        <v>-0.40864392249999071</v>
      </c>
      <c r="AC21" s="845">
        <f>SUM(Tabla1[[#This Row],[PRECIO $ BOLSA 50 KG (IVA INC) ]]+Tabla1[[#This Row],[COSTO FLETE $ BOLSA 50 KG (IVA INC)]])</f>
        <v>27562.4726635775</v>
      </c>
      <c r="AD21" s="844">
        <f>-Tabla1[[#This Row],[PRECIO $ BOLSA 50 KG (IVA INC) ]]*(Tabla1[[#This Row],[TASA FINANCIACION MENSUAL]]/365)*Tabla1[[#This Row],[PLAZO ENTREGA VALORES]]</f>
        <v>278.12079960417122</v>
      </c>
      <c r="AE21" s="845">
        <f>SUM(Tabla1[[#This Row],[PRECIO $ BOLSA50 KG  FOB TUCUMAN A PLAZO (IVA INC)]]+Tabla1[[#This Row],[GASTOS FINANCIEROS $ BOLSA 50 KG (IVA INC)]])</f>
        <v>27840.593463181671</v>
      </c>
      <c r="AF21" s="828" t="s">
        <v>476</v>
      </c>
      <c r="AG21" s="828" t="s">
        <v>365</v>
      </c>
      <c r="AH21" s="828" t="s">
        <v>387</v>
      </c>
      <c r="AI21" s="828" t="s">
        <v>261</v>
      </c>
      <c r="AJ2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1" s="846">
        <f>SUM(Tabla1[[#This Row],[PRECIO $ BOLSA 50KG  FOB CDO TUC (IVA INC)]]-Tabla1[[#This Row],[PRECIO REF $ BOLSA 50 KG CACTU (IVA INC)]])</f>
        <v>-4674.4065368183292</v>
      </c>
      <c r="AL21" s="847">
        <f>IFERROR(Tabla1[[#This Row],[PRECIO $ BOLSA 50KG  FOB CDO TUC (IVA INC)]]/Tabla1[[#This Row],[PRECIO REF $ BOLSA 50 KG CACTU (IVA INC)]]-1,"")</f>
        <v>-0.14376154195965951</v>
      </c>
      <c r="AM21" s="846">
        <f>+Tabla1[[#This Row],[DIF $ PRECIO NETO INDUSTRIA vs Neto TUCUMAN (IVA INC)]]*Tabla1[[#This Row],[Q Bolsas Equivalentes 50kg]]</f>
        <v>-3272084.5757728303</v>
      </c>
      <c r="AN21" s="846">
        <f>Tabla1[[#This Row],[PRECIO REF $ BOLSA 50 KG CACTU (IVA INC)]]*Tabla1[[#This Row],[Q Bolsas Equivalentes 50kg]]</f>
        <v>22760500</v>
      </c>
      <c r="AO21" s="846">
        <f>+Tabla1[[#This Row],[PRECIO $ BOLSA 50KG  FOB CDO TUC (IVA INC)]]*Tabla1[[#This Row],[Q Bolsas Equivalentes 50kg]]</f>
        <v>19488415.424227171</v>
      </c>
      <c r="AP21" s="847">
        <v>2.9000000000000001E-2</v>
      </c>
      <c r="AQ21" s="846">
        <v>-68</v>
      </c>
      <c r="AR21" s="848"/>
      <c r="AS21" s="849"/>
      <c r="AT21" s="923">
        <f>+Tabla1[[#This Row],[VENTA TOTAL $ (IVA INC) ]]-(SUM(Tabla1[[#This Row],[PENDIENTE DE ENTREGA]:[VALORES COBRADOS]]))</f>
        <v>0</v>
      </c>
      <c r="AU21" s="850">
        <f>VLOOKUP(Tabla1[[#This Row],[FECHA OC]],'TIPO DE CAMBIO'!A:B,2,TRUE)</f>
        <v>1446.3009999999999</v>
      </c>
      <c r="AV21" s="850">
        <f>+Tabla1[[#This Row],[SUBTOTAL]]/Tabla1[[#This Row],[TIPO DE CAMBIO]]</f>
        <v>11025</v>
      </c>
      <c r="AW21" s="851"/>
      <c r="AX21" s="850">
        <f>IFERROR(Tabla1[[#This Row],[VENTA TOTAL USD A PLAZO EN CLIENTE  (SIN IVA)]]*(1+Tabla1[[#This Row],[% IVA ]]),"")</f>
        <v>11025</v>
      </c>
      <c r="AY21" s="850">
        <f>+Tabla1[[#This Row],[VENTA TOTAL USD A PLAZO EN CLIENTE  (SIN IVA)]]/Tabla1[[#This Row],[KGS]]*1000</f>
        <v>315</v>
      </c>
      <c r="AZ21" s="850">
        <v>0</v>
      </c>
      <c r="BA21" s="850">
        <f>+Tabla1[[#This Row],[GASTOS FINANCIEROS $ BOLSA 50 KG (IVA INC)]]*20/Tabla1[[#This Row],[TIPO DE CAMBIO]]</f>
        <v>3.8459601369863012</v>
      </c>
      <c r="BB21" s="850">
        <f>+Tabla1[[#This Row],[PRECIO POR TN USD EN CLIENTE A PLAZO (SIN IVA)]]+Tabla1[[#This Row],[COSTO USD FLETE /TN (SIN IVA)]]+Tabla1[[#This Row],[COSTO FINANCIERO USD POR BOLSA 50KG (IVA INC)]]</f>
        <v>318.84596013698632</v>
      </c>
      <c r="BC21" s="848">
        <v>5</v>
      </c>
      <c r="BD21" s="944"/>
    </row>
    <row r="22" spans="1:56" ht="15.75" customHeight="1">
      <c r="A22" s="912">
        <v>46143</v>
      </c>
      <c r="B22" s="828">
        <v>1</v>
      </c>
      <c r="C22" s="792" t="s">
        <v>406</v>
      </c>
      <c r="D22" s="829">
        <f>+Tabla1[[#This Row],[FECHA Entrega]]</f>
        <v>46178</v>
      </c>
      <c r="E22" s="830">
        <v>700000869</v>
      </c>
      <c r="F22" s="831" t="s">
        <v>358</v>
      </c>
      <c r="G22" s="832" t="s">
        <v>216</v>
      </c>
      <c r="H22" s="833">
        <v>46178</v>
      </c>
      <c r="I22" s="834">
        <f t="shared" si="4"/>
        <v>35000</v>
      </c>
      <c r="J22" s="835">
        <f>0.315*Tabla1[[#This Row],[TIPO DE CAMBIO]]</f>
        <v>455.58481499999999</v>
      </c>
      <c r="K22" s="836">
        <f t="shared" si="1"/>
        <v>15945468.525</v>
      </c>
      <c r="L2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2" s="837">
        <f t="shared" si="0"/>
        <v>19294016.91525</v>
      </c>
      <c r="N22" s="838"/>
      <c r="O22" s="838">
        <v>0</v>
      </c>
      <c r="P22" s="838">
        <v>0</v>
      </c>
      <c r="Q22" s="839">
        <f>+Tabla1[[#This Row],[VENTA TOTAL $ (IVA INC) ]]-Tabla1[[#This Row],[PENDIENTE DE COBRO]]</f>
        <v>19294016.91525</v>
      </c>
      <c r="R22" s="840">
        <f>+Tabla1[[#This Row],[FECHA FC]]+Tabla1[[#This Row],[PLAZO ENTREGA VALORES]]</f>
        <v>46051</v>
      </c>
      <c r="S22" s="840">
        <f>+Tabla1[[#This Row],[FECHA FC]]+Tabla1[[#This Row],[PLAZO PAGO (DIAS)]]</f>
        <v>46178</v>
      </c>
      <c r="T22" s="834">
        <f t="shared" ca="1" si="5"/>
        <v>-3</v>
      </c>
      <c r="U22" s="831">
        <f>+Tabla1[[#This Row],[FECHA OC]]-Tabla1[[#This Row],[FECHA Entrega]]</f>
        <v>-127</v>
      </c>
      <c r="V22" s="831"/>
      <c r="W22" s="841">
        <f>+Tabla1[[#This Row],[FECHA VTO VALORES]]+7</f>
        <v>46185</v>
      </c>
      <c r="X22" s="831"/>
      <c r="Y22" s="840">
        <v>46051</v>
      </c>
      <c r="Z22" s="842">
        <f>Tabla1[[#This Row],[KGS]]/50</f>
        <v>700</v>
      </c>
      <c r="AA2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2" s="844">
        <f>-Tabla1[[#This Row],[COSTO FLETE $ POR BOLSA 5O KG (SIN IVA)]]*1.21-Tabla1[[#This Row],[PRECIO $/ KG A PLAZO EN CLIENTE ( SIN IVA)]]*0.003*1.21*50</f>
        <v>-0.40864392249999071</v>
      </c>
      <c r="AC22" s="845">
        <f>SUM(Tabla1[[#This Row],[PRECIO $ BOLSA 50 KG (IVA INC) ]]+Tabla1[[#This Row],[COSTO FLETE $ BOLSA 50 KG (IVA INC)]])</f>
        <v>27562.4726635775</v>
      </c>
      <c r="AD22" s="844">
        <f>-Tabla1[[#This Row],[PRECIO $ BOLSA 50 KG (IVA INC) ]]*(Tabla1[[#This Row],[TASA FINANCIACION MENSUAL]]/365)*Tabla1[[#This Row],[PLAZO ENTREGA VALORES]]</f>
        <v>278.12079960417122</v>
      </c>
      <c r="AE22" s="845">
        <f>SUM(Tabla1[[#This Row],[PRECIO $ BOLSA50 KG  FOB TUCUMAN A PLAZO (IVA INC)]]+Tabla1[[#This Row],[GASTOS FINANCIEROS $ BOLSA 50 KG (IVA INC)]])</f>
        <v>27840.593463181671</v>
      </c>
      <c r="AF22" s="828" t="s">
        <v>476</v>
      </c>
      <c r="AG22" s="828" t="s">
        <v>365</v>
      </c>
      <c r="AH22" s="828" t="s">
        <v>387</v>
      </c>
      <c r="AI22" s="828" t="s">
        <v>261</v>
      </c>
      <c r="AJ2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2" s="846">
        <f>SUM(Tabla1[[#This Row],[PRECIO $ BOLSA 50KG  FOB CDO TUC (IVA INC)]]-Tabla1[[#This Row],[PRECIO REF $ BOLSA 50 KG CACTU (IVA INC)]])</f>
        <v>-4674.4065368183292</v>
      </c>
      <c r="AL22" s="847">
        <f>IFERROR(Tabla1[[#This Row],[PRECIO $ BOLSA 50KG  FOB CDO TUC (IVA INC)]]/Tabla1[[#This Row],[PRECIO REF $ BOLSA 50 KG CACTU (IVA INC)]]-1,"")</f>
        <v>-0.14376154195965951</v>
      </c>
      <c r="AM22" s="846">
        <f>+Tabla1[[#This Row],[DIF $ PRECIO NETO INDUSTRIA vs Neto TUCUMAN (IVA INC)]]*Tabla1[[#This Row],[Q Bolsas Equivalentes 50kg]]</f>
        <v>-3272084.5757728303</v>
      </c>
      <c r="AN22" s="846">
        <f>Tabla1[[#This Row],[PRECIO REF $ BOLSA 50 KG CACTU (IVA INC)]]*Tabla1[[#This Row],[Q Bolsas Equivalentes 50kg]]</f>
        <v>22760500</v>
      </c>
      <c r="AO22" s="846">
        <f>+Tabla1[[#This Row],[PRECIO $ BOLSA 50KG  FOB CDO TUC (IVA INC)]]*Tabla1[[#This Row],[Q Bolsas Equivalentes 50kg]]</f>
        <v>19488415.424227171</v>
      </c>
      <c r="AP22" s="847">
        <v>2.9000000000000001E-2</v>
      </c>
      <c r="AQ22" s="846">
        <v>-68</v>
      </c>
      <c r="AR22" s="848"/>
      <c r="AS22" s="849"/>
      <c r="AT22" s="923">
        <f>+Tabla1[[#This Row],[VENTA TOTAL $ (IVA INC) ]]-(SUM(Tabla1[[#This Row],[PENDIENTE DE ENTREGA]:[VALORES COBRADOS]]))</f>
        <v>0</v>
      </c>
      <c r="AU22" s="850">
        <f>VLOOKUP(Tabla1[[#This Row],[FECHA OC]],'TIPO DE CAMBIO'!A:B,2,TRUE)</f>
        <v>1446.3009999999999</v>
      </c>
      <c r="AV22" s="850">
        <f>+Tabla1[[#This Row],[SUBTOTAL]]/Tabla1[[#This Row],[TIPO DE CAMBIO]]</f>
        <v>11025</v>
      </c>
      <c r="AW22" s="851"/>
      <c r="AX22" s="850">
        <f>IFERROR(Tabla1[[#This Row],[VENTA TOTAL USD A PLAZO EN CLIENTE  (SIN IVA)]]*(1+Tabla1[[#This Row],[% IVA ]]),"")</f>
        <v>11025</v>
      </c>
      <c r="AY22" s="850">
        <f>+Tabla1[[#This Row],[VENTA TOTAL USD A PLAZO EN CLIENTE  (SIN IVA)]]/Tabla1[[#This Row],[KGS]]*1000</f>
        <v>315</v>
      </c>
      <c r="AZ22" s="850">
        <v>0</v>
      </c>
      <c r="BA22" s="850">
        <f>+Tabla1[[#This Row],[GASTOS FINANCIEROS $ BOLSA 50 KG (IVA INC)]]*20/Tabla1[[#This Row],[TIPO DE CAMBIO]]</f>
        <v>3.8459601369863012</v>
      </c>
      <c r="BB22" s="850">
        <f>+Tabla1[[#This Row],[PRECIO POR TN USD EN CLIENTE A PLAZO (SIN IVA)]]+Tabla1[[#This Row],[COSTO USD FLETE /TN (SIN IVA)]]+Tabla1[[#This Row],[COSTO FINANCIERO USD POR BOLSA 50KG (IVA INC)]]</f>
        <v>318.84596013698632</v>
      </c>
      <c r="BC22" s="848">
        <v>5</v>
      </c>
      <c r="BD22" s="944"/>
    </row>
    <row r="23" spans="1:56" ht="15.75" customHeight="1">
      <c r="A23" s="912">
        <v>46143</v>
      </c>
      <c r="B23" s="828">
        <v>1</v>
      </c>
      <c r="C23" s="792" t="s">
        <v>406</v>
      </c>
      <c r="D23" s="829">
        <f>+Tabla1[[#This Row],[FECHA Entrega]]</f>
        <v>46059</v>
      </c>
      <c r="E23" s="830">
        <v>700000869</v>
      </c>
      <c r="F23" s="831" t="s">
        <v>358</v>
      </c>
      <c r="G23" s="832" t="s">
        <v>216</v>
      </c>
      <c r="H23" s="833">
        <v>46059</v>
      </c>
      <c r="I23" s="834">
        <f t="shared" si="4"/>
        <v>35000</v>
      </c>
      <c r="J23" s="835">
        <f>0.315*Tabla1[[#This Row],[TIPO DE CAMBIO]]</f>
        <v>455.58481499999999</v>
      </c>
      <c r="K23" s="836">
        <f t="shared" si="1"/>
        <v>15945468.525</v>
      </c>
      <c r="L2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3" s="837">
        <f t="shared" si="0"/>
        <v>19294016.91525</v>
      </c>
      <c r="N23" s="838"/>
      <c r="O23" s="838">
        <v>0</v>
      </c>
      <c r="P23" s="838">
        <v>0</v>
      </c>
      <c r="Q23" s="839">
        <f>+Tabla1[[#This Row],[VENTA TOTAL $ (IVA INC) ]]-Tabla1[[#This Row],[PENDIENTE DE COBRO]]</f>
        <v>19294016.91525</v>
      </c>
      <c r="R23" s="840">
        <f>+Tabla1[[#This Row],[FECHA FC]]+Tabla1[[#This Row],[PLAZO ENTREGA VALORES]]</f>
        <v>46051</v>
      </c>
      <c r="S23" s="840">
        <f>+Tabla1[[#This Row],[FECHA FC]]+Tabla1[[#This Row],[PLAZO PAGO (DIAS)]]</f>
        <v>46059</v>
      </c>
      <c r="T23" s="834">
        <f t="shared" ca="1" si="5"/>
        <v>-122</v>
      </c>
      <c r="U23" s="831">
        <f>+Tabla1[[#This Row],[FECHA OC]]-Tabla1[[#This Row],[FECHA Entrega]]</f>
        <v>-8</v>
      </c>
      <c r="V23" s="831"/>
      <c r="W23" s="841">
        <f>+Tabla1[[#This Row],[FECHA VTO VALORES]]+7</f>
        <v>46066</v>
      </c>
      <c r="X23" s="831"/>
      <c r="Y23" s="840">
        <v>46051</v>
      </c>
      <c r="Z23" s="842">
        <f>Tabla1[[#This Row],[KGS]]/50</f>
        <v>700</v>
      </c>
      <c r="AA2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3" s="844">
        <f>-Tabla1[[#This Row],[COSTO FLETE $ POR BOLSA 5O KG (SIN IVA)]]*1.21-Tabla1[[#This Row],[PRECIO $/ KG A PLAZO EN CLIENTE ( SIN IVA)]]*0.003*1.21*50</f>
        <v>-0.40864392249999071</v>
      </c>
      <c r="AC23" s="845">
        <f>SUM(Tabla1[[#This Row],[PRECIO $ BOLSA 50 KG (IVA INC) ]]+Tabla1[[#This Row],[COSTO FLETE $ BOLSA 50 KG (IVA INC)]])</f>
        <v>27562.4726635775</v>
      </c>
      <c r="AD23" s="844">
        <f>-Tabla1[[#This Row],[PRECIO $ BOLSA 50 KG (IVA INC) ]]*(Tabla1[[#This Row],[TASA FINANCIACION MENSUAL]]/365)*Tabla1[[#This Row],[PLAZO ENTREGA VALORES]]</f>
        <v>17.51942044750685</v>
      </c>
      <c r="AE23" s="845">
        <f>SUM(Tabla1[[#This Row],[PRECIO $ BOLSA50 KG  FOB TUCUMAN A PLAZO (IVA INC)]]+Tabla1[[#This Row],[GASTOS FINANCIEROS $ BOLSA 50 KG (IVA INC)]])</f>
        <v>27579.992084025009</v>
      </c>
      <c r="AF23" s="828" t="s">
        <v>476</v>
      </c>
      <c r="AG23" s="828" t="s">
        <v>365</v>
      </c>
      <c r="AH23" s="828" t="s">
        <v>387</v>
      </c>
      <c r="AI23" s="828" t="s">
        <v>261</v>
      </c>
      <c r="AJ2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3" s="846">
        <f>SUM(Tabla1[[#This Row],[PRECIO $ BOLSA 50KG  FOB CDO TUC (IVA INC)]]-Tabla1[[#This Row],[PRECIO REF $ BOLSA 50 KG CACTU (IVA INC)]])</f>
        <v>-4935.0079159749912</v>
      </c>
      <c r="AL23" s="847">
        <f>IFERROR(Tabla1[[#This Row],[PRECIO $ BOLSA 50KG  FOB CDO TUC (IVA INC)]]/Tabla1[[#This Row],[PRECIO REF $ BOLSA 50 KG CACTU (IVA INC)]]-1,"")</f>
        <v>-0.15177634679301832</v>
      </c>
      <c r="AM23" s="846">
        <f>+Tabla1[[#This Row],[DIF $ PRECIO NETO INDUSTRIA vs Neto TUCUMAN (IVA INC)]]*Tabla1[[#This Row],[Q Bolsas Equivalentes 50kg]]</f>
        <v>-3454505.5411824938</v>
      </c>
      <c r="AN23" s="846">
        <f>Tabla1[[#This Row],[PRECIO REF $ BOLSA 50 KG CACTU (IVA INC)]]*Tabla1[[#This Row],[Q Bolsas Equivalentes 50kg]]</f>
        <v>22760500</v>
      </c>
      <c r="AO23" s="846">
        <f>+Tabla1[[#This Row],[PRECIO $ BOLSA 50KG  FOB CDO TUC (IVA INC)]]*Tabla1[[#This Row],[Q Bolsas Equivalentes 50kg]]</f>
        <v>19305994.458817504</v>
      </c>
      <c r="AP23" s="847">
        <v>2.9000000000000001E-2</v>
      </c>
      <c r="AQ23" s="846">
        <v>-68</v>
      </c>
      <c r="AR23" s="848"/>
      <c r="AS23" s="849"/>
      <c r="AT23" s="923">
        <f>+Tabla1[[#This Row],[VENTA TOTAL $ (IVA INC) ]]-(SUM(Tabla1[[#This Row],[PENDIENTE DE ENTREGA]:[VALORES COBRADOS]]))</f>
        <v>0</v>
      </c>
      <c r="AU23" s="850">
        <f>VLOOKUP(Tabla1[[#This Row],[FECHA OC]],'TIPO DE CAMBIO'!A:B,2,TRUE)</f>
        <v>1446.3009999999999</v>
      </c>
      <c r="AV23" s="850">
        <f>+Tabla1[[#This Row],[SUBTOTAL]]/Tabla1[[#This Row],[TIPO DE CAMBIO]]</f>
        <v>11025</v>
      </c>
      <c r="AW23" s="851"/>
      <c r="AX23" s="850">
        <f>IFERROR(Tabla1[[#This Row],[VENTA TOTAL USD A PLAZO EN CLIENTE  (SIN IVA)]]*(1+Tabla1[[#This Row],[% IVA ]]),"")</f>
        <v>11025</v>
      </c>
      <c r="AY23" s="850">
        <f>+Tabla1[[#This Row],[VENTA TOTAL USD A PLAZO EN CLIENTE  (SIN IVA)]]/Tabla1[[#This Row],[KGS]]*1000</f>
        <v>315</v>
      </c>
      <c r="AZ23" s="850">
        <v>0</v>
      </c>
      <c r="BA23" s="850">
        <f>+Tabla1[[#This Row],[GASTOS FINANCIEROS $ BOLSA 50 KG (IVA INC)]]*20/Tabla1[[#This Row],[TIPO DE CAMBIO]]</f>
        <v>0.24226520547945207</v>
      </c>
      <c r="BB23" s="850">
        <f>+Tabla1[[#This Row],[PRECIO POR TN USD EN CLIENTE A PLAZO (SIN IVA)]]+Tabla1[[#This Row],[COSTO USD FLETE /TN (SIN IVA)]]+Tabla1[[#This Row],[COSTO FINANCIERO USD POR BOLSA 50KG (IVA INC)]]</f>
        <v>315.24226520547944</v>
      </c>
      <c r="BC23" s="848">
        <v>5</v>
      </c>
      <c r="BD23" s="944"/>
    </row>
    <row r="24" spans="1:56" ht="15.75" customHeight="1">
      <c r="A24" s="912">
        <v>46143</v>
      </c>
      <c r="B24" s="828">
        <v>1</v>
      </c>
      <c r="C24" s="792" t="s">
        <v>406</v>
      </c>
      <c r="D24" s="829">
        <f>+Tabla1[[#This Row],[FECHA Entrega]]</f>
        <v>46059</v>
      </c>
      <c r="E24" s="830">
        <v>700000869</v>
      </c>
      <c r="F24" s="831" t="s">
        <v>358</v>
      </c>
      <c r="G24" s="832" t="s">
        <v>216</v>
      </c>
      <c r="H24" s="833">
        <v>46059</v>
      </c>
      <c r="I24" s="834">
        <f t="shared" si="4"/>
        <v>35000</v>
      </c>
      <c r="J24" s="835">
        <f>0.315*Tabla1[[#This Row],[TIPO DE CAMBIO]]</f>
        <v>455.58481499999999</v>
      </c>
      <c r="K24" s="836">
        <f t="shared" si="1"/>
        <v>15945468.525</v>
      </c>
      <c r="L2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4" s="837">
        <f t="shared" si="0"/>
        <v>19294016.91525</v>
      </c>
      <c r="N24" s="838"/>
      <c r="O24" s="838">
        <v>0</v>
      </c>
      <c r="P24" s="838">
        <v>0</v>
      </c>
      <c r="Q24" s="839">
        <f>+Tabla1[[#This Row],[VENTA TOTAL $ (IVA INC) ]]-Tabla1[[#This Row],[PENDIENTE DE COBRO]]</f>
        <v>19294016.91525</v>
      </c>
      <c r="R24" s="840">
        <f>+Tabla1[[#This Row],[FECHA FC]]+Tabla1[[#This Row],[PLAZO ENTREGA VALORES]]</f>
        <v>46051</v>
      </c>
      <c r="S24" s="840">
        <f>+Tabla1[[#This Row],[FECHA FC]]+Tabla1[[#This Row],[PLAZO PAGO (DIAS)]]</f>
        <v>46059</v>
      </c>
      <c r="T24" s="834">
        <f t="shared" ca="1" si="5"/>
        <v>-122</v>
      </c>
      <c r="U24" s="831">
        <f>+Tabla1[[#This Row],[FECHA OC]]-Tabla1[[#This Row],[FECHA Entrega]]</f>
        <v>-8</v>
      </c>
      <c r="V24" s="831"/>
      <c r="W24" s="841">
        <f>+Tabla1[[#This Row],[FECHA VTO VALORES]]+7</f>
        <v>46066</v>
      </c>
      <c r="X24" s="831"/>
      <c r="Y24" s="840">
        <v>46051</v>
      </c>
      <c r="Z24" s="842">
        <f>Tabla1[[#This Row],[KGS]]/50</f>
        <v>700</v>
      </c>
      <c r="AA2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4" s="844">
        <f>-Tabla1[[#This Row],[COSTO FLETE $ POR BOLSA 5O KG (SIN IVA)]]*1.21-Tabla1[[#This Row],[PRECIO $/ KG A PLAZO EN CLIENTE ( SIN IVA)]]*0.003*1.21*50</f>
        <v>-0.40864392249999071</v>
      </c>
      <c r="AC24" s="845">
        <f>SUM(Tabla1[[#This Row],[PRECIO $ BOLSA 50 KG (IVA INC) ]]+Tabla1[[#This Row],[COSTO FLETE $ BOLSA 50 KG (IVA INC)]])</f>
        <v>27562.4726635775</v>
      </c>
      <c r="AD24" s="844">
        <f>-Tabla1[[#This Row],[PRECIO $ BOLSA 50 KG (IVA INC) ]]*(Tabla1[[#This Row],[TASA FINANCIACION MENSUAL]]/365)*Tabla1[[#This Row],[PLAZO ENTREGA VALORES]]</f>
        <v>17.51942044750685</v>
      </c>
      <c r="AE24" s="845">
        <f>SUM(Tabla1[[#This Row],[PRECIO $ BOLSA50 KG  FOB TUCUMAN A PLAZO (IVA INC)]]+Tabla1[[#This Row],[GASTOS FINANCIEROS $ BOLSA 50 KG (IVA INC)]])</f>
        <v>27579.992084025009</v>
      </c>
      <c r="AF24" s="828" t="s">
        <v>476</v>
      </c>
      <c r="AG24" s="828" t="s">
        <v>365</v>
      </c>
      <c r="AH24" s="828" t="s">
        <v>387</v>
      </c>
      <c r="AI24" s="828" t="s">
        <v>261</v>
      </c>
      <c r="AJ2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4" s="846">
        <f>SUM(Tabla1[[#This Row],[PRECIO $ BOLSA 50KG  FOB CDO TUC (IVA INC)]]-Tabla1[[#This Row],[PRECIO REF $ BOLSA 50 KG CACTU (IVA INC)]])</f>
        <v>-4935.0079159749912</v>
      </c>
      <c r="AL24" s="847">
        <f>IFERROR(Tabla1[[#This Row],[PRECIO $ BOLSA 50KG  FOB CDO TUC (IVA INC)]]/Tabla1[[#This Row],[PRECIO REF $ BOLSA 50 KG CACTU (IVA INC)]]-1,"")</f>
        <v>-0.15177634679301832</v>
      </c>
      <c r="AM24" s="846">
        <f>+Tabla1[[#This Row],[DIF $ PRECIO NETO INDUSTRIA vs Neto TUCUMAN (IVA INC)]]*Tabla1[[#This Row],[Q Bolsas Equivalentes 50kg]]</f>
        <v>-3454505.5411824938</v>
      </c>
      <c r="AN24" s="846">
        <f>Tabla1[[#This Row],[PRECIO REF $ BOLSA 50 KG CACTU (IVA INC)]]*Tabla1[[#This Row],[Q Bolsas Equivalentes 50kg]]</f>
        <v>22760500</v>
      </c>
      <c r="AO24" s="846">
        <f>+Tabla1[[#This Row],[PRECIO $ BOLSA 50KG  FOB CDO TUC (IVA INC)]]*Tabla1[[#This Row],[Q Bolsas Equivalentes 50kg]]</f>
        <v>19305994.458817504</v>
      </c>
      <c r="AP24" s="847">
        <v>2.9000000000000001E-2</v>
      </c>
      <c r="AQ24" s="846">
        <v>-68</v>
      </c>
      <c r="AR24" s="848"/>
      <c r="AS24" s="849"/>
      <c r="AT24" s="923">
        <f>+Tabla1[[#This Row],[VENTA TOTAL $ (IVA INC) ]]-(SUM(Tabla1[[#This Row],[PENDIENTE DE ENTREGA]:[VALORES COBRADOS]]))</f>
        <v>0</v>
      </c>
      <c r="AU24" s="850">
        <f>VLOOKUP(Tabla1[[#This Row],[FECHA OC]],'TIPO DE CAMBIO'!A:B,2,TRUE)</f>
        <v>1446.3009999999999</v>
      </c>
      <c r="AV24" s="850">
        <f>+Tabla1[[#This Row],[SUBTOTAL]]/Tabla1[[#This Row],[TIPO DE CAMBIO]]</f>
        <v>11025</v>
      </c>
      <c r="AW24" s="851"/>
      <c r="AX24" s="850">
        <f>IFERROR(Tabla1[[#This Row],[VENTA TOTAL USD A PLAZO EN CLIENTE  (SIN IVA)]]*(1+Tabla1[[#This Row],[% IVA ]]),"")</f>
        <v>11025</v>
      </c>
      <c r="AY24" s="850">
        <f>+Tabla1[[#This Row],[VENTA TOTAL USD A PLAZO EN CLIENTE  (SIN IVA)]]/Tabla1[[#This Row],[KGS]]*1000</f>
        <v>315</v>
      </c>
      <c r="AZ24" s="850">
        <v>0</v>
      </c>
      <c r="BA24" s="850">
        <f>+Tabla1[[#This Row],[GASTOS FINANCIEROS $ BOLSA 50 KG (IVA INC)]]*20/Tabla1[[#This Row],[TIPO DE CAMBIO]]</f>
        <v>0.24226520547945207</v>
      </c>
      <c r="BB24" s="850">
        <f>+Tabla1[[#This Row],[PRECIO POR TN USD EN CLIENTE A PLAZO (SIN IVA)]]+Tabla1[[#This Row],[COSTO USD FLETE /TN (SIN IVA)]]+Tabla1[[#This Row],[COSTO FINANCIERO USD POR BOLSA 50KG (IVA INC)]]</f>
        <v>315.24226520547944</v>
      </c>
      <c r="BC24" s="848">
        <v>5</v>
      </c>
      <c r="BD24" s="944"/>
    </row>
    <row r="25" spans="1:56" ht="15.75" customHeight="1">
      <c r="A25" s="912">
        <v>46143</v>
      </c>
      <c r="B25" s="828">
        <v>1</v>
      </c>
      <c r="C25" s="792" t="s">
        <v>406</v>
      </c>
      <c r="D25" s="829">
        <f>+Tabla1[[#This Row],[FECHA Entrega]]</f>
        <v>46180</v>
      </c>
      <c r="E25" s="830">
        <v>700000869</v>
      </c>
      <c r="F25" s="831" t="s">
        <v>358</v>
      </c>
      <c r="G25" s="832" t="s">
        <v>216</v>
      </c>
      <c r="H25" s="833">
        <v>46180</v>
      </c>
      <c r="I25" s="834">
        <f t="shared" si="4"/>
        <v>35000</v>
      </c>
      <c r="J25" s="835">
        <f>0.315*Tabla1[[#This Row],[TIPO DE CAMBIO]]</f>
        <v>455.58481499999999</v>
      </c>
      <c r="K25" s="836">
        <f t="shared" si="1"/>
        <v>15945468.525</v>
      </c>
      <c r="L2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5" s="837">
        <f t="shared" si="0"/>
        <v>19294016.91525</v>
      </c>
      <c r="N25" s="838"/>
      <c r="O25" s="838">
        <v>0</v>
      </c>
      <c r="P25" s="838">
        <v>0</v>
      </c>
      <c r="Q25" s="839">
        <f>+Tabla1[[#This Row],[VENTA TOTAL $ (IVA INC) ]]-Tabla1[[#This Row],[PENDIENTE DE COBRO]]</f>
        <v>19294016.91525</v>
      </c>
      <c r="R25" s="840">
        <f>+Tabla1[[#This Row],[FECHA FC]]+Tabla1[[#This Row],[PLAZO ENTREGA VALORES]]</f>
        <v>46051</v>
      </c>
      <c r="S25" s="840">
        <f>+Tabla1[[#This Row],[FECHA FC]]+Tabla1[[#This Row],[PLAZO PAGO (DIAS)]]</f>
        <v>46180</v>
      </c>
      <c r="T25" s="834">
        <f t="shared" ca="1" si="5"/>
        <v>-1</v>
      </c>
      <c r="U25" s="831">
        <f>+Tabla1[[#This Row],[FECHA OC]]-Tabla1[[#This Row],[FECHA Entrega]]</f>
        <v>-129</v>
      </c>
      <c r="V25" s="831"/>
      <c r="W25" s="841">
        <f>+Tabla1[[#This Row],[FECHA VTO VALORES]]+7</f>
        <v>46187</v>
      </c>
      <c r="X25" s="831"/>
      <c r="Y25" s="840">
        <v>46051</v>
      </c>
      <c r="Z25" s="842">
        <f>Tabla1[[#This Row],[KGS]]/50</f>
        <v>700</v>
      </c>
      <c r="AA2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5" s="844">
        <f>-Tabla1[[#This Row],[COSTO FLETE $ POR BOLSA 5O KG (SIN IVA)]]*1.21-Tabla1[[#This Row],[PRECIO $/ KG A PLAZO EN CLIENTE ( SIN IVA)]]*0.003*1.21*50</f>
        <v>-0.40864392249999071</v>
      </c>
      <c r="AC25" s="845">
        <f>SUM(Tabla1[[#This Row],[PRECIO $ BOLSA 50 KG (IVA INC) ]]+Tabla1[[#This Row],[COSTO FLETE $ BOLSA 50 KG (IVA INC)]])</f>
        <v>27562.4726635775</v>
      </c>
      <c r="AD25" s="844">
        <f>-Tabla1[[#This Row],[PRECIO $ BOLSA 50 KG (IVA INC) ]]*(Tabla1[[#This Row],[TASA FINANCIACION MENSUAL]]/365)*Tabla1[[#This Row],[PLAZO ENTREGA VALORES]]</f>
        <v>282.50065471604796</v>
      </c>
      <c r="AE25" s="845">
        <f>SUM(Tabla1[[#This Row],[PRECIO $ BOLSA50 KG  FOB TUCUMAN A PLAZO (IVA INC)]]+Tabla1[[#This Row],[GASTOS FINANCIEROS $ BOLSA 50 KG (IVA INC)]])</f>
        <v>27844.973318293549</v>
      </c>
      <c r="AF25" s="828" t="s">
        <v>476</v>
      </c>
      <c r="AG25" s="828" t="s">
        <v>365</v>
      </c>
      <c r="AH25" s="828" t="s">
        <v>387</v>
      </c>
      <c r="AI25" s="828" t="s">
        <v>261</v>
      </c>
      <c r="AJ2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5" s="846">
        <f>SUM(Tabla1[[#This Row],[PRECIO $ BOLSA 50KG  FOB CDO TUC (IVA INC)]]-Tabla1[[#This Row],[PRECIO REF $ BOLSA 50 KG CACTU (IVA INC)]])</f>
        <v>-4670.0266817064512</v>
      </c>
      <c r="AL25" s="847">
        <f>IFERROR(Tabla1[[#This Row],[PRECIO $ BOLSA 50KG  FOB CDO TUC (IVA INC)]]/Tabla1[[#This Row],[PRECIO REF $ BOLSA 50 KG CACTU (IVA INC)]]-1,"")</f>
        <v>-0.14362683935741816</v>
      </c>
      <c r="AM25" s="846">
        <f>+Tabla1[[#This Row],[DIF $ PRECIO NETO INDUSTRIA vs Neto TUCUMAN (IVA INC)]]*Tabla1[[#This Row],[Q Bolsas Equivalentes 50kg]]</f>
        <v>-3269018.6771945157</v>
      </c>
      <c r="AN25" s="846">
        <f>Tabla1[[#This Row],[PRECIO REF $ BOLSA 50 KG CACTU (IVA INC)]]*Tabla1[[#This Row],[Q Bolsas Equivalentes 50kg]]</f>
        <v>22760500</v>
      </c>
      <c r="AO25" s="846">
        <f>+Tabla1[[#This Row],[PRECIO $ BOLSA 50KG  FOB CDO TUC (IVA INC)]]*Tabla1[[#This Row],[Q Bolsas Equivalentes 50kg]]</f>
        <v>19491481.322805483</v>
      </c>
      <c r="AP25" s="847">
        <v>2.9000000000000001E-2</v>
      </c>
      <c r="AQ25" s="846">
        <v>-68</v>
      </c>
      <c r="AR25" s="848"/>
      <c r="AS25" s="849"/>
      <c r="AT25" s="923">
        <f>+Tabla1[[#This Row],[VENTA TOTAL $ (IVA INC) ]]-(SUM(Tabla1[[#This Row],[PENDIENTE DE ENTREGA]:[VALORES COBRADOS]]))</f>
        <v>0</v>
      </c>
      <c r="AU25" s="850">
        <f>VLOOKUP(Tabla1[[#This Row],[FECHA OC]],'TIPO DE CAMBIO'!A:B,2,TRUE)</f>
        <v>1446.3009999999999</v>
      </c>
      <c r="AV25" s="850">
        <f>+Tabla1[[#This Row],[SUBTOTAL]]/Tabla1[[#This Row],[TIPO DE CAMBIO]]</f>
        <v>11025</v>
      </c>
      <c r="AW25" s="851"/>
      <c r="AX25" s="850">
        <f>IFERROR(Tabla1[[#This Row],[VENTA TOTAL USD A PLAZO EN CLIENTE  (SIN IVA)]]*(1+Tabla1[[#This Row],[% IVA ]]),"")</f>
        <v>11025</v>
      </c>
      <c r="AY25" s="850">
        <f>+Tabla1[[#This Row],[VENTA TOTAL USD A PLAZO EN CLIENTE  (SIN IVA)]]/Tabla1[[#This Row],[KGS]]*1000</f>
        <v>315</v>
      </c>
      <c r="AZ25" s="850">
        <v>0</v>
      </c>
      <c r="BA25" s="850">
        <f>+Tabla1[[#This Row],[GASTOS FINANCIEROS $ BOLSA 50 KG (IVA INC)]]*20/Tabla1[[#This Row],[TIPO DE CAMBIO]]</f>
        <v>3.9065264383561646</v>
      </c>
      <c r="BB25" s="850">
        <f>+Tabla1[[#This Row],[PRECIO POR TN USD EN CLIENTE A PLAZO (SIN IVA)]]+Tabla1[[#This Row],[COSTO USD FLETE /TN (SIN IVA)]]+Tabla1[[#This Row],[COSTO FINANCIERO USD POR BOLSA 50KG (IVA INC)]]</f>
        <v>318.90652643835614</v>
      </c>
      <c r="BC25" s="848">
        <v>5</v>
      </c>
      <c r="BD25" s="944"/>
    </row>
    <row r="26" spans="1:56" ht="15.75" customHeight="1">
      <c r="A26" s="912">
        <v>46143</v>
      </c>
      <c r="B26" s="828">
        <v>1</v>
      </c>
      <c r="C26" s="792" t="s">
        <v>407</v>
      </c>
      <c r="D26" s="829">
        <f>+Tabla1[[#This Row],[FECHA Entrega]]</f>
        <v>46171</v>
      </c>
      <c r="E26" s="830" t="s">
        <v>480</v>
      </c>
      <c r="F26" s="831" t="s">
        <v>356</v>
      </c>
      <c r="G26" s="832" t="s">
        <v>216</v>
      </c>
      <c r="H26" s="833">
        <v>46171</v>
      </c>
      <c r="I26" s="834">
        <v>28006</v>
      </c>
      <c r="J26" s="835">
        <f>439.5/1000*Tabla1[[#This Row],[TIPO DE CAMBIO]]</f>
        <v>647.26694459999999</v>
      </c>
      <c r="K26" s="836">
        <f t="shared" si="1"/>
        <v>18127358.050467599</v>
      </c>
      <c r="L2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26" s="837">
        <f t="shared" si="0"/>
        <v>18127358.050467599</v>
      </c>
      <c r="N26" s="838">
        <f>+Tabla1[[#This Row],[VENTA TOTAL $ (IVA INC) ]]</f>
        <v>18127358.050467599</v>
      </c>
      <c r="O26" s="838">
        <v>0</v>
      </c>
      <c r="P26" s="838">
        <v>0</v>
      </c>
      <c r="Q26" s="839">
        <f>+Tabla1[[#This Row],[VENTA TOTAL $ (IVA INC) ]]-Tabla1[[#This Row],[PENDIENTE DE ENTREGA]]-Tabla1[[#This Row],[PENDIENTE DE COBRO]]+Tabla1[[#This Row],[VALORES EN CARTERA]]</f>
        <v>0</v>
      </c>
      <c r="R26" s="840">
        <f>+Tabla1[[#This Row],[FECHA FC]]+Tabla1[[#This Row],[PLAZO ENTREGA VALORES]]</f>
        <v>46171</v>
      </c>
      <c r="S26" s="840">
        <f>+Tabla1[[#This Row],[FECHA FC]]+Tabla1[[#This Row],[PLAZO PAGO (DIAS)]]</f>
        <v>46174</v>
      </c>
      <c r="T26" s="834">
        <f t="shared" ca="1" si="5"/>
        <v>-7</v>
      </c>
      <c r="U26" s="831">
        <v>0</v>
      </c>
      <c r="V26" s="831"/>
      <c r="W26" s="841">
        <f>+Tabla1[[#This Row],[FECHA VTO VALORES]]+7</f>
        <v>46181</v>
      </c>
      <c r="X26" s="831" t="s">
        <v>480</v>
      </c>
      <c r="Y26" s="840">
        <v>46027</v>
      </c>
      <c r="Z26" s="842">
        <f>Tabla1[[#This Row],[KGS]]/50</f>
        <v>560.12</v>
      </c>
      <c r="AA2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32363.347229999999</v>
      </c>
      <c r="AB26" s="844">
        <v>-6627</v>
      </c>
      <c r="AC26" s="845">
        <f>SUM(Tabla1[[#This Row],[PRECIO $ BOLSA 50 KG (IVA INC) ]]+Tabla1[[#This Row],[COSTO FLETE $ BOLSA 50 KG (IVA INC)]])</f>
        <v>25736.347229999999</v>
      </c>
      <c r="AD26" s="844">
        <f>-Tabla1[[#This Row],[PRECIO $ BOLSA 50 KG (IVA INC) ]]*(Tabla1[[#This Row],[TASA FINANCIACION MENSUAL]]/365)*Tabla1[[#This Row],[PLAZO ENTREGA VALORES]]</f>
        <v>0</v>
      </c>
      <c r="AE26" s="845">
        <f>SUM(Tabla1[[#This Row],[PRECIO $ BOLSA50 KG  FOB TUCUMAN A PLAZO (IVA INC)]]+Tabla1[[#This Row],[GASTOS FINANCIEROS $ BOLSA 50 KG (IVA INC)]])</f>
        <v>25736.347229999999</v>
      </c>
      <c r="AF26" s="828" t="s">
        <v>394</v>
      </c>
      <c r="AG26" s="828" t="s">
        <v>477</v>
      </c>
      <c r="AH26" s="828" t="s">
        <v>388</v>
      </c>
      <c r="AI26" s="828" t="s">
        <v>259</v>
      </c>
      <c r="AJ2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25502.479338842975</v>
      </c>
      <c r="AK26" s="846">
        <f>SUM(Tabla1[[#This Row],[PRECIO $ BOLSA 50KG  FOB CDO TUC (IVA INC)]]-Tabla1[[#This Row],[PRECIO REF $ BOLSA 50 KG CACTU (IVA INC)]])</f>
        <v>233.86789115702413</v>
      </c>
      <c r="AL26" s="847">
        <f>IFERROR(Tabla1[[#This Row],[PRECIO $ BOLSA 50KG  FOB CDO TUC (IVA INC)]]/Tabla1[[#This Row],[PRECIO REF $ BOLSA 50 KG CACTU (IVA INC)]]-1,"")</f>
        <v>9.1703982208828361E-3</v>
      </c>
      <c r="AM26" s="846">
        <f>+Tabla1[[#This Row],[DIF $ PRECIO NETO INDUSTRIA vs Neto TUCUMAN (IVA INC)]]*Tabla1[[#This Row],[Q Bolsas Equivalentes 50kg]]</f>
        <v>130994.08319487236</v>
      </c>
      <c r="AN26" s="846">
        <f>Tabla1[[#This Row],[PRECIO REF $ BOLSA 50 KG CACTU (IVA INC)]]*Tabla1[[#This Row],[Q Bolsas Equivalentes 50kg]]</f>
        <v>14284448.727272727</v>
      </c>
      <c r="AO26" s="846">
        <f>+Tabla1[[#This Row],[PRECIO $ BOLSA 50KG  FOB CDO TUC (IVA INC)]]*Tabla1[[#This Row],[Q Bolsas Equivalentes 50kg]]</f>
        <v>14415442.810467599</v>
      </c>
      <c r="AP26" s="847">
        <v>2.9000000000000001E-2</v>
      </c>
      <c r="AQ26" s="846">
        <f>90/20*Tabla1[[#This Row],[TIPO DE CAMBIO]]</f>
        <v>6627.3065999999999</v>
      </c>
      <c r="AR26" s="848">
        <v>3</v>
      </c>
      <c r="AS26" s="849"/>
      <c r="AT26" s="923">
        <f>+Tabla1[[#This Row],[VENTA TOTAL $ (IVA INC) ]]-(SUM(Tabla1[[#This Row],[PENDIENTE DE ENTREGA]:[VALORES COBRADOS]]))</f>
        <v>0</v>
      </c>
      <c r="AU26" s="850">
        <f>VLOOKUP(Tabla1[[#This Row],[FECHA OC]],'TIPO DE CAMBIO'!A:B,2,TRUE)</f>
        <v>1472.7348</v>
      </c>
      <c r="AV26" s="850">
        <f>+Tabla1[[#This Row],[SUBTOTAL]]/Tabla1[[#This Row],[TIPO DE CAMBIO]]</f>
        <v>12308.637000000001</v>
      </c>
      <c r="AW26" s="851"/>
      <c r="AX26" s="850">
        <f>IFERROR(Tabla1[[#This Row],[VENTA TOTAL USD A PLAZO EN CLIENTE  (SIN IVA)]]*(1+Tabla1[[#This Row],[% IVA ]]),"")</f>
        <v>12308.637000000001</v>
      </c>
      <c r="AY26" s="850">
        <f>+Tabla1[[#This Row],[VENTA TOTAL USD A PLAZO EN CLIENTE  (SIN IVA)]]/Tabla1[[#This Row],[KGS]]*1000</f>
        <v>439.5</v>
      </c>
      <c r="AZ26" s="850">
        <f>-Tabla1[[#This Row],[COSTO FLETE $ POR BOLSA 5O KG (SIN IVA)]]*20/Tabla1[[#This Row],[TIPO DE CAMBIO]]</f>
        <v>-89.999999999999986</v>
      </c>
      <c r="BA26" s="850">
        <f>+Tabla1[[#This Row],[GASTOS FINANCIEROS $ BOLSA 50 KG (IVA INC)]]*20/Tabla1[[#This Row],[TIPO DE CAMBIO]]</f>
        <v>0</v>
      </c>
      <c r="BB26" s="850">
        <f>+Tabla1[[#This Row],[PRECIO POR TN USD EN CLIENTE A PLAZO (SIN IVA)]]+Tabla1[[#This Row],[COSTO USD FLETE /TN (SIN IVA)]]+Tabla1[[#This Row],[COSTO FINANCIERO USD POR BOLSA 50KG (IVA INC)]]</f>
        <v>349.5</v>
      </c>
      <c r="BC26" s="848">
        <v>1</v>
      </c>
      <c r="BD26" s="944"/>
    </row>
    <row r="27" spans="1:56" ht="15.75" customHeight="1">
      <c r="A27" s="912">
        <v>46143</v>
      </c>
      <c r="B27" s="828">
        <v>1</v>
      </c>
      <c r="C27" s="792" t="s">
        <v>407</v>
      </c>
      <c r="D27" s="829">
        <f>+Tabla1[[#This Row],[FECHA Entrega]]</f>
        <v>46175</v>
      </c>
      <c r="E27" s="830" t="s">
        <v>480</v>
      </c>
      <c r="F27" s="831" t="s">
        <v>356</v>
      </c>
      <c r="G27" s="832" t="s">
        <v>216</v>
      </c>
      <c r="H27" s="833">
        <v>46175</v>
      </c>
      <c r="I27" s="834">
        <v>28006</v>
      </c>
      <c r="J27" s="835">
        <f>439.5/1000*Tabla1[[#This Row],[TIPO DE CAMBIO]]</f>
        <v>647.26694459999999</v>
      </c>
      <c r="K27" s="836">
        <f t="shared" si="1"/>
        <v>18127358.050467599</v>
      </c>
      <c r="L2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27" s="837">
        <f t="shared" si="0"/>
        <v>18127358.050467599</v>
      </c>
      <c r="N27" s="838">
        <f>+Tabla1[[#This Row],[VENTA TOTAL $ (IVA INC) ]]</f>
        <v>18127358.050467599</v>
      </c>
      <c r="O27" s="838">
        <v>0</v>
      </c>
      <c r="P27" s="838">
        <v>0</v>
      </c>
      <c r="Q27" s="839">
        <f>+Tabla1[[#This Row],[VENTA TOTAL $ (IVA INC) ]]-Tabla1[[#This Row],[PENDIENTE DE ENTREGA]]-Tabla1[[#This Row],[PENDIENTE DE COBRO]]+Tabla1[[#This Row],[VALORES EN CARTERA]]</f>
        <v>0</v>
      </c>
      <c r="R27" s="840">
        <f>+Tabla1[[#This Row],[FECHA FC]]+Tabla1[[#This Row],[PLAZO ENTREGA VALORES]]</f>
        <v>46175</v>
      </c>
      <c r="S27" s="840">
        <f>+Tabla1[[#This Row],[FECHA FC]]+Tabla1[[#This Row],[PLAZO PAGO (DIAS)]]</f>
        <v>46178</v>
      </c>
      <c r="T27" s="834">
        <f t="shared" ca="1" si="5"/>
        <v>-3</v>
      </c>
      <c r="U27" s="831">
        <v>0</v>
      </c>
      <c r="V27" s="831"/>
      <c r="W27" s="841">
        <f>+Tabla1[[#This Row],[FECHA VTO VALORES]]+7</f>
        <v>46185</v>
      </c>
      <c r="X27" s="831" t="s">
        <v>480</v>
      </c>
      <c r="Y27" s="840">
        <v>46027</v>
      </c>
      <c r="Z27" s="842">
        <f>Tabla1[[#This Row],[KGS]]/50</f>
        <v>560.12</v>
      </c>
      <c r="AA2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32363.347229999999</v>
      </c>
      <c r="AB27" s="844">
        <v>-6627</v>
      </c>
      <c r="AC27" s="845">
        <f>SUM(Tabla1[[#This Row],[PRECIO $ BOLSA 50 KG (IVA INC) ]]+Tabla1[[#This Row],[COSTO FLETE $ BOLSA 50 KG (IVA INC)]])</f>
        <v>25736.347229999999</v>
      </c>
      <c r="AD27" s="844">
        <f>-Tabla1[[#This Row],[PRECIO $ BOLSA 50 KG (IVA INC) ]]*(Tabla1[[#This Row],[TASA FINANCIACION MENSUAL]]/365)*Tabla1[[#This Row],[PLAZO ENTREGA VALORES]]</f>
        <v>0</v>
      </c>
      <c r="AE27" s="845">
        <f>SUM(Tabla1[[#This Row],[PRECIO $ BOLSA50 KG  FOB TUCUMAN A PLAZO (IVA INC)]]+Tabla1[[#This Row],[GASTOS FINANCIEROS $ BOLSA 50 KG (IVA INC)]])</f>
        <v>25736.347229999999</v>
      </c>
      <c r="AF27" s="828" t="s">
        <v>394</v>
      </c>
      <c r="AG27" s="828" t="s">
        <v>477</v>
      </c>
      <c r="AH27" s="828" t="s">
        <v>388</v>
      </c>
      <c r="AI27" s="828" t="s">
        <v>259</v>
      </c>
      <c r="AJ2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25502.479338842975</v>
      </c>
      <c r="AK27" s="846">
        <f>SUM(Tabla1[[#This Row],[PRECIO $ BOLSA 50KG  FOB CDO TUC (IVA INC)]]-Tabla1[[#This Row],[PRECIO REF $ BOLSA 50 KG CACTU (IVA INC)]])</f>
        <v>233.86789115702413</v>
      </c>
      <c r="AL27" s="847">
        <f>IFERROR(Tabla1[[#This Row],[PRECIO $ BOLSA 50KG  FOB CDO TUC (IVA INC)]]/Tabla1[[#This Row],[PRECIO REF $ BOLSA 50 KG CACTU (IVA INC)]]-1,"")</f>
        <v>9.1703982208828361E-3</v>
      </c>
      <c r="AM27" s="846">
        <f>+Tabla1[[#This Row],[DIF $ PRECIO NETO INDUSTRIA vs Neto TUCUMAN (IVA INC)]]*Tabla1[[#This Row],[Q Bolsas Equivalentes 50kg]]</f>
        <v>130994.08319487236</v>
      </c>
      <c r="AN27" s="846">
        <f>Tabla1[[#This Row],[PRECIO REF $ BOLSA 50 KG CACTU (IVA INC)]]*Tabla1[[#This Row],[Q Bolsas Equivalentes 50kg]]</f>
        <v>14284448.727272727</v>
      </c>
      <c r="AO27" s="846">
        <f>+Tabla1[[#This Row],[PRECIO $ BOLSA 50KG  FOB CDO TUC (IVA INC)]]*Tabla1[[#This Row],[Q Bolsas Equivalentes 50kg]]</f>
        <v>14415442.810467599</v>
      </c>
      <c r="AP27" s="847">
        <v>2.9000000000000001E-2</v>
      </c>
      <c r="AQ27" s="846">
        <f>90/20*Tabla1[[#This Row],[TIPO DE CAMBIO]]</f>
        <v>6627.3065999999999</v>
      </c>
      <c r="AR27" s="848">
        <v>3</v>
      </c>
      <c r="AS27" s="849"/>
      <c r="AT27" s="923">
        <f>+Tabla1[[#This Row],[VENTA TOTAL $ (IVA INC) ]]-(SUM(Tabla1[[#This Row],[PENDIENTE DE ENTREGA]:[VALORES COBRADOS]]))</f>
        <v>0</v>
      </c>
      <c r="AU27" s="850">
        <f>VLOOKUP(Tabla1[[#This Row],[FECHA OC]],'TIPO DE CAMBIO'!A:B,2,TRUE)</f>
        <v>1472.7348</v>
      </c>
      <c r="AV27" s="850">
        <f>+Tabla1[[#This Row],[SUBTOTAL]]/Tabla1[[#This Row],[TIPO DE CAMBIO]]</f>
        <v>12308.637000000001</v>
      </c>
      <c r="AW27" s="851"/>
      <c r="AX27" s="850">
        <f>IFERROR(Tabla1[[#This Row],[VENTA TOTAL USD A PLAZO EN CLIENTE  (SIN IVA)]]*(1+Tabla1[[#This Row],[% IVA ]]),"")</f>
        <v>12308.637000000001</v>
      </c>
      <c r="AY27" s="850">
        <f>+Tabla1[[#This Row],[VENTA TOTAL USD A PLAZO EN CLIENTE  (SIN IVA)]]/Tabla1[[#This Row],[KGS]]*1000</f>
        <v>439.5</v>
      </c>
      <c r="AZ27" s="850">
        <f>-Tabla1[[#This Row],[COSTO FLETE $ POR BOLSA 5O KG (SIN IVA)]]*20/Tabla1[[#This Row],[TIPO DE CAMBIO]]</f>
        <v>-89.999999999999986</v>
      </c>
      <c r="BA27" s="850">
        <f>+Tabla1[[#This Row],[GASTOS FINANCIEROS $ BOLSA 50 KG (IVA INC)]]*20/Tabla1[[#This Row],[TIPO DE CAMBIO]]</f>
        <v>0</v>
      </c>
      <c r="BB27" s="850">
        <f>+Tabla1[[#This Row],[PRECIO POR TN USD EN CLIENTE A PLAZO (SIN IVA)]]+Tabla1[[#This Row],[COSTO USD FLETE /TN (SIN IVA)]]+Tabla1[[#This Row],[COSTO FINANCIERO USD POR BOLSA 50KG (IVA INC)]]</f>
        <v>349.5</v>
      </c>
      <c r="BC27" s="848">
        <v>1</v>
      </c>
      <c r="BD27" s="944"/>
    </row>
    <row r="28" spans="1:56" ht="15.75" customHeight="1">
      <c r="A28" s="912">
        <v>46143</v>
      </c>
      <c r="B28" s="828">
        <v>1</v>
      </c>
      <c r="C28" s="792" t="s">
        <v>407</v>
      </c>
      <c r="D28" s="829">
        <f>+Tabla1[[#This Row],[FECHA Entrega]]</f>
        <v>46175</v>
      </c>
      <c r="E28" s="830" t="s">
        <v>480</v>
      </c>
      <c r="F28" s="831" t="s">
        <v>356</v>
      </c>
      <c r="G28" s="832" t="s">
        <v>216</v>
      </c>
      <c r="H28" s="833">
        <v>46175</v>
      </c>
      <c r="I28" s="834">
        <v>28006</v>
      </c>
      <c r="J28" s="835">
        <f>439.5/1000*Tabla1[[#This Row],[TIPO DE CAMBIO]]</f>
        <v>647.26694459999999</v>
      </c>
      <c r="K28" s="836">
        <f t="shared" si="1"/>
        <v>18127358.050467599</v>
      </c>
      <c r="L2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28" s="837">
        <f t="shared" si="0"/>
        <v>18127358.050467599</v>
      </c>
      <c r="N28" s="838">
        <f>+Tabla1[[#This Row],[VENTA TOTAL $ (IVA INC) ]]</f>
        <v>18127358.050467599</v>
      </c>
      <c r="O28" s="838">
        <v>0</v>
      </c>
      <c r="P28" s="838">
        <v>0</v>
      </c>
      <c r="Q28" s="839">
        <f>+Tabla1[[#This Row],[VENTA TOTAL $ (IVA INC) ]]-Tabla1[[#This Row],[PENDIENTE DE ENTREGA]]-Tabla1[[#This Row],[PENDIENTE DE COBRO]]+Tabla1[[#This Row],[VALORES EN CARTERA]]</f>
        <v>0</v>
      </c>
      <c r="R28" s="840">
        <f>+Tabla1[[#This Row],[FECHA FC]]+Tabla1[[#This Row],[PLAZO ENTREGA VALORES]]</f>
        <v>46175</v>
      </c>
      <c r="S28" s="840">
        <f>+Tabla1[[#This Row],[FECHA FC]]+Tabla1[[#This Row],[PLAZO PAGO (DIAS)]]</f>
        <v>46178</v>
      </c>
      <c r="T28" s="834">
        <f t="shared" ca="1" si="5"/>
        <v>-3</v>
      </c>
      <c r="U28" s="831">
        <v>0</v>
      </c>
      <c r="V28" s="831"/>
      <c r="W28" s="841">
        <f>+Tabla1[[#This Row],[FECHA VTO VALORES]]+7</f>
        <v>46185</v>
      </c>
      <c r="X28" s="831" t="s">
        <v>480</v>
      </c>
      <c r="Y28" s="840">
        <v>46027</v>
      </c>
      <c r="Z28" s="842">
        <f>Tabla1[[#This Row],[KGS]]/50</f>
        <v>560.12</v>
      </c>
      <c r="AA2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32363.347229999999</v>
      </c>
      <c r="AB28" s="844">
        <v>-6627</v>
      </c>
      <c r="AC28" s="845">
        <f>SUM(Tabla1[[#This Row],[PRECIO $ BOLSA 50 KG (IVA INC) ]]+Tabla1[[#This Row],[COSTO FLETE $ BOLSA 50 KG (IVA INC)]])</f>
        <v>25736.347229999999</v>
      </c>
      <c r="AD28" s="844">
        <f>-Tabla1[[#This Row],[PRECIO $ BOLSA 50 KG (IVA INC) ]]*(Tabla1[[#This Row],[TASA FINANCIACION MENSUAL]]/365)*Tabla1[[#This Row],[PLAZO ENTREGA VALORES]]</f>
        <v>0</v>
      </c>
      <c r="AE28" s="845">
        <f>SUM(Tabla1[[#This Row],[PRECIO $ BOLSA50 KG  FOB TUCUMAN A PLAZO (IVA INC)]]+Tabla1[[#This Row],[GASTOS FINANCIEROS $ BOLSA 50 KG (IVA INC)]])</f>
        <v>25736.347229999999</v>
      </c>
      <c r="AF28" s="828" t="s">
        <v>394</v>
      </c>
      <c r="AG28" s="828" t="s">
        <v>477</v>
      </c>
      <c r="AH28" s="828" t="s">
        <v>388</v>
      </c>
      <c r="AI28" s="828" t="s">
        <v>259</v>
      </c>
      <c r="AJ2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25502.479338842975</v>
      </c>
      <c r="AK28" s="846">
        <f>SUM(Tabla1[[#This Row],[PRECIO $ BOLSA 50KG  FOB CDO TUC (IVA INC)]]-Tabla1[[#This Row],[PRECIO REF $ BOLSA 50 KG CACTU (IVA INC)]])</f>
        <v>233.86789115702413</v>
      </c>
      <c r="AL28" s="847">
        <f>IFERROR(Tabla1[[#This Row],[PRECIO $ BOLSA 50KG  FOB CDO TUC (IVA INC)]]/Tabla1[[#This Row],[PRECIO REF $ BOLSA 50 KG CACTU (IVA INC)]]-1,"")</f>
        <v>9.1703982208828361E-3</v>
      </c>
      <c r="AM28" s="846">
        <f>+Tabla1[[#This Row],[DIF $ PRECIO NETO INDUSTRIA vs Neto TUCUMAN (IVA INC)]]*Tabla1[[#This Row],[Q Bolsas Equivalentes 50kg]]</f>
        <v>130994.08319487236</v>
      </c>
      <c r="AN28" s="846">
        <f>Tabla1[[#This Row],[PRECIO REF $ BOLSA 50 KG CACTU (IVA INC)]]*Tabla1[[#This Row],[Q Bolsas Equivalentes 50kg]]</f>
        <v>14284448.727272727</v>
      </c>
      <c r="AO28" s="846">
        <f>+Tabla1[[#This Row],[PRECIO $ BOLSA 50KG  FOB CDO TUC (IVA INC)]]*Tabla1[[#This Row],[Q Bolsas Equivalentes 50kg]]</f>
        <v>14415442.810467599</v>
      </c>
      <c r="AP28" s="847">
        <v>2.9000000000000001E-2</v>
      </c>
      <c r="AQ28" s="846">
        <f>90/20*Tabla1[[#This Row],[TIPO DE CAMBIO]]</f>
        <v>6627.3065999999999</v>
      </c>
      <c r="AR28" s="848">
        <v>3</v>
      </c>
      <c r="AS28" s="849"/>
      <c r="AT28" s="923">
        <f>+Tabla1[[#This Row],[VENTA TOTAL $ (IVA INC) ]]-(SUM(Tabla1[[#This Row],[PENDIENTE DE ENTREGA]:[VALORES COBRADOS]]))</f>
        <v>0</v>
      </c>
      <c r="AU28" s="850">
        <f>VLOOKUP(Tabla1[[#This Row],[FECHA OC]],'TIPO DE CAMBIO'!A:B,2,TRUE)</f>
        <v>1472.7348</v>
      </c>
      <c r="AV28" s="850">
        <f>+Tabla1[[#This Row],[SUBTOTAL]]/Tabla1[[#This Row],[TIPO DE CAMBIO]]</f>
        <v>12308.637000000001</v>
      </c>
      <c r="AW28" s="851"/>
      <c r="AX28" s="850">
        <f>IFERROR(Tabla1[[#This Row],[VENTA TOTAL USD A PLAZO EN CLIENTE  (SIN IVA)]]*(1+Tabla1[[#This Row],[% IVA ]]),"")</f>
        <v>12308.637000000001</v>
      </c>
      <c r="AY28" s="850">
        <f>+Tabla1[[#This Row],[VENTA TOTAL USD A PLAZO EN CLIENTE  (SIN IVA)]]/Tabla1[[#This Row],[KGS]]*1000</f>
        <v>439.5</v>
      </c>
      <c r="AZ28" s="850">
        <f>-Tabla1[[#This Row],[COSTO FLETE $ POR BOLSA 5O KG (SIN IVA)]]*20/Tabla1[[#This Row],[TIPO DE CAMBIO]]</f>
        <v>-89.999999999999986</v>
      </c>
      <c r="BA28" s="850">
        <f>+Tabla1[[#This Row],[GASTOS FINANCIEROS $ BOLSA 50 KG (IVA INC)]]*20/Tabla1[[#This Row],[TIPO DE CAMBIO]]</f>
        <v>0</v>
      </c>
      <c r="BB28" s="850">
        <f>+Tabla1[[#This Row],[PRECIO POR TN USD EN CLIENTE A PLAZO (SIN IVA)]]+Tabla1[[#This Row],[COSTO USD FLETE /TN (SIN IVA)]]+Tabla1[[#This Row],[COSTO FINANCIERO USD POR BOLSA 50KG (IVA INC)]]</f>
        <v>349.5</v>
      </c>
      <c r="BC28" s="848">
        <v>1</v>
      </c>
      <c r="BD28" s="944"/>
    </row>
    <row r="29" spans="1:56" ht="15.75" customHeight="1">
      <c r="A29" s="912">
        <v>46143</v>
      </c>
      <c r="B29" s="828">
        <v>1</v>
      </c>
      <c r="C29" s="792" t="s">
        <v>407</v>
      </c>
      <c r="D29" s="829">
        <f>+Tabla1[[#This Row],[FECHA Entrega]]</f>
        <v>46178</v>
      </c>
      <c r="E29" s="830" t="s">
        <v>480</v>
      </c>
      <c r="F29" s="831" t="s">
        <v>356</v>
      </c>
      <c r="G29" s="832" t="s">
        <v>216</v>
      </c>
      <c r="H29" s="833">
        <v>46178</v>
      </c>
      <c r="I29" s="834">
        <v>28006</v>
      </c>
      <c r="J29" s="835">
        <f>439.5/1000*Tabla1[[#This Row],[TIPO DE CAMBIO]]</f>
        <v>647.26694459999999</v>
      </c>
      <c r="K29" s="836">
        <f t="shared" si="1"/>
        <v>18127358.050467599</v>
      </c>
      <c r="L2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29" s="837">
        <f t="shared" si="0"/>
        <v>18127358.050467599</v>
      </c>
      <c r="N29" s="838">
        <f>+Tabla1[[#This Row],[VENTA TOTAL $ (IVA INC) ]]</f>
        <v>18127358.050467599</v>
      </c>
      <c r="O29" s="838">
        <v>0</v>
      </c>
      <c r="P29" s="838">
        <v>0</v>
      </c>
      <c r="Q29" s="839">
        <f>+Tabla1[[#This Row],[VENTA TOTAL $ (IVA INC) ]]-Tabla1[[#This Row],[PENDIENTE DE ENTREGA]]-Tabla1[[#This Row],[PENDIENTE DE COBRO]]+Tabla1[[#This Row],[VALORES EN CARTERA]]</f>
        <v>0</v>
      </c>
      <c r="R29" s="840">
        <f>+Tabla1[[#This Row],[FECHA FC]]+Tabla1[[#This Row],[PLAZO ENTREGA VALORES]]</f>
        <v>46178</v>
      </c>
      <c r="S29" s="840">
        <f>+Tabla1[[#This Row],[FECHA FC]]+Tabla1[[#This Row],[PLAZO PAGO (DIAS)]]</f>
        <v>46181</v>
      </c>
      <c r="T29" s="834">
        <f t="shared" ca="1" si="5"/>
        <v>0</v>
      </c>
      <c r="U29" s="831">
        <v>0</v>
      </c>
      <c r="V29" s="831"/>
      <c r="W29" s="841">
        <f>+Tabla1[[#This Row],[FECHA VTO VALORES]]+7</f>
        <v>46188</v>
      </c>
      <c r="X29" s="831" t="s">
        <v>480</v>
      </c>
      <c r="Y29" s="840">
        <v>46027</v>
      </c>
      <c r="Z29" s="842">
        <f>Tabla1[[#This Row],[KGS]]/50</f>
        <v>560.12</v>
      </c>
      <c r="AA2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32363.347229999999</v>
      </c>
      <c r="AB29" s="844">
        <f>-6627</f>
        <v>-6627</v>
      </c>
      <c r="AC29" s="845">
        <f>SUM(Tabla1[[#This Row],[PRECIO $ BOLSA 50 KG (IVA INC) ]]+Tabla1[[#This Row],[COSTO FLETE $ BOLSA 50 KG (IVA INC)]])</f>
        <v>25736.347229999999</v>
      </c>
      <c r="AD29" s="844">
        <f>-Tabla1[[#This Row],[PRECIO $ BOLSA 50 KG (IVA INC) ]]*(Tabla1[[#This Row],[TASA FINANCIACION MENSUAL]]/365)*Tabla1[[#This Row],[PLAZO ENTREGA VALORES]]</f>
        <v>0</v>
      </c>
      <c r="AE29" s="845">
        <f>SUM(Tabla1[[#This Row],[PRECIO $ BOLSA50 KG  FOB TUCUMAN A PLAZO (IVA INC)]]+Tabla1[[#This Row],[GASTOS FINANCIEROS $ BOLSA 50 KG (IVA INC)]])</f>
        <v>25736.347229999999</v>
      </c>
      <c r="AF29" s="828" t="s">
        <v>394</v>
      </c>
      <c r="AG29" s="828" t="s">
        <v>477</v>
      </c>
      <c r="AH29" s="828" t="s">
        <v>388</v>
      </c>
      <c r="AI29" s="828" t="s">
        <v>259</v>
      </c>
      <c r="AJ2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25502.479338842975</v>
      </c>
      <c r="AK29" s="846">
        <f>SUM(Tabla1[[#This Row],[PRECIO $ BOLSA 50KG  FOB CDO TUC (IVA INC)]]-Tabla1[[#This Row],[PRECIO REF $ BOLSA 50 KG CACTU (IVA INC)]])</f>
        <v>233.86789115702413</v>
      </c>
      <c r="AL29" s="847">
        <f>IFERROR(Tabla1[[#This Row],[PRECIO $ BOLSA 50KG  FOB CDO TUC (IVA INC)]]/Tabla1[[#This Row],[PRECIO REF $ BOLSA 50 KG CACTU (IVA INC)]]-1,"")</f>
        <v>9.1703982208828361E-3</v>
      </c>
      <c r="AM29" s="846">
        <f>+Tabla1[[#This Row],[DIF $ PRECIO NETO INDUSTRIA vs Neto TUCUMAN (IVA INC)]]*Tabla1[[#This Row],[Q Bolsas Equivalentes 50kg]]</f>
        <v>130994.08319487236</v>
      </c>
      <c r="AN29" s="846">
        <f>Tabla1[[#This Row],[PRECIO REF $ BOLSA 50 KG CACTU (IVA INC)]]*Tabla1[[#This Row],[Q Bolsas Equivalentes 50kg]]</f>
        <v>14284448.727272727</v>
      </c>
      <c r="AO29" s="846">
        <f>+Tabla1[[#This Row],[PRECIO $ BOLSA 50KG  FOB CDO TUC (IVA INC)]]*Tabla1[[#This Row],[Q Bolsas Equivalentes 50kg]]</f>
        <v>14415442.810467599</v>
      </c>
      <c r="AP29" s="847">
        <v>2.9000000000000001E-2</v>
      </c>
      <c r="AQ29" s="846">
        <f>90/20*Tabla1[[#This Row],[TIPO DE CAMBIO]]</f>
        <v>6627.3065999999999</v>
      </c>
      <c r="AR29" s="848">
        <v>3</v>
      </c>
      <c r="AS29" s="849"/>
      <c r="AT29" s="923">
        <f>+Tabla1[[#This Row],[VENTA TOTAL $ (IVA INC) ]]-(SUM(Tabla1[[#This Row],[PENDIENTE DE ENTREGA]:[VALORES COBRADOS]]))</f>
        <v>0</v>
      </c>
      <c r="AU29" s="850">
        <f>VLOOKUP(Tabla1[[#This Row],[FECHA OC]],'TIPO DE CAMBIO'!A:B,2,TRUE)</f>
        <v>1472.7348</v>
      </c>
      <c r="AV29" s="850">
        <f>+Tabla1[[#This Row],[SUBTOTAL]]/Tabla1[[#This Row],[TIPO DE CAMBIO]]</f>
        <v>12308.637000000001</v>
      </c>
      <c r="AW29" s="851"/>
      <c r="AX29" s="850">
        <f>IFERROR(Tabla1[[#This Row],[VENTA TOTAL USD A PLAZO EN CLIENTE  (SIN IVA)]]*(1+Tabla1[[#This Row],[% IVA ]]),"")</f>
        <v>12308.637000000001</v>
      </c>
      <c r="AY29" s="850">
        <f>+Tabla1[[#This Row],[VENTA TOTAL USD A PLAZO EN CLIENTE  (SIN IVA)]]/Tabla1[[#This Row],[KGS]]*1000</f>
        <v>439.5</v>
      </c>
      <c r="AZ29" s="850">
        <f>-Tabla1[[#This Row],[COSTO FLETE $ POR BOLSA 5O KG (SIN IVA)]]*20/Tabla1[[#This Row],[TIPO DE CAMBIO]]</f>
        <v>-89.999999999999986</v>
      </c>
      <c r="BA29" s="850">
        <f>+Tabla1[[#This Row],[GASTOS FINANCIEROS $ BOLSA 50 KG (IVA INC)]]*20/Tabla1[[#This Row],[TIPO DE CAMBIO]]</f>
        <v>0</v>
      </c>
      <c r="BB29" s="850">
        <f>+Tabla1[[#This Row],[PRECIO POR TN USD EN CLIENTE A PLAZO (SIN IVA)]]+Tabla1[[#This Row],[COSTO USD FLETE /TN (SIN IVA)]]+Tabla1[[#This Row],[COSTO FINANCIERO USD POR BOLSA 50KG (IVA INC)]]</f>
        <v>349.5</v>
      </c>
      <c r="BC29" s="848">
        <v>1</v>
      </c>
      <c r="BD29" s="944"/>
    </row>
    <row r="30" spans="1:56" ht="15.75" customHeight="1">
      <c r="A30" s="912">
        <v>46143</v>
      </c>
      <c r="B30" s="828">
        <v>1</v>
      </c>
      <c r="C30" s="792" t="s">
        <v>407</v>
      </c>
      <c r="D30" s="829">
        <f>+Tabla1[[#This Row],[FECHA Entrega]]</f>
        <v>46178</v>
      </c>
      <c r="E30" s="830" t="s">
        <v>480</v>
      </c>
      <c r="F30" s="831" t="s">
        <v>356</v>
      </c>
      <c r="G30" s="832" t="s">
        <v>216</v>
      </c>
      <c r="H30" s="833">
        <v>46178</v>
      </c>
      <c r="I30" s="834">
        <v>28006</v>
      </c>
      <c r="J30" s="835">
        <f>439.5/1000*Tabla1[[#This Row],[TIPO DE CAMBIO]]</f>
        <v>647.26694459999999</v>
      </c>
      <c r="K30" s="836">
        <f t="shared" si="1"/>
        <v>18127358.050467599</v>
      </c>
      <c r="L3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0" s="837">
        <f t="shared" si="0"/>
        <v>18127358.050467599</v>
      </c>
      <c r="N30" s="838">
        <f>+Tabla1[[#This Row],[VENTA TOTAL $ (IVA INC) ]]</f>
        <v>18127358.050467599</v>
      </c>
      <c r="O30" s="838">
        <v>0</v>
      </c>
      <c r="P30" s="838">
        <v>0</v>
      </c>
      <c r="Q30" s="839">
        <f>+Tabla1[[#This Row],[VENTA TOTAL $ (IVA INC) ]]-Tabla1[[#This Row],[PENDIENTE DE ENTREGA]]-Tabla1[[#This Row],[PENDIENTE DE COBRO]]+Tabla1[[#This Row],[VALORES EN CARTERA]]</f>
        <v>0</v>
      </c>
      <c r="R30" s="840">
        <f>+Tabla1[[#This Row],[FECHA FC]]+Tabla1[[#This Row],[PLAZO ENTREGA VALORES]]</f>
        <v>46178</v>
      </c>
      <c r="S30" s="840">
        <f>+Tabla1[[#This Row],[FECHA FC]]+Tabla1[[#This Row],[PLAZO PAGO (DIAS)]]</f>
        <v>46181</v>
      </c>
      <c r="T30" s="834">
        <f t="shared" ca="1" si="5"/>
        <v>0</v>
      </c>
      <c r="U30" s="831">
        <v>0</v>
      </c>
      <c r="V30" s="831"/>
      <c r="W30" s="841">
        <f>+Tabla1[[#This Row],[FECHA VTO VALORES]]+7</f>
        <v>46188</v>
      </c>
      <c r="X30" s="831" t="s">
        <v>480</v>
      </c>
      <c r="Y30" s="840">
        <v>46027</v>
      </c>
      <c r="Z30" s="842">
        <f>Tabla1[[#This Row],[KGS]]/50</f>
        <v>560.12</v>
      </c>
      <c r="AA3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32363.347229999999</v>
      </c>
      <c r="AB30" s="844">
        <f>-6627</f>
        <v>-6627</v>
      </c>
      <c r="AC30" s="845">
        <f>SUM(Tabla1[[#This Row],[PRECIO $ BOLSA 50 KG (IVA INC) ]]+Tabla1[[#This Row],[COSTO FLETE $ BOLSA 50 KG (IVA INC)]])</f>
        <v>25736.347229999999</v>
      </c>
      <c r="AD30" s="844">
        <f>-Tabla1[[#This Row],[PRECIO $ BOLSA 50 KG (IVA INC) ]]*(Tabla1[[#This Row],[TASA FINANCIACION MENSUAL]]/365)*Tabla1[[#This Row],[PLAZO ENTREGA VALORES]]</f>
        <v>0</v>
      </c>
      <c r="AE30" s="845">
        <f>SUM(Tabla1[[#This Row],[PRECIO $ BOLSA50 KG  FOB TUCUMAN A PLAZO (IVA INC)]]+Tabla1[[#This Row],[GASTOS FINANCIEROS $ BOLSA 50 KG (IVA INC)]])</f>
        <v>25736.347229999999</v>
      </c>
      <c r="AF30" s="828" t="s">
        <v>394</v>
      </c>
      <c r="AG30" s="828" t="s">
        <v>477</v>
      </c>
      <c r="AH30" s="828" t="s">
        <v>388</v>
      </c>
      <c r="AI30" s="828" t="s">
        <v>259</v>
      </c>
      <c r="AJ3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25502.479338842975</v>
      </c>
      <c r="AK30" s="846">
        <f>SUM(Tabla1[[#This Row],[PRECIO $ BOLSA 50KG  FOB CDO TUC (IVA INC)]]-Tabla1[[#This Row],[PRECIO REF $ BOLSA 50 KG CACTU (IVA INC)]])</f>
        <v>233.86789115702413</v>
      </c>
      <c r="AL30" s="847">
        <f>IFERROR(Tabla1[[#This Row],[PRECIO $ BOLSA 50KG  FOB CDO TUC (IVA INC)]]/Tabla1[[#This Row],[PRECIO REF $ BOLSA 50 KG CACTU (IVA INC)]]-1,"")</f>
        <v>9.1703982208828361E-3</v>
      </c>
      <c r="AM30" s="846">
        <f>+Tabla1[[#This Row],[DIF $ PRECIO NETO INDUSTRIA vs Neto TUCUMAN (IVA INC)]]*Tabla1[[#This Row],[Q Bolsas Equivalentes 50kg]]</f>
        <v>130994.08319487236</v>
      </c>
      <c r="AN30" s="846">
        <f>Tabla1[[#This Row],[PRECIO REF $ BOLSA 50 KG CACTU (IVA INC)]]*Tabla1[[#This Row],[Q Bolsas Equivalentes 50kg]]</f>
        <v>14284448.727272727</v>
      </c>
      <c r="AO30" s="846">
        <f>+Tabla1[[#This Row],[PRECIO $ BOLSA 50KG  FOB CDO TUC (IVA INC)]]*Tabla1[[#This Row],[Q Bolsas Equivalentes 50kg]]</f>
        <v>14415442.810467599</v>
      </c>
      <c r="AP30" s="847">
        <v>2.9000000000000001E-2</v>
      </c>
      <c r="AQ30" s="846">
        <f>90/20*Tabla1[[#This Row],[TIPO DE CAMBIO]]</f>
        <v>6627.3065999999999</v>
      </c>
      <c r="AR30" s="848">
        <v>3</v>
      </c>
      <c r="AS30" s="849"/>
      <c r="AT30" s="924">
        <f>+Tabla1[[#This Row],[VENTA TOTAL $ (IVA INC) ]]-(SUM(Tabla1[[#This Row],[PENDIENTE DE ENTREGA]:[VALORES COBRADOS]]))</f>
        <v>0</v>
      </c>
      <c r="AU30" s="850">
        <f>VLOOKUP(Tabla1[[#This Row],[FECHA OC]],'TIPO DE CAMBIO'!A:B,2,TRUE)</f>
        <v>1472.7348</v>
      </c>
      <c r="AV30" s="850">
        <f>+Tabla1[[#This Row],[SUBTOTAL]]/Tabla1[[#This Row],[TIPO DE CAMBIO]]</f>
        <v>12308.637000000001</v>
      </c>
      <c r="AW30" s="851"/>
      <c r="AX30" s="850">
        <f>IFERROR(Tabla1[[#This Row],[VENTA TOTAL USD A PLAZO EN CLIENTE  (SIN IVA)]]*(1+Tabla1[[#This Row],[% IVA ]]),"")</f>
        <v>12308.637000000001</v>
      </c>
      <c r="AY30" s="850">
        <f>+Tabla1[[#This Row],[VENTA TOTAL USD A PLAZO EN CLIENTE  (SIN IVA)]]/Tabla1[[#This Row],[KGS]]*1000</f>
        <v>439.5</v>
      </c>
      <c r="AZ30" s="850">
        <f>-Tabla1[[#This Row],[COSTO FLETE $ POR BOLSA 5O KG (SIN IVA)]]*20/Tabla1[[#This Row],[TIPO DE CAMBIO]]</f>
        <v>-89.999999999999986</v>
      </c>
      <c r="BA30" s="850">
        <f>+Tabla1[[#This Row],[GASTOS FINANCIEROS $ BOLSA 50 KG (IVA INC)]]*20/Tabla1[[#This Row],[TIPO DE CAMBIO]]</f>
        <v>0</v>
      </c>
      <c r="BB30" s="850">
        <f>+Tabla1[[#This Row],[PRECIO POR TN USD EN CLIENTE A PLAZO (SIN IVA)]]+Tabla1[[#This Row],[COSTO USD FLETE /TN (SIN IVA)]]+Tabla1[[#This Row],[COSTO FINANCIERO USD POR BOLSA 50KG (IVA INC)]]</f>
        <v>349.5</v>
      </c>
      <c r="BC30" s="848">
        <v>1</v>
      </c>
      <c r="BD30" s="944"/>
    </row>
    <row r="31" spans="1:56" ht="15.75" customHeight="1">
      <c r="A31" s="912">
        <v>46143</v>
      </c>
      <c r="B31" s="828">
        <v>1</v>
      </c>
      <c r="C31" s="792" t="s">
        <v>407</v>
      </c>
      <c r="D31" s="829">
        <f>+Tabla1[[#This Row],[FECHA Entrega]]</f>
        <v>46182</v>
      </c>
      <c r="E31" s="830" t="s">
        <v>480</v>
      </c>
      <c r="F31" s="831" t="s">
        <v>356</v>
      </c>
      <c r="G31" s="832" t="s">
        <v>216</v>
      </c>
      <c r="H31" s="833">
        <v>46182</v>
      </c>
      <c r="I31" s="834">
        <v>28006</v>
      </c>
      <c r="J31" s="835">
        <f>439.5/1000*Tabla1[[#This Row],[TIPO DE CAMBIO]]</f>
        <v>647.26694459999999</v>
      </c>
      <c r="K31" s="836">
        <f t="shared" si="1"/>
        <v>18127358.050467599</v>
      </c>
      <c r="L3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1" s="837">
        <f t="shared" si="0"/>
        <v>18127358.050467599</v>
      </c>
      <c r="N31" s="838">
        <f>+Tabla1[[#This Row],[VENTA TOTAL $ (IVA INC) ]]</f>
        <v>18127358.050467599</v>
      </c>
      <c r="O31" s="838">
        <v>0</v>
      </c>
      <c r="P31" s="838">
        <v>0</v>
      </c>
      <c r="Q31" s="839">
        <f>+Tabla1[[#This Row],[VENTA TOTAL $ (IVA INC) ]]-Tabla1[[#This Row],[PENDIENTE DE ENTREGA]]-Tabla1[[#This Row],[PENDIENTE DE COBRO]]+Tabla1[[#This Row],[VALORES EN CARTERA]]</f>
        <v>0</v>
      </c>
      <c r="R31" s="840">
        <f>+Tabla1[[#This Row],[FECHA FC]]+Tabla1[[#This Row],[PLAZO ENTREGA VALORES]]</f>
        <v>46182</v>
      </c>
      <c r="S31" s="840">
        <f>+Tabla1[[#This Row],[FECHA FC]]+Tabla1[[#This Row],[PLAZO PAGO (DIAS)]]</f>
        <v>46185</v>
      </c>
      <c r="T31" s="834">
        <f t="shared" ca="1" si="5"/>
        <v>4</v>
      </c>
      <c r="U31" s="831">
        <v>0</v>
      </c>
      <c r="V31" s="831"/>
      <c r="W31" s="841">
        <f>+Tabla1[[#This Row],[FECHA VTO VALORES]]+7</f>
        <v>46192</v>
      </c>
      <c r="X31" s="831" t="s">
        <v>480</v>
      </c>
      <c r="Y31" s="840">
        <v>46027</v>
      </c>
      <c r="Z31" s="842">
        <f>Tabla1[[#This Row],[KGS]]/50</f>
        <v>560.12</v>
      </c>
      <c r="AA3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32363.347229999999</v>
      </c>
      <c r="AB31" s="844">
        <f>-6627</f>
        <v>-6627</v>
      </c>
      <c r="AC31" s="845">
        <f>SUM(Tabla1[[#This Row],[PRECIO $ BOLSA 50 KG (IVA INC) ]]+Tabla1[[#This Row],[COSTO FLETE $ BOLSA 50 KG (IVA INC)]])</f>
        <v>25736.347229999999</v>
      </c>
      <c r="AD31" s="844">
        <f>-Tabla1[[#This Row],[PRECIO $ BOLSA 50 KG (IVA INC) ]]*(Tabla1[[#This Row],[TASA FINANCIACION MENSUAL]]/365)*Tabla1[[#This Row],[PLAZO ENTREGA VALORES]]</f>
        <v>0</v>
      </c>
      <c r="AE31" s="845">
        <f>SUM(Tabla1[[#This Row],[PRECIO $ BOLSA50 KG  FOB TUCUMAN A PLAZO (IVA INC)]]+Tabla1[[#This Row],[GASTOS FINANCIEROS $ BOLSA 50 KG (IVA INC)]])</f>
        <v>25736.347229999999</v>
      </c>
      <c r="AF31" s="828" t="s">
        <v>394</v>
      </c>
      <c r="AG31" s="828" t="s">
        <v>477</v>
      </c>
      <c r="AH31" s="828" t="s">
        <v>388</v>
      </c>
      <c r="AI31" s="828" t="s">
        <v>259</v>
      </c>
      <c r="AJ3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25502.479338842975</v>
      </c>
      <c r="AK31" s="846">
        <f>SUM(Tabla1[[#This Row],[PRECIO $ BOLSA 50KG  FOB CDO TUC (IVA INC)]]-Tabla1[[#This Row],[PRECIO REF $ BOLSA 50 KG CACTU (IVA INC)]])</f>
        <v>233.86789115702413</v>
      </c>
      <c r="AL31" s="847">
        <f>IFERROR(Tabla1[[#This Row],[PRECIO $ BOLSA 50KG  FOB CDO TUC (IVA INC)]]/Tabla1[[#This Row],[PRECIO REF $ BOLSA 50 KG CACTU (IVA INC)]]-1,"")</f>
        <v>9.1703982208828361E-3</v>
      </c>
      <c r="AM31" s="846">
        <f>+Tabla1[[#This Row],[DIF $ PRECIO NETO INDUSTRIA vs Neto TUCUMAN (IVA INC)]]*Tabla1[[#This Row],[Q Bolsas Equivalentes 50kg]]</f>
        <v>130994.08319487236</v>
      </c>
      <c r="AN31" s="846">
        <f>Tabla1[[#This Row],[PRECIO REF $ BOLSA 50 KG CACTU (IVA INC)]]*Tabla1[[#This Row],[Q Bolsas Equivalentes 50kg]]</f>
        <v>14284448.727272727</v>
      </c>
      <c r="AO31" s="846">
        <f>+Tabla1[[#This Row],[PRECIO $ BOLSA 50KG  FOB CDO TUC (IVA INC)]]*Tabla1[[#This Row],[Q Bolsas Equivalentes 50kg]]</f>
        <v>14415442.810467599</v>
      </c>
      <c r="AP31" s="847">
        <v>2.9000000000000001E-2</v>
      </c>
      <c r="AQ31" s="846">
        <f>90/20*Tabla1[[#This Row],[TIPO DE CAMBIO]]</f>
        <v>6627.3065999999999</v>
      </c>
      <c r="AR31" s="848">
        <v>3</v>
      </c>
      <c r="AS31" s="849"/>
      <c r="AT31" s="924">
        <f>+Tabla1[[#This Row],[VENTA TOTAL $ (IVA INC) ]]-(SUM(Tabla1[[#This Row],[PENDIENTE DE ENTREGA]:[VALORES COBRADOS]]))</f>
        <v>0</v>
      </c>
      <c r="AU31" s="850">
        <f>VLOOKUP(Tabla1[[#This Row],[FECHA OC]],'TIPO DE CAMBIO'!A:B,2,TRUE)</f>
        <v>1472.7348</v>
      </c>
      <c r="AV31" s="850">
        <f>+Tabla1[[#This Row],[SUBTOTAL]]/Tabla1[[#This Row],[TIPO DE CAMBIO]]</f>
        <v>12308.637000000001</v>
      </c>
      <c r="AW31" s="851"/>
      <c r="AX31" s="850">
        <f>IFERROR(Tabla1[[#This Row],[VENTA TOTAL USD A PLAZO EN CLIENTE  (SIN IVA)]]*(1+Tabla1[[#This Row],[% IVA ]]),"")</f>
        <v>12308.637000000001</v>
      </c>
      <c r="AY31" s="850">
        <f>+Tabla1[[#This Row],[VENTA TOTAL USD A PLAZO EN CLIENTE  (SIN IVA)]]/Tabla1[[#This Row],[KGS]]*1000</f>
        <v>439.5</v>
      </c>
      <c r="AZ31" s="850">
        <f>-Tabla1[[#This Row],[COSTO FLETE $ POR BOLSA 5O KG (SIN IVA)]]*20/Tabla1[[#This Row],[TIPO DE CAMBIO]]</f>
        <v>-89.999999999999986</v>
      </c>
      <c r="BA31" s="850">
        <f>+Tabla1[[#This Row],[GASTOS FINANCIEROS $ BOLSA 50 KG (IVA INC)]]*20/Tabla1[[#This Row],[TIPO DE CAMBIO]]</f>
        <v>0</v>
      </c>
      <c r="BB31" s="850">
        <f>+Tabla1[[#This Row],[PRECIO POR TN USD EN CLIENTE A PLAZO (SIN IVA)]]+Tabla1[[#This Row],[COSTO USD FLETE /TN (SIN IVA)]]+Tabla1[[#This Row],[COSTO FINANCIERO USD POR BOLSA 50KG (IVA INC)]]</f>
        <v>349.5</v>
      </c>
      <c r="BC31" s="848">
        <v>1</v>
      </c>
      <c r="BD31" s="944"/>
    </row>
    <row r="32" spans="1:56" ht="15.75" customHeight="1">
      <c r="A32" s="912">
        <v>46143</v>
      </c>
      <c r="B32" s="828">
        <v>1</v>
      </c>
      <c r="C32" s="792" t="s">
        <v>407</v>
      </c>
      <c r="D32" s="829">
        <f>+Tabla1[[#This Row],[FECHA Entrega]]</f>
        <v>46182</v>
      </c>
      <c r="E32" s="830" t="s">
        <v>480</v>
      </c>
      <c r="F32" s="831" t="s">
        <v>356</v>
      </c>
      <c r="G32" s="832" t="s">
        <v>216</v>
      </c>
      <c r="H32" s="833">
        <v>46182</v>
      </c>
      <c r="I32" s="834">
        <v>28006</v>
      </c>
      <c r="J32" s="835">
        <f>439.5/1000*Tabla1[[#This Row],[TIPO DE CAMBIO]]</f>
        <v>647.26694459999999</v>
      </c>
      <c r="K32" s="836">
        <f t="shared" si="1"/>
        <v>18127358.050467599</v>
      </c>
      <c r="L3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2" s="837">
        <f t="shared" si="0"/>
        <v>18127358.050467599</v>
      </c>
      <c r="N32" s="838">
        <f>+Tabla1[[#This Row],[VENTA TOTAL $ (IVA INC) ]]</f>
        <v>18127358.050467599</v>
      </c>
      <c r="O32" s="838">
        <v>0</v>
      </c>
      <c r="P32" s="838">
        <v>0</v>
      </c>
      <c r="Q32" s="839">
        <f>+Tabla1[[#This Row],[VENTA TOTAL $ (IVA INC) ]]-Tabla1[[#This Row],[PENDIENTE DE ENTREGA]]-Tabla1[[#This Row],[PENDIENTE DE COBRO]]+Tabla1[[#This Row],[VALORES EN CARTERA]]</f>
        <v>0</v>
      </c>
      <c r="R32" s="840">
        <f>+Tabla1[[#This Row],[FECHA FC]]+Tabla1[[#This Row],[PLAZO ENTREGA VALORES]]</f>
        <v>46182</v>
      </c>
      <c r="S32" s="840">
        <f>+Tabla1[[#This Row],[FECHA FC]]+Tabla1[[#This Row],[PLAZO PAGO (DIAS)]]</f>
        <v>46185</v>
      </c>
      <c r="T32" s="834">
        <f t="shared" ca="1" si="5"/>
        <v>4</v>
      </c>
      <c r="U32" s="831">
        <v>0</v>
      </c>
      <c r="V32" s="831"/>
      <c r="W32" s="841">
        <f>+Tabla1[[#This Row],[FECHA VTO VALORES]]+7</f>
        <v>46192</v>
      </c>
      <c r="X32" s="831" t="s">
        <v>480</v>
      </c>
      <c r="Y32" s="840">
        <v>46027</v>
      </c>
      <c r="Z32" s="842">
        <f>Tabla1[[#This Row],[KGS]]/50</f>
        <v>560.12</v>
      </c>
      <c r="AA3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32363.347229999999</v>
      </c>
      <c r="AB32" s="844">
        <f>-6627</f>
        <v>-6627</v>
      </c>
      <c r="AC32" s="845">
        <f>SUM(Tabla1[[#This Row],[PRECIO $ BOLSA 50 KG (IVA INC) ]]+Tabla1[[#This Row],[COSTO FLETE $ BOLSA 50 KG (IVA INC)]])</f>
        <v>25736.347229999999</v>
      </c>
      <c r="AD32" s="844">
        <f>-Tabla1[[#This Row],[PRECIO $ BOLSA 50 KG (IVA INC) ]]*(Tabla1[[#This Row],[TASA FINANCIACION MENSUAL]]/365)*Tabla1[[#This Row],[PLAZO ENTREGA VALORES]]</f>
        <v>0</v>
      </c>
      <c r="AE32" s="845">
        <f>SUM(Tabla1[[#This Row],[PRECIO $ BOLSA50 KG  FOB TUCUMAN A PLAZO (IVA INC)]]+Tabla1[[#This Row],[GASTOS FINANCIEROS $ BOLSA 50 KG (IVA INC)]])</f>
        <v>25736.347229999999</v>
      </c>
      <c r="AF32" s="828" t="s">
        <v>394</v>
      </c>
      <c r="AG32" s="828" t="s">
        <v>477</v>
      </c>
      <c r="AH32" s="828" t="s">
        <v>388</v>
      </c>
      <c r="AI32" s="828" t="s">
        <v>259</v>
      </c>
      <c r="AJ3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25502.479338842975</v>
      </c>
      <c r="AK32" s="846">
        <f>SUM(Tabla1[[#This Row],[PRECIO $ BOLSA 50KG  FOB CDO TUC (IVA INC)]]-Tabla1[[#This Row],[PRECIO REF $ BOLSA 50 KG CACTU (IVA INC)]])</f>
        <v>233.86789115702413</v>
      </c>
      <c r="AL32" s="847">
        <f>IFERROR(Tabla1[[#This Row],[PRECIO $ BOLSA 50KG  FOB CDO TUC (IVA INC)]]/Tabla1[[#This Row],[PRECIO REF $ BOLSA 50 KG CACTU (IVA INC)]]-1,"")</f>
        <v>9.1703982208828361E-3</v>
      </c>
      <c r="AM32" s="846">
        <f>+Tabla1[[#This Row],[DIF $ PRECIO NETO INDUSTRIA vs Neto TUCUMAN (IVA INC)]]*Tabla1[[#This Row],[Q Bolsas Equivalentes 50kg]]</f>
        <v>130994.08319487236</v>
      </c>
      <c r="AN32" s="846">
        <f>Tabla1[[#This Row],[PRECIO REF $ BOLSA 50 KG CACTU (IVA INC)]]*Tabla1[[#This Row],[Q Bolsas Equivalentes 50kg]]</f>
        <v>14284448.727272727</v>
      </c>
      <c r="AO32" s="846">
        <f>+Tabla1[[#This Row],[PRECIO $ BOLSA 50KG  FOB CDO TUC (IVA INC)]]*Tabla1[[#This Row],[Q Bolsas Equivalentes 50kg]]</f>
        <v>14415442.810467599</v>
      </c>
      <c r="AP32" s="847">
        <v>2.9000000000000001E-2</v>
      </c>
      <c r="AQ32" s="846">
        <f>90/20*Tabla1[[#This Row],[TIPO DE CAMBIO]]</f>
        <v>6627.3065999999999</v>
      </c>
      <c r="AR32" s="848">
        <v>3</v>
      </c>
      <c r="AS32" s="849"/>
      <c r="AT32" s="924">
        <f>+Tabla1[[#This Row],[VENTA TOTAL $ (IVA INC) ]]-(SUM(Tabla1[[#This Row],[PENDIENTE DE ENTREGA]:[VALORES COBRADOS]]))</f>
        <v>0</v>
      </c>
      <c r="AU32" s="850">
        <f>VLOOKUP(Tabla1[[#This Row],[FECHA OC]],'TIPO DE CAMBIO'!A:B,2,TRUE)</f>
        <v>1472.7348</v>
      </c>
      <c r="AV32" s="850">
        <f>+Tabla1[[#This Row],[SUBTOTAL]]/Tabla1[[#This Row],[TIPO DE CAMBIO]]</f>
        <v>12308.637000000001</v>
      </c>
      <c r="AW32" s="851"/>
      <c r="AX32" s="850">
        <f>IFERROR(Tabla1[[#This Row],[VENTA TOTAL USD A PLAZO EN CLIENTE  (SIN IVA)]]*(1+Tabla1[[#This Row],[% IVA ]]),"")</f>
        <v>12308.637000000001</v>
      </c>
      <c r="AY32" s="850">
        <f>+Tabla1[[#This Row],[VENTA TOTAL USD A PLAZO EN CLIENTE  (SIN IVA)]]/Tabla1[[#This Row],[KGS]]*1000</f>
        <v>439.5</v>
      </c>
      <c r="AZ32" s="850">
        <f>-Tabla1[[#This Row],[COSTO FLETE $ POR BOLSA 5O KG (SIN IVA)]]*20/Tabla1[[#This Row],[TIPO DE CAMBIO]]</f>
        <v>-89.999999999999986</v>
      </c>
      <c r="BA32" s="850">
        <f>+Tabla1[[#This Row],[GASTOS FINANCIEROS $ BOLSA 50 KG (IVA INC)]]*20/Tabla1[[#This Row],[TIPO DE CAMBIO]]</f>
        <v>0</v>
      </c>
      <c r="BB32" s="850">
        <f>+Tabla1[[#This Row],[PRECIO POR TN USD EN CLIENTE A PLAZO (SIN IVA)]]+Tabla1[[#This Row],[COSTO USD FLETE /TN (SIN IVA)]]+Tabla1[[#This Row],[COSTO FINANCIERO USD POR BOLSA 50KG (IVA INC)]]</f>
        <v>349.5</v>
      </c>
      <c r="BC32" s="848">
        <v>1</v>
      </c>
      <c r="BD32" s="944"/>
    </row>
    <row r="33" spans="1:56" ht="15.75" customHeight="1">
      <c r="A33" s="912">
        <v>46143</v>
      </c>
      <c r="B33" s="828">
        <v>1</v>
      </c>
      <c r="C33" s="792" t="s">
        <v>407</v>
      </c>
      <c r="D33" s="829">
        <f>+Tabla1[[#This Row],[FECHA Entrega]]</f>
        <v>46182</v>
      </c>
      <c r="E33" s="830" t="s">
        <v>480</v>
      </c>
      <c r="F33" s="831" t="s">
        <v>356</v>
      </c>
      <c r="G33" s="832" t="s">
        <v>216</v>
      </c>
      <c r="H33" s="833">
        <v>46182</v>
      </c>
      <c r="I33" s="834">
        <v>28006</v>
      </c>
      <c r="J33" s="835">
        <f>439.5/1000*Tabla1[[#This Row],[TIPO DE CAMBIO]]</f>
        <v>647.26694459999999</v>
      </c>
      <c r="K33" s="836">
        <f t="shared" si="1"/>
        <v>18127358.050467599</v>
      </c>
      <c r="L3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3" s="837">
        <f t="shared" si="0"/>
        <v>18127358.050467599</v>
      </c>
      <c r="N33" s="838">
        <f>+Tabla1[[#This Row],[VENTA TOTAL $ (IVA INC) ]]</f>
        <v>18127358.050467599</v>
      </c>
      <c r="O33" s="838">
        <v>0</v>
      </c>
      <c r="P33" s="838">
        <v>0</v>
      </c>
      <c r="Q33" s="839">
        <f>+Tabla1[[#This Row],[VENTA TOTAL $ (IVA INC) ]]-Tabla1[[#This Row],[PENDIENTE DE ENTREGA]]-Tabla1[[#This Row],[PENDIENTE DE COBRO]]+Tabla1[[#This Row],[VALORES EN CARTERA]]</f>
        <v>0</v>
      </c>
      <c r="R33" s="840">
        <f>+Tabla1[[#This Row],[FECHA FC]]+Tabla1[[#This Row],[PLAZO ENTREGA VALORES]]</f>
        <v>46182</v>
      </c>
      <c r="S33" s="840">
        <f>+Tabla1[[#This Row],[FECHA FC]]+Tabla1[[#This Row],[PLAZO PAGO (DIAS)]]</f>
        <v>46185</v>
      </c>
      <c r="T33" s="834">
        <f t="shared" ca="1" si="5"/>
        <v>4</v>
      </c>
      <c r="U33" s="831">
        <v>0</v>
      </c>
      <c r="V33" s="831"/>
      <c r="W33" s="841">
        <f>+Tabla1[[#This Row],[FECHA VTO VALORES]]+7</f>
        <v>46192</v>
      </c>
      <c r="X33" s="831" t="s">
        <v>480</v>
      </c>
      <c r="Y33" s="840">
        <v>46027</v>
      </c>
      <c r="Z33" s="842">
        <f>Tabla1[[#This Row],[KGS]]/50</f>
        <v>560.12</v>
      </c>
      <c r="AA3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32363.347229999999</v>
      </c>
      <c r="AB33" s="844">
        <v>-6627</v>
      </c>
      <c r="AC33" s="845">
        <f>SUM(Tabla1[[#This Row],[PRECIO $ BOLSA 50 KG (IVA INC) ]]+Tabla1[[#This Row],[COSTO FLETE $ BOLSA 50 KG (IVA INC)]])</f>
        <v>25736.347229999999</v>
      </c>
      <c r="AD33" s="844">
        <f>-Tabla1[[#This Row],[PRECIO $ BOLSA 50 KG (IVA INC) ]]*(Tabla1[[#This Row],[TASA FINANCIACION MENSUAL]]/365)*Tabla1[[#This Row],[PLAZO ENTREGA VALORES]]</f>
        <v>0</v>
      </c>
      <c r="AE33" s="845">
        <f>SUM(Tabla1[[#This Row],[PRECIO $ BOLSA50 KG  FOB TUCUMAN A PLAZO (IVA INC)]]+Tabla1[[#This Row],[GASTOS FINANCIEROS $ BOLSA 50 KG (IVA INC)]])</f>
        <v>25736.347229999999</v>
      </c>
      <c r="AF33" s="828" t="s">
        <v>394</v>
      </c>
      <c r="AG33" s="828" t="s">
        <v>477</v>
      </c>
      <c r="AH33" s="828" t="s">
        <v>388</v>
      </c>
      <c r="AI33" s="828" t="s">
        <v>259</v>
      </c>
      <c r="AJ3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25502.479338842975</v>
      </c>
      <c r="AK33" s="846">
        <f>SUM(Tabla1[[#This Row],[PRECIO $ BOLSA 50KG  FOB CDO TUC (IVA INC)]]-Tabla1[[#This Row],[PRECIO REF $ BOLSA 50 KG CACTU (IVA INC)]])</f>
        <v>233.86789115702413</v>
      </c>
      <c r="AL33" s="847">
        <f>IFERROR(Tabla1[[#This Row],[PRECIO $ BOLSA 50KG  FOB CDO TUC (IVA INC)]]/Tabla1[[#This Row],[PRECIO REF $ BOLSA 50 KG CACTU (IVA INC)]]-1,"")</f>
        <v>9.1703982208828361E-3</v>
      </c>
      <c r="AM33" s="846">
        <f>+Tabla1[[#This Row],[DIF $ PRECIO NETO INDUSTRIA vs Neto TUCUMAN (IVA INC)]]*Tabla1[[#This Row],[Q Bolsas Equivalentes 50kg]]</f>
        <v>130994.08319487236</v>
      </c>
      <c r="AN33" s="846">
        <f>Tabla1[[#This Row],[PRECIO REF $ BOLSA 50 KG CACTU (IVA INC)]]*Tabla1[[#This Row],[Q Bolsas Equivalentes 50kg]]</f>
        <v>14284448.727272727</v>
      </c>
      <c r="AO33" s="846">
        <f>+Tabla1[[#This Row],[PRECIO $ BOLSA 50KG  FOB CDO TUC (IVA INC)]]*Tabla1[[#This Row],[Q Bolsas Equivalentes 50kg]]</f>
        <v>14415442.810467599</v>
      </c>
      <c r="AP33" s="847">
        <v>2.9000000000000001E-2</v>
      </c>
      <c r="AQ33" s="846">
        <f>90/20*Tabla1[[#This Row],[TIPO DE CAMBIO]]</f>
        <v>6627.3065999999999</v>
      </c>
      <c r="AR33" s="848">
        <v>3</v>
      </c>
      <c r="AS33" s="849"/>
      <c r="AT33" s="924">
        <f>+Tabla1[[#This Row],[VENTA TOTAL $ (IVA INC) ]]-(SUM(Tabla1[[#This Row],[PENDIENTE DE ENTREGA]:[VALORES COBRADOS]]))</f>
        <v>0</v>
      </c>
      <c r="AU33" s="850">
        <f>VLOOKUP(Tabla1[[#This Row],[FECHA OC]],'TIPO DE CAMBIO'!A:B,2,TRUE)</f>
        <v>1472.7348</v>
      </c>
      <c r="AV33" s="850">
        <f>+Tabla1[[#This Row],[SUBTOTAL]]/Tabla1[[#This Row],[TIPO DE CAMBIO]]</f>
        <v>12308.637000000001</v>
      </c>
      <c r="AW33" s="851"/>
      <c r="AX33" s="850">
        <f>IFERROR(Tabla1[[#This Row],[VENTA TOTAL USD A PLAZO EN CLIENTE  (SIN IVA)]]*(1+Tabla1[[#This Row],[% IVA ]]),"")</f>
        <v>12308.637000000001</v>
      </c>
      <c r="AY33" s="850">
        <f>+Tabla1[[#This Row],[VENTA TOTAL USD A PLAZO EN CLIENTE  (SIN IVA)]]/Tabla1[[#This Row],[KGS]]*1000</f>
        <v>439.5</v>
      </c>
      <c r="AZ33" s="850">
        <f>-Tabla1[[#This Row],[COSTO FLETE $ POR BOLSA 5O KG (SIN IVA)]]*20/Tabla1[[#This Row],[TIPO DE CAMBIO]]</f>
        <v>-89.999999999999986</v>
      </c>
      <c r="BA33" s="850">
        <f>+Tabla1[[#This Row],[GASTOS FINANCIEROS $ BOLSA 50 KG (IVA INC)]]*20/Tabla1[[#This Row],[TIPO DE CAMBIO]]</f>
        <v>0</v>
      </c>
      <c r="BB33" s="850">
        <f>+Tabla1[[#This Row],[PRECIO POR TN USD EN CLIENTE A PLAZO (SIN IVA)]]+Tabla1[[#This Row],[COSTO USD FLETE /TN (SIN IVA)]]+Tabla1[[#This Row],[COSTO FINANCIERO USD POR BOLSA 50KG (IVA INC)]]</f>
        <v>349.5</v>
      </c>
      <c r="BC33" s="848">
        <v>1</v>
      </c>
      <c r="BD33" s="944"/>
    </row>
    <row r="34" spans="1:56" ht="15.75" customHeight="1">
      <c r="A34" s="912">
        <v>46143</v>
      </c>
      <c r="B34" s="828">
        <v>1</v>
      </c>
      <c r="C34" s="936" t="s">
        <v>425</v>
      </c>
      <c r="D34" s="829">
        <f>+Tabla1[[#This Row],[FECHA Entrega]]</f>
        <v>46172.420138888891</v>
      </c>
      <c r="E34" s="830"/>
      <c r="F34" s="831" t="s">
        <v>448</v>
      </c>
      <c r="G34" s="832" t="s">
        <v>357</v>
      </c>
      <c r="H34" s="833">
        <v>46172.420138888891</v>
      </c>
      <c r="I34" s="834">
        <f>600*50</f>
        <v>30000</v>
      </c>
      <c r="J34" s="835">
        <v>675</v>
      </c>
      <c r="K34" s="836">
        <f t="shared" ref="K34" si="6">+J34*I34</f>
        <v>20250000</v>
      </c>
      <c r="L3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4252500</v>
      </c>
      <c r="M34" s="837">
        <f t="shared" si="0"/>
        <v>24502500</v>
      </c>
      <c r="N34" s="838">
        <v>0</v>
      </c>
      <c r="O34" s="838">
        <v>0</v>
      </c>
      <c r="P34" s="838">
        <v>0</v>
      </c>
      <c r="Q34" s="839">
        <f>+Tabla1[[#This Row],[VENTA TOTAL $ (IVA INC) ]]</f>
        <v>24502500</v>
      </c>
      <c r="R34" s="840">
        <f>+Tabla1[[#This Row],[FECHA FC]]+Tabla1[[#This Row],[PLAZO ENTREGA VALORES]]</f>
        <v>46163.420138888891</v>
      </c>
      <c r="S34" s="840">
        <f>+Tabla1[[#This Row],[FECHA FC]]+Tabla1[[#This Row],[PLAZO PAGO (DIAS)]]</f>
        <v>46202.420138888891</v>
      </c>
      <c r="T34" s="834">
        <f t="shared" ref="T34" ca="1" si="7">+S34-$U$2</f>
        <v>21.420138888890506</v>
      </c>
      <c r="U34" s="831">
        <f>22-31</f>
        <v>-9</v>
      </c>
      <c r="V34" s="831"/>
      <c r="W34" s="841">
        <f>+Tabla1[[#This Row],[FECHA VTO VALORES]]+7</f>
        <v>46209.420138888891</v>
      </c>
      <c r="X34" s="831" t="s">
        <v>520</v>
      </c>
      <c r="Y34" s="840">
        <v>46149</v>
      </c>
      <c r="Z34" s="842">
        <f>Tabla1[[#This Row],[KGS]]/50</f>
        <v>600</v>
      </c>
      <c r="AA3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40837.5</v>
      </c>
      <c r="AB34" s="844">
        <f>-Tabla1[[#This Row],[COSTO FLETE $ POR BOLSA 5O KG (SIN IVA)]]*1.21-Tabla1[[#This Row],[PRECIO $/ KG A PLAZO EN CLIENTE ( SIN IVA)]]*0.003*1.21*50</f>
        <v>-2784.5124999999998</v>
      </c>
      <c r="AC34" s="845">
        <f>SUM(Tabla1[[#This Row],[PRECIO $ BOLSA 50 KG (IVA INC) ]]+Tabla1[[#This Row],[COSTO FLETE $ BOLSA 50 KG (IVA INC)]])</f>
        <v>38052.987500000003</v>
      </c>
      <c r="AD34" s="844">
        <f>-Tabla1[[#This Row],[PRECIO $ BOLSA 50 KG (IVA INC) ]]*(Tabla1[[#This Row],[TASA FINANCIACION MENSUAL]]/365)*Tabla1[[#This Row],[PLAZO ENTREGA VALORES]]</f>
        <v>29.201609589041094</v>
      </c>
      <c r="AE34" s="845">
        <f>SUM(Tabla1[[#This Row],[PRECIO $ BOLSA50 KG  FOB TUCUMAN A PLAZO (IVA INC)]]+Tabla1[[#This Row],[GASTOS FINANCIEROS $ BOLSA 50 KG (IVA INC)]])</f>
        <v>38082.189109589046</v>
      </c>
      <c r="AF34" s="828" t="s">
        <v>359</v>
      </c>
      <c r="AG34" s="828" t="s">
        <v>361</v>
      </c>
      <c r="AH34" s="828" t="s">
        <v>361</v>
      </c>
      <c r="AI34" s="828" t="s">
        <v>258</v>
      </c>
      <c r="AJ3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36780</v>
      </c>
      <c r="AK34" s="846">
        <f>SUM(Tabla1[[#This Row],[PRECIO $ BOLSA 50KG  FOB CDO TUC (IVA INC)]]-Tabla1[[#This Row],[PRECIO REF $ BOLSA 50 KG CACTU (IVA INC)]])</f>
        <v>1302.189109589046</v>
      </c>
      <c r="AL34" s="847">
        <f>IFERROR(Tabla1[[#This Row],[PRECIO $ BOLSA 50KG  FOB CDO TUC (IVA INC)]]/Tabla1[[#This Row],[PRECIO REF $ BOLSA 50 KG CACTU (IVA INC)]]-1,"")</f>
        <v>3.5404815377624965E-2</v>
      </c>
      <c r="AM34" s="846">
        <f>+Tabla1[[#This Row],[DIF $ PRECIO NETO INDUSTRIA vs Neto TUCUMAN (IVA INC)]]*Tabla1[[#This Row],[Q Bolsas Equivalentes 50kg]]</f>
        <v>781313.46575342759</v>
      </c>
      <c r="AN34" s="846">
        <f>Tabla1[[#This Row],[PRECIO REF $ BOLSA 50 KG CACTU (IVA INC)]]*Tabla1[[#This Row],[Q Bolsas Equivalentes 50kg]]</f>
        <v>22068000</v>
      </c>
      <c r="AO34" s="846">
        <f>+Tabla1[[#This Row],[PRECIO $ BOLSA 50KG  FOB CDO TUC (IVA INC)]]*Tabla1[[#This Row],[Q Bolsas Equivalentes 50kg]]</f>
        <v>22849313.465753429</v>
      </c>
      <c r="AP34" s="847">
        <v>2.9000000000000001E-2</v>
      </c>
      <c r="AQ34" s="846">
        <f>44000/20</f>
        <v>2200</v>
      </c>
      <c r="AR34" s="848">
        <v>30</v>
      </c>
      <c r="AS34" s="849" t="s">
        <v>612</v>
      </c>
      <c r="AT34" s="924">
        <f>+Tabla1[[#This Row],[VENTA TOTAL $ (IVA INC) ]]-(SUM(Tabla1[[#This Row],[PENDIENTE DE ENTREGA]:[VALORES COBRADOS]]))</f>
        <v>0</v>
      </c>
      <c r="AU34" s="850">
        <f>VLOOKUP(Tabla1[[#This Row],[FECHA OC]],'TIPO DE CAMBIO'!A:B,2,TRUE)</f>
        <v>1390.6369999999999</v>
      </c>
      <c r="AV34" s="850">
        <f>+Tabla1[[#This Row],[SUBTOTAL]]/Tabla1[[#This Row],[TIPO DE CAMBIO]]</f>
        <v>14561.672097031793</v>
      </c>
      <c r="AW34" s="851"/>
      <c r="AX34" s="850">
        <f>IFERROR(Tabla1[[#This Row],[VENTA TOTAL USD A PLAZO EN CLIENTE  (SIN IVA)]]*(1+Tabla1[[#This Row],[% IVA ]]),"")</f>
        <v>14561.672097031793</v>
      </c>
      <c r="AY34" s="850">
        <f>+Tabla1[[#This Row],[VENTA TOTAL USD A PLAZO EN CLIENTE  (SIN IVA)]]/Tabla1[[#This Row],[KGS]]*1000</f>
        <v>485.38906990105977</v>
      </c>
      <c r="AZ34" s="850">
        <f>-Tabla1[[#This Row],[COSTO FLETE $ POR BOLSA 5O KG (SIN IVA)]]*20/Tabla1[[#This Row],[TIPO DE CAMBIO]]</f>
        <v>-31.640176408365377</v>
      </c>
      <c r="BA34" s="850">
        <f>+Tabla1[[#This Row],[GASTOS FINANCIEROS $ BOLSA 50 KG (IVA INC)]]*20/Tabla1[[#This Row],[TIPO DE CAMBIO]]</f>
        <v>0.41997458127521553</v>
      </c>
      <c r="BB34" s="850">
        <f>+Tabla1[[#This Row],[PRECIO POR TN USD EN CLIENTE A PLAZO (SIN IVA)]]+Tabla1[[#This Row],[COSTO USD FLETE /TN (SIN IVA)]]+Tabla1[[#This Row],[COSTO FINANCIERO USD POR BOLSA 50KG (IVA INC)]]</f>
        <v>454.16886807396958</v>
      </c>
      <c r="BC34" s="848">
        <v>3</v>
      </c>
      <c r="BD34" s="944"/>
    </row>
    <row r="35" spans="1:56" ht="15.75" customHeight="1">
      <c r="A35" s="912">
        <v>46143</v>
      </c>
      <c r="B35" s="828">
        <v>1</v>
      </c>
      <c r="C35" s="936" t="s">
        <v>422</v>
      </c>
      <c r="D35" s="829">
        <f>+Tabla1[[#This Row],[FECHA Entrega]]</f>
        <v>46180</v>
      </c>
      <c r="E35" s="830"/>
      <c r="F35" s="831" t="s">
        <v>448</v>
      </c>
      <c r="G35" s="832" t="s">
        <v>216</v>
      </c>
      <c r="H35" s="833">
        <v>46180</v>
      </c>
      <c r="I35" s="834">
        <v>28000</v>
      </c>
      <c r="J35" s="835">
        <v>710</v>
      </c>
      <c r="K35" s="836">
        <f t="shared" ref="K35" si="8">+J35*I35</f>
        <v>19880000</v>
      </c>
      <c r="L3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4174800</v>
      </c>
      <c r="M35" s="837">
        <f t="shared" ref="M35" si="9">SUM(K35:L35)</f>
        <v>24054800</v>
      </c>
      <c r="N35" s="838">
        <f>+Tabla1[[#This Row],[VENTA TOTAL $ (IVA INC) ]]</f>
        <v>24054800</v>
      </c>
      <c r="O35" s="838">
        <v>0</v>
      </c>
      <c r="P35" s="838">
        <v>0</v>
      </c>
      <c r="Q35" s="839">
        <v>0</v>
      </c>
      <c r="R35" s="840">
        <f>+Tabla1[[#This Row],[FECHA FC]]+Tabla1[[#This Row],[PLAZO ENTREGA VALORES]]</f>
        <v>46187</v>
      </c>
      <c r="S35" s="840">
        <f>+Tabla1[[#This Row],[FECHA FC]]+Tabla1[[#This Row],[PLAZO PAGO (DIAS)]]</f>
        <v>46195</v>
      </c>
      <c r="T35" s="834">
        <f t="shared" ref="T35" ca="1" si="10">+S35-$U$2</f>
        <v>14</v>
      </c>
      <c r="U35" s="831">
        <v>7</v>
      </c>
      <c r="V35" s="831"/>
      <c r="W35" s="841">
        <f>+Tabla1[[#This Row],[FECHA VTO VALORES]]+7</f>
        <v>46202</v>
      </c>
      <c r="X35" s="831" t="s">
        <v>548</v>
      </c>
      <c r="Y35" s="840">
        <v>46155</v>
      </c>
      <c r="Z35" s="842">
        <f>Tabla1[[#This Row],[KGS]]/50</f>
        <v>560</v>
      </c>
      <c r="AA3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42955</v>
      </c>
      <c r="AB35" s="844">
        <f>-Tabla1[[#This Row],[COSTO FLETE $ POR BOLSA 5O KG (SIN IVA)]]*1.21-Tabla1[[#This Row],[PRECIO $/ KG A PLAZO EN CLIENTE ( SIN IVA)]]*0.003*1.21*50</f>
        <v>-5271.3649999999998</v>
      </c>
      <c r="AC35" s="845">
        <f>SUM(Tabla1[[#This Row],[PRECIO $ BOLSA 50 KG (IVA INC) ]]+Tabla1[[#This Row],[COSTO FLETE $ BOLSA 50 KG (IVA INC)]])</f>
        <v>37683.635000000002</v>
      </c>
      <c r="AD35" s="844">
        <f>-Tabla1[[#This Row],[PRECIO $ BOLSA 50 KG (IVA INC) ]]*(Tabla1[[#This Row],[TASA FINANCIACION MENSUAL]]/365)*Tabla1[[#This Row],[PLAZO ENTREGA VALORES]]</f>
        <v>-23.89004109589041</v>
      </c>
      <c r="AE35" s="845">
        <f>SUM(Tabla1[[#This Row],[PRECIO $ BOLSA50 KG  FOB TUCUMAN A PLAZO (IVA INC)]]+Tabla1[[#This Row],[GASTOS FINANCIEROS $ BOLSA 50 KG (IVA INC)]])</f>
        <v>37659.744958904113</v>
      </c>
      <c r="AF35" s="828" t="s">
        <v>359</v>
      </c>
      <c r="AG35" s="828" t="s">
        <v>370</v>
      </c>
      <c r="AH35" s="828" t="s">
        <v>386</v>
      </c>
      <c r="AI35" s="828" t="s">
        <v>258</v>
      </c>
      <c r="AJ3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37095</v>
      </c>
      <c r="AK35" s="846">
        <f>SUM(Tabla1[[#This Row],[PRECIO $ BOLSA 50KG  FOB CDO TUC (IVA INC)]]-Tabla1[[#This Row],[PRECIO REF $ BOLSA 50 KG CACTU (IVA INC)]])</f>
        <v>564.74495890411345</v>
      </c>
      <c r="AL35" s="847">
        <f>IFERROR(Tabla1[[#This Row],[PRECIO $ BOLSA 50KG  FOB CDO TUC (IVA INC)]]/Tabla1[[#This Row],[PRECIO REF $ BOLSA 50 KG CACTU (IVA INC)]]-1,"")</f>
        <v>1.522428787987895E-2</v>
      </c>
      <c r="AM35" s="846">
        <f>+Tabla1[[#This Row],[DIF $ PRECIO NETO INDUSTRIA vs Neto TUCUMAN (IVA INC)]]*Tabla1[[#This Row],[Q Bolsas Equivalentes 50kg]]</f>
        <v>316257.17698630353</v>
      </c>
      <c r="AN35" s="846">
        <f>Tabla1[[#This Row],[PRECIO REF $ BOLSA 50 KG CACTU (IVA INC)]]*Tabla1[[#This Row],[Q Bolsas Equivalentes 50kg]]</f>
        <v>20773200</v>
      </c>
      <c r="AO35" s="846">
        <f>+Tabla1[[#This Row],[PRECIO $ BOLSA 50KG  FOB CDO TUC (IVA INC)]]*Tabla1[[#This Row],[Q Bolsas Equivalentes 50kg]]</f>
        <v>21089457.176986303</v>
      </c>
      <c r="AP35" s="847">
        <v>2.9000000000000001E-2</v>
      </c>
      <c r="AQ35" s="846">
        <f>85000/20</f>
        <v>4250</v>
      </c>
      <c r="AR35" s="848">
        <v>15</v>
      </c>
      <c r="AS35" s="849"/>
      <c r="AT35" s="924">
        <f>+Tabla1[[#This Row],[VENTA TOTAL $ (IVA INC) ]]-(SUM(Tabla1[[#This Row],[PENDIENTE DE ENTREGA]:[VALORES COBRADOS]]))</f>
        <v>0</v>
      </c>
      <c r="AU35" s="850">
        <f>VLOOKUP(Tabla1[[#This Row],[FECHA OC]],'TIPO DE CAMBIO'!A:B,2,TRUE)</f>
        <v>1389.2073</v>
      </c>
      <c r="AV35" s="850">
        <f>+Tabla1[[#This Row],[SUBTOTAL]]/Tabla1[[#This Row],[TIPO DE CAMBIO]]</f>
        <v>14310.319273444647</v>
      </c>
      <c r="AW35" s="851"/>
      <c r="AX35" s="850">
        <f>IFERROR(Tabla1[[#This Row],[VENTA TOTAL USD A PLAZO EN CLIENTE  (SIN IVA)]]*(1+Tabla1[[#This Row],[% IVA ]]),"")</f>
        <v>14310.319273444647</v>
      </c>
      <c r="AY35" s="850">
        <f>+Tabla1[[#This Row],[VENTA TOTAL USD A PLAZO EN CLIENTE  (SIN IVA)]]/Tabla1[[#This Row],[KGS]]*1000</f>
        <v>511.08283119445173</v>
      </c>
      <c r="AZ35" s="850">
        <f>-Tabla1[[#This Row],[COSTO FLETE $ POR BOLSA 5O KG (SIN IVA)]]*20/Tabla1[[#This Row],[TIPO DE CAMBIO]]</f>
        <v>-61.185972748631535</v>
      </c>
      <c r="BA35" s="850">
        <f>+Tabla1[[#This Row],[GASTOS FINANCIEROS $ BOLSA 50 KG (IVA INC)]]*20/Tabla1[[#This Row],[TIPO DE CAMBIO]]</f>
        <v>-0.34393774198984428</v>
      </c>
      <c r="BB35" s="850">
        <f>+Tabla1[[#This Row],[PRECIO POR TN USD EN CLIENTE A PLAZO (SIN IVA)]]+Tabla1[[#This Row],[COSTO USD FLETE /TN (SIN IVA)]]+Tabla1[[#This Row],[COSTO FINANCIERO USD POR BOLSA 50KG (IVA INC)]]</f>
        <v>449.55292070383035</v>
      </c>
      <c r="BC35" s="848">
        <v>3</v>
      </c>
      <c r="BD35" s="944"/>
    </row>
    <row r="36" spans="1:56" ht="15.75" customHeight="1">
      <c r="A36" s="912">
        <v>46143</v>
      </c>
      <c r="B36" s="828">
        <v>1</v>
      </c>
      <c r="C36" s="792" t="s">
        <v>449</v>
      </c>
      <c r="D36" s="829">
        <f>+Tabla1[[#This Row],[FECHA Entrega]]</f>
        <v>46177</v>
      </c>
      <c r="E36" s="830"/>
      <c r="F36" s="831" t="s">
        <v>448</v>
      </c>
      <c r="G36" s="832" t="s">
        <v>357</v>
      </c>
      <c r="H36" s="833">
        <v>46177</v>
      </c>
      <c r="I36" s="834">
        <v>27500</v>
      </c>
      <c r="J36" s="835">
        <v>705</v>
      </c>
      <c r="K36" s="836">
        <f t="shared" si="1"/>
        <v>19387500</v>
      </c>
      <c r="L3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4071375</v>
      </c>
      <c r="M36" s="837">
        <f t="shared" si="0"/>
        <v>23458875</v>
      </c>
      <c r="N36" s="838">
        <v>0</v>
      </c>
      <c r="O36" s="939">
        <f>+Tabla1[[#This Row],[VENTA TOTAL $ (IVA INC) ]]</f>
        <v>23458875</v>
      </c>
      <c r="P36" s="838">
        <v>0</v>
      </c>
      <c r="Q36" s="839">
        <f ca="1">+Tabla1[[#This Row],[VENTA TOTAL $ (IVA INC) ]]-Tabla1[[#This Row],[PENDIENTE DE ENTREGA]]-Tabla1[[#This Row],[PENDIENTE DE COBRO]]+Tabla1[[#This Row],[VALORES COBRADOS]]</f>
        <v>0</v>
      </c>
      <c r="R36" s="840">
        <f>+Tabla1[[#This Row],[FECHA FC]]+Tabla1[[#This Row],[PLAZO ENTREGA VALORES]]</f>
        <v>46207</v>
      </c>
      <c r="S36" s="840">
        <f>+Tabla1[[#This Row],[FECHA FC]]+Tabla1[[#This Row],[PLAZO PAGO (DIAS)]]</f>
        <v>46207</v>
      </c>
      <c r="T36" s="834">
        <f t="shared" ca="1" si="5"/>
        <v>26</v>
      </c>
      <c r="U36" s="831">
        <v>30</v>
      </c>
      <c r="V36" s="831"/>
      <c r="W36" s="841">
        <f>+Tabla1[[#This Row],[FECHA VTO VALORES]]+7</f>
        <v>46214</v>
      </c>
      <c r="X36" s="831" t="s">
        <v>484</v>
      </c>
      <c r="Y36" s="840">
        <v>46136</v>
      </c>
      <c r="Z36" s="842">
        <f>Tabla1[[#This Row],[KGS]]/50</f>
        <v>550</v>
      </c>
      <c r="AA3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42652.5</v>
      </c>
      <c r="AB36" s="844">
        <f>-Tabla1[[#This Row],[COSTO FLETE $ POR BOLSA 5O KG (SIN IVA)]]*1.21-Tabla1[[#This Row],[PRECIO $/ KG A PLAZO EN CLIENTE ( SIN IVA)]]*0.003*1.21*50</f>
        <v>-3576.4575</v>
      </c>
      <c r="AC36" s="845">
        <f>SUM(Tabla1[[#This Row],[PRECIO $ BOLSA 50 KG (IVA INC) ]]+Tabla1[[#This Row],[COSTO FLETE $ BOLSA 50 KG (IVA INC)]])</f>
        <v>39076.042500000003</v>
      </c>
      <c r="AD36" s="844">
        <f>-Tabla1[[#This Row],[PRECIO $ BOLSA 50 KG (IVA INC) ]]*(Tabla1[[#This Row],[TASA FINANCIACION MENSUAL]]/365)*Tabla1[[#This Row],[PLAZO ENTREGA VALORES]]</f>
        <v>-101.66486301369864</v>
      </c>
      <c r="AE36" s="845">
        <f>SUM(Tabla1[[#This Row],[PRECIO $ BOLSA50 KG  FOB TUCUMAN A PLAZO (IVA INC)]]+Tabla1[[#This Row],[GASTOS FINANCIEROS $ BOLSA 50 KG (IVA INC)]])</f>
        <v>38974.377636986304</v>
      </c>
      <c r="AF36" s="828" t="s">
        <v>393</v>
      </c>
      <c r="AG36" s="828" t="s">
        <v>364</v>
      </c>
      <c r="AH36" s="828" t="s">
        <v>386</v>
      </c>
      <c r="AI36" s="828" t="s">
        <v>258</v>
      </c>
      <c r="AJ3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35460</v>
      </c>
      <c r="AK36" s="846">
        <f>SUM(Tabla1[[#This Row],[PRECIO $ BOLSA 50KG  FOB CDO TUC (IVA INC)]]-Tabla1[[#This Row],[PRECIO REF $ BOLSA 50 KG CACTU (IVA INC)]])</f>
        <v>3514.3776369863044</v>
      </c>
      <c r="AL36" s="847">
        <f>IFERROR(Tabla1[[#This Row],[PRECIO $ BOLSA 50KG  FOB CDO TUC (IVA INC)]]/Tabla1[[#This Row],[PRECIO REF $ BOLSA 50 KG CACTU (IVA INC)]]-1,"")</f>
        <v>9.9108224393296807E-2</v>
      </c>
      <c r="AM36" s="846">
        <f>+Tabla1[[#This Row],[DIF $ PRECIO NETO INDUSTRIA vs Neto TUCUMAN (IVA INC)]]*Tabla1[[#This Row],[Q Bolsas Equivalentes 50kg]]</f>
        <v>1932907.7003424675</v>
      </c>
      <c r="AN36" s="846">
        <f>Tabla1[[#This Row],[PRECIO REF $ BOLSA 50 KG CACTU (IVA INC)]]*Tabla1[[#This Row],[Q Bolsas Equivalentes 50kg]]</f>
        <v>19503000</v>
      </c>
      <c r="AO36" s="846">
        <f>+Tabla1[[#This Row],[PRECIO $ BOLSA 50KG  FOB CDO TUC (IVA INC)]]*Tabla1[[#This Row],[Q Bolsas Equivalentes 50kg]]</f>
        <v>21435907.700342469</v>
      </c>
      <c r="AP36" s="847">
        <v>2.9000000000000001E-2</v>
      </c>
      <c r="AQ36" s="846">
        <f>57000/20</f>
        <v>2850</v>
      </c>
      <c r="AR36" s="848">
        <v>30</v>
      </c>
      <c r="AS36" s="849" t="s">
        <v>555</v>
      </c>
      <c r="AT36" s="923">
        <f ca="1">+Tabla1[[#This Row],[VENTA TOTAL $ (IVA INC) ]]-(SUM(Tabla1[[#This Row],[PENDIENTE DE ENTREGA]:[VALORES COBRADOS]]))</f>
        <v>0</v>
      </c>
      <c r="AU36" s="850">
        <f>VLOOKUP(Tabla1[[#This Row],[FECHA OC]],'TIPO DE CAMBIO'!A:B,2,TRUE)</f>
        <v>1397.2063000000001</v>
      </c>
      <c r="AV36" s="850">
        <f>+Tabla1[[#This Row],[SUBTOTAL]]/Tabla1[[#This Row],[TIPO DE CAMBIO]]</f>
        <v>13875.903651450755</v>
      </c>
      <c r="AW36" s="851"/>
      <c r="AX36" s="850">
        <f>IFERROR(Tabla1[[#This Row],[VENTA TOTAL USD A PLAZO EN CLIENTE  (SIN IVA)]]*(1+Tabla1[[#This Row],[% IVA ]]),"")</f>
        <v>13875.903651450755</v>
      </c>
      <c r="AY36" s="850">
        <f>+Tabla1[[#This Row],[VENTA TOTAL USD A PLAZO EN CLIENTE  (SIN IVA)]]/Tabla1[[#This Row],[KGS]]*1000</f>
        <v>504.5783145982092</v>
      </c>
      <c r="AZ36" s="850">
        <f>-Tabla1[[#This Row],[COSTO FLETE $ POR BOLSA 5O KG (SIN IVA)]]*20/Tabla1[[#This Row],[TIPO DE CAMBIO]]</f>
        <v>-40.79569352070628</v>
      </c>
      <c r="BA36" s="850">
        <f>+Tabla1[[#This Row],[GASTOS FINANCIEROS $ BOLSA 50 KG (IVA INC)]]*20/Tabla1[[#This Row],[TIPO DE CAMBIO]]</f>
        <v>-1.4552591555548904</v>
      </c>
      <c r="BB36" s="850">
        <f>+Tabla1[[#This Row],[PRECIO POR TN USD EN CLIENTE A PLAZO (SIN IVA)]]+Tabla1[[#This Row],[COSTO USD FLETE /TN (SIN IVA)]]+Tabla1[[#This Row],[COSTO FINANCIERO USD POR BOLSA 50KG (IVA INC)]]</f>
        <v>462.32736192194807</v>
      </c>
      <c r="BC36" s="848">
        <v>3</v>
      </c>
      <c r="BD36" s="944"/>
    </row>
    <row r="37" spans="1:56" ht="15.75" customHeight="1">
      <c r="A37" s="912">
        <v>46143</v>
      </c>
      <c r="B37" s="828">
        <v>1</v>
      </c>
      <c r="C37" s="792" t="s">
        <v>449</v>
      </c>
      <c r="D37" s="829">
        <f>+Tabla1[[#This Row],[FECHA Entrega]]</f>
        <v>46177</v>
      </c>
      <c r="E37" s="830"/>
      <c r="F37" s="831" t="s">
        <v>448</v>
      </c>
      <c r="G37" s="832" t="s">
        <v>357</v>
      </c>
      <c r="H37" s="833">
        <v>46177</v>
      </c>
      <c r="I37" s="834">
        <f>3*1250</f>
        <v>3750</v>
      </c>
      <c r="J37" s="835">
        <v>705</v>
      </c>
      <c r="K37" s="836">
        <f t="shared" ref="K37" si="11">+J37*I37</f>
        <v>2643750</v>
      </c>
      <c r="L3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555187.5</v>
      </c>
      <c r="M37" s="837">
        <f t="shared" ref="M37" si="12">SUM(K37:L37)</f>
        <v>3198937.5</v>
      </c>
      <c r="N37" s="838">
        <v>0</v>
      </c>
      <c r="O37" s="939">
        <f>+Tabla1[[#This Row],[VENTA TOTAL $ (IVA INC) ]]</f>
        <v>3198937.5</v>
      </c>
      <c r="P37" s="838">
        <v>0</v>
      </c>
      <c r="Q37" s="839">
        <f ca="1">+Tabla1[[#This Row],[VENTA TOTAL $ (IVA INC) ]]-Tabla1[[#This Row],[PENDIENTE DE ENTREGA]]-Tabla1[[#This Row],[PENDIENTE DE COBRO]]+Tabla1[[#This Row],[VALORES COBRADOS]]</f>
        <v>0</v>
      </c>
      <c r="R37" s="840">
        <f>+Tabla1[[#This Row],[FECHA FC]]+Tabla1[[#This Row],[PLAZO ENTREGA VALORES]]</f>
        <v>46207</v>
      </c>
      <c r="S37" s="840">
        <f>+Tabla1[[#This Row],[FECHA FC]]+Tabla1[[#This Row],[PLAZO PAGO (DIAS)]]</f>
        <v>46207</v>
      </c>
      <c r="T37" s="834">
        <f t="shared" ref="T37" ca="1" si="13">+S37-$U$2</f>
        <v>26</v>
      </c>
      <c r="U37" s="831">
        <v>30</v>
      </c>
      <c r="V37" s="831"/>
      <c r="W37" s="841">
        <f>+Tabla1[[#This Row],[FECHA VTO VALORES]]+7</f>
        <v>46214</v>
      </c>
      <c r="X37" s="831" t="s">
        <v>484</v>
      </c>
      <c r="Y37" s="840">
        <v>46136</v>
      </c>
      <c r="Z37" s="842">
        <f>Tabla1[[#This Row],[KGS]]/50</f>
        <v>75</v>
      </c>
      <c r="AA3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42652.5</v>
      </c>
      <c r="AB37" s="844">
        <f>-Tabla1[[#This Row],[COSTO FLETE $ POR BOLSA 5O KG (SIN IVA)]]*1.21-Tabla1[[#This Row],[PRECIO $/ KG A PLAZO EN CLIENTE ( SIN IVA)]]*0.003*1.21*50</f>
        <v>-3576.4575</v>
      </c>
      <c r="AC37" s="845">
        <f>SUM(Tabla1[[#This Row],[PRECIO $ BOLSA 50 KG (IVA INC) ]]+Tabla1[[#This Row],[COSTO FLETE $ BOLSA 50 KG (IVA INC)]])</f>
        <v>39076.042500000003</v>
      </c>
      <c r="AD37" s="844">
        <f>-Tabla1[[#This Row],[PRECIO $ BOLSA 50 KG (IVA INC) ]]*(Tabla1[[#This Row],[TASA FINANCIACION MENSUAL]]/365)*Tabla1[[#This Row],[PLAZO ENTREGA VALORES]]</f>
        <v>-101.66486301369864</v>
      </c>
      <c r="AE37" s="845">
        <f>SUM(Tabla1[[#This Row],[PRECIO $ BOLSA50 KG  FOB TUCUMAN A PLAZO (IVA INC)]]+Tabla1[[#This Row],[GASTOS FINANCIEROS $ BOLSA 50 KG (IVA INC)]])</f>
        <v>38974.377636986304</v>
      </c>
      <c r="AF37" s="828" t="s">
        <v>393</v>
      </c>
      <c r="AG37" s="828" t="s">
        <v>364</v>
      </c>
      <c r="AH37" s="828" t="s">
        <v>386</v>
      </c>
      <c r="AI37" s="828" t="s">
        <v>258</v>
      </c>
      <c r="AJ3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35460</v>
      </c>
      <c r="AK37" s="846">
        <f>SUM(Tabla1[[#This Row],[PRECIO $ BOLSA 50KG  FOB CDO TUC (IVA INC)]]-Tabla1[[#This Row],[PRECIO REF $ BOLSA 50 KG CACTU (IVA INC)]])</f>
        <v>3514.3776369863044</v>
      </c>
      <c r="AL37" s="847">
        <f>IFERROR(Tabla1[[#This Row],[PRECIO $ BOLSA 50KG  FOB CDO TUC (IVA INC)]]/Tabla1[[#This Row],[PRECIO REF $ BOLSA 50 KG CACTU (IVA INC)]]-1,"")</f>
        <v>9.9108224393296807E-2</v>
      </c>
      <c r="AM37" s="846">
        <f>+Tabla1[[#This Row],[DIF $ PRECIO NETO INDUSTRIA vs Neto TUCUMAN (IVA INC)]]*Tabla1[[#This Row],[Q Bolsas Equivalentes 50kg]]</f>
        <v>263578.32277397282</v>
      </c>
      <c r="AN37" s="846">
        <f>Tabla1[[#This Row],[PRECIO REF $ BOLSA 50 KG CACTU (IVA INC)]]*Tabla1[[#This Row],[Q Bolsas Equivalentes 50kg]]</f>
        <v>2659500</v>
      </c>
      <c r="AO37" s="846">
        <f>+Tabla1[[#This Row],[PRECIO $ BOLSA 50KG  FOB CDO TUC (IVA INC)]]*Tabla1[[#This Row],[Q Bolsas Equivalentes 50kg]]</f>
        <v>2923078.322773973</v>
      </c>
      <c r="AP37" s="847">
        <v>2.9000000000000001E-2</v>
      </c>
      <c r="AQ37" s="846">
        <f>57000/20</f>
        <v>2850</v>
      </c>
      <c r="AR37" s="848">
        <v>30</v>
      </c>
      <c r="AS37" s="849" t="s">
        <v>556</v>
      </c>
      <c r="AT37" s="923">
        <f ca="1">+Tabla1[[#This Row],[VENTA TOTAL $ (IVA INC) ]]-(SUM(Tabla1[[#This Row],[PENDIENTE DE ENTREGA]:[VALORES COBRADOS]]))</f>
        <v>0</v>
      </c>
      <c r="AU37" s="850">
        <f>VLOOKUP(Tabla1[[#This Row],[FECHA OC]],'TIPO DE CAMBIO'!A:B,2,TRUE)</f>
        <v>1397.2063000000001</v>
      </c>
      <c r="AV37" s="850">
        <f>+Tabla1[[#This Row],[SUBTOTAL]]/Tabla1[[#This Row],[TIPO DE CAMBIO]]</f>
        <v>1892.1686797432849</v>
      </c>
      <c r="AW37" s="851"/>
      <c r="AX37" s="850">
        <f>IFERROR(Tabla1[[#This Row],[VENTA TOTAL USD A PLAZO EN CLIENTE  (SIN IVA)]]*(1+Tabla1[[#This Row],[% IVA ]]),"")</f>
        <v>1892.1686797432849</v>
      </c>
      <c r="AY37" s="850">
        <f>+Tabla1[[#This Row],[VENTA TOTAL USD A PLAZO EN CLIENTE  (SIN IVA)]]/Tabla1[[#This Row],[KGS]]*1000</f>
        <v>504.57831459820932</v>
      </c>
      <c r="AZ37" s="850">
        <f>-Tabla1[[#This Row],[COSTO FLETE $ POR BOLSA 5O KG (SIN IVA)]]*20/Tabla1[[#This Row],[TIPO DE CAMBIO]]</f>
        <v>-40.79569352070628</v>
      </c>
      <c r="BA37" s="850">
        <f>+Tabla1[[#This Row],[GASTOS FINANCIEROS $ BOLSA 50 KG (IVA INC)]]*20/Tabla1[[#This Row],[TIPO DE CAMBIO]]</f>
        <v>-1.4552591555548904</v>
      </c>
      <c r="BB37" s="850">
        <f>+Tabla1[[#This Row],[PRECIO POR TN USD EN CLIENTE A PLAZO (SIN IVA)]]+Tabla1[[#This Row],[COSTO USD FLETE /TN (SIN IVA)]]+Tabla1[[#This Row],[COSTO FINANCIERO USD POR BOLSA 50KG (IVA INC)]]</f>
        <v>462.32736192194818</v>
      </c>
      <c r="BC37" s="848">
        <v>3</v>
      </c>
      <c r="BD37" s="944" t="s">
        <v>551</v>
      </c>
    </row>
    <row r="38" spans="1:56" ht="15.75" customHeight="1">
      <c r="A38" s="912">
        <v>46143</v>
      </c>
      <c r="B38" s="828">
        <v>1</v>
      </c>
      <c r="C38" s="792" t="s">
        <v>449</v>
      </c>
      <c r="D38" s="829">
        <f>+Tabla1[[#This Row],[FECHA Entrega]]</f>
        <v>46178</v>
      </c>
      <c r="E38" s="830"/>
      <c r="F38" s="831" t="s">
        <v>448</v>
      </c>
      <c r="G38" s="832" t="s">
        <v>216</v>
      </c>
      <c r="H38" s="833">
        <v>46178</v>
      </c>
      <c r="I38" s="834">
        <v>27500</v>
      </c>
      <c r="J38" s="835">
        <v>705</v>
      </c>
      <c r="K38" s="836">
        <f t="shared" si="1"/>
        <v>19387500</v>
      </c>
      <c r="L3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4071375</v>
      </c>
      <c r="M38" s="837">
        <f t="shared" si="0"/>
        <v>23458875</v>
      </c>
      <c r="N38" s="838">
        <f>+Tabla1[[#This Row],[VENTA TOTAL $ (IVA INC) ]]</f>
        <v>23458875</v>
      </c>
      <c r="O38" s="838">
        <v>0</v>
      </c>
      <c r="P38" s="838">
        <v>0</v>
      </c>
      <c r="Q38" s="839">
        <f ca="1">+Tabla1[[#This Row],[VENTA TOTAL $ (IVA INC) ]]-Tabla1[[#This Row],[PENDIENTE DE ENTREGA]]-Tabla1[[#This Row],[PENDIENTE DE COBRO]]+Tabla1[[#This Row],[VALORES COBRADOS]]</f>
        <v>0</v>
      </c>
      <c r="R38" s="840">
        <f>+Tabla1[[#This Row],[FECHA FC]]+Tabla1[[#This Row],[PLAZO ENTREGA VALORES]]</f>
        <v>46208</v>
      </c>
      <c r="S38" s="840">
        <f>+Tabla1[[#This Row],[FECHA FC]]+Tabla1[[#This Row],[PLAZO PAGO (DIAS)]]</f>
        <v>46208</v>
      </c>
      <c r="T38" s="834">
        <f t="shared" ca="1" si="5"/>
        <v>27</v>
      </c>
      <c r="U38" s="831">
        <v>30</v>
      </c>
      <c r="V38" s="831"/>
      <c r="W38" s="841">
        <f>+Tabla1[[#This Row],[FECHA VTO VALORES]]+7</f>
        <v>46215</v>
      </c>
      <c r="X38" s="831">
        <v>48858</v>
      </c>
      <c r="Y38" s="840">
        <v>46136</v>
      </c>
      <c r="Z38" s="842">
        <f>Tabla1[[#This Row],[KGS]]/50</f>
        <v>550</v>
      </c>
      <c r="AA3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42652.5</v>
      </c>
      <c r="AB38" s="844">
        <f>-Tabla1[[#This Row],[COSTO FLETE $ POR BOLSA 5O KG (SIN IVA)]]*1.21-Tabla1[[#This Row],[PRECIO $/ KG A PLAZO EN CLIENTE ( SIN IVA)]]*0.003*1.21*50</f>
        <v>-3576.4575</v>
      </c>
      <c r="AC38" s="845">
        <f>SUM(Tabla1[[#This Row],[PRECIO $ BOLSA 50 KG (IVA INC) ]]+Tabla1[[#This Row],[COSTO FLETE $ BOLSA 50 KG (IVA INC)]])</f>
        <v>39076.042500000003</v>
      </c>
      <c r="AD38" s="844">
        <f>-Tabla1[[#This Row],[PRECIO $ BOLSA 50 KG (IVA INC) ]]*(Tabla1[[#This Row],[TASA FINANCIACION MENSUAL]]/365)*Tabla1[[#This Row],[PLAZO ENTREGA VALORES]]</f>
        <v>-101.66486301369864</v>
      </c>
      <c r="AE38" s="845">
        <f>SUM(Tabla1[[#This Row],[PRECIO $ BOLSA50 KG  FOB TUCUMAN A PLAZO (IVA INC)]]+Tabla1[[#This Row],[GASTOS FINANCIEROS $ BOLSA 50 KG (IVA INC)]])</f>
        <v>38974.377636986304</v>
      </c>
      <c r="AF38" s="828" t="s">
        <v>393</v>
      </c>
      <c r="AG38" s="828" t="s">
        <v>364</v>
      </c>
      <c r="AH38" s="828" t="s">
        <v>386</v>
      </c>
      <c r="AI38" s="828" t="s">
        <v>258</v>
      </c>
      <c r="AJ3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35460</v>
      </c>
      <c r="AK38" s="846">
        <f>SUM(Tabla1[[#This Row],[PRECIO $ BOLSA 50KG  FOB CDO TUC (IVA INC)]]-Tabla1[[#This Row],[PRECIO REF $ BOLSA 50 KG CACTU (IVA INC)]])</f>
        <v>3514.3776369863044</v>
      </c>
      <c r="AL38" s="847">
        <f>IFERROR(Tabla1[[#This Row],[PRECIO $ BOLSA 50KG  FOB CDO TUC (IVA INC)]]/Tabla1[[#This Row],[PRECIO REF $ BOLSA 50 KG CACTU (IVA INC)]]-1,"")</f>
        <v>9.9108224393296807E-2</v>
      </c>
      <c r="AM38" s="846">
        <f>+Tabla1[[#This Row],[DIF $ PRECIO NETO INDUSTRIA vs Neto TUCUMAN (IVA INC)]]*Tabla1[[#This Row],[Q Bolsas Equivalentes 50kg]]</f>
        <v>1932907.7003424675</v>
      </c>
      <c r="AN38" s="846">
        <f>Tabla1[[#This Row],[PRECIO REF $ BOLSA 50 KG CACTU (IVA INC)]]*Tabla1[[#This Row],[Q Bolsas Equivalentes 50kg]]</f>
        <v>19503000</v>
      </c>
      <c r="AO38" s="846">
        <f>+Tabla1[[#This Row],[PRECIO $ BOLSA 50KG  FOB CDO TUC (IVA INC)]]*Tabla1[[#This Row],[Q Bolsas Equivalentes 50kg]]</f>
        <v>21435907.700342469</v>
      </c>
      <c r="AP38" s="847">
        <v>2.9000000000000001E-2</v>
      </c>
      <c r="AQ38" s="846">
        <f t="shared" ref="AQ38:AQ44" si="14">57000/20</f>
        <v>2850</v>
      </c>
      <c r="AR38" s="848">
        <v>30</v>
      </c>
      <c r="AS38" s="849"/>
      <c r="AT38" s="923">
        <f ca="1">+Tabla1[[#This Row],[VENTA TOTAL $ (IVA INC) ]]-(SUM(Tabla1[[#This Row],[PENDIENTE DE ENTREGA]:[VALORES COBRADOS]]))</f>
        <v>0</v>
      </c>
      <c r="AU38" s="850">
        <f>VLOOKUP(Tabla1[[#This Row],[FECHA OC]],'TIPO DE CAMBIO'!A:B,2,TRUE)</f>
        <v>1397.2063000000001</v>
      </c>
      <c r="AV38" s="850">
        <f>+Tabla1[[#This Row],[SUBTOTAL]]/Tabla1[[#This Row],[TIPO DE CAMBIO]]</f>
        <v>13875.903651450755</v>
      </c>
      <c r="AW38" s="851"/>
      <c r="AX38" s="850">
        <f>IFERROR(Tabla1[[#This Row],[VENTA TOTAL USD A PLAZO EN CLIENTE  (SIN IVA)]]*(1+Tabla1[[#This Row],[% IVA ]]),"")</f>
        <v>13875.903651450755</v>
      </c>
      <c r="AY38" s="850">
        <f>+Tabla1[[#This Row],[VENTA TOTAL USD A PLAZO EN CLIENTE  (SIN IVA)]]/Tabla1[[#This Row],[KGS]]*1000</f>
        <v>504.5783145982092</v>
      </c>
      <c r="AZ38" s="850">
        <f>-Tabla1[[#This Row],[COSTO FLETE $ POR BOLSA 5O KG (SIN IVA)]]*20/Tabla1[[#This Row],[TIPO DE CAMBIO]]</f>
        <v>-40.79569352070628</v>
      </c>
      <c r="BA38" s="850">
        <f>+Tabla1[[#This Row],[GASTOS FINANCIEROS $ BOLSA 50 KG (IVA INC)]]*20/Tabla1[[#This Row],[TIPO DE CAMBIO]]</f>
        <v>-1.4552591555548904</v>
      </c>
      <c r="BB38" s="850">
        <f>+Tabla1[[#This Row],[PRECIO POR TN USD EN CLIENTE A PLAZO (SIN IVA)]]+Tabla1[[#This Row],[COSTO USD FLETE /TN (SIN IVA)]]+Tabla1[[#This Row],[COSTO FINANCIERO USD POR BOLSA 50KG (IVA INC)]]</f>
        <v>462.32736192194807</v>
      </c>
      <c r="BC38" s="848">
        <v>3</v>
      </c>
      <c r="BD38" s="944"/>
    </row>
    <row r="39" spans="1:56" ht="15.75" customHeight="1">
      <c r="A39" s="912">
        <v>46143</v>
      </c>
      <c r="B39" s="828">
        <v>1</v>
      </c>
      <c r="C39" s="792" t="s">
        <v>437</v>
      </c>
      <c r="D39" s="829">
        <f>+Tabla1[[#This Row],[FECHA Entrega]]</f>
        <v>46174</v>
      </c>
      <c r="E39" s="830"/>
      <c r="F39" s="831" t="s">
        <v>448</v>
      </c>
      <c r="G39" s="832" t="s">
        <v>357</v>
      </c>
      <c r="H39" s="852">
        <v>46174</v>
      </c>
      <c r="I39" s="834">
        <v>27500</v>
      </c>
      <c r="J39" s="835">
        <v>738</v>
      </c>
      <c r="K39" s="836">
        <f t="shared" si="1"/>
        <v>20295000</v>
      </c>
      <c r="L3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4261950</v>
      </c>
      <c r="M39" s="837">
        <f t="shared" si="0"/>
        <v>24556950</v>
      </c>
      <c r="N39" s="838">
        <v>0</v>
      </c>
      <c r="O39" s="939">
        <f>+Tabla1[[#This Row],[VENTA TOTAL $ (IVA INC) ]]</f>
        <v>24556950</v>
      </c>
      <c r="P39" s="838">
        <v>0</v>
      </c>
      <c r="Q39" s="839">
        <f ca="1">+Tabla1[[#This Row],[VENTA TOTAL $ (IVA INC) ]]-Tabla1[[#This Row],[PENDIENTE DE ENTREGA]]-Tabla1[[#This Row],[PENDIENTE DE COBRO]]+Tabla1[[#This Row],[VALORES COBRADOS]]</f>
        <v>0</v>
      </c>
      <c r="R39" s="840">
        <f>+Tabla1[[#This Row],[FECHA FC]]+Tabla1[[#This Row],[PLAZO ENTREGA VALORES]]</f>
        <v>46189</v>
      </c>
      <c r="S39" s="840">
        <f>+Tabla1[[#This Row],[FECHA FC]]+Tabla1[[#This Row],[PLAZO PAGO (DIAS)]]</f>
        <v>46234</v>
      </c>
      <c r="T39" s="834">
        <f t="shared" ca="1" si="5"/>
        <v>53</v>
      </c>
      <c r="U39" s="831">
        <v>15</v>
      </c>
      <c r="V39" s="831"/>
      <c r="W39" s="841">
        <f>+Tabla1[[#This Row],[FECHA VTO VALORES]]+7</f>
        <v>46241</v>
      </c>
      <c r="X39" s="831" t="s">
        <v>481</v>
      </c>
      <c r="Y39" s="840">
        <v>46150</v>
      </c>
      <c r="Z39" s="842">
        <f>Tabla1[[#This Row],[KGS]]/50</f>
        <v>550</v>
      </c>
      <c r="AA3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44649</v>
      </c>
      <c r="AB39" s="844">
        <f>-Tabla1[[#This Row],[COSTO FLETE $ POR BOLSA 5O KG (SIN IVA)]]*1.21-Tabla1[[#This Row],[PRECIO $/ KG A PLAZO EN CLIENTE ( SIN IVA)]]*0.003*1.21*50</f>
        <v>-3582.4470000000001</v>
      </c>
      <c r="AC39" s="845">
        <f>SUM(Tabla1[[#This Row],[PRECIO $ BOLSA 50 KG (IVA INC) ]]+Tabla1[[#This Row],[COSTO FLETE $ BOLSA 50 KG (IVA INC)]])</f>
        <v>41066.553</v>
      </c>
      <c r="AD39" s="844">
        <f>-Tabla1[[#This Row],[PRECIO $ BOLSA 50 KG (IVA INC) ]]*(Tabla1[[#This Row],[TASA FINANCIACION MENSUAL]]/365)*Tabla1[[#This Row],[PLAZO ENTREGA VALORES]]</f>
        <v>-53.211821917808223</v>
      </c>
      <c r="AE39" s="845">
        <f>SUM(Tabla1[[#This Row],[PRECIO $ BOLSA50 KG  FOB TUCUMAN A PLAZO (IVA INC)]]+Tabla1[[#This Row],[GASTOS FINANCIEROS $ BOLSA 50 KG (IVA INC)]])</f>
        <v>41013.341178082192</v>
      </c>
      <c r="AF39" s="828" t="s">
        <v>393</v>
      </c>
      <c r="AG39" s="828" t="s">
        <v>380</v>
      </c>
      <c r="AH39" s="828" t="s">
        <v>386</v>
      </c>
      <c r="AI39" s="828" t="s">
        <v>258</v>
      </c>
      <c r="AJ3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37085</v>
      </c>
      <c r="AK39" s="846">
        <f>SUM(Tabla1[[#This Row],[PRECIO $ BOLSA 50KG  FOB CDO TUC (IVA INC)]]-Tabla1[[#This Row],[PRECIO REF $ BOLSA 50 KG CACTU (IVA INC)]])</f>
        <v>3928.3411780821916</v>
      </c>
      <c r="AL39" s="847">
        <f>IFERROR(Tabla1[[#This Row],[PRECIO $ BOLSA 50KG  FOB CDO TUC (IVA INC)]]/Tabla1[[#This Row],[PRECIO REF $ BOLSA 50 KG CACTU (IVA INC)]]-1,"")</f>
        <v>0.10592803500289039</v>
      </c>
      <c r="AM39" s="846">
        <f>+Tabla1[[#This Row],[DIF $ PRECIO NETO INDUSTRIA vs Neto TUCUMAN (IVA INC)]]*Tabla1[[#This Row],[Q Bolsas Equivalentes 50kg]]</f>
        <v>2160587.6479452052</v>
      </c>
      <c r="AN39" s="846">
        <f>Tabla1[[#This Row],[PRECIO REF $ BOLSA 50 KG CACTU (IVA INC)]]*Tabla1[[#This Row],[Q Bolsas Equivalentes 50kg]]</f>
        <v>20396750</v>
      </c>
      <c r="AO39" s="846">
        <f>+Tabla1[[#This Row],[PRECIO $ BOLSA 50KG  FOB CDO TUC (IVA INC)]]*Tabla1[[#This Row],[Q Bolsas Equivalentes 50kg]]</f>
        <v>22557337.647945207</v>
      </c>
      <c r="AP39" s="847">
        <v>2.9000000000000001E-2</v>
      </c>
      <c r="AQ39" s="846">
        <f t="shared" si="14"/>
        <v>2850</v>
      </c>
      <c r="AR39" s="828">
        <v>60</v>
      </c>
      <c r="AS39" s="849" t="s">
        <v>557</v>
      </c>
      <c r="AT39" s="923">
        <f ca="1">+Tabla1[[#This Row],[VENTA TOTAL $ (IVA INC) ]]-(SUM(Tabla1[[#This Row],[PENDIENTE DE ENTREGA]:[VALORES COBRADOS]]))</f>
        <v>0</v>
      </c>
      <c r="AU39" s="850">
        <f>VLOOKUP(Tabla1[[#This Row],[FECHA OC]],'TIPO DE CAMBIO'!A:B,2,TRUE)</f>
        <v>1394.1232</v>
      </c>
      <c r="AV39" s="850">
        <f>+Tabla1[[#This Row],[SUBTOTAL]]/Tabla1[[#This Row],[TIPO DE CAMBIO]]</f>
        <v>14557.536952257879</v>
      </c>
      <c r="AW39" s="851"/>
      <c r="AX39" s="850">
        <f>IFERROR(Tabla1[[#This Row],[VENTA TOTAL USD A PLAZO EN CLIENTE  (SIN IVA)]]*(1+Tabla1[[#This Row],[% IVA ]]),"")</f>
        <v>14557.536952257879</v>
      </c>
      <c r="AY39" s="850">
        <f>+Tabla1[[#This Row],[VENTA TOTAL USD A PLAZO EN CLIENTE  (SIN IVA)]]/Tabla1[[#This Row],[KGS]]*1000</f>
        <v>529.36498008210469</v>
      </c>
      <c r="AZ39" s="850">
        <f>-Tabla1[[#This Row],[COSTO FLETE $ POR BOLSA 5O KG (SIN IVA)]]*20/Tabla1[[#This Row],[TIPO DE CAMBIO]]</f>
        <v>-40.88591309577231</v>
      </c>
      <c r="BA39" s="850">
        <f>+Tabla1[[#This Row],[GASTOS FINANCIEROS $ BOLSA 50 KG (IVA INC)]]*20/Tabla1[[#This Row],[TIPO DE CAMBIO]]</f>
        <v>-0.76337330757867339</v>
      </c>
      <c r="BB39" s="850">
        <f>+Tabla1[[#This Row],[PRECIO POR TN USD EN CLIENTE A PLAZO (SIN IVA)]]+Tabla1[[#This Row],[COSTO USD FLETE /TN (SIN IVA)]]+Tabla1[[#This Row],[COSTO FINANCIERO USD POR BOLSA 50KG (IVA INC)]]</f>
        <v>487.71569367875372</v>
      </c>
      <c r="BC39" s="828">
        <v>2</v>
      </c>
      <c r="BD39" s="944"/>
    </row>
    <row r="40" spans="1:56" ht="15.75" customHeight="1">
      <c r="A40" s="912">
        <v>46143</v>
      </c>
      <c r="B40" s="828">
        <v>1</v>
      </c>
      <c r="C40" s="792" t="s">
        <v>437</v>
      </c>
      <c r="D40" s="829">
        <f>+Tabla1[[#This Row],[FECHA Entrega]]</f>
        <v>46175</v>
      </c>
      <c r="E40" s="830"/>
      <c r="F40" s="831" t="s">
        <v>448</v>
      </c>
      <c r="G40" s="832" t="s">
        <v>357</v>
      </c>
      <c r="H40" s="852">
        <v>46175</v>
      </c>
      <c r="I40" s="834">
        <f>27500-(3*1250)</f>
        <v>23750</v>
      </c>
      <c r="J40" s="835">
        <v>738</v>
      </c>
      <c r="K40" s="836">
        <f t="shared" ref="K40:K41" si="15">+J40*I40</f>
        <v>17527500</v>
      </c>
      <c r="L4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3680775</v>
      </c>
      <c r="M40" s="837">
        <f t="shared" si="0"/>
        <v>21208275</v>
      </c>
      <c r="N40" s="838">
        <v>0</v>
      </c>
      <c r="O40" s="939">
        <f>+Tabla1[[#This Row],[VENTA TOTAL $ (IVA INC) ]]</f>
        <v>21208275</v>
      </c>
      <c r="P40" s="838">
        <v>0</v>
      </c>
      <c r="Q40" s="839">
        <f ca="1">+Tabla1[[#This Row],[VENTA TOTAL $ (IVA INC) ]]-Tabla1[[#This Row],[PENDIENTE DE ENTREGA]]-Tabla1[[#This Row],[PENDIENTE DE COBRO]]+Tabla1[[#This Row],[VALORES COBRADOS]]</f>
        <v>0</v>
      </c>
      <c r="R40" s="840">
        <f>+Tabla1[[#This Row],[FECHA FC]]+Tabla1[[#This Row],[PLAZO ENTREGA VALORES]]</f>
        <v>46190</v>
      </c>
      <c r="S40" s="840">
        <f>+Tabla1[[#This Row],[FECHA FC]]+Tabla1[[#This Row],[PLAZO PAGO (DIAS)]]</f>
        <v>46235</v>
      </c>
      <c r="T40" s="834">
        <f t="shared" ref="T40:T41" ca="1" si="16">+S40-$U$2</f>
        <v>54</v>
      </c>
      <c r="U40" s="831">
        <v>15</v>
      </c>
      <c r="V40" s="831"/>
      <c r="W40" s="841">
        <f>+Tabla1[[#This Row],[FECHA VTO VALORES]]+7</f>
        <v>46242</v>
      </c>
      <c r="X40" s="831" t="s">
        <v>481</v>
      </c>
      <c r="Y40" s="840">
        <v>46150</v>
      </c>
      <c r="Z40" s="842">
        <f>Tabla1[[#This Row],[KGS]]/50</f>
        <v>475</v>
      </c>
      <c r="AA4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44649</v>
      </c>
      <c r="AB40" s="844">
        <f>-Tabla1[[#This Row],[COSTO FLETE $ POR BOLSA 5O KG (SIN IVA)]]*1.21-Tabla1[[#This Row],[PRECIO $/ KG A PLAZO EN CLIENTE ( SIN IVA)]]*0.003*1.21*50</f>
        <v>-3582.4470000000001</v>
      </c>
      <c r="AC40" s="845">
        <f>SUM(Tabla1[[#This Row],[PRECIO $ BOLSA 50 KG (IVA INC) ]]+Tabla1[[#This Row],[COSTO FLETE $ BOLSA 50 KG (IVA INC)]])</f>
        <v>41066.553</v>
      </c>
      <c r="AD40" s="844">
        <f>-Tabla1[[#This Row],[PRECIO $ BOLSA 50 KG (IVA INC) ]]*(Tabla1[[#This Row],[TASA FINANCIACION MENSUAL]]/365)*Tabla1[[#This Row],[PLAZO ENTREGA VALORES]]</f>
        <v>-53.211821917808223</v>
      </c>
      <c r="AE40" s="845">
        <f>SUM(Tabla1[[#This Row],[PRECIO $ BOLSA50 KG  FOB TUCUMAN A PLAZO (IVA INC)]]+Tabla1[[#This Row],[GASTOS FINANCIEROS $ BOLSA 50 KG (IVA INC)]])</f>
        <v>41013.341178082192</v>
      </c>
      <c r="AF40" s="828" t="s">
        <v>393</v>
      </c>
      <c r="AG40" s="828" t="s">
        <v>380</v>
      </c>
      <c r="AH40" s="828" t="s">
        <v>386</v>
      </c>
      <c r="AI40" s="828" t="s">
        <v>258</v>
      </c>
      <c r="AJ4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37085</v>
      </c>
      <c r="AK40" s="846">
        <f>SUM(Tabla1[[#This Row],[PRECIO $ BOLSA 50KG  FOB CDO TUC (IVA INC)]]-Tabla1[[#This Row],[PRECIO REF $ BOLSA 50 KG CACTU (IVA INC)]])</f>
        <v>3928.3411780821916</v>
      </c>
      <c r="AL40" s="847">
        <f>IFERROR(Tabla1[[#This Row],[PRECIO $ BOLSA 50KG  FOB CDO TUC (IVA INC)]]/Tabla1[[#This Row],[PRECIO REF $ BOLSA 50 KG CACTU (IVA INC)]]-1,"")</f>
        <v>0.10592803500289039</v>
      </c>
      <c r="AM40" s="846">
        <f>+Tabla1[[#This Row],[DIF $ PRECIO NETO INDUSTRIA vs Neto TUCUMAN (IVA INC)]]*Tabla1[[#This Row],[Q Bolsas Equivalentes 50kg]]</f>
        <v>1865962.0595890409</v>
      </c>
      <c r="AN40" s="846">
        <f>Tabla1[[#This Row],[PRECIO REF $ BOLSA 50 KG CACTU (IVA INC)]]*Tabla1[[#This Row],[Q Bolsas Equivalentes 50kg]]</f>
        <v>17615375</v>
      </c>
      <c r="AO40" s="846">
        <f>+Tabla1[[#This Row],[PRECIO $ BOLSA 50KG  FOB CDO TUC (IVA INC)]]*Tabla1[[#This Row],[Q Bolsas Equivalentes 50kg]]</f>
        <v>19481337.05958904</v>
      </c>
      <c r="AP40" s="847">
        <v>2.9000000000000001E-2</v>
      </c>
      <c r="AQ40" s="846">
        <f t="shared" si="14"/>
        <v>2850</v>
      </c>
      <c r="AR40" s="828">
        <v>60</v>
      </c>
      <c r="AS40" s="849" t="s">
        <v>558</v>
      </c>
      <c r="AT40" s="923">
        <f ca="1">+Tabla1[[#This Row],[VENTA TOTAL $ (IVA INC) ]]-(SUM(Tabla1[[#This Row],[PENDIENTE DE ENTREGA]:[VALORES COBRADOS]]))</f>
        <v>0</v>
      </c>
      <c r="AU40" s="850">
        <f>VLOOKUP(Tabla1[[#This Row],[FECHA OC]],'TIPO DE CAMBIO'!A:B,2,TRUE)</f>
        <v>1394.1232</v>
      </c>
      <c r="AV40" s="850">
        <f>+Tabla1[[#This Row],[SUBTOTAL]]/Tabla1[[#This Row],[TIPO DE CAMBIO]]</f>
        <v>12572.418276949986</v>
      </c>
      <c r="AW40" s="851"/>
      <c r="AX40" s="850">
        <f>IFERROR(Tabla1[[#This Row],[VENTA TOTAL USD A PLAZO EN CLIENTE  (SIN IVA)]]*(1+Tabla1[[#This Row],[% IVA ]]),"")</f>
        <v>12572.418276949986</v>
      </c>
      <c r="AY40" s="850">
        <f>+Tabla1[[#This Row],[VENTA TOTAL USD A PLAZO EN CLIENTE  (SIN IVA)]]/Tabla1[[#This Row],[KGS]]*1000</f>
        <v>529.36498008210469</v>
      </c>
      <c r="AZ40" s="850">
        <f>-Tabla1[[#This Row],[COSTO FLETE $ POR BOLSA 5O KG (SIN IVA)]]*20/Tabla1[[#This Row],[TIPO DE CAMBIO]]</f>
        <v>-40.88591309577231</v>
      </c>
      <c r="BA40" s="850">
        <f>+Tabla1[[#This Row],[GASTOS FINANCIEROS $ BOLSA 50 KG (IVA INC)]]*20/Tabla1[[#This Row],[TIPO DE CAMBIO]]</f>
        <v>-0.76337330757867339</v>
      </c>
      <c r="BB40" s="850">
        <f>+Tabla1[[#This Row],[PRECIO POR TN USD EN CLIENTE A PLAZO (SIN IVA)]]+Tabla1[[#This Row],[COSTO USD FLETE /TN (SIN IVA)]]+Tabla1[[#This Row],[COSTO FINANCIERO USD POR BOLSA 50KG (IVA INC)]]</f>
        <v>487.71569367875372</v>
      </c>
      <c r="BC40" s="828">
        <v>2</v>
      </c>
      <c r="BD40" s="944"/>
    </row>
    <row r="41" spans="1:56" ht="15.75" customHeight="1">
      <c r="A41" s="912">
        <v>46143</v>
      </c>
      <c r="B41" s="828">
        <v>1</v>
      </c>
      <c r="C41" s="792" t="s">
        <v>437</v>
      </c>
      <c r="D41" s="829">
        <f>+Tabla1[[#This Row],[FECHA Entrega]]</f>
        <v>46176</v>
      </c>
      <c r="E41" s="830"/>
      <c r="F41" s="831" t="s">
        <v>448</v>
      </c>
      <c r="G41" s="832" t="s">
        <v>216</v>
      </c>
      <c r="H41" s="852">
        <v>46176</v>
      </c>
      <c r="I41" s="834">
        <v>27500</v>
      </c>
      <c r="J41" s="835">
        <v>738</v>
      </c>
      <c r="K41" s="836">
        <f t="shared" si="15"/>
        <v>20295000</v>
      </c>
      <c r="L4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4261950</v>
      </c>
      <c r="M41" s="837">
        <f t="shared" si="0"/>
        <v>24556950</v>
      </c>
      <c r="N41" s="838">
        <f>+Tabla1[[#This Row],[VENTA TOTAL $ (IVA INC) ]]</f>
        <v>24556950</v>
      </c>
      <c r="O41" s="838">
        <v>0</v>
      </c>
      <c r="P41" s="838">
        <v>0</v>
      </c>
      <c r="Q41" s="839">
        <f ca="1">+Tabla1[[#This Row],[VENTA TOTAL $ (IVA INC) ]]-Tabla1[[#This Row],[PENDIENTE DE ENTREGA]]-Tabla1[[#This Row],[PENDIENTE DE COBRO]]+Tabla1[[#This Row],[VALORES COBRADOS]]</f>
        <v>0</v>
      </c>
      <c r="R41" s="840">
        <f>+Tabla1[[#This Row],[FECHA FC]]+Tabla1[[#This Row],[PLAZO ENTREGA VALORES]]</f>
        <v>46191</v>
      </c>
      <c r="S41" s="840">
        <f>+Tabla1[[#This Row],[FECHA FC]]+Tabla1[[#This Row],[PLAZO PAGO (DIAS)]]</f>
        <v>46236</v>
      </c>
      <c r="T41" s="834">
        <f t="shared" ca="1" si="16"/>
        <v>55</v>
      </c>
      <c r="U41" s="831">
        <v>15</v>
      </c>
      <c r="V41" s="831"/>
      <c r="W41" s="841">
        <f>+Tabla1[[#This Row],[FECHA VTO VALORES]]+7</f>
        <v>46243</v>
      </c>
      <c r="X41" s="831" t="s">
        <v>481</v>
      </c>
      <c r="Y41" s="840">
        <v>46150</v>
      </c>
      <c r="Z41" s="842">
        <f>Tabla1[[#This Row],[KGS]]/50</f>
        <v>550</v>
      </c>
      <c r="AA4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44649</v>
      </c>
      <c r="AB41" s="844">
        <f>-Tabla1[[#This Row],[COSTO FLETE $ POR BOLSA 5O KG (SIN IVA)]]*1.21-Tabla1[[#This Row],[PRECIO $/ KG A PLAZO EN CLIENTE ( SIN IVA)]]*0.003*1.21*50</f>
        <v>-3582.4470000000001</v>
      </c>
      <c r="AC41" s="845">
        <f>SUM(Tabla1[[#This Row],[PRECIO $ BOLSA 50 KG (IVA INC) ]]+Tabla1[[#This Row],[COSTO FLETE $ BOLSA 50 KG (IVA INC)]])</f>
        <v>41066.553</v>
      </c>
      <c r="AD41" s="844">
        <f>-Tabla1[[#This Row],[PRECIO $ BOLSA 50 KG (IVA INC) ]]*(Tabla1[[#This Row],[TASA FINANCIACION MENSUAL]]/365)*Tabla1[[#This Row],[PLAZO ENTREGA VALORES]]</f>
        <v>-53.211821917808223</v>
      </c>
      <c r="AE41" s="845">
        <f>SUM(Tabla1[[#This Row],[PRECIO $ BOLSA50 KG  FOB TUCUMAN A PLAZO (IVA INC)]]+Tabla1[[#This Row],[GASTOS FINANCIEROS $ BOLSA 50 KG (IVA INC)]])</f>
        <v>41013.341178082192</v>
      </c>
      <c r="AF41" s="828" t="s">
        <v>393</v>
      </c>
      <c r="AG41" s="828" t="s">
        <v>380</v>
      </c>
      <c r="AH41" s="828" t="s">
        <v>386</v>
      </c>
      <c r="AI41" s="828" t="s">
        <v>258</v>
      </c>
      <c r="AJ4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37085</v>
      </c>
      <c r="AK41" s="846">
        <f>SUM(Tabla1[[#This Row],[PRECIO $ BOLSA 50KG  FOB CDO TUC (IVA INC)]]-Tabla1[[#This Row],[PRECIO REF $ BOLSA 50 KG CACTU (IVA INC)]])</f>
        <v>3928.3411780821916</v>
      </c>
      <c r="AL41" s="847">
        <f>IFERROR(Tabla1[[#This Row],[PRECIO $ BOLSA 50KG  FOB CDO TUC (IVA INC)]]/Tabla1[[#This Row],[PRECIO REF $ BOLSA 50 KG CACTU (IVA INC)]]-1,"")</f>
        <v>0.10592803500289039</v>
      </c>
      <c r="AM41" s="846">
        <f>+Tabla1[[#This Row],[DIF $ PRECIO NETO INDUSTRIA vs Neto TUCUMAN (IVA INC)]]*Tabla1[[#This Row],[Q Bolsas Equivalentes 50kg]]</f>
        <v>2160587.6479452052</v>
      </c>
      <c r="AN41" s="846">
        <f>Tabla1[[#This Row],[PRECIO REF $ BOLSA 50 KG CACTU (IVA INC)]]*Tabla1[[#This Row],[Q Bolsas Equivalentes 50kg]]</f>
        <v>20396750</v>
      </c>
      <c r="AO41" s="846">
        <f>+Tabla1[[#This Row],[PRECIO $ BOLSA 50KG  FOB CDO TUC (IVA INC)]]*Tabla1[[#This Row],[Q Bolsas Equivalentes 50kg]]</f>
        <v>22557337.647945207</v>
      </c>
      <c r="AP41" s="847">
        <v>2.9000000000000001E-2</v>
      </c>
      <c r="AQ41" s="846">
        <f t="shared" si="14"/>
        <v>2850</v>
      </c>
      <c r="AR41" s="828">
        <v>60</v>
      </c>
      <c r="AS41" s="849"/>
      <c r="AT41" s="923">
        <f ca="1">+Tabla1[[#This Row],[VENTA TOTAL $ (IVA INC) ]]-(SUM(Tabla1[[#This Row],[PENDIENTE DE ENTREGA]:[VALORES COBRADOS]]))</f>
        <v>0</v>
      </c>
      <c r="AU41" s="850">
        <f>VLOOKUP(Tabla1[[#This Row],[FECHA OC]],'TIPO DE CAMBIO'!A:B,2,TRUE)</f>
        <v>1394.1232</v>
      </c>
      <c r="AV41" s="850">
        <f>+Tabla1[[#This Row],[SUBTOTAL]]/Tabla1[[#This Row],[TIPO DE CAMBIO]]</f>
        <v>14557.536952257879</v>
      </c>
      <c r="AW41" s="851"/>
      <c r="AX41" s="850">
        <f>IFERROR(Tabla1[[#This Row],[VENTA TOTAL USD A PLAZO EN CLIENTE  (SIN IVA)]]*(1+Tabla1[[#This Row],[% IVA ]]),"")</f>
        <v>14557.536952257879</v>
      </c>
      <c r="AY41" s="850">
        <f>+Tabla1[[#This Row],[VENTA TOTAL USD A PLAZO EN CLIENTE  (SIN IVA)]]/Tabla1[[#This Row],[KGS]]*1000</f>
        <v>529.36498008210469</v>
      </c>
      <c r="AZ41" s="850">
        <f>-Tabla1[[#This Row],[COSTO FLETE $ POR BOLSA 5O KG (SIN IVA)]]*20/Tabla1[[#This Row],[TIPO DE CAMBIO]]</f>
        <v>-40.88591309577231</v>
      </c>
      <c r="BA41" s="850">
        <f>+Tabla1[[#This Row],[GASTOS FINANCIEROS $ BOLSA 50 KG (IVA INC)]]*20/Tabla1[[#This Row],[TIPO DE CAMBIO]]</f>
        <v>-0.76337330757867339</v>
      </c>
      <c r="BB41" s="850">
        <f>+Tabla1[[#This Row],[PRECIO POR TN USD EN CLIENTE A PLAZO (SIN IVA)]]+Tabla1[[#This Row],[COSTO USD FLETE /TN (SIN IVA)]]+Tabla1[[#This Row],[COSTO FINANCIERO USD POR BOLSA 50KG (IVA INC)]]</f>
        <v>487.71569367875372</v>
      </c>
      <c r="BC41" s="828">
        <v>2</v>
      </c>
      <c r="BD41" s="944"/>
    </row>
    <row r="42" spans="1:56" ht="15.75" customHeight="1">
      <c r="A42" s="912">
        <v>46143</v>
      </c>
      <c r="B42" s="828">
        <v>1</v>
      </c>
      <c r="C42" s="792" t="s">
        <v>437</v>
      </c>
      <c r="D42" s="829">
        <f>+Tabla1[[#This Row],[FECHA Entrega]]</f>
        <v>46171</v>
      </c>
      <c r="E42" s="830"/>
      <c r="F42" s="831" t="s">
        <v>448</v>
      </c>
      <c r="G42" s="832" t="s">
        <v>216</v>
      </c>
      <c r="H42" s="852">
        <v>46171</v>
      </c>
      <c r="I42" s="834">
        <v>26000</v>
      </c>
      <c r="J42" s="835">
        <v>748</v>
      </c>
      <c r="K42" s="836">
        <f t="shared" si="1"/>
        <v>19448000</v>
      </c>
      <c r="L4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4084080</v>
      </c>
      <c r="M42" s="854">
        <f t="shared" si="0"/>
        <v>23532080</v>
      </c>
      <c r="N42" s="838">
        <f>+Tabla1[[#This Row],[VENTA TOTAL $ (IVA INC) ]]</f>
        <v>23532080</v>
      </c>
      <c r="O42" s="838">
        <v>0</v>
      </c>
      <c r="P42" s="838">
        <v>0</v>
      </c>
      <c r="Q42" s="839">
        <f ca="1">+Tabla1[[#This Row],[VENTA TOTAL $ (IVA INC) ]]-Tabla1[[#This Row],[PENDIENTE DE ENTREGA]]-Tabla1[[#This Row],[PENDIENTE DE COBRO]]+Tabla1[[#This Row],[VALORES COBRADOS]]</f>
        <v>0</v>
      </c>
      <c r="R42" s="840">
        <f>+Tabla1[[#This Row],[FECHA FC]]+Tabla1[[#This Row],[PLAZO ENTREGA VALORES]]</f>
        <v>46186</v>
      </c>
      <c r="S42" s="840">
        <f>+Tabla1[[#This Row],[FECHA FC]]+Tabla1[[#This Row],[PLAZO PAGO (DIAS)]]</f>
        <v>46231</v>
      </c>
      <c r="T42" s="834">
        <f t="shared" ca="1" si="5"/>
        <v>50</v>
      </c>
      <c r="U42" s="831">
        <v>15</v>
      </c>
      <c r="V42" s="831"/>
      <c r="W42" s="841">
        <f>+S42+7</f>
        <v>46238</v>
      </c>
      <c r="X42" s="831" t="s">
        <v>482</v>
      </c>
      <c r="Y42" s="840">
        <v>46150</v>
      </c>
      <c r="Z42" s="842">
        <f>Tabla1[[#This Row],[KGS]]/50</f>
        <v>520</v>
      </c>
      <c r="AA4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45254</v>
      </c>
      <c r="AB42" s="844">
        <f>-Tabla1[[#This Row],[COSTO FLETE $ POR BOLSA 5O KG (SIN IVA)]]*1.21-Tabla1[[#This Row],[PRECIO $/ KG A PLAZO EN CLIENTE ( SIN IVA)]]*0.003*1.21*50</f>
        <v>-3584.2620000000002</v>
      </c>
      <c r="AC42" s="845">
        <f>SUM(Tabla1[[#This Row],[PRECIO $ BOLSA 50 KG (IVA INC) ]]+Tabla1[[#This Row],[COSTO FLETE $ BOLSA 50 KG (IVA INC)]])</f>
        <v>41669.737999999998</v>
      </c>
      <c r="AD42" s="844">
        <f>-Tabla1[[#This Row],[PRECIO $ BOLSA 50 KG (IVA INC) ]]*(Tabla1[[#This Row],[TASA FINANCIACION MENSUAL]]/365)*Tabla1[[#This Row],[PLAZO ENTREGA VALORES]]</f>
        <v>-53.932849315068495</v>
      </c>
      <c r="AE42" s="845">
        <f>SUM(Tabla1[[#This Row],[PRECIO $ BOLSA50 KG  FOB TUCUMAN A PLAZO (IVA INC)]]+Tabla1[[#This Row],[GASTOS FINANCIEROS $ BOLSA 50 KG (IVA INC)]])</f>
        <v>41615.80515068493</v>
      </c>
      <c r="AF42" s="828" t="s">
        <v>360</v>
      </c>
      <c r="AG42" s="828" t="s">
        <v>380</v>
      </c>
      <c r="AH42" s="828" t="s">
        <v>386</v>
      </c>
      <c r="AI42" s="828" t="s">
        <v>258</v>
      </c>
      <c r="AJ4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37085</v>
      </c>
      <c r="AK42" s="846">
        <f>SUM(Tabla1[[#This Row],[PRECIO $ BOLSA 50KG  FOB CDO TUC (IVA INC)]]-Tabla1[[#This Row],[PRECIO REF $ BOLSA 50 KG CACTU (IVA INC)]])</f>
        <v>4530.8051506849297</v>
      </c>
      <c r="AL42" s="847">
        <f>IFERROR(Tabla1[[#This Row],[PRECIO $ BOLSA 50KG  FOB CDO TUC (IVA INC)]]/Tabla1[[#This Row],[PRECIO REF $ BOLSA 50 KG CACTU (IVA INC)]]-1,"")</f>
        <v>0.12217352435445417</v>
      </c>
      <c r="AM42" s="846">
        <f>+Tabla1[[#This Row],[DIF $ PRECIO NETO INDUSTRIA vs Neto TUCUMAN (IVA INC)]]*Tabla1[[#This Row],[Q Bolsas Equivalentes 50kg]]</f>
        <v>2356018.6783561632</v>
      </c>
      <c r="AN42" s="846">
        <f>Tabla1[[#This Row],[PRECIO REF $ BOLSA 50 KG CACTU (IVA INC)]]*Tabla1[[#This Row],[Q Bolsas Equivalentes 50kg]]</f>
        <v>19284200</v>
      </c>
      <c r="AO42" s="846">
        <f>+Tabla1[[#This Row],[PRECIO $ BOLSA 50KG  FOB CDO TUC (IVA INC)]]*Tabla1[[#This Row],[Q Bolsas Equivalentes 50kg]]</f>
        <v>21640218.678356163</v>
      </c>
      <c r="AP42" s="847">
        <v>2.9000000000000001E-2</v>
      </c>
      <c r="AQ42" s="846">
        <f t="shared" si="14"/>
        <v>2850</v>
      </c>
      <c r="AR42" s="828">
        <v>60</v>
      </c>
      <c r="AS42" s="849"/>
      <c r="AT42" s="923">
        <f ca="1">+Tabla1[[#This Row],[VENTA TOTAL $ (IVA INC) ]]-(SUM(Tabla1[[#This Row],[PENDIENTE DE ENTREGA]:[VALORES COBRADOS]]))</f>
        <v>0</v>
      </c>
      <c r="AU42" s="850">
        <f>VLOOKUP(Tabla1[[#This Row],[FECHA OC]],'TIPO DE CAMBIO'!A:B,2,TRUE)</f>
        <v>1394.1232</v>
      </c>
      <c r="AV42" s="850">
        <f>+Tabla1[[#This Row],[SUBTOTAL]]/Tabla1[[#This Row],[TIPO DE CAMBIO]]</f>
        <v>13949.986629589121</v>
      </c>
      <c r="AW42" s="851"/>
      <c r="AX42" s="850">
        <f>IFERROR(Tabla1[[#This Row],[VENTA TOTAL USD A PLAZO EN CLIENTE  (SIN IVA)]]*(1+Tabla1[[#This Row],[% IVA ]]),"")</f>
        <v>13949.986629589121</v>
      </c>
      <c r="AY42" s="850">
        <f>+Tabla1[[#This Row],[VENTA TOTAL USD A PLAZO EN CLIENTE  (SIN IVA)]]/Tabla1[[#This Row],[KGS]]*1000</f>
        <v>536.53794729188928</v>
      </c>
      <c r="AZ42" s="850">
        <f>-Tabla1[[#This Row],[COSTO FLETE $ POR BOLSA 5O KG (SIN IVA)]]*20/Tabla1[[#This Row],[TIPO DE CAMBIO]]</f>
        <v>-40.88591309577231</v>
      </c>
      <c r="BA42" s="850">
        <f>+Tabla1[[#This Row],[GASTOS FINANCIEROS $ BOLSA 50 KG (IVA INC)]]*20/Tabla1[[#This Row],[TIPO DE CAMBIO]]</f>
        <v>-0.77371711933448195</v>
      </c>
      <c r="BB42" s="850">
        <f>+Tabla1[[#This Row],[PRECIO POR TN USD EN CLIENTE A PLAZO (SIN IVA)]]+Tabla1[[#This Row],[COSTO USD FLETE /TN (SIN IVA)]]+Tabla1[[#This Row],[COSTO FINANCIERO USD POR BOLSA 50KG (IVA INC)]]</f>
        <v>494.87831707678248</v>
      </c>
      <c r="BC42" s="828">
        <v>2</v>
      </c>
      <c r="BD42" s="944"/>
    </row>
    <row r="43" spans="1:56" ht="15.75" customHeight="1">
      <c r="A43" s="912">
        <v>46143</v>
      </c>
      <c r="B43" s="828">
        <v>1</v>
      </c>
      <c r="C43" s="792" t="s">
        <v>437</v>
      </c>
      <c r="D43" s="829">
        <f>+Tabla1[[#This Row],[FECHA Entrega]]</f>
        <v>46177</v>
      </c>
      <c r="E43" s="830"/>
      <c r="F43" s="831" t="s">
        <v>448</v>
      </c>
      <c r="G43" s="832" t="s">
        <v>216</v>
      </c>
      <c r="H43" s="852">
        <v>46177</v>
      </c>
      <c r="I43" s="834">
        <v>26000</v>
      </c>
      <c r="J43" s="835">
        <v>748</v>
      </c>
      <c r="K43" s="836">
        <f t="shared" ref="K43:K44" si="17">+J43*I43</f>
        <v>19448000</v>
      </c>
      <c r="L4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4084080</v>
      </c>
      <c r="M43" s="854">
        <f t="shared" si="0"/>
        <v>23532080</v>
      </c>
      <c r="N43" s="838">
        <f>+Tabla1[[#This Row],[VENTA TOTAL $ (IVA INC) ]]</f>
        <v>23532080</v>
      </c>
      <c r="O43" s="838">
        <v>0</v>
      </c>
      <c r="P43" s="838">
        <v>0</v>
      </c>
      <c r="Q43" s="839">
        <f ca="1">+Tabla1[[#This Row],[VENTA TOTAL $ (IVA INC) ]]-Tabla1[[#This Row],[PENDIENTE DE ENTREGA]]-Tabla1[[#This Row],[PENDIENTE DE COBRO]]+Tabla1[[#This Row],[VALORES COBRADOS]]</f>
        <v>0</v>
      </c>
      <c r="R43" s="840">
        <f>+Tabla1[[#This Row],[FECHA FC]]+Tabla1[[#This Row],[PLAZO ENTREGA VALORES]]</f>
        <v>46192</v>
      </c>
      <c r="S43" s="840">
        <f>+Tabla1[[#This Row],[FECHA FC]]+Tabla1[[#This Row],[PLAZO PAGO (DIAS)]]</f>
        <v>46237</v>
      </c>
      <c r="T43" s="834">
        <f t="shared" ref="T43:T44" ca="1" si="18">+S43-$U$2</f>
        <v>56</v>
      </c>
      <c r="U43" s="831">
        <v>15</v>
      </c>
      <c r="V43" s="831"/>
      <c r="W43" s="841">
        <f t="shared" ref="W43:W44" si="19">+S43+7</f>
        <v>46244</v>
      </c>
      <c r="X43" s="831" t="s">
        <v>482</v>
      </c>
      <c r="Y43" s="840">
        <v>46150</v>
      </c>
      <c r="Z43" s="842">
        <f>Tabla1[[#This Row],[KGS]]/50</f>
        <v>520</v>
      </c>
      <c r="AA4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45254</v>
      </c>
      <c r="AB43" s="844">
        <f>-Tabla1[[#This Row],[COSTO FLETE $ POR BOLSA 5O KG (SIN IVA)]]*1.21-Tabla1[[#This Row],[PRECIO $/ KG A PLAZO EN CLIENTE ( SIN IVA)]]*0.003*1.21*50</f>
        <v>-3584.2620000000002</v>
      </c>
      <c r="AC43" s="845">
        <f>SUM(Tabla1[[#This Row],[PRECIO $ BOLSA 50 KG (IVA INC) ]]+Tabla1[[#This Row],[COSTO FLETE $ BOLSA 50 KG (IVA INC)]])</f>
        <v>41669.737999999998</v>
      </c>
      <c r="AD43" s="844">
        <f>-Tabla1[[#This Row],[PRECIO $ BOLSA 50 KG (IVA INC) ]]*(Tabla1[[#This Row],[TASA FINANCIACION MENSUAL]]/365)*Tabla1[[#This Row],[PLAZO ENTREGA VALORES]]</f>
        <v>-53.932849315068495</v>
      </c>
      <c r="AE43" s="845">
        <f>SUM(Tabla1[[#This Row],[PRECIO $ BOLSA50 KG  FOB TUCUMAN A PLAZO (IVA INC)]]+Tabla1[[#This Row],[GASTOS FINANCIEROS $ BOLSA 50 KG (IVA INC)]])</f>
        <v>41615.80515068493</v>
      </c>
      <c r="AF43" s="828" t="s">
        <v>360</v>
      </c>
      <c r="AG43" s="828" t="s">
        <v>380</v>
      </c>
      <c r="AH43" s="828" t="s">
        <v>386</v>
      </c>
      <c r="AI43" s="828" t="s">
        <v>258</v>
      </c>
      <c r="AJ4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37085</v>
      </c>
      <c r="AK43" s="846">
        <f>SUM(Tabla1[[#This Row],[PRECIO $ BOLSA 50KG  FOB CDO TUC (IVA INC)]]-Tabla1[[#This Row],[PRECIO REF $ BOLSA 50 KG CACTU (IVA INC)]])</f>
        <v>4530.8051506849297</v>
      </c>
      <c r="AL43" s="847">
        <f>IFERROR(Tabla1[[#This Row],[PRECIO $ BOLSA 50KG  FOB CDO TUC (IVA INC)]]/Tabla1[[#This Row],[PRECIO REF $ BOLSA 50 KG CACTU (IVA INC)]]-1,"")</f>
        <v>0.12217352435445417</v>
      </c>
      <c r="AM43" s="846">
        <f>+Tabla1[[#This Row],[DIF $ PRECIO NETO INDUSTRIA vs Neto TUCUMAN (IVA INC)]]*Tabla1[[#This Row],[Q Bolsas Equivalentes 50kg]]</f>
        <v>2356018.6783561632</v>
      </c>
      <c r="AN43" s="846">
        <f>Tabla1[[#This Row],[PRECIO REF $ BOLSA 50 KG CACTU (IVA INC)]]*Tabla1[[#This Row],[Q Bolsas Equivalentes 50kg]]</f>
        <v>19284200</v>
      </c>
      <c r="AO43" s="846">
        <f>+Tabla1[[#This Row],[PRECIO $ BOLSA 50KG  FOB CDO TUC (IVA INC)]]*Tabla1[[#This Row],[Q Bolsas Equivalentes 50kg]]</f>
        <v>21640218.678356163</v>
      </c>
      <c r="AP43" s="847">
        <v>2.9000000000000001E-2</v>
      </c>
      <c r="AQ43" s="846">
        <f t="shared" si="14"/>
        <v>2850</v>
      </c>
      <c r="AR43" s="828">
        <v>60</v>
      </c>
      <c r="AS43" s="849"/>
      <c r="AT43" s="923">
        <f ca="1">+Tabla1[[#This Row],[VENTA TOTAL $ (IVA INC) ]]-(SUM(Tabla1[[#This Row],[PENDIENTE DE ENTREGA]:[VALORES COBRADOS]]))</f>
        <v>0</v>
      </c>
      <c r="AU43" s="850">
        <f>VLOOKUP(Tabla1[[#This Row],[FECHA OC]],'TIPO DE CAMBIO'!A:B,2,TRUE)</f>
        <v>1394.1232</v>
      </c>
      <c r="AV43" s="850">
        <f>+Tabla1[[#This Row],[SUBTOTAL]]/Tabla1[[#This Row],[TIPO DE CAMBIO]]</f>
        <v>13949.986629589121</v>
      </c>
      <c r="AW43" s="851"/>
      <c r="AX43" s="850">
        <f>IFERROR(Tabla1[[#This Row],[VENTA TOTAL USD A PLAZO EN CLIENTE  (SIN IVA)]]*(1+Tabla1[[#This Row],[% IVA ]]),"")</f>
        <v>13949.986629589121</v>
      </c>
      <c r="AY43" s="850">
        <f>+Tabla1[[#This Row],[VENTA TOTAL USD A PLAZO EN CLIENTE  (SIN IVA)]]/Tabla1[[#This Row],[KGS]]*1000</f>
        <v>536.53794729188928</v>
      </c>
      <c r="AZ43" s="850">
        <f>-Tabla1[[#This Row],[COSTO FLETE $ POR BOLSA 5O KG (SIN IVA)]]*20/Tabla1[[#This Row],[TIPO DE CAMBIO]]</f>
        <v>-40.88591309577231</v>
      </c>
      <c r="BA43" s="850">
        <f>+Tabla1[[#This Row],[GASTOS FINANCIEROS $ BOLSA 50 KG (IVA INC)]]*20/Tabla1[[#This Row],[TIPO DE CAMBIO]]</f>
        <v>-0.77371711933448195</v>
      </c>
      <c r="BB43" s="850">
        <f>+Tabla1[[#This Row],[PRECIO POR TN USD EN CLIENTE A PLAZO (SIN IVA)]]+Tabla1[[#This Row],[COSTO USD FLETE /TN (SIN IVA)]]+Tabla1[[#This Row],[COSTO FINANCIERO USD POR BOLSA 50KG (IVA INC)]]</f>
        <v>494.87831707678248</v>
      </c>
      <c r="BC43" s="828">
        <v>2</v>
      </c>
      <c r="BD43" s="944"/>
    </row>
    <row r="44" spans="1:56" ht="15.75" customHeight="1">
      <c r="A44" s="912">
        <v>46143</v>
      </c>
      <c r="B44" s="828">
        <v>1</v>
      </c>
      <c r="C44" s="792" t="s">
        <v>437</v>
      </c>
      <c r="D44" s="829">
        <f>+Tabla1[[#This Row],[FECHA Entrega]]</f>
        <v>46147</v>
      </c>
      <c r="E44" s="830"/>
      <c r="F44" s="831" t="s">
        <v>448</v>
      </c>
      <c r="G44" s="832" t="s">
        <v>216</v>
      </c>
      <c r="H44" s="852">
        <v>46147</v>
      </c>
      <c r="I44" s="834">
        <v>26000</v>
      </c>
      <c r="J44" s="835">
        <v>748</v>
      </c>
      <c r="K44" s="836">
        <f t="shared" si="17"/>
        <v>19448000</v>
      </c>
      <c r="L4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4084080</v>
      </c>
      <c r="M44" s="854">
        <f t="shared" si="0"/>
        <v>23532080</v>
      </c>
      <c r="N44" s="838">
        <f>+Tabla1[[#This Row],[VENTA TOTAL $ (IVA INC) ]]</f>
        <v>23532080</v>
      </c>
      <c r="O44" s="838">
        <v>0</v>
      </c>
      <c r="P44" s="838">
        <v>0</v>
      </c>
      <c r="Q44" s="839">
        <f ca="1">+Tabla1[[#This Row],[VENTA TOTAL $ (IVA INC) ]]-Tabla1[[#This Row],[PENDIENTE DE ENTREGA]]-Tabla1[[#This Row],[PENDIENTE DE COBRO]]+Tabla1[[#This Row],[VALORES COBRADOS]]</f>
        <v>0</v>
      </c>
      <c r="R44" s="840">
        <f>+Tabla1[[#This Row],[FECHA FC]]+Tabla1[[#This Row],[PLAZO ENTREGA VALORES]]</f>
        <v>46162</v>
      </c>
      <c r="S44" s="840">
        <f>+Tabla1[[#This Row],[FECHA FC]]+Tabla1[[#This Row],[PLAZO PAGO (DIAS)]]</f>
        <v>46207</v>
      </c>
      <c r="T44" s="834">
        <f t="shared" ca="1" si="18"/>
        <v>26</v>
      </c>
      <c r="U44" s="831">
        <v>15</v>
      </c>
      <c r="V44" s="831"/>
      <c r="W44" s="841">
        <f t="shared" si="19"/>
        <v>46214</v>
      </c>
      <c r="X44" s="831" t="s">
        <v>482</v>
      </c>
      <c r="Y44" s="840">
        <v>46150</v>
      </c>
      <c r="Z44" s="842">
        <f>Tabla1[[#This Row],[KGS]]/50</f>
        <v>520</v>
      </c>
      <c r="AA4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45254</v>
      </c>
      <c r="AB44" s="844">
        <f>-Tabla1[[#This Row],[COSTO FLETE $ POR BOLSA 5O KG (SIN IVA)]]*1.21-Tabla1[[#This Row],[PRECIO $/ KG A PLAZO EN CLIENTE ( SIN IVA)]]*0.003*1.21*50</f>
        <v>-3584.2620000000002</v>
      </c>
      <c r="AC44" s="845">
        <f>SUM(Tabla1[[#This Row],[PRECIO $ BOLSA 50 KG (IVA INC) ]]+Tabla1[[#This Row],[COSTO FLETE $ BOLSA 50 KG (IVA INC)]])</f>
        <v>41669.737999999998</v>
      </c>
      <c r="AD44" s="844">
        <f>-Tabla1[[#This Row],[PRECIO $ BOLSA 50 KG (IVA INC) ]]*(Tabla1[[#This Row],[TASA FINANCIACION MENSUAL]]/365)*Tabla1[[#This Row],[PLAZO ENTREGA VALORES]]</f>
        <v>-53.932849315068495</v>
      </c>
      <c r="AE44" s="845">
        <f>SUM(Tabla1[[#This Row],[PRECIO $ BOLSA50 KG  FOB TUCUMAN A PLAZO (IVA INC)]]+Tabla1[[#This Row],[GASTOS FINANCIEROS $ BOLSA 50 KG (IVA INC)]])</f>
        <v>41615.80515068493</v>
      </c>
      <c r="AF44" s="828" t="s">
        <v>360</v>
      </c>
      <c r="AG44" s="828" t="s">
        <v>380</v>
      </c>
      <c r="AH44" s="828" t="s">
        <v>386</v>
      </c>
      <c r="AI44" s="828" t="s">
        <v>258</v>
      </c>
      <c r="AJ4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37085</v>
      </c>
      <c r="AK44" s="846">
        <f>SUM(Tabla1[[#This Row],[PRECIO $ BOLSA 50KG  FOB CDO TUC (IVA INC)]]-Tabla1[[#This Row],[PRECIO REF $ BOLSA 50 KG CACTU (IVA INC)]])</f>
        <v>4530.8051506849297</v>
      </c>
      <c r="AL44" s="847">
        <f>IFERROR(Tabla1[[#This Row],[PRECIO $ BOLSA 50KG  FOB CDO TUC (IVA INC)]]/Tabla1[[#This Row],[PRECIO REF $ BOLSA 50 KG CACTU (IVA INC)]]-1,"")</f>
        <v>0.12217352435445417</v>
      </c>
      <c r="AM44" s="846">
        <f>+Tabla1[[#This Row],[DIF $ PRECIO NETO INDUSTRIA vs Neto TUCUMAN (IVA INC)]]*Tabla1[[#This Row],[Q Bolsas Equivalentes 50kg]]</f>
        <v>2356018.6783561632</v>
      </c>
      <c r="AN44" s="846">
        <f>Tabla1[[#This Row],[PRECIO REF $ BOLSA 50 KG CACTU (IVA INC)]]*Tabla1[[#This Row],[Q Bolsas Equivalentes 50kg]]</f>
        <v>19284200</v>
      </c>
      <c r="AO44" s="846">
        <f>+Tabla1[[#This Row],[PRECIO $ BOLSA 50KG  FOB CDO TUC (IVA INC)]]*Tabla1[[#This Row],[Q Bolsas Equivalentes 50kg]]</f>
        <v>21640218.678356163</v>
      </c>
      <c r="AP44" s="847">
        <v>2.9000000000000001E-2</v>
      </c>
      <c r="AQ44" s="846">
        <f t="shared" si="14"/>
        <v>2850</v>
      </c>
      <c r="AR44" s="828">
        <v>60</v>
      </c>
      <c r="AS44" s="849"/>
      <c r="AT44" s="923">
        <f ca="1">+Tabla1[[#This Row],[VENTA TOTAL $ (IVA INC) ]]-(SUM(Tabla1[[#This Row],[PENDIENTE DE ENTREGA]:[VALORES COBRADOS]]))</f>
        <v>0</v>
      </c>
      <c r="AU44" s="850">
        <f>VLOOKUP(Tabla1[[#This Row],[FECHA OC]],'TIPO DE CAMBIO'!A:B,2,TRUE)</f>
        <v>1394.1232</v>
      </c>
      <c r="AV44" s="850">
        <f>+Tabla1[[#This Row],[SUBTOTAL]]/Tabla1[[#This Row],[TIPO DE CAMBIO]]</f>
        <v>13949.986629589121</v>
      </c>
      <c r="AW44" s="851"/>
      <c r="AX44" s="850">
        <f>IFERROR(Tabla1[[#This Row],[VENTA TOTAL USD A PLAZO EN CLIENTE  (SIN IVA)]]*(1+Tabla1[[#This Row],[% IVA ]]),"")</f>
        <v>13949.986629589121</v>
      </c>
      <c r="AY44" s="850">
        <f>+Tabla1[[#This Row],[VENTA TOTAL USD A PLAZO EN CLIENTE  (SIN IVA)]]/Tabla1[[#This Row],[KGS]]*1000</f>
        <v>536.53794729188928</v>
      </c>
      <c r="AZ44" s="850">
        <f>-Tabla1[[#This Row],[COSTO FLETE $ POR BOLSA 5O KG (SIN IVA)]]*20/Tabla1[[#This Row],[TIPO DE CAMBIO]]</f>
        <v>-40.88591309577231</v>
      </c>
      <c r="BA44" s="850">
        <f>+Tabla1[[#This Row],[GASTOS FINANCIEROS $ BOLSA 50 KG (IVA INC)]]*20/Tabla1[[#This Row],[TIPO DE CAMBIO]]</f>
        <v>-0.77371711933448195</v>
      </c>
      <c r="BB44" s="850">
        <f>+Tabla1[[#This Row],[PRECIO POR TN USD EN CLIENTE A PLAZO (SIN IVA)]]+Tabla1[[#This Row],[COSTO USD FLETE /TN (SIN IVA)]]+Tabla1[[#This Row],[COSTO FINANCIERO USD POR BOLSA 50KG (IVA INC)]]</f>
        <v>494.87831707678248</v>
      </c>
      <c r="BC44" s="828">
        <v>2</v>
      </c>
      <c r="BD44" s="944"/>
    </row>
    <row r="45" spans="1:56" ht="15.75" customHeight="1">
      <c r="A45" s="912">
        <v>46143</v>
      </c>
      <c r="B45" s="828">
        <v>1</v>
      </c>
      <c r="C45" s="792" t="s">
        <v>417</v>
      </c>
      <c r="D45" s="829">
        <f>+Tabla1[[#This Row],[FECHA Entrega]]</f>
        <v>46171</v>
      </c>
      <c r="E45" s="830"/>
      <c r="F45" s="831" t="s">
        <v>448</v>
      </c>
      <c r="G45" s="832" t="s">
        <v>216</v>
      </c>
      <c r="H45" s="852">
        <v>46171</v>
      </c>
      <c r="I45" s="834">
        <f>800*50</f>
        <v>40000</v>
      </c>
      <c r="J45" s="835">
        <f>600/1.21</f>
        <v>495.86776859504135</v>
      </c>
      <c r="K45" s="836">
        <f t="shared" si="1"/>
        <v>19834710.743801653</v>
      </c>
      <c r="L4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45" s="837">
        <f t="shared" si="0"/>
        <v>24000000</v>
      </c>
      <c r="N45" s="838">
        <v>0</v>
      </c>
      <c r="O45" s="838">
        <v>0</v>
      </c>
      <c r="P45" s="838">
        <v>0</v>
      </c>
      <c r="Q45" s="839">
        <f>+Tabla1[[#This Row],[VENTA TOTAL $ (IVA INC) ]]-Tabla1[[#This Row],[PENDIENTE DE COBRO]]</f>
        <v>24000000</v>
      </c>
      <c r="R45" s="840">
        <v>46093</v>
      </c>
      <c r="S45" s="840">
        <f>+Tabla1[[#This Row],[FECHA FC]]+Tabla1[[#This Row],[PLAZO PAGO (DIAS)]]</f>
        <v>46171</v>
      </c>
      <c r="T45" s="834">
        <f t="shared" ca="1" si="5"/>
        <v>-10</v>
      </c>
      <c r="U45" s="831">
        <f>+Tabla1[[#This Row],[FECHA RETIRO VALORES]]-Tabla1[[#This Row],[FECHA Entrega]]</f>
        <v>-78</v>
      </c>
      <c r="V45" s="831"/>
      <c r="W45" s="841">
        <f t="shared" ref="W45:W47" si="20">+S45+7</f>
        <v>46178</v>
      </c>
      <c r="X45" s="831" t="s">
        <v>538</v>
      </c>
      <c r="Y45" s="840">
        <v>46094</v>
      </c>
      <c r="Z45" s="842">
        <f>Tabla1[[#This Row],[KGS]]/50</f>
        <v>800</v>
      </c>
      <c r="AA4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45" s="844">
        <f>-Tabla1[[#This Row],[COSTO FLETE $ POR BOLSA 5O KG (SIN IVA)]]*1.21-Tabla1[[#This Row],[PRECIO $/ KG A PLAZO EN CLIENTE ( SIN IVA)]]*0.003*1.21*50</f>
        <v>0.14499999999999602</v>
      </c>
      <c r="AC45" s="845">
        <f>SUM(Tabla1[[#This Row],[PRECIO $ BOLSA 50 KG (IVA INC) ]]+Tabla1[[#This Row],[COSTO FLETE $ BOLSA 50 KG (IVA INC)]])</f>
        <v>30000.145</v>
      </c>
      <c r="AD45" s="844">
        <f>-Tabla1[[#This Row],[PRECIO $ BOLSA 50 KG (IVA INC) ]]*(Tabla1[[#This Row],[TASA FINANCIACION MENSUAL]]/365)*Tabla1[[#This Row],[PLAZO ENTREGA VALORES]]</f>
        <v>185.91780821917808</v>
      </c>
      <c r="AE45" s="845">
        <f>SUM(Tabla1[[#This Row],[PRECIO $ BOLSA50 KG  FOB TUCUMAN A PLAZO (IVA INC)]]+Tabla1[[#This Row],[GASTOS FINANCIEROS $ BOLSA 50 KG (IVA INC)]])</f>
        <v>30186.06280821918</v>
      </c>
      <c r="AF45" s="828" t="s">
        <v>359</v>
      </c>
      <c r="AG45" s="828" t="s">
        <v>365</v>
      </c>
      <c r="AH45" s="828" t="s">
        <v>387</v>
      </c>
      <c r="AI45" s="828" t="s">
        <v>391</v>
      </c>
      <c r="AJ4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35314</v>
      </c>
      <c r="AK45" s="846">
        <f>SUM(Tabla1[[#This Row],[PRECIO $ BOLSA 50KG  FOB CDO TUC (IVA INC)]]-Tabla1[[#This Row],[PRECIO REF $ BOLSA 50 KG CACTU (IVA INC)]])</f>
        <v>-5127.9371917808203</v>
      </c>
      <c r="AL45" s="847">
        <f>IFERROR(Tabla1[[#This Row],[PRECIO $ BOLSA 50KG  FOB CDO TUC (IVA INC)]]/Tabla1[[#This Row],[PRECIO REF $ BOLSA 50 KG CACTU (IVA INC)]]-1,"")</f>
        <v>-0.14520975227334254</v>
      </c>
      <c r="AM45" s="846">
        <f>+Tabla1[[#This Row],[DIF $ PRECIO NETO INDUSTRIA vs Neto TUCUMAN (IVA INC)]]*Tabla1[[#This Row],[Q Bolsas Equivalentes 50kg]]</f>
        <v>-4102349.7534246561</v>
      </c>
      <c r="AN45" s="846">
        <f>Tabla1[[#This Row],[PRECIO REF $ BOLSA 50 KG CACTU (IVA INC)]]*Tabla1[[#This Row],[Q Bolsas Equivalentes 50kg]]</f>
        <v>28251200</v>
      </c>
      <c r="AO45" s="846">
        <f>+Tabla1[[#This Row],[PRECIO $ BOLSA 50KG  FOB CDO TUC (IVA INC)]]*Tabla1[[#This Row],[Q Bolsas Equivalentes 50kg]]</f>
        <v>24148850.246575344</v>
      </c>
      <c r="AP45" s="847">
        <v>2.9000000000000001E-2</v>
      </c>
      <c r="AQ45" s="846">
        <v>-74.5</v>
      </c>
      <c r="AR45" s="828">
        <v>0</v>
      </c>
      <c r="AS45" s="849"/>
      <c r="AT45" s="923">
        <f>+Tabla1[[#This Row],[VENTA TOTAL $ (IVA INC) ]]-(SUM(Tabla1[[#This Row],[PENDIENTE DE ENTREGA]:[VALORES COBRADOS]]))</f>
        <v>0</v>
      </c>
      <c r="AU45" s="850">
        <f>VLOOKUP(Tabla1[[#This Row],[FECHA OC]],'TIPO DE CAMBIO'!A:B,2,TRUE)</f>
        <v>1392.9851000000001</v>
      </c>
      <c r="AV45" s="850">
        <f>+Tabla1[[#This Row],[SUBTOTAL]]/Tabla1[[#This Row],[TIPO DE CAMBIO]]</f>
        <v>14238.997060199461</v>
      </c>
      <c r="AW45" s="851"/>
      <c r="AX45" s="850">
        <f>IFERROR(Tabla1[[#This Row],[VENTA TOTAL USD A PLAZO EN CLIENTE  (SIN IVA)]]*(1+Tabla1[[#This Row],[% IVA ]]),"")</f>
        <v>14238.997060199461</v>
      </c>
      <c r="AY45" s="850">
        <f>+Tabla1[[#This Row],[VENTA TOTAL USD A PLAZO EN CLIENTE  (SIN IVA)]]/Tabla1[[#This Row],[KGS]]*1000</f>
        <v>355.97492650498651</v>
      </c>
      <c r="AZ45" s="850">
        <f>-Tabla1[[#This Row],[COSTO FLETE $ POR BOLSA 5O KG (SIN IVA)]]*20/Tabla1[[#This Row],[TIPO DE CAMBIO]]</f>
        <v>1.0696453249930669</v>
      </c>
      <c r="BA45" s="850">
        <f>+Tabla1[[#This Row],[GASTOS FINANCIEROS $ BOLSA 50 KG (IVA INC)]]*20/Tabla1[[#This Row],[TIPO DE CAMBIO]]</f>
        <v>2.6693438173772006</v>
      </c>
      <c r="BB45" s="850">
        <f>+Tabla1[[#This Row],[PRECIO POR TN USD EN CLIENTE A PLAZO (SIN IVA)]]+Tabla1[[#This Row],[COSTO USD FLETE /TN (SIN IVA)]]+Tabla1[[#This Row],[COSTO FINANCIERO USD POR BOLSA 50KG (IVA INC)]]</f>
        <v>359.71391564735677</v>
      </c>
      <c r="BC45" s="828">
        <v>4</v>
      </c>
      <c r="BD45" s="944" t="s">
        <v>485</v>
      </c>
    </row>
    <row r="46" spans="1:56" ht="15.75" customHeight="1">
      <c r="A46" s="912">
        <v>46143</v>
      </c>
      <c r="B46" s="828">
        <v>1</v>
      </c>
      <c r="C46" s="792" t="s">
        <v>417</v>
      </c>
      <c r="D46" s="829">
        <f>+Tabla1[[#This Row],[FECHA Entrega]]</f>
        <v>46171</v>
      </c>
      <c r="E46" s="830"/>
      <c r="F46" s="831" t="s">
        <v>448</v>
      </c>
      <c r="G46" s="832" t="s">
        <v>216</v>
      </c>
      <c r="H46" s="852">
        <v>46171</v>
      </c>
      <c r="I46" s="834">
        <f>800*50</f>
        <v>40000</v>
      </c>
      <c r="J46" s="835">
        <f t="shared" ref="J46:J47" si="21">600/1.21</f>
        <v>495.86776859504135</v>
      </c>
      <c r="K46" s="836">
        <f t="shared" si="1"/>
        <v>19834710.743801653</v>
      </c>
      <c r="L4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46" s="837">
        <f t="shared" si="0"/>
        <v>24000000</v>
      </c>
      <c r="N46" s="838">
        <v>0</v>
      </c>
      <c r="O46" s="838">
        <v>0</v>
      </c>
      <c r="P46" s="855">
        <v>0</v>
      </c>
      <c r="Q46" s="839">
        <f>+Tabla1[[#This Row],[VENTA TOTAL $ (IVA INC) ]]-Tabla1[[#This Row],[PENDIENTE DE COBRO]]</f>
        <v>24000000</v>
      </c>
      <c r="R46" s="840">
        <v>46093</v>
      </c>
      <c r="S46" s="840">
        <f>+Tabla1[[#This Row],[FECHA FC]]+Tabla1[[#This Row],[PLAZO PAGO (DIAS)]]</f>
        <v>46171</v>
      </c>
      <c r="T46" s="834">
        <f t="shared" ca="1" si="5"/>
        <v>-10</v>
      </c>
      <c r="U46" s="831">
        <f>+Tabla1[[#This Row],[FECHA RETIRO VALORES]]-Tabla1[[#This Row],[FECHA Entrega]]</f>
        <v>-78</v>
      </c>
      <c r="V46" s="831"/>
      <c r="W46" s="841">
        <f t="shared" si="20"/>
        <v>46178</v>
      </c>
      <c r="X46" s="831" t="s">
        <v>538</v>
      </c>
      <c r="Y46" s="840">
        <v>46094</v>
      </c>
      <c r="Z46" s="842">
        <f>Tabla1[[#This Row],[KGS]]/50</f>
        <v>800</v>
      </c>
      <c r="AA4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46" s="844">
        <f>-Tabla1[[#This Row],[COSTO FLETE $ POR BOLSA 5O KG (SIN IVA)]]*1.21-Tabla1[[#This Row],[PRECIO $/ KG A PLAZO EN CLIENTE ( SIN IVA)]]*0.003*1.21*50</f>
        <v>0.14499999999999602</v>
      </c>
      <c r="AC46" s="845">
        <f>SUM(Tabla1[[#This Row],[PRECIO $ BOLSA 50 KG (IVA INC) ]]+Tabla1[[#This Row],[COSTO FLETE $ BOLSA 50 KG (IVA INC)]])</f>
        <v>30000.145</v>
      </c>
      <c r="AD46" s="844">
        <f>-Tabla1[[#This Row],[PRECIO $ BOLSA 50 KG (IVA INC) ]]*(Tabla1[[#This Row],[TASA FINANCIACION MENSUAL]]/365)*Tabla1[[#This Row],[PLAZO ENTREGA VALORES]]</f>
        <v>185.91780821917808</v>
      </c>
      <c r="AE46" s="845">
        <f>SUM(Tabla1[[#This Row],[PRECIO $ BOLSA50 KG  FOB TUCUMAN A PLAZO (IVA INC)]]+Tabla1[[#This Row],[GASTOS FINANCIEROS $ BOLSA 50 KG (IVA INC)]])</f>
        <v>30186.06280821918</v>
      </c>
      <c r="AF46" s="828" t="s">
        <v>359</v>
      </c>
      <c r="AG46" s="828" t="s">
        <v>365</v>
      </c>
      <c r="AH46" s="828" t="s">
        <v>387</v>
      </c>
      <c r="AI46" s="828" t="s">
        <v>391</v>
      </c>
      <c r="AJ4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35314</v>
      </c>
      <c r="AK46" s="846">
        <f>SUM(Tabla1[[#This Row],[PRECIO $ BOLSA 50KG  FOB CDO TUC (IVA INC)]]-Tabla1[[#This Row],[PRECIO REF $ BOLSA 50 KG CACTU (IVA INC)]])</f>
        <v>-5127.9371917808203</v>
      </c>
      <c r="AL46" s="847">
        <f>IFERROR(Tabla1[[#This Row],[PRECIO $ BOLSA 50KG  FOB CDO TUC (IVA INC)]]/Tabla1[[#This Row],[PRECIO REF $ BOLSA 50 KG CACTU (IVA INC)]]-1,"")</f>
        <v>-0.14520975227334254</v>
      </c>
      <c r="AM46" s="846">
        <f>+Tabla1[[#This Row],[DIF $ PRECIO NETO INDUSTRIA vs Neto TUCUMAN (IVA INC)]]*Tabla1[[#This Row],[Q Bolsas Equivalentes 50kg]]</f>
        <v>-4102349.7534246561</v>
      </c>
      <c r="AN46" s="846">
        <f>Tabla1[[#This Row],[PRECIO REF $ BOLSA 50 KG CACTU (IVA INC)]]*Tabla1[[#This Row],[Q Bolsas Equivalentes 50kg]]</f>
        <v>28251200</v>
      </c>
      <c r="AO46" s="846">
        <f>+Tabla1[[#This Row],[PRECIO $ BOLSA 50KG  FOB CDO TUC (IVA INC)]]*Tabla1[[#This Row],[Q Bolsas Equivalentes 50kg]]</f>
        <v>24148850.246575344</v>
      </c>
      <c r="AP46" s="847">
        <v>2.9000000000000001E-2</v>
      </c>
      <c r="AQ46" s="846">
        <v>-74.5</v>
      </c>
      <c r="AR46" s="828">
        <v>0</v>
      </c>
      <c r="AS46" s="849"/>
      <c r="AT46" s="925">
        <f>+Tabla1[[#This Row],[VENTA TOTAL $ (IVA INC) ]]-(SUM(Tabla1[[#This Row],[PENDIENTE DE ENTREGA]:[VALORES COBRADOS]]))</f>
        <v>0</v>
      </c>
      <c r="AU46" s="850">
        <f>VLOOKUP(Tabla1[[#This Row],[FECHA OC]],'TIPO DE CAMBIO'!A:B,2,TRUE)</f>
        <v>1392.9851000000001</v>
      </c>
      <c r="AV46" s="850">
        <f>+Tabla1[[#This Row],[SUBTOTAL]]/Tabla1[[#This Row],[TIPO DE CAMBIO]]</f>
        <v>14238.997060199461</v>
      </c>
      <c r="AW46" s="851"/>
      <c r="AX46" s="850">
        <f>IFERROR(Tabla1[[#This Row],[VENTA TOTAL USD A PLAZO EN CLIENTE  (SIN IVA)]]*(1+Tabla1[[#This Row],[% IVA ]]),"")</f>
        <v>14238.997060199461</v>
      </c>
      <c r="AY46" s="850">
        <f>+Tabla1[[#This Row],[VENTA TOTAL USD A PLAZO EN CLIENTE  (SIN IVA)]]/Tabla1[[#This Row],[KGS]]*1000</f>
        <v>355.97492650498651</v>
      </c>
      <c r="AZ46" s="850">
        <f>-Tabla1[[#This Row],[COSTO FLETE $ POR BOLSA 5O KG (SIN IVA)]]*20/Tabla1[[#This Row],[TIPO DE CAMBIO]]</f>
        <v>1.0696453249930669</v>
      </c>
      <c r="BA46" s="850">
        <f>+Tabla1[[#This Row],[GASTOS FINANCIEROS $ BOLSA 50 KG (IVA INC)]]*20/Tabla1[[#This Row],[TIPO DE CAMBIO]]</f>
        <v>2.6693438173772006</v>
      </c>
      <c r="BB46" s="850">
        <f>+Tabla1[[#This Row],[PRECIO POR TN USD EN CLIENTE A PLAZO (SIN IVA)]]+Tabla1[[#This Row],[COSTO USD FLETE /TN (SIN IVA)]]+Tabla1[[#This Row],[COSTO FINANCIERO USD POR BOLSA 50KG (IVA INC)]]</f>
        <v>359.71391564735677</v>
      </c>
      <c r="BC46" s="828">
        <v>4</v>
      </c>
      <c r="BD46" s="944" t="s">
        <v>485</v>
      </c>
    </row>
    <row r="47" spans="1:56" ht="15.75" customHeight="1">
      <c r="A47" s="912">
        <v>46143</v>
      </c>
      <c r="B47" s="828">
        <v>1</v>
      </c>
      <c r="C47" s="792" t="s">
        <v>417</v>
      </c>
      <c r="D47" s="829">
        <f>+Tabla1[[#This Row],[FECHA Entrega]]</f>
        <v>46172</v>
      </c>
      <c r="E47" s="830"/>
      <c r="F47" s="831" t="s">
        <v>448</v>
      </c>
      <c r="G47" s="832" t="s">
        <v>216</v>
      </c>
      <c r="H47" s="852">
        <v>46172</v>
      </c>
      <c r="I47" s="834">
        <f>800*50</f>
        <v>40000</v>
      </c>
      <c r="J47" s="835">
        <f t="shared" si="21"/>
        <v>495.86776859504135</v>
      </c>
      <c r="K47" s="836">
        <f t="shared" ref="K47" si="22">+J47*I47</f>
        <v>19834710.743801653</v>
      </c>
      <c r="L4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47" s="837">
        <f t="shared" si="0"/>
        <v>24000000</v>
      </c>
      <c r="N47" s="838">
        <v>0</v>
      </c>
      <c r="O47" s="838">
        <v>0</v>
      </c>
      <c r="P47" s="855">
        <v>0</v>
      </c>
      <c r="Q47" s="839">
        <f>+Tabla1[[#This Row],[VENTA TOTAL $ (IVA INC) ]]-Tabla1[[#This Row],[PENDIENTE DE COBRO]]</f>
        <v>24000000</v>
      </c>
      <c r="R47" s="840">
        <v>46093</v>
      </c>
      <c r="S47" s="840">
        <f>+Tabla1[[#This Row],[FECHA FC]]+Tabla1[[#This Row],[PLAZO PAGO (DIAS)]]</f>
        <v>46172</v>
      </c>
      <c r="T47" s="834">
        <f t="shared" ref="T47" ca="1" si="23">+S47-$U$2</f>
        <v>-9</v>
      </c>
      <c r="U47" s="831">
        <f>+Tabla1[[#This Row],[FECHA RETIRO VALORES]]-Tabla1[[#This Row],[FECHA Entrega]]</f>
        <v>-79</v>
      </c>
      <c r="V47" s="831"/>
      <c r="W47" s="841">
        <f t="shared" si="20"/>
        <v>46179</v>
      </c>
      <c r="X47" s="831" t="s">
        <v>538</v>
      </c>
      <c r="Y47" s="840">
        <v>46094</v>
      </c>
      <c r="Z47" s="842">
        <f>Tabla1[[#This Row],[KGS]]/50</f>
        <v>800</v>
      </c>
      <c r="AA4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47" s="844">
        <f>-Tabla1[[#This Row],[COSTO FLETE $ POR BOLSA 5O KG (SIN IVA)]]*1.21-Tabla1[[#This Row],[PRECIO $/ KG A PLAZO EN CLIENTE ( SIN IVA)]]*0.003*1.21*50</f>
        <v>0.14499999999999602</v>
      </c>
      <c r="AC47" s="845">
        <f>SUM(Tabla1[[#This Row],[PRECIO $ BOLSA 50 KG (IVA INC) ]]+Tabla1[[#This Row],[COSTO FLETE $ BOLSA 50 KG (IVA INC)]])</f>
        <v>30000.145</v>
      </c>
      <c r="AD47" s="844">
        <f>-Tabla1[[#This Row],[PRECIO $ BOLSA 50 KG (IVA INC) ]]*(Tabla1[[#This Row],[TASA FINANCIACION MENSUAL]]/365)*Tabla1[[#This Row],[PLAZO ENTREGA VALORES]]</f>
        <v>188.30136986301372</v>
      </c>
      <c r="AE47" s="845">
        <f>SUM(Tabla1[[#This Row],[PRECIO $ BOLSA50 KG  FOB TUCUMAN A PLAZO (IVA INC)]]+Tabla1[[#This Row],[GASTOS FINANCIEROS $ BOLSA 50 KG (IVA INC)]])</f>
        <v>30188.446369863013</v>
      </c>
      <c r="AF47" s="828" t="s">
        <v>359</v>
      </c>
      <c r="AG47" s="828" t="s">
        <v>365</v>
      </c>
      <c r="AH47" s="828" t="s">
        <v>387</v>
      </c>
      <c r="AI47" s="828" t="s">
        <v>391</v>
      </c>
      <c r="AJ4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35314</v>
      </c>
      <c r="AK47" s="846">
        <f>SUM(Tabla1[[#This Row],[PRECIO $ BOLSA 50KG  FOB CDO TUC (IVA INC)]]-Tabla1[[#This Row],[PRECIO REF $ BOLSA 50 KG CACTU (IVA INC)]])</f>
        <v>-5125.5536301369866</v>
      </c>
      <c r="AL47" s="847">
        <f>IFERROR(Tabla1[[#This Row],[PRECIO $ BOLSA 50KG  FOB CDO TUC (IVA INC)]]/Tabla1[[#This Row],[PRECIO REF $ BOLSA 50 KG CACTU (IVA INC)]]-1,"")</f>
        <v>-0.14514225604964004</v>
      </c>
      <c r="AM47" s="846">
        <f>+Tabla1[[#This Row],[DIF $ PRECIO NETO INDUSTRIA vs Neto TUCUMAN (IVA INC)]]*Tabla1[[#This Row],[Q Bolsas Equivalentes 50kg]]</f>
        <v>-4100442.9041095893</v>
      </c>
      <c r="AN47" s="846">
        <f>Tabla1[[#This Row],[PRECIO REF $ BOLSA 50 KG CACTU (IVA INC)]]*Tabla1[[#This Row],[Q Bolsas Equivalentes 50kg]]</f>
        <v>28251200</v>
      </c>
      <c r="AO47" s="846">
        <f>+Tabla1[[#This Row],[PRECIO $ BOLSA 50KG  FOB CDO TUC (IVA INC)]]*Tabla1[[#This Row],[Q Bolsas Equivalentes 50kg]]</f>
        <v>24150757.09589041</v>
      </c>
      <c r="AP47" s="847">
        <v>2.9000000000000001E-2</v>
      </c>
      <c r="AQ47" s="846">
        <v>-74.5</v>
      </c>
      <c r="AR47" s="828">
        <v>0</v>
      </c>
      <c r="AS47" s="849"/>
      <c r="AT47" s="925">
        <f>+Tabla1[[#This Row],[VENTA TOTAL $ (IVA INC) ]]-(SUM(Tabla1[[#This Row],[PENDIENTE DE ENTREGA]:[VALORES COBRADOS]]))</f>
        <v>0</v>
      </c>
      <c r="AU47" s="850">
        <f>VLOOKUP(Tabla1[[#This Row],[FECHA OC]],'TIPO DE CAMBIO'!A:B,2,TRUE)</f>
        <v>1392.9851000000001</v>
      </c>
      <c r="AV47" s="850">
        <f>+Tabla1[[#This Row],[SUBTOTAL]]/Tabla1[[#This Row],[TIPO DE CAMBIO]]</f>
        <v>14238.997060199461</v>
      </c>
      <c r="AW47" s="851"/>
      <c r="AX47" s="850">
        <f>IFERROR(Tabla1[[#This Row],[VENTA TOTAL USD A PLAZO EN CLIENTE  (SIN IVA)]]*(1+Tabla1[[#This Row],[% IVA ]]),"")</f>
        <v>14238.997060199461</v>
      </c>
      <c r="AY47" s="850">
        <f>+Tabla1[[#This Row],[VENTA TOTAL USD A PLAZO EN CLIENTE  (SIN IVA)]]/Tabla1[[#This Row],[KGS]]*1000</f>
        <v>355.97492650498651</v>
      </c>
      <c r="AZ47" s="850">
        <f>-Tabla1[[#This Row],[COSTO FLETE $ POR BOLSA 5O KG (SIN IVA)]]*20/Tabla1[[#This Row],[TIPO DE CAMBIO]]</f>
        <v>1.0696453249930669</v>
      </c>
      <c r="BA47" s="850">
        <f>+Tabla1[[#This Row],[GASTOS FINANCIEROS $ BOLSA 50 KG (IVA INC)]]*20/Tabla1[[#This Row],[TIPO DE CAMBIO]]</f>
        <v>2.7035661740102417</v>
      </c>
      <c r="BB47" s="850">
        <f>+Tabla1[[#This Row],[PRECIO POR TN USD EN CLIENTE A PLAZO (SIN IVA)]]+Tabla1[[#This Row],[COSTO USD FLETE /TN (SIN IVA)]]+Tabla1[[#This Row],[COSTO FINANCIERO USD POR BOLSA 50KG (IVA INC)]]</f>
        <v>359.74813800398982</v>
      </c>
      <c r="BC47" s="828">
        <v>4</v>
      </c>
      <c r="BD47" s="944" t="s">
        <v>485</v>
      </c>
    </row>
    <row r="48" spans="1:56" ht="15.75" customHeight="1">
      <c r="A48" s="912">
        <v>46143</v>
      </c>
      <c r="B48" s="828">
        <v>1</v>
      </c>
      <c r="C48" s="792" t="s">
        <v>559</v>
      </c>
      <c r="D48" s="829">
        <f>+Tabla1[[#This Row],[FECHA Entrega]]</f>
        <v>46169</v>
      </c>
      <c r="E48" s="830"/>
      <c r="F48" s="831" t="s">
        <v>468</v>
      </c>
      <c r="G48" s="832" t="s">
        <v>357</v>
      </c>
      <c r="H48" s="852">
        <v>46169</v>
      </c>
      <c r="I48" s="834">
        <f>600*50</f>
        <v>30000</v>
      </c>
      <c r="J48" s="835">
        <f>600/1.21</f>
        <v>495.86776859504135</v>
      </c>
      <c r="K48" s="836">
        <f t="shared" si="1"/>
        <v>14876033.05785124</v>
      </c>
      <c r="L4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3123966.9421487604</v>
      </c>
      <c r="M48" s="837">
        <f t="shared" si="0"/>
        <v>18000000</v>
      </c>
      <c r="N48" s="838">
        <v>0</v>
      </c>
      <c r="O48" s="838">
        <v>0</v>
      </c>
      <c r="P48" s="838">
        <v>0</v>
      </c>
      <c r="Q48" s="839">
        <f>+Tabla1[[#This Row],[VENTA TOTAL $ (IVA INC) ]]-Tabla1[[#This Row],[PENDIENTE DE COBRO]]</f>
        <v>18000000</v>
      </c>
      <c r="R48" s="840">
        <f>+Tabla1[[#This Row],[FECHA FC]]+Tabla1[[#This Row],[PLAZO ENTREGA VALORES]]</f>
        <v>46156</v>
      </c>
      <c r="S48" s="840">
        <f>+Tabla1[[#This Row],[FECHA FC]]+Tabla1[[#This Row],[PLAZO PAGO (DIAS)]]</f>
        <v>46184</v>
      </c>
      <c r="T48" s="834">
        <f t="shared" ca="1" si="5"/>
        <v>3</v>
      </c>
      <c r="U48" s="831">
        <f>+Tabla1[[#This Row],[FECHA OC]]-Tabla1[[#This Row],[FECHA Entrega]]</f>
        <v>-13</v>
      </c>
      <c r="V48" s="831"/>
      <c r="W48" s="841">
        <f>+Tabla1[[#This Row],[FECHA VTO VALORES]]+7</f>
        <v>46191</v>
      </c>
      <c r="X48" s="831" t="s">
        <v>564</v>
      </c>
      <c r="Y48" s="840">
        <v>46156</v>
      </c>
      <c r="Z48" s="842">
        <f>Tabla1[[#This Row],[KGS]]/50</f>
        <v>600</v>
      </c>
      <c r="AA4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48" s="844">
        <f>-Tabla1[[#This Row],[COSTO FLETE $ POR BOLSA 5O KG (SIN IVA)]]*1.21-Tabla1[[#This Row],[PRECIO $/ KG A PLAZO EN CLIENTE ( SIN IVA)]]*0.003*1.21*50</f>
        <v>0.14499999999999602</v>
      </c>
      <c r="AC48" s="845">
        <f>SUM(Tabla1[[#This Row],[PRECIO $ BOLSA 50 KG (IVA INC) ]]+Tabla1[[#This Row],[COSTO FLETE $ BOLSA 50 KG (IVA INC)]])</f>
        <v>30000.145</v>
      </c>
      <c r="AD48" s="844">
        <f>-Tabla1[[#This Row],[PRECIO $ BOLSA 50 KG (IVA INC) ]]*(Tabla1[[#This Row],[TASA FINANCIACION MENSUAL]]/365)*Tabla1[[#This Row],[PLAZO ENTREGA VALORES]]</f>
        <v>30.986301369863018</v>
      </c>
      <c r="AE48" s="845">
        <f>SUM(Tabla1[[#This Row],[PRECIO $ BOLSA50 KG  FOB TUCUMAN A PLAZO (IVA INC)]]+Tabla1[[#This Row],[GASTOS FINANCIEROS $ BOLSA 50 KG (IVA INC)]])</f>
        <v>30031.131301369864</v>
      </c>
      <c r="AF48" s="828" t="s">
        <v>359</v>
      </c>
      <c r="AG48" s="828" t="s">
        <v>365</v>
      </c>
      <c r="AH48" s="828" t="s">
        <v>387</v>
      </c>
      <c r="AI48" s="828" t="s">
        <v>258</v>
      </c>
      <c r="AJ4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48" s="846">
        <f>SUM(Tabla1[[#This Row],[PRECIO $ BOLSA 50KG  FOB CDO TUC (IVA INC)]]-Tabla1[[#This Row],[PRECIO REF $ BOLSA 50 KG CACTU (IVA INC)]])</f>
        <v>-7065.8686986301364</v>
      </c>
      <c r="AL48" s="847">
        <f>IFERROR(Tabla1[[#This Row],[PRECIO $ BOLSA 50KG  FOB CDO TUC (IVA INC)]]/Tabla1[[#This Row],[PRECIO REF $ BOLSA 50 KG CACTU (IVA INC)]]-1,"")</f>
        <v>-0.19047008379734576</v>
      </c>
      <c r="AM48" s="846">
        <f>+Tabla1[[#This Row],[DIF $ PRECIO NETO INDUSTRIA vs Neto TUCUMAN (IVA INC)]]*Tabla1[[#This Row],[Q Bolsas Equivalentes 50kg]]</f>
        <v>-4239521.2191780815</v>
      </c>
      <c r="AN48" s="846">
        <f>Tabla1[[#This Row],[PRECIO REF $ BOLSA 50 KG CACTU (IVA INC)]]*Tabla1[[#This Row],[Q Bolsas Equivalentes 50kg]]</f>
        <v>22258200</v>
      </c>
      <c r="AO48" s="846">
        <f>+Tabla1[[#This Row],[PRECIO $ BOLSA 50KG  FOB CDO TUC (IVA INC)]]*Tabla1[[#This Row],[Q Bolsas Equivalentes 50kg]]</f>
        <v>18018678.780821919</v>
      </c>
      <c r="AP48" s="847">
        <v>2.9000000000000001E-2</v>
      </c>
      <c r="AQ48" s="846">
        <v>-74.5</v>
      </c>
      <c r="AR48" s="848">
        <v>15</v>
      </c>
      <c r="AS48" s="849" t="s">
        <v>560</v>
      </c>
      <c r="AT48" s="923">
        <f>+Tabla1[[#This Row],[VENTA TOTAL $ (IVA INC) ]]-(SUM(Tabla1[[#This Row],[PENDIENTE DE ENTREGA]:[VALORES COBRADOS]]))</f>
        <v>0</v>
      </c>
      <c r="AU48" s="850">
        <f>VLOOKUP(Tabla1[[#This Row],[FECHA OC]],'TIPO DE CAMBIO'!A:B,2,TRUE)</f>
        <v>1393.2321999999999</v>
      </c>
      <c r="AV48" s="850">
        <f>+Tabla1[[#This Row],[SUBTOTAL]]/Tabla1[[#This Row],[TIPO DE CAMBIO]]</f>
        <v>10677.353751837807</v>
      </c>
      <c r="AW48" s="851"/>
      <c r="AX48" s="850">
        <f>IFERROR(Tabla1[[#This Row],[VENTA TOTAL USD A PLAZO EN CLIENTE  (SIN IVA)]]*(1+Tabla1[[#This Row],[% IVA ]]),"")</f>
        <v>10677.353751837807</v>
      </c>
      <c r="AY48" s="850">
        <f>+Tabla1[[#This Row],[VENTA TOTAL USD A PLAZO EN CLIENTE  (SIN IVA)]]/Tabla1[[#This Row],[KGS]]*1000</f>
        <v>355.91179172792692</v>
      </c>
      <c r="AZ48" s="850">
        <f>-Tabla1[[#This Row],[COSTO FLETE $ POR BOLSA 5O KG (SIN IVA)]]*20/Tabla1[[#This Row],[TIPO DE CAMBIO]]</f>
        <v>1.0694556155104655</v>
      </c>
      <c r="BA48" s="850">
        <f>+Tabla1[[#This Row],[GASTOS FINANCIEROS $ BOLSA 50 KG (IVA INC)]]*20/Tabla1[[#This Row],[TIPO DE CAMBIO]]</f>
        <v>0.44481173159596832</v>
      </c>
      <c r="BB48" s="850">
        <f>+Tabla1[[#This Row],[PRECIO POR TN USD EN CLIENTE A PLAZO (SIN IVA)]]+Tabla1[[#This Row],[COSTO USD FLETE /TN (SIN IVA)]]+Tabla1[[#This Row],[COSTO FINANCIERO USD POR BOLSA 50KG (IVA INC)]]</f>
        <v>357.42605907503338</v>
      </c>
      <c r="BC48" s="828">
        <v>4</v>
      </c>
      <c r="BD48" s="944"/>
    </row>
    <row r="49" spans="1:56" ht="15.75" customHeight="1">
      <c r="A49" s="912">
        <v>46143</v>
      </c>
      <c r="B49" s="828">
        <v>1</v>
      </c>
      <c r="C49" s="792" t="s">
        <v>559</v>
      </c>
      <c r="D49" s="829">
        <f>+Tabla1[[#This Row],[FECHA Entrega]]</f>
        <v>46173</v>
      </c>
      <c r="E49" s="830"/>
      <c r="F49" s="831" t="s">
        <v>468</v>
      </c>
      <c r="G49" s="832" t="s">
        <v>357</v>
      </c>
      <c r="H49" s="852">
        <v>46173</v>
      </c>
      <c r="I49" s="834">
        <f t="shared" ref="I49:I52" si="24">600*50</f>
        <v>30000</v>
      </c>
      <c r="J49" s="835">
        <f t="shared" ref="J49:J52" si="25">600/1.21</f>
        <v>495.86776859504135</v>
      </c>
      <c r="K49" s="836">
        <f t="shared" si="1"/>
        <v>14876033.05785124</v>
      </c>
      <c r="L4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3123966.9421487604</v>
      </c>
      <c r="M49" s="837">
        <f t="shared" si="0"/>
        <v>18000000</v>
      </c>
      <c r="N49" s="838">
        <v>0</v>
      </c>
      <c r="O49" s="838">
        <v>0</v>
      </c>
      <c r="P49" s="838">
        <v>0</v>
      </c>
      <c r="Q49" s="839">
        <f>+Tabla1[[#This Row],[VENTA TOTAL $ (IVA INC) ]]-Tabla1[[#This Row],[PENDIENTE DE COBRO]]</f>
        <v>18000000</v>
      </c>
      <c r="R49" s="840">
        <f>+Tabla1[[#This Row],[FECHA FC]]+Tabla1[[#This Row],[PLAZO ENTREGA VALORES]]</f>
        <v>46156</v>
      </c>
      <c r="S49" s="840">
        <f>+Tabla1[[#This Row],[FECHA FC]]+Tabla1[[#This Row],[PLAZO PAGO (DIAS)]]</f>
        <v>46188</v>
      </c>
      <c r="T49" s="834">
        <f t="shared" ca="1" si="5"/>
        <v>7</v>
      </c>
      <c r="U49" s="831">
        <f>+Tabla1[[#This Row],[FECHA OC]]-Tabla1[[#This Row],[FECHA Entrega]]</f>
        <v>-17</v>
      </c>
      <c r="V49" s="831"/>
      <c r="W49" s="841">
        <f t="shared" ref="W49:W62" si="26">+S49+7</f>
        <v>46195</v>
      </c>
      <c r="X49" s="831" t="s">
        <v>564</v>
      </c>
      <c r="Y49" s="840">
        <v>46156</v>
      </c>
      <c r="Z49" s="842">
        <f>Tabla1[[#This Row],[KGS]]/50</f>
        <v>600</v>
      </c>
      <c r="AA4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49" s="844">
        <f>-Tabla1[[#This Row],[COSTO FLETE $ POR BOLSA 5O KG (SIN IVA)]]*1.21-Tabla1[[#This Row],[PRECIO $/ KG A PLAZO EN CLIENTE ( SIN IVA)]]*0.003*1.21*50</f>
        <v>0.14499999999999602</v>
      </c>
      <c r="AC49" s="845">
        <f>SUM(Tabla1[[#This Row],[PRECIO $ BOLSA 50 KG (IVA INC) ]]+Tabla1[[#This Row],[COSTO FLETE $ BOLSA 50 KG (IVA INC)]])</f>
        <v>30000.145</v>
      </c>
      <c r="AD49" s="844">
        <f>-Tabla1[[#This Row],[PRECIO $ BOLSA 50 KG (IVA INC) ]]*(Tabla1[[#This Row],[TASA FINANCIACION MENSUAL]]/365)*Tabla1[[#This Row],[PLAZO ENTREGA VALORES]]</f>
        <v>40.520547945205486</v>
      </c>
      <c r="AE49" s="845">
        <f>SUM(Tabla1[[#This Row],[PRECIO $ BOLSA50 KG  FOB TUCUMAN A PLAZO (IVA INC)]]+Tabla1[[#This Row],[GASTOS FINANCIEROS $ BOLSA 50 KG (IVA INC)]])</f>
        <v>30040.665547945206</v>
      </c>
      <c r="AF49" s="828" t="s">
        <v>359</v>
      </c>
      <c r="AG49" s="828" t="s">
        <v>365</v>
      </c>
      <c r="AH49" s="828" t="s">
        <v>387</v>
      </c>
      <c r="AI49" s="828" t="s">
        <v>258</v>
      </c>
      <c r="AJ4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49" s="846">
        <f>SUM(Tabla1[[#This Row],[PRECIO $ BOLSA 50KG  FOB CDO TUC (IVA INC)]]-Tabla1[[#This Row],[PRECIO REF $ BOLSA 50 KG CACTU (IVA INC)]])</f>
        <v>-7056.3344520547944</v>
      </c>
      <c r="AL49" s="847">
        <f>IFERROR(Tabla1[[#This Row],[PRECIO $ BOLSA 50KG  FOB CDO TUC (IVA INC)]]/Tabla1[[#This Row],[PRECIO REF $ BOLSA 50 KG CACTU (IVA INC)]]-1,"")</f>
        <v>-0.1902130752366713</v>
      </c>
      <c r="AM49" s="846">
        <f>+Tabla1[[#This Row],[DIF $ PRECIO NETO INDUSTRIA vs Neto TUCUMAN (IVA INC)]]*Tabla1[[#This Row],[Q Bolsas Equivalentes 50kg]]</f>
        <v>-4233800.6712328764</v>
      </c>
      <c r="AN49" s="846">
        <f>Tabla1[[#This Row],[PRECIO REF $ BOLSA 50 KG CACTU (IVA INC)]]*Tabla1[[#This Row],[Q Bolsas Equivalentes 50kg]]</f>
        <v>22258200</v>
      </c>
      <c r="AO49" s="846">
        <f>+Tabla1[[#This Row],[PRECIO $ BOLSA 50KG  FOB CDO TUC (IVA INC)]]*Tabla1[[#This Row],[Q Bolsas Equivalentes 50kg]]</f>
        <v>18024399.328767125</v>
      </c>
      <c r="AP49" s="847">
        <v>2.9000000000000001E-2</v>
      </c>
      <c r="AQ49" s="846">
        <v>-74.5</v>
      </c>
      <c r="AR49" s="848">
        <v>15</v>
      </c>
      <c r="AS49" s="849" t="s">
        <v>561</v>
      </c>
      <c r="AT49" s="923">
        <f>+Tabla1[[#This Row],[VENTA TOTAL $ (IVA INC) ]]-(SUM(Tabla1[[#This Row],[PENDIENTE DE ENTREGA]:[VALORES COBRADOS]]))</f>
        <v>0</v>
      </c>
      <c r="AU49" s="850">
        <f>VLOOKUP(Tabla1[[#This Row],[FECHA OC]],'TIPO DE CAMBIO'!A:B,2,TRUE)</f>
        <v>1393.2321999999999</v>
      </c>
      <c r="AV49" s="850">
        <f>+Tabla1[[#This Row],[SUBTOTAL]]/Tabla1[[#This Row],[TIPO DE CAMBIO]]</f>
        <v>10677.353751837807</v>
      </c>
      <c r="AW49" s="851"/>
      <c r="AX49" s="850">
        <f>IFERROR(Tabla1[[#This Row],[VENTA TOTAL USD A PLAZO EN CLIENTE  (SIN IVA)]]*(1+Tabla1[[#This Row],[% IVA ]]),"")</f>
        <v>10677.353751837807</v>
      </c>
      <c r="AY49" s="850">
        <f>+Tabla1[[#This Row],[VENTA TOTAL USD A PLAZO EN CLIENTE  (SIN IVA)]]/Tabla1[[#This Row],[KGS]]*1000</f>
        <v>355.91179172792692</v>
      </c>
      <c r="AZ49" s="850">
        <f>-Tabla1[[#This Row],[COSTO FLETE $ POR BOLSA 5O KG (SIN IVA)]]*20/Tabla1[[#This Row],[TIPO DE CAMBIO]]</f>
        <v>1.0694556155104655</v>
      </c>
      <c r="BA49" s="850">
        <f>+Tabla1[[#This Row],[GASTOS FINANCIEROS $ BOLSA 50 KG (IVA INC)]]*20/Tabla1[[#This Row],[TIPO DE CAMBIO]]</f>
        <v>0.58167687977934313</v>
      </c>
      <c r="BB49" s="850">
        <f>+Tabla1[[#This Row],[PRECIO POR TN USD EN CLIENTE A PLAZO (SIN IVA)]]+Tabla1[[#This Row],[COSTO USD FLETE /TN (SIN IVA)]]+Tabla1[[#This Row],[COSTO FINANCIERO USD POR BOLSA 50KG (IVA INC)]]</f>
        <v>357.56292422321678</v>
      </c>
      <c r="BC49" s="828">
        <v>4</v>
      </c>
      <c r="BD49" s="944"/>
    </row>
    <row r="50" spans="1:56" ht="15.75" customHeight="1">
      <c r="A50" s="912">
        <v>46143</v>
      </c>
      <c r="B50" s="828">
        <v>1</v>
      </c>
      <c r="C50" s="792" t="s">
        <v>559</v>
      </c>
      <c r="D50" s="829">
        <f>+Tabla1[[#This Row],[FECHA Entrega]]</f>
        <v>46176</v>
      </c>
      <c r="E50" s="830"/>
      <c r="F50" s="831" t="s">
        <v>468</v>
      </c>
      <c r="G50" s="832" t="s">
        <v>357</v>
      </c>
      <c r="H50" s="852">
        <v>46176</v>
      </c>
      <c r="I50" s="834">
        <f t="shared" si="24"/>
        <v>30000</v>
      </c>
      <c r="J50" s="835">
        <f t="shared" si="25"/>
        <v>495.86776859504135</v>
      </c>
      <c r="K50" s="836">
        <f t="shared" si="1"/>
        <v>14876033.05785124</v>
      </c>
      <c r="L5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3123966.9421487604</v>
      </c>
      <c r="M50" s="837">
        <f t="shared" si="0"/>
        <v>18000000</v>
      </c>
      <c r="N50" s="838">
        <v>0</v>
      </c>
      <c r="O50" s="838">
        <v>0</v>
      </c>
      <c r="P50" s="838">
        <v>0</v>
      </c>
      <c r="Q50" s="839">
        <f>+Tabla1[[#This Row],[VENTA TOTAL $ (IVA INC) ]]-Tabla1[[#This Row],[PENDIENTE DE COBRO]]</f>
        <v>18000000</v>
      </c>
      <c r="R50" s="840">
        <f>+Tabla1[[#This Row],[FECHA FC]]+Tabla1[[#This Row],[PLAZO ENTREGA VALORES]]</f>
        <v>46156</v>
      </c>
      <c r="S50" s="840">
        <f>+Tabla1[[#This Row],[FECHA FC]]+Tabla1[[#This Row],[PLAZO PAGO (DIAS)]]</f>
        <v>46206</v>
      </c>
      <c r="T50" s="834">
        <f t="shared" ca="1" si="5"/>
        <v>25</v>
      </c>
      <c r="U50" s="831">
        <f>+Tabla1[[#This Row],[FECHA OC]]-Tabla1[[#This Row],[FECHA Entrega]]</f>
        <v>-20</v>
      </c>
      <c r="V50" s="831"/>
      <c r="W50" s="841">
        <f t="shared" si="26"/>
        <v>46213</v>
      </c>
      <c r="X50" s="831" t="s">
        <v>564</v>
      </c>
      <c r="Y50" s="840">
        <v>46156</v>
      </c>
      <c r="Z50" s="842">
        <f>Tabla1[[#This Row],[KGS]]/50</f>
        <v>600</v>
      </c>
      <c r="AA5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50" s="844">
        <f>-Tabla1[[#This Row],[COSTO FLETE $ POR BOLSA 5O KG (SIN IVA)]]*1.21-Tabla1[[#This Row],[PRECIO $/ KG A PLAZO EN CLIENTE ( SIN IVA)]]*0.003*1.21*50</f>
        <v>0.14499999999999602</v>
      </c>
      <c r="AC50" s="845">
        <f>SUM(Tabla1[[#This Row],[PRECIO $ BOLSA 50 KG (IVA INC) ]]+Tabla1[[#This Row],[COSTO FLETE $ BOLSA 50 KG (IVA INC)]])</f>
        <v>30000.145</v>
      </c>
      <c r="AD50" s="844">
        <f>-Tabla1[[#This Row],[PRECIO $ BOLSA 50 KG (IVA INC) ]]*(Tabla1[[#This Row],[TASA FINANCIACION MENSUAL]]/365)*Tabla1[[#This Row],[PLAZO ENTREGA VALORES]]</f>
        <v>47.671232876712331</v>
      </c>
      <c r="AE50" s="845">
        <f>SUM(Tabla1[[#This Row],[PRECIO $ BOLSA50 KG  FOB TUCUMAN A PLAZO (IVA INC)]]+Tabla1[[#This Row],[GASTOS FINANCIEROS $ BOLSA 50 KG (IVA INC)]])</f>
        <v>30047.816232876714</v>
      </c>
      <c r="AF50" s="828" t="s">
        <v>359</v>
      </c>
      <c r="AG50" s="828" t="s">
        <v>365</v>
      </c>
      <c r="AH50" s="828" t="s">
        <v>387</v>
      </c>
      <c r="AI50" s="828" t="s">
        <v>258</v>
      </c>
      <c r="AJ5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50" s="846">
        <f>SUM(Tabla1[[#This Row],[PRECIO $ BOLSA 50KG  FOB CDO TUC (IVA INC)]]-Tabla1[[#This Row],[PRECIO REF $ BOLSA 50 KG CACTU (IVA INC)]])</f>
        <v>-7049.1837671232861</v>
      </c>
      <c r="AL50" s="847">
        <f>IFERROR(Tabla1[[#This Row],[PRECIO $ BOLSA 50KG  FOB CDO TUC (IVA INC)]]/Tabla1[[#This Row],[PRECIO REF $ BOLSA 50 KG CACTU (IVA INC)]]-1,"")</f>
        <v>-0.19002031881616532</v>
      </c>
      <c r="AM50" s="846">
        <f>+Tabla1[[#This Row],[DIF $ PRECIO NETO INDUSTRIA vs Neto TUCUMAN (IVA INC)]]*Tabla1[[#This Row],[Q Bolsas Equivalentes 50kg]]</f>
        <v>-4229510.2602739716</v>
      </c>
      <c r="AN50" s="846">
        <f>Tabla1[[#This Row],[PRECIO REF $ BOLSA 50 KG CACTU (IVA INC)]]*Tabla1[[#This Row],[Q Bolsas Equivalentes 50kg]]</f>
        <v>22258200</v>
      </c>
      <c r="AO50" s="846">
        <f>+Tabla1[[#This Row],[PRECIO $ BOLSA 50KG  FOB CDO TUC (IVA INC)]]*Tabla1[[#This Row],[Q Bolsas Equivalentes 50kg]]</f>
        <v>18028689.739726029</v>
      </c>
      <c r="AP50" s="847">
        <v>2.9000000000000001E-2</v>
      </c>
      <c r="AQ50" s="846">
        <v>-74.5</v>
      </c>
      <c r="AR50" s="828">
        <v>30</v>
      </c>
      <c r="AS50" s="849" t="s">
        <v>562</v>
      </c>
      <c r="AT50" s="923">
        <f>+Tabla1[[#This Row],[VENTA TOTAL $ (IVA INC) ]]-(SUM(Tabla1[[#This Row],[PENDIENTE DE ENTREGA]:[VALORES COBRADOS]]))</f>
        <v>0</v>
      </c>
      <c r="AU50" s="850">
        <f>VLOOKUP(Tabla1[[#This Row],[FECHA OC]],'TIPO DE CAMBIO'!A:B,2,TRUE)</f>
        <v>1393.2321999999999</v>
      </c>
      <c r="AV50" s="850">
        <f>+Tabla1[[#This Row],[SUBTOTAL]]/Tabla1[[#This Row],[TIPO DE CAMBIO]]</f>
        <v>10677.353751837807</v>
      </c>
      <c r="AW50" s="851"/>
      <c r="AX50" s="850">
        <f>IFERROR(Tabla1[[#This Row],[VENTA TOTAL USD A PLAZO EN CLIENTE  (SIN IVA)]]*(1+Tabla1[[#This Row],[% IVA ]]),"")</f>
        <v>10677.353751837807</v>
      </c>
      <c r="AY50" s="850">
        <f>+Tabla1[[#This Row],[VENTA TOTAL USD A PLAZO EN CLIENTE  (SIN IVA)]]/Tabla1[[#This Row],[KGS]]*1000</f>
        <v>355.91179172792692</v>
      </c>
      <c r="AZ50" s="850">
        <f>-Tabla1[[#This Row],[COSTO FLETE $ POR BOLSA 5O KG (SIN IVA)]]*20/Tabla1[[#This Row],[TIPO DE CAMBIO]]</f>
        <v>1.0694556155104655</v>
      </c>
      <c r="BA50" s="850">
        <f>+Tabla1[[#This Row],[GASTOS FINANCIEROS $ BOLSA 50 KG (IVA INC)]]*20/Tabla1[[#This Row],[TIPO DE CAMBIO]]</f>
        <v>0.68432574091687426</v>
      </c>
      <c r="BB50" s="850">
        <f>+Tabla1[[#This Row],[PRECIO POR TN USD EN CLIENTE A PLAZO (SIN IVA)]]+Tabla1[[#This Row],[COSTO USD FLETE /TN (SIN IVA)]]+Tabla1[[#This Row],[COSTO FINANCIERO USD POR BOLSA 50KG (IVA INC)]]</f>
        <v>357.66557308435426</v>
      </c>
      <c r="BC50" s="828">
        <v>4</v>
      </c>
      <c r="BD50" s="944"/>
    </row>
    <row r="51" spans="1:56" ht="15.75" customHeight="1">
      <c r="A51" s="912">
        <v>46143</v>
      </c>
      <c r="B51" s="828">
        <v>1</v>
      </c>
      <c r="C51" s="792" t="s">
        <v>559</v>
      </c>
      <c r="D51" s="829">
        <f>+Tabla1[[#This Row],[FECHA Entrega]]</f>
        <v>46177</v>
      </c>
      <c r="E51" s="830"/>
      <c r="F51" s="831" t="s">
        <v>468</v>
      </c>
      <c r="G51" s="832" t="s">
        <v>357</v>
      </c>
      <c r="H51" s="852">
        <v>46177</v>
      </c>
      <c r="I51" s="834">
        <f t="shared" si="24"/>
        <v>30000</v>
      </c>
      <c r="J51" s="835">
        <f t="shared" si="25"/>
        <v>495.86776859504135</v>
      </c>
      <c r="K51" s="836">
        <f t="shared" si="1"/>
        <v>14876033.05785124</v>
      </c>
      <c r="L5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3123966.9421487604</v>
      </c>
      <c r="M51" s="837">
        <f t="shared" si="0"/>
        <v>18000000</v>
      </c>
      <c r="N51" s="838">
        <v>0</v>
      </c>
      <c r="O51" s="838">
        <v>0</v>
      </c>
      <c r="P51" s="838">
        <v>0</v>
      </c>
      <c r="Q51" s="839">
        <f>+Tabla1[[#This Row],[VENTA TOTAL $ (IVA INC) ]]</f>
        <v>18000000</v>
      </c>
      <c r="R51" s="840">
        <f>+Tabla1[[#This Row],[FECHA FC]]+Tabla1[[#This Row],[PLAZO ENTREGA VALORES]]</f>
        <v>46156</v>
      </c>
      <c r="S51" s="840">
        <f>+Tabla1[[#This Row],[FECHA FC]]+Tabla1[[#This Row],[PLAZO PAGO (DIAS)]]</f>
        <v>46207</v>
      </c>
      <c r="T51" s="834">
        <f t="shared" ca="1" si="5"/>
        <v>26</v>
      </c>
      <c r="U51" s="831">
        <f>+Tabla1[[#This Row],[FECHA OC]]-Tabla1[[#This Row],[FECHA Entrega]]</f>
        <v>-21</v>
      </c>
      <c r="V51" s="831"/>
      <c r="W51" s="841">
        <f t="shared" si="26"/>
        <v>46214</v>
      </c>
      <c r="X51" s="831" t="s">
        <v>564</v>
      </c>
      <c r="Y51" s="840">
        <v>46156</v>
      </c>
      <c r="Z51" s="842">
        <f>Tabla1[[#This Row],[KGS]]/50</f>
        <v>600</v>
      </c>
      <c r="AA5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51" s="844">
        <f>-Tabla1[[#This Row],[COSTO FLETE $ POR BOLSA 5O KG (SIN IVA)]]*1.21-Tabla1[[#This Row],[PRECIO $/ KG A PLAZO EN CLIENTE ( SIN IVA)]]*0.003*1.21*50</f>
        <v>0.14499999999999602</v>
      </c>
      <c r="AC51" s="845">
        <f>SUM(Tabla1[[#This Row],[PRECIO $ BOLSA 50 KG (IVA INC) ]]+Tabla1[[#This Row],[COSTO FLETE $ BOLSA 50 KG (IVA INC)]])</f>
        <v>30000.145</v>
      </c>
      <c r="AD51" s="844">
        <f>-Tabla1[[#This Row],[PRECIO $ BOLSA 50 KG (IVA INC) ]]*(Tabla1[[#This Row],[TASA FINANCIACION MENSUAL]]/365)*Tabla1[[#This Row],[PLAZO ENTREGA VALORES]]</f>
        <v>50.054794520547951</v>
      </c>
      <c r="AE51" s="845">
        <f>SUM(Tabla1[[#This Row],[PRECIO $ BOLSA50 KG  FOB TUCUMAN A PLAZO (IVA INC)]]+Tabla1[[#This Row],[GASTOS FINANCIEROS $ BOLSA 50 KG (IVA INC)]])</f>
        <v>30050.199794520548</v>
      </c>
      <c r="AF51" s="828" t="s">
        <v>359</v>
      </c>
      <c r="AG51" s="828" t="s">
        <v>365</v>
      </c>
      <c r="AH51" s="828" t="s">
        <v>387</v>
      </c>
      <c r="AI51" s="828" t="s">
        <v>258</v>
      </c>
      <c r="AJ5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51" s="846">
        <f>SUM(Tabla1[[#This Row],[PRECIO $ BOLSA 50KG  FOB CDO TUC (IVA INC)]]-Tabla1[[#This Row],[PRECIO REF $ BOLSA 50 KG CACTU (IVA INC)]])</f>
        <v>-7046.8002054794524</v>
      </c>
      <c r="AL51" s="847">
        <f>IFERROR(Tabla1[[#This Row],[PRECIO $ BOLSA 50KG  FOB CDO TUC (IVA INC)]]/Tabla1[[#This Row],[PRECIO REF $ BOLSA 50 KG CACTU (IVA INC)]]-1,"")</f>
        <v>-0.18995606667599674</v>
      </c>
      <c r="AM51" s="846">
        <f>+Tabla1[[#This Row],[DIF $ PRECIO NETO INDUSTRIA vs Neto TUCUMAN (IVA INC)]]*Tabla1[[#This Row],[Q Bolsas Equivalentes 50kg]]</f>
        <v>-4228080.1232876712</v>
      </c>
      <c r="AN51" s="846">
        <f>Tabla1[[#This Row],[PRECIO REF $ BOLSA 50 KG CACTU (IVA INC)]]*Tabla1[[#This Row],[Q Bolsas Equivalentes 50kg]]</f>
        <v>22258200</v>
      </c>
      <c r="AO51" s="846">
        <f>+Tabla1[[#This Row],[PRECIO $ BOLSA 50KG  FOB CDO TUC (IVA INC)]]*Tabla1[[#This Row],[Q Bolsas Equivalentes 50kg]]</f>
        <v>18030119.87671233</v>
      </c>
      <c r="AP51" s="847">
        <v>2.9000000000000001E-2</v>
      </c>
      <c r="AQ51" s="846">
        <v>-74.5</v>
      </c>
      <c r="AR51" s="828">
        <v>30</v>
      </c>
      <c r="AS51" s="849" t="s">
        <v>563</v>
      </c>
      <c r="AT51" s="923">
        <f>+Tabla1[[#This Row],[VENTA TOTAL $ (IVA INC) ]]-(SUM(Tabla1[[#This Row],[PENDIENTE DE ENTREGA]:[VALORES COBRADOS]]))</f>
        <v>0</v>
      </c>
      <c r="AU51" s="850">
        <f>VLOOKUP(Tabla1[[#This Row],[FECHA OC]],'TIPO DE CAMBIO'!A:B,2,TRUE)</f>
        <v>1393.2321999999999</v>
      </c>
      <c r="AV51" s="850">
        <f>+Tabla1[[#This Row],[SUBTOTAL]]/Tabla1[[#This Row],[TIPO DE CAMBIO]]</f>
        <v>10677.353751837807</v>
      </c>
      <c r="AW51" s="851"/>
      <c r="AX51" s="850">
        <f>IFERROR(Tabla1[[#This Row],[VENTA TOTAL USD A PLAZO EN CLIENTE  (SIN IVA)]]*(1+Tabla1[[#This Row],[% IVA ]]),"")</f>
        <v>10677.353751837807</v>
      </c>
      <c r="AY51" s="850">
        <f>+Tabla1[[#This Row],[VENTA TOTAL USD A PLAZO EN CLIENTE  (SIN IVA)]]/Tabla1[[#This Row],[KGS]]*1000</f>
        <v>355.91179172792692</v>
      </c>
      <c r="AZ51" s="850">
        <f>-Tabla1[[#This Row],[COSTO FLETE $ POR BOLSA 5O KG (SIN IVA)]]*20/Tabla1[[#This Row],[TIPO DE CAMBIO]]</f>
        <v>1.0694556155104655</v>
      </c>
      <c r="BA51" s="850">
        <f>+Tabla1[[#This Row],[GASTOS FINANCIEROS $ BOLSA 50 KG (IVA INC)]]*20/Tabla1[[#This Row],[TIPO DE CAMBIO]]</f>
        <v>0.71854202796271793</v>
      </c>
      <c r="BB51" s="850">
        <f>+Tabla1[[#This Row],[PRECIO POR TN USD EN CLIENTE A PLAZO (SIN IVA)]]+Tabla1[[#This Row],[COSTO USD FLETE /TN (SIN IVA)]]+Tabla1[[#This Row],[COSTO FINANCIERO USD POR BOLSA 50KG (IVA INC)]]</f>
        <v>357.69978937140013</v>
      </c>
      <c r="BC51" s="828">
        <v>4</v>
      </c>
      <c r="BD51" s="944"/>
    </row>
    <row r="52" spans="1:56" ht="15.75" customHeight="1">
      <c r="A52" s="912">
        <v>46143</v>
      </c>
      <c r="B52" s="828">
        <v>1</v>
      </c>
      <c r="C52" s="792" t="s">
        <v>559</v>
      </c>
      <c r="D52" s="829">
        <f>+Tabla1[[#This Row],[FECHA Entrega]]</f>
        <v>46179</v>
      </c>
      <c r="E52" s="830"/>
      <c r="F52" s="831" t="s">
        <v>468</v>
      </c>
      <c r="G52" s="832" t="s">
        <v>216</v>
      </c>
      <c r="H52" s="852">
        <v>46179</v>
      </c>
      <c r="I52" s="834">
        <f t="shared" si="24"/>
        <v>30000</v>
      </c>
      <c r="J52" s="835">
        <f t="shared" si="25"/>
        <v>495.86776859504135</v>
      </c>
      <c r="K52" s="836">
        <f t="shared" si="1"/>
        <v>14876033.05785124</v>
      </c>
      <c r="L5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3123966.9421487604</v>
      </c>
      <c r="M52" s="837">
        <f t="shared" si="0"/>
        <v>18000000</v>
      </c>
      <c r="N52" s="838">
        <v>0</v>
      </c>
      <c r="O52" s="838">
        <v>0</v>
      </c>
      <c r="P52" s="838">
        <v>0</v>
      </c>
      <c r="Q52" s="839">
        <f>+Tabla1[[#This Row],[VENTA TOTAL $ (IVA INC) ]]</f>
        <v>18000000</v>
      </c>
      <c r="R52" s="840">
        <f>+Tabla1[[#This Row],[FECHA FC]]+Tabla1[[#This Row],[PLAZO ENTREGA VALORES]]</f>
        <v>46156</v>
      </c>
      <c r="S52" s="840">
        <f>+Tabla1[[#This Row],[FECHA FC]]+Tabla1[[#This Row],[PLAZO PAGO (DIAS)]]</f>
        <v>46209</v>
      </c>
      <c r="T52" s="834">
        <f t="shared" ca="1" si="5"/>
        <v>28</v>
      </c>
      <c r="U52" s="831">
        <f>+Tabla1[[#This Row],[FECHA OC]]-Tabla1[[#This Row],[FECHA Entrega]]</f>
        <v>-23</v>
      </c>
      <c r="V52" s="831"/>
      <c r="W52" s="841">
        <f t="shared" si="26"/>
        <v>46216</v>
      </c>
      <c r="X52" s="831" t="s">
        <v>564</v>
      </c>
      <c r="Y52" s="840">
        <v>46156</v>
      </c>
      <c r="Z52" s="842">
        <f>Tabla1[[#This Row],[KGS]]/50</f>
        <v>600</v>
      </c>
      <c r="AA5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52" s="844">
        <f>-Tabla1[[#This Row],[COSTO FLETE $ POR BOLSA 5O KG (SIN IVA)]]*1.21-Tabla1[[#This Row],[PRECIO $/ KG A PLAZO EN CLIENTE ( SIN IVA)]]*0.003*1.21*50</f>
        <v>0.14499999999999602</v>
      </c>
      <c r="AC52" s="845">
        <f>SUM(Tabla1[[#This Row],[PRECIO $ BOLSA 50 KG (IVA INC) ]]+Tabla1[[#This Row],[COSTO FLETE $ BOLSA 50 KG (IVA INC)]])</f>
        <v>30000.145</v>
      </c>
      <c r="AD52" s="844">
        <f>-Tabla1[[#This Row],[PRECIO $ BOLSA 50 KG (IVA INC) ]]*(Tabla1[[#This Row],[TASA FINANCIACION MENSUAL]]/365)*Tabla1[[#This Row],[PLAZO ENTREGA VALORES]]</f>
        <v>54.821917808219183</v>
      </c>
      <c r="AE52" s="845">
        <f>SUM(Tabla1[[#This Row],[PRECIO $ BOLSA50 KG  FOB TUCUMAN A PLAZO (IVA INC)]]+Tabla1[[#This Row],[GASTOS FINANCIEROS $ BOLSA 50 KG (IVA INC)]])</f>
        <v>30054.966917808219</v>
      </c>
      <c r="AF52" s="828" t="s">
        <v>359</v>
      </c>
      <c r="AG52" s="828" t="s">
        <v>365</v>
      </c>
      <c r="AH52" s="828" t="s">
        <v>387</v>
      </c>
      <c r="AI52" s="828" t="s">
        <v>258</v>
      </c>
      <c r="AJ5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52" s="846">
        <f>SUM(Tabla1[[#This Row],[PRECIO $ BOLSA 50KG  FOB CDO TUC (IVA INC)]]-Tabla1[[#This Row],[PRECIO REF $ BOLSA 50 KG CACTU (IVA INC)]])</f>
        <v>-7042.0330821917814</v>
      </c>
      <c r="AL52" s="847">
        <f>IFERROR(Tabla1[[#This Row],[PRECIO $ BOLSA 50KG  FOB CDO TUC (IVA INC)]]/Tabla1[[#This Row],[PRECIO REF $ BOLSA 50 KG CACTU (IVA INC)]]-1,"")</f>
        <v>-0.18982756239565957</v>
      </c>
      <c r="AM52" s="846">
        <f>+Tabla1[[#This Row],[DIF $ PRECIO NETO INDUSTRIA vs Neto TUCUMAN (IVA INC)]]*Tabla1[[#This Row],[Q Bolsas Equivalentes 50kg]]</f>
        <v>-4225219.8493150687</v>
      </c>
      <c r="AN52" s="846">
        <f>Tabla1[[#This Row],[PRECIO REF $ BOLSA 50 KG CACTU (IVA INC)]]*Tabla1[[#This Row],[Q Bolsas Equivalentes 50kg]]</f>
        <v>22258200</v>
      </c>
      <c r="AO52" s="846">
        <f>+Tabla1[[#This Row],[PRECIO $ BOLSA 50KG  FOB CDO TUC (IVA INC)]]*Tabla1[[#This Row],[Q Bolsas Equivalentes 50kg]]</f>
        <v>18032980.15068493</v>
      </c>
      <c r="AP52" s="847">
        <v>2.9000000000000001E-2</v>
      </c>
      <c r="AQ52" s="846">
        <v>-74.5</v>
      </c>
      <c r="AR52" s="828">
        <v>30</v>
      </c>
      <c r="AS52" s="849"/>
      <c r="AT52" s="923">
        <f>+Tabla1[[#This Row],[VENTA TOTAL $ (IVA INC) ]]-(SUM(Tabla1[[#This Row],[PENDIENTE DE ENTREGA]:[VALORES COBRADOS]]))</f>
        <v>0</v>
      </c>
      <c r="AU52" s="850">
        <f>VLOOKUP(Tabla1[[#This Row],[FECHA OC]],'TIPO DE CAMBIO'!A:B,2,TRUE)</f>
        <v>1393.2321999999999</v>
      </c>
      <c r="AV52" s="850">
        <f>+Tabla1[[#This Row],[SUBTOTAL]]/Tabla1[[#This Row],[TIPO DE CAMBIO]]</f>
        <v>10677.353751837807</v>
      </c>
      <c r="AW52" s="851"/>
      <c r="AX52" s="850">
        <f>IFERROR(Tabla1[[#This Row],[VENTA TOTAL USD A PLAZO EN CLIENTE  (SIN IVA)]]*(1+Tabla1[[#This Row],[% IVA ]]),"")</f>
        <v>10677.353751837807</v>
      </c>
      <c r="AY52" s="850">
        <f>+Tabla1[[#This Row],[VENTA TOTAL USD A PLAZO EN CLIENTE  (SIN IVA)]]/Tabla1[[#This Row],[KGS]]*1000</f>
        <v>355.91179172792692</v>
      </c>
      <c r="AZ52" s="850">
        <f>-Tabla1[[#This Row],[COSTO FLETE $ POR BOLSA 5O KG (SIN IVA)]]*20/Tabla1[[#This Row],[TIPO DE CAMBIO]]</f>
        <v>1.0694556155104655</v>
      </c>
      <c r="BA52" s="850">
        <f>+Tabla1[[#This Row],[GASTOS FINANCIEROS $ BOLSA 50 KG (IVA INC)]]*20/Tabla1[[#This Row],[TIPO DE CAMBIO]]</f>
        <v>0.78697460205440528</v>
      </c>
      <c r="BB52" s="850">
        <f>+Tabla1[[#This Row],[PRECIO POR TN USD EN CLIENTE A PLAZO (SIN IVA)]]+Tabla1[[#This Row],[COSTO USD FLETE /TN (SIN IVA)]]+Tabla1[[#This Row],[COSTO FINANCIERO USD POR BOLSA 50KG (IVA INC)]]</f>
        <v>357.7682219454918</v>
      </c>
      <c r="BC52" s="828">
        <v>4</v>
      </c>
      <c r="BD52" s="944"/>
    </row>
    <row r="53" spans="1:56" ht="15.75" customHeight="1">
      <c r="A53" s="912">
        <v>46143</v>
      </c>
      <c r="B53" s="828">
        <v>1</v>
      </c>
      <c r="C53" s="792" t="s">
        <v>409</v>
      </c>
      <c r="D53" s="829">
        <f>+Tabla1[[#This Row],[FECHA Entrega]]</f>
        <v>46174</v>
      </c>
      <c r="E53" s="830"/>
      <c r="F53" s="831" t="s">
        <v>448</v>
      </c>
      <c r="G53" s="832" t="s">
        <v>357</v>
      </c>
      <c r="H53" s="852">
        <v>46174</v>
      </c>
      <c r="I53" s="834">
        <v>28000</v>
      </c>
      <c r="J53" s="835">
        <v>699</v>
      </c>
      <c r="K53" s="836">
        <f t="shared" si="1"/>
        <v>19572000</v>
      </c>
      <c r="L5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4110120</v>
      </c>
      <c r="M53" s="837">
        <f t="shared" si="0"/>
        <v>23682120</v>
      </c>
      <c r="N53" s="838">
        <v>0</v>
      </c>
      <c r="O53" s="939">
        <f>+Tabla1[[#This Row],[VENTA TOTAL $ (IVA INC) ]]</f>
        <v>23682120</v>
      </c>
      <c r="P53" s="838">
        <v>0</v>
      </c>
      <c r="Q53" s="839">
        <f ca="1">+Tabla1[[#This Row],[VENTA TOTAL $ (IVA INC) ]]-Tabla1[[#This Row],[PENDIENTE DE ENTREGA]]-Tabla1[[#This Row],[PENDIENTE DE COBRO]]+Tabla1[[#This Row],[VALORES COBRADOS]]</f>
        <v>0</v>
      </c>
      <c r="R53" s="840">
        <f>+Tabla1[[#This Row],[FECHA FC]]+Tabla1[[#This Row],[PLAZO ENTREGA VALORES]]</f>
        <v>46181</v>
      </c>
      <c r="S53" s="840">
        <f>+Tabla1[[#This Row],[FECHA FC]]+Tabla1[[#This Row],[PLAZO PAGO (DIAS)]]</f>
        <v>46204</v>
      </c>
      <c r="T53" s="834">
        <f t="shared" ca="1" si="5"/>
        <v>23</v>
      </c>
      <c r="U53" s="831">
        <v>7</v>
      </c>
      <c r="V53" s="831"/>
      <c r="W53" s="841">
        <f t="shared" si="26"/>
        <v>46211</v>
      </c>
      <c r="X53" s="926">
        <v>5500001336</v>
      </c>
      <c r="Y53" s="840">
        <v>46141</v>
      </c>
      <c r="Z53" s="842">
        <f>Tabla1[[#This Row],[KGS]]/50</f>
        <v>560</v>
      </c>
      <c r="AA5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42289.5</v>
      </c>
      <c r="AB53" s="844">
        <f>-Tabla1[[#This Row],[COSTO FLETE $ POR BOLSA 5O KG (SIN IVA)]]*1.21-Tabla1[[#This Row],[PRECIO $/ KG A PLAZO EN CLIENTE ( SIN IVA)]]*0.003*1.21*50</f>
        <v>-3030.8685</v>
      </c>
      <c r="AC53" s="845">
        <f>SUM(Tabla1[[#This Row],[PRECIO $ BOLSA 50 KG (IVA INC) ]]+Tabla1[[#This Row],[COSTO FLETE $ BOLSA 50 KG (IVA INC)]])</f>
        <v>39258.631500000003</v>
      </c>
      <c r="AD53" s="844">
        <f>-Tabla1[[#This Row],[PRECIO $ BOLSA 50 KG (IVA INC) ]]*(Tabla1[[#This Row],[TASA FINANCIACION MENSUAL]]/365)*Tabla1[[#This Row],[PLAZO ENTREGA VALORES]]</f>
        <v>-23.519913698630138</v>
      </c>
      <c r="AE53" s="845">
        <f>SUM(Tabla1[[#This Row],[PRECIO $ BOLSA50 KG  FOB TUCUMAN A PLAZO (IVA INC)]]+Tabla1[[#This Row],[GASTOS FINANCIEROS $ BOLSA 50 KG (IVA INC)]])</f>
        <v>39235.111586301377</v>
      </c>
      <c r="AF53" s="927" t="s">
        <v>359</v>
      </c>
      <c r="AG53" s="927" t="s">
        <v>361</v>
      </c>
      <c r="AH53" s="927" t="s">
        <v>361</v>
      </c>
      <c r="AI53" s="927" t="s">
        <v>258</v>
      </c>
      <c r="AJ5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35900</v>
      </c>
      <c r="AK53" s="846">
        <f>SUM(Tabla1[[#This Row],[PRECIO $ BOLSA 50KG  FOB CDO TUC (IVA INC)]]-Tabla1[[#This Row],[PRECIO REF $ BOLSA 50 KG CACTU (IVA INC)]])</f>
        <v>3335.1115863013765</v>
      </c>
      <c r="AL53" s="847">
        <f>IFERROR(Tabla1[[#This Row],[PRECIO $ BOLSA 50KG  FOB CDO TUC (IVA INC)]]/Tabla1[[#This Row],[PRECIO REF $ BOLSA 50 KG CACTU (IVA INC)]]-1,"")</f>
        <v>9.2900044186667863E-2</v>
      </c>
      <c r="AM53" s="846">
        <f>+Tabla1[[#This Row],[DIF $ PRECIO NETO INDUSTRIA vs Neto TUCUMAN (IVA INC)]]*Tabla1[[#This Row],[Q Bolsas Equivalentes 50kg]]</f>
        <v>1867662.4883287707</v>
      </c>
      <c r="AN53" s="846">
        <f>Tabla1[[#This Row],[PRECIO REF $ BOLSA 50 KG CACTU (IVA INC)]]*Tabla1[[#This Row],[Q Bolsas Equivalentes 50kg]]</f>
        <v>20104000</v>
      </c>
      <c r="AO53" s="846">
        <f>+Tabla1[[#This Row],[PRECIO $ BOLSA 50KG  FOB CDO TUC (IVA INC)]]*Tabla1[[#This Row],[Q Bolsas Equivalentes 50kg]]</f>
        <v>21971662.48832877</v>
      </c>
      <c r="AP53" s="847">
        <v>2.9000000000000001E-2</v>
      </c>
      <c r="AQ53" s="846">
        <f>48000/20</f>
        <v>2400</v>
      </c>
      <c r="AR53" s="828">
        <v>30</v>
      </c>
      <c r="AS53" s="849" t="s">
        <v>576</v>
      </c>
      <c r="AT53" s="923">
        <f ca="1">+Tabla1[[#This Row],[VENTA TOTAL $ (IVA INC) ]]-(SUM(Tabla1[[#This Row],[PENDIENTE DE ENTREGA]:[VALORES COBRADOS]]))</f>
        <v>0</v>
      </c>
      <c r="AU53" s="850">
        <f>VLOOKUP(Tabla1[[#This Row],[FECHA OC]],'TIPO DE CAMBIO'!A:B,2,TRUE)</f>
        <v>1395.2865999999999</v>
      </c>
      <c r="AV53" s="850">
        <f>+Tabla1[[#This Row],[SUBTOTAL]]/Tabla1[[#This Row],[TIPO DE CAMBIO]]</f>
        <v>14027.225661021901</v>
      </c>
      <c r="AW53" s="851"/>
      <c r="AX53" s="850">
        <f>IFERROR(Tabla1[[#This Row],[VENTA TOTAL USD A PLAZO EN CLIENTE  (SIN IVA)]]*(1+Tabla1[[#This Row],[% IVA ]]),"")</f>
        <v>14027.225661021901</v>
      </c>
      <c r="AY53" s="850">
        <f>+Tabla1[[#This Row],[VENTA TOTAL USD A PLAZO EN CLIENTE  (SIN IVA)]]/Tabla1[[#This Row],[KGS]]*1000</f>
        <v>500.97234503649645</v>
      </c>
      <c r="AZ53" s="850">
        <f>-Tabla1[[#This Row],[COSTO FLETE $ POR BOLSA 5O KG (SIN IVA)]]*20/Tabla1[[#This Row],[TIPO DE CAMBIO]]</f>
        <v>-34.401534423107051</v>
      </c>
      <c r="BA53" s="850">
        <f>+Tabla1[[#This Row],[GASTOS FINANCIEROS $ BOLSA 50 KG (IVA INC)]]*20/Tabla1[[#This Row],[TIPO DE CAMBIO]]</f>
        <v>-0.33713380030497159</v>
      </c>
      <c r="BB53" s="850">
        <f>+Tabla1[[#This Row],[PRECIO POR TN USD EN CLIENTE A PLAZO (SIN IVA)]]+Tabla1[[#This Row],[COSTO USD FLETE /TN (SIN IVA)]]+Tabla1[[#This Row],[COSTO FINANCIERO USD POR BOLSA 50KG (IVA INC)]]</f>
        <v>466.23367681308446</v>
      </c>
      <c r="BC53" s="848">
        <v>3</v>
      </c>
      <c r="BD53" s="944"/>
    </row>
    <row r="54" spans="1:56" ht="15.75" customHeight="1">
      <c r="A54" s="912">
        <v>46143</v>
      </c>
      <c r="B54" s="828">
        <v>1</v>
      </c>
      <c r="C54" s="792" t="s">
        <v>409</v>
      </c>
      <c r="D54" s="829">
        <f>+Tabla1[[#This Row],[FECHA Entrega]]</f>
        <v>46177</v>
      </c>
      <c r="E54" s="830"/>
      <c r="F54" s="831" t="s">
        <v>448</v>
      </c>
      <c r="G54" s="832" t="s">
        <v>216</v>
      </c>
      <c r="H54" s="852">
        <v>46177</v>
      </c>
      <c r="I54" s="834">
        <v>28000</v>
      </c>
      <c r="J54" s="835">
        <v>699</v>
      </c>
      <c r="K54" s="836">
        <f t="shared" si="1"/>
        <v>19572000</v>
      </c>
      <c r="L5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4110120</v>
      </c>
      <c r="M54" s="837">
        <f t="shared" si="0"/>
        <v>23682120</v>
      </c>
      <c r="N54" s="838">
        <f>+Tabla1[[#This Row],[VENTA TOTAL $ (IVA INC) ]]</f>
        <v>23682120</v>
      </c>
      <c r="O54" s="838">
        <v>0</v>
      </c>
      <c r="P54" s="838">
        <v>0</v>
      </c>
      <c r="Q54" s="839">
        <f ca="1">+Tabla1[[#This Row],[VENTA TOTAL $ (IVA INC) ]]-Tabla1[[#This Row],[PENDIENTE DE ENTREGA]]-Tabla1[[#This Row],[PENDIENTE DE COBRO]]+Tabla1[[#This Row],[VALORES COBRADOS]]</f>
        <v>0</v>
      </c>
      <c r="R54" s="840">
        <f>+Tabla1[[#This Row],[FECHA FC]]+Tabla1[[#This Row],[PLAZO ENTREGA VALORES]]</f>
        <v>46184</v>
      </c>
      <c r="S54" s="840">
        <f>+Tabla1[[#This Row],[FECHA FC]]+Tabla1[[#This Row],[PLAZO PAGO (DIAS)]]</f>
        <v>46207</v>
      </c>
      <c r="T54" s="834">
        <f t="shared" ref="T54:T116" ca="1" si="27">+S54-$U$2</f>
        <v>26</v>
      </c>
      <c r="U54" s="831">
        <v>7</v>
      </c>
      <c r="V54" s="831"/>
      <c r="W54" s="841">
        <f t="shared" si="26"/>
        <v>46214</v>
      </c>
      <c r="X54" s="926">
        <v>5500001336</v>
      </c>
      <c r="Y54" s="840">
        <v>46141</v>
      </c>
      <c r="Z54" s="842">
        <f>Tabla1[[#This Row],[KGS]]/50</f>
        <v>560</v>
      </c>
      <c r="AA5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42289.5</v>
      </c>
      <c r="AB54" s="844">
        <f>-Tabla1[[#This Row],[COSTO FLETE $ POR BOLSA 5O KG (SIN IVA)]]*1.21-Tabla1[[#This Row],[PRECIO $/ KG A PLAZO EN CLIENTE ( SIN IVA)]]*0.003*1.21*50</f>
        <v>-3030.8685</v>
      </c>
      <c r="AC54" s="845">
        <f>SUM(Tabla1[[#This Row],[PRECIO $ BOLSA 50 KG (IVA INC) ]]+Tabla1[[#This Row],[COSTO FLETE $ BOLSA 50 KG (IVA INC)]])</f>
        <v>39258.631500000003</v>
      </c>
      <c r="AD54" s="844">
        <f>-Tabla1[[#This Row],[PRECIO $ BOLSA 50 KG (IVA INC) ]]*(Tabla1[[#This Row],[TASA FINANCIACION MENSUAL]]/365)*Tabla1[[#This Row],[PLAZO ENTREGA VALORES]]</f>
        <v>-23.519913698630138</v>
      </c>
      <c r="AE54" s="845">
        <f>SUM(Tabla1[[#This Row],[PRECIO $ BOLSA50 KG  FOB TUCUMAN A PLAZO (IVA INC)]]+Tabla1[[#This Row],[GASTOS FINANCIEROS $ BOLSA 50 KG (IVA INC)]])</f>
        <v>39235.111586301377</v>
      </c>
      <c r="AF54" s="927" t="s">
        <v>359</v>
      </c>
      <c r="AG54" s="927" t="s">
        <v>361</v>
      </c>
      <c r="AH54" s="927" t="s">
        <v>361</v>
      </c>
      <c r="AI54" s="927" t="s">
        <v>258</v>
      </c>
      <c r="AJ5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35900</v>
      </c>
      <c r="AK54" s="846">
        <f>SUM(Tabla1[[#This Row],[PRECIO $ BOLSA 50KG  FOB CDO TUC (IVA INC)]]-Tabla1[[#This Row],[PRECIO REF $ BOLSA 50 KG CACTU (IVA INC)]])</f>
        <v>3335.1115863013765</v>
      </c>
      <c r="AL54" s="847">
        <f>IFERROR(Tabla1[[#This Row],[PRECIO $ BOLSA 50KG  FOB CDO TUC (IVA INC)]]/Tabla1[[#This Row],[PRECIO REF $ BOLSA 50 KG CACTU (IVA INC)]]-1,"")</f>
        <v>9.2900044186667863E-2</v>
      </c>
      <c r="AM54" s="846">
        <f>+Tabla1[[#This Row],[DIF $ PRECIO NETO INDUSTRIA vs Neto TUCUMAN (IVA INC)]]*Tabla1[[#This Row],[Q Bolsas Equivalentes 50kg]]</f>
        <v>1867662.4883287707</v>
      </c>
      <c r="AN54" s="846">
        <f>Tabla1[[#This Row],[PRECIO REF $ BOLSA 50 KG CACTU (IVA INC)]]*Tabla1[[#This Row],[Q Bolsas Equivalentes 50kg]]</f>
        <v>20104000</v>
      </c>
      <c r="AO54" s="846">
        <f>+Tabla1[[#This Row],[PRECIO $ BOLSA 50KG  FOB CDO TUC (IVA INC)]]*Tabla1[[#This Row],[Q Bolsas Equivalentes 50kg]]</f>
        <v>21971662.48832877</v>
      </c>
      <c r="AP54" s="847">
        <v>2.9000000000000001E-2</v>
      </c>
      <c r="AQ54" s="846">
        <f t="shared" ref="AQ54:AQ57" si="28">48000/20</f>
        <v>2400</v>
      </c>
      <c r="AR54" s="828">
        <v>30</v>
      </c>
      <c r="AS54" s="849"/>
      <c r="AT54" s="923">
        <f ca="1">+Tabla1[[#This Row],[VENTA TOTAL $ (IVA INC) ]]-(SUM(Tabla1[[#This Row],[PENDIENTE DE ENTREGA]:[VALORES COBRADOS]]))</f>
        <v>0</v>
      </c>
      <c r="AU54" s="850">
        <f>VLOOKUP(Tabla1[[#This Row],[FECHA OC]],'TIPO DE CAMBIO'!A:B,2,TRUE)</f>
        <v>1395.2865999999999</v>
      </c>
      <c r="AV54" s="850">
        <f>+Tabla1[[#This Row],[SUBTOTAL]]/Tabla1[[#This Row],[TIPO DE CAMBIO]]</f>
        <v>14027.225661021901</v>
      </c>
      <c r="AW54" s="851"/>
      <c r="AX54" s="850">
        <f>IFERROR(Tabla1[[#This Row],[VENTA TOTAL USD A PLAZO EN CLIENTE  (SIN IVA)]]*(1+Tabla1[[#This Row],[% IVA ]]),"")</f>
        <v>14027.225661021901</v>
      </c>
      <c r="AY54" s="850">
        <f>+Tabla1[[#This Row],[VENTA TOTAL USD A PLAZO EN CLIENTE  (SIN IVA)]]/Tabla1[[#This Row],[KGS]]*1000</f>
        <v>500.97234503649645</v>
      </c>
      <c r="AZ54" s="850">
        <f>-Tabla1[[#This Row],[COSTO FLETE $ POR BOLSA 5O KG (SIN IVA)]]*20/Tabla1[[#This Row],[TIPO DE CAMBIO]]</f>
        <v>-34.401534423107051</v>
      </c>
      <c r="BA54" s="850">
        <f>+Tabla1[[#This Row],[GASTOS FINANCIEROS $ BOLSA 50 KG (IVA INC)]]*20/Tabla1[[#This Row],[TIPO DE CAMBIO]]</f>
        <v>-0.33713380030497159</v>
      </c>
      <c r="BB54" s="850">
        <f>+Tabla1[[#This Row],[PRECIO POR TN USD EN CLIENTE A PLAZO (SIN IVA)]]+Tabla1[[#This Row],[COSTO USD FLETE /TN (SIN IVA)]]+Tabla1[[#This Row],[COSTO FINANCIERO USD POR BOLSA 50KG (IVA INC)]]</f>
        <v>466.23367681308446</v>
      </c>
      <c r="BC54" s="848">
        <v>3</v>
      </c>
      <c r="BD54" s="944"/>
    </row>
    <row r="55" spans="1:56" ht="15.75" customHeight="1">
      <c r="A55" s="912">
        <v>46143</v>
      </c>
      <c r="B55" s="828">
        <v>1</v>
      </c>
      <c r="C55" s="792" t="s">
        <v>409</v>
      </c>
      <c r="D55" s="829">
        <f>+Tabla1[[#This Row],[FECHA Entrega]]</f>
        <v>46180</v>
      </c>
      <c r="E55" s="830"/>
      <c r="F55" s="831" t="s">
        <v>448</v>
      </c>
      <c r="G55" s="832" t="s">
        <v>216</v>
      </c>
      <c r="H55" s="852">
        <v>46180</v>
      </c>
      <c r="I55" s="834">
        <v>28000</v>
      </c>
      <c r="J55" s="835">
        <v>699</v>
      </c>
      <c r="K55" s="836">
        <f t="shared" si="1"/>
        <v>19572000</v>
      </c>
      <c r="L5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4110120</v>
      </c>
      <c r="M55" s="837">
        <f t="shared" si="0"/>
        <v>23682120</v>
      </c>
      <c r="N55" s="838">
        <f>+Tabla1[[#This Row],[VENTA TOTAL $ (IVA INC) ]]</f>
        <v>23682120</v>
      </c>
      <c r="O55" s="838">
        <v>0</v>
      </c>
      <c r="P55" s="838">
        <v>0</v>
      </c>
      <c r="Q55" s="839">
        <f ca="1">+Tabla1[[#This Row],[VENTA TOTAL $ (IVA INC) ]]-Tabla1[[#This Row],[PENDIENTE DE ENTREGA]]-Tabla1[[#This Row],[PENDIENTE DE COBRO]]+Tabla1[[#This Row],[VALORES COBRADOS]]</f>
        <v>0</v>
      </c>
      <c r="R55" s="840">
        <f>+Tabla1[[#This Row],[FECHA FC]]+Tabla1[[#This Row],[PLAZO ENTREGA VALORES]]</f>
        <v>46187</v>
      </c>
      <c r="S55" s="840">
        <f>+Tabla1[[#This Row],[FECHA FC]]+Tabla1[[#This Row],[PLAZO PAGO (DIAS)]]</f>
        <v>46210</v>
      </c>
      <c r="T55" s="834">
        <f t="shared" ca="1" si="27"/>
        <v>29</v>
      </c>
      <c r="U55" s="831">
        <v>7</v>
      </c>
      <c r="V55" s="831"/>
      <c r="W55" s="841">
        <f t="shared" si="26"/>
        <v>46217</v>
      </c>
      <c r="X55" s="926">
        <v>5500001336</v>
      </c>
      <c r="Y55" s="840">
        <v>46141</v>
      </c>
      <c r="Z55" s="842">
        <f>Tabla1[[#This Row],[KGS]]/50</f>
        <v>560</v>
      </c>
      <c r="AA5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42289.5</v>
      </c>
      <c r="AB55" s="844">
        <f>-Tabla1[[#This Row],[COSTO FLETE $ POR BOLSA 5O KG (SIN IVA)]]*1.21-Tabla1[[#This Row],[PRECIO $/ KG A PLAZO EN CLIENTE ( SIN IVA)]]*0.003*1.21*50</f>
        <v>-3030.8685</v>
      </c>
      <c r="AC55" s="845">
        <f>SUM(Tabla1[[#This Row],[PRECIO $ BOLSA 50 KG (IVA INC) ]]+Tabla1[[#This Row],[COSTO FLETE $ BOLSA 50 KG (IVA INC)]])</f>
        <v>39258.631500000003</v>
      </c>
      <c r="AD55" s="844">
        <f>-Tabla1[[#This Row],[PRECIO $ BOLSA 50 KG (IVA INC) ]]*(Tabla1[[#This Row],[TASA FINANCIACION MENSUAL]]/365)*Tabla1[[#This Row],[PLAZO ENTREGA VALORES]]</f>
        <v>-23.519913698630138</v>
      </c>
      <c r="AE55" s="845">
        <f>SUM(Tabla1[[#This Row],[PRECIO $ BOLSA50 KG  FOB TUCUMAN A PLAZO (IVA INC)]]+Tabla1[[#This Row],[GASTOS FINANCIEROS $ BOLSA 50 KG (IVA INC)]])</f>
        <v>39235.111586301377</v>
      </c>
      <c r="AF55" s="927" t="s">
        <v>359</v>
      </c>
      <c r="AG55" s="927" t="s">
        <v>361</v>
      </c>
      <c r="AH55" s="927" t="s">
        <v>361</v>
      </c>
      <c r="AI55" s="927" t="s">
        <v>258</v>
      </c>
      <c r="AJ5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35900</v>
      </c>
      <c r="AK55" s="846">
        <f>SUM(Tabla1[[#This Row],[PRECIO $ BOLSA 50KG  FOB CDO TUC (IVA INC)]]-Tabla1[[#This Row],[PRECIO REF $ BOLSA 50 KG CACTU (IVA INC)]])</f>
        <v>3335.1115863013765</v>
      </c>
      <c r="AL55" s="847">
        <f>IFERROR(Tabla1[[#This Row],[PRECIO $ BOLSA 50KG  FOB CDO TUC (IVA INC)]]/Tabla1[[#This Row],[PRECIO REF $ BOLSA 50 KG CACTU (IVA INC)]]-1,"")</f>
        <v>9.2900044186667863E-2</v>
      </c>
      <c r="AM55" s="846">
        <f>+Tabla1[[#This Row],[DIF $ PRECIO NETO INDUSTRIA vs Neto TUCUMAN (IVA INC)]]*Tabla1[[#This Row],[Q Bolsas Equivalentes 50kg]]</f>
        <v>1867662.4883287707</v>
      </c>
      <c r="AN55" s="846">
        <f>Tabla1[[#This Row],[PRECIO REF $ BOLSA 50 KG CACTU (IVA INC)]]*Tabla1[[#This Row],[Q Bolsas Equivalentes 50kg]]</f>
        <v>20104000</v>
      </c>
      <c r="AO55" s="846">
        <f>+Tabla1[[#This Row],[PRECIO $ BOLSA 50KG  FOB CDO TUC (IVA INC)]]*Tabla1[[#This Row],[Q Bolsas Equivalentes 50kg]]</f>
        <v>21971662.48832877</v>
      </c>
      <c r="AP55" s="847">
        <v>2.9000000000000001E-2</v>
      </c>
      <c r="AQ55" s="846">
        <f t="shared" si="28"/>
        <v>2400</v>
      </c>
      <c r="AR55" s="828">
        <v>30</v>
      </c>
      <c r="AS55" s="849"/>
      <c r="AT55" s="923">
        <f ca="1">+Tabla1[[#This Row],[VENTA TOTAL $ (IVA INC) ]]-(SUM(Tabla1[[#This Row],[PENDIENTE DE ENTREGA]:[VALORES COBRADOS]]))</f>
        <v>0</v>
      </c>
      <c r="AU55" s="850">
        <f>VLOOKUP(Tabla1[[#This Row],[FECHA OC]],'TIPO DE CAMBIO'!A:B,2,TRUE)</f>
        <v>1395.2865999999999</v>
      </c>
      <c r="AV55" s="850">
        <f>+Tabla1[[#This Row],[SUBTOTAL]]/Tabla1[[#This Row],[TIPO DE CAMBIO]]</f>
        <v>14027.225661021901</v>
      </c>
      <c r="AW55" s="851"/>
      <c r="AX55" s="850">
        <f>IFERROR(Tabla1[[#This Row],[VENTA TOTAL USD A PLAZO EN CLIENTE  (SIN IVA)]]*(1+Tabla1[[#This Row],[% IVA ]]),"")</f>
        <v>14027.225661021901</v>
      </c>
      <c r="AY55" s="850">
        <f>+Tabla1[[#This Row],[VENTA TOTAL USD A PLAZO EN CLIENTE  (SIN IVA)]]/Tabla1[[#This Row],[KGS]]*1000</f>
        <v>500.97234503649645</v>
      </c>
      <c r="AZ55" s="850">
        <f>-Tabla1[[#This Row],[COSTO FLETE $ POR BOLSA 5O KG (SIN IVA)]]*20/Tabla1[[#This Row],[TIPO DE CAMBIO]]</f>
        <v>-34.401534423107051</v>
      </c>
      <c r="BA55" s="850">
        <f>+Tabla1[[#This Row],[GASTOS FINANCIEROS $ BOLSA 50 KG (IVA INC)]]*20/Tabla1[[#This Row],[TIPO DE CAMBIO]]</f>
        <v>-0.33713380030497159</v>
      </c>
      <c r="BB55" s="850">
        <f>+Tabla1[[#This Row],[PRECIO POR TN USD EN CLIENTE A PLAZO (SIN IVA)]]+Tabla1[[#This Row],[COSTO USD FLETE /TN (SIN IVA)]]+Tabla1[[#This Row],[COSTO FINANCIERO USD POR BOLSA 50KG (IVA INC)]]</f>
        <v>466.23367681308446</v>
      </c>
      <c r="BC55" s="848">
        <v>3</v>
      </c>
      <c r="BD55" s="944"/>
    </row>
    <row r="56" spans="1:56" ht="15.75" customHeight="1">
      <c r="A56" s="912">
        <v>46143</v>
      </c>
      <c r="B56" s="828">
        <v>1</v>
      </c>
      <c r="C56" s="792" t="s">
        <v>409</v>
      </c>
      <c r="D56" s="829">
        <f>+Tabla1[[#This Row],[FECHA Entrega]]</f>
        <v>46181</v>
      </c>
      <c r="E56" s="830"/>
      <c r="F56" s="831" t="s">
        <v>448</v>
      </c>
      <c r="G56" s="832" t="s">
        <v>216</v>
      </c>
      <c r="H56" s="852">
        <v>46181</v>
      </c>
      <c r="I56" s="834">
        <v>28000</v>
      </c>
      <c r="J56" s="835">
        <v>699</v>
      </c>
      <c r="K56" s="836">
        <f t="shared" si="1"/>
        <v>19572000</v>
      </c>
      <c r="L5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4110120</v>
      </c>
      <c r="M56" s="837">
        <f t="shared" si="0"/>
        <v>23682120</v>
      </c>
      <c r="N56" s="838">
        <f>+Tabla1[[#This Row],[VENTA TOTAL $ (IVA INC) ]]</f>
        <v>23682120</v>
      </c>
      <c r="O56" s="838">
        <v>0</v>
      </c>
      <c r="P56" s="838">
        <v>0</v>
      </c>
      <c r="Q56" s="839">
        <f ca="1">+Tabla1[[#This Row],[VENTA TOTAL $ (IVA INC) ]]-Tabla1[[#This Row],[PENDIENTE DE ENTREGA]]-Tabla1[[#This Row],[PENDIENTE DE COBRO]]+Tabla1[[#This Row],[VALORES COBRADOS]]</f>
        <v>0</v>
      </c>
      <c r="R56" s="840">
        <f>+Tabla1[[#This Row],[FECHA FC]]+Tabla1[[#This Row],[PLAZO ENTREGA VALORES]]</f>
        <v>46188</v>
      </c>
      <c r="S56" s="840">
        <f>+Tabla1[[#This Row],[FECHA FC]]+Tabla1[[#This Row],[PLAZO PAGO (DIAS)]]</f>
        <v>46211</v>
      </c>
      <c r="T56" s="834">
        <f t="shared" ca="1" si="27"/>
        <v>30</v>
      </c>
      <c r="U56" s="831">
        <v>7</v>
      </c>
      <c r="V56" s="831"/>
      <c r="W56" s="841">
        <f t="shared" si="26"/>
        <v>46218</v>
      </c>
      <c r="X56" s="926">
        <v>5500001336</v>
      </c>
      <c r="Y56" s="840">
        <v>46141</v>
      </c>
      <c r="Z56" s="842">
        <f>Tabla1[[#This Row],[KGS]]/50</f>
        <v>560</v>
      </c>
      <c r="AA5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42289.5</v>
      </c>
      <c r="AB56" s="844">
        <f>-Tabla1[[#This Row],[COSTO FLETE $ POR BOLSA 5O KG (SIN IVA)]]*1.21-Tabla1[[#This Row],[PRECIO $/ KG A PLAZO EN CLIENTE ( SIN IVA)]]*0.003*1.21*50</f>
        <v>-3030.8685</v>
      </c>
      <c r="AC56" s="845">
        <f>SUM(Tabla1[[#This Row],[PRECIO $ BOLSA 50 KG (IVA INC) ]]+Tabla1[[#This Row],[COSTO FLETE $ BOLSA 50 KG (IVA INC)]])</f>
        <v>39258.631500000003</v>
      </c>
      <c r="AD56" s="844">
        <f>-Tabla1[[#This Row],[PRECIO $ BOLSA 50 KG (IVA INC) ]]*(Tabla1[[#This Row],[TASA FINANCIACION MENSUAL]]/365)*Tabla1[[#This Row],[PLAZO ENTREGA VALORES]]</f>
        <v>-23.519913698630138</v>
      </c>
      <c r="AE56" s="845">
        <f>SUM(Tabla1[[#This Row],[PRECIO $ BOLSA50 KG  FOB TUCUMAN A PLAZO (IVA INC)]]+Tabla1[[#This Row],[GASTOS FINANCIEROS $ BOLSA 50 KG (IVA INC)]])</f>
        <v>39235.111586301377</v>
      </c>
      <c r="AF56" s="927" t="s">
        <v>359</v>
      </c>
      <c r="AG56" s="927" t="s">
        <v>361</v>
      </c>
      <c r="AH56" s="927" t="s">
        <v>361</v>
      </c>
      <c r="AI56" s="927" t="s">
        <v>258</v>
      </c>
      <c r="AJ5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35900</v>
      </c>
      <c r="AK56" s="846">
        <f>SUM(Tabla1[[#This Row],[PRECIO $ BOLSA 50KG  FOB CDO TUC (IVA INC)]]-Tabla1[[#This Row],[PRECIO REF $ BOLSA 50 KG CACTU (IVA INC)]])</f>
        <v>3335.1115863013765</v>
      </c>
      <c r="AL56" s="847">
        <f>IFERROR(Tabla1[[#This Row],[PRECIO $ BOLSA 50KG  FOB CDO TUC (IVA INC)]]/Tabla1[[#This Row],[PRECIO REF $ BOLSA 50 KG CACTU (IVA INC)]]-1,"")</f>
        <v>9.2900044186667863E-2</v>
      </c>
      <c r="AM56" s="846">
        <f>+Tabla1[[#This Row],[DIF $ PRECIO NETO INDUSTRIA vs Neto TUCUMAN (IVA INC)]]*Tabla1[[#This Row],[Q Bolsas Equivalentes 50kg]]</f>
        <v>1867662.4883287707</v>
      </c>
      <c r="AN56" s="846">
        <f>Tabla1[[#This Row],[PRECIO REF $ BOLSA 50 KG CACTU (IVA INC)]]*Tabla1[[#This Row],[Q Bolsas Equivalentes 50kg]]</f>
        <v>20104000</v>
      </c>
      <c r="AO56" s="846">
        <f>+Tabla1[[#This Row],[PRECIO $ BOLSA 50KG  FOB CDO TUC (IVA INC)]]*Tabla1[[#This Row],[Q Bolsas Equivalentes 50kg]]</f>
        <v>21971662.48832877</v>
      </c>
      <c r="AP56" s="847">
        <v>2.9000000000000001E-2</v>
      </c>
      <c r="AQ56" s="846">
        <f t="shared" si="28"/>
        <v>2400</v>
      </c>
      <c r="AR56" s="828">
        <v>30</v>
      </c>
      <c r="AS56" s="849"/>
      <c r="AT56" s="923">
        <f ca="1">+Tabla1[[#This Row],[VENTA TOTAL $ (IVA INC) ]]-(SUM(Tabla1[[#This Row],[PENDIENTE DE ENTREGA]:[VALORES COBRADOS]]))</f>
        <v>0</v>
      </c>
      <c r="AU56" s="850">
        <f>VLOOKUP(Tabla1[[#This Row],[FECHA OC]],'TIPO DE CAMBIO'!A:B,2,TRUE)</f>
        <v>1395.2865999999999</v>
      </c>
      <c r="AV56" s="850">
        <f>+Tabla1[[#This Row],[SUBTOTAL]]/Tabla1[[#This Row],[TIPO DE CAMBIO]]</f>
        <v>14027.225661021901</v>
      </c>
      <c r="AW56" s="851"/>
      <c r="AX56" s="850">
        <f>IFERROR(Tabla1[[#This Row],[VENTA TOTAL USD A PLAZO EN CLIENTE  (SIN IVA)]]*(1+Tabla1[[#This Row],[% IVA ]]),"")</f>
        <v>14027.225661021901</v>
      </c>
      <c r="AY56" s="850">
        <f>+Tabla1[[#This Row],[VENTA TOTAL USD A PLAZO EN CLIENTE  (SIN IVA)]]/Tabla1[[#This Row],[KGS]]*1000</f>
        <v>500.97234503649645</v>
      </c>
      <c r="AZ56" s="850">
        <f>-Tabla1[[#This Row],[COSTO FLETE $ POR BOLSA 5O KG (SIN IVA)]]*20/Tabla1[[#This Row],[TIPO DE CAMBIO]]</f>
        <v>-34.401534423107051</v>
      </c>
      <c r="BA56" s="850">
        <f>+Tabla1[[#This Row],[GASTOS FINANCIEROS $ BOLSA 50 KG (IVA INC)]]*20/Tabla1[[#This Row],[TIPO DE CAMBIO]]</f>
        <v>-0.33713380030497159</v>
      </c>
      <c r="BB56" s="850">
        <f>+Tabla1[[#This Row],[PRECIO POR TN USD EN CLIENTE A PLAZO (SIN IVA)]]+Tabla1[[#This Row],[COSTO USD FLETE /TN (SIN IVA)]]+Tabla1[[#This Row],[COSTO FINANCIERO USD POR BOLSA 50KG (IVA INC)]]</f>
        <v>466.23367681308446</v>
      </c>
      <c r="BC56" s="848">
        <v>3</v>
      </c>
      <c r="BD56" s="944"/>
    </row>
    <row r="57" spans="1:56" ht="15.75" customHeight="1">
      <c r="A57" s="912">
        <v>46143</v>
      </c>
      <c r="B57" s="828">
        <v>1</v>
      </c>
      <c r="C57" s="792" t="s">
        <v>409</v>
      </c>
      <c r="D57" s="829">
        <f>+Tabla1[[#This Row],[FECHA Entrega]]</f>
        <v>46182</v>
      </c>
      <c r="E57" s="830"/>
      <c r="F57" s="831" t="s">
        <v>448</v>
      </c>
      <c r="G57" s="832" t="s">
        <v>216</v>
      </c>
      <c r="H57" s="852">
        <v>46182</v>
      </c>
      <c r="I57" s="834">
        <v>28000</v>
      </c>
      <c r="J57" s="835">
        <v>699</v>
      </c>
      <c r="K57" s="836">
        <f t="shared" si="1"/>
        <v>19572000</v>
      </c>
      <c r="L5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4110120</v>
      </c>
      <c r="M57" s="837">
        <f t="shared" si="0"/>
        <v>23682120</v>
      </c>
      <c r="N57" s="838">
        <f>+Tabla1[[#This Row],[VENTA TOTAL $ (IVA INC) ]]</f>
        <v>23682120</v>
      </c>
      <c r="O57" s="838">
        <v>0</v>
      </c>
      <c r="P57" s="838">
        <v>0</v>
      </c>
      <c r="Q57" s="839">
        <f ca="1">+Tabla1[[#This Row],[VENTA TOTAL $ (IVA INC) ]]-Tabla1[[#This Row],[PENDIENTE DE ENTREGA]]-Tabla1[[#This Row],[PENDIENTE DE COBRO]]+Tabla1[[#This Row],[VALORES COBRADOS]]</f>
        <v>0</v>
      </c>
      <c r="R57" s="840">
        <f>+Tabla1[[#This Row],[FECHA FC]]+Tabla1[[#This Row],[PLAZO ENTREGA VALORES]]</f>
        <v>46189</v>
      </c>
      <c r="S57" s="840">
        <f>+Tabla1[[#This Row],[FECHA FC]]+Tabla1[[#This Row],[PLAZO PAGO (DIAS)]]</f>
        <v>46212</v>
      </c>
      <c r="T57" s="834">
        <f t="shared" ca="1" si="27"/>
        <v>31</v>
      </c>
      <c r="U57" s="831">
        <v>7</v>
      </c>
      <c r="V57" s="831"/>
      <c r="W57" s="841">
        <f t="shared" si="26"/>
        <v>46219</v>
      </c>
      <c r="X57" s="926">
        <v>5500001336</v>
      </c>
      <c r="Y57" s="840">
        <v>46141</v>
      </c>
      <c r="Z57" s="842">
        <f>Tabla1[[#This Row],[KGS]]/50</f>
        <v>560</v>
      </c>
      <c r="AA5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42289.5</v>
      </c>
      <c r="AB57" s="844">
        <f>-Tabla1[[#This Row],[COSTO FLETE $ POR BOLSA 5O KG (SIN IVA)]]*1.21-Tabla1[[#This Row],[PRECIO $/ KG A PLAZO EN CLIENTE ( SIN IVA)]]*0.003*1.21*50</f>
        <v>-3030.8685</v>
      </c>
      <c r="AC57" s="845">
        <f>SUM(Tabla1[[#This Row],[PRECIO $ BOLSA 50 KG (IVA INC) ]]+Tabla1[[#This Row],[COSTO FLETE $ BOLSA 50 KG (IVA INC)]])</f>
        <v>39258.631500000003</v>
      </c>
      <c r="AD57" s="844">
        <f>-Tabla1[[#This Row],[PRECIO $ BOLSA 50 KG (IVA INC) ]]*(Tabla1[[#This Row],[TASA FINANCIACION MENSUAL]]/365)*Tabla1[[#This Row],[PLAZO ENTREGA VALORES]]</f>
        <v>-23.519913698630138</v>
      </c>
      <c r="AE57" s="845">
        <f>SUM(Tabla1[[#This Row],[PRECIO $ BOLSA50 KG  FOB TUCUMAN A PLAZO (IVA INC)]]+Tabla1[[#This Row],[GASTOS FINANCIEROS $ BOLSA 50 KG (IVA INC)]])</f>
        <v>39235.111586301377</v>
      </c>
      <c r="AF57" s="927" t="s">
        <v>359</v>
      </c>
      <c r="AG57" s="927" t="s">
        <v>361</v>
      </c>
      <c r="AH57" s="927" t="s">
        <v>361</v>
      </c>
      <c r="AI57" s="927" t="s">
        <v>258</v>
      </c>
      <c r="AJ5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35900</v>
      </c>
      <c r="AK57" s="846">
        <f>SUM(Tabla1[[#This Row],[PRECIO $ BOLSA 50KG  FOB CDO TUC (IVA INC)]]-Tabla1[[#This Row],[PRECIO REF $ BOLSA 50 KG CACTU (IVA INC)]])</f>
        <v>3335.1115863013765</v>
      </c>
      <c r="AL57" s="847">
        <f>IFERROR(Tabla1[[#This Row],[PRECIO $ BOLSA 50KG  FOB CDO TUC (IVA INC)]]/Tabla1[[#This Row],[PRECIO REF $ BOLSA 50 KG CACTU (IVA INC)]]-1,"")</f>
        <v>9.2900044186667863E-2</v>
      </c>
      <c r="AM57" s="846">
        <f>+Tabla1[[#This Row],[DIF $ PRECIO NETO INDUSTRIA vs Neto TUCUMAN (IVA INC)]]*Tabla1[[#This Row],[Q Bolsas Equivalentes 50kg]]</f>
        <v>1867662.4883287707</v>
      </c>
      <c r="AN57" s="846">
        <f>Tabla1[[#This Row],[PRECIO REF $ BOLSA 50 KG CACTU (IVA INC)]]*Tabla1[[#This Row],[Q Bolsas Equivalentes 50kg]]</f>
        <v>20104000</v>
      </c>
      <c r="AO57" s="846">
        <f>+Tabla1[[#This Row],[PRECIO $ BOLSA 50KG  FOB CDO TUC (IVA INC)]]*Tabla1[[#This Row],[Q Bolsas Equivalentes 50kg]]</f>
        <v>21971662.48832877</v>
      </c>
      <c r="AP57" s="847">
        <v>2.9000000000000001E-2</v>
      </c>
      <c r="AQ57" s="846">
        <f t="shared" si="28"/>
        <v>2400</v>
      </c>
      <c r="AR57" s="828">
        <v>30</v>
      </c>
      <c r="AS57" s="849"/>
      <c r="AT57" s="923">
        <f ca="1">+Tabla1[[#This Row],[VENTA TOTAL $ (IVA INC) ]]-(SUM(Tabla1[[#This Row],[PENDIENTE DE ENTREGA]:[VALORES COBRADOS]]))</f>
        <v>0</v>
      </c>
      <c r="AU57" s="850">
        <f>VLOOKUP(Tabla1[[#This Row],[FECHA OC]],'TIPO DE CAMBIO'!A:B,2,TRUE)</f>
        <v>1395.2865999999999</v>
      </c>
      <c r="AV57" s="850">
        <f>+Tabla1[[#This Row],[SUBTOTAL]]/Tabla1[[#This Row],[TIPO DE CAMBIO]]</f>
        <v>14027.225661021901</v>
      </c>
      <c r="AW57" s="851"/>
      <c r="AX57" s="850">
        <f>IFERROR(Tabla1[[#This Row],[VENTA TOTAL USD A PLAZO EN CLIENTE  (SIN IVA)]]*(1+Tabla1[[#This Row],[% IVA ]]),"")</f>
        <v>14027.225661021901</v>
      </c>
      <c r="AY57" s="850">
        <f>+Tabla1[[#This Row],[VENTA TOTAL USD A PLAZO EN CLIENTE  (SIN IVA)]]/Tabla1[[#This Row],[KGS]]*1000</f>
        <v>500.97234503649645</v>
      </c>
      <c r="AZ57" s="850">
        <f>-Tabla1[[#This Row],[COSTO FLETE $ POR BOLSA 5O KG (SIN IVA)]]*20/Tabla1[[#This Row],[TIPO DE CAMBIO]]</f>
        <v>-34.401534423107051</v>
      </c>
      <c r="BA57" s="850">
        <f>+Tabla1[[#This Row],[GASTOS FINANCIEROS $ BOLSA 50 KG (IVA INC)]]*20/Tabla1[[#This Row],[TIPO DE CAMBIO]]</f>
        <v>-0.33713380030497159</v>
      </c>
      <c r="BB57" s="850">
        <f>+Tabla1[[#This Row],[PRECIO POR TN USD EN CLIENTE A PLAZO (SIN IVA)]]+Tabla1[[#This Row],[COSTO USD FLETE /TN (SIN IVA)]]+Tabla1[[#This Row],[COSTO FINANCIERO USD POR BOLSA 50KG (IVA INC)]]</f>
        <v>466.23367681308446</v>
      </c>
      <c r="BC57" s="848">
        <v>3</v>
      </c>
      <c r="BD57" s="944"/>
    </row>
    <row r="58" spans="1:56" ht="15.75" customHeight="1">
      <c r="A58" s="912">
        <v>46143</v>
      </c>
      <c r="B58" s="828">
        <v>1</v>
      </c>
      <c r="C58" s="936" t="s">
        <v>440</v>
      </c>
      <c r="D58" s="829">
        <f>+Tabla1[[#This Row],[FECHA Entrega]]</f>
        <v>46176</v>
      </c>
      <c r="E58" s="830"/>
      <c r="F58" s="831" t="s">
        <v>448</v>
      </c>
      <c r="G58" s="832" t="s">
        <v>357</v>
      </c>
      <c r="H58" s="852">
        <v>46176</v>
      </c>
      <c r="I58" s="834">
        <v>28000</v>
      </c>
      <c r="J58" s="835">
        <v>675</v>
      </c>
      <c r="K58" s="836">
        <f t="shared" ref="K58" si="29">+J58*I58</f>
        <v>18900000</v>
      </c>
      <c r="L5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3969000</v>
      </c>
      <c r="M58" s="854">
        <f t="shared" si="0"/>
        <v>22869000</v>
      </c>
      <c r="N58" s="838">
        <v>0</v>
      </c>
      <c r="O58" s="939">
        <f>+Tabla1[[#This Row],[VENTA TOTAL $ (IVA INC) ]]</f>
        <v>22869000</v>
      </c>
      <c r="P58" s="838">
        <v>0</v>
      </c>
      <c r="Q58" s="839">
        <f ca="1">+Tabla1[[#This Row],[VENTA TOTAL $ (IVA INC) ]]-Tabla1[[#This Row],[PENDIENTE DE ENTREGA]]-Tabla1[[#This Row],[PENDIENTE DE COBRO]]+Tabla1[[#This Row],[VALORES COBRADOS]]</f>
        <v>0</v>
      </c>
      <c r="R58" s="840">
        <f>+Tabla1[[#This Row],[FECHA FC]]+Tabla1[[#This Row],[PLAZO ENTREGA VALORES]]</f>
        <v>46183</v>
      </c>
      <c r="S58" s="840">
        <f>+Tabla1[[#This Row],[FECHA FC]]+Tabla1[[#This Row],[PLAZO PAGO (DIAS)]]</f>
        <v>46206</v>
      </c>
      <c r="T58" s="834">
        <f t="shared" ca="1" si="27"/>
        <v>25</v>
      </c>
      <c r="U58" s="831">
        <v>7</v>
      </c>
      <c r="V58" s="831"/>
      <c r="W58" s="841">
        <f t="shared" ref="W58" si="30">+S58+7</f>
        <v>46213</v>
      </c>
      <c r="X58" s="831" t="s">
        <v>523</v>
      </c>
      <c r="Y58" s="840">
        <v>46168</v>
      </c>
      <c r="Z58" s="842">
        <f>Tabla1[[#This Row],[KGS]]/50</f>
        <v>560</v>
      </c>
      <c r="AA5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40837.5</v>
      </c>
      <c r="AB58" s="844">
        <f>-Tabla1[[#This Row],[COSTO FLETE $ POR BOLSA 5O KG (SIN IVA)]]*1.21-Tabla1[[#This Row],[PRECIO $/ KG A PLAZO EN CLIENTE ( SIN IVA)]]*0.003*1.21*50</f>
        <v>-2784.5124999999998</v>
      </c>
      <c r="AC58" s="845">
        <f>SUM(Tabla1[[#This Row],[PRECIO $ BOLSA 50 KG (IVA INC) ]]+Tabla1[[#This Row],[COSTO FLETE $ BOLSA 50 KG (IVA INC)]])</f>
        <v>38052.987500000003</v>
      </c>
      <c r="AD58" s="844">
        <f>-Tabla1[[#This Row],[PRECIO $ BOLSA 50 KG (IVA INC) ]]*(Tabla1[[#This Row],[TASA FINANCIACION MENSUAL]]/365)*Tabla1[[#This Row],[PLAZO ENTREGA VALORES]]</f>
        <v>-22.712363013698631</v>
      </c>
      <c r="AE58" s="845">
        <f>SUM(Tabla1[[#This Row],[PRECIO $ BOLSA50 KG  FOB TUCUMAN A PLAZO (IVA INC)]]+Tabla1[[#This Row],[GASTOS FINANCIEROS $ BOLSA 50 KG (IVA INC)]])</f>
        <v>38030.275136986304</v>
      </c>
      <c r="AF58" s="927" t="s">
        <v>359</v>
      </c>
      <c r="AG58" s="927" t="s">
        <v>361</v>
      </c>
      <c r="AH58" s="927" t="s">
        <v>361</v>
      </c>
      <c r="AI58" s="927" t="s">
        <v>258</v>
      </c>
      <c r="AJ5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58" s="846">
        <f>SUM(Tabla1[[#This Row],[PRECIO $ BOLSA 50KG  FOB CDO TUC (IVA INC)]]-Tabla1[[#This Row],[PRECIO REF $ BOLSA 50 KG CACTU (IVA INC)]])</f>
        <v>915.27513698630355</v>
      </c>
      <c r="AL58" s="847">
        <f>IFERROR(Tabla1[[#This Row],[PRECIO $ BOLSA 50KG  FOB CDO TUC (IVA INC)]]/Tabla1[[#This Row],[PRECIO REF $ BOLSA 50 KG CACTU (IVA INC)]]-1,"")</f>
        <v>2.4660518307592749E-2</v>
      </c>
      <c r="AM58" s="846">
        <f>+Tabla1[[#This Row],[DIF $ PRECIO NETO INDUSTRIA vs Neto TUCUMAN (IVA INC)]]*Tabla1[[#This Row],[Q Bolsas Equivalentes 50kg]]</f>
        <v>512554.07671232999</v>
      </c>
      <c r="AN58" s="846">
        <f>Tabla1[[#This Row],[PRECIO REF $ BOLSA 50 KG CACTU (IVA INC)]]*Tabla1[[#This Row],[Q Bolsas Equivalentes 50kg]]</f>
        <v>20784400</v>
      </c>
      <c r="AO58" s="846">
        <f>+Tabla1[[#This Row],[PRECIO $ BOLSA 50KG  FOB CDO TUC (IVA INC)]]*Tabla1[[#This Row],[Q Bolsas Equivalentes 50kg]]</f>
        <v>21296954.076712329</v>
      </c>
      <c r="AP58" s="847">
        <v>2.9000000000000001E-2</v>
      </c>
      <c r="AQ58" s="846">
        <f>44000/20</f>
        <v>2200</v>
      </c>
      <c r="AR58" s="828">
        <v>30</v>
      </c>
      <c r="AS58" s="849"/>
      <c r="AT58" s="923">
        <f ca="1">+Tabla1[[#This Row],[VENTA TOTAL $ (IVA INC) ]]-(SUM(Tabla1[[#This Row],[PENDIENTE DE ENTREGA]:[VALORES COBRADOS]]))</f>
        <v>0</v>
      </c>
      <c r="AU58" s="850">
        <f>VLOOKUP(Tabla1[[#This Row],[FECHA OC]],'TIPO DE CAMBIO'!A:B,2,TRUE)</f>
        <v>1407.8893</v>
      </c>
      <c r="AV58" s="850">
        <f>+Tabla1[[#This Row],[SUBTOTAL]]/Tabla1[[#This Row],[TIPO DE CAMBIO]]</f>
        <v>13424.350905998077</v>
      </c>
      <c r="AW58" s="851"/>
      <c r="AX58" s="850">
        <f>IFERROR(Tabla1[[#This Row],[VENTA TOTAL USD A PLAZO EN CLIENTE  (SIN IVA)]]*(1+Tabla1[[#This Row],[% IVA ]]),"")</f>
        <v>13424.350905998077</v>
      </c>
      <c r="AY58" s="850">
        <f>+Tabla1[[#This Row],[VENTA TOTAL USD A PLAZO EN CLIENTE  (SIN IVA)]]/Tabla1[[#This Row],[KGS]]*1000</f>
        <v>479.44110378564557</v>
      </c>
      <c r="AZ58" s="850">
        <f>-Tabla1[[#This Row],[COSTO FLETE $ POR BOLSA 5O KG (SIN IVA)]]*20/Tabla1[[#This Row],[TIPO DE CAMBIO]]</f>
        <v>-31.252457135656901</v>
      </c>
      <c r="BA58" s="850">
        <f>+Tabla1[[#This Row],[GASTOS FINANCIEROS $ BOLSA 50 KG (IVA INC)]]*20/Tabla1[[#This Row],[TIPO DE CAMBIO]]</f>
        <v>-0.32264415978867983</v>
      </c>
      <c r="BB58" s="850">
        <f>+Tabla1[[#This Row],[PRECIO POR TN USD EN CLIENTE A PLAZO (SIN IVA)]]+Tabla1[[#This Row],[COSTO USD FLETE /TN (SIN IVA)]]+Tabla1[[#This Row],[COSTO FINANCIERO USD POR BOLSA 50KG (IVA INC)]]</f>
        <v>447.86600249019995</v>
      </c>
      <c r="BC58" s="848">
        <v>3</v>
      </c>
      <c r="BD58" s="944"/>
    </row>
    <row r="59" spans="1:56" ht="15.75" customHeight="1">
      <c r="A59" s="912">
        <v>46143</v>
      </c>
      <c r="B59" s="828">
        <v>1</v>
      </c>
      <c r="C59" s="936" t="s">
        <v>440</v>
      </c>
      <c r="D59" s="829">
        <f>+Tabla1[[#This Row],[FECHA Entrega]]</f>
        <v>46181</v>
      </c>
      <c r="E59" s="830"/>
      <c r="F59" s="831" t="s">
        <v>448</v>
      </c>
      <c r="G59" s="832" t="s">
        <v>216</v>
      </c>
      <c r="H59" s="852">
        <v>46181</v>
      </c>
      <c r="I59" s="834">
        <v>30000</v>
      </c>
      <c r="J59" s="835">
        <v>675</v>
      </c>
      <c r="K59" s="836">
        <f t="shared" ref="K59" si="31">+J59*I59</f>
        <v>20250000</v>
      </c>
      <c r="L5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4252500</v>
      </c>
      <c r="M59" s="854">
        <f t="shared" si="0"/>
        <v>24502500</v>
      </c>
      <c r="N59" s="838">
        <f>+Tabla1[[#This Row],[VENTA TOTAL $ (IVA INC) ]]</f>
        <v>24502500</v>
      </c>
      <c r="O59" s="838">
        <v>0</v>
      </c>
      <c r="P59" s="838">
        <v>0</v>
      </c>
      <c r="Q59" s="839">
        <f ca="1">+Tabla1[[#This Row],[VENTA TOTAL $ (IVA INC) ]]-Tabla1[[#This Row],[PENDIENTE DE ENTREGA]]-Tabla1[[#This Row],[PENDIENTE DE COBRO]]+Tabla1[[#This Row],[VALORES COBRADOS]]</f>
        <v>0</v>
      </c>
      <c r="R59" s="840">
        <f>+Tabla1[[#This Row],[FECHA FC]]+Tabla1[[#This Row],[PLAZO ENTREGA VALORES]]</f>
        <v>46188</v>
      </c>
      <c r="S59" s="840">
        <f>+Tabla1[[#This Row],[FECHA FC]]+Tabla1[[#This Row],[PLAZO PAGO (DIAS)]]</f>
        <v>46211</v>
      </c>
      <c r="T59" s="834">
        <f t="shared" ref="T59" ca="1" si="32">+S59-$U$2</f>
        <v>30</v>
      </c>
      <c r="U59" s="831">
        <v>7</v>
      </c>
      <c r="V59" s="831"/>
      <c r="W59" s="841">
        <f t="shared" ref="W59" si="33">+S59+7</f>
        <v>46218</v>
      </c>
      <c r="X59" s="831" t="s">
        <v>523</v>
      </c>
      <c r="Y59" s="840">
        <v>46168</v>
      </c>
      <c r="Z59" s="842">
        <f>Tabla1[[#This Row],[KGS]]/50</f>
        <v>600</v>
      </c>
      <c r="AA5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40837.5</v>
      </c>
      <c r="AB59" s="844">
        <f>-Tabla1[[#This Row],[COSTO FLETE $ POR BOLSA 5O KG (SIN IVA)]]*1.21-Tabla1[[#This Row],[PRECIO $/ KG A PLAZO EN CLIENTE ( SIN IVA)]]*0.003*1.21*50</f>
        <v>-2784.5124999999998</v>
      </c>
      <c r="AC59" s="845">
        <f>SUM(Tabla1[[#This Row],[PRECIO $ BOLSA 50 KG (IVA INC) ]]+Tabla1[[#This Row],[COSTO FLETE $ BOLSA 50 KG (IVA INC)]])</f>
        <v>38052.987500000003</v>
      </c>
      <c r="AD59" s="844">
        <f>-Tabla1[[#This Row],[PRECIO $ BOLSA 50 KG (IVA INC) ]]*(Tabla1[[#This Row],[TASA FINANCIACION MENSUAL]]/365)*Tabla1[[#This Row],[PLAZO ENTREGA VALORES]]</f>
        <v>-22.712363013698631</v>
      </c>
      <c r="AE59" s="845">
        <f>SUM(Tabla1[[#This Row],[PRECIO $ BOLSA50 KG  FOB TUCUMAN A PLAZO (IVA INC)]]+Tabla1[[#This Row],[GASTOS FINANCIEROS $ BOLSA 50 KG (IVA INC)]])</f>
        <v>38030.275136986304</v>
      </c>
      <c r="AF59" s="927" t="s">
        <v>359</v>
      </c>
      <c r="AG59" s="927" t="s">
        <v>361</v>
      </c>
      <c r="AH59" s="927" t="s">
        <v>361</v>
      </c>
      <c r="AI59" s="927" t="s">
        <v>258</v>
      </c>
      <c r="AJ5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59" s="846">
        <f>SUM(Tabla1[[#This Row],[PRECIO $ BOLSA 50KG  FOB CDO TUC (IVA INC)]]-Tabla1[[#This Row],[PRECIO REF $ BOLSA 50 KG CACTU (IVA INC)]])</f>
        <v>915.27513698630355</v>
      </c>
      <c r="AL59" s="847">
        <f>IFERROR(Tabla1[[#This Row],[PRECIO $ BOLSA 50KG  FOB CDO TUC (IVA INC)]]/Tabla1[[#This Row],[PRECIO REF $ BOLSA 50 KG CACTU (IVA INC)]]-1,"")</f>
        <v>2.4660518307592749E-2</v>
      </c>
      <c r="AM59" s="846">
        <f>+Tabla1[[#This Row],[DIF $ PRECIO NETO INDUSTRIA vs Neto TUCUMAN (IVA INC)]]*Tabla1[[#This Row],[Q Bolsas Equivalentes 50kg]]</f>
        <v>549165.08219178207</v>
      </c>
      <c r="AN59" s="846">
        <f>Tabla1[[#This Row],[PRECIO REF $ BOLSA 50 KG CACTU (IVA INC)]]*Tabla1[[#This Row],[Q Bolsas Equivalentes 50kg]]</f>
        <v>22269000</v>
      </c>
      <c r="AO59" s="846">
        <f>+Tabla1[[#This Row],[PRECIO $ BOLSA 50KG  FOB CDO TUC (IVA INC)]]*Tabla1[[#This Row],[Q Bolsas Equivalentes 50kg]]</f>
        <v>22818165.082191784</v>
      </c>
      <c r="AP59" s="847">
        <v>2.9000000000000001E-2</v>
      </c>
      <c r="AQ59" s="846">
        <f>44000/20</f>
        <v>2200</v>
      </c>
      <c r="AR59" s="828">
        <v>30</v>
      </c>
      <c r="AS59" s="849"/>
      <c r="AT59" s="923">
        <f ca="1">+Tabla1[[#This Row],[VENTA TOTAL $ (IVA INC) ]]-(SUM(Tabla1[[#This Row],[PENDIENTE DE ENTREGA]:[VALORES COBRADOS]]))</f>
        <v>0</v>
      </c>
      <c r="AU59" s="850">
        <f>VLOOKUP(Tabla1[[#This Row],[FECHA OC]],'TIPO DE CAMBIO'!A:B,2,TRUE)</f>
        <v>1407.8893</v>
      </c>
      <c r="AV59" s="850">
        <f>+Tabla1[[#This Row],[SUBTOTAL]]/Tabla1[[#This Row],[TIPO DE CAMBIO]]</f>
        <v>14383.233113569369</v>
      </c>
      <c r="AW59" s="851"/>
      <c r="AX59" s="850">
        <f>IFERROR(Tabla1[[#This Row],[VENTA TOTAL USD A PLAZO EN CLIENTE  (SIN IVA)]]*(1+Tabla1[[#This Row],[% IVA ]]),"")</f>
        <v>14383.233113569369</v>
      </c>
      <c r="AY59" s="850">
        <f>+Tabla1[[#This Row],[VENTA TOTAL USD A PLAZO EN CLIENTE  (SIN IVA)]]/Tabla1[[#This Row],[KGS]]*1000</f>
        <v>479.44110378564562</v>
      </c>
      <c r="AZ59" s="850">
        <f>-Tabla1[[#This Row],[COSTO FLETE $ POR BOLSA 5O KG (SIN IVA)]]*20/Tabla1[[#This Row],[TIPO DE CAMBIO]]</f>
        <v>-31.252457135656901</v>
      </c>
      <c r="BA59" s="850">
        <f>+Tabla1[[#This Row],[GASTOS FINANCIEROS $ BOLSA 50 KG (IVA INC)]]*20/Tabla1[[#This Row],[TIPO DE CAMBIO]]</f>
        <v>-0.32264415978867983</v>
      </c>
      <c r="BB59" s="850">
        <f>+Tabla1[[#This Row],[PRECIO POR TN USD EN CLIENTE A PLAZO (SIN IVA)]]+Tabla1[[#This Row],[COSTO USD FLETE /TN (SIN IVA)]]+Tabla1[[#This Row],[COSTO FINANCIERO USD POR BOLSA 50KG (IVA INC)]]</f>
        <v>447.8660024902</v>
      </c>
      <c r="BC59" s="848">
        <v>3</v>
      </c>
      <c r="BD59" s="944"/>
    </row>
    <row r="60" spans="1:56" ht="15.75" customHeight="1">
      <c r="A60" s="912">
        <v>46143</v>
      </c>
      <c r="B60" s="828">
        <v>1</v>
      </c>
      <c r="C60" s="792" t="s">
        <v>530</v>
      </c>
      <c r="D60" s="829">
        <f>+Tabla1[[#This Row],[FECHA Entrega]]</f>
        <v>46165</v>
      </c>
      <c r="E60" s="830"/>
      <c r="F60" s="831" t="s">
        <v>468</v>
      </c>
      <c r="G60" s="832" t="s">
        <v>357</v>
      </c>
      <c r="H60" s="852">
        <v>46165</v>
      </c>
      <c r="I60" s="943">
        <f>790*50</f>
        <v>39500</v>
      </c>
      <c r="J60" s="835">
        <f>600/1.21</f>
        <v>495.86776859504135</v>
      </c>
      <c r="K60" s="836">
        <f t="shared" si="1"/>
        <v>19586776.859504133</v>
      </c>
      <c r="L6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4113223.1404958679</v>
      </c>
      <c r="M60" s="837">
        <f t="shared" si="0"/>
        <v>23700000</v>
      </c>
      <c r="N60" s="838">
        <v>0</v>
      </c>
      <c r="O60" s="838">
        <v>0</v>
      </c>
      <c r="P60" s="838">
        <v>0</v>
      </c>
      <c r="Q60" s="839">
        <f>+Tabla1[[#This Row],[VENTA TOTAL $ (IVA INC) ]]-Tabla1[[#This Row],[PENDIENTE DE COBRO]]</f>
        <v>23700000</v>
      </c>
      <c r="R60" s="840">
        <f>+Tabla1[[#This Row],[FECHA FC]]+Tabla1[[#This Row],[PLAZO ENTREGA VALORES]]</f>
        <v>46156</v>
      </c>
      <c r="S60" s="840">
        <f>+Tabla1[[#This Row],[FECHA FC]]+Tabla1[[#This Row],[PLAZO PAGO (DIAS)]]</f>
        <v>46165</v>
      </c>
      <c r="T60" s="834">
        <f t="shared" ca="1" si="27"/>
        <v>-16</v>
      </c>
      <c r="U60" s="831">
        <f>+Tabla1[[#This Row],[FECHA OC]]-Tabla1[[#This Row],[FECHA Entrega]]</f>
        <v>-9</v>
      </c>
      <c r="V60" s="831"/>
      <c r="W60" s="841">
        <f t="shared" si="26"/>
        <v>46172</v>
      </c>
      <c r="X60" s="831" t="s">
        <v>487</v>
      </c>
      <c r="Y60" s="840">
        <v>46156</v>
      </c>
      <c r="Z60" s="842">
        <f>Tabla1[[#This Row],[KGS]]/50</f>
        <v>790</v>
      </c>
      <c r="AA6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60" s="844">
        <f>-Tabla1[[#This Row],[COSTO FLETE $ POR BOLSA 5O KG (SIN IVA)]]*1.21-Tabla1[[#This Row],[PRECIO $/ KG A PLAZO EN CLIENTE ( SIN IVA)]]*0.003*1.21*50</f>
        <v>-0.46000000000000796</v>
      </c>
      <c r="AC60" s="845">
        <f>SUM(Tabla1[[#This Row],[PRECIO $ BOLSA 50 KG (IVA INC) ]]+Tabla1[[#This Row],[COSTO FLETE $ BOLSA 50 KG (IVA INC)]])</f>
        <v>29999.54</v>
      </c>
      <c r="AD60" s="844">
        <f>-Tabla1[[#This Row],[PRECIO $ BOLSA 50 KG (IVA INC) ]]*(Tabla1[[#This Row],[TASA FINANCIACION MENSUAL]]/365)*Tabla1[[#This Row],[PLAZO ENTREGA VALORES]]</f>
        <v>21.452054794520549</v>
      </c>
      <c r="AE60" s="845">
        <f>SUM(Tabla1[[#This Row],[PRECIO $ BOLSA50 KG  FOB TUCUMAN A PLAZO (IVA INC)]]+Tabla1[[#This Row],[GASTOS FINANCIEROS $ BOLSA 50 KG (IVA INC)]])</f>
        <v>30020.992054794522</v>
      </c>
      <c r="AF60" s="828" t="s">
        <v>359</v>
      </c>
      <c r="AG60" s="828" t="s">
        <v>365</v>
      </c>
      <c r="AH60" s="828" t="s">
        <v>387</v>
      </c>
      <c r="AI60" s="828" t="s">
        <v>391</v>
      </c>
      <c r="AJ6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60" s="846">
        <f>SUM(Tabla1[[#This Row],[PRECIO $ BOLSA 50KG  FOB CDO TUC (IVA INC)]]-Tabla1[[#This Row],[PRECIO REF $ BOLSA 50 KG CACTU (IVA INC)]])</f>
        <v>-7076.0079452054779</v>
      </c>
      <c r="AL60" s="847">
        <f>IFERROR(Tabla1[[#This Row],[PRECIO $ BOLSA 50KG  FOB CDO TUC (IVA INC)]]/Tabla1[[#This Row],[PRECIO REF $ BOLSA 50 KG CACTU (IVA INC)]]-1,"")</f>
        <v>-0.19074340095440268</v>
      </c>
      <c r="AM60" s="846">
        <f>+Tabla1[[#This Row],[DIF $ PRECIO NETO INDUSTRIA vs Neto TUCUMAN (IVA INC)]]*Tabla1[[#This Row],[Q Bolsas Equivalentes 50kg]]</f>
        <v>-5590046.2767123273</v>
      </c>
      <c r="AN60" s="846">
        <f>Tabla1[[#This Row],[PRECIO REF $ BOLSA 50 KG CACTU (IVA INC)]]*Tabla1[[#This Row],[Q Bolsas Equivalentes 50kg]]</f>
        <v>29306630</v>
      </c>
      <c r="AO60" s="846">
        <f>+Tabla1[[#This Row],[PRECIO $ BOLSA 50KG  FOB CDO TUC (IVA INC)]]*Tabla1[[#This Row],[Q Bolsas Equivalentes 50kg]]</f>
        <v>23716583.723287672</v>
      </c>
      <c r="AP60" s="847">
        <v>2.9000000000000001E-2</v>
      </c>
      <c r="AQ60" s="846">
        <v>-74</v>
      </c>
      <c r="AR60" s="828">
        <v>0</v>
      </c>
      <c r="AS60" s="849"/>
      <c r="AT60" s="923">
        <f>+Tabla1[[#This Row],[VENTA TOTAL $ (IVA INC) ]]-(SUM(Tabla1[[#This Row],[PENDIENTE DE ENTREGA]:[VALORES COBRADOS]]))</f>
        <v>0</v>
      </c>
      <c r="AU60" s="850">
        <f>VLOOKUP(Tabla1[[#This Row],[FECHA OC]],'TIPO DE CAMBIO'!A:B,2,TRUE)</f>
        <v>1393.2321999999999</v>
      </c>
      <c r="AV60" s="850">
        <f>+Tabla1[[#This Row],[SUBTOTAL]]/Tabla1[[#This Row],[TIPO DE CAMBIO]]</f>
        <v>14058.515773253112</v>
      </c>
      <c r="AW60" s="851"/>
      <c r="AX60" s="850">
        <f>IFERROR(Tabla1[[#This Row],[VENTA TOTAL USD A PLAZO EN CLIENTE  (SIN IVA)]]*(1+Tabla1[[#This Row],[% IVA ]]),"")</f>
        <v>14058.515773253112</v>
      </c>
      <c r="AY60" s="850">
        <f>+Tabla1[[#This Row],[VENTA TOTAL USD A PLAZO EN CLIENTE  (SIN IVA)]]/Tabla1[[#This Row],[KGS]]*1000</f>
        <v>355.91179172792687</v>
      </c>
      <c r="AZ60" s="850">
        <f>-Tabla1[[#This Row],[COSTO FLETE $ POR BOLSA 5O KG (SIN IVA)]]*20/Tabla1[[#This Row],[TIPO DE CAMBIO]]</f>
        <v>1.0622780610439524</v>
      </c>
      <c r="BA60" s="850">
        <f>+Tabla1[[#This Row],[GASTOS FINANCIEROS $ BOLSA 50 KG (IVA INC)]]*20/Tabla1[[#This Row],[TIPO DE CAMBIO]]</f>
        <v>0.3079465834125934</v>
      </c>
      <c r="BB60" s="850">
        <f>+Tabla1[[#This Row],[PRECIO POR TN USD EN CLIENTE A PLAZO (SIN IVA)]]+Tabla1[[#This Row],[COSTO USD FLETE /TN (SIN IVA)]]+Tabla1[[#This Row],[COSTO FINANCIERO USD POR BOLSA 50KG (IVA INC)]]</f>
        <v>357.28201637238345</v>
      </c>
      <c r="BC60" s="828">
        <v>4</v>
      </c>
      <c r="BD60" s="944" t="s">
        <v>486</v>
      </c>
    </row>
    <row r="61" spans="1:56" ht="15.75" customHeight="1">
      <c r="A61" s="912">
        <v>46143</v>
      </c>
      <c r="B61" s="828">
        <v>1</v>
      </c>
      <c r="C61" s="792" t="s">
        <v>592</v>
      </c>
      <c r="D61" s="829">
        <f>+Tabla1[[#This Row],[FECHA Entrega]]</f>
        <v>46164</v>
      </c>
      <c r="E61" s="830">
        <v>2853</v>
      </c>
      <c r="F61" s="831" t="s">
        <v>468</v>
      </c>
      <c r="G61" s="832" t="s">
        <v>357</v>
      </c>
      <c r="H61" s="852">
        <v>46164</v>
      </c>
      <c r="I61" s="943">
        <f>633*50</f>
        <v>31650</v>
      </c>
      <c r="J61" s="835">
        <f t="shared" ref="J61:J64" si="34">600/1.21</f>
        <v>495.86776859504135</v>
      </c>
      <c r="K61" s="836">
        <f t="shared" si="1"/>
        <v>15694214.876033058</v>
      </c>
      <c r="L6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3295785.1239669421</v>
      </c>
      <c r="M61" s="837">
        <f t="shared" si="0"/>
        <v>18990000</v>
      </c>
      <c r="N61" s="838">
        <v>0</v>
      </c>
      <c r="O61" s="838">
        <v>0</v>
      </c>
      <c r="P61" s="838">
        <v>0</v>
      </c>
      <c r="Q61" s="839">
        <f>+Tabla1[[#This Row],[VENTA TOTAL $ (IVA INC) ]]-Tabla1[[#This Row],[PENDIENTE DE COBRO]]</f>
        <v>18990000</v>
      </c>
      <c r="R61" s="840">
        <f>+Tabla1[[#This Row],[FECHA FC]]+Tabla1[[#This Row],[PLAZO ENTREGA VALORES]]</f>
        <v>46156</v>
      </c>
      <c r="S61" s="840">
        <f>+Tabla1[[#This Row],[FECHA FC]]+Tabla1[[#This Row],[PLAZO PAGO (DIAS)]]</f>
        <v>46171</v>
      </c>
      <c r="T61" s="834">
        <f t="shared" ca="1" si="27"/>
        <v>-10</v>
      </c>
      <c r="U61" s="831">
        <f>+Tabla1[[#This Row],[FECHA OC]]-Tabla1[[#This Row],[FECHA Entrega]]</f>
        <v>-8</v>
      </c>
      <c r="V61" s="831"/>
      <c r="W61" s="841">
        <f t="shared" si="26"/>
        <v>46178</v>
      </c>
      <c r="X61" s="831" t="s">
        <v>487</v>
      </c>
      <c r="Y61" s="840">
        <v>46156</v>
      </c>
      <c r="Z61" s="842">
        <f>Tabla1[[#This Row],[KGS]]/50</f>
        <v>633</v>
      </c>
      <c r="AA6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61" s="844">
        <f>-Tabla1[[#This Row],[COSTO FLETE $ POR BOLSA 5O KG (SIN IVA)]]*1.21-Tabla1[[#This Row],[PRECIO $/ KG A PLAZO EN CLIENTE ( SIN IVA)]]*0.003*1.21*50</f>
        <v>-0.46000000000000796</v>
      </c>
      <c r="AC61" s="845">
        <f>SUM(Tabla1[[#This Row],[PRECIO $ BOLSA 50 KG (IVA INC) ]]+Tabla1[[#This Row],[COSTO FLETE $ BOLSA 50 KG (IVA INC)]])</f>
        <v>29999.54</v>
      </c>
      <c r="AD61" s="844">
        <f>-Tabla1[[#This Row],[PRECIO $ BOLSA 50 KG (IVA INC) ]]*(Tabla1[[#This Row],[TASA FINANCIACION MENSUAL]]/365)*Tabla1[[#This Row],[PLAZO ENTREGA VALORES]]</f>
        <v>19.068493150684933</v>
      </c>
      <c r="AE61" s="845">
        <f>SUM(Tabla1[[#This Row],[PRECIO $ BOLSA50 KG  FOB TUCUMAN A PLAZO (IVA INC)]]+Tabla1[[#This Row],[GASTOS FINANCIEROS $ BOLSA 50 KG (IVA INC)]])</f>
        <v>30018.608493150685</v>
      </c>
      <c r="AF61" s="828" t="s">
        <v>359</v>
      </c>
      <c r="AG61" s="828" t="s">
        <v>365</v>
      </c>
      <c r="AH61" s="828" t="s">
        <v>387</v>
      </c>
      <c r="AI61" s="828" t="s">
        <v>391</v>
      </c>
      <c r="AJ6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61" s="846">
        <f>SUM(Tabla1[[#This Row],[PRECIO $ BOLSA 50KG  FOB CDO TUC (IVA INC)]]-Tabla1[[#This Row],[PRECIO REF $ BOLSA 50 KG CACTU (IVA INC)]])</f>
        <v>-7078.3915068493152</v>
      </c>
      <c r="AL61" s="847">
        <f>IFERROR(Tabla1[[#This Row],[PRECIO $ BOLSA 50KG  FOB CDO TUC (IVA INC)]]/Tabla1[[#This Row],[PRECIO REF $ BOLSA 50 KG CACTU (IVA INC)]]-1,"")</f>
        <v>-0.19080765309457137</v>
      </c>
      <c r="AM61" s="846">
        <f>+Tabla1[[#This Row],[DIF $ PRECIO NETO INDUSTRIA vs Neto TUCUMAN (IVA INC)]]*Tabla1[[#This Row],[Q Bolsas Equivalentes 50kg]]</f>
        <v>-4480621.8238356169</v>
      </c>
      <c r="AN61" s="846">
        <f>Tabla1[[#This Row],[PRECIO REF $ BOLSA 50 KG CACTU (IVA INC)]]*Tabla1[[#This Row],[Q Bolsas Equivalentes 50kg]]</f>
        <v>23482401</v>
      </c>
      <c r="AO61" s="846">
        <f>+Tabla1[[#This Row],[PRECIO $ BOLSA 50KG  FOB CDO TUC (IVA INC)]]*Tabla1[[#This Row],[Q Bolsas Equivalentes 50kg]]</f>
        <v>19001779.176164385</v>
      </c>
      <c r="AP61" s="847">
        <v>2.9000000000000001E-2</v>
      </c>
      <c r="AQ61" s="846">
        <v>-74</v>
      </c>
      <c r="AR61" s="828">
        <v>7</v>
      </c>
      <c r="AS61" s="849" t="s">
        <v>594</v>
      </c>
      <c r="AT61" s="923">
        <f>+Tabla1[[#This Row],[VENTA TOTAL $ (IVA INC) ]]-(SUM(Tabla1[[#This Row],[PENDIENTE DE ENTREGA]:[VALORES COBRADOS]]))</f>
        <v>0</v>
      </c>
      <c r="AU61" s="850">
        <f>VLOOKUP(Tabla1[[#This Row],[FECHA OC]],'TIPO DE CAMBIO'!A:B,2,TRUE)</f>
        <v>1393.2321999999999</v>
      </c>
      <c r="AV61" s="850">
        <f>+Tabla1[[#This Row],[SUBTOTAL]]/Tabla1[[#This Row],[TIPO DE CAMBIO]]</f>
        <v>11264.608208188885</v>
      </c>
      <c r="AW61" s="851"/>
      <c r="AX61" s="850">
        <f>IFERROR(Tabla1[[#This Row],[VENTA TOTAL USD A PLAZO EN CLIENTE  (SIN IVA)]]*(1+Tabla1[[#This Row],[% IVA ]]),"")</f>
        <v>11264.608208188885</v>
      </c>
      <c r="AY61" s="850">
        <f>+Tabla1[[#This Row],[VENTA TOTAL USD A PLAZO EN CLIENTE  (SIN IVA)]]/Tabla1[[#This Row],[KGS]]*1000</f>
        <v>355.91179172792687</v>
      </c>
      <c r="AZ61" s="850">
        <f>-Tabla1[[#This Row],[COSTO FLETE $ POR BOLSA 5O KG (SIN IVA)]]*20/Tabla1[[#This Row],[TIPO DE CAMBIO]]</f>
        <v>1.0622780610439524</v>
      </c>
      <c r="BA61" s="850">
        <f>+Tabla1[[#This Row],[GASTOS FINANCIEROS $ BOLSA 50 KG (IVA INC)]]*20/Tabla1[[#This Row],[TIPO DE CAMBIO]]</f>
        <v>0.27373029636674967</v>
      </c>
      <c r="BB61" s="850">
        <f>+Tabla1[[#This Row],[PRECIO POR TN USD EN CLIENTE A PLAZO (SIN IVA)]]+Tabla1[[#This Row],[COSTO USD FLETE /TN (SIN IVA)]]+Tabla1[[#This Row],[COSTO FINANCIERO USD POR BOLSA 50KG (IVA INC)]]</f>
        <v>357.24780008533759</v>
      </c>
      <c r="BC61" s="828">
        <v>4</v>
      </c>
      <c r="BD61" s="944" t="s">
        <v>486</v>
      </c>
    </row>
    <row r="62" spans="1:56" ht="15.75" customHeight="1">
      <c r="A62" s="912">
        <v>46143</v>
      </c>
      <c r="B62" s="828">
        <v>1</v>
      </c>
      <c r="C62" s="792" t="s">
        <v>483</v>
      </c>
      <c r="D62" s="829">
        <f>+Tabla1[[#This Row],[FECHA Entrega]]</f>
        <v>46168</v>
      </c>
      <c r="E62" s="830">
        <v>2849</v>
      </c>
      <c r="F62" s="831" t="s">
        <v>468</v>
      </c>
      <c r="G62" s="832" t="s">
        <v>357</v>
      </c>
      <c r="H62" s="852">
        <v>46168</v>
      </c>
      <c r="I62" s="943">
        <f>640*50</f>
        <v>32000</v>
      </c>
      <c r="J62" s="835">
        <f t="shared" si="34"/>
        <v>495.86776859504135</v>
      </c>
      <c r="K62" s="836">
        <f t="shared" si="1"/>
        <v>15867768.595041323</v>
      </c>
      <c r="L6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3332231.4049586779</v>
      </c>
      <c r="M62" s="837">
        <f t="shared" si="0"/>
        <v>19200000</v>
      </c>
      <c r="N62" s="838">
        <v>0</v>
      </c>
      <c r="O62" s="838">
        <v>0</v>
      </c>
      <c r="P62" s="838">
        <v>0</v>
      </c>
      <c r="Q62" s="839">
        <f>+Tabla1[[#This Row],[VENTA TOTAL $ (IVA INC) ]]-Tabla1[[#This Row],[PENDIENTE DE COBRO]]</f>
        <v>19200000</v>
      </c>
      <c r="R62" s="840">
        <f>+Tabla1[[#This Row],[FECHA FC]]+Tabla1[[#This Row],[PLAZO ENTREGA VALORES]]</f>
        <v>46156</v>
      </c>
      <c r="S62" s="840">
        <f>+Tabla1[[#This Row],[FECHA FC]]+Tabla1[[#This Row],[PLAZO PAGO (DIAS)]]</f>
        <v>46183</v>
      </c>
      <c r="T62" s="834">
        <f t="shared" ca="1" si="27"/>
        <v>2</v>
      </c>
      <c r="U62" s="831">
        <f>+Tabla1[[#This Row],[FECHA OC]]-Tabla1[[#This Row],[FECHA Entrega]]</f>
        <v>-12</v>
      </c>
      <c r="V62" s="831"/>
      <c r="W62" s="841">
        <f t="shared" si="26"/>
        <v>46190</v>
      </c>
      <c r="X62" s="831" t="s">
        <v>487</v>
      </c>
      <c r="Y62" s="840">
        <v>46156</v>
      </c>
      <c r="Z62" s="842">
        <f>Tabla1[[#This Row],[KGS]]/50</f>
        <v>640</v>
      </c>
      <c r="AA6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62" s="844">
        <f>-Tabla1[[#This Row],[COSTO FLETE $ POR BOLSA 5O KG (SIN IVA)]]*1.21-Tabla1[[#This Row],[PRECIO $/ KG A PLAZO EN CLIENTE ( SIN IVA)]]*0.003*1.21*50</f>
        <v>0.14499999999999602</v>
      </c>
      <c r="AC62" s="845">
        <f>SUM(Tabla1[[#This Row],[PRECIO $ BOLSA 50 KG (IVA INC) ]]+Tabla1[[#This Row],[COSTO FLETE $ BOLSA 50 KG (IVA INC)]])</f>
        <v>30000.145</v>
      </c>
      <c r="AD62" s="844">
        <f>-Tabla1[[#This Row],[PRECIO $ BOLSA 50 KG (IVA INC) ]]*(Tabla1[[#This Row],[TASA FINANCIACION MENSUAL]]/365)*Tabla1[[#This Row],[PLAZO ENTREGA VALORES]]</f>
        <v>28.602739726027401</v>
      </c>
      <c r="AE62" s="845">
        <f>SUM(Tabla1[[#This Row],[PRECIO $ BOLSA50 KG  FOB TUCUMAN A PLAZO (IVA INC)]]+Tabla1[[#This Row],[GASTOS FINANCIEROS $ BOLSA 50 KG (IVA INC)]])</f>
        <v>30028.747739726026</v>
      </c>
      <c r="AF62" s="828" t="s">
        <v>359</v>
      </c>
      <c r="AG62" s="828" t="s">
        <v>365</v>
      </c>
      <c r="AH62" s="828" t="s">
        <v>387</v>
      </c>
      <c r="AI62" s="828" t="s">
        <v>391</v>
      </c>
      <c r="AJ6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62" s="846">
        <f>SUM(Tabla1[[#This Row],[PRECIO $ BOLSA 50KG  FOB CDO TUC (IVA INC)]]-Tabla1[[#This Row],[PRECIO REF $ BOLSA 50 KG CACTU (IVA INC)]])</f>
        <v>-7068.2522602739737</v>
      </c>
      <c r="AL62" s="847">
        <f>IFERROR(Tabla1[[#This Row],[PRECIO $ BOLSA 50KG  FOB CDO TUC (IVA INC)]]/Tabla1[[#This Row],[PRECIO REF $ BOLSA 50 KG CACTU (IVA INC)]]-1,"")</f>
        <v>-0.19053433593751445</v>
      </c>
      <c r="AM62" s="846">
        <f>+Tabla1[[#This Row],[DIF $ PRECIO NETO INDUSTRIA vs Neto TUCUMAN (IVA INC)]]*Tabla1[[#This Row],[Q Bolsas Equivalentes 50kg]]</f>
        <v>-4523681.4465753436</v>
      </c>
      <c r="AN62" s="846">
        <f>Tabla1[[#This Row],[PRECIO REF $ BOLSA 50 KG CACTU (IVA INC)]]*Tabla1[[#This Row],[Q Bolsas Equivalentes 50kg]]</f>
        <v>23742080</v>
      </c>
      <c r="AO62" s="846">
        <f>+Tabla1[[#This Row],[PRECIO $ BOLSA 50KG  FOB CDO TUC (IVA INC)]]*Tabla1[[#This Row],[Q Bolsas Equivalentes 50kg]]</f>
        <v>19218398.553424656</v>
      </c>
      <c r="AP62" s="847">
        <v>2.9000000000000001E-2</v>
      </c>
      <c r="AQ62" s="846">
        <v>-74.5</v>
      </c>
      <c r="AR62" s="828">
        <v>15</v>
      </c>
      <c r="AS62" s="849" t="s">
        <v>554</v>
      </c>
      <c r="AT62" s="923">
        <f>+Tabla1[[#This Row],[VENTA TOTAL $ (IVA INC) ]]-(SUM(Tabla1[[#This Row],[PENDIENTE DE ENTREGA]:[VALORES COBRADOS]]))</f>
        <v>0</v>
      </c>
      <c r="AU62" s="850">
        <f>VLOOKUP(Tabla1[[#This Row],[FECHA OC]],'TIPO DE CAMBIO'!A:B,2,TRUE)</f>
        <v>1393.2321999999999</v>
      </c>
      <c r="AV62" s="850">
        <f>+Tabla1[[#This Row],[SUBTOTAL]]/Tabla1[[#This Row],[TIPO DE CAMBIO]]</f>
        <v>11389.17733529366</v>
      </c>
      <c r="AW62" s="851"/>
      <c r="AX62" s="850">
        <f>IFERROR(Tabla1[[#This Row],[VENTA TOTAL USD A PLAZO EN CLIENTE  (SIN IVA)]]*(1+Tabla1[[#This Row],[% IVA ]]),"")</f>
        <v>11389.17733529366</v>
      </c>
      <c r="AY62" s="850">
        <f>+Tabla1[[#This Row],[VENTA TOTAL USD A PLAZO EN CLIENTE  (SIN IVA)]]/Tabla1[[#This Row],[KGS]]*1000</f>
        <v>355.91179172792687</v>
      </c>
      <c r="AZ62" s="850">
        <f>-Tabla1[[#This Row],[COSTO FLETE $ POR BOLSA 5O KG (SIN IVA)]]*20/Tabla1[[#This Row],[TIPO DE CAMBIO]]</f>
        <v>1.0694556155104655</v>
      </c>
      <c r="BA62" s="850">
        <f>+Tabla1[[#This Row],[GASTOS FINANCIEROS $ BOLSA 50 KG (IVA INC)]]*20/Tabla1[[#This Row],[TIPO DE CAMBIO]]</f>
        <v>0.41059544455012459</v>
      </c>
      <c r="BB62" s="850">
        <f>+Tabla1[[#This Row],[PRECIO POR TN USD EN CLIENTE A PLAZO (SIN IVA)]]+Tabla1[[#This Row],[COSTO USD FLETE /TN (SIN IVA)]]+Tabla1[[#This Row],[COSTO FINANCIERO USD POR BOLSA 50KG (IVA INC)]]</f>
        <v>357.39184278798746</v>
      </c>
      <c r="BC62" s="828">
        <v>4</v>
      </c>
      <c r="BD62" s="944" t="s">
        <v>486</v>
      </c>
    </row>
    <row r="63" spans="1:56" ht="15.75" customHeight="1">
      <c r="A63" s="912">
        <v>46143</v>
      </c>
      <c r="B63" s="828">
        <v>1</v>
      </c>
      <c r="C63" s="792" t="s">
        <v>531</v>
      </c>
      <c r="D63" s="829">
        <f>+Tabla1[[#This Row],[FECHA Entrega]]</f>
        <v>46174</v>
      </c>
      <c r="E63" s="830">
        <v>2856</v>
      </c>
      <c r="F63" s="831" t="s">
        <v>468</v>
      </c>
      <c r="G63" s="832" t="s">
        <v>357</v>
      </c>
      <c r="H63" s="852">
        <v>46174</v>
      </c>
      <c r="I63" s="943">
        <f>550*50</f>
        <v>27500</v>
      </c>
      <c r="J63" s="835">
        <f t="shared" si="34"/>
        <v>495.86776859504135</v>
      </c>
      <c r="K63" s="836">
        <f t="shared" si="1"/>
        <v>13636363.636363637</v>
      </c>
      <c r="L6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2863636.3636363638</v>
      </c>
      <c r="M63" s="837">
        <f t="shared" si="0"/>
        <v>16500000</v>
      </c>
      <c r="N63" s="838">
        <v>0</v>
      </c>
      <c r="O63" s="838">
        <v>0</v>
      </c>
      <c r="P63" s="838">
        <v>0</v>
      </c>
      <c r="Q63" s="839">
        <f>+Tabla1[[#This Row],[VENTA TOTAL $ (IVA INC) ]]-Tabla1[[#This Row],[PENDIENTE DE COBRO]]</f>
        <v>16500000</v>
      </c>
      <c r="R63" s="840">
        <f>+Tabla1[[#This Row],[FECHA FC]]+Tabla1[[#This Row],[PLAZO ENTREGA VALORES]]</f>
        <v>46156</v>
      </c>
      <c r="S63" s="840">
        <f>+Tabla1[[#This Row],[FECHA FC]]+Tabla1[[#This Row],[PLAZO PAGO (DIAS)]]</f>
        <v>46174</v>
      </c>
      <c r="T63" s="834">
        <f t="shared" ca="1" si="27"/>
        <v>-7</v>
      </c>
      <c r="U63" s="831">
        <f>+Tabla1[[#This Row],[FECHA OC]]-Tabla1[[#This Row],[FECHA Entrega]]</f>
        <v>-18</v>
      </c>
      <c r="V63" s="831"/>
      <c r="W63" s="841">
        <f>+Tabla1[[#This Row],[FECHA VTO VALORES]]+7</f>
        <v>46181</v>
      </c>
      <c r="X63" s="831" t="s">
        <v>487</v>
      </c>
      <c r="Y63" s="840">
        <v>46156</v>
      </c>
      <c r="Z63" s="842">
        <f>Tabla1[[#This Row],[KGS]]/50</f>
        <v>550</v>
      </c>
      <c r="AA6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63" s="844">
        <f>-Tabla1[[#This Row],[COSTO FLETE $ POR BOLSA 5O KG (SIN IVA)]]*1.21-Tabla1[[#This Row],[PRECIO $/ KG A PLAZO EN CLIENTE ( SIN IVA)]]*0.003*1.21*50</f>
        <v>-0.46000000000000796</v>
      </c>
      <c r="AC63" s="845">
        <f>SUM(Tabla1[[#This Row],[PRECIO $ BOLSA 50 KG (IVA INC) ]]+Tabla1[[#This Row],[COSTO FLETE $ BOLSA 50 KG (IVA INC)]])</f>
        <v>29999.54</v>
      </c>
      <c r="AD63" s="844">
        <f>-Tabla1[[#This Row],[PRECIO $ BOLSA 50 KG (IVA INC) ]]*(Tabla1[[#This Row],[TASA FINANCIACION MENSUAL]]/365)*Tabla1[[#This Row],[PLAZO ENTREGA VALORES]]</f>
        <v>42.904109589041099</v>
      </c>
      <c r="AE63" s="845">
        <f>SUM(Tabla1[[#This Row],[PRECIO $ BOLSA50 KG  FOB TUCUMAN A PLAZO (IVA INC)]]+Tabla1[[#This Row],[GASTOS FINANCIEROS $ BOLSA 50 KG (IVA INC)]])</f>
        <v>30042.444109589043</v>
      </c>
      <c r="AF63" s="828" t="s">
        <v>359</v>
      </c>
      <c r="AG63" s="828" t="s">
        <v>365</v>
      </c>
      <c r="AH63" s="828" t="s">
        <v>387</v>
      </c>
      <c r="AI63" s="828" t="s">
        <v>391</v>
      </c>
      <c r="AJ6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63" s="846">
        <f>SUM(Tabla1[[#This Row],[PRECIO $ BOLSA 50KG  FOB CDO TUC (IVA INC)]]-Tabla1[[#This Row],[PRECIO REF $ BOLSA 50 KG CACTU (IVA INC)]])</f>
        <v>-7054.5558904109566</v>
      </c>
      <c r="AL63" s="847">
        <f>IFERROR(Tabla1[[#This Row],[PRECIO $ BOLSA 50KG  FOB CDO TUC (IVA INC)]]/Tabla1[[#This Row],[PRECIO REF $ BOLSA 50 KG CACTU (IVA INC)]]-1,"")</f>
        <v>-0.19016513169288507</v>
      </c>
      <c r="AM63" s="846">
        <f>+Tabla1[[#This Row],[DIF $ PRECIO NETO INDUSTRIA vs Neto TUCUMAN (IVA INC)]]*Tabla1[[#This Row],[Q Bolsas Equivalentes 50kg]]</f>
        <v>-3880005.7397260261</v>
      </c>
      <c r="AN63" s="846">
        <f>Tabla1[[#This Row],[PRECIO REF $ BOLSA 50 KG CACTU (IVA INC)]]*Tabla1[[#This Row],[Q Bolsas Equivalentes 50kg]]</f>
        <v>20403350</v>
      </c>
      <c r="AO63" s="846">
        <f>+Tabla1[[#This Row],[PRECIO $ BOLSA 50KG  FOB CDO TUC (IVA INC)]]*Tabla1[[#This Row],[Q Bolsas Equivalentes 50kg]]</f>
        <v>16523344.260273974</v>
      </c>
      <c r="AP63" s="847">
        <v>2.9000000000000001E-2</v>
      </c>
      <c r="AQ63" s="846">
        <v>-74</v>
      </c>
      <c r="AR63" s="848">
        <v>0</v>
      </c>
      <c r="AS63" s="849" t="s">
        <v>611</v>
      </c>
      <c r="AT63" s="923">
        <f>+Tabla1[[#This Row],[VENTA TOTAL $ (IVA INC) ]]-(SUM(Tabla1[[#This Row],[PENDIENTE DE ENTREGA]:[VALORES COBRADOS]]))</f>
        <v>0</v>
      </c>
      <c r="AU63" s="850">
        <f>VLOOKUP(Tabla1[[#This Row],[FECHA OC]],'TIPO DE CAMBIO'!A:B,2,TRUE)</f>
        <v>1393.2321999999999</v>
      </c>
      <c r="AV63" s="850">
        <f>+Tabla1[[#This Row],[SUBTOTAL]]/Tabla1[[#This Row],[TIPO DE CAMBIO]]</f>
        <v>9787.5742725179898</v>
      </c>
      <c r="AW63" s="851"/>
      <c r="AX63" s="850">
        <f>IFERROR(Tabla1[[#This Row],[VENTA TOTAL USD A PLAZO EN CLIENTE  (SIN IVA)]]*(1+Tabla1[[#This Row],[% IVA ]]),"")</f>
        <v>9787.5742725179898</v>
      </c>
      <c r="AY63" s="850">
        <f>+Tabla1[[#This Row],[VENTA TOTAL USD A PLAZO EN CLIENTE  (SIN IVA)]]/Tabla1[[#This Row],[KGS]]*1000</f>
        <v>355.91179172792692</v>
      </c>
      <c r="AZ63" s="850">
        <f>-Tabla1[[#This Row],[COSTO FLETE $ POR BOLSA 5O KG (SIN IVA)]]*20/Tabla1[[#This Row],[TIPO DE CAMBIO]]</f>
        <v>1.0622780610439524</v>
      </c>
      <c r="BA63" s="850">
        <f>+Tabla1[[#This Row],[GASTOS FINANCIEROS $ BOLSA 50 KG (IVA INC)]]*20/Tabla1[[#This Row],[TIPO DE CAMBIO]]</f>
        <v>0.6158931668251868</v>
      </c>
      <c r="BB63" s="850">
        <f>+Tabla1[[#This Row],[PRECIO POR TN USD EN CLIENTE A PLAZO (SIN IVA)]]+Tabla1[[#This Row],[COSTO USD FLETE /TN (SIN IVA)]]+Tabla1[[#This Row],[COSTO FINANCIERO USD POR BOLSA 50KG (IVA INC)]]</f>
        <v>357.58996295579607</v>
      </c>
      <c r="BC63" s="828">
        <v>4</v>
      </c>
      <c r="BD63" s="944" t="s">
        <v>486</v>
      </c>
    </row>
    <row r="64" spans="1:56" ht="15.75" customHeight="1">
      <c r="A64" s="912">
        <v>46143</v>
      </c>
      <c r="B64" s="828">
        <v>1</v>
      </c>
      <c r="C64" s="792" t="s">
        <v>566</v>
      </c>
      <c r="D64" s="829">
        <v>46175</v>
      </c>
      <c r="E64" s="830">
        <v>2852</v>
      </c>
      <c r="F64" s="831" t="s">
        <v>468</v>
      </c>
      <c r="G64" s="832" t="s">
        <v>357</v>
      </c>
      <c r="H64" s="852">
        <v>46176</v>
      </c>
      <c r="I64" s="943">
        <f>490*50</f>
        <v>24500</v>
      </c>
      <c r="J64" s="835">
        <f t="shared" si="34"/>
        <v>495.86776859504135</v>
      </c>
      <c r="K64" s="836">
        <f t="shared" ref="K64:K65" si="35">+J64*I64</f>
        <v>12148760.330578513</v>
      </c>
      <c r="L6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2551239.669421488</v>
      </c>
      <c r="M64" s="837">
        <f t="shared" ref="M64:M65" si="36">SUM(K64:L64)</f>
        <v>14700000.000000002</v>
      </c>
      <c r="N64" s="838">
        <v>0</v>
      </c>
      <c r="O64" s="838">
        <v>0</v>
      </c>
      <c r="P64" s="838">
        <v>0</v>
      </c>
      <c r="Q64" s="839">
        <f>+Tabla1[[#This Row],[VENTA TOTAL $ (IVA INC) ]]-Tabla1[[#This Row],[PENDIENTE DE COBRO]]</f>
        <v>14700000.000000002</v>
      </c>
      <c r="R64" s="840">
        <f>+Tabla1[[#This Row],[FECHA FC]]+Tabla1[[#This Row],[PLAZO ENTREGA VALORES]]</f>
        <v>46155</v>
      </c>
      <c r="S64" s="840">
        <f>+Tabla1[[#This Row],[FECHA FC]]+Tabla1[[#This Row],[PLAZO PAGO (DIAS)]]</f>
        <v>46175</v>
      </c>
      <c r="T64" s="834">
        <f t="shared" ref="T64:T65" ca="1" si="37">+S64-$U$2</f>
        <v>-6</v>
      </c>
      <c r="U64" s="831">
        <f>+Tabla1[[#This Row],[FECHA OC]]-Tabla1[[#This Row],[FECHA Entrega]]</f>
        <v>-20</v>
      </c>
      <c r="V64" s="831"/>
      <c r="W64" s="841">
        <f t="shared" ref="W64:W65" si="38">+S64+7</f>
        <v>46182</v>
      </c>
      <c r="X64" s="831" t="s">
        <v>487</v>
      </c>
      <c r="Y64" s="840">
        <v>46156</v>
      </c>
      <c r="Z64" s="842">
        <f>Tabla1[[#This Row],[KGS]]/50</f>
        <v>490</v>
      </c>
      <c r="AA6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64" s="844">
        <f>-Tabla1[[#This Row],[COSTO FLETE $ POR BOLSA 5O KG (SIN IVA)]]*1.21-Tabla1[[#This Row],[PRECIO $/ KG A PLAZO EN CLIENTE ( SIN IVA)]]*0.003*1.21*50</f>
        <v>-0.46000000000000796</v>
      </c>
      <c r="AC64" s="845">
        <f>SUM(Tabla1[[#This Row],[PRECIO $ BOLSA 50 KG (IVA INC) ]]+Tabla1[[#This Row],[COSTO FLETE $ BOLSA 50 KG (IVA INC)]])</f>
        <v>29999.54</v>
      </c>
      <c r="AD64" s="844">
        <f>-Tabla1[[#This Row],[PRECIO $ BOLSA 50 KG (IVA INC) ]]*(Tabla1[[#This Row],[TASA FINANCIACION MENSUAL]]/365)*Tabla1[[#This Row],[PLAZO ENTREGA VALORES]]</f>
        <v>47.671232876712331</v>
      </c>
      <c r="AE64" s="845">
        <f>SUM(Tabla1[[#This Row],[PRECIO $ BOLSA50 KG  FOB TUCUMAN A PLAZO (IVA INC)]]+Tabla1[[#This Row],[GASTOS FINANCIEROS $ BOLSA 50 KG (IVA INC)]])</f>
        <v>30047.211232876714</v>
      </c>
      <c r="AF64" s="828" t="s">
        <v>359</v>
      </c>
      <c r="AG64" s="828" t="s">
        <v>365</v>
      </c>
      <c r="AH64" s="828" t="s">
        <v>387</v>
      </c>
      <c r="AI64" s="828" t="s">
        <v>391</v>
      </c>
      <c r="AJ6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64" s="846">
        <f>SUM(Tabla1[[#This Row],[PRECIO $ BOLSA 50KG  FOB CDO TUC (IVA INC)]]-Tabla1[[#This Row],[PRECIO REF $ BOLSA 50 KG CACTU (IVA INC)]])</f>
        <v>-7049.7887671232857</v>
      </c>
      <c r="AL64" s="847">
        <f>IFERROR(Tabla1[[#This Row],[PRECIO $ BOLSA 50KG  FOB CDO TUC (IVA INC)]]/Tabla1[[#This Row],[PRECIO REF $ BOLSA 50 KG CACTU (IVA INC)]]-1,"")</f>
        <v>-0.19003662741254779</v>
      </c>
      <c r="AM64" s="846">
        <f>+Tabla1[[#This Row],[DIF $ PRECIO NETO INDUSTRIA vs Neto TUCUMAN (IVA INC)]]*Tabla1[[#This Row],[Q Bolsas Equivalentes 50kg]]</f>
        <v>-3454396.4958904102</v>
      </c>
      <c r="AN64" s="846">
        <f>Tabla1[[#This Row],[PRECIO REF $ BOLSA 50 KG CACTU (IVA INC)]]*Tabla1[[#This Row],[Q Bolsas Equivalentes 50kg]]</f>
        <v>18177530</v>
      </c>
      <c r="AO64" s="846">
        <f>+Tabla1[[#This Row],[PRECIO $ BOLSA 50KG  FOB CDO TUC (IVA INC)]]*Tabla1[[#This Row],[Q Bolsas Equivalentes 50kg]]</f>
        <v>14723133.504109589</v>
      </c>
      <c r="AP64" s="847">
        <v>2.9000000000000001E-2</v>
      </c>
      <c r="AQ64" s="846">
        <v>-74</v>
      </c>
      <c r="AR64" s="848">
        <v>0</v>
      </c>
      <c r="AS64" s="849" t="s">
        <v>567</v>
      </c>
      <c r="AT64" s="923">
        <f>+Tabla1[[#This Row],[VENTA TOTAL $ (IVA INC) ]]-(SUM(Tabla1[[#This Row],[PENDIENTE DE ENTREGA]:[VALORES COBRADOS]]))</f>
        <v>0</v>
      </c>
      <c r="AU64" s="850">
        <f>VLOOKUP(Tabla1[[#This Row],[FECHA OC]],'TIPO DE CAMBIO'!A:B,2,TRUE)</f>
        <v>1393.2321999999999</v>
      </c>
      <c r="AV64" s="850">
        <f>+Tabla1[[#This Row],[SUBTOTAL]]/Tabla1[[#This Row],[TIPO DE CAMBIO]]</f>
        <v>8719.8388973342098</v>
      </c>
      <c r="AW64" s="851"/>
      <c r="AX64" s="850">
        <f>IFERROR(Tabla1[[#This Row],[VENTA TOTAL USD A PLAZO EN CLIENTE  (SIN IVA)]]*(1+Tabla1[[#This Row],[% IVA ]]),"")</f>
        <v>8719.8388973342098</v>
      </c>
      <c r="AY64" s="850">
        <f>+Tabla1[[#This Row],[VENTA TOTAL USD A PLAZO EN CLIENTE  (SIN IVA)]]/Tabla1[[#This Row],[KGS]]*1000</f>
        <v>355.91179172792692</v>
      </c>
      <c r="AZ64" s="850">
        <f>-Tabla1[[#This Row],[COSTO FLETE $ POR BOLSA 5O KG (SIN IVA)]]*20/Tabla1[[#This Row],[TIPO DE CAMBIO]]</f>
        <v>1.0622780610439524</v>
      </c>
      <c r="BA64" s="850">
        <f>+Tabla1[[#This Row],[GASTOS FINANCIEROS $ BOLSA 50 KG (IVA INC)]]*20/Tabla1[[#This Row],[TIPO DE CAMBIO]]</f>
        <v>0.68432574091687426</v>
      </c>
      <c r="BB64" s="850">
        <f>+Tabla1[[#This Row],[PRECIO POR TN USD EN CLIENTE A PLAZO (SIN IVA)]]+Tabla1[[#This Row],[COSTO USD FLETE /TN (SIN IVA)]]+Tabla1[[#This Row],[COSTO FINANCIERO USD POR BOLSA 50KG (IVA INC)]]</f>
        <v>357.65839552988774</v>
      </c>
      <c r="BC64" s="828">
        <v>4</v>
      </c>
      <c r="BD64" s="944" t="s">
        <v>486</v>
      </c>
    </row>
    <row r="65" spans="1:56" ht="15.75" customHeight="1">
      <c r="A65" s="912">
        <v>46143</v>
      </c>
      <c r="B65" s="828">
        <v>1</v>
      </c>
      <c r="C65" s="792" t="s">
        <v>592</v>
      </c>
      <c r="D65" s="829">
        <f>+Tabla1[[#This Row],[FECHA Entrega]]</f>
        <v>46164</v>
      </c>
      <c r="E65" s="830">
        <v>2854</v>
      </c>
      <c r="F65" s="831" t="s">
        <v>469</v>
      </c>
      <c r="G65" s="832" t="s">
        <v>357</v>
      </c>
      <c r="H65" s="852">
        <v>46164</v>
      </c>
      <c r="I65" s="943">
        <f>438*50</f>
        <v>21900</v>
      </c>
      <c r="J65" s="835">
        <f>+(28000/50)/1.21</f>
        <v>462.80991735537191</v>
      </c>
      <c r="K65" s="836">
        <f t="shared" si="35"/>
        <v>10135537.190082645</v>
      </c>
      <c r="L6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2128462.8099173554</v>
      </c>
      <c r="M65" s="837">
        <f t="shared" si="36"/>
        <v>12264000</v>
      </c>
      <c r="N65" s="838">
        <v>0</v>
      </c>
      <c r="O65" s="838">
        <v>0</v>
      </c>
      <c r="P65" s="838">
        <v>0</v>
      </c>
      <c r="Q65" s="839">
        <f>+Tabla1[[#This Row],[VENTA TOTAL $ (IVA INC) ]]-Tabla1[[#This Row],[PENDIENTE DE COBRO]]</f>
        <v>12264000</v>
      </c>
      <c r="R65" s="840">
        <f>+Tabla1[[#This Row],[FECHA FC]]+Tabla1[[#This Row],[PLAZO ENTREGA VALORES]]</f>
        <v>46156</v>
      </c>
      <c r="S65" s="840">
        <f>+Tabla1[[#This Row],[FECHA FC]]+Tabla1[[#This Row],[PLAZO PAGO (DIAS)]]</f>
        <v>46171</v>
      </c>
      <c r="T65" s="834">
        <f t="shared" ca="1" si="37"/>
        <v>-10</v>
      </c>
      <c r="U65" s="831">
        <f>+Tabla1[[#This Row],[FECHA OC]]-Tabla1[[#This Row],[FECHA Entrega]]</f>
        <v>-8</v>
      </c>
      <c r="V65" s="831"/>
      <c r="W65" s="841">
        <f t="shared" si="38"/>
        <v>46178</v>
      </c>
      <c r="X65" s="831" t="s">
        <v>487</v>
      </c>
      <c r="Y65" s="840">
        <v>46156</v>
      </c>
      <c r="Z65" s="842">
        <f>Tabla1[[#This Row],[KGS]]/50</f>
        <v>438</v>
      </c>
      <c r="AA6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27999.999999999996</v>
      </c>
      <c r="AB65" s="844">
        <f>-Tabla1[[#This Row],[COSTO FLETE $ POR BOLSA 5O KG (SIN IVA)]]*1.21-Tabla1[[#This Row],[PRECIO $/ KG A PLAZO EN CLIENTE ( SIN IVA)]]*0.003*1.21*50</f>
        <v>9.4999999999998863E-2</v>
      </c>
      <c r="AC65" s="845">
        <f>SUM(Tabla1[[#This Row],[PRECIO $ BOLSA 50 KG (IVA INC) ]]+Tabla1[[#This Row],[COSTO FLETE $ BOLSA 50 KG (IVA INC)]])</f>
        <v>28000.094999999998</v>
      </c>
      <c r="AD65" s="844">
        <f>-Tabla1[[#This Row],[PRECIO $ BOLSA 50 KG (IVA INC) ]]*(Tabla1[[#This Row],[TASA FINANCIACION MENSUAL]]/365)*Tabla1[[#This Row],[PLAZO ENTREGA VALORES]]</f>
        <v>17.797260273972601</v>
      </c>
      <c r="AE65" s="845">
        <f>SUM(Tabla1[[#This Row],[PRECIO $ BOLSA50 KG  FOB TUCUMAN A PLAZO (IVA INC)]]+Tabla1[[#This Row],[GASTOS FINANCIEROS $ BOLSA 50 KG (IVA INC)]])</f>
        <v>28017.892260273969</v>
      </c>
      <c r="AF65" s="828" t="s">
        <v>359</v>
      </c>
      <c r="AG65" s="828" t="s">
        <v>365</v>
      </c>
      <c r="AH65" s="828" t="s">
        <v>387</v>
      </c>
      <c r="AI65" s="828" t="s">
        <v>391</v>
      </c>
      <c r="AJ6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65" s="846">
        <f>SUM(Tabla1[[#This Row],[PRECIO $ BOLSA 50KG  FOB CDO TUC (IVA INC)]]-Tabla1[[#This Row],[PRECIO REF $ BOLSA 50 KG CACTU (IVA INC)]])</f>
        <v>-9079.1077397260306</v>
      </c>
      <c r="AL65" s="847">
        <f>IFERROR(Tabla1[[#This Row],[PRECIO $ BOLSA 50KG  FOB CDO TUC (IVA INC)]]/Tabla1[[#This Row],[PRECIO REF $ BOLSA 50 KG CACTU (IVA INC)]]-1,"")</f>
        <v>-0.24473967543806863</v>
      </c>
      <c r="AM65" s="846">
        <f>+Tabla1[[#This Row],[DIF $ PRECIO NETO INDUSTRIA vs Neto TUCUMAN (IVA INC)]]*Tabla1[[#This Row],[Q Bolsas Equivalentes 50kg]]</f>
        <v>-3976649.1900000013</v>
      </c>
      <c r="AN65" s="846">
        <f>Tabla1[[#This Row],[PRECIO REF $ BOLSA 50 KG CACTU (IVA INC)]]*Tabla1[[#This Row],[Q Bolsas Equivalentes 50kg]]</f>
        <v>16248486</v>
      </c>
      <c r="AO65" s="846">
        <f>+Tabla1[[#This Row],[PRECIO $ BOLSA 50KG  FOB CDO TUC (IVA INC)]]*Tabla1[[#This Row],[Q Bolsas Equivalentes 50kg]]</f>
        <v>12271836.809999999</v>
      </c>
      <c r="AP65" s="847">
        <v>2.9000000000000001E-2</v>
      </c>
      <c r="AQ65" s="846">
        <v>-69.5</v>
      </c>
      <c r="AR65" s="848">
        <v>7</v>
      </c>
      <c r="AS65" s="849" t="s">
        <v>593</v>
      </c>
      <c r="AT65" s="923">
        <f>+Tabla1[[#This Row],[VENTA TOTAL $ (IVA INC) ]]-(SUM(Tabla1[[#This Row],[PENDIENTE DE ENTREGA]:[VALORES COBRADOS]]))</f>
        <v>0</v>
      </c>
      <c r="AU65" s="850">
        <f>VLOOKUP(Tabla1[[#This Row],[FECHA OC]],'TIPO DE CAMBIO'!A:B,2,TRUE)</f>
        <v>1393.2321999999999</v>
      </c>
      <c r="AV65" s="850">
        <f>+Tabla1[[#This Row],[SUBTOTAL]]/Tabla1[[#This Row],[TIPO DE CAMBIO]]</f>
        <v>7274.8370229188258</v>
      </c>
      <c r="AW65" s="851"/>
      <c r="AX65" s="850">
        <f>IFERROR(Tabla1[[#This Row],[VENTA TOTAL USD A PLAZO EN CLIENTE  (SIN IVA)]]*(1+Tabla1[[#This Row],[% IVA ]]),"")</f>
        <v>7274.8370229188258</v>
      </c>
      <c r="AY65" s="850">
        <f>+Tabla1[[#This Row],[VENTA TOTAL USD A PLAZO EN CLIENTE  (SIN IVA)]]/Tabla1[[#This Row],[KGS]]*1000</f>
        <v>332.18433894606511</v>
      </c>
      <c r="AZ65" s="850">
        <f>-Tabla1[[#This Row],[COSTO FLETE $ POR BOLSA 5O KG (SIN IVA)]]*20/Tabla1[[#This Row],[TIPO DE CAMBIO]]</f>
        <v>0.99768007084533361</v>
      </c>
      <c r="BA65" s="850">
        <f>+Tabla1[[#This Row],[GASTOS FINANCIEROS $ BOLSA 50 KG (IVA INC)]]*20/Tabla1[[#This Row],[TIPO DE CAMBIO]]</f>
        <v>0.25548160994229968</v>
      </c>
      <c r="BB65" s="850">
        <f>+Tabla1[[#This Row],[PRECIO POR TN USD EN CLIENTE A PLAZO (SIN IVA)]]+Tabla1[[#This Row],[COSTO USD FLETE /TN (SIN IVA)]]+Tabla1[[#This Row],[COSTO FINANCIERO USD POR BOLSA 50KG (IVA INC)]]</f>
        <v>333.43750062685274</v>
      </c>
      <c r="BC65" s="828">
        <v>4</v>
      </c>
      <c r="BD65" s="944" t="s">
        <v>546</v>
      </c>
    </row>
    <row r="66" spans="1:56" ht="15.75" customHeight="1">
      <c r="A66" s="912">
        <v>46143</v>
      </c>
      <c r="B66" s="828">
        <v>1</v>
      </c>
      <c r="C66" s="792" t="s">
        <v>411</v>
      </c>
      <c r="D66" s="829">
        <f>+Tabla1[[#This Row],[FECHA Entrega]]</f>
        <v>46171</v>
      </c>
      <c r="E66" s="830">
        <v>2846</v>
      </c>
      <c r="F66" s="831" t="s">
        <v>448</v>
      </c>
      <c r="G66" s="832" t="s">
        <v>216</v>
      </c>
      <c r="H66" s="852">
        <v>46171</v>
      </c>
      <c r="I66" s="834">
        <v>28000</v>
      </c>
      <c r="J66" s="835">
        <v>525</v>
      </c>
      <c r="K66" s="836">
        <f t="shared" si="1"/>
        <v>14700000</v>
      </c>
      <c r="L6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3087000</v>
      </c>
      <c r="M66" s="837">
        <f t="shared" si="0"/>
        <v>17787000</v>
      </c>
      <c r="N66" s="838">
        <f>+Tabla1[[#This Row],[VENTA TOTAL $ (IVA INC) ]]</f>
        <v>17787000</v>
      </c>
      <c r="O66" s="838">
        <v>0</v>
      </c>
      <c r="P66" s="838">
        <v>0</v>
      </c>
      <c r="Q66" s="839">
        <f>+Tabla1[[#This Row],[VENTA TOTAL $ (IVA INC) ]]-Tabla1[[#This Row],[PENDIENTE DE COBRO]]</f>
        <v>17787000</v>
      </c>
      <c r="R66" s="840">
        <f>+Tabla1[[#This Row],[FECHA FC]]+Tabla1[[#This Row],[PLAZO ENTREGA VALORES]]</f>
        <v>46074</v>
      </c>
      <c r="S66" s="840">
        <f>+Tabla1[[#This Row],[FECHA FC]]+Tabla1[[#This Row],[PLAZO PAGO (DIAS)]]</f>
        <v>46231</v>
      </c>
      <c r="T66" s="834">
        <f t="shared" ca="1" si="27"/>
        <v>50</v>
      </c>
      <c r="U66" s="831">
        <f>-(+Tabla1[[#This Row],[FECHA VTO VALORES]]-Tabla1[[#This Row],[FECHA OC]])</f>
        <v>-97</v>
      </c>
      <c r="V66" s="831"/>
      <c r="W66" s="841">
        <f t="shared" ref="W66:W117" si="39">+S66+7</f>
        <v>46238</v>
      </c>
      <c r="X66" s="831">
        <v>13035</v>
      </c>
      <c r="Y66" s="840">
        <v>46134</v>
      </c>
      <c r="Z66" s="842">
        <f>Tabla1[[#This Row],[KGS]]/50</f>
        <v>560</v>
      </c>
      <c r="AA6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31762.5</v>
      </c>
      <c r="AB66" s="844">
        <f>-Tabla1[[#This Row],[COSTO FLETE $ POR BOLSA 5O KG (SIN IVA)]]*1.21-Tabla1[[#This Row],[PRECIO $/ KG A PLAZO EN CLIENTE ( SIN IVA)]]*0.003*1.21*50</f>
        <v>-2757.2874999999999</v>
      </c>
      <c r="AC66" s="845">
        <f>SUM(Tabla1[[#This Row],[PRECIO $ BOLSA 50 KG (IVA INC) ]]+Tabla1[[#This Row],[COSTO FLETE $ BOLSA 50 KG (IVA INC)]])</f>
        <v>29005.212500000001</v>
      </c>
      <c r="AD66" s="844">
        <f>-Tabla1[[#This Row],[PRECIO $ BOLSA 50 KG (IVA INC) ]]*(Tabla1[[#This Row],[TASA FINANCIACION MENSUAL]]/365)*Tabla1[[#This Row],[PLAZO ENTREGA VALORES]]</f>
        <v>244.78880136986302</v>
      </c>
      <c r="AE66" s="845">
        <f>SUM(Tabla1[[#This Row],[PRECIO $ BOLSA50 KG  FOB TUCUMAN A PLAZO (IVA INC)]]+Tabla1[[#This Row],[GASTOS FINANCIEROS $ BOLSA 50 KG (IVA INC)]])</f>
        <v>29250.001301369866</v>
      </c>
      <c r="AF66" s="828" t="s">
        <v>359</v>
      </c>
      <c r="AG66" s="828" t="s">
        <v>369</v>
      </c>
      <c r="AH66" s="828" t="s">
        <v>361</v>
      </c>
      <c r="AI66" s="828" t="s">
        <v>258</v>
      </c>
      <c r="AJ6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35435</v>
      </c>
      <c r="AK66" s="846">
        <f>SUM(Tabla1[[#This Row],[PRECIO $ BOLSA 50KG  FOB CDO TUC (IVA INC)]]-Tabla1[[#This Row],[PRECIO REF $ BOLSA 50 KG CACTU (IVA INC)]])</f>
        <v>-6184.9986986301337</v>
      </c>
      <c r="AL66" s="847">
        <f>IFERROR(Tabla1[[#This Row],[PRECIO $ BOLSA 50KG  FOB CDO TUC (IVA INC)]]/Tabla1[[#This Row],[PRECIO REF $ BOLSA 50 KG CACTU (IVA INC)]]-1,"")</f>
        <v>-0.17454490471652695</v>
      </c>
      <c r="AM66" s="846">
        <f>+Tabla1[[#This Row],[DIF $ PRECIO NETO INDUSTRIA vs Neto TUCUMAN (IVA INC)]]*Tabla1[[#This Row],[Q Bolsas Equivalentes 50kg]]</f>
        <v>-3463599.2712328751</v>
      </c>
      <c r="AN66" s="846">
        <f>Tabla1[[#This Row],[PRECIO REF $ BOLSA 50 KG CACTU (IVA INC)]]*Tabla1[[#This Row],[Q Bolsas Equivalentes 50kg]]</f>
        <v>19843600</v>
      </c>
      <c r="AO66" s="846">
        <f>+Tabla1[[#This Row],[PRECIO $ BOLSA 50KG  FOB CDO TUC (IVA INC)]]*Tabla1[[#This Row],[Q Bolsas Equivalentes 50kg]]</f>
        <v>16380000.728767125</v>
      </c>
      <c r="AP66" s="847">
        <v>2.9000000000000001E-2</v>
      </c>
      <c r="AQ66" s="846">
        <f>44000/20</f>
        <v>2200</v>
      </c>
      <c r="AR66" s="828">
        <v>60</v>
      </c>
      <c r="AS66" s="849"/>
      <c r="AT66" s="923">
        <f>+Tabla1[[#This Row],[VENTA TOTAL $ (IVA INC) ]]-(SUM(Tabla1[[#This Row],[PENDIENTE DE ENTREGA]:[VALORES COBRADOS]]))</f>
        <v>-17787000</v>
      </c>
      <c r="AU66" s="850">
        <f>VLOOKUP(Tabla1[[#This Row],[FECHA OC]],'TIPO DE CAMBIO'!A:B,2,TRUE)</f>
        <v>1378.1258</v>
      </c>
      <c r="AV66" s="850">
        <f>+Tabla1[[#This Row],[SUBTOTAL]]/Tabla1[[#This Row],[TIPO DE CAMBIO]]</f>
        <v>10666.660474682354</v>
      </c>
      <c r="AW66" s="851"/>
      <c r="AX66" s="850">
        <f>IFERROR(Tabla1[[#This Row],[VENTA TOTAL USD A PLAZO EN CLIENTE  (SIN IVA)]]*(1+Tabla1[[#This Row],[% IVA ]]),"")</f>
        <v>10666.660474682354</v>
      </c>
      <c r="AY66" s="850">
        <f>+Tabla1[[#This Row],[VENTA TOTAL USD A PLAZO EN CLIENTE  (SIN IVA)]]/Tabla1[[#This Row],[KGS]]*1000</f>
        <v>380.95215981008408</v>
      </c>
      <c r="AZ66" s="850">
        <f>-Tabla1[[#This Row],[COSTO FLETE $ POR BOLSA 5O KG (SIN IVA)]]*20/Tabla1[[#This Row],[TIPO DE CAMBIO]]</f>
        <v>-31.927419107892764</v>
      </c>
      <c r="BA66" s="850">
        <f>+Tabla1[[#This Row],[GASTOS FINANCIEROS $ BOLSA 50 KG (IVA INC)]]*20/Tabla1[[#This Row],[TIPO DE CAMBIO]]</f>
        <v>3.5524884792065143</v>
      </c>
      <c r="BB66" s="850">
        <f>+Tabla1[[#This Row],[PRECIO POR TN USD EN CLIENTE A PLAZO (SIN IVA)]]+Tabla1[[#This Row],[COSTO USD FLETE /TN (SIN IVA)]]+Tabla1[[#This Row],[COSTO FINANCIERO USD POR BOLSA 50KG (IVA INC)]]</f>
        <v>352.5772291813978</v>
      </c>
      <c r="BC66" s="848">
        <v>3</v>
      </c>
      <c r="BD66" s="944" t="s">
        <v>485</v>
      </c>
    </row>
    <row r="67" spans="1:56" ht="15.75" customHeight="1">
      <c r="A67" s="912">
        <v>46143</v>
      </c>
      <c r="B67" s="828">
        <v>1</v>
      </c>
      <c r="C67" s="792" t="s">
        <v>411</v>
      </c>
      <c r="D67" s="829">
        <f>+Tabla1[[#This Row],[FECHA Entrega]]</f>
        <v>46172</v>
      </c>
      <c r="E67" s="830">
        <v>2846</v>
      </c>
      <c r="F67" s="831" t="s">
        <v>448</v>
      </c>
      <c r="G67" s="832" t="s">
        <v>216</v>
      </c>
      <c r="H67" s="852">
        <v>46172</v>
      </c>
      <c r="I67" s="834">
        <v>28000</v>
      </c>
      <c r="J67" s="835">
        <v>525</v>
      </c>
      <c r="K67" s="836">
        <f t="shared" si="1"/>
        <v>14700000</v>
      </c>
      <c r="L6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3087000</v>
      </c>
      <c r="M67" s="837">
        <f t="shared" si="0"/>
        <v>17787000</v>
      </c>
      <c r="N67" s="838">
        <f>+Tabla1[[#This Row],[VENTA TOTAL $ (IVA INC) ]]</f>
        <v>17787000</v>
      </c>
      <c r="O67" s="838">
        <v>0</v>
      </c>
      <c r="P67" s="838">
        <v>0</v>
      </c>
      <c r="Q67" s="839">
        <f>+Tabla1[[#This Row],[VENTA TOTAL $ (IVA INC) ]]-Tabla1[[#This Row],[PENDIENTE DE COBRO]]</f>
        <v>17787000</v>
      </c>
      <c r="R67" s="840">
        <f>+Tabla1[[#This Row],[FECHA FC]]+Tabla1[[#This Row],[PLAZO ENTREGA VALORES]]</f>
        <v>46074</v>
      </c>
      <c r="S67" s="840">
        <f>+Tabla1[[#This Row],[FECHA FC]]+Tabla1[[#This Row],[PLAZO PAGO (DIAS)]]</f>
        <v>46232</v>
      </c>
      <c r="T67" s="834">
        <f t="shared" ca="1" si="27"/>
        <v>51</v>
      </c>
      <c r="U67" s="831">
        <f>-(+Tabla1[[#This Row],[FECHA VTO VALORES]]-Tabla1[[#This Row],[FECHA OC]])</f>
        <v>-98</v>
      </c>
      <c r="V67" s="831"/>
      <c r="W67" s="841">
        <f t="shared" si="39"/>
        <v>46239</v>
      </c>
      <c r="X67" s="831">
        <v>13035</v>
      </c>
      <c r="Y67" s="840">
        <v>46134</v>
      </c>
      <c r="Z67" s="842">
        <f>Tabla1[[#This Row],[KGS]]/50</f>
        <v>560</v>
      </c>
      <c r="AA6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31762.5</v>
      </c>
      <c r="AB67" s="844">
        <f>-Tabla1[[#This Row],[COSTO FLETE $ POR BOLSA 5O KG (SIN IVA)]]*1.21-Tabla1[[#This Row],[PRECIO $/ KG A PLAZO EN CLIENTE ( SIN IVA)]]*0.003*1.21*50</f>
        <v>-2757.2874999999999</v>
      </c>
      <c r="AC67" s="845">
        <f>SUM(Tabla1[[#This Row],[PRECIO $ BOLSA 50 KG (IVA INC) ]]+Tabla1[[#This Row],[COSTO FLETE $ BOLSA 50 KG (IVA INC)]])</f>
        <v>29005.212500000001</v>
      </c>
      <c r="AD67" s="844">
        <f>-Tabla1[[#This Row],[PRECIO $ BOLSA 50 KG (IVA INC) ]]*(Tabla1[[#This Row],[TASA FINANCIACION MENSUAL]]/365)*Tabla1[[#This Row],[PLAZO ENTREGA VALORES]]</f>
        <v>247.31239726027397</v>
      </c>
      <c r="AE67" s="845">
        <f>SUM(Tabla1[[#This Row],[PRECIO $ BOLSA50 KG  FOB TUCUMAN A PLAZO (IVA INC)]]+Tabla1[[#This Row],[GASTOS FINANCIEROS $ BOLSA 50 KG (IVA INC)]])</f>
        <v>29252.524897260275</v>
      </c>
      <c r="AF67" s="828" t="s">
        <v>359</v>
      </c>
      <c r="AG67" s="828" t="s">
        <v>369</v>
      </c>
      <c r="AH67" s="828" t="s">
        <v>361</v>
      </c>
      <c r="AI67" s="828" t="s">
        <v>258</v>
      </c>
      <c r="AJ6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35435</v>
      </c>
      <c r="AK67" s="846">
        <f>SUM(Tabla1[[#This Row],[PRECIO $ BOLSA 50KG  FOB CDO TUC (IVA INC)]]-Tabla1[[#This Row],[PRECIO REF $ BOLSA 50 KG CACTU (IVA INC)]])</f>
        <v>-6182.4751027397251</v>
      </c>
      <c r="AL67" s="847">
        <f>IFERROR(Tabla1[[#This Row],[PRECIO $ BOLSA 50KG  FOB CDO TUC (IVA INC)]]/Tabla1[[#This Row],[PRECIO REF $ BOLSA 50 KG CACTU (IVA INC)]]-1,"")</f>
        <v>-0.17447368710991185</v>
      </c>
      <c r="AM67" s="846">
        <f>+Tabla1[[#This Row],[DIF $ PRECIO NETO INDUSTRIA vs Neto TUCUMAN (IVA INC)]]*Tabla1[[#This Row],[Q Bolsas Equivalentes 50kg]]</f>
        <v>-3462186.0575342462</v>
      </c>
      <c r="AN67" s="846">
        <f>Tabla1[[#This Row],[PRECIO REF $ BOLSA 50 KG CACTU (IVA INC)]]*Tabla1[[#This Row],[Q Bolsas Equivalentes 50kg]]</f>
        <v>19843600</v>
      </c>
      <c r="AO67" s="846">
        <f>+Tabla1[[#This Row],[PRECIO $ BOLSA 50KG  FOB CDO TUC (IVA INC)]]*Tabla1[[#This Row],[Q Bolsas Equivalentes 50kg]]</f>
        <v>16381413.942465754</v>
      </c>
      <c r="AP67" s="847">
        <v>2.9000000000000001E-2</v>
      </c>
      <c r="AQ67" s="846">
        <f t="shared" ref="AQ67:AQ71" si="40">44000/20</f>
        <v>2200</v>
      </c>
      <c r="AR67" s="828">
        <v>60</v>
      </c>
      <c r="AS67" s="849"/>
      <c r="AT67" s="923">
        <f>+Tabla1[[#This Row],[VENTA TOTAL $ (IVA INC) ]]-(SUM(Tabla1[[#This Row],[PENDIENTE DE ENTREGA]:[VALORES COBRADOS]]))</f>
        <v>-17787000</v>
      </c>
      <c r="AU67" s="850">
        <f>VLOOKUP(Tabla1[[#This Row],[FECHA OC]],'TIPO DE CAMBIO'!A:B,2,TRUE)</f>
        <v>1378.1258</v>
      </c>
      <c r="AV67" s="850">
        <f>+Tabla1[[#This Row],[SUBTOTAL]]/Tabla1[[#This Row],[TIPO DE CAMBIO]]</f>
        <v>10666.660474682354</v>
      </c>
      <c r="AW67" s="851"/>
      <c r="AX67" s="850">
        <f>IFERROR(Tabla1[[#This Row],[VENTA TOTAL USD A PLAZO EN CLIENTE  (SIN IVA)]]*(1+Tabla1[[#This Row],[% IVA ]]),"")</f>
        <v>10666.660474682354</v>
      </c>
      <c r="AY67" s="850">
        <f>+Tabla1[[#This Row],[VENTA TOTAL USD A PLAZO EN CLIENTE  (SIN IVA)]]/Tabla1[[#This Row],[KGS]]*1000</f>
        <v>380.95215981008408</v>
      </c>
      <c r="AZ67" s="850">
        <f>-Tabla1[[#This Row],[COSTO FLETE $ POR BOLSA 5O KG (SIN IVA)]]*20/Tabla1[[#This Row],[TIPO DE CAMBIO]]</f>
        <v>-31.927419107892764</v>
      </c>
      <c r="BA67" s="850">
        <f>+Tabla1[[#This Row],[GASTOS FINANCIEROS $ BOLSA 50 KG (IVA INC)]]*20/Tabla1[[#This Row],[TIPO DE CAMBIO]]</f>
        <v>3.5891120717756531</v>
      </c>
      <c r="BB67" s="850">
        <f>+Tabla1[[#This Row],[PRECIO POR TN USD EN CLIENTE A PLAZO (SIN IVA)]]+Tabla1[[#This Row],[COSTO USD FLETE /TN (SIN IVA)]]+Tabla1[[#This Row],[COSTO FINANCIERO USD POR BOLSA 50KG (IVA INC)]]</f>
        <v>352.61385277396698</v>
      </c>
      <c r="BC67" s="848">
        <v>3</v>
      </c>
      <c r="BD67" s="944" t="s">
        <v>485</v>
      </c>
    </row>
    <row r="68" spans="1:56" ht="15.75" customHeight="1">
      <c r="A68" s="912">
        <v>46143</v>
      </c>
      <c r="B68" s="828">
        <v>1</v>
      </c>
      <c r="C68" s="792" t="s">
        <v>411</v>
      </c>
      <c r="D68" s="829">
        <f>+Tabla1[[#This Row],[FECHA Entrega]]</f>
        <v>46176</v>
      </c>
      <c r="E68" s="830">
        <v>2846</v>
      </c>
      <c r="F68" s="831" t="s">
        <v>448</v>
      </c>
      <c r="G68" s="832" t="s">
        <v>216</v>
      </c>
      <c r="H68" s="852">
        <v>46176</v>
      </c>
      <c r="I68" s="834">
        <v>28000</v>
      </c>
      <c r="J68" s="835">
        <v>525</v>
      </c>
      <c r="K68" s="836">
        <f t="shared" si="1"/>
        <v>14700000</v>
      </c>
      <c r="L6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3087000</v>
      </c>
      <c r="M68" s="837">
        <f t="shared" si="0"/>
        <v>17787000</v>
      </c>
      <c r="N68" s="838">
        <f>+Tabla1[[#This Row],[VENTA TOTAL $ (IVA INC) ]]</f>
        <v>17787000</v>
      </c>
      <c r="O68" s="838">
        <v>0</v>
      </c>
      <c r="P68" s="838">
        <v>0</v>
      </c>
      <c r="Q68" s="839">
        <f>+Tabla1[[#This Row],[VENTA TOTAL $ (IVA INC) ]]-Tabla1[[#This Row],[PENDIENTE DE COBRO]]</f>
        <v>17787000</v>
      </c>
      <c r="R68" s="840">
        <f>+Tabla1[[#This Row],[FECHA FC]]+Tabla1[[#This Row],[PLAZO ENTREGA VALORES]]</f>
        <v>46074</v>
      </c>
      <c r="S68" s="840">
        <f>+Tabla1[[#This Row],[FECHA FC]]+Tabla1[[#This Row],[PLAZO PAGO (DIAS)]]</f>
        <v>46236</v>
      </c>
      <c r="T68" s="834">
        <f t="shared" ca="1" si="27"/>
        <v>55</v>
      </c>
      <c r="U68" s="831">
        <f>-(+Tabla1[[#This Row],[FECHA VTO VALORES]]-Tabla1[[#This Row],[FECHA OC]])</f>
        <v>-102</v>
      </c>
      <c r="V68" s="831"/>
      <c r="W68" s="841">
        <f t="shared" si="39"/>
        <v>46243</v>
      </c>
      <c r="X68" s="831">
        <v>13035</v>
      </c>
      <c r="Y68" s="840">
        <v>46134</v>
      </c>
      <c r="Z68" s="842">
        <f>Tabla1[[#This Row],[KGS]]/50</f>
        <v>560</v>
      </c>
      <c r="AA6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31762.5</v>
      </c>
      <c r="AB68" s="844">
        <f>-Tabla1[[#This Row],[COSTO FLETE $ POR BOLSA 5O KG (SIN IVA)]]*1.21-Tabla1[[#This Row],[PRECIO $/ KG A PLAZO EN CLIENTE ( SIN IVA)]]*0.003*1.21*50</f>
        <v>-2757.2874999999999</v>
      </c>
      <c r="AC68" s="845">
        <f>SUM(Tabla1[[#This Row],[PRECIO $ BOLSA 50 KG (IVA INC) ]]+Tabla1[[#This Row],[COSTO FLETE $ BOLSA 50 KG (IVA INC)]])</f>
        <v>29005.212500000001</v>
      </c>
      <c r="AD68" s="844">
        <f>-Tabla1[[#This Row],[PRECIO $ BOLSA 50 KG (IVA INC) ]]*(Tabla1[[#This Row],[TASA FINANCIACION MENSUAL]]/365)*Tabla1[[#This Row],[PLAZO ENTREGA VALORES]]</f>
        <v>257.40678082191783</v>
      </c>
      <c r="AE68" s="845">
        <f>SUM(Tabla1[[#This Row],[PRECIO $ BOLSA50 KG  FOB TUCUMAN A PLAZO (IVA INC)]]+Tabla1[[#This Row],[GASTOS FINANCIEROS $ BOLSA 50 KG (IVA INC)]])</f>
        <v>29262.61928082192</v>
      </c>
      <c r="AF68" s="828" t="s">
        <v>359</v>
      </c>
      <c r="AG68" s="828" t="s">
        <v>369</v>
      </c>
      <c r="AH68" s="828" t="s">
        <v>361</v>
      </c>
      <c r="AI68" s="828" t="s">
        <v>258</v>
      </c>
      <c r="AJ6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35435</v>
      </c>
      <c r="AK68" s="846">
        <f>SUM(Tabla1[[#This Row],[PRECIO $ BOLSA 50KG  FOB CDO TUC (IVA INC)]]-Tabla1[[#This Row],[PRECIO REF $ BOLSA 50 KG CACTU (IVA INC)]])</f>
        <v>-6172.3807191780797</v>
      </c>
      <c r="AL68" s="847">
        <f>IFERROR(Tabla1[[#This Row],[PRECIO $ BOLSA 50KG  FOB CDO TUC (IVA INC)]]/Tabla1[[#This Row],[PRECIO REF $ BOLSA 50 KG CACTU (IVA INC)]]-1,"")</f>
        <v>-0.17418881668345076</v>
      </c>
      <c r="AM68" s="846">
        <f>+Tabla1[[#This Row],[DIF $ PRECIO NETO INDUSTRIA vs Neto TUCUMAN (IVA INC)]]*Tabla1[[#This Row],[Q Bolsas Equivalentes 50kg]]</f>
        <v>-3456533.2027397249</v>
      </c>
      <c r="AN68" s="846">
        <f>Tabla1[[#This Row],[PRECIO REF $ BOLSA 50 KG CACTU (IVA INC)]]*Tabla1[[#This Row],[Q Bolsas Equivalentes 50kg]]</f>
        <v>19843600</v>
      </c>
      <c r="AO68" s="846">
        <f>+Tabla1[[#This Row],[PRECIO $ BOLSA 50KG  FOB CDO TUC (IVA INC)]]*Tabla1[[#This Row],[Q Bolsas Equivalentes 50kg]]</f>
        <v>16387066.797260275</v>
      </c>
      <c r="AP68" s="847">
        <v>2.9000000000000001E-2</v>
      </c>
      <c r="AQ68" s="846">
        <f t="shared" si="40"/>
        <v>2200</v>
      </c>
      <c r="AR68" s="828">
        <v>60</v>
      </c>
      <c r="AS68" s="849"/>
      <c r="AT68" s="923">
        <f>+Tabla1[[#This Row],[VENTA TOTAL $ (IVA INC) ]]-(SUM(Tabla1[[#This Row],[PENDIENTE DE ENTREGA]:[VALORES COBRADOS]]))</f>
        <v>-17787000</v>
      </c>
      <c r="AU68" s="850">
        <f>VLOOKUP(Tabla1[[#This Row],[FECHA OC]],'TIPO DE CAMBIO'!A:B,2,TRUE)</f>
        <v>1378.1258</v>
      </c>
      <c r="AV68" s="850">
        <f>+Tabla1[[#This Row],[SUBTOTAL]]/Tabla1[[#This Row],[TIPO DE CAMBIO]]</f>
        <v>10666.660474682354</v>
      </c>
      <c r="AW68" s="851"/>
      <c r="AX68" s="850">
        <f>IFERROR(Tabla1[[#This Row],[VENTA TOTAL USD A PLAZO EN CLIENTE  (SIN IVA)]]*(1+Tabla1[[#This Row],[% IVA ]]),"")</f>
        <v>10666.660474682354</v>
      </c>
      <c r="AY68" s="850">
        <f>+Tabla1[[#This Row],[VENTA TOTAL USD A PLAZO EN CLIENTE  (SIN IVA)]]/Tabla1[[#This Row],[KGS]]*1000</f>
        <v>380.95215981008408</v>
      </c>
      <c r="AZ68" s="850">
        <f>-Tabla1[[#This Row],[COSTO FLETE $ POR BOLSA 5O KG (SIN IVA)]]*20/Tabla1[[#This Row],[TIPO DE CAMBIO]]</f>
        <v>-31.927419107892764</v>
      </c>
      <c r="BA68" s="850">
        <f>+Tabla1[[#This Row],[GASTOS FINANCIEROS $ BOLSA 50 KG (IVA INC)]]*20/Tabla1[[#This Row],[TIPO DE CAMBIO]]</f>
        <v>3.735606442052211</v>
      </c>
      <c r="BB68" s="850">
        <f>+Tabla1[[#This Row],[PRECIO POR TN USD EN CLIENTE A PLAZO (SIN IVA)]]+Tabla1[[#This Row],[COSTO USD FLETE /TN (SIN IVA)]]+Tabla1[[#This Row],[COSTO FINANCIERO USD POR BOLSA 50KG (IVA INC)]]</f>
        <v>352.7603471442435</v>
      </c>
      <c r="BC68" s="848">
        <v>3</v>
      </c>
      <c r="BD68" s="944" t="s">
        <v>485</v>
      </c>
    </row>
    <row r="69" spans="1:56" ht="15.75" customHeight="1">
      <c r="A69" s="912">
        <v>46143</v>
      </c>
      <c r="B69" s="828">
        <v>1</v>
      </c>
      <c r="C69" s="792" t="s">
        <v>411</v>
      </c>
      <c r="D69" s="829">
        <f>+Tabla1[[#This Row],[FECHA Entrega]]</f>
        <v>46178</v>
      </c>
      <c r="E69" s="830">
        <v>2846</v>
      </c>
      <c r="F69" s="831" t="s">
        <v>448</v>
      </c>
      <c r="G69" s="832" t="s">
        <v>216</v>
      </c>
      <c r="H69" s="852">
        <v>46178</v>
      </c>
      <c r="I69" s="834">
        <v>28000</v>
      </c>
      <c r="J69" s="835">
        <v>525</v>
      </c>
      <c r="K69" s="836">
        <f t="shared" si="1"/>
        <v>14700000</v>
      </c>
      <c r="L6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3087000</v>
      </c>
      <c r="M69" s="837">
        <f t="shared" si="0"/>
        <v>17787000</v>
      </c>
      <c r="N69" s="838">
        <f>+Tabla1[[#This Row],[VENTA TOTAL $ (IVA INC) ]]</f>
        <v>17787000</v>
      </c>
      <c r="O69" s="838">
        <v>0</v>
      </c>
      <c r="P69" s="838">
        <v>0</v>
      </c>
      <c r="Q69" s="839">
        <f>+Tabla1[[#This Row],[VENTA TOTAL $ (IVA INC) ]]-Tabla1[[#This Row],[PENDIENTE DE COBRO]]</f>
        <v>17787000</v>
      </c>
      <c r="R69" s="840">
        <f>+Tabla1[[#This Row],[FECHA FC]]+Tabla1[[#This Row],[PLAZO ENTREGA VALORES]]</f>
        <v>46074</v>
      </c>
      <c r="S69" s="840">
        <f>+Tabla1[[#This Row],[FECHA FC]]+Tabla1[[#This Row],[PLAZO PAGO (DIAS)]]</f>
        <v>46238</v>
      </c>
      <c r="T69" s="834">
        <f t="shared" ca="1" si="27"/>
        <v>57</v>
      </c>
      <c r="U69" s="831">
        <f>-(+Tabla1[[#This Row],[FECHA VTO VALORES]]-Tabla1[[#This Row],[FECHA OC]])</f>
        <v>-104</v>
      </c>
      <c r="V69" s="831"/>
      <c r="W69" s="841">
        <f t="shared" si="39"/>
        <v>46245</v>
      </c>
      <c r="X69" s="831">
        <v>13035</v>
      </c>
      <c r="Y69" s="840">
        <v>46134</v>
      </c>
      <c r="Z69" s="842">
        <f>Tabla1[[#This Row],[KGS]]/50</f>
        <v>560</v>
      </c>
      <c r="AA6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31762.5</v>
      </c>
      <c r="AB69" s="844">
        <f>-Tabla1[[#This Row],[COSTO FLETE $ POR BOLSA 5O KG (SIN IVA)]]*1.21-Tabla1[[#This Row],[PRECIO $/ KG A PLAZO EN CLIENTE ( SIN IVA)]]*0.003*1.21*50</f>
        <v>-2757.2874999999999</v>
      </c>
      <c r="AC69" s="845">
        <f>SUM(Tabla1[[#This Row],[PRECIO $ BOLSA 50 KG (IVA INC) ]]+Tabla1[[#This Row],[COSTO FLETE $ BOLSA 50 KG (IVA INC)]])</f>
        <v>29005.212500000001</v>
      </c>
      <c r="AD69" s="844">
        <f>-Tabla1[[#This Row],[PRECIO $ BOLSA 50 KG (IVA INC) ]]*(Tabla1[[#This Row],[TASA FINANCIACION MENSUAL]]/365)*Tabla1[[#This Row],[PLAZO ENTREGA VALORES]]</f>
        <v>262.45397260273973</v>
      </c>
      <c r="AE69" s="845">
        <f>SUM(Tabla1[[#This Row],[PRECIO $ BOLSA50 KG  FOB TUCUMAN A PLAZO (IVA INC)]]+Tabla1[[#This Row],[GASTOS FINANCIEROS $ BOLSA 50 KG (IVA INC)]])</f>
        <v>29267.666472602741</v>
      </c>
      <c r="AF69" s="828" t="s">
        <v>359</v>
      </c>
      <c r="AG69" s="828" t="s">
        <v>369</v>
      </c>
      <c r="AH69" s="828" t="s">
        <v>361</v>
      </c>
      <c r="AI69" s="828" t="s">
        <v>258</v>
      </c>
      <c r="AJ6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35435</v>
      </c>
      <c r="AK69" s="846">
        <f>SUM(Tabla1[[#This Row],[PRECIO $ BOLSA 50KG  FOB CDO TUC (IVA INC)]]-Tabla1[[#This Row],[PRECIO REF $ BOLSA 50 KG CACTU (IVA INC)]])</f>
        <v>-6167.3335273972589</v>
      </c>
      <c r="AL69" s="847">
        <f>IFERROR(Tabla1[[#This Row],[PRECIO $ BOLSA 50KG  FOB CDO TUC (IVA INC)]]/Tabla1[[#This Row],[PRECIO REF $ BOLSA 50 KG CACTU (IVA INC)]]-1,"")</f>
        <v>-0.17404638147022033</v>
      </c>
      <c r="AM69" s="846">
        <f>+Tabla1[[#This Row],[DIF $ PRECIO NETO INDUSTRIA vs Neto TUCUMAN (IVA INC)]]*Tabla1[[#This Row],[Q Bolsas Equivalentes 50kg]]</f>
        <v>-3453706.7753424649</v>
      </c>
      <c r="AN69" s="846">
        <f>Tabla1[[#This Row],[PRECIO REF $ BOLSA 50 KG CACTU (IVA INC)]]*Tabla1[[#This Row],[Q Bolsas Equivalentes 50kg]]</f>
        <v>19843600</v>
      </c>
      <c r="AO69" s="846">
        <f>+Tabla1[[#This Row],[PRECIO $ BOLSA 50KG  FOB CDO TUC (IVA INC)]]*Tabla1[[#This Row],[Q Bolsas Equivalentes 50kg]]</f>
        <v>16389893.224657536</v>
      </c>
      <c r="AP69" s="847">
        <v>2.9000000000000001E-2</v>
      </c>
      <c r="AQ69" s="846">
        <f t="shared" si="40"/>
        <v>2200</v>
      </c>
      <c r="AR69" s="828">
        <v>60</v>
      </c>
      <c r="AS69" s="849"/>
      <c r="AT69" s="923">
        <f>+Tabla1[[#This Row],[VENTA TOTAL $ (IVA INC) ]]-(SUM(Tabla1[[#This Row],[PENDIENTE DE ENTREGA]:[VALORES COBRADOS]]))</f>
        <v>-17787000</v>
      </c>
      <c r="AU69" s="850">
        <f>VLOOKUP(Tabla1[[#This Row],[FECHA OC]],'TIPO DE CAMBIO'!A:B,2,TRUE)</f>
        <v>1378.1258</v>
      </c>
      <c r="AV69" s="850">
        <f>+Tabla1[[#This Row],[SUBTOTAL]]/Tabla1[[#This Row],[TIPO DE CAMBIO]]</f>
        <v>10666.660474682354</v>
      </c>
      <c r="AW69" s="851"/>
      <c r="AX69" s="850">
        <f>IFERROR(Tabla1[[#This Row],[VENTA TOTAL USD A PLAZO EN CLIENTE  (SIN IVA)]]*(1+Tabla1[[#This Row],[% IVA ]]),"")</f>
        <v>10666.660474682354</v>
      </c>
      <c r="AY69" s="850">
        <f>+Tabla1[[#This Row],[VENTA TOTAL USD A PLAZO EN CLIENTE  (SIN IVA)]]/Tabla1[[#This Row],[KGS]]*1000</f>
        <v>380.95215981008408</v>
      </c>
      <c r="AZ69" s="850">
        <f>-Tabla1[[#This Row],[COSTO FLETE $ POR BOLSA 5O KG (SIN IVA)]]*20/Tabla1[[#This Row],[TIPO DE CAMBIO]]</f>
        <v>-31.927419107892764</v>
      </c>
      <c r="BA69" s="850">
        <f>+Tabla1[[#This Row],[GASTOS FINANCIEROS $ BOLSA 50 KG (IVA INC)]]*20/Tabla1[[#This Row],[TIPO DE CAMBIO]]</f>
        <v>3.8088536271904889</v>
      </c>
      <c r="BB69" s="850">
        <f>+Tabla1[[#This Row],[PRECIO POR TN USD EN CLIENTE A PLAZO (SIN IVA)]]+Tabla1[[#This Row],[COSTO USD FLETE /TN (SIN IVA)]]+Tabla1[[#This Row],[COSTO FINANCIERO USD POR BOLSA 50KG (IVA INC)]]</f>
        <v>352.83359432938181</v>
      </c>
      <c r="BC69" s="848">
        <v>3</v>
      </c>
      <c r="BD69" s="944" t="s">
        <v>485</v>
      </c>
    </row>
    <row r="70" spans="1:56" ht="15.75" customHeight="1">
      <c r="A70" s="912">
        <v>46143</v>
      </c>
      <c r="B70" s="828">
        <v>1</v>
      </c>
      <c r="C70" s="792" t="s">
        <v>411</v>
      </c>
      <c r="D70" s="829">
        <f>+Tabla1[[#This Row],[FECHA Entrega]]</f>
        <v>46178</v>
      </c>
      <c r="E70" s="830">
        <v>2846</v>
      </c>
      <c r="F70" s="831" t="s">
        <v>448</v>
      </c>
      <c r="G70" s="832" t="s">
        <v>216</v>
      </c>
      <c r="H70" s="852">
        <v>46178</v>
      </c>
      <c r="I70" s="834">
        <v>28000</v>
      </c>
      <c r="J70" s="835">
        <v>525</v>
      </c>
      <c r="K70" s="836">
        <f t="shared" ref="K70" si="41">+J70*I70</f>
        <v>14700000</v>
      </c>
      <c r="L7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3087000</v>
      </c>
      <c r="M70" s="837">
        <f t="shared" ref="M70" si="42">SUM(K70:L70)</f>
        <v>17787000</v>
      </c>
      <c r="N70" s="838">
        <f>+Tabla1[[#This Row],[VENTA TOTAL $ (IVA INC) ]]</f>
        <v>17787000</v>
      </c>
      <c r="O70" s="838">
        <v>0</v>
      </c>
      <c r="P70" s="838">
        <v>0</v>
      </c>
      <c r="Q70" s="839">
        <f>+Tabla1[[#This Row],[VENTA TOTAL $ (IVA INC) ]]-Tabla1[[#This Row],[PENDIENTE DE COBRO]]</f>
        <v>17787000</v>
      </c>
      <c r="R70" s="840">
        <f>+Tabla1[[#This Row],[FECHA FC]]+Tabla1[[#This Row],[PLAZO ENTREGA VALORES]]</f>
        <v>46074</v>
      </c>
      <c r="S70" s="840">
        <f>+Tabla1[[#This Row],[FECHA FC]]+Tabla1[[#This Row],[PLAZO PAGO (DIAS)]]</f>
        <v>46238</v>
      </c>
      <c r="T70" s="834">
        <f t="shared" ref="T70" ca="1" si="43">+S70-$U$2</f>
        <v>57</v>
      </c>
      <c r="U70" s="831">
        <f>-(+Tabla1[[#This Row],[FECHA VTO VALORES]]-Tabla1[[#This Row],[FECHA OC]])</f>
        <v>-104</v>
      </c>
      <c r="V70" s="831"/>
      <c r="W70" s="841">
        <f t="shared" ref="W70" si="44">+S70+7</f>
        <v>46245</v>
      </c>
      <c r="X70" s="831">
        <v>13035</v>
      </c>
      <c r="Y70" s="840">
        <v>46134</v>
      </c>
      <c r="Z70" s="842">
        <f>Tabla1[[#This Row],[KGS]]/50</f>
        <v>560</v>
      </c>
      <c r="AA7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31762.5</v>
      </c>
      <c r="AB70" s="844">
        <f>-Tabla1[[#This Row],[COSTO FLETE $ POR BOLSA 5O KG (SIN IVA)]]*1.21-Tabla1[[#This Row],[PRECIO $/ KG A PLAZO EN CLIENTE ( SIN IVA)]]*0.003*1.21*50</f>
        <v>-2757.2874999999999</v>
      </c>
      <c r="AC70" s="845">
        <f>SUM(Tabla1[[#This Row],[PRECIO $ BOLSA 50 KG (IVA INC) ]]+Tabla1[[#This Row],[COSTO FLETE $ BOLSA 50 KG (IVA INC)]])</f>
        <v>29005.212500000001</v>
      </c>
      <c r="AD70" s="844">
        <f>-Tabla1[[#This Row],[PRECIO $ BOLSA 50 KG (IVA INC) ]]*(Tabla1[[#This Row],[TASA FINANCIACION MENSUAL]]/365)*Tabla1[[#This Row],[PLAZO ENTREGA VALORES]]</f>
        <v>262.45397260273973</v>
      </c>
      <c r="AE70" s="845">
        <f>SUM(Tabla1[[#This Row],[PRECIO $ BOLSA50 KG  FOB TUCUMAN A PLAZO (IVA INC)]]+Tabla1[[#This Row],[GASTOS FINANCIEROS $ BOLSA 50 KG (IVA INC)]])</f>
        <v>29267.666472602741</v>
      </c>
      <c r="AF70" s="828" t="s">
        <v>359</v>
      </c>
      <c r="AG70" s="828" t="s">
        <v>369</v>
      </c>
      <c r="AH70" s="828" t="s">
        <v>361</v>
      </c>
      <c r="AI70" s="828" t="s">
        <v>258</v>
      </c>
      <c r="AJ7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35435</v>
      </c>
      <c r="AK70" s="846">
        <f>SUM(Tabla1[[#This Row],[PRECIO $ BOLSA 50KG  FOB CDO TUC (IVA INC)]]-Tabla1[[#This Row],[PRECIO REF $ BOLSA 50 KG CACTU (IVA INC)]])</f>
        <v>-6167.3335273972589</v>
      </c>
      <c r="AL70" s="847">
        <f>IFERROR(Tabla1[[#This Row],[PRECIO $ BOLSA 50KG  FOB CDO TUC (IVA INC)]]/Tabla1[[#This Row],[PRECIO REF $ BOLSA 50 KG CACTU (IVA INC)]]-1,"")</f>
        <v>-0.17404638147022033</v>
      </c>
      <c r="AM70" s="846">
        <f>+Tabla1[[#This Row],[DIF $ PRECIO NETO INDUSTRIA vs Neto TUCUMAN (IVA INC)]]*Tabla1[[#This Row],[Q Bolsas Equivalentes 50kg]]</f>
        <v>-3453706.7753424649</v>
      </c>
      <c r="AN70" s="846">
        <f>Tabla1[[#This Row],[PRECIO REF $ BOLSA 50 KG CACTU (IVA INC)]]*Tabla1[[#This Row],[Q Bolsas Equivalentes 50kg]]</f>
        <v>19843600</v>
      </c>
      <c r="AO70" s="846">
        <f>+Tabla1[[#This Row],[PRECIO $ BOLSA 50KG  FOB CDO TUC (IVA INC)]]*Tabla1[[#This Row],[Q Bolsas Equivalentes 50kg]]</f>
        <v>16389893.224657536</v>
      </c>
      <c r="AP70" s="847">
        <v>2.9000000000000001E-2</v>
      </c>
      <c r="AQ70" s="846">
        <f t="shared" si="40"/>
        <v>2200</v>
      </c>
      <c r="AR70" s="828">
        <v>60</v>
      </c>
      <c r="AS70" s="849"/>
      <c r="AT70" s="923">
        <f>+Tabla1[[#This Row],[VENTA TOTAL $ (IVA INC) ]]-(SUM(Tabla1[[#This Row],[PENDIENTE DE ENTREGA]:[VALORES COBRADOS]]))</f>
        <v>-17787000</v>
      </c>
      <c r="AU70" s="850">
        <f>VLOOKUP(Tabla1[[#This Row],[FECHA OC]],'TIPO DE CAMBIO'!A:B,2,TRUE)</f>
        <v>1378.1258</v>
      </c>
      <c r="AV70" s="850">
        <f>+Tabla1[[#This Row],[SUBTOTAL]]/Tabla1[[#This Row],[TIPO DE CAMBIO]]</f>
        <v>10666.660474682354</v>
      </c>
      <c r="AW70" s="851"/>
      <c r="AX70" s="850">
        <f>IFERROR(Tabla1[[#This Row],[VENTA TOTAL USD A PLAZO EN CLIENTE  (SIN IVA)]]*(1+Tabla1[[#This Row],[% IVA ]]),"")</f>
        <v>10666.660474682354</v>
      </c>
      <c r="AY70" s="850">
        <f>+Tabla1[[#This Row],[VENTA TOTAL USD A PLAZO EN CLIENTE  (SIN IVA)]]/Tabla1[[#This Row],[KGS]]*1000</f>
        <v>380.95215981008408</v>
      </c>
      <c r="AZ70" s="850">
        <f>-Tabla1[[#This Row],[COSTO FLETE $ POR BOLSA 5O KG (SIN IVA)]]*20/Tabla1[[#This Row],[TIPO DE CAMBIO]]</f>
        <v>-31.927419107892764</v>
      </c>
      <c r="BA70" s="850">
        <f>+Tabla1[[#This Row],[GASTOS FINANCIEROS $ BOLSA 50 KG (IVA INC)]]*20/Tabla1[[#This Row],[TIPO DE CAMBIO]]</f>
        <v>3.8088536271904889</v>
      </c>
      <c r="BB70" s="850">
        <f>+Tabla1[[#This Row],[PRECIO POR TN USD EN CLIENTE A PLAZO (SIN IVA)]]+Tabla1[[#This Row],[COSTO USD FLETE /TN (SIN IVA)]]+Tabla1[[#This Row],[COSTO FINANCIERO USD POR BOLSA 50KG (IVA INC)]]</f>
        <v>352.83359432938181</v>
      </c>
      <c r="BC70" s="848">
        <v>3</v>
      </c>
      <c r="BD70" s="944" t="s">
        <v>485</v>
      </c>
    </row>
    <row r="71" spans="1:56" ht="15.75" customHeight="1">
      <c r="A71" s="912">
        <v>46143</v>
      </c>
      <c r="B71" s="828">
        <v>1</v>
      </c>
      <c r="C71" s="792" t="s">
        <v>411</v>
      </c>
      <c r="D71" s="829">
        <f>+Tabla1[[#This Row],[FECHA Entrega]]</f>
        <v>46179</v>
      </c>
      <c r="E71" s="830">
        <v>2846</v>
      </c>
      <c r="F71" s="831" t="s">
        <v>448</v>
      </c>
      <c r="G71" s="832" t="s">
        <v>216</v>
      </c>
      <c r="H71" s="852">
        <v>46179</v>
      </c>
      <c r="I71" s="834">
        <v>28000</v>
      </c>
      <c r="J71" s="835">
        <v>525</v>
      </c>
      <c r="K71" s="836">
        <f t="shared" si="1"/>
        <v>14700000</v>
      </c>
      <c r="L7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3087000</v>
      </c>
      <c r="M71" s="837">
        <f t="shared" si="0"/>
        <v>17787000</v>
      </c>
      <c r="N71" s="838">
        <f>+Tabla1[[#This Row],[VENTA TOTAL $ (IVA INC) ]]</f>
        <v>17787000</v>
      </c>
      <c r="O71" s="838">
        <v>0</v>
      </c>
      <c r="P71" s="838">
        <v>0</v>
      </c>
      <c r="Q71" s="839">
        <f>+Tabla1[[#This Row],[VENTA TOTAL $ (IVA INC) ]]-Tabla1[[#This Row],[PENDIENTE DE COBRO]]</f>
        <v>17787000</v>
      </c>
      <c r="R71" s="840">
        <f>+Tabla1[[#This Row],[FECHA FC]]+Tabla1[[#This Row],[PLAZO ENTREGA VALORES]]</f>
        <v>46074</v>
      </c>
      <c r="S71" s="840">
        <f>+Tabla1[[#This Row],[FECHA FC]]+Tabla1[[#This Row],[PLAZO PAGO (DIAS)]]</f>
        <v>46239</v>
      </c>
      <c r="T71" s="834">
        <f t="shared" ca="1" si="27"/>
        <v>58</v>
      </c>
      <c r="U71" s="831">
        <f>-(+Tabla1[[#This Row],[FECHA VTO VALORES]]-Tabla1[[#This Row],[FECHA OC]])</f>
        <v>-105</v>
      </c>
      <c r="V71" s="831"/>
      <c r="W71" s="841">
        <f t="shared" si="39"/>
        <v>46246</v>
      </c>
      <c r="X71" s="831">
        <v>13035</v>
      </c>
      <c r="Y71" s="840">
        <v>46134</v>
      </c>
      <c r="Z71" s="842">
        <f>Tabla1[[#This Row],[KGS]]/50</f>
        <v>560</v>
      </c>
      <c r="AA7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31762.5</v>
      </c>
      <c r="AB71" s="844">
        <f>-Tabla1[[#This Row],[COSTO FLETE $ POR BOLSA 5O KG (SIN IVA)]]*1.21-Tabla1[[#This Row],[PRECIO $/ KG A PLAZO EN CLIENTE ( SIN IVA)]]*0.003*1.21*50</f>
        <v>-2757.2874999999999</v>
      </c>
      <c r="AC71" s="845">
        <f>SUM(Tabla1[[#This Row],[PRECIO $ BOLSA 50 KG (IVA INC) ]]+Tabla1[[#This Row],[COSTO FLETE $ BOLSA 50 KG (IVA INC)]])</f>
        <v>29005.212500000001</v>
      </c>
      <c r="AD71" s="844">
        <f>-Tabla1[[#This Row],[PRECIO $ BOLSA 50 KG (IVA INC) ]]*(Tabla1[[#This Row],[TASA FINANCIACION MENSUAL]]/365)*Tabla1[[#This Row],[PLAZO ENTREGA VALORES]]</f>
        <v>264.97756849315067</v>
      </c>
      <c r="AE71" s="845">
        <f>SUM(Tabla1[[#This Row],[PRECIO $ BOLSA50 KG  FOB TUCUMAN A PLAZO (IVA INC)]]+Tabla1[[#This Row],[GASTOS FINANCIEROS $ BOLSA 50 KG (IVA INC)]])</f>
        <v>29270.190068493153</v>
      </c>
      <c r="AF71" s="828" t="s">
        <v>359</v>
      </c>
      <c r="AG71" s="828" t="s">
        <v>369</v>
      </c>
      <c r="AH71" s="828" t="s">
        <v>361</v>
      </c>
      <c r="AI71" s="828" t="s">
        <v>258</v>
      </c>
      <c r="AJ7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35435</v>
      </c>
      <c r="AK71" s="846">
        <f>SUM(Tabla1[[#This Row],[PRECIO $ BOLSA 50KG  FOB CDO TUC (IVA INC)]]-Tabla1[[#This Row],[PRECIO REF $ BOLSA 50 KG CACTU (IVA INC)]])</f>
        <v>-6164.8099315068466</v>
      </c>
      <c r="AL71" s="847">
        <f>IFERROR(Tabla1[[#This Row],[PRECIO $ BOLSA 50KG  FOB CDO TUC (IVA INC)]]/Tabla1[[#This Row],[PRECIO REF $ BOLSA 50 KG CACTU (IVA INC)]]-1,"")</f>
        <v>-0.17397516386360512</v>
      </c>
      <c r="AM71" s="846">
        <f>+Tabla1[[#This Row],[DIF $ PRECIO NETO INDUSTRIA vs Neto TUCUMAN (IVA INC)]]*Tabla1[[#This Row],[Q Bolsas Equivalentes 50kg]]</f>
        <v>-3452293.5616438342</v>
      </c>
      <c r="AN71" s="846">
        <f>Tabla1[[#This Row],[PRECIO REF $ BOLSA 50 KG CACTU (IVA INC)]]*Tabla1[[#This Row],[Q Bolsas Equivalentes 50kg]]</f>
        <v>19843600</v>
      </c>
      <c r="AO71" s="846">
        <f>+Tabla1[[#This Row],[PRECIO $ BOLSA 50KG  FOB CDO TUC (IVA INC)]]*Tabla1[[#This Row],[Q Bolsas Equivalentes 50kg]]</f>
        <v>16391306.438356167</v>
      </c>
      <c r="AP71" s="847">
        <v>2.9000000000000001E-2</v>
      </c>
      <c r="AQ71" s="846">
        <f t="shared" si="40"/>
        <v>2200</v>
      </c>
      <c r="AR71" s="828">
        <v>60</v>
      </c>
      <c r="AS71" s="849"/>
      <c r="AT71" s="923">
        <f>+Tabla1[[#This Row],[VENTA TOTAL $ (IVA INC) ]]-(SUM(Tabla1[[#This Row],[PENDIENTE DE ENTREGA]:[VALORES COBRADOS]]))</f>
        <v>-17787000</v>
      </c>
      <c r="AU71" s="850">
        <f>VLOOKUP(Tabla1[[#This Row],[FECHA OC]],'TIPO DE CAMBIO'!A:B,2,TRUE)</f>
        <v>1378.1258</v>
      </c>
      <c r="AV71" s="850">
        <f>+Tabla1[[#This Row],[SUBTOTAL]]/Tabla1[[#This Row],[TIPO DE CAMBIO]]</f>
        <v>10666.660474682354</v>
      </c>
      <c r="AW71" s="851"/>
      <c r="AX71" s="850">
        <f>IFERROR(Tabla1[[#This Row],[VENTA TOTAL USD A PLAZO EN CLIENTE  (SIN IVA)]]*(1+Tabla1[[#This Row],[% IVA ]]),"")</f>
        <v>10666.660474682354</v>
      </c>
      <c r="AY71" s="850">
        <f>+Tabla1[[#This Row],[VENTA TOTAL USD A PLAZO EN CLIENTE  (SIN IVA)]]/Tabla1[[#This Row],[KGS]]*1000</f>
        <v>380.95215981008408</v>
      </c>
      <c r="AZ71" s="850">
        <f>-Tabla1[[#This Row],[COSTO FLETE $ POR BOLSA 5O KG (SIN IVA)]]*20/Tabla1[[#This Row],[TIPO DE CAMBIO]]</f>
        <v>-31.927419107892764</v>
      </c>
      <c r="BA71" s="850">
        <f>+Tabla1[[#This Row],[GASTOS FINANCIEROS $ BOLSA 50 KG (IVA INC)]]*20/Tabla1[[#This Row],[TIPO DE CAMBIO]]</f>
        <v>3.8454772197596276</v>
      </c>
      <c r="BB71" s="850">
        <f>+Tabla1[[#This Row],[PRECIO POR TN USD EN CLIENTE A PLAZO (SIN IVA)]]+Tabla1[[#This Row],[COSTO USD FLETE /TN (SIN IVA)]]+Tabla1[[#This Row],[COSTO FINANCIERO USD POR BOLSA 50KG (IVA INC)]]</f>
        <v>352.87021792195094</v>
      </c>
      <c r="BC71" s="848">
        <v>3</v>
      </c>
      <c r="BD71" s="944" t="s">
        <v>485</v>
      </c>
    </row>
    <row r="72" spans="1:56" ht="15.75" customHeight="1">
      <c r="A72" s="912">
        <v>46143</v>
      </c>
      <c r="B72" s="828">
        <v>1</v>
      </c>
      <c r="C72" s="792" t="s">
        <v>470</v>
      </c>
      <c r="D72" s="829">
        <f>+Tabla1[[#This Row],[FECHA Entrega]]</f>
        <v>46169</v>
      </c>
      <c r="E72" s="830"/>
      <c r="F72" s="831" t="s">
        <v>448</v>
      </c>
      <c r="G72" s="832" t="s">
        <v>216</v>
      </c>
      <c r="H72" s="852">
        <v>46169</v>
      </c>
      <c r="I72" s="834">
        <v>28000</v>
      </c>
      <c r="J72" s="835">
        <v>722</v>
      </c>
      <c r="K72" s="836">
        <f t="shared" si="1"/>
        <v>20216000</v>
      </c>
      <c r="L7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4245360</v>
      </c>
      <c r="M72" s="837">
        <f t="shared" ref="M72:M148" si="45">SUM(K72:L72)</f>
        <v>24461360</v>
      </c>
      <c r="N72" s="838">
        <f>+Tabla1[[#This Row],[VENTA TOTAL $ (IVA INC) ]]</f>
        <v>24461360</v>
      </c>
      <c r="O72" s="838">
        <v>0</v>
      </c>
      <c r="P72" s="838">
        <v>0</v>
      </c>
      <c r="Q72" s="839">
        <f ca="1">+Tabla1[[#This Row],[VENTA TOTAL $ (IVA INC) ]]-Tabla1[[#This Row],[PENDIENTE DE ENTREGA]]-Tabla1[[#This Row],[PENDIENTE DE COBRO]]+Tabla1[[#This Row],[VALORES COBRADOS]]</f>
        <v>0</v>
      </c>
      <c r="R72" s="840">
        <f>+Tabla1[[#This Row],[FECHA FC]]+Tabla1[[#This Row],[PLAZO ENTREGA VALORES]]</f>
        <v>46199</v>
      </c>
      <c r="S72" s="840">
        <f>+Tabla1[[#This Row],[FECHA FC]]+Tabla1[[#This Row],[PLAZO PAGO (DIAS)]]</f>
        <v>46199</v>
      </c>
      <c r="T72" s="834">
        <f t="shared" ca="1" si="27"/>
        <v>18</v>
      </c>
      <c r="U72" s="831">
        <v>30</v>
      </c>
      <c r="V72" s="831"/>
      <c r="W72" s="841">
        <f t="shared" si="39"/>
        <v>46206</v>
      </c>
      <c r="X72" s="831">
        <v>2033</v>
      </c>
      <c r="Y72" s="840">
        <v>46161</v>
      </c>
      <c r="Z72" s="842">
        <f>Tabla1[[#This Row],[KGS]]/50</f>
        <v>560</v>
      </c>
      <c r="AA7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43681</v>
      </c>
      <c r="AB72" s="844">
        <f>-Tabla1[[#This Row],[COSTO FLETE $ POR BOLSA 5O KG (SIN IVA)]]*1.21-Tabla1[[#This Row],[PRECIO $/ KG A PLAZO EN CLIENTE ( SIN IVA)]]*0.003*1.21*50</f>
        <v>-3579.5430000000001</v>
      </c>
      <c r="AC72" s="845">
        <f>SUM(Tabla1[[#This Row],[PRECIO $ BOLSA 50 KG (IVA INC) ]]+Tabla1[[#This Row],[COSTO FLETE $ BOLSA 50 KG (IVA INC)]])</f>
        <v>40101.457000000002</v>
      </c>
      <c r="AD72" s="844">
        <f>-Tabla1[[#This Row],[PRECIO $ BOLSA 50 KG (IVA INC) ]]*(Tabla1[[#This Row],[TASA FINANCIACION MENSUAL]]/365)*Tabla1[[#This Row],[PLAZO ENTREGA VALORES]]</f>
        <v>-104.11635616438356</v>
      </c>
      <c r="AE72" s="845">
        <f>SUM(Tabla1[[#This Row],[PRECIO $ BOLSA50 KG  FOB TUCUMAN A PLAZO (IVA INC)]]+Tabla1[[#This Row],[GASTOS FINANCIEROS $ BOLSA 50 KG (IVA INC)]])</f>
        <v>39997.340643835618</v>
      </c>
      <c r="AF72" s="828" t="s">
        <v>359</v>
      </c>
      <c r="AG72" s="828" t="s">
        <v>366</v>
      </c>
      <c r="AH72" s="828" t="s">
        <v>386</v>
      </c>
      <c r="AI72" s="828" t="s">
        <v>258</v>
      </c>
      <c r="AJ7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37107</v>
      </c>
      <c r="AK72" s="846">
        <f>SUM(Tabla1[[#This Row],[PRECIO $ BOLSA 50KG  FOB CDO TUC (IVA INC)]]-Tabla1[[#This Row],[PRECIO REF $ BOLSA 50 KG CACTU (IVA INC)]])</f>
        <v>2890.3406438356178</v>
      </c>
      <c r="AL72" s="847">
        <f>IFERROR(Tabla1[[#This Row],[PRECIO $ BOLSA 50KG  FOB CDO TUC (IVA INC)]]/Tabla1[[#This Row],[PRECIO REF $ BOLSA 50 KG CACTU (IVA INC)]]-1,"")</f>
        <v>7.789205928357501E-2</v>
      </c>
      <c r="AM72" s="846">
        <f>+Tabla1[[#This Row],[DIF $ PRECIO NETO INDUSTRIA vs Neto TUCUMAN (IVA INC)]]*Tabla1[[#This Row],[Q Bolsas Equivalentes 50kg]]</f>
        <v>1618590.760547946</v>
      </c>
      <c r="AN72" s="846">
        <f>Tabla1[[#This Row],[PRECIO REF $ BOLSA 50 KG CACTU (IVA INC)]]*Tabla1[[#This Row],[Q Bolsas Equivalentes 50kg]]</f>
        <v>20779920</v>
      </c>
      <c r="AO72" s="846">
        <f>+Tabla1[[#This Row],[PRECIO $ BOLSA 50KG  FOB CDO TUC (IVA INC)]]*Tabla1[[#This Row],[Q Bolsas Equivalentes 50kg]]</f>
        <v>22398510.760547947</v>
      </c>
      <c r="AP72" s="847">
        <v>2.9000000000000001E-2</v>
      </c>
      <c r="AQ72" s="846">
        <f t="shared" ref="AQ72:AQ76" si="46">57000/20</f>
        <v>2850</v>
      </c>
      <c r="AR72" s="828">
        <v>30</v>
      </c>
      <c r="AS72" s="849"/>
      <c r="AT72" s="923">
        <f ca="1">+Tabla1[[#This Row],[VENTA TOTAL $ (IVA INC) ]]-(SUM(Tabla1[[#This Row],[PENDIENTE DE ENTREGA]:[VALORES COBRADOS]]))</f>
        <v>0</v>
      </c>
      <c r="AU72" s="850">
        <f>VLOOKUP(Tabla1[[#This Row],[FECHA OC]],'TIPO DE CAMBIO'!A:B,2,TRUE)</f>
        <v>1398.9159999999999</v>
      </c>
      <c r="AV72" s="850">
        <f>+Tabla1[[#This Row],[SUBTOTAL]]/Tabla1[[#This Row],[TIPO DE CAMBIO]]</f>
        <v>14451.189349467732</v>
      </c>
      <c r="AW72" s="851"/>
      <c r="AX72" s="850">
        <f>IFERROR(Tabla1[[#This Row],[VENTA TOTAL USD A PLAZO EN CLIENTE  (SIN IVA)]]*(1+Tabla1[[#This Row],[% IVA ]]),"")</f>
        <v>14451.189349467732</v>
      </c>
      <c r="AY72" s="850">
        <f>+Tabla1[[#This Row],[VENTA TOTAL USD A PLAZO EN CLIENTE  (SIN IVA)]]/Tabla1[[#This Row],[KGS]]*1000</f>
        <v>516.11390533813324</v>
      </c>
      <c r="AZ72" s="850">
        <f>-Tabla1[[#This Row],[COSTO FLETE $ POR BOLSA 5O KG (SIN IVA)]]*20/Tabla1[[#This Row],[TIPO DE CAMBIO]]</f>
        <v>-40.745834631957891</v>
      </c>
      <c r="BA72" s="850">
        <f>+Tabla1[[#This Row],[GASTOS FINANCIEROS $ BOLSA 50 KG (IVA INC)]]*20/Tabla1[[#This Row],[TIPO DE CAMBIO]]</f>
        <v>-1.4885290634231587</v>
      </c>
      <c r="BB72" s="850">
        <f>+Tabla1[[#This Row],[PRECIO POR TN USD EN CLIENTE A PLAZO (SIN IVA)]]+Tabla1[[#This Row],[COSTO USD FLETE /TN (SIN IVA)]]+Tabla1[[#This Row],[COSTO FINANCIERO USD POR BOLSA 50KG (IVA INC)]]</f>
        <v>473.87954164275214</v>
      </c>
      <c r="BC72" s="848">
        <v>3</v>
      </c>
      <c r="BD72" s="944"/>
    </row>
    <row r="73" spans="1:56" ht="15.75" customHeight="1">
      <c r="A73" s="912">
        <v>46143</v>
      </c>
      <c r="B73" s="828">
        <v>1</v>
      </c>
      <c r="C73" s="792" t="s">
        <v>470</v>
      </c>
      <c r="D73" s="829">
        <f>+Tabla1[[#This Row],[FECHA Entrega]]</f>
        <v>46169</v>
      </c>
      <c r="E73" s="830"/>
      <c r="F73" s="831" t="s">
        <v>448</v>
      </c>
      <c r="G73" s="832" t="s">
        <v>216</v>
      </c>
      <c r="H73" s="852">
        <v>46169</v>
      </c>
      <c r="I73" s="834">
        <v>28000</v>
      </c>
      <c r="J73" s="835">
        <v>722</v>
      </c>
      <c r="K73" s="836">
        <f t="shared" si="1"/>
        <v>20216000</v>
      </c>
      <c r="L7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4245360</v>
      </c>
      <c r="M73" s="837">
        <f t="shared" si="45"/>
        <v>24461360</v>
      </c>
      <c r="N73" s="838">
        <f>+Tabla1[[#This Row],[VENTA TOTAL $ (IVA INC) ]]</f>
        <v>24461360</v>
      </c>
      <c r="O73" s="838">
        <v>0</v>
      </c>
      <c r="P73" s="838">
        <v>0</v>
      </c>
      <c r="Q73" s="839">
        <f ca="1">+Tabla1[[#This Row],[VENTA TOTAL $ (IVA INC) ]]-Tabla1[[#This Row],[PENDIENTE DE ENTREGA]]-Tabla1[[#This Row],[PENDIENTE DE COBRO]]+Tabla1[[#This Row],[VALORES COBRADOS]]</f>
        <v>0</v>
      </c>
      <c r="R73" s="840">
        <f>+Tabla1[[#This Row],[FECHA FC]]+Tabla1[[#This Row],[PLAZO ENTREGA VALORES]]</f>
        <v>46199</v>
      </c>
      <c r="S73" s="840">
        <f>+Tabla1[[#This Row],[FECHA FC]]+Tabla1[[#This Row],[PLAZO PAGO (DIAS)]]</f>
        <v>46199</v>
      </c>
      <c r="T73" s="834">
        <f t="shared" ca="1" si="27"/>
        <v>18</v>
      </c>
      <c r="U73" s="831">
        <v>30</v>
      </c>
      <c r="V73" s="831"/>
      <c r="W73" s="841">
        <f t="shared" si="39"/>
        <v>46206</v>
      </c>
      <c r="X73" s="831">
        <v>2034</v>
      </c>
      <c r="Y73" s="840">
        <v>46161</v>
      </c>
      <c r="Z73" s="842">
        <f>Tabla1[[#This Row],[KGS]]/50</f>
        <v>560</v>
      </c>
      <c r="AA7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43681</v>
      </c>
      <c r="AB73" s="844">
        <f>-Tabla1[[#This Row],[COSTO FLETE $ POR BOLSA 5O KG (SIN IVA)]]*1.21-Tabla1[[#This Row],[PRECIO $/ KG A PLAZO EN CLIENTE ( SIN IVA)]]*0.003*1.21*50</f>
        <v>-3579.5430000000001</v>
      </c>
      <c r="AC73" s="845">
        <f>SUM(Tabla1[[#This Row],[PRECIO $ BOLSA 50 KG (IVA INC) ]]+Tabla1[[#This Row],[COSTO FLETE $ BOLSA 50 KG (IVA INC)]])</f>
        <v>40101.457000000002</v>
      </c>
      <c r="AD73" s="844">
        <f>-Tabla1[[#This Row],[PRECIO $ BOLSA 50 KG (IVA INC) ]]*(Tabla1[[#This Row],[TASA FINANCIACION MENSUAL]]/365)*Tabla1[[#This Row],[PLAZO ENTREGA VALORES]]</f>
        <v>-104.11635616438356</v>
      </c>
      <c r="AE73" s="845">
        <f>SUM(Tabla1[[#This Row],[PRECIO $ BOLSA50 KG  FOB TUCUMAN A PLAZO (IVA INC)]]+Tabla1[[#This Row],[GASTOS FINANCIEROS $ BOLSA 50 KG (IVA INC)]])</f>
        <v>39997.340643835618</v>
      </c>
      <c r="AF73" s="828" t="s">
        <v>359</v>
      </c>
      <c r="AG73" s="828" t="s">
        <v>366</v>
      </c>
      <c r="AH73" s="828" t="s">
        <v>386</v>
      </c>
      <c r="AI73" s="828" t="s">
        <v>258</v>
      </c>
      <c r="AJ7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37107</v>
      </c>
      <c r="AK73" s="846">
        <f>SUM(Tabla1[[#This Row],[PRECIO $ BOLSA 50KG  FOB CDO TUC (IVA INC)]]-Tabla1[[#This Row],[PRECIO REF $ BOLSA 50 KG CACTU (IVA INC)]])</f>
        <v>2890.3406438356178</v>
      </c>
      <c r="AL73" s="847">
        <f>IFERROR(Tabla1[[#This Row],[PRECIO $ BOLSA 50KG  FOB CDO TUC (IVA INC)]]/Tabla1[[#This Row],[PRECIO REF $ BOLSA 50 KG CACTU (IVA INC)]]-1,"")</f>
        <v>7.789205928357501E-2</v>
      </c>
      <c r="AM73" s="846">
        <f>+Tabla1[[#This Row],[DIF $ PRECIO NETO INDUSTRIA vs Neto TUCUMAN (IVA INC)]]*Tabla1[[#This Row],[Q Bolsas Equivalentes 50kg]]</f>
        <v>1618590.760547946</v>
      </c>
      <c r="AN73" s="846">
        <f>Tabla1[[#This Row],[PRECIO REF $ BOLSA 50 KG CACTU (IVA INC)]]*Tabla1[[#This Row],[Q Bolsas Equivalentes 50kg]]</f>
        <v>20779920</v>
      </c>
      <c r="AO73" s="846">
        <f>+Tabla1[[#This Row],[PRECIO $ BOLSA 50KG  FOB CDO TUC (IVA INC)]]*Tabla1[[#This Row],[Q Bolsas Equivalentes 50kg]]</f>
        <v>22398510.760547947</v>
      </c>
      <c r="AP73" s="847">
        <v>2.9000000000000001E-2</v>
      </c>
      <c r="AQ73" s="846">
        <f t="shared" si="46"/>
        <v>2850</v>
      </c>
      <c r="AR73" s="828">
        <v>30</v>
      </c>
      <c r="AS73" s="849"/>
      <c r="AT73" s="923">
        <f ca="1">+Tabla1[[#This Row],[VENTA TOTAL $ (IVA INC) ]]-(SUM(Tabla1[[#This Row],[PENDIENTE DE ENTREGA]:[VALORES COBRADOS]]))</f>
        <v>0</v>
      </c>
      <c r="AU73" s="850">
        <f>VLOOKUP(Tabla1[[#This Row],[FECHA OC]],'TIPO DE CAMBIO'!A:B,2,TRUE)</f>
        <v>1398.9159999999999</v>
      </c>
      <c r="AV73" s="850">
        <f>+Tabla1[[#This Row],[SUBTOTAL]]/Tabla1[[#This Row],[TIPO DE CAMBIO]]</f>
        <v>14451.189349467732</v>
      </c>
      <c r="AW73" s="851"/>
      <c r="AX73" s="850">
        <f>IFERROR(Tabla1[[#This Row],[VENTA TOTAL USD A PLAZO EN CLIENTE  (SIN IVA)]]*(1+Tabla1[[#This Row],[% IVA ]]),"")</f>
        <v>14451.189349467732</v>
      </c>
      <c r="AY73" s="850">
        <f>+Tabla1[[#This Row],[VENTA TOTAL USD A PLAZO EN CLIENTE  (SIN IVA)]]/Tabla1[[#This Row],[KGS]]*1000</f>
        <v>516.11390533813324</v>
      </c>
      <c r="AZ73" s="850">
        <f>-Tabla1[[#This Row],[COSTO FLETE $ POR BOLSA 5O KG (SIN IVA)]]*20/Tabla1[[#This Row],[TIPO DE CAMBIO]]</f>
        <v>-40.745834631957891</v>
      </c>
      <c r="BA73" s="850">
        <f>+Tabla1[[#This Row],[GASTOS FINANCIEROS $ BOLSA 50 KG (IVA INC)]]*20/Tabla1[[#This Row],[TIPO DE CAMBIO]]</f>
        <v>-1.4885290634231587</v>
      </c>
      <c r="BB73" s="850">
        <f>+Tabla1[[#This Row],[PRECIO POR TN USD EN CLIENTE A PLAZO (SIN IVA)]]+Tabla1[[#This Row],[COSTO USD FLETE /TN (SIN IVA)]]+Tabla1[[#This Row],[COSTO FINANCIERO USD POR BOLSA 50KG (IVA INC)]]</f>
        <v>473.87954164275214</v>
      </c>
      <c r="BC73" s="848">
        <v>3</v>
      </c>
      <c r="BD73" s="944"/>
    </row>
    <row r="74" spans="1:56" ht="15.75" customHeight="1">
      <c r="A74" s="912">
        <v>46143</v>
      </c>
      <c r="B74" s="828">
        <v>1</v>
      </c>
      <c r="C74" s="792" t="s">
        <v>470</v>
      </c>
      <c r="D74" s="829">
        <f>+Tabla1[[#This Row],[FECHA Entrega]]</f>
        <v>46178</v>
      </c>
      <c r="E74" s="830"/>
      <c r="F74" s="831" t="s">
        <v>448</v>
      </c>
      <c r="G74" s="832" t="s">
        <v>216</v>
      </c>
      <c r="H74" s="852">
        <v>46178</v>
      </c>
      <c r="I74" s="834">
        <v>28000</v>
      </c>
      <c r="J74" s="835">
        <v>722</v>
      </c>
      <c r="K74" s="836">
        <f t="shared" si="1"/>
        <v>20216000</v>
      </c>
      <c r="L7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4245360</v>
      </c>
      <c r="M74" s="837">
        <f t="shared" si="45"/>
        <v>24461360</v>
      </c>
      <c r="N74" s="838">
        <f>+Tabla1[[#This Row],[VENTA TOTAL $ (IVA INC) ]]</f>
        <v>24461360</v>
      </c>
      <c r="O74" s="838">
        <v>0</v>
      </c>
      <c r="P74" s="838">
        <v>0</v>
      </c>
      <c r="Q74" s="839">
        <f ca="1">+Tabla1[[#This Row],[VENTA TOTAL $ (IVA INC) ]]-Tabla1[[#This Row],[PENDIENTE DE ENTREGA]]-Tabla1[[#This Row],[PENDIENTE DE COBRO]]+Tabla1[[#This Row],[VALORES COBRADOS]]</f>
        <v>0</v>
      </c>
      <c r="R74" s="840">
        <f>+Tabla1[[#This Row],[FECHA FC]]+Tabla1[[#This Row],[PLAZO ENTREGA VALORES]]</f>
        <v>46208</v>
      </c>
      <c r="S74" s="840">
        <f>+Tabla1[[#This Row],[FECHA FC]]+Tabla1[[#This Row],[PLAZO PAGO (DIAS)]]</f>
        <v>46208</v>
      </c>
      <c r="T74" s="834">
        <f t="shared" ca="1" si="27"/>
        <v>27</v>
      </c>
      <c r="U74" s="831">
        <v>30</v>
      </c>
      <c r="V74" s="831"/>
      <c r="W74" s="841">
        <f t="shared" si="39"/>
        <v>46215</v>
      </c>
      <c r="X74" s="831">
        <v>2036</v>
      </c>
      <c r="Y74" s="840">
        <v>46161</v>
      </c>
      <c r="Z74" s="842">
        <f>Tabla1[[#This Row],[KGS]]/50</f>
        <v>560</v>
      </c>
      <c r="AA7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43681</v>
      </c>
      <c r="AB74" s="844">
        <f>-Tabla1[[#This Row],[COSTO FLETE $ POR BOLSA 5O KG (SIN IVA)]]*1.21-Tabla1[[#This Row],[PRECIO $/ KG A PLAZO EN CLIENTE ( SIN IVA)]]*0.003*1.21*50</f>
        <v>-3579.5430000000001</v>
      </c>
      <c r="AC74" s="845">
        <f>SUM(Tabla1[[#This Row],[PRECIO $ BOLSA 50 KG (IVA INC) ]]+Tabla1[[#This Row],[COSTO FLETE $ BOLSA 50 KG (IVA INC)]])</f>
        <v>40101.457000000002</v>
      </c>
      <c r="AD74" s="844">
        <f>-Tabla1[[#This Row],[PRECIO $ BOLSA 50 KG (IVA INC) ]]*(Tabla1[[#This Row],[TASA FINANCIACION MENSUAL]]/365)*Tabla1[[#This Row],[PLAZO ENTREGA VALORES]]</f>
        <v>-104.11635616438356</v>
      </c>
      <c r="AE74" s="845">
        <f>SUM(Tabla1[[#This Row],[PRECIO $ BOLSA50 KG  FOB TUCUMAN A PLAZO (IVA INC)]]+Tabla1[[#This Row],[GASTOS FINANCIEROS $ BOLSA 50 KG (IVA INC)]])</f>
        <v>39997.340643835618</v>
      </c>
      <c r="AF74" s="828" t="s">
        <v>359</v>
      </c>
      <c r="AG74" s="828" t="s">
        <v>366</v>
      </c>
      <c r="AH74" s="828" t="s">
        <v>386</v>
      </c>
      <c r="AI74" s="828" t="s">
        <v>258</v>
      </c>
      <c r="AJ7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37107</v>
      </c>
      <c r="AK74" s="846">
        <f>SUM(Tabla1[[#This Row],[PRECIO $ BOLSA 50KG  FOB CDO TUC (IVA INC)]]-Tabla1[[#This Row],[PRECIO REF $ BOLSA 50 KG CACTU (IVA INC)]])</f>
        <v>2890.3406438356178</v>
      </c>
      <c r="AL74" s="847">
        <f>IFERROR(Tabla1[[#This Row],[PRECIO $ BOLSA 50KG  FOB CDO TUC (IVA INC)]]/Tabla1[[#This Row],[PRECIO REF $ BOLSA 50 KG CACTU (IVA INC)]]-1,"")</f>
        <v>7.789205928357501E-2</v>
      </c>
      <c r="AM74" s="846">
        <f>+Tabla1[[#This Row],[DIF $ PRECIO NETO INDUSTRIA vs Neto TUCUMAN (IVA INC)]]*Tabla1[[#This Row],[Q Bolsas Equivalentes 50kg]]</f>
        <v>1618590.760547946</v>
      </c>
      <c r="AN74" s="846">
        <f>Tabla1[[#This Row],[PRECIO REF $ BOLSA 50 KG CACTU (IVA INC)]]*Tabla1[[#This Row],[Q Bolsas Equivalentes 50kg]]</f>
        <v>20779920</v>
      </c>
      <c r="AO74" s="846">
        <f>+Tabla1[[#This Row],[PRECIO $ BOLSA 50KG  FOB CDO TUC (IVA INC)]]*Tabla1[[#This Row],[Q Bolsas Equivalentes 50kg]]</f>
        <v>22398510.760547947</v>
      </c>
      <c r="AP74" s="847">
        <v>2.9000000000000001E-2</v>
      </c>
      <c r="AQ74" s="846">
        <f t="shared" si="46"/>
        <v>2850</v>
      </c>
      <c r="AR74" s="828">
        <v>30</v>
      </c>
      <c r="AS74" s="849"/>
      <c r="AT74" s="923">
        <f ca="1">+Tabla1[[#This Row],[VENTA TOTAL $ (IVA INC) ]]-(SUM(Tabla1[[#This Row],[PENDIENTE DE ENTREGA]:[VALORES COBRADOS]]))</f>
        <v>0</v>
      </c>
      <c r="AU74" s="850">
        <f>VLOOKUP(Tabla1[[#This Row],[FECHA OC]],'TIPO DE CAMBIO'!A:B,2,TRUE)</f>
        <v>1398.9159999999999</v>
      </c>
      <c r="AV74" s="850">
        <f>+Tabla1[[#This Row],[SUBTOTAL]]/Tabla1[[#This Row],[TIPO DE CAMBIO]]</f>
        <v>14451.189349467732</v>
      </c>
      <c r="AW74" s="851"/>
      <c r="AX74" s="850">
        <f>IFERROR(Tabla1[[#This Row],[VENTA TOTAL USD A PLAZO EN CLIENTE  (SIN IVA)]]*(1+Tabla1[[#This Row],[% IVA ]]),"")</f>
        <v>14451.189349467732</v>
      </c>
      <c r="AY74" s="850">
        <f>+Tabla1[[#This Row],[VENTA TOTAL USD A PLAZO EN CLIENTE  (SIN IVA)]]/Tabla1[[#This Row],[KGS]]*1000</f>
        <v>516.11390533813324</v>
      </c>
      <c r="AZ74" s="850">
        <f>-Tabla1[[#This Row],[COSTO FLETE $ POR BOLSA 5O KG (SIN IVA)]]*20/Tabla1[[#This Row],[TIPO DE CAMBIO]]</f>
        <v>-40.745834631957891</v>
      </c>
      <c r="BA74" s="850">
        <f>+Tabla1[[#This Row],[GASTOS FINANCIEROS $ BOLSA 50 KG (IVA INC)]]*20/Tabla1[[#This Row],[TIPO DE CAMBIO]]</f>
        <v>-1.4885290634231587</v>
      </c>
      <c r="BB74" s="850">
        <f>+Tabla1[[#This Row],[PRECIO POR TN USD EN CLIENTE A PLAZO (SIN IVA)]]+Tabla1[[#This Row],[COSTO USD FLETE /TN (SIN IVA)]]+Tabla1[[#This Row],[COSTO FINANCIERO USD POR BOLSA 50KG (IVA INC)]]</f>
        <v>473.87954164275214</v>
      </c>
      <c r="BC74" s="848">
        <v>3</v>
      </c>
      <c r="BD74" s="944"/>
    </row>
    <row r="75" spans="1:56" ht="15.75" customHeight="1">
      <c r="A75" s="912">
        <v>46143</v>
      </c>
      <c r="B75" s="828">
        <v>1</v>
      </c>
      <c r="C75" s="792" t="s">
        <v>470</v>
      </c>
      <c r="D75" s="829">
        <f>+Tabla1[[#This Row],[FECHA Entrega]]</f>
        <v>46178</v>
      </c>
      <c r="E75" s="830"/>
      <c r="F75" s="831" t="s">
        <v>448</v>
      </c>
      <c r="G75" s="832" t="s">
        <v>216</v>
      </c>
      <c r="H75" s="852">
        <v>46178</v>
      </c>
      <c r="I75" s="834">
        <v>28000</v>
      </c>
      <c r="J75" s="835">
        <v>722</v>
      </c>
      <c r="K75" s="836">
        <f t="shared" si="1"/>
        <v>20216000</v>
      </c>
      <c r="L7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4245360</v>
      </c>
      <c r="M75" s="837">
        <f t="shared" si="45"/>
        <v>24461360</v>
      </c>
      <c r="N75" s="838">
        <f>+Tabla1[[#This Row],[VENTA TOTAL $ (IVA INC) ]]</f>
        <v>24461360</v>
      </c>
      <c r="O75" s="838">
        <v>0</v>
      </c>
      <c r="P75" s="838">
        <v>0</v>
      </c>
      <c r="Q75" s="839">
        <f ca="1">+Tabla1[[#This Row],[VENTA TOTAL $ (IVA INC) ]]-Tabla1[[#This Row],[PENDIENTE DE ENTREGA]]-Tabla1[[#This Row],[PENDIENTE DE COBRO]]+Tabla1[[#This Row],[VALORES COBRADOS]]</f>
        <v>0</v>
      </c>
      <c r="R75" s="840">
        <f>+Tabla1[[#This Row],[FECHA FC]]+Tabla1[[#This Row],[PLAZO ENTREGA VALORES]]</f>
        <v>46208</v>
      </c>
      <c r="S75" s="840">
        <f>+Tabla1[[#This Row],[FECHA FC]]+Tabla1[[#This Row],[PLAZO PAGO (DIAS)]]</f>
        <v>46208</v>
      </c>
      <c r="T75" s="834">
        <f t="shared" ca="1" si="27"/>
        <v>27</v>
      </c>
      <c r="U75" s="831">
        <v>30</v>
      </c>
      <c r="V75" s="831"/>
      <c r="W75" s="841">
        <f t="shared" si="39"/>
        <v>46215</v>
      </c>
      <c r="X75" s="831">
        <v>2037</v>
      </c>
      <c r="Y75" s="840">
        <v>46161</v>
      </c>
      <c r="Z75" s="842">
        <f>Tabla1[[#This Row],[KGS]]/50</f>
        <v>560</v>
      </c>
      <c r="AA7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43681</v>
      </c>
      <c r="AB75" s="844">
        <f>-Tabla1[[#This Row],[COSTO FLETE $ POR BOLSA 5O KG (SIN IVA)]]*1.21-Tabla1[[#This Row],[PRECIO $/ KG A PLAZO EN CLIENTE ( SIN IVA)]]*0.003*1.21*50</f>
        <v>-3579.5430000000001</v>
      </c>
      <c r="AC75" s="845">
        <f>SUM(Tabla1[[#This Row],[PRECIO $ BOLSA 50 KG (IVA INC) ]]+Tabla1[[#This Row],[COSTO FLETE $ BOLSA 50 KG (IVA INC)]])</f>
        <v>40101.457000000002</v>
      </c>
      <c r="AD75" s="844">
        <f>-Tabla1[[#This Row],[PRECIO $ BOLSA 50 KG (IVA INC) ]]*(Tabla1[[#This Row],[TASA FINANCIACION MENSUAL]]/365)*Tabla1[[#This Row],[PLAZO ENTREGA VALORES]]</f>
        <v>-104.11635616438356</v>
      </c>
      <c r="AE75" s="845">
        <f>SUM(Tabla1[[#This Row],[PRECIO $ BOLSA50 KG  FOB TUCUMAN A PLAZO (IVA INC)]]+Tabla1[[#This Row],[GASTOS FINANCIEROS $ BOLSA 50 KG (IVA INC)]])</f>
        <v>39997.340643835618</v>
      </c>
      <c r="AF75" s="828" t="s">
        <v>359</v>
      </c>
      <c r="AG75" s="828" t="s">
        <v>366</v>
      </c>
      <c r="AH75" s="828" t="s">
        <v>386</v>
      </c>
      <c r="AI75" s="828" t="s">
        <v>258</v>
      </c>
      <c r="AJ7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37107</v>
      </c>
      <c r="AK75" s="846">
        <f>SUM(Tabla1[[#This Row],[PRECIO $ BOLSA 50KG  FOB CDO TUC (IVA INC)]]-Tabla1[[#This Row],[PRECIO REF $ BOLSA 50 KG CACTU (IVA INC)]])</f>
        <v>2890.3406438356178</v>
      </c>
      <c r="AL75" s="847">
        <f>IFERROR(Tabla1[[#This Row],[PRECIO $ BOLSA 50KG  FOB CDO TUC (IVA INC)]]/Tabla1[[#This Row],[PRECIO REF $ BOLSA 50 KG CACTU (IVA INC)]]-1,"")</f>
        <v>7.789205928357501E-2</v>
      </c>
      <c r="AM75" s="846">
        <f>+Tabla1[[#This Row],[DIF $ PRECIO NETO INDUSTRIA vs Neto TUCUMAN (IVA INC)]]*Tabla1[[#This Row],[Q Bolsas Equivalentes 50kg]]</f>
        <v>1618590.760547946</v>
      </c>
      <c r="AN75" s="846">
        <f>Tabla1[[#This Row],[PRECIO REF $ BOLSA 50 KG CACTU (IVA INC)]]*Tabla1[[#This Row],[Q Bolsas Equivalentes 50kg]]</f>
        <v>20779920</v>
      </c>
      <c r="AO75" s="846">
        <f>+Tabla1[[#This Row],[PRECIO $ BOLSA 50KG  FOB CDO TUC (IVA INC)]]*Tabla1[[#This Row],[Q Bolsas Equivalentes 50kg]]</f>
        <v>22398510.760547947</v>
      </c>
      <c r="AP75" s="847">
        <v>2.9000000000000001E-2</v>
      </c>
      <c r="AQ75" s="846">
        <f t="shared" si="46"/>
        <v>2850</v>
      </c>
      <c r="AR75" s="828">
        <v>30</v>
      </c>
      <c r="AS75" s="849"/>
      <c r="AT75" s="923">
        <f ca="1">+Tabla1[[#This Row],[VENTA TOTAL $ (IVA INC) ]]-(SUM(Tabla1[[#This Row],[PENDIENTE DE ENTREGA]:[VALORES COBRADOS]]))</f>
        <v>0</v>
      </c>
      <c r="AU75" s="850">
        <f>VLOOKUP(Tabla1[[#This Row],[FECHA OC]],'TIPO DE CAMBIO'!A:B,2,TRUE)</f>
        <v>1398.9159999999999</v>
      </c>
      <c r="AV75" s="850">
        <f>+Tabla1[[#This Row],[SUBTOTAL]]/Tabla1[[#This Row],[TIPO DE CAMBIO]]</f>
        <v>14451.189349467732</v>
      </c>
      <c r="AW75" s="851"/>
      <c r="AX75" s="850">
        <f>IFERROR(Tabla1[[#This Row],[VENTA TOTAL USD A PLAZO EN CLIENTE  (SIN IVA)]]*(1+Tabla1[[#This Row],[% IVA ]]),"")</f>
        <v>14451.189349467732</v>
      </c>
      <c r="AY75" s="850">
        <f>+Tabla1[[#This Row],[VENTA TOTAL USD A PLAZO EN CLIENTE  (SIN IVA)]]/Tabla1[[#This Row],[KGS]]*1000</f>
        <v>516.11390533813324</v>
      </c>
      <c r="AZ75" s="850">
        <f>-Tabla1[[#This Row],[COSTO FLETE $ POR BOLSA 5O KG (SIN IVA)]]*20/Tabla1[[#This Row],[TIPO DE CAMBIO]]</f>
        <v>-40.745834631957891</v>
      </c>
      <c r="BA75" s="850">
        <f>+Tabla1[[#This Row],[GASTOS FINANCIEROS $ BOLSA 50 KG (IVA INC)]]*20/Tabla1[[#This Row],[TIPO DE CAMBIO]]</f>
        <v>-1.4885290634231587</v>
      </c>
      <c r="BB75" s="850">
        <f>+Tabla1[[#This Row],[PRECIO POR TN USD EN CLIENTE A PLAZO (SIN IVA)]]+Tabla1[[#This Row],[COSTO USD FLETE /TN (SIN IVA)]]+Tabla1[[#This Row],[COSTO FINANCIERO USD POR BOLSA 50KG (IVA INC)]]</f>
        <v>473.87954164275214</v>
      </c>
      <c r="BC75" s="848">
        <v>3</v>
      </c>
      <c r="BD75" s="944"/>
    </row>
    <row r="76" spans="1:56" ht="15.75" customHeight="1">
      <c r="A76" s="912">
        <v>46143</v>
      </c>
      <c r="B76" s="828">
        <v>1</v>
      </c>
      <c r="C76" s="792" t="s">
        <v>470</v>
      </c>
      <c r="D76" s="829">
        <f>+Tabla1[[#This Row],[FECHA Entrega]]</f>
        <v>46171</v>
      </c>
      <c r="E76" s="830"/>
      <c r="F76" s="831" t="s">
        <v>448</v>
      </c>
      <c r="G76" s="832" t="s">
        <v>216</v>
      </c>
      <c r="H76" s="852">
        <v>46171</v>
      </c>
      <c r="I76" s="834">
        <v>28000</v>
      </c>
      <c r="J76" s="835">
        <v>729</v>
      </c>
      <c r="K76" s="836">
        <f t="shared" ref="K76:K79" si="47">+J76*I76</f>
        <v>20412000</v>
      </c>
      <c r="L7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4286520</v>
      </c>
      <c r="M76" s="837">
        <f t="shared" si="45"/>
        <v>24698520</v>
      </c>
      <c r="N76" s="838">
        <f>+Tabla1[[#This Row],[VENTA TOTAL $ (IVA INC) ]]</f>
        <v>24698520</v>
      </c>
      <c r="O76" s="838">
        <v>0</v>
      </c>
      <c r="P76" s="838">
        <v>0</v>
      </c>
      <c r="Q76" s="839">
        <f ca="1">+Tabla1[[#This Row],[VENTA TOTAL $ (IVA INC) ]]-Tabla1[[#This Row],[PENDIENTE DE ENTREGA]]-Tabla1[[#This Row],[PENDIENTE DE COBRO]]+Tabla1[[#This Row],[VALORES COBRADOS]]</f>
        <v>0</v>
      </c>
      <c r="R76" s="840">
        <f>+Tabla1[[#This Row],[FECHA FC]]+Tabla1[[#This Row],[PLAZO ENTREGA VALORES]]</f>
        <v>46201</v>
      </c>
      <c r="S76" s="840">
        <f>+Tabla1[[#This Row],[FECHA FC]]+Tabla1[[#This Row],[PLAZO PAGO (DIAS)]]</f>
        <v>46201</v>
      </c>
      <c r="T76" s="834">
        <f t="shared" ref="T76:T79" ca="1" si="48">+S76-$U$2</f>
        <v>20</v>
      </c>
      <c r="U76" s="831">
        <v>30</v>
      </c>
      <c r="V76" s="831"/>
      <c r="W76" s="841">
        <f t="shared" ref="W76:W79" si="49">+S76+7</f>
        <v>46208</v>
      </c>
      <c r="X76" s="831">
        <v>18758</v>
      </c>
      <c r="Y76" s="840">
        <v>46161</v>
      </c>
      <c r="Z76" s="842">
        <f>Tabla1[[#This Row],[KGS]]/50</f>
        <v>560</v>
      </c>
      <c r="AA7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44104.5</v>
      </c>
      <c r="AB76" s="844">
        <f>-Tabla1[[#This Row],[COSTO FLETE $ POR BOLSA 5O KG (SIN IVA)]]*1.21-Tabla1[[#This Row],[PRECIO $/ KG A PLAZO EN CLIENTE ( SIN IVA)]]*0.003*1.21*50</f>
        <v>-3580.8135000000002</v>
      </c>
      <c r="AC76" s="845">
        <f>SUM(Tabla1[[#This Row],[PRECIO $ BOLSA 50 KG (IVA INC) ]]+Tabla1[[#This Row],[COSTO FLETE $ BOLSA 50 KG (IVA INC)]])</f>
        <v>40523.686499999996</v>
      </c>
      <c r="AD76" s="844">
        <f>-Tabla1[[#This Row],[PRECIO $ BOLSA 50 KG (IVA INC) ]]*(Tabla1[[#This Row],[TASA FINANCIACION MENSUAL]]/365)*Tabla1[[#This Row],[PLAZO ENTREGA VALORES]]</f>
        <v>-105.12579452054794</v>
      </c>
      <c r="AE76" s="845">
        <f>SUM(Tabla1[[#This Row],[PRECIO $ BOLSA50 KG  FOB TUCUMAN A PLAZO (IVA INC)]]+Tabla1[[#This Row],[GASTOS FINANCIEROS $ BOLSA 50 KG (IVA INC)]])</f>
        <v>40418.560705479445</v>
      </c>
      <c r="AF76" s="828" t="s">
        <v>359</v>
      </c>
      <c r="AG76" s="828" t="s">
        <v>367</v>
      </c>
      <c r="AH76" s="828" t="s">
        <v>386</v>
      </c>
      <c r="AI76" s="828" t="s">
        <v>258</v>
      </c>
      <c r="AJ7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37107</v>
      </c>
      <c r="AK76" s="846">
        <f>SUM(Tabla1[[#This Row],[PRECIO $ BOLSA 50KG  FOB CDO TUC (IVA INC)]]-Tabla1[[#This Row],[PRECIO REF $ BOLSA 50 KG CACTU (IVA INC)]])</f>
        <v>3311.5607054794455</v>
      </c>
      <c r="AL76" s="847">
        <f>IFERROR(Tabla1[[#This Row],[PRECIO $ BOLSA 50KG  FOB CDO TUC (IVA INC)]]/Tabla1[[#This Row],[PRECIO REF $ BOLSA 50 KG CACTU (IVA INC)]]-1,"")</f>
        <v>8.9243557966945497E-2</v>
      </c>
      <c r="AM76" s="846">
        <f>+Tabla1[[#This Row],[DIF $ PRECIO NETO INDUSTRIA vs Neto TUCUMAN (IVA INC)]]*Tabla1[[#This Row],[Q Bolsas Equivalentes 50kg]]</f>
        <v>1854473.9950684896</v>
      </c>
      <c r="AN76" s="846">
        <f>Tabla1[[#This Row],[PRECIO REF $ BOLSA 50 KG CACTU (IVA INC)]]*Tabla1[[#This Row],[Q Bolsas Equivalentes 50kg]]</f>
        <v>20779920</v>
      </c>
      <c r="AO76" s="846">
        <f>+Tabla1[[#This Row],[PRECIO $ BOLSA 50KG  FOB CDO TUC (IVA INC)]]*Tabla1[[#This Row],[Q Bolsas Equivalentes 50kg]]</f>
        <v>22634393.995068491</v>
      </c>
      <c r="AP76" s="847">
        <v>2.9000000000000001E-2</v>
      </c>
      <c r="AQ76" s="846">
        <f t="shared" si="46"/>
        <v>2850</v>
      </c>
      <c r="AR76" s="828">
        <v>30</v>
      </c>
      <c r="AS76" s="849"/>
      <c r="AT76" s="923">
        <f ca="1">+Tabla1[[#This Row],[VENTA TOTAL $ (IVA INC) ]]-(SUM(Tabla1[[#This Row],[PENDIENTE DE ENTREGA]:[VALORES COBRADOS]]))</f>
        <v>0</v>
      </c>
      <c r="AU76" s="850">
        <f>VLOOKUP(Tabla1[[#This Row],[FECHA OC]],'TIPO DE CAMBIO'!A:B,2,TRUE)</f>
        <v>1398.9159999999999</v>
      </c>
      <c r="AV76" s="850">
        <f>+Tabla1[[#This Row],[SUBTOTAL]]/Tabla1[[#This Row],[TIPO DE CAMBIO]]</f>
        <v>14591.297833465342</v>
      </c>
      <c r="AW76" s="851"/>
      <c r="AX76" s="850">
        <f>IFERROR(Tabla1[[#This Row],[VENTA TOTAL USD A PLAZO EN CLIENTE  (SIN IVA)]]*(1+Tabla1[[#This Row],[% IVA ]]),"")</f>
        <v>14591.297833465342</v>
      </c>
      <c r="AY76" s="850">
        <f>+Tabla1[[#This Row],[VENTA TOTAL USD A PLAZO EN CLIENTE  (SIN IVA)]]/Tabla1[[#This Row],[KGS]]*1000</f>
        <v>521.11777976661938</v>
      </c>
      <c r="AZ76" s="850">
        <f>-Tabla1[[#This Row],[COSTO FLETE $ POR BOLSA 5O KG (SIN IVA)]]*20/Tabla1[[#This Row],[TIPO DE CAMBIO]]</f>
        <v>-40.745834631957891</v>
      </c>
      <c r="BA76" s="850">
        <f>+Tabla1[[#This Row],[GASTOS FINANCIEROS $ BOLSA 50 KG (IVA INC)]]*20/Tabla1[[#This Row],[TIPO DE CAMBIO]]</f>
        <v>-1.5029607856447127</v>
      </c>
      <c r="BB76" s="850">
        <f>+Tabla1[[#This Row],[PRECIO POR TN USD EN CLIENTE A PLAZO (SIN IVA)]]+Tabla1[[#This Row],[COSTO USD FLETE /TN (SIN IVA)]]+Tabla1[[#This Row],[COSTO FINANCIERO USD POR BOLSA 50KG (IVA INC)]]</f>
        <v>478.86898434901678</v>
      </c>
      <c r="BC76" s="848">
        <v>3</v>
      </c>
      <c r="BD76" s="944"/>
    </row>
    <row r="77" spans="1:56" ht="15.75" customHeight="1">
      <c r="A77" s="912">
        <v>46143</v>
      </c>
      <c r="B77" s="828">
        <v>1</v>
      </c>
      <c r="C77" s="792" t="s">
        <v>470</v>
      </c>
      <c r="D77" s="829">
        <f>+Tabla1[[#This Row],[FECHA Entrega]]</f>
        <v>46176</v>
      </c>
      <c r="E77" s="830"/>
      <c r="F77" s="831" t="s">
        <v>448</v>
      </c>
      <c r="G77" s="832" t="s">
        <v>216</v>
      </c>
      <c r="H77" s="852">
        <v>46176</v>
      </c>
      <c r="I77" s="834">
        <v>28000</v>
      </c>
      <c r="J77" s="835">
        <v>729</v>
      </c>
      <c r="K77" s="836">
        <f t="shared" si="47"/>
        <v>20412000</v>
      </c>
      <c r="L7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4286520</v>
      </c>
      <c r="M77" s="837">
        <f t="shared" si="45"/>
        <v>24698520</v>
      </c>
      <c r="N77" s="838">
        <f>+Tabla1[[#This Row],[VENTA TOTAL $ (IVA INC) ]]</f>
        <v>24698520</v>
      </c>
      <c r="O77" s="838">
        <v>0</v>
      </c>
      <c r="P77" s="838">
        <v>0</v>
      </c>
      <c r="Q77" s="839">
        <f ca="1">+Tabla1[[#This Row],[VENTA TOTAL $ (IVA INC) ]]-Tabla1[[#This Row],[PENDIENTE DE ENTREGA]]-Tabla1[[#This Row],[PENDIENTE DE COBRO]]+Tabla1[[#This Row],[VALORES COBRADOS]]</f>
        <v>0</v>
      </c>
      <c r="R77" s="840">
        <f>+Tabla1[[#This Row],[FECHA FC]]+Tabla1[[#This Row],[PLAZO ENTREGA VALORES]]</f>
        <v>46206</v>
      </c>
      <c r="S77" s="840">
        <f>+Tabla1[[#This Row],[FECHA FC]]+Tabla1[[#This Row],[PLAZO PAGO (DIAS)]]</f>
        <v>46206</v>
      </c>
      <c r="T77" s="834">
        <f t="shared" ca="1" si="48"/>
        <v>25</v>
      </c>
      <c r="U77" s="831">
        <v>30</v>
      </c>
      <c r="V77" s="831"/>
      <c r="W77" s="841">
        <f t="shared" si="49"/>
        <v>46213</v>
      </c>
      <c r="X77" s="831">
        <v>18759</v>
      </c>
      <c r="Y77" s="840">
        <v>46161</v>
      </c>
      <c r="Z77" s="842">
        <f>Tabla1[[#This Row],[KGS]]/50</f>
        <v>560</v>
      </c>
      <c r="AA7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44104.5</v>
      </c>
      <c r="AB77" s="844">
        <f>-Tabla1[[#This Row],[COSTO FLETE $ POR BOLSA 5O KG (SIN IVA)]]*1.21-Tabla1[[#This Row],[PRECIO $/ KG A PLAZO EN CLIENTE ( SIN IVA)]]*0.003*1.21*50</f>
        <v>-3762.3135000000002</v>
      </c>
      <c r="AC77" s="845">
        <f>SUM(Tabla1[[#This Row],[PRECIO $ BOLSA 50 KG (IVA INC) ]]+Tabla1[[#This Row],[COSTO FLETE $ BOLSA 50 KG (IVA INC)]])</f>
        <v>40342.186499999996</v>
      </c>
      <c r="AD77" s="844">
        <f>-Tabla1[[#This Row],[PRECIO $ BOLSA 50 KG (IVA INC) ]]*(Tabla1[[#This Row],[TASA FINANCIACION MENSUAL]]/365)*Tabla1[[#This Row],[PLAZO ENTREGA VALORES]]</f>
        <v>-105.12579452054794</v>
      </c>
      <c r="AE77" s="845">
        <f>SUM(Tabla1[[#This Row],[PRECIO $ BOLSA50 KG  FOB TUCUMAN A PLAZO (IVA INC)]]+Tabla1[[#This Row],[GASTOS FINANCIEROS $ BOLSA 50 KG (IVA INC)]])</f>
        <v>40237.060705479445</v>
      </c>
      <c r="AF77" s="828" t="s">
        <v>359</v>
      </c>
      <c r="AG77" s="828" t="s">
        <v>367</v>
      </c>
      <c r="AH77" s="828" t="s">
        <v>386</v>
      </c>
      <c r="AI77" s="828" t="s">
        <v>258</v>
      </c>
      <c r="AJ7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37107</v>
      </c>
      <c r="AK77" s="846">
        <f>SUM(Tabla1[[#This Row],[PRECIO $ BOLSA 50KG  FOB CDO TUC (IVA INC)]]-Tabla1[[#This Row],[PRECIO REF $ BOLSA 50 KG CACTU (IVA INC)]])</f>
        <v>3130.0607054794455</v>
      </c>
      <c r="AL77" s="847">
        <f>IFERROR(Tabla1[[#This Row],[PRECIO $ BOLSA 50KG  FOB CDO TUC (IVA INC)]]/Tabla1[[#This Row],[PRECIO REF $ BOLSA 50 KG CACTU (IVA INC)]]-1,"")</f>
        <v>8.4352297557858336E-2</v>
      </c>
      <c r="AM77" s="846">
        <f>+Tabla1[[#This Row],[DIF $ PRECIO NETO INDUSTRIA vs Neto TUCUMAN (IVA INC)]]*Tabla1[[#This Row],[Q Bolsas Equivalentes 50kg]]</f>
        <v>1752833.9950684896</v>
      </c>
      <c r="AN77" s="846">
        <f>Tabla1[[#This Row],[PRECIO REF $ BOLSA 50 KG CACTU (IVA INC)]]*Tabla1[[#This Row],[Q Bolsas Equivalentes 50kg]]</f>
        <v>20779920</v>
      </c>
      <c r="AO77" s="846">
        <f>+Tabla1[[#This Row],[PRECIO $ BOLSA 50KG  FOB CDO TUC (IVA INC)]]*Tabla1[[#This Row],[Q Bolsas Equivalentes 50kg]]</f>
        <v>22532753.995068491</v>
      </c>
      <c r="AP77" s="847">
        <v>2.9000000000000001E-2</v>
      </c>
      <c r="AQ77" s="846">
        <f>60000/20</f>
        <v>3000</v>
      </c>
      <c r="AR77" s="828">
        <v>30</v>
      </c>
      <c r="AS77" s="849"/>
      <c r="AT77" s="923">
        <f ca="1">+Tabla1[[#This Row],[VENTA TOTAL $ (IVA INC) ]]-(SUM(Tabla1[[#This Row],[PENDIENTE DE ENTREGA]:[VALORES COBRADOS]]))</f>
        <v>0</v>
      </c>
      <c r="AU77" s="850">
        <f>VLOOKUP(Tabla1[[#This Row],[FECHA OC]],'TIPO DE CAMBIO'!A:B,2,TRUE)</f>
        <v>1398.9159999999999</v>
      </c>
      <c r="AV77" s="850">
        <f>+Tabla1[[#This Row],[SUBTOTAL]]/Tabla1[[#This Row],[TIPO DE CAMBIO]]</f>
        <v>14591.297833465342</v>
      </c>
      <c r="AW77" s="851"/>
      <c r="AX77" s="850">
        <f>IFERROR(Tabla1[[#This Row],[VENTA TOTAL USD A PLAZO EN CLIENTE  (SIN IVA)]]*(1+Tabla1[[#This Row],[% IVA ]]),"")</f>
        <v>14591.297833465342</v>
      </c>
      <c r="AY77" s="850">
        <f>+Tabla1[[#This Row],[VENTA TOTAL USD A PLAZO EN CLIENTE  (SIN IVA)]]/Tabla1[[#This Row],[KGS]]*1000</f>
        <v>521.11777976661938</v>
      </c>
      <c r="AZ77" s="850">
        <f>-Tabla1[[#This Row],[COSTO FLETE $ POR BOLSA 5O KG (SIN IVA)]]*20/Tabla1[[#This Row],[TIPO DE CAMBIO]]</f>
        <v>-42.890352244166202</v>
      </c>
      <c r="BA77" s="850">
        <f>+Tabla1[[#This Row],[GASTOS FINANCIEROS $ BOLSA 50 KG (IVA INC)]]*20/Tabla1[[#This Row],[TIPO DE CAMBIO]]</f>
        <v>-1.5029607856447127</v>
      </c>
      <c r="BB77" s="850">
        <f>+Tabla1[[#This Row],[PRECIO POR TN USD EN CLIENTE A PLAZO (SIN IVA)]]+Tabla1[[#This Row],[COSTO USD FLETE /TN (SIN IVA)]]+Tabla1[[#This Row],[COSTO FINANCIERO USD POR BOLSA 50KG (IVA INC)]]</f>
        <v>476.72446673680849</v>
      </c>
      <c r="BC77" s="848">
        <v>3</v>
      </c>
      <c r="BD77" s="944"/>
    </row>
    <row r="78" spans="1:56" ht="15.75" customHeight="1">
      <c r="A78" s="912">
        <v>46143</v>
      </c>
      <c r="B78" s="828">
        <v>1</v>
      </c>
      <c r="C78" s="792" t="s">
        <v>470</v>
      </c>
      <c r="D78" s="829">
        <f>+Tabla1[[#This Row],[FECHA Entrega]]</f>
        <v>46177</v>
      </c>
      <c r="E78" s="830"/>
      <c r="F78" s="831" t="s">
        <v>448</v>
      </c>
      <c r="G78" s="832" t="s">
        <v>216</v>
      </c>
      <c r="H78" s="852">
        <v>46177</v>
      </c>
      <c r="I78" s="834">
        <v>28000</v>
      </c>
      <c r="J78" s="835">
        <v>729</v>
      </c>
      <c r="K78" s="836">
        <f t="shared" si="47"/>
        <v>20412000</v>
      </c>
      <c r="L7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4286520</v>
      </c>
      <c r="M78" s="837">
        <f t="shared" si="45"/>
        <v>24698520</v>
      </c>
      <c r="N78" s="838">
        <f>+Tabla1[[#This Row],[VENTA TOTAL $ (IVA INC) ]]</f>
        <v>24698520</v>
      </c>
      <c r="O78" s="838">
        <v>0</v>
      </c>
      <c r="P78" s="838">
        <v>0</v>
      </c>
      <c r="Q78" s="839">
        <f ca="1">+Tabla1[[#This Row],[VENTA TOTAL $ (IVA INC) ]]-Tabla1[[#This Row],[PENDIENTE DE ENTREGA]]-Tabla1[[#This Row],[PENDIENTE DE COBRO]]+Tabla1[[#This Row],[VALORES COBRADOS]]</f>
        <v>0</v>
      </c>
      <c r="R78" s="840">
        <f>+Tabla1[[#This Row],[FECHA FC]]+Tabla1[[#This Row],[PLAZO ENTREGA VALORES]]</f>
        <v>46207</v>
      </c>
      <c r="S78" s="840">
        <f>+Tabla1[[#This Row],[FECHA FC]]+Tabla1[[#This Row],[PLAZO PAGO (DIAS)]]</f>
        <v>46207</v>
      </c>
      <c r="T78" s="834">
        <f t="shared" ca="1" si="48"/>
        <v>26</v>
      </c>
      <c r="U78" s="831">
        <v>30</v>
      </c>
      <c r="V78" s="831"/>
      <c r="W78" s="841">
        <f t="shared" si="49"/>
        <v>46214</v>
      </c>
      <c r="X78" s="831">
        <v>18760</v>
      </c>
      <c r="Y78" s="840">
        <v>46161</v>
      </c>
      <c r="Z78" s="842">
        <f>Tabla1[[#This Row],[KGS]]/50</f>
        <v>560</v>
      </c>
      <c r="AA7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44104.5</v>
      </c>
      <c r="AB78" s="844">
        <f>-Tabla1[[#This Row],[COSTO FLETE $ POR BOLSA 5O KG (SIN IVA)]]*1.21-Tabla1[[#This Row],[PRECIO $/ KG A PLAZO EN CLIENTE ( SIN IVA)]]*0.003*1.21*50</f>
        <v>-3762.3135000000002</v>
      </c>
      <c r="AC78" s="845">
        <f>SUM(Tabla1[[#This Row],[PRECIO $ BOLSA 50 KG (IVA INC) ]]+Tabla1[[#This Row],[COSTO FLETE $ BOLSA 50 KG (IVA INC)]])</f>
        <v>40342.186499999996</v>
      </c>
      <c r="AD78" s="844">
        <f>-Tabla1[[#This Row],[PRECIO $ BOLSA 50 KG (IVA INC) ]]*(Tabla1[[#This Row],[TASA FINANCIACION MENSUAL]]/365)*Tabla1[[#This Row],[PLAZO ENTREGA VALORES]]</f>
        <v>-105.12579452054794</v>
      </c>
      <c r="AE78" s="845">
        <f>SUM(Tabla1[[#This Row],[PRECIO $ BOLSA50 KG  FOB TUCUMAN A PLAZO (IVA INC)]]+Tabla1[[#This Row],[GASTOS FINANCIEROS $ BOLSA 50 KG (IVA INC)]])</f>
        <v>40237.060705479445</v>
      </c>
      <c r="AF78" s="828" t="s">
        <v>359</v>
      </c>
      <c r="AG78" s="828" t="s">
        <v>367</v>
      </c>
      <c r="AH78" s="828" t="s">
        <v>386</v>
      </c>
      <c r="AI78" s="828" t="s">
        <v>258</v>
      </c>
      <c r="AJ7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37107</v>
      </c>
      <c r="AK78" s="846">
        <f>SUM(Tabla1[[#This Row],[PRECIO $ BOLSA 50KG  FOB CDO TUC (IVA INC)]]-Tabla1[[#This Row],[PRECIO REF $ BOLSA 50 KG CACTU (IVA INC)]])</f>
        <v>3130.0607054794455</v>
      </c>
      <c r="AL78" s="847">
        <f>IFERROR(Tabla1[[#This Row],[PRECIO $ BOLSA 50KG  FOB CDO TUC (IVA INC)]]/Tabla1[[#This Row],[PRECIO REF $ BOLSA 50 KG CACTU (IVA INC)]]-1,"")</f>
        <v>8.4352297557858336E-2</v>
      </c>
      <c r="AM78" s="846">
        <f>+Tabla1[[#This Row],[DIF $ PRECIO NETO INDUSTRIA vs Neto TUCUMAN (IVA INC)]]*Tabla1[[#This Row],[Q Bolsas Equivalentes 50kg]]</f>
        <v>1752833.9950684896</v>
      </c>
      <c r="AN78" s="846">
        <f>Tabla1[[#This Row],[PRECIO REF $ BOLSA 50 KG CACTU (IVA INC)]]*Tabla1[[#This Row],[Q Bolsas Equivalentes 50kg]]</f>
        <v>20779920</v>
      </c>
      <c r="AO78" s="846">
        <f>+Tabla1[[#This Row],[PRECIO $ BOLSA 50KG  FOB CDO TUC (IVA INC)]]*Tabla1[[#This Row],[Q Bolsas Equivalentes 50kg]]</f>
        <v>22532753.995068491</v>
      </c>
      <c r="AP78" s="847">
        <v>2.9000000000000001E-2</v>
      </c>
      <c r="AQ78" s="846">
        <f t="shared" ref="AQ78:AQ79" si="50">60000/20</f>
        <v>3000</v>
      </c>
      <c r="AR78" s="828">
        <v>30</v>
      </c>
      <c r="AS78" s="849"/>
      <c r="AT78" s="923">
        <f ca="1">+Tabla1[[#This Row],[VENTA TOTAL $ (IVA INC) ]]-(SUM(Tabla1[[#This Row],[PENDIENTE DE ENTREGA]:[VALORES COBRADOS]]))</f>
        <v>0</v>
      </c>
      <c r="AU78" s="850">
        <f>VLOOKUP(Tabla1[[#This Row],[FECHA OC]],'TIPO DE CAMBIO'!A:B,2,TRUE)</f>
        <v>1398.9159999999999</v>
      </c>
      <c r="AV78" s="850">
        <f>+Tabla1[[#This Row],[SUBTOTAL]]/Tabla1[[#This Row],[TIPO DE CAMBIO]]</f>
        <v>14591.297833465342</v>
      </c>
      <c r="AW78" s="851"/>
      <c r="AX78" s="850">
        <f>IFERROR(Tabla1[[#This Row],[VENTA TOTAL USD A PLAZO EN CLIENTE  (SIN IVA)]]*(1+Tabla1[[#This Row],[% IVA ]]),"")</f>
        <v>14591.297833465342</v>
      </c>
      <c r="AY78" s="850">
        <f>+Tabla1[[#This Row],[VENTA TOTAL USD A PLAZO EN CLIENTE  (SIN IVA)]]/Tabla1[[#This Row],[KGS]]*1000</f>
        <v>521.11777976661938</v>
      </c>
      <c r="AZ78" s="850">
        <f>-Tabla1[[#This Row],[COSTO FLETE $ POR BOLSA 5O KG (SIN IVA)]]*20/Tabla1[[#This Row],[TIPO DE CAMBIO]]</f>
        <v>-42.890352244166202</v>
      </c>
      <c r="BA78" s="850">
        <f>+Tabla1[[#This Row],[GASTOS FINANCIEROS $ BOLSA 50 KG (IVA INC)]]*20/Tabla1[[#This Row],[TIPO DE CAMBIO]]</f>
        <v>-1.5029607856447127</v>
      </c>
      <c r="BB78" s="850">
        <f>+Tabla1[[#This Row],[PRECIO POR TN USD EN CLIENTE A PLAZO (SIN IVA)]]+Tabla1[[#This Row],[COSTO USD FLETE /TN (SIN IVA)]]+Tabla1[[#This Row],[COSTO FINANCIERO USD POR BOLSA 50KG (IVA INC)]]</f>
        <v>476.72446673680849</v>
      </c>
      <c r="BC78" s="848">
        <v>3</v>
      </c>
      <c r="BD78" s="944"/>
    </row>
    <row r="79" spans="1:56" ht="15.75" customHeight="1">
      <c r="A79" s="912">
        <v>46143</v>
      </c>
      <c r="B79" s="828">
        <v>1</v>
      </c>
      <c r="C79" s="792" t="s">
        <v>470</v>
      </c>
      <c r="D79" s="829">
        <f>+Tabla1[[#This Row],[FECHA Entrega]]</f>
        <v>46178</v>
      </c>
      <c r="E79" s="830"/>
      <c r="F79" s="831" t="s">
        <v>448</v>
      </c>
      <c r="G79" s="832" t="s">
        <v>216</v>
      </c>
      <c r="H79" s="852">
        <v>46178</v>
      </c>
      <c r="I79" s="834">
        <v>28000</v>
      </c>
      <c r="J79" s="835">
        <v>729</v>
      </c>
      <c r="K79" s="836">
        <f t="shared" si="47"/>
        <v>20412000</v>
      </c>
      <c r="L7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4286520</v>
      </c>
      <c r="M79" s="837">
        <f t="shared" si="45"/>
        <v>24698520</v>
      </c>
      <c r="N79" s="838">
        <f>+Tabla1[[#This Row],[VENTA TOTAL $ (IVA INC) ]]</f>
        <v>24698520</v>
      </c>
      <c r="O79" s="838">
        <v>0</v>
      </c>
      <c r="P79" s="838">
        <v>0</v>
      </c>
      <c r="Q79" s="839">
        <f ca="1">+Tabla1[[#This Row],[VENTA TOTAL $ (IVA INC) ]]-Tabla1[[#This Row],[PENDIENTE DE ENTREGA]]-Tabla1[[#This Row],[PENDIENTE DE COBRO]]+Tabla1[[#This Row],[VALORES COBRADOS]]</f>
        <v>0</v>
      </c>
      <c r="R79" s="840">
        <f>+Tabla1[[#This Row],[FECHA FC]]+Tabla1[[#This Row],[PLAZO ENTREGA VALORES]]</f>
        <v>46208</v>
      </c>
      <c r="S79" s="840">
        <f>+Tabla1[[#This Row],[FECHA FC]]+Tabla1[[#This Row],[PLAZO PAGO (DIAS)]]</f>
        <v>46208</v>
      </c>
      <c r="T79" s="834">
        <f t="shared" ca="1" si="48"/>
        <v>27</v>
      </c>
      <c r="U79" s="831">
        <v>30</v>
      </c>
      <c r="V79" s="831"/>
      <c r="W79" s="841">
        <f t="shared" si="49"/>
        <v>46215</v>
      </c>
      <c r="X79" s="831">
        <v>18761</v>
      </c>
      <c r="Y79" s="840">
        <v>46161</v>
      </c>
      <c r="Z79" s="842">
        <f>Tabla1[[#This Row],[KGS]]/50</f>
        <v>560</v>
      </c>
      <c r="AA7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44104.5</v>
      </c>
      <c r="AB79" s="844">
        <f>-Tabla1[[#This Row],[COSTO FLETE $ POR BOLSA 5O KG (SIN IVA)]]*1.21-Tabla1[[#This Row],[PRECIO $/ KG A PLAZO EN CLIENTE ( SIN IVA)]]*0.003*1.21*50</f>
        <v>-3762.3135000000002</v>
      </c>
      <c r="AC79" s="845">
        <f>SUM(Tabla1[[#This Row],[PRECIO $ BOLSA 50 KG (IVA INC) ]]+Tabla1[[#This Row],[COSTO FLETE $ BOLSA 50 KG (IVA INC)]])</f>
        <v>40342.186499999996</v>
      </c>
      <c r="AD79" s="844">
        <f>-Tabla1[[#This Row],[PRECIO $ BOLSA 50 KG (IVA INC) ]]*(Tabla1[[#This Row],[TASA FINANCIACION MENSUAL]]/365)*Tabla1[[#This Row],[PLAZO ENTREGA VALORES]]</f>
        <v>-105.12579452054794</v>
      </c>
      <c r="AE79" s="845">
        <f>SUM(Tabla1[[#This Row],[PRECIO $ BOLSA50 KG  FOB TUCUMAN A PLAZO (IVA INC)]]+Tabla1[[#This Row],[GASTOS FINANCIEROS $ BOLSA 50 KG (IVA INC)]])</f>
        <v>40237.060705479445</v>
      </c>
      <c r="AF79" s="828" t="s">
        <v>359</v>
      </c>
      <c r="AG79" s="828" t="s">
        <v>367</v>
      </c>
      <c r="AH79" s="828" t="s">
        <v>386</v>
      </c>
      <c r="AI79" s="828" t="s">
        <v>258</v>
      </c>
      <c r="AJ7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37107</v>
      </c>
      <c r="AK79" s="846">
        <f>SUM(Tabla1[[#This Row],[PRECIO $ BOLSA 50KG  FOB CDO TUC (IVA INC)]]-Tabla1[[#This Row],[PRECIO REF $ BOLSA 50 KG CACTU (IVA INC)]])</f>
        <v>3130.0607054794455</v>
      </c>
      <c r="AL79" s="847">
        <f>IFERROR(Tabla1[[#This Row],[PRECIO $ BOLSA 50KG  FOB CDO TUC (IVA INC)]]/Tabla1[[#This Row],[PRECIO REF $ BOLSA 50 KG CACTU (IVA INC)]]-1,"")</f>
        <v>8.4352297557858336E-2</v>
      </c>
      <c r="AM79" s="846">
        <f>+Tabla1[[#This Row],[DIF $ PRECIO NETO INDUSTRIA vs Neto TUCUMAN (IVA INC)]]*Tabla1[[#This Row],[Q Bolsas Equivalentes 50kg]]</f>
        <v>1752833.9950684896</v>
      </c>
      <c r="AN79" s="846">
        <f>Tabla1[[#This Row],[PRECIO REF $ BOLSA 50 KG CACTU (IVA INC)]]*Tabla1[[#This Row],[Q Bolsas Equivalentes 50kg]]</f>
        <v>20779920</v>
      </c>
      <c r="AO79" s="846">
        <f>+Tabla1[[#This Row],[PRECIO $ BOLSA 50KG  FOB CDO TUC (IVA INC)]]*Tabla1[[#This Row],[Q Bolsas Equivalentes 50kg]]</f>
        <v>22532753.995068491</v>
      </c>
      <c r="AP79" s="847">
        <v>2.9000000000000001E-2</v>
      </c>
      <c r="AQ79" s="846">
        <f t="shared" si="50"/>
        <v>3000</v>
      </c>
      <c r="AR79" s="828">
        <v>30</v>
      </c>
      <c r="AS79" s="849"/>
      <c r="AT79" s="923">
        <f ca="1">+Tabla1[[#This Row],[VENTA TOTAL $ (IVA INC) ]]-(SUM(Tabla1[[#This Row],[PENDIENTE DE ENTREGA]:[VALORES COBRADOS]]))</f>
        <v>0</v>
      </c>
      <c r="AU79" s="850">
        <f>VLOOKUP(Tabla1[[#This Row],[FECHA OC]],'TIPO DE CAMBIO'!A:B,2,TRUE)</f>
        <v>1398.9159999999999</v>
      </c>
      <c r="AV79" s="850">
        <f>+Tabla1[[#This Row],[SUBTOTAL]]/Tabla1[[#This Row],[TIPO DE CAMBIO]]</f>
        <v>14591.297833465342</v>
      </c>
      <c r="AW79" s="851"/>
      <c r="AX79" s="850">
        <f>IFERROR(Tabla1[[#This Row],[VENTA TOTAL USD A PLAZO EN CLIENTE  (SIN IVA)]]*(1+Tabla1[[#This Row],[% IVA ]]),"")</f>
        <v>14591.297833465342</v>
      </c>
      <c r="AY79" s="850">
        <f>+Tabla1[[#This Row],[VENTA TOTAL USD A PLAZO EN CLIENTE  (SIN IVA)]]/Tabla1[[#This Row],[KGS]]*1000</f>
        <v>521.11777976661938</v>
      </c>
      <c r="AZ79" s="850">
        <f>-Tabla1[[#This Row],[COSTO FLETE $ POR BOLSA 5O KG (SIN IVA)]]*20/Tabla1[[#This Row],[TIPO DE CAMBIO]]</f>
        <v>-42.890352244166202</v>
      </c>
      <c r="BA79" s="850">
        <f>+Tabla1[[#This Row],[GASTOS FINANCIEROS $ BOLSA 50 KG (IVA INC)]]*20/Tabla1[[#This Row],[TIPO DE CAMBIO]]</f>
        <v>-1.5029607856447127</v>
      </c>
      <c r="BB79" s="850">
        <f>+Tabla1[[#This Row],[PRECIO POR TN USD EN CLIENTE A PLAZO (SIN IVA)]]+Tabla1[[#This Row],[COSTO USD FLETE /TN (SIN IVA)]]+Tabla1[[#This Row],[COSTO FINANCIERO USD POR BOLSA 50KG (IVA INC)]]</f>
        <v>476.72446673680849</v>
      </c>
      <c r="BC79" s="848">
        <v>3</v>
      </c>
      <c r="BD79" s="944"/>
    </row>
    <row r="80" spans="1:56" ht="15.75" customHeight="1">
      <c r="A80" s="912">
        <v>46143</v>
      </c>
      <c r="B80" s="828">
        <v>1</v>
      </c>
      <c r="C80" s="792" t="s">
        <v>471</v>
      </c>
      <c r="D80" s="829">
        <f>+Tabla1[[#This Row],[FECHA Entrega]]</f>
        <v>46167.776388888888</v>
      </c>
      <c r="E80" s="830">
        <v>2843</v>
      </c>
      <c r="F80" s="831" t="s">
        <v>448</v>
      </c>
      <c r="G80" s="832" t="s">
        <v>357</v>
      </c>
      <c r="H80" s="852">
        <v>46167.776388888888</v>
      </c>
      <c r="I80" s="834">
        <f>800*50</f>
        <v>40000</v>
      </c>
      <c r="J80" s="835">
        <f>30000/50/1.21</f>
        <v>495.86776859504135</v>
      </c>
      <c r="K80" s="836">
        <f t="shared" si="1"/>
        <v>19834710.743801653</v>
      </c>
      <c r="L8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80" s="837">
        <f t="shared" si="45"/>
        <v>24000000</v>
      </c>
      <c r="N80" s="838">
        <v>0</v>
      </c>
      <c r="O80" s="838">
        <v>0</v>
      </c>
      <c r="P80" s="838">
        <v>0</v>
      </c>
      <c r="Q80" s="839">
        <f>+Tabla1[[#This Row],[VENTA TOTAL $ (IVA INC) ]]-Tabla1[[#This Row],[PENDIENTE DE COBRO]]</f>
        <v>24000000</v>
      </c>
      <c r="R80" s="840">
        <f>+Tabla1[[#This Row],[FECHA FC]]+Tabla1[[#This Row],[PLAZO ENTREGA VALORES]]</f>
        <v>46126</v>
      </c>
      <c r="S80" s="840">
        <f>+Tabla1[[#This Row],[FECHA FC]]+Tabla1[[#This Row],[PLAZO PAGO (DIAS)]]</f>
        <v>46167.776388888888</v>
      </c>
      <c r="T80" s="834">
        <f t="shared" ca="1" si="27"/>
        <v>-13.223611111112405</v>
      </c>
      <c r="U80" s="831">
        <f>+Tabla1[[#This Row],[FECHA OC]]-Tabla1[[#This Row],[FECHA Entrega]]</f>
        <v>-41.776388888887595</v>
      </c>
      <c r="V80" s="831"/>
      <c r="W80" s="841">
        <f t="shared" si="39"/>
        <v>46174.776388888888</v>
      </c>
      <c r="X80" s="831">
        <v>2381</v>
      </c>
      <c r="Y80" s="840">
        <v>46126</v>
      </c>
      <c r="Z80" s="842">
        <f>Tabla1[[#This Row],[KGS]]/50</f>
        <v>800</v>
      </c>
      <c r="AA8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80" s="844">
        <f>-Tabla1[[#This Row],[COSTO FLETE $ POR BOLSA 5O KG (SIN IVA)]]*1.21-Tabla1[[#This Row],[PRECIO $/ KG A PLAZO EN CLIENTE ( SIN IVA)]]*0.003*1.21*50</f>
        <v>3.1700000000000017</v>
      </c>
      <c r="AC80" s="845">
        <f>SUM(Tabla1[[#This Row],[PRECIO $ BOLSA 50 KG (IVA INC) ]]+Tabla1[[#This Row],[COSTO FLETE $ BOLSA 50 KG (IVA INC)]])</f>
        <v>30003.17</v>
      </c>
      <c r="AD80" s="844">
        <f>-Tabla1[[#This Row],[PRECIO $ BOLSA 50 KG (IVA INC) ]]*(Tabla1[[#This Row],[TASA FINANCIACION MENSUAL]]/365)*Tabla1[[#This Row],[PLAZO ENTREGA VALORES]]</f>
        <v>99.576598173512906</v>
      </c>
      <c r="AE80" s="845">
        <f>SUM(Tabla1[[#This Row],[PRECIO $ BOLSA50 KG  FOB TUCUMAN A PLAZO (IVA INC)]]+Tabla1[[#This Row],[GASTOS FINANCIEROS $ BOLSA 50 KG (IVA INC)]])</f>
        <v>30102.746598173511</v>
      </c>
      <c r="AF80" s="828" t="s">
        <v>359</v>
      </c>
      <c r="AG80" s="828" t="s">
        <v>365</v>
      </c>
      <c r="AH80" s="828" t="s">
        <v>387</v>
      </c>
      <c r="AI80" s="828" t="s">
        <v>391</v>
      </c>
      <c r="AJ8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80" s="846">
        <f>SUM(Tabla1[[#This Row],[PRECIO $ BOLSA 50KG  FOB CDO TUC (IVA INC)]]-Tabla1[[#This Row],[PRECIO REF $ BOLSA 50 KG CACTU (IVA INC)]])</f>
        <v>-5252.2534018264887</v>
      </c>
      <c r="AL80" s="847">
        <f>IFERROR(Tabla1[[#This Row],[PRECIO $ BOLSA 50KG  FOB CDO TUC (IVA INC)]]/Tabla1[[#This Row],[PRECIO REF $ BOLSA 50 KG CACTU (IVA INC)]]-1,"")</f>
        <v>-0.14855758455173207</v>
      </c>
      <c r="AM80" s="846">
        <f>+Tabla1[[#This Row],[DIF $ PRECIO NETO INDUSTRIA vs Neto TUCUMAN (IVA INC)]]*Tabla1[[#This Row],[Q Bolsas Equivalentes 50kg]]</f>
        <v>-4201802.7214611908</v>
      </c>
      <c r="AN80" s="846">
        <f>Tabla1[[#This Row],[PRECIO REF $ BOLSA 50 KG CACTU (IVA INC)]]*Tabla1[[#This Row],[Q Bolsas Equivalentes 50kg]]</f>
        <v>28284000</v>
      </c>
      <c r="AO80" s="846">
        <f>+Tabla1[[#This Row],[PRECIO $ BOLSA 50KG  FOB CDO TUC (IVA INC)]]*Tabla1[[#This Row],[Q Bolsas Equivalentes 50kg]]</f>
        <v>24082197.278538808</v>
      </c>
      <c r="AP80" s="847">
        <v>2.9000000000000001E-2</v>
      </c>
      <c r="AQ80" s="846">
        <v>-77</v>
      </c>
      <c r="AR80" s="828"/>
      <c r="AS80" s="849" t="s">
        <v>597</v>
      </c>
      <c r="AT80" s="923">
        <f>+Tabla1[[#This Row],[VENTA TOTAL $ (IVA INC) ]]-(SUM(Tabla1[[#This Row],[PENDIENTE DE ENTREGA]:[VALORES COBRADOS]]))</f>
        <v>0</v>
      </c>
      <c r="AU80" s="850">
        <f>VLOOKUP(Tabla1[[#This Row],[FECHA OC]],'TIPO DE CAMBIO'!A:B,2,TRUE)</f>
        <v>1358.5219999999999</v>
      </c>
      <c r="AV80" s="850">
        <f>+Tabla1[[#This Row],[SUBTOTAL]]/Tabla1[[#This Row],[TIPO DE CAMBIO]]</f>
        <v>14600.213131477925</v>
      </c>
      <c r="AW80" s="851"/>
      <c r="AX80" s="850">
        <f>IFERROR(Tabla1[[#This Row],[VENTA TOTAL USD A PLAZO EN CLIENTE  (SIN IVA)]]*(1+Tabla1[[#This Row],[% IVA ]]),"")</f>
        <v>14600.213131477925</v>
      </c>
      <c r="AY80" s="850">
        <f>+Tabla1[[#This Row],[VENTA TOTAL USD A PLAZO EN CLIENTE  (SIN IVA)]]/Tabla1[[#This Row],[KGS]]*1000</f>
        <v>365.00532828694816</v>
      </c>
      <c r="AZ80" s="850">
        <f>-Tabla1[[#This Row],[COSTO FLETE $ POR BOLSA 5O KG (SIN IVA)]]*20/Tabla1[[#This Row],[TIPO DE CAMBIO]]</f>
        <v>1.1335848812164986</v>
      </c>
      <c r="BA80" s="850">
        <f>+Tabla1[[#This Row],[GASTOS FINANCIEROS $ BOLSA 50 KG (IVA INC)]]*20/Tabla1[[#This Row],[TIPO DE CAMBIO]]</f>
        <v>1.4659548858761642</v>
      </c>
      <c r="BB80" s="850">
        <f>+Tabla1[[#This Row],[PRECIO POR TN USD EN CLIENTE A PLAZO (SIN IVA)]]+Tabla1[[#This Row],[COSTO USD FLETE /TN (SIN IVA)]]+Tabla1[[#This Row],[COSTO FINANCIERO USD POR BOLSA 50KG (IVA INC)]]</f>
        <v>367.60486805404082</v>
      </c>
      <c r="BC80" s="828">
        <v>4</v>
      </c>
      <c r="BD80" s="944" t="s">
        <v>485</v>
      </c>
    </row>
    <row r="81" spans="1:56" ht="15.75" customHeight="1">
      <c r="A81" s="912">
        <v>46143</v>
      </c>
      <c r="B81" s="828">
        <v>1</v>
      </c>
      <c r="C81" s="792" t="s">
        <v>471</v>
      </c>
      <c r="D81" s="829">
        <f>+Tabla1[[#This Row],[FECHA Entrega]]</f>
        <v>46168.670138888891</v>
      </c>
      <c r="E81" s="830">
        <v>2843</v>
      </c>
      <c r="F81" s="831" t="s">
        <v>448</v>
      </c>
      <c r="G81" s="832" t="s">
        <v>357</v>
      </c>
      <c r="H81" s="852">
        <v>46168.670138888891</v>
      </c>
      <c r="I81" s="834">
        <f t="shared" ref="I81:I88" si="51">800*50</f>
        <v>40000</v>
      </c>
      <c r="J81" s="835">
        <f t="shared" ref="J81:J85" si="52">600/1.21</f>
        <v>495.86776859504135</v>
      </c>
      <c r="K81" s="836">
        <f t="shared" si="1"/>
        <v>19834710.743801653</v>
      </c>
      <c r="L8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81" s="837">
        <f t="shared" si="45"/>
        <v>24000000</v>
      </c>
      <c r="N81" s="838">
        <v>0</v>
      </c>
      <c r="O81" s="838">
        <v>0</v>
      </c>
      <c r="P81" s="838">
        <v>0</v>
      </c>
      <c r="Q81" s="839">
        <f>+Tabla1[[#This Row],[VENTA TOTAL $ (IVA INC) ]]-Tabla1[[#This Row],[PENDIENTE DE COBRO]]</f>
        <v>24000000</v>
      </c>
      <c r="R81" s="840">
        <f>+Tabla1[[#This Row],[FECHA FC]]+Tabla1[[#This Row],[PLAZO ENTREGA VALORES]]</f>
        <v>46126</v>
      </c>
      <c r="S81" s="840">
        <f>+Tabla1[[#This Row],[FECHA FC]]+Tabla1[[#This Row],[PLAZO PAGO (DIAS)]]</f>
        <v>46168.670138888891</v>
      </c>
      <c r="T81" s="834">
        <f t="shared" ca="1" si="27"/>
        <v>-12.329861111109494</v>
      </c>
      <c r="U81" s="831">
        <f>+Tabla1[[#This Row],[FECHA OC]]-Tabla1[[#This Row],[FECHA Entrega]]</f>
        <v>-42.670138888890506</v>
      </c>
      <c r="V81" s="831"/>
      <c r="W81" s="841">
        <f t="shared" si="39"/>
        <v>46175.670138888891</v>
      </c>
      <c r="X81" s="831">
        <v>2381</v>
      </c>
      <c r="Y81" s="840">
        <v>46126</v>
      </c>
      <c r="Z81" s="842">
        <f>Tabla1[[#This Row],[KGS]]/50</f>
        <v>800</v>
      </c>
      <c r="AA8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81" s="844">
        <f>-Tabla1[[#This Row],[COSTO FLETE $ POR BOLSA 5O KG (SIN IVA)]]*1.21-Tabla1[[#This Row],[PRECIO $/ KG A PLAZO EN CLIENTE ( SIN IVA)]]*0.003*1.21*50</f>
        <v>0.14499999999999602</v>
      </c>
      <c r="AC81" s="845">
        <f>SUM(Tabla1[[#This Row],[PRECIO $ BOLSA 50 KG (IVA INC) ]]+Tabla1[[#This Row],[COSTO FLETE $ BOLSA 50 KG (IVA INC)]])</f>
        <v>30000.145</v>
      </c>
      <c r="AD81" s="844">
        <f>-Tabla1[[#This Row],[PRECIO $ BOLSA 50 KG (IVA INC) ]]*(Tabla1[[#This Row],[TASA FINANCIACION MENSUAL]]/365)*Tabla1[[#This Row],[PLAZO ENTREGA VALORES]]</f>
        <v>101.70690639269793</v>
      </c>
      <c r="AE81" s="845">
        <f>SUM(Tabla1[[#This Row],[PRECIO $ BOLSA50 KG  FOB TUCUMAN A PLAZO (IVA INC)]]+Tabla1[[#This Row],[GASTOS FINANCIEROS $ BOLSA 50 KG (IVA INC)]])</f>
        <v>30101.851906392698</v>
      </c>
      <c r="AF81" s="828" t="s">
        <v>359</v>
      </c>
      <c r="AG81" s="828" t="s">
        <v>365</v>
      </c>
      <c r="AH81" s="828" t="s">
        <v>387</v>
      </c>
      <c r="AI81" s="828" t="s">
        <v>391</v>
      </c>
      <c r="AJ8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81" s="846">
        <f>SUM(Tabla1[[#This Row],[PRECIO $ BOLSA 50KG  FOB CDO TUC (IVA INC)]]-Tabla1[[#This Row],[PRECIO REF $ BOLSA 50 KG CACTU (IVA INC)]])</f>
        <v>-5253.1480936073021</v>
      </c>
      <c r="AL81" s="847">
        <f>IFERROR(Tabla1[[#This Row],[PRECIO $ BOLSA 50KG  FOB CDO TUC (IVA INC)]]/Tabla1[[#This Row],[PRECIO REF $ BOLSA 50 KG CACTU (IVA INC)]]-1,"")</f>
        <v>-0.14858289049942874</v>
      </c>
      <c r="AM81" s="846">
        <f>+Tabla1[[#This Row],[DIF $ PRECIO NETO INDUSTRIA vs Neto TUCUMAN (IVA INC)]]*Tabla1[[#This Row],[Q Bolsas Equivalentes 50kg]]</f>
        <v>-4202518.4748858418</v>
      </c>
      <c r="AN81" s="846">
        <f>Tabla1[[#This Row],[PRECIO REF $ BOLSA 50 KG CACTU (IVA INC)]]*Tabla1[[#This Row],[Q Bolsas Equivalentes 50kg]]</f>
        <v>28284000</v>
      </c>
      <c r="AO81" s="846">
        <f>+Tabla1[[#This Row],[PRECIO $ BOLSA 50KG  FOB CDO TUC (IVA INC)]]*Tabla1[[#This Row],[Q Bolsas Equivalentes 50kg]]</f>
        <v>24081481.52511416</v>
      </c>
      <c r="AP81" s="847">
        <v>2.9000000000000001E-2</v>
      </c>
      <c r="AQ81" s="846">
        <v>-74.5</v>
      </c>
      <c r="AR81" s="828"/>
      <c r="AS81" s="849" t="s">
        <v>598</v>
      </c>
      <c r="AT81" s="923">
        <f>+Tabla1[[#This Row],[VENTA TOTAL $ (IVA INC) ]]-(SUM(Tabla1[[#This Row],[PENDIENTE DE ENTREGA]:[VALORES COBRADOS]]))</f>
        <v>0</v>
      </c>
      <c r="AU81" s="850">
        <f>VLOOKUP(Tabla1[[#This Row],[FECHA OC]],'TIPO DE CAMBIO'!A:B,2,TRUE)</f>
        <v>1358.5219999999999</v>
      </c>
      <c r="AV81" s="850">
        <f>+Tabla1[[#This Row],[SUBTOTAL]]/Tabla1[[#This Row],[TIPO DE CAMBIO]]</f>
        <v>14600.213131477925</v>
      </c>
      <c r="AW81" s="851"/>
      <c r="AX81" s="850">
        <f>IFERROR(Tabla1[[#This Row],[VENTA TOTAL USD A PLAZO EN CLIENTE  (SIN IVA)]]*(1+Tabla1[[#This Row],[% IVA ]]),"")</f>
        <v>14600.213131477925</v>
      </c>
      <c r="AY81" s="850">
        <f>+Tabla1[[#This Row],[VENTA TOTAL USD A PLAZO EN CLIENTE  (SIN IVA)]]/Tabla1[[#This Row],[KGS]]*1000</f>
        <v>365.00532828694816</v>
      </c>
      <c r="AZ81" s="850">
        <f>-Tabla1[[#This Row],[COSTO FLETE $ POR BOLSA 5O KG (SIN IVA)]]*20/Tabla1[[#This Row],[TIPO DE CAMBIO]]</f>
        <v>1.096780177280898</v>
      </c>
      <c r="BA81" s="850">
        <f>+Tabla1[[#This Row],[GASTOS FINANCIEROS $ BOLSA 50 KG (IVA INC)]]*20/Tabla1[[#This Row],[TIPO DE CAMBIO]]</f>
        <v>1.4973170311956367</v>
      </c>
      <c r="BB81" s="850">
        <f>+Tabla1[[#This Row],[PRECIO POR TN USD EN CLIENTE A PLAZO (SIN IVA)]]+Tabla1[[#This Row],[COSTO USD FLETE /TN (SIN IVA)]]+Tabla1[[#This Row],[COSTO FINANCIERO USD POR BOLSA 50KG (IVA INC)]]</f>
        <v>367.59942549542467</v>
      </c>
      <c r="BC81" s="828">
        <v>4</v>
      </c>
      <c r="BD81" s="944" t="s">
        <v>485</v>
      </c>
    </row>
    <row r="82" spans="1:56" ht="15.75" customHeight="1">
      <c r="A82" s="912">
        <v>46143</v>
      </c>
      <c r="B82" s="828">
        <v>1</v>
      </c>
      <c r="C82" s="792" t="s">
        <v>471</v>
      </c>
      <c r="D82" s="829">
        <f>+Tabla1[[#This Row],[FECHA Entrega]]</f>
        <v>46169.706944444442</v>
      </c>
      <c r="E82" s="830">
        <v>2843</v>
      </c>
      <c r="F82" s="831" t="s">
        <v>448</v>
      </c>
      <c r="G82" s="832" t="s">
        <v>357</v>
      </c>
      <c r="H82" s="852">
        <v>46169.706944444442</v>
      </c>
      <c r="I82" s="834">
        <f t="shared" si="51"/>
        <v>40000</v>
      </c>
      <c r="J82" s="835">
        <f t="shared" si="52"/>
        <v>495.86776859504135</v>
      </c>
      <c r="K82" s="836">
        <f t="shared" si="1"/>
        <v>19834710.743801653</v>
      </c>
      <c r="L8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82" s="837">
        <f t="shared" si="45"/>
        <v>24000000</v>
      </c>
      <c r="N82" s="838">
        <v>0</v>
      </c>
      <c r="O82" s="838">
        <v>0</v>
      </c>
      <c r="P82" s="838">
        <v>0</v>
      </c>
      <c r="Q82" s="839">
        <f>+Tabla1[[#This Row],[VENTA TOTAL $ (IVA INC) ]]-Tabla1[[#This Row],[PENDIENTE DE COBRO]]</f>
        <v>24000000</v>
      </c>
      <c r="R82" s="840">
        <f>+Tabla1[[#This Row],[FECHA FC]]+Tabla1[[#This Row],[PLAZO ENTREGA VALORES]]</f>
        <v>46126</v>
      </c>
      <c r="S82" s="840">
        <f>+Tabla1[[#This Row],[FECHA FC]]+Tabla1[[#This Row],[PLAZO PAGO (DIAS)]]</f>
        <v>46169.706944444442</v>
      </c>
      <c r="T82" s="834">
        <f t="shared" ca="1" si="27"/>
        <v>-11.293055555557657</v>
      </c>
      <c r="U82" s="831">
        <f>+Tabla1[[#This Row],[FECHA OC]]-Tabla1[[#This Row],[FECHA Entrega]]</f>
        <v>-43.706944444442343</v>
      </c>
      <c r="V82" s="831"/>
      <c r="W82" s="841">
        <f t="shared" si="39"/>
        <v>46176.706944444442</v>
      </c>
      <c r="X82" s="831">
        <v>2381</v>
      </c>
      <c r="Y82" s="840">
        <v>46126</v>
      </c>
      <c r="Z82" s="842">
        <f>Tabla1[[#This Row],[KGS]]/50</f>
        <v>800</v>
      </c>
      <c r="AA8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82" s="844">
        <f>-Tabla1[[#This Row],[COSTO FLETE $ POR BOLSA 5O KG (SIN IVA)]]*1.21-Tabla1[[#This Row],[PRECIO $/ KG A PLAZO EN CLIENTE ( SIN IVA)]]*0.003*1.21*50</f>
        <v>0.14499999999999602</v>
      </c>
      <c r="AC82" s="845">
        <f>SUM(Tabla1[[#This Row],[PRECIO $ BOLSA 50 KG (IVA INC) ]]+Tabla1[[#This Row],[COSTO FLETE $ BOLSA 50 KG (IVA INC)]])</f>
        <v>30000.145</v>
      </c>
      <c r="AD82" s="844">
        <f>-Tabla1[[#This Row],[PRECIO $ BOLSA 50 KG (IVA INC) ]]*(Tabla1[[#This Row],[TASA FINANCIACION MENSUAL]]/365)*Tabla1[[#This Row],[PLAZO ENTREGA VALORES]]</f>
        <v>104.17819634702697</v>
      </c>
      <c r="AE82" s="845">
        <f>SUM(Tabla1[[#This Row],[PRECIO $ BOLSA50 KG  FOB TUCUMAN A PLAZO (IVA INC)]]+Tabla1[[#This Row],[GASTOS FINANCIEROS $ BOLSA 50 KG (IVA INC)]])</f>
        <v>30104.323196347028</v>
      </c>
      <c r="AF82" s="828" t="s">
        <v>359</v>
      </c>
      <c r="AG82" s="828" t="s">
        <v>365</v>
      </c>
      <c r="AH82" s="828" t="s">
        <v>387</v>
      </c>
      <c r="AI82" s="828" t="s">
        <v>391</v>
      </c>
      <c r="AJ8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82" s="846">
        <f>SUM(Tabla1[[#This Row],[PRECIO $ BOLSA 50KG  FOB CDO TUC (IVA INC)]]-Tabla1[[#This Row],[PRECIO REF $ BOLSA 50 KG CACTU (IVA INC)]])</f>
        <v>-5250.676803652972</v>
      </c>
      <c r="AL82" s="847">
        <f>IFERROR(Tabla1[[#This Row],[PRECIO $ BOLSA 50KG  FOB CDO TUC (IVA INC)]]/Tabla1[[#This Row],[PRECIO REF $ BOLSA 50 KG CACTU (IVA INC)]]-1,"")</f>
        <v>-0.14851299119369177</v>
      </c>
      <c r="AM82" s="846">
        <f>+Tabla1[[#This Row],[DIF $ PRECIO NETO INDUSTRIA vs Neto TUCUMAN (IVA INC)]]*Tabla1[[#This Row],[Q Bolsas Equivalentes 50kg]]</f>
        <v>-4200541.442922378</v>
      </c>
      <c r="AN82" s="846">
        <f>Tabla1[[#This Row],[PRECIO REF $ BOLSA 50 KG CACTU (IVA INC)]]*Tabla1[[#This Row],[Q Bolsas Equivalentes 50kg]]</f>
        <v>28284000</v>
      </c>
      <c r="AO82" s="846">
        <f>+Tabla1[[#This Row],[PRECIO $ BOLSA 50KG  FOB CDO TUC (IVA INC)]]*Tabla1[[#This Row],[Q Bolsas Equivalentes 50kg]]</f>
        <v>24083458.557077624</v>
      </c>
      <c r="AP82" s="847">
        <v>2.9000000000000001E-2</v>
      </c>
      <c r="AQ82" s="846">
        <v>-74.5</v>
      </c>
      <c r="AR82" s="828"/>
      <c r="AS82" s="849" t="s">
        <v>599</v>
      </c>
      <c r="AT82" s="923">
        <f>+Tabla1[[#This Row],[VENTA TOTAL $ (IVA INC) ]]-(SUM(Tabla1[[#This Row],[PENDIENTE DE ENTREGA]:[VALORES COBRADOS]]))</f>
        <v>0</v>
      </c>
      <c r="AU82" s="850">
        <f>VLOOKUP(Tabla1[[#This Row],[FECHA OC]],'TIPO DE CAMBIO'!A:B,2,TRUE)</f>
        <v>1358.5219999999999</v>
      </c>
      <c r="AV82" s="850">
        <f>+Tabla1[[#This Row],[SUBTOTAL]]/Tabla1[[#This Row],[TIPO DE CAMBIO]]</f>
        <v>14600.213131477925</v>
      </c>
      <c r="AW82" s="851"/>
      <c r="AX82" s="850">
        <f>IFERROR(Tabla1[[#This Row],[VENTA TOTAL USD A PLAZO EN CLIENTE  (SIN IVA)]]*(1+Tabla1[[#This Row],[% IVA ]]),"")</f>
        <v>14600.213131477925</v>
      </c>
      <c r="AY82" s="850">
        <f>+Tabla1[[#This Row],[VENTA TOTAL USD A PLAZO EN CLIENTE  (SIN IVA)]]/Tabla1[[#This Row],[KGS]]*1000</f>
        <v>365.00532828694816</v>
      </c>
      <c r="AZ82" s="850">
        <f>-Tabla1[[#This Row],[COSTO FLETE $ POR BOLSA 5O KG (SIN IVA)]]*20/Tabla1[[#This Row],[TIPO DE CAMBIO]]</f>
        <v>1.096780177280898</v>
      </c>
      <c r="BA82" s="850">
        <f>+Tabla1[[#This Row],[GASTOS FINANCIEROS $ BOLSA 50 KG (IVA INC)]]*20/Tabla1[[#This Row],[TIPO DE CAMBIO]]</f>
        <v>1.5336990692388781</v>
      </c>
      <c r="BB82" s="850">
        <f>+Tabla1[[#This Row],[PRECIO POR TN USD EN CLIENTE A PLAZO (SIN IVA)]]+Tabla1[[#This Row],[COSTO USD FLETE /TN (SIN IVA)]]+Tabla1[[#This Row],[COSTO FINANCIERO USD POR BOLSA 50KG (IVA INC)]]</f>
        <v>367.63580753346793</v>
      </c>
      <c r="BC82" s="828">
        <v>4</v>
      </c>
      <c r="BD82" s="944" t="s">
        <v>485</v>
      </c>
    </row>
    <row r="83" spans="1:56" ht="15.75" customHeight="1">
      <c r="A83" s="912">
        <v>46143</v>
      </c>
      <c r="B83" s="828">
        <v>1</v>
      </c>
      <c r="C83" s="792" t="s">
        <v>471</v>
      </c>
      <c r="D83" s="829">
        <f>+Tabla1[[#This Row],[FECHA Entrega]]</f>
        <v>46170.621527777781</v>
      </c>
      <c r="E83" s="830">
        <v>2843</v>
      </c>
      <c r="F83" s="831" t="s">
        <v>448</v>
      </c>
      <c r="G83" s="832" t="s">
        <v>357</v>
      </c>
      <c r="H83" s="852">
        <v>46170.621527777781</v>
      </c>
      <c r="I83" s="834">
        <f t="shared" si="51"/>
        <v>40000</v>
      </c>
      <c r="J83" s="835">
        <f t="shared" si="52"/>
        <v>495.86776859504135</v>
      </c>
      <c r="K83" s="836">
        <f t="shared" si="1"/>
        <v>19834710.743801653</v>
      </c>
      <c r="L8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83" s="837">
        <f t="shared" si="45"/>
        <v>24000000</v>
      </c>
      <c r="N83" s="838">
        <v>0</v>
      </c>
      <c r="O83" s="838">
        <v>0</v>
      </c>
      <c r="P83" s="855"/>
      <c r="Q83" s="839">
        <f>+Tabla1[[#This Row],[VENTA TOTAL $ (IVA INC) ]]-Tabla1[[#This Row],[PENDIENTE DE COBRO]]</f>
        <v>24000000</v>
      </c>
      <c r="R83" s="840">
        <f>+Tabla1[[#This Row],[FECHA FC]]+Tabla1[[#This Row],[PLAZO ENTREGA VALORES]]</f>
        <v>46126</v>
      </c>
      <c r="S83" s="840">
        <f>+Tabla1[[#This Row],[FECHA FC]]+Tabla1[[#This Row],[PLAZO PAGO (DIAS)]]</f>
        <v>46170.621527777781</v>
      </c>
      <c r="T83" s="834">
        <f t="shared" ca="1" si="27"/>
        <v>-10.378472222218988</v>
      </c>
      <c r="U83" s="831">
        <f>+Tabla1[[#This Row],[FECHA OC]]-Tabla1[[#This Row],[FECHA Entrega]]</f>
        <v>-44.621527777781012</v>
      </c>
      <c r="V83" s="831"/>
      <c r="W83" s="841">
        <f t="shared" si="39"/>
        <v>46177.621527777781</v>
      </c>
      <c r="X83" s="831">
        <v>2381</v>
      </c>
      <c r="Y83" s="840">
        <v>46126</v>
      </c>
      <c r="Z83" s="842">
        <f>Tabla1[[#This Row],[KGS]]/50</f>
        <v>800</v>
      </c>
      <c r="AA8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83" s="844">
        <f>-Tabla1[[#This Row],[COSTO FLETE $ POR BOLSA 5O KG (SIN IVA)]]*1.21-Tabla1[[#This Row],[PRECIO $/ KG A PLAZO EN CLIENTE ( SIN IVA)]]*0.003*1.21*50</f>
        <v>0.14499999999999602</v>
      </c>
      <c r="AC83" s="845">
        <f>SUM(Tabla1[[#This Row],[PRECIO $ BOLSA 50 KG (IVA INC) ]]+Tabla1[[#This Row],[COSTO FLETE $ BOLSA 50 KG (IVA INC)]])</f>
        <v>30000.145</v>
      </c>
      <c r="AD83" s="844">
        <f>-Tabla1[[#This Row],[PRECIO $ BOLSA 50 KG (IVA INC) ]]*(Tabla1[[#This Row],[TASA FINANCIACION MENSUAL]]/365)*Tabla1[[#This Row],[PLAZO ENTREGA VALORES]]</f>
        <v>106.35816210046434</v>
      </c>
      <c r="AE83" s="845">
        <f>SUM(Tabla1[[#This Row],[PRECIO $ BOLSA50 KG  FOB TUCUMAN A PLAZO (IVA INC)]]+Tabla1[[#This Row],[GASTOS FINANCIEROS $ BOLSA 50 KG (IVA INC)]])</f>
        <v>30106.503162100464</v>
      </c>
      <c r="AF83" s="828" t="s">
        <v>359</v>
      </c>
      <c r="AG83" s="828" t="s">
        <v>365</v>
      </c>
      <c r="AH83" s="828" t="s">
        <v>387</v>
      </c>
      <c r="AI83" s="828" t="s">
        <v>391</v>
      </c>
      <c r="AJ8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83" s="846">
        <f>SUM(Tabla1[[#This Row],[PRECIO $ BOLSA 50KG  FOB CDO TUC (IVA INC)]]-Tabla1[[#This Row],[PRECIO REF $ BOLSA 50 KG CACTU (IVA INC)]])</f>
        <v>-5248.4968378995363</v>
      </c>
      <c r="AL83" s="847">
        <f>IFERROR(Tabla1[[#This Row],[PRECIO $ BOLSA 50KG  FOB CDO TUC (IVA INC)]]/Tabla1[[#This Row],[PRECIO REF $ BOLSA 50 KG CACTU (IVA INC)]]-1,"")</f>
        <v>-0.1484513318596955</v>
      </c>
      <c r="AM83" s="846">
        <f>+Tabla1[[#This Row],[DIF $ PRECIO NETO INDUSTRIA vs Neto TUCUMAN (IVA INC)]]*Tabla1[[#This Row],[Q Bolsas Equivalentes 50kg]]</f>
        <v>-4198797.4703196287</v>
      </c>
      <c r="AN83" s="846">
        <f>Tabla1[[#This Row],[PRECIO REF $ BOLSA 50 KG CACTU (IVA INC)]]*Tabla1[[#This Row],[Q Bolsas Equivalentes 50kg]]</f>
        <v>28284000</v>
      </c>
      <c r="AO83" s="846">
        <f>+Tabla1[[#This Row],[PRECIO $ BOLSA 50KG  FOB CDO TUC (IVA INC)]]*Tabla1[[#This Row],[Q Bolsas Equivalentes 50kg]]</f>
        <v>24085202.529680371</v>
      </c>
      <c r="AP83" s="847">
        <v>2.9000000000000001E-2</v>
      </c>
      <c r="AQ83" s="846">
        <v>-74.5</v>
      </c>
      <c r="AR83" s="856"/>
      <c r="AS83" s="849" t="s">
        <v>600</v>
      </c>
      <c r="AT83" s="923">
        <f>+Tabla1[[#This Row],[VENTA TOTAL $ (IVA INC) ]]-(SUM(Tabla1[[#This Row],[PENDIENTE DE ENTREGA]:[VALORES COBRADOS]]))</f>
        <v>0</v>
      </c>
      <c r="AU83" s="850">
        <f>VLOOKUP(Tabla1[[#This Row],[FECHA OC]],'TIPO DE CAMBIO'!A:B,2,TRUE)</f>
        <v>1358.5219999999999</v>
      </c>
      <c r="AV83" s="850">
        <f>+Tabla1[[#This Row],[SUBTOTAL]]/Tabla1[[#This Row],[TIPO DE CAMBIO]]</f>
        <v>14600.213131477925</v>
      </c>
      <c r="AW83" s="851"/>
      <c r="AX83" s="850">
        <f>IFERROR(Tabla1[[#This Row],[VENTA TOTAL USD A PLAZO EN CLIENTE  (SIN IVA)]]*(1+Tabla1[[#This Row],[% IVA ]]),"")</f>
        <v>14600.213131477925</v>
      </c>
      <c r="AY83" s="850">
        <f>+Tabla1[[#This Row],[VENTA TOTAL USD A PLAZO EN CLIENTE  (SIN IVA)]]/Tabla1[[#This Row],[KGS]]*1000</f>
        <v>365.00532828694816</v>
      </c>
      <c r="AZ83" s="850">
        <f>-Tabla1[[#This Row],[COSTO FLETE $ POR BOLSA 5O KG (SIN IVA)]]*20/Tabla1[[#This Row],[TIPO DE CAMBIO]]</f>
        <v>1.096780177280898</v>
      </c>
      <c r="BA83" s="850">
        <f>+Tabla1[[#This Row],[GASTOS FINANCIEROS $ BOLSA 50 KG (IVA INC)]]*20/Tabla1[[#This Row],[TIPO DE CAMBIO]]</f>
        <v>1.5657922668968829</v>
      </c>
      <c r="BB83" s="850">
        <f>+Tabla1[[#This Row],[PRECIO POR TN USD EN CLIENTE A PLAZO (SIN IVA)]]+Tabla1[[#This Row],[COSTO USD FLETE /TN (SIN IVA)]]+Tabla1[[#This Row],[COSTO FINANCIERO USD POR BOLSA 50KG (IVA INC)]]</f>
        <v>367.66790073112594</v>
      </c>
      <c r="BC83" s="828">
        <v>4</v>
      </c>
      <c r="BD83" s="944" t="s">
        <v>485</v>
      </c>
    </row>
    <row r="84" spans="1:56" ht="15.75" customHeight="1">
      <c r="A84" s="912">
        <v>46143</v>
      </c>
      <c r="B84" s="828">
        <v>1</v>
      </c>
      <c r="C84" s="792" t="s">
        <v>471</v>
      </c>
      <c r="D84" s="829">
        <f>+Tabla1[[#This Row],[FECHA Entrega]]</f>
        <v>46170.763888888891</v>
      </c>
      <c r="E84" s="830">
        <v>2843</v>
      </c>
      <c r="F84" s="831" t="s">
        <v>448</v>
      </c>
      <c r="G84" s="832" t="s">
        <v>357</v>
      </c>
      <c r="H84" s="852">
        <v>46170.763888888891</v>
      </c>
      <c r="I84" s="834">
        <f t="shared" si="51"/>
        <v>40000</v>
      </c>
      <c r="J84" s="835">
        <f t="shared" si="52"/>
        <v>495.86776859504135</v>
      </c>
      <c r="K84" s="836">
        <f t="shared" si="1"/>
        <v>19834710.743801653</v>
      </c>
      <c r="L8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84" s="837">
        <f t="shared" si="45"/>
        <v>24000000</v>
      </c>
      <c r="N84" s="838">
        <v>0</v>
      </c>
      <c r="O84" s="838">
        <v>0</v>
      </c>
      <c r="P84" s="857">
        <v>0</v>
      </c>
      <c r="Q84" s="839">
        <f>+Tabla1[[#This Row],[VENTA TOTAL $ (IVA INC) ]]-Tabla1[[#This Row],[PENDIENTE DE COBRO]]</f>
        <v>24000000</v>
      </c>
      <c r="R84" s="840">
        <f>+Tabla1[[#This Row],[FECHA FC]]+Tabla1[[#This Row],[PLAZO ENTREGA VALORES]]</f>
        <v>46126</v>
      </c>
      <c r="S84" s="840">
        <f>+Tabla1[[#This Row],[FECHA FC]]+Tabla1[[#This Row],[PLAZO PAGO (DIAS)]]</f>
        <v>46170.763888888891</v>
      </c>
      <c r="T84" s="834">
        <f t="shared" ca="1" si="27"/>
        <v>-10.236111111109494</v>
      </c>
      <c r="U84" s="831">
        <f>+Tabla1[[#This Row],[FECHA OC]]-Tabla1[[#This Row],[FECHA Entrega]]</f>
        <v>-44.763888888890506</v>
      </c>
      <c r="V84" s="831"/>
      <c r="W84" s="841">
        <f t="shared" si="39"/>
        <v>46177.763888888891</v>
      </c>
      <c r="X84" s="831">
        <v>2381</v>
      </c>
      <c r="Y84" s="840">
        <v>46126</v>
      </c>
      <c r="Z84" s="842">
        <f>Tabla1[[#This Row],[KGS]]/50</f>
        <v>800</v>
      </c>
      <c r="AA8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84" s="844">
        <f>-Tabla1[[#This Row],[COSTO FLETE $ POR BOLSA 5O KG (SIN IVA)]]*1.21-Tabla1[[#This Row],[PRECIO $/ KG A PLAZO EN CLIENTE ( SIN IVA)]]*0.003*1.21*50</f>
        <v>0.14499999999999602</v>
      </c>
      <c r="AC84" s="845">
        <f>SUM(Tabla1[[#This Row],[PRECIO $ BOLSA 50 KG (IVA INC) ]]+Tabla1[[#This Row],[COSTO FLETE $ BOLSA 50 KG (IVA INC)]])</f>
        <v>30000.145</v>
      </c>
      <c r="AD84" s="844">
        <f>-Tabla1[[#This Row],[PRECIO $ BOLSA 50 KG (IVA INC) ]]*(Tabla1[[#This Row],[TASA FINANCIACION MENSUAL]]/365)*Tabla1[[#This Row],[PLAZO ENTREGA VALORES]]</f>
        <v>106.69748858447875</v>
      </c>
      <c r="AE84" s="845">
        <f>SUM(Tabla1[[#This Row],[PRECIO $ BOLSA50 KG  FOB TUCUMAN A PLAZO (IVA INC)]]+Tabla1[[#This Row],[GASTOS FINANCIEROS $ BOLSA 50 KG (IVA INC)]])</f>
        <v>30106.84248858448</v>
      </c>
      <c r="AF84" s="828" t="s">
        <v>359</v>
      </c>
      <c r="AG84" s="828" t="s">
        <v>365</v>
      </c>
      <c r="AH84" s="828" t="s">
        <v>387</v>
      </c>
      <c r="AI84" s="828" t="s">
        <v>391</v>
      </c>
      <c r="AJ8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84" s="846">
        <f>SUM(Tabla1[[#This Row],[PRECIO $ BOLSA 50KG  FOB CDO TUC (IVA INC)]]-Tabla1[[#This Row],[PRECIO REF $ BOLSA 50 KG CACTU (IVA INC)]])</f>
        <v>-5248.1575114155203</v>
      </c>
      <c r="AL84" s="847">
        <f>IFERROR(Tabla1[[#This Row],[PRECIO $ BOLSA 50KG  FOB CDO TUC (IVA INC)]]/Tabla1[[#This Row],[PRECIO REF $ BOLSA 50 KG CACTU (IVA INC)]]-1,"")</f>
        <v>-0.1484417341653379</v>
      </c>
      <c r="AM84" s="846">
        <f>+Tabla1[[#This Row],[DIF $ PRECIO NETO INDUSTRIA vs Neto TUCUMAN (IVA INC)]]*Tabla1[[#This Row],[Q Bolsas Equivalentes 50kg]]</f>
        <v>-4198526.009132416</v>
      </c>
      <c r="AN84" s="846">
        <f>Tabla1[[#This Row],[PRECIO REF $ BOLSA 50 KG CACTU (IVA INC)]]*Tabla1[[#This Row],[Q Bolsas Equivalentes 50kg]]</f>
        <v>28284000</v>
      </c>
      <c r="AO84" s="846">
        <f>+Tabla1[[#This Row],[PRECIO $ BOLSA 50KG  FOB CDO TUC (IVA INC)]]*Tabla1[[#This Row],[Q Bolsas Equivalentes 50kg]]</f>
        <v>24085473.990867585</v>
      </c>
      <c r="AP84" s="847">
        <v>2.9000000000000001E-2</v>
      </c>
      <c r="AQ84" s="846">
        <v>-74.5</v>
      </c>
      <c r="AR84" s="856"/>
      <c r="AS84" s="849" t="s">
        <v>601</v>
      </c>
      <c r="AT84" s="923">
        <f>+Tabla1[[#This Row],[VENTA TOTAL $ (IVA INC) ]]-(SUM(Tabla1[[#This Row],[PENDIENTE DE ENTREGA]:[VALORES COBRADOS]]))</f>
        <v>0</v>
      </c>
      <c r="AU84" s="850">
        <f>VLOOKUP(Tabla1[[#This Row],[FECHA OC]],'TIPO DE CAMBIO'!A:B,2,TRUE)</f>
        <v>1358.5219999999999</v>
      </c>
      <c r="AV84" s="850">
        <f>+Tabla1[[#This Row],[SUBTOTAL]]/Tabla1[[#This Row],[TIPO DE CAMBIO]]</f>
        <v>14600.213131477925</v>
      </c>
      <c r="AW84" s="851"/>
      <c r="AX84" s="850">
        <f>IFERROR(Tabla1[[#This Row],[VENTA TOTAL USD A PLAZO EN CLIENTE  (SIN IVA)]]*(1+Tabla1[[#This Row],[% IVA ]]),"")</f>
        <v>14600.213131477925</v>
      </c>
      <c r="AY84" s="850">
        <f>+Tabla1[[#This Row],[VENTA TOTAL USD A PLAZO EN CLIENTE  (SIN IVA)]]/Tabla1[[#This Row],[KGS]]*1000</f>
        <v>365.00532828694816</v>
      </c>
      <c r="AZ84" s="850">
        <f>-Tabla1[[#This Row],[COSTO FLETE $ POR BOLSA 5O KG (SIN IVA)]]*20/Tabla1[[#This Row],[TIPO DE CAMBIO]]</f>
        <v>1.096780177280898</v>
      </c>
      <c r="BA84" s="850">
        <f>+Tabla1[[#This Row],[GASTOS FINANCIEROS $ BOLSA 50 KG (IVA INC)]]*20/Tabla1[[#This Row],[TIPO DE CAMBIO]]</f>
        <v>1.570787791209546</v>
      </c>
      <c r="BB84" s="850">
        <f>+Tabla1[[#This Row],[PRECIO POR TN USD EN CLIENTE A PLAZO (SIN IVA)]]+Tabla1[[#This Row],[COSTO USD FLETE /TN (SIN IVA)]]+Tabla1[[#This Row],[COSTO FINANCIERO USD POR BOLSA 50KG (IVA INC)]]</f>
        <v>367.67289625543862</v>
      </c>
      <c r="BC84" s="828">
        <v>4</v>
      </c>
      <c r="BD84" s="944" t="s">
        <v>485</v>
      </c>
    </row>
    <row r="85" spans="1:56" ht="15.75" customHeight="1">
      <c r="A85" s="912">
        <v>46143</v>
      </c>
      <c r="B85" s="828">
        <v>1</v>
      </c>
      <c r="C85" s="792" t="s">
        <v>471</v>
      </c>
      <c r="D85" s="829">
        <f>+Tabla1[[#This Row],[FECHA Entrega]]</f>
        <v>46171.419444444444</v>
      </c>
      <c r="E85" s="830">
        <v>2843</v>
      </c>
      <c r="F85" s="831" t="s">
        <v>448</v>
      </c>
      <c r="G85" s="832" t="s">
        <v>357</v>
      </c>
      <c r="H85" s="852">
        <v>46171.419444444444</v>
      </c>
      <c r="I85" s="834">
        <f t="shared" si="51"/>
        <v>40000</v>
      </c>
      <c r="J85" s="835">
        <f t="shared" si="52"/>
        <v>495.86776859504135</v>
      </c>
      <c r="K85" s="836">
        <f t="shared" si="1"/>
        <v>19834710.743801653</v>
      </c>
      <c r="L8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85" s="837">
        <f t="shared" si="45"/>
        <v>24000000</v>
      </c>
      <c r="N85" s="838">
        <v>0</v>
      </c>
      <c r="O85" s="838">
        <v>0</v>
      </c>
      <c r="P85" s="838">
        <v>0</v>
      </c>
      <c r="Q85" s="839">
        <f>+Tabla1[[#This Row],[VENTA TOTAL $ (IVA INC) ]]-Tabla1[[#This Row],[PENDIENTE DE COBRO]]</f>
        <v>24000000</v>
      </c>
      <c r="R85" s="840">
        <f>+Tabla1[[#This Row],[FECHA FC]]+Tabla1[[#This Row],[PLAZO ENTREGA VALORES]]</f>
        <v>46126</v>
      </c>
      <c r="S85" s="840">
        <f>+Tabla1[[#This Row],[FECHA FC]]+Tabla1[[#This Row],[PLAZO PAGO (DIAS)]]</f>
        <v>46171.419444444444</v>
      </c>
      <c r="T85" s="834">
        <f t="shared" ca="1" si="27"/>
        <v>-9.5805555555562023</v>
      </c>
      <c r="U85" s="831">
        <f>+Tabla1[[#This Row],[FECHA OC]]-Tabla1[[#This Row],[FECHA Entrega]]</f>
        <v>-45.419444444443798</v>
      </c>
      <c r="V85" s="831"/>
      <c r="W85" s="841">
        <f t="shared" si="39"/>
        <v>46178.419444444444</v>
      </c>
      <c r="X85" s="831">
        <v>2381</v>
      </c>
      <c r="Y85" s="840">
        <v>46126</v>
      </c>
      <c r="Z85" s="842">
        <f>Tabla1[[#This Row],[KGS]]/50</f>
        <v>800</v>
      </c>
      <c r="AA8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85" s="844">
        <f>-Tabla1[[#This Row],[COSTO FLETE $ POR BOLSA 5O KG (SIN IVA)]]*1.21-Tabla1[[#This Row],[PRECIO $/ KG A PLAZO EN CLIENTE ( SIN IVA)]]*0.003*1.21*50</f>
        <v>0.14499999999999602</v>
      </c>
      <c r="AC85" s="845">
        <f>SUM(Tabla1[[#This Row],[PRECIO $ BOLSA 50 KG (IVA INC) ]]+Tabla1[[#This Row],[COSTO FLETE $ BOLSA 50 KG (IVA INC)]])</f>
        <v>30000.145</v>
      </c>
      <c r="AD85" s="844">
        <f>-Tabla1[[#This Row],[PRECIO $ BOLSA 50 KG (IVA INC) ]]*(Tabla1[[#This Row],[TASA FINANCIACION MENSUAL]]/365)*Tabla1[[#This Row],[PLAZO ENTREGA VALORES]]</f>
        <v>108.26004566209892</v>
      </c>
      <c r="AE85" s="845">
        <f>SUM(Tabla1[[#This Row],[PRECIO $ BOLSA50 KG  FOB TUCUMAN A PLAZO (IVA INC)]]+Tabla1[[#This Row],[GASTOS FINANCIEROS $ BOLSA 50 KG (IVA INC)]])</f>
        <v>30108.405045662101</v>
      </c>
      <c r="AF85" s="828" t="s">
        <v>359</v>
      </c>
      <c r="AG85" s="828" t="s">
        <v>365</v>
      </c>
      <c r="AH85" s="828" t="s">
        <v>387</v>
      </c>
      <c r="AI85" s="828" t="s">
        <v>391</v>
      </c>
      <c r="AJ8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85" s="846">
        <f>SUM(Tabla1[[#This Row],[PRECIO $ BOLSA 50KG  FOB CDO TUC (IVA INC)]]-Tabla1[[#This Row],[PRECIO REF $ BOLSA 50 KG CACTU (IVA INC)]])</f>
        <v>-5246.5949543378993</v>
      </c>
      <c r="AL85" s="847">
        <f>IFERROR(Tabla1[[#This Row],[PRECIO $ BOLSA 50KG  FOB CDO TUC (IVA INC)]]/Tabla1[[#This Row],[PRECIO REF $ BOLSA 50 KG CACTU (IVA INC)]]-1,"")</f>
        <v>-0.14839753795327104</v>
      </c>
      <c r="AM85" s="846">
        <f>+Tabla1[[#This Row],[DIF $ PRECIO NETO INDUSTRIA vs Neto TUCUMAN (IVA INC)]]*Tabla1[[#This Row],[Q Bolsas Equivalentes 50kg]]</f>
        <v>-4197275.9634703193</v>
      </c>
      <c r="AN85" s="846">
        <f>Tabla1[[#This Row],[PRECIO REF $ BOLSA 50 KG CACTU (IVA INC)]]*Tabla1[[#This Row],[Q Bolsas Equivalentes 50kg]]</f>
        <v>28284000</v>
      </c>
      <c r="AO85" s="846">
        <f>+Tabla1[[#This Row],[PRECIO $ BOLSA 50KG  FOB CDO TUC (IVA INC)]]*Tabla1[[#This Row],[Q Bolsas Equivalentes 50kg]]</f>
        <v>24086724.036529679</v>
      </c>
      <c r="AP85" s="847">
        <v>2.9000000000000001E-2</v>
      </c>
      <c r="AQ85" s="846">
        <v>-74.5</v>
      </c>
      <c r="AR85" s="856"/>
      <c r="AS85" s="849" t="s">
        <v>602</v>
      </c>
      <c r="AT85" s="923">
        <f>+Tabla1[[#This Row],[VENTA TOTAL $ (IVA INC) ]]-(SUM(Tabla1[[#This Row],[PENDIENTE DE ENTREGA]:[VALORES COBRADOS]]))</f>
        <v>0</v>
      </c>
      <c r="AU85" s="850">
        <f>VLOOKUP(Tabla1[[#This Row],[FECHA OC]],'TIPO DE CAMBIO'!A:B,2,TRUE)</f>
        <v>1358.5219999999999</v>
      </c>
      <c r="AV85" s="850">
        <f>+Tabla1[[#This Row],[SUBTOTAL]]/Tabla1[[#This Row],[TIPO DE CAMBIO]]</f>
        <v>14600.213131477925</v>
      </c>
      <c r="AW85" s="851"/>
      <c r="AX85" s="850">
        <f>IFERROR(Tabla1[[#This Row],[VENTA TOTAL USD A PLAZO EN CLIENTE  (SIN IVA)]]*(1+Tabla1[[#This Row],[% IVA ]]),"")</f>
        <v>14600.213131477925</v>
      </c>
      <c r="AY85" s="850">
        <f>+Tabla1[[#This Row],[VENTA TOTAL USD A PLAZO EN CLIENTE  (SIN IVA)]]/Tabla1[[#This Row],[KGS]]*1000</f>
        <v>365.00532828694816</v>
      </c>
      <c r="AZ85" s="850">
        <f>-Tabla1[[#This Row],[COSTO FLETE $ POR BOLSA 5O KG (SIN IVA)]]*20/Tabla1[[#This Row],[TIPO DE CAMBIO]]</f>
        <v>1.096780177280898</v>
      </c>
      <c r="BA85" s="850">
        <f>+Tabla1[[#This Row],[GASTOS FINANCIEROS $ BOLSA 50 KG (IVA INC)]]*20/Tabla1[[#This Row],[TIPO DE CAMBIO]]</f>
        <v>1.5937915714592612</v>
      </c>
      <c r="BB85" s="850">
        <f>+Tabla1[[#This Row],[PRECIO POR TN USD EN CLIENTE A PLAZO (SIN IVA)]]+Tabla1[[#This Row],[COSTO USD FLETE /TN (SIN IVA)]]+Tabla1[[#This Row],[COSTO FINANCIERO USD POR BOLSA 50KG (IVA INC)]]</f>
        <v>367.69590003568828</v>
      </c>
      <c r="BC85" s="828">
        <v>4</v>
      </c>
      <c r="BD85" s="944" t="s">
        <v>485</v>
      </c>
    </row>
    <row r="86" spans="1:56" ht="15.75" customHeight="1">
      <c r="A86" s="912">
        <v>46143</v>
      </c>
      <c r="B86" s="828">
        <v>1</v>
      </c>
      <c r="C86" s="792" t="s">
        <v>471</v>
      </c>
      <c r="D86" s="829">
        <f>+Tabla1[[#This Row],[FECHA Entrega]]</f>
        <v>46178</v>
      </c>
      <c r="E86" s="830" t="s">
        <v>540</v>
      </c>
      <c r="F86" s="831" t="s">
        <v>448</v>
      </c>
      <c r="G86" s="832" t="s">
        <v>216</v>
      </c>
      <c r="H86" s="852">
        <v>46178</v>
      </c>
      <c r="I86" s="834">
        <f t="shared" si="51"/>
        <v>40000</v>
      </c>
      <c r="J86" s="835">
        <f>(37300/50)/1.21</f>
        <v>616.52892561983469</v>
      </c>
      <c r="K86" s="836">
        <f t="shared" si="1"/>
        <v>24661157.024793386</v>
      </c>
      <c r="L8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5178842.9752066107</v>
      </c>
      <c r="M86" s="837">
        <f t="shared" si="45"/>
        <v>29839999.999999996</v>
      </c>
      <c r="N86" s="838">
        <v>0</v>
      </c>
      <c r="O86" s="838">
        <v>0</v>
      </c>
      <c r="P86" s="838">
        <v>0</v>
      </c>
      <c r="Q86" s="839">
        <f>+Tabla1[[#This Row],[VENTA TOTAL $ (IVA INC) ]]-Tabla1[[#This Row],[PENDIENTE DE COBRO]]</f>
        <v>29839999.999999996</v>
      </c>
      <c r="R86" s="840">
        <f>+Tabla1[[#This Row],[FECHA FC]]+Tabla1[[#This Row],[PLAZO ENTREGA VALORES]]</f>
        <v>46168</v>
      </c>
      <c r="S86" s="840">
        <f>+Tabla1[[#This Row],[FECHA FC]]+Tabla1[[#This Row],[PLAZO PAGO (DIAS)]]</f>
        <v>46178</v>
      </c>
      <c r="T86" s="834">
        <f t="shared" ca="1" si="27"/>
        <v>-3</v>
      </c>
      <c r="U86" s="831">
        <v>-10</v>
      </c>
      <c r="V86" s="831"/>
      <c r="W86" s="841">
        <f>+Tabla1[[#This Row],[FECHA VTO VALORES]]+7</f>
        <v>46185</v>
      </c>
      <c r="X86" s="831" t="s">
        <v>540</v>
      </c>
      <c r="Y86" s="840">
        <v>46167</v>
      </c>
      <c r="Z86" s="860">
        <f>Tabla1[[#This Row],[KGS]]/50</f>
        <v>800</v>
      </c>
      <c r="AA86"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37300</v>
      </c>
      <c r="AB86" s="844">
        <f>-Tabla1[[#This Row],[COSTO FLETE $ POR BOLSA 5O KG (SIN IVA)]]*1.21-Tabla1[[#This Row],[PRECIO $/ KG A PLAZO EN CLIENTE ( SIN IVA)]]*0.003*1.21*50</f>
        <v>2.4999999999991473E-2</v>
      </c>
      <c r="AC86" s="845">
        <f>SUM(Tabla1[[#This Row],[PRECIO $ BOLSA 50 KG (IVA INC) ]]+Tabla1[[#This Row],[COSTO FLETE $ BOLSA 50 KG (IVA INC)]])</f>
        <v>37300.025000000001</v>
      </c>
      <c r="AD86" s="844">
        <f>-Tabla1[[#This Row],[PRECIO $ BOLSA 50 KG (IVA INC) ]]*(Tabla1[[#This Row],[TASA FINANCIACION MENSUAL]]/365)*Tabla1[[#This Row],[PLAZO ENTREGA VALORES]]</f>
        <v>29.635616438356163</v>
      </c>
      <c r="AE86" s="845">
        <f>SUM(Tabla1[[#This Row],[PRECIO $ BOLSA50 KG  FOB TUCUMAN A PLAZO (IVA INC)]]+Tabla1[[#This Row],[GASTOS FINANCIEROS $ BOLSA 50 KG (IVA INC)]])</f>
        <v>37329.660616438356</v>
      </c>
      <c r="AF86" s="828" t="s">
        <v>359</v>
      </c>
      <c r="AG86" s="828" t="s">
        <v>365</v>
      </c>
      <c r="AH86" s="828" t="s">
        <v>387</v>
      </c>
      <c r="AI86" s="828" t="s">
        <v>391</v>
      </c>
      <c r="AJ8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86" s="846">
        <f>SUM(Tabla1[[#This Row],[PRECIO $ BOLSA 50KG  FOB CDO TUC (IVA INC)]]-Tabla1[[#This Row],[PRECIO REF $ BOLSA 50 KG CACTU (IVA INC)]])</f>
        <v>214.66061643835565</v>
      </c>
      <c r="AL86" s="847">
        <f>IFERROR(Tabla1[[#This Row],[PRECIO $ BOLSA 50KG  FOB CDO TUC (IVA INC)]]/Tabla1[[#This Row],[PRECIO REF $ BOLSA 50 KG CACTU (IVA INC)]]-1,"")</f>
        <v>5.7836620352513801E-3</v>
      </c>
      <c r="AM86" s="846">
        <f>+Tabla1[[#This Row],[DIF $ PRECIO NETO INDUSTRIA vs Neto TUCUMAN (IVA INC)]]*Tabla1[[#This Row],[Q Bolsas Equivalentes 50kg]]</f>
        <v>171728.49315068452</v>
      </c>
      <c r="AN86" s="846">
        <f>Tabla1[[#This Row],[PRECIO REF $ BOLSA 50 KG CACTU (IVA INC)]]*Tabla1[[#This Row],[Q Bolsas Equivalentes 50kg]]</f>
        <v>29692000</v>
      </c>
      <c r="AO86" s="846">
        <f>+Tabla1[[#This Row],[PRECIO $ BOLSA 50KG  FOB CDO TUC (IVA INC)]]*Tabla1[[#This Row],[Q Bolsas Equivalentes 50kg]]</f>
        <v>29863728.493150685</v>
      </c>
      <c r="AP86" s="847">
        <v>2.9000000000000001E-2</v>
      </c>
      <c r="AQ86" s="846">
        <v>-92.5</v>
      </c>
      <c r="AR86" s="828"/>
      <c r="AS86" s="849"/>
      <c r="AT86" s="923">
        <f>+Tabla1[[#This Row],[VENTA TOTAL $ (IVA INC) ]]-(SUM(Tabla1[[#This Row],[PENDIENTE DE ENTREGA]:[VALORES COBRADOS]]))</f>
        <v>0</v>
      </c>
      <c r="AU86" s="850">
        <f>VLOOKUP(Tabla1[[#This Row],[FECHA OC]],'TIPO DE CAMBIO'!A:B,2,TRUE)</f>
        <v>1393.5019</v>
      </c>
      <c r="AV86" s="850">
        <f>+Tabla1[[#This Row],[SUBTOTAL]]/Tabla1[[#This Row],[TIPO DE CAMBIO]]</f>
        <v>17697.253964844531</v>
      </c>
      <c r="AW86" s="851"/>
      <c r="AX86" s="850">
        <f>IFERROR(Tabla1[[#This Row],[VENTA TOTAL USD A PLAZO EN CLIENTE  (SIN IVA)]]*(1+Tabla1[[#This Row],[% IVA ]]),"")</f>
        <v>17697.253964844531</v>
      </c>
      <c r="AY86" s="850">
        <f>+Tabla1[[#This Row],[VENTA TOTAL USD A PLAZO EN CLIENTE  (SIN IVA)]]/Tabla1[[#This Row],[KGS]]*1000</f>
        <v>442.43134912111327</v>
      </c>
      <c r="AZ86" s="850">
        <f>-Tabla1[[#This Row],[COSTO FLETE $ POR BOLSA 5O KG (SIN IVA)]]*20/Tabla1[[#This Row],[TIPO DE CAMBIO]]</f>
        <v>1.3275905831201236</v>
      </c>
      <c r="BA86" s="850">
        <f>+Tabla1[[#This Row],[GASTOS FINANCIEROS $ BOLSA 50 KG (IVA INC)]]*20/Tabla1[[#This Row],[TIPO DE CAMBIO]]</f>
        <v>0.42534016549753056</v>
      </c>
      <c r="BB86" s="850">
        <f>+Tabla1[[#This Row],[PRECIO POR TN USD EN CLIENTE A PLAZO (SIN IVA)]]+Tabla1[[#This Row],[COSTO USD FLETE /TN (SIN IVA)]]+Tabla1[[#This Row],[COSTO FINANCIERO USD POR BOLSA 50KG (IVA INC)]]</f>
        <v>444.18427986973091</v>
      </c>
      <c r="BC86" s="828">
        <v>4</v>
      </c>
      <c r="BD86" s="944" t="s">
        <v>540</v>
      </c>
    </row>
    <row r="87" spans="1:56" ht="15.75" customHeight="1">
      <c r="A87" s="912">
        <v>46143</v>
      </c>
      <c r="B87" s="828">
        <v>1</v>
      </c>
      <c r="C87" s="792" t="s">
        <v>471</v>
      </c>
      <c r="D87" s="829">
        <f>+Tabla1[[#This Row],[FECHA Entrega]]</f>
        <v>46178</v>
      </c>
      <c r="E87" s="830" t="s">
        <v>540</v>
      </c>
      <c r="F87" s="831" t="s">
        <v>448</v>
      </c>
      <c r="G87" s="832" t="s">
        <v>216</v>
      </c>
      <c r="H87" s="852">
        <v>46178</v>
      </c>
      <c r="I87" s="834">
        <f t="shared" si="51"/>
        <v>40000</v>
      </c>
      <c r="J87" s="835">
        <f>(37300/50)/1.21</f>
        <v>616.52892561983469</v>
      </c>
      <c r="K87" s="836">
        <f t="shared" ref="K87" si="53">+J87*I87</f>
        <v>24661157.024793386</v>
      </c>
      <c r="L8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5178842.9752066107</v>
      </c>
      <c r="M87" s="837">
        <f t="shared" ref="M87" si="54">SUM(K87:L87)</f>
        <v>29839999.999999996</v>
      </c>
      <c r="N87" s="838">
        <v>0</v>
      </c>
      <c r="O87" s="838">
        <v>0</v>
      </c>
      <c r="P87" s="838">
        <v>0</v>
      </c>
      <c r="Q87" s="839">
        <f>+Tabla1[[#This Row],[VENTA TOTAL $ (IVA INC) ]]-Tabla1[[#This Row],[PENDIENTE DE COBRO]]</f>
        <v>29839999.999999996</v>
      </c>
      <c r="R87" s="840">
        <f>+Tabla1[[#This Row],[FECHA FC]]+Tabla1[[#This Row],[PLAZO ENTREGA VALORES]]</f>
        <v>46168</v>
      </c>
      <c r="S87" s="840">
        <f>+Tabla1[[#This Row],[FECHA FC]]+Tabla1[[#This Row],[PLAZO PAGO (DIAS)]]</f>
        <v>46178</v>
      </c>
      <c r="T87" s="834">
        <f t="shared" ref="T87" ca="1" si="55">+S87-$U$2</f>
        <v>-3</v>
      </c>
      <c r="U87" s="831">
        <v>-10</v>
      </c>
      <c r="V87" s="831"/>
      <c r="W87" s="841">
        <f>+Tabla1[[#This Row],[FECHA VTO VALORES]]+7</f>
        <v>46185</v>
      </c>
      <c r="X87" s="831" t="s">
        <v>540</v>
      </c>
      <c r="Y87" s="840">
        <v>46167</v>
      </c>
      <c r="Z87" s="860">
        <f>Tabla1[[#This Row],[KGS]]/50</f>
        <v>800</v>
      </c>
      <c r="AA87"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37300</v>
      </c>
      <c r="AB87" s="844">
        <f>-Tabla1[[#This Row],[COSTO FLETE $ POR BOLSA 5O KG (SIN IVA)]]*1.21-Tabla1[[#This Row],[PRECIO $/ KG A PLAZO EN CLIENTE ( SIN IVA)]]*0.003*1.21*50</f>
        <v>2.4999999999991473E-2</v>
      </c>
      <c r="AC87" s="845">
        <f>SUM(Tabla1[[#This Row],[PRECIO $ BOLSA 50 KG (IVA INC) ]]+Tabla1[[#This Row],[COSTO FLETE $ BOLSA 50 KG (IVA INC)]])</f>
        <v>37300.025000000001</v>
      </c>
      <c r="AD87" s="844">
        <f>-Tabla1[[#This Row],[PRECIO $ BOLSA 50 KG (IVA INC) ]]*(Tabla1[[#This Row],[TASA FINANCIACION MENSUAL]]/365)*Tabla1[[#This Row],[PLAZO ENTREGA VALORES]]</f>
        <v>29.635616438356163</v>
      </c>
      <c r="AE87" s="845">
        <f>SUM(Tabla1[[#This Row],[PRECIO $ BOLSA50 KG  FOB TUCUMAN A PLAZO (IVA INC)]]+Tabla1[[#This Row],[GASTOS FINANCIEROS $ BOLSA 50 KG (IVA INC)]])</f>
        <v>37329.660616438356</v>
      </c>
      <c r="AF87" s="828" t="s">
        <v>359</v>
      </c>
      <c r="AG87" s="828" t="s">
        <v>365</v>
      </c>
      <c r="AH87" s="828" t="s">
        <v>387</v>
      </c>
      <c r="AI87" s="828" t="s">
        <v>391</v>
      </c>
      <c r="AJ8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87" s="846">
        <f>SUM(Tabla1[[#This Row],[PRECIO $ BOLSA 50KG  FOB CDO TUC (IVA INC)]]-Tabla1[[#This Row],[PRECIO REF $ BOLSA 50 KG CACTU (IVA INC)]])</f>
        <v>214.66061643835565</v>
      </c>
      <c r="AL87" s="847">
        <f>IFERROR(Tabla1[[#This Row],[PRECIO $ BOLSA 50KG  FOB CDO TUC (IVA INC)]]/Tabla1[[#This Row],[PRECIO REF $ BOLSA 50 KG CACTU (IVA INC)]]-1,"")</f>
        <v>5.7836620352513801E-3</v>
      </c>
      <c r="AM87" s="846">
        <f>+Tabla1[[#This Row],[DIF $ PRECIO NETO INDUSTRIA vs Neto TUCUMAN (IVA INC)]]*Tabla1[[#This Row],[Q Bolsas Equivalentes 50kg]]</f>
        <v>171728.49315068452</v>
      </c>
      <c r="AN87" s="846">
        <f>Tabla1[[#This Row],[PRECIO REF $ BOLSA 50 KG CACTU (IVA INC)]]*Tabla1[[#This Row],[Q Bolsas Equivalentes 50kg]]</f>
        <v>29692000</v>
      </c>
      <c r="AO87" s="846">
        <f>+Tabla1[[#This Row],[PRECIO $ BOLSA 50KG  FOB CDO TUC (IVA INC)]]*Tabla1[[#This Row],[Q Bolsas Equivalentes 50kg]]</f>
        <v>29863728.493150685</v>
      </c>
      <c r="AP87" s="847">
        <v>2.9000000000000001E-2</v>
      </c>
      <c r="AQ87" s="846">
        <v>-92.5</v>
      </c>
      <c r="AR87" s="828"/>
      <c r="AS87" s="849"/>
      <c r="AT87" s="923">
        <f>+Tabla1[[#This Row],[VENTA TOTAL $ (IVA INC) ]]-(SUM(Tabla1[[#This Row],[PENDIENTE DE ENTREGA]:[VALORES COBRADOS]]))</f>
        <v>0</v>
      </c>
      <c r="AU87" s="850">
        <f>VLOOKUP(Tabla1[[#This Row],[FECHA OC]],'TIPO DE CAMBIO'!A:B,2,TRUE)</f>
        <v>1393.5019</v>
      </c>
      <c r="AV87" s="850">
        <f>+Tabla1[[#This Row],[SUBTOTAL]]/Tabla1[[#This Row],[TIPO DE CAMBIO]]</f>
        <v>17697.253964844531</v>
      </c>
      <c r="AW87" s="851"/>
      <c r="AX87" s="850">
        <f>IFERROR(Tabla1[[#This Row],[VENTA TOTAL USD A PLAZO EN CLIENTE  (SIN IVA)]]*(1+Tabla1[[#This Row],[% IVA ]]),"")</f>
        <v>17697.253964844531</v>
      </c>
      <c r="AY87" s="850">
        <f>+Tabla1[[#This Row],[VENTA TOTAL USD A PLAZO EN CLIENTE  (SIN IVA)]]/Tabla1[[#This Row],[KGS]]*1000</f>
        <v>442.43134912111327</v>
      </c>
      <c r="AZ87" s="850">
        <f>-Tabla1[[#This Row],[COSTO FLETE $ POR BOLSA 5O KG (SIN IVA)]]*20/Tabla1[[#This Row],[TIPO DE CAMBIO]]</f>
        <v>1.3275905831201236</v>
      </c>
      <c r="BA87" s="850">
        <f>+Tabla1[[#This Row],[GASTOS FINANCIEROS $ BOLSA 50 KG (IVA INC)]]*20/Tabla1[[#This Row],[TIPO DE CAMBIO]]</f>
        <v>0.42534016549753056</v>
      </c>
      <c r="BB87" s="850">
        <f>+Tabla1[[#This Row],[PRECIO POR TN USD EN CLIENTE A PLAZO (SIN IVA)]]+Tabla1[[#This Row],[COSTO USD FLETE /TN (SIN IVA)]]+Tabla1[[#This Row],[COSTO FINANCIERO USD POR BOLSA 50KG (IVA INC)]]</f>
        <v>444.18427986973091</v>
      </c>
      <c r="BC87" s="828">
        <v>4</v>
      </c>
      <c r="BD87" s="944" t="s">
        <v>540</v>
      </c>
    </row>
    <row r="88" spans="1:56" ht="15.75" customHeight="1">
      <c r="A88" s="912">
        <v>46143</v>
      </c>
      <c r="B88" s="828">
        <v>1</v>
      </c>
      <c r="C88" s="792" t="s">
        <v>471</v>
      </c>
      <c r="D88" s="829">
        <f>+Tabla1[[#This Row],[FECHA Entrega]]</f>
        <v>46178</v>
      </c>
      <c r="E88" s="830" t="s">
        <v>540</v>
      </c>
      <c r="F88" s="831" t="s">
        <v>448</v>
      </c>
      <c r="G88" s="832" t="s">
        <v>216</v>
      </c>
      <c r="H88" s="852">
        <v>46178</v>
      </c>
      <c r="I88" s="834">
        <f t="shared" si="51"/>
        <v>40000</v>
      </c>
      <c r="J88" s="835">
        <f>(37300/50)/1.21</f>
        <v>616.52892561983469</v>
      </c>
      <c r="K88" s="836">
        <f t="shared" ref="K88" si="56">+J88*I88</f>
        <v>24661157.024793386</v>
      </c>
      <c r="L8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5178842.9752066107</v>
      </c>
      <c r="M88" s="837">
        <f t="shared" ref="M88" si="57">SUM(K88:L88)</f>
        <v>29839999.999999996</v>
      </c>
      <c r="N88" s="838">
        <v>0</v>
      </c>
      <c r="O88" s="838">
        <v>0</v>
      </c>
      <c r="P88" s="838">
        <v>0</v>
      </c>
      <c r="Q88" s="839">
        <f>+Tabla1[[#This Row],[VENTA TOTAL $ (IVA INC) ]]-Tabla1[[#This Row],[PENDIENTE DE COBRO]]</f>
        <v>29839999.999999996</v>
      </c>
      <c r="R88" s="840">
        <f>+Tabla1[[#This Row],[FECHA FC]]+Tabla1[[#This Row],[PLAZO ENTREGA VALORES]]</f>
        <v>46168</v>
      </c>
      <c r="S88" s="840">
        <f>+Tabla1[[#This Row],[FECHA FC]]+Tabla1[[#This Row],[PLAZO PAGO (DIAS)]]</f>
        <v>46178</v>
      </c>
      <c r="T88" s="834">
        <f t="shared" ref="T88" ca="1" si="58">+S88-$U$2</f>
        <v>-3</v>
      </c>
      <c r="U88" s="831">
        <v>-10</v>
      </c>
      <c r="V88" s="831"/>
      <c r="W88" s="841">
        <f>+Tabla1[[#This Row],[FECHA VTO VALORES]]+7</f>
        <v>46185</v>
      </c>
      <c r="X88" s="831" t="s">
        <v>540</v>
      </c>
      <c r="Y88" s="840">
        <v>46167</v>
      </c>
      <c r="Z88" s="860">
        <f>Tabla1[[#This Row],[KGS]]/50</f>
        <v>800</v>
      </c>
      <c r="AA88"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37300</v>
      </c>
      <c r="AB88" s="844">
        <f>-Tabla1[[#This Row],[COSTO FLETE $ POR BOLSA 5O KG (SIN IVA)]]*1.21-Tabla1[[#This Row],[PRECIO $/ KG A PLAZO EN CLIENTE ( SIN IVA)]]*0.003*1.21*50</f>
        <v>2.4999999999991473E-2</v>
      </c>
      <c r="AC88" s="845">
        <f>SUM(Tabla1[[#This Row],[PRECIO $ BOLSA 50 KG (IVA INC) ]]+Tabla1[[#This Row],[COSTO FLETE $ BOLSA 50 KG (IVA INC)]])</f>
        <v>37300.025000000001</v>
      </c>
      <c r="AD88" s="844">
        <f>-Tabla1[[#This Row],[PRECIO $ BOLSA 50 KG (IVA INC) ]]*(Tabla1[[#This Row],[TASA FINANCIACION MENSUAL]]/365)*Tabla1[[#This Row],[PLAZO ENTREGA VALORES]]</f>
        <v>29.635616438356163</v>
      </c>
      <c r="AE88" s="845">
        <f>SUM(Tabla1[[#This Row],[PRECIO $ BOLSA50 KG  FOB TUCUMAN A PLAZO (IVA INC)]]+Tabla1[[#This Row],[GASTOS FINANCIEROS $ BOLSA 50 KG (IVA INC)]])</f>
        <v>37329.660616438356</v>
      </c>
      <c r="AF88" s="828" t="s">
        <v>359</v>
      </c>
      <c r="AG88" s="828" t="s">
        <v>365</v>
      </c>
      <c r="AH88" s="828" t="s">
        <v>387</v>
      </c>
      <c r="AI88" s="828" t="s">
        <v>391</v>
      </c>
      <c r="AJ8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88" s="846">
        <f>SUM(Tabla1[[#This Row],[PRECIO $ BOLSA 50KG  FOB CDO TUC (IVA INC)]]-Tabla1[[#This Row],[PRECIO REF $ BOLSA 50 KG CACTU (IVA INC)]])</f>
        <v>214.66061643835565</v>
      </c>
      <c r="AL88" s="847">
        <f>IFERROR(Tabla1[[#This Row],[PRECIO $ BOLSA 50KG  FOB CDO TUC (IVA INC)]]/Tabla1[[#This Row],[PRECIO REF $ BOLSA 50 KG CACTU (IVA INC)]]-1,"")</f>
        <v>5.7836620352513801E-3</v>
      </c>
      <c r="AM88" s="846">
        <f>+Tabla1[[#This Row],[DIF $ PRECIO NETO INDUSTRIA vs Neto TUCUMAN (IVA INC)]]*Tabla1[[#This Row],[Q Bolsas Equivalentes 50kg]]</f>
        <v>171728.49315068452</v>
      </c>
      <c r="AN88" s="846">
        <f>Tabla1[[#This Row],[PRECIO REF $ BOLSA 50 KG CACTU (IVA INC)]]*Tabla1[[#This Row],[Q Bolsas Equivalentes 50kg]]</f>
        <v>29692000</v>
      </c>
      <c r="AO88" s="846">
        <f>+Tabla1[[#This Row],[PRECIO $ BOLSA 50KG  FOB CDO TUC (IVA INC)]]*Tabla1[[#This Row],[Q Bolsas Equivalentes 50kg]]</f>
        <v>29863728.493150685</v>
      </c>
      <c r="AP88" s="847">
        <v>2.9000000000000001E-2</v>
      </c>
      <c r="AQ88" s="846">
        <v>-92.5</v>
      </c>
      <c r="AR88" s="828"/>
      <c r="AS88" s="849"/>
      <c r="AT88" s="923">
        <f>+Tabla1[[#This Row],[VENTA TOTAL $ (IVA INC) ]]-(SUM(Tabla1[[#This Row],[PENDIENTE DE ENTREGA]:[VALORES COBRADOS]]))</f>
        <v>0</v>
      </c>
      <c r="AU88" s="850">
        <f>VLOOKUP(Tabla1[[#This Row],[FECHA OC]],'TIPO DE CAMBIO'!A:B,2,TRUE)</f>
        <v>1393.5019</v>
      </c>
      <c r="AV88" s="850">
        <f>+Tabla1[[#This Row],[SUBTOTAL]]/Tabla1[[#This Row],[TIPO DE CAMBIO]]</f>
        <v>17697.253964844531</v>
      </c>
      <c r="AW88" s="851"/>
      <c r="AX88" s="850">
        <f>IFERROR(Tabla1[[#This Row],[VENTA TOTAL USD A PLAZO EN CLIENTE  (SIN IVA)]]*(1+Tabla1[[#This Row],[% IVA ]]),"")</f>
        <v>17697.253964844531</v>
      </c>
      <c r="AY88" s="850">
        <f>+Tabla1[[#This Row],[VENTA TOTAL USD A PLAZO EN CLIENTE  (SIN IVA)]]/Tabla1[[#This Row],[KGS]]*1000</f>
        <v>442.43134912111327</v>
      </c>
      <c r="AZ88" s="850">
        <f>-Tabla1[[#This Row],[COSTO FLETE $ POR BOLSA 5O KG (SIN IVA)]]*20/Tabla1[[#This Row],[TIPO DE CAMBIO]]</f>
        <v>1.3275905831201236</v>
      </c>
      <c r="BA88" s="850">
        <f>+Tabla1[[#This Row],[GASTOS FINANCIEROS $ BOLSA 50 KG (IVA INC)]]*20/Tabla1[[#This Row],[TIPO DE CAMBIO]]</f>
        <v>0.42534016549753056</v>
      </c>
      <c r="BB88" s="850">
        <f>+Tabla1[[#This Row],[PRECIO POR TN USD EN CLIENTE A PLAZO (SIN IVA)]]+Tabla1[[#This Row],[COSTO USD FLETE /TN (SIN IVA)]]+Tabla1[[#This Row],[COSTO FINANCIERO USD POR BOLSA 50KG (IVA INC)]]</f>
        <v>444.18427986973091</v>
      </c>
      <c r="BC88" s="828">
        <v>4</v>
      </c>
      <c r="BD88" s="944" t="s">
        <v>540</v>
      </c>
    </row>
    <row r="89" spans="1:56" ht="15.75" customHeight="1">
      <c r="A89" s="912">
        <v>46143</v>
      </c>
      <c r="B89" s="828">
        <v>1</v>
      </c>
      <c r="C89" s="792" t="s">
        <v>442</v>
      </c>
      <c r="D89" s="829">
        <f>+Tabla1[[#This Row],[FECHA Entrega]]</f>
        <v>46169</v>
      </c>
      <c r="E89" s="830"/>
      <c r="F89" s="831" t="s">
        <v>448</v>
      </c>
      <c r="G89" s="832" t="s">
        <v>216</v>
      </c>
      <c r="H89" s="852">
        <v>46169</v>
      </c>
      <c r="I89" s="834">
        <v>28000</v>
      </c>
      <c r="J89" s="835">
        <v>726</v>
      </c>
      <c r="K89" s="836">
        <f t="shared" si="1"/>
        <v>20328000</v>
      </c>
      <c r="L8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4268880</v>
      </c>
      <c r="M89" s="837">
        <f t="shared" si="45"/>
        <v>24596880</v>
      </c>
      <c r="N89" s="838">
        <f>+Tabla1[[#This Row],[VENTA TOTAL $ (IVA INC) ]]</f>
        <v>24596880</v>
      </c>
      <c r="O89" s="838">
        <v>0</v>
      </c>
      <c r="P89" s="838">
        <v>0</v>
      </c>
      <c r="Q89" s="839">
        <f ca="1">+Tabla1[[#This Row],[VENTA TOTAL $ (IVA INC) ]]-Tabla1[[#This Row],[PENDIENTE DE ENTREGA]]-Tabla1[[#This Row],[PENDIENTE DE COBRO]]+Tabla1[[#This Row],[VALORES COBRADOS]]</f>
        <v>0</v>
      </c>
      <c r="R89" s="840">
        <f>+Tabla1[[#This Row],[FECHA FC]]+Tabla1[[#This Row],[PLAZO ENTREGA VALORES]]</f>
        <v>46184</v>
      </c>
      <c r="S89" s="840">
        <f>+Tabla1[[#This Row],[FECHA FC]]+Tabla1[[#This Row],[PLAZO PAGO (DIAS)]]</f>
        <v>46199</v>
      </c>
      <c r="T89" s="834">
        <f t="shared" ca="1" si="27"/>
        <v>18</v>
      </c>
      <c r="U89" s="831">
        <v>15</v>
      </c>
      <c r="V89" s="831"/>
      <c r="W89" s="841">
        <f t="shared" si="39"/>
        <v>46206</v>
      </c>
      <c r="X89" s="831">
        <v>15951</v>
      </c>
      <c r="Y89" s="840">
        <v>46160</v>
      </c>
      <c r="Z89" s="842">
        <f>Tabla1[[#This Row],[KGS]]/50</f>
        <v>560</v>
      </c>
      <c r="AA8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43923</v>
      </c>
      <c r="AB89" s="844">
        <f>-Tabla1[[#This Row],[COSTO FLETE $ POR BOLSA 5O KG (SIN IVA)]]*1.21-Tabla1[[#This Row],[PRECIO $/ KG A PLAZO EN CLIENTE ( SIN IVA)]]*0.003*1.21*50</f>
        <v>-3580.2690000000002</v>
      </c>
      <c r="AC89" s="845">
        <f>SUM(Tabla1[[#This Row],[PRECIO $ BOLSA 50 KG (IVA INC) ]]+Tabla1[[#This Row],[COSTO FLETE $ BOLSA 50 KG (IVA INC)]])</f>
        <v>40342.731</v>
      </c>
      <c r="AD89" s="844">
        <f>-Tabla1[[#This Row],[PRECIO $ BOLSA 50 KG (IVA INC) ]]*(Tabla1[[#This Row],[TASA FINANCIACION MENSUAL]]/365)*Tabla1[[#This Row],[PLAZO ENTREGA VALORES]]</f>
        <v>-52.346589041095889</v>
      </c>
      <c r="AE89" s="845">
        <f>SUM(Tabla1[[#This Row],[PRECIO $ BOLSA50 KG  FOB TUCUMAN A PLAZO (IVA INC)]]+Tabla1[[#This Row],[GASTOS FINANCIEROS $ BOLSA 50 KG (IVA INC)]])</f>
        <v>40290.384410958904</v>
      </c>
      <c r="AF89" s="828" t="s">
        <v>359</v>
      </c>
      <c r="AG89" s="828" t="s">
        <v>376</v>
      </c>
      <c r="AH89" s="828" t="s">
        <v>386</v>
      </c>
      <c r="AI89" s="828" t="s">
        <v>258</v>
      </c>
      <c r="AJ8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37105</v>
      </c>
      <c r="AK89" s="846">
        <f>SUM(Tabla1[[#This Row],[PRECIO $ BOLSA 50KG  FOB CDO TUC (IVA INC)]]-Tabla1[[#This Row],[PRECIO REF $ BOLSA 50 KG CACTU (IVA INC)]])</f>
        <v>3185.3844109589045</v>
      </c>
      <c r="AL89" s="847">
        <f>IFERROR(Tabla1[[#This Row],[PRECIO $ BOLSA 50KG  FOB CDO TUC (IVA INC)]]/Tabla1[[#This Row],[PRECIO REF $ BOLSA 50 KG CACTU (IVA INC)]]-1,"")</f>
        <v>8.584784829427039E-2</v>
      </c>
      <c r="AM89" s="846">
        <f>+Tabla1[[#This Row],[DIF $ PRECIO NETO INDUSTRIA vs Neto TUCUMAN (IVA INC)]]*Tabla1[[#This Row],[Q Bolsas Equivalentes 50kg]]</f>
        <v>1783815.2701369864</v>
      </c>
      <c r="AN89" s="846">
        <f>Tabla1[[#This Row],[PRECIO REF $ BOLSA 50 KG CACTU (IVA INC)]]*Tabla1[[#This Row],[Q Bolsas Equivalentes 50kg]]</f>
        <v>20778800</v>
      </c>
      <c r="AO89" s="846">
        <f>+Tabla1[[#This Row],[PRECIO $ BOLSA 50KG  FOB CDO TUC (IVA INC)]]*Tabla1[[#This Row],[Q Bolsas Equivalentes 50kg]]</f>
        <v>22562615.270136986</v>
      </c>
      <c r="AP89" s="847">
        <v>2.9000000000000001E-2</v>
      </c>
      <c r="AQ89" s="846">
        <f t="shared" ref="AQ89" si="59">57000/20</f>
        <v>2850</v>
      </c>
      <c r="AR89" s="828">
        <v>30</v>
      </c>
      <c r="AS89" s="849"/>
      <c r="AT89" s="923">
        <f ca="1">+Tabla1[[#This Row],[VENTA TOTAL $ (IVA INC) ]]-(SUM(Tabla1[[#This Row],[PENDIENTE DE ENTREGA]:[VALORES COBRADOS]]))</f>
        <v>-20328000</v>
      </c>
      <c r="AU89" s="850">
        <f>VLOOKUP(Tabla1[[#This Row],[FECHA OC]],'TIPO DE CAMBIO'!A:B,2,TRUE)</f>
        <v>1394.9739999999999</v>
      </c>
      <c r="AV89" s="850">
        <f>+Tabla1[[#This Row],[SUBTOTAL]]/Tabla1[[#This Row],[TIPO DE CAMBIO]]</f>
        <v>14572.314609447918</v>
      </c>
      <c r="AW89" s="851"/>
      <c r="AX89" s="850">
        <f>IFERROR(Tabla1[[#This Row],[VENTA TOTAL USD A PLAZO EN CLIENTE  (SIN IVA)]]*(1+Tabla1[[#This Row],[% IVA ]]),"")</f>
        <v>14572.314609447918</v>
      </c>
      <c r="AY89" s="850">
        <f>+Tabla1[[#This Row],[VENTA TOTAL USD A PLAZO EN CLIENTE  (SIN IVA)]]/Tabla1[[#This Row],[KGS]]*1000</f>
        <v>520.43980748028275</v>
      </c>
      <c r="AZ89" s="850">
        <f>-Tabla1[[#This Row],[COSTO FLETE $ POR BOLSA 5O KG (SIN IVA)]]*20/Tabla1[[#This Row],[TIPO DE CAMBIO]]</f>
        <v>-40.86097662035278</v>
      </c>
      <c r="BA89" s="850">
        <f>+Tabla1[[#This Row],[GASTOS FINANCIEROS $ BOLSA 50 KG (IVA INC)]]*20/Tabla1[[#This Row],[TIPO DE CAMBIO]]</f>
        <v>-0.75050271963629267</v>
      </c>
      <c r="BB89" s="850">
        <f>+Tabla1[[#This Row],[PRECIO POR TN USD EN CLIENTE A PLAZO (SIN IVA)]]+Tabla1[[#This Row],[COSTO USD FLETE /TN (SIN IVA)]]+Tabla1[[#This Row],[COSTO FINANCIERO USD POR BOLSA 50KG (IVA INC)]]</f>
        <v>478.82832814029365</v>
      </c>
      <c r="BC89" s="848">
        <v>2</v>
      </c>
      <c r="BD89" s="944"/>
    </row>
    <row r="90" spans="1:56" ht="15.75" customHeight="1">
      <c r="A90" s="912">
        <v>46143</v>
      </c>
      <c r="B90" s="828">
        <v>1</v>
      </c>
      <c r="C90" s="792" t="s">
        <v>472</v>
      </c>
      <c r="D90" s="829">
        <f>+Tabla1[[#This Row],[FECHA Entrega]]</f>
        <v>46190</v>
      </c>
      <c r="E90" s="830"/>
      <c r="F90" s="831" t="s">
        <v>448</v>
      </c>
      <c r="G90" s="832" t="s">
        <v>216</v>
      </c>
      <c r="H90" s="852">
        <v>46190</v>
      </c>
      <c r="I90" s="834">
        <f>600*50</f>
        <v>30000</v>
      </c>
      <c r="J90" s="835">
        <f>35000/1.21/50</f>
        <v>578.51239669421489</v>
      </c>
      <c r="K90" s="836">
        <f t="shared" si="1"/>
        <v>17355371.900826447</v>
      </c>
      <c r="L9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3644628.0991735538</v>
      </c>
      <c r="M90" s="837">
        <f t="shared" si="45"/>
        <v>21000000</v>
      </c>
      <c r="N90" s="838">
        <v>0</v>
      </c>
      <c r="O90" s="838">
        <v>0</v>
      </c>
      <c r="P90" s="838">
        <v>0</v>
      </c>
      <c r="Q90" s="839">
        <f>+Tabla1[[#This Row],[VENTA TOTAL $ (IVA INC) ]]</f>
        <v>21000000</v>
      </c>
      <c r="R90" s="840">
        <f>+Tabla1[[#This Row],[FECHA FC]]+Tabla1[[#This Row],[PLAZO ENTREGA VALORES]]</f>
        <v>46156</v>
      </c>
      <c r="S90" s="840">
        <f>+Tabla1[[#This Row],[FECHA FC]]+Tabla1[[#This Row],[PLAZO PAGO (DIAS)]]</f>
        <v>46190</v>
      </c>
      <c r="T90" s="834">
        <f t="shared" ca="1" si="27"/>
        <v>9</v>
      </c>
      <c r="U90" s="831">
        <f>+Tabla1[[#This Row],[FECHA OC]]-Tabla1[[#This Row],[FECHA Entrega]]</f>
        <v>-34</v>
      </c>
      <c r="V90" s="831"/>
      <c r="W90" s="841">
        <f t="shared" si="39"/>
        <v>46197</v>
      </c>
      <c r="X90" s="831" t="s">
        <v>487</v>
      </c>
      <c r="Y90" s="840">
        <v>46156</v>
      </c>
      <c r="Z90" s="842">
        <f>Tabla1[[#This Row],[KGS]]/50</f>
        <v>600</v>
      </c>
      <c r="AA9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35000</v>
      </c>
      <c r="AB90" s="844">
        <f>-Tabla1[[#This Row],[COSTO FLETE $ POR BOLSA 5O KG (SIN IVA)]]*1.21-Tabla1[[#This Row],[PRECIO $/ KG A PLAZO EN CLIENTE ( SIN IVA)]]*0.003*1.21*50</f>
        <v>0.26999999999999602</v>
      </c>
      <c r="AC90" s="845">
        <f>SUM(Tabla1[[#This Row],[PRECIO $ BOLSA 50 KG (IVA INC) ]]+Tabla1[[#This Row],[COSTO FLETE $ BOLSA 50 KG (IVA INC)]])</f>
        <v>35000.269999999997</v>
      </c>
      <c r="AD90" s="844">
        <f>-Tabla1[[#This Row],[PRECIO $ BOLSA 50 KG (IVA INC) ]]*(Tabla1[[#This Row],[TASA FINANCIACION MENSUAL]]/365)*Tabla1[[#This Row],[PLAZO ENTREGA VALORES]]</f>
        <v>94.547945205479451</v>
      </c>
      <c r="AE90" s="845">
        <f>SUM(Tabla1[[#This Row],[PRECIO $ BOLSA50 KG  FOB TUCUMAN A PLAZO (IVA INC)]]+Tabla1[[#This Row],[GASTOS FINANCIEROS $ BOLSA 50 KG (IVA INC)]])</f>
        <v>35094.817945205476</v>
      </c>
      <c r="AF90" s="828" t="s">
        <v>359</v>
      </c>
      <c r="AG90" s="828" t="s">
        <v>365</v>
      </c>
      <c r="AH90" s="828" t="s">
        <v>387</v>
      </c>
      <c r="AI90" s="828" t="s">
        <v>391</v>
      </c>
      <c r="AJ9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90" s="846">
        <f>SUM(Tabla1[[#This Row],[PRECIO $ BOLSA 50KG  FOB CDO TUC (IVA INC)]]-Tabla1[[#This Row],[PRECIO REF $ BOLSA 50 KG CACTU (IVA INC)]])</f>
        <v>-2002.1820547945244</v>
      </c>
      <c r="AL90" s="847">
        <f>IFERROR(Tabla1[[#This Row],[PRECIO $ BOLSA 50KG  FOB CDO TUC (IVA INC)]]/Tabla1[[#This Row],[PRECIO REF $ BOLSA 50 KG CACTU (IVA INC)]]-1,"")</f>
        <v>-5.3971535563375084E-2</v>
      </c>
      <c r="AM90" s="846">
        <f>+Tabla1[[#This Row],[DIF $ PRECIO NETO INDUSTRIA vs Neto TUCUMAN (IVA INC)]]*Tabla1[[#This Row],[Q Bolsas Equivalentes 50kg]]</f>
        <v>-1201309.2328767148</v>
      </c>
      <c r="AN90" s="846">
        <f>Tabla1[[#This Row],[PRECIO REF $ BOLSA 50 KG CACTU (IVA INC)]]*Tabla1[[#This Row],[Q Bolsas Equivalentes 50kg]]</f>
        <v>22258200</v>
      </c>
      <c r="AO90" s="846">
        <f>+Tabla1[[#This Row],[PRECIO $ BOLSA 50KG  FOB CDO TUC (IVA INC)]]*Tabla1[[#This Row],[Q Bolsas Equivalentes 50kg]]</f>
        <v>21056890.767123286</v>
      </c>
      <c r="AP90" s="847">
        <v>2.9000000000000001E-2</v>
      </c>
      <c r="AQ90" s="846">
        <v>-87</v>
      </c>
      <c r="AR90" s="828">
        <v>0</v>
      </c>
      <c r="AS90" s="849"/>
      <c r="AT90" s="923">
        <f>+Tabla1[[#This Row],[VENTA TOTAL $ (IVA INC) ]]-(SUM(Tabla1[[#This Row],[PENDIENTE DE ENTREGA]:[VALORES COBRADOS]]))</f>
        <v>0</v>
      </c>
      <c r="AU90" s="850">
        <f>VLOOKUP(Tabla1[[#This Row],[FECHA OC]],'TIPO DE CAMBIO'!A:B,2,TRUE)</f>
        <v>1393.2321999999999</v>
      </c>
      <c r="AV90" s="850">
        <f>+Tabla1[[#This Row],[SUBTOTAL]]/Tabla1[[#This Row],[TIPO DE CAMBIO]]</f>
        <v>12456.91271047744</v>
      </c>
      <c r="AW90" s="851"/>
      <c r="AX90" s="850">
        <f>IFERROR(Tabla1[[#This Row],[VENTA TOTAL USD A PLAZO EN CLIENTE  (SIN IVA)]]*(1+Tabla1[[#This Row],[% IVA ]]),"")</f>
        <v>12456.91271047744</v>
      </c>
      <c r="AY90" s="850">
        <f>+Tabla1[[#This Row],[VENTA TOTAL USD A PLAZO EN CLIENTE  (SIN IVA)]]/Tabla1[[#This Row],[KGS]]*1000</f>
        <v>415.23042368258132</v>
      </c>
      <c r="AZ90" s="850">
        <f>-Tabla1[[#This Row],[COSTO FLETE $ POR BOLSA 5O KG (SIN IVA)]]*20/Tabla1[[#This Row],[TIPO DE CAMBIO]]</f>
        <v>1.2488944771732953</v>
      </c>
      <c r="BA90" s="850">
        <f>+Tabla1[[#This Row],[GASTOS FINANCIEROS $ BOLSA 50 KG (IVA INC)]]*20/Tabla1[[#This Row],[TIPO DE CAMBIO]]</f>
        <v>1.3572460528184671</v>
      </c>
      <c r="BB90" s="850">
        <f>+Tabla1[[#This Row],[PRECIO POR TN USD EN CLIENTE A PLAZO (SIN IVA)]]+Tabla1[[#This Row],[COSTO USD FLETE /TN (SIN IVA)]]+Tabla1[[#This Row],[COSTO FINANCIERO USD POR BOLSA 50KG (IVA INC)]]</f>
        <v>417.83656421257308</v>
      </c>
      <c r="BC90" s="848">
        <v>4</v>
      </c>
      <c r="BD90" s="944" t="s">
        <v>485</v>
      </c>
    </row>
    <row r="91" spans="1:56" ht="15.75" customHeight="1">
      <c r="A91" s="912">
        <v>46143</v>
      </c>
      <c r="B91" s="828">
        <v>1</v>
      </c>
      <c r="C91" s="792" t="s">
        <v>428</v>
      </c>
      <c r="D91" s="829">
        <f>+Tabla1[[#This Row],[FECHA Entrega]]</f>
        <v>46169</v>
      </c>
      <c r="E91" s="830"/>
      <c r="F91" s="831" t="s">
        <v>448</v>
      </c>
      <c r="G91" s="832" t="s">
        <v>357</v>
      </c>
      <c r="H91" s="852">
        <v>46169</v>
      </c>
      <c r="I91" s="834">
        <v>28000</v>
      </c>
      <c r="J91" s="835">
        <v>699</v>
      </c>
      <c r="K91" s="836">
        <f t="shared" ref="K91:K202" si="60">+J91*I91</f>
        <v>19572000</v>
      </c>
      <c r="L9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4110120</v>
      </c>
      <c r="M91" s="837">
        <f t="shared" si="45"/>
        <v>23682120</v>
      </c>
      <c r="N91" s="838">
        <v>0</v>
      </c>
      <c r="O91" s="838">
        <f>+Tabla1[[#This Row],[VENTA TOTAL $ (IVA INC) ]]</f>
        <v>23682120</v>
      </c>
      <c r="P91" s="838">
        <v>0</v>
      </c>
      <c r="Q91" s="839">
        <f>+Tabla1[[#This Row],[VENTA TOTAL $ (IVA INC) ]]-Tabla1[[#This Row],[PENDIENTE DE ENTREGA]]-Tabla1[[#This Row],[PENDIENTE DE COBRO]]+Tabla1[[#This Row],[VALORES EN CARTERA]]</f>
        <v>0</v>
      </c>
      <c r="R91" s="840">
        <f>+Tabla1[[#This Row],[FECHA FC]]+Tabla1[[#This Row],[PLAZO ENTREGA VALORES]]</f>
        <v>46199</v>
      </c>
      <c r="S91" s="840">
        <f>+Tabla1[[#This Row],[FECHA FC]]+Tabla1[[#This Row],[PLAZO PAGO (DIAS)]]</f>
        <v>46199</v>
      </c>
      <c r="T91" s="834">
        <f t="shared" ca="1" si="27"/>
        <v>18</v>
      </c>
      <c r="U91" s="831">
        <v>30</v>
      </c>
      <c r="V91" s="831"/>
      <c r="W91" s="841">
        <f t="shared" si="39"/>
        <v>46206</v>
      </c>
      <c r="X91" s="831">
        <v>19157</v>
      </c>
      <c r="Y91" s="840">
        <v>46161</v>
      </c>
      <c r="Z91" s="842">
        <f>Tabla1[[#This Row],[KGS]]/50</f>
        <v>560</v>
      </c>
      <c r="AA9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42289.5</v>
      </c>
      <c r="AB91" s="844">
        <f>-Tabla1[[#This Row],[COSTO FLETE $ POR BOLSA 5O KG (SIN IVA)]]*1.21-Tabla1[[#This Row],[PRECIO $/ KG A PLAZO EN CLIENTE ( SIN IVA)]]*0.003*1.21*50</f>
        <v>0.18150000000001398</v>
      </c>
      <c r="AC91" s="845">
        <f>SUM(Tabla1[[#This Row],[PRECIO $ BOLSA 50 KG (IVA INC) ]]+Tabla1[[#This Row],[COSTO FLETE $ BOLSA 50 KG (IVA INC)]])</f>
        <v>42289.681499999999</v>
      </c>
      <c r="AD91" s="844">
        <f>-Tabla1[[#This Row],[PRECIO $ BOLSA 50 KG (IVA INC) ]]*(Tabla1[[#This Row],[TASA FINANCIACION MENSUAL]]/365)*Tabla1[[#This Row],[PLAZO ENTREGA VALORES]]</f>
        <v>-100.79963013698629</v>
      </c>
      <c r="AE91" s="845">
        <f>SUM(Tabla1[[#This Row],[PRECIO $ BOLSA50 KG  FOB TUCUMAN A PLAZO (IVA INC)]]+Tabla1[[#This Row],[GASTOS FINANCIEROS $ BOLSA 50 KG (IVA INC)]])</f>
        <v>42188.881869863013</v>
      </c>
      <c r="AF91" s="828" t="s">
        <v>359</v>
      </c>
      <c r="AG91" s="828" t="s">
        <v>365</v>
      </c>
      <c r="AH91" s="828" t="s">
        <v>389</v>
      </c>
      <c r="AI91" s="828" t="s">
        <v>258</v>
      </c>
      <c r="AJ9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37107</v>
      </c>
      <c r="AK91" s="846">
        <f>SUM(Tabla1[[#This Row],[PRECIO $ BOLSA 50KG  FOB CDO TUC (IVA INC)]]-Tabla1[[#This Row],[PRECIO REF $ BOLSA 50 KG CACTU (IVA INC)]])</f>
        <v>5081.881869863013</v>
      </c>
      <c r="AL91" s="847">
        <f>IFERROR(Tabla1[[#This Row],[PRECIO $ BOLSA 50KG  FOB CDO TUC (IVA INC)]]/Tabla1[[#This Row],[PRECIO REF $ BOLSA 50 KG CACTU (IVA INC)]]-1,"")</f>
        <v>0.13695210795437562</v>
      </c>
      <c r="AM91" s="846">
        <f>+Tabla1[[#This Row],[DIF $ PRECIO NETO INDUSTRIA vs Neto TUCUMAN (IVA INC)]]*Tabla1[[#This Row],[Q Bolsas Equivalentes 50kg]]</f>
        <v>2845853.8471232872</v>
      </c>
      <c r="AN91" s="846">
        <f>Tabla1[[#This Row],[PRECIO REF $ BOLSA 50 KG CACTU (IVA INC)]]*Tabla1[[#This Row],[Q Bolsas Equivalentes 50kg]]</f>
        <v>20779920</v>
      </c>
      <c r="AO91" s="846">
        <f>+Tabla1[[#This Row],[PRECIO $ BOLSA 50KG  FOB CDO TUC (IVA INC)]]*Tabla1[[#This Row],[Q Bolsas Equivalentes 50kg]]</f>
        <v>23625773.847123288</v>
      </c>
      <c r="AP91" s="847">
        <v>2.9000000000000001E-2</v>
      </c>
      <c r="AQ91" s="846">
        <v>-105</v>
      </c>
      <c r="AR91" s="828">
        <v>30</v>
      </c>
      <c r="AS91" s="849"/>
      <c r="AT91" s="923">
        <f>+Tabla1[[#This Row],[VENTA TOTAL $ (IVA INC) ]]-(SUM(Tabla1[[#This Row],[PENDIENTE DE ENTREGA]:[VALORES COBRADOS]]))</f>
        <v>0</v>
      </c>
      <c r="AU91" s="850">
        <f>VLOOKUP(Tabla1[[#This Row],[FECHA OC]],'TIPO DE CAMBIO'!A:B,2,TRUE)</f>
        <v>1398.9159999999999</v>
      </c>
      <c r="AV91" s="850">
        <f>+Tabla1[[#This Row],[SUBTOTAL]]/Tabla1[[#This Row],[TIPO DE CAMBIO]]</f>
        <v>13990.832902047014</v>
      </c>
      <c r="AW91" s="851"/>
      <c r="AX91" s="850">
        <f>IFERROR(Tabla1[[#This Row],[VENTA TOTAL USD A PLAZO EN CLIENTE  (SIN IVA)]]*(1+Tabla1[[#This Row],[% IVA ]]),"")</f>
        <v>13990.832902047014</v>
      </c>
      <c r="AY91" s="850">
        <f>+Tabla1[[#This Row],[VENTA TOTAL USD A PLAZO EN CLIENTE  (SIN IVA)]]/Tabla1[[#This Row],[KGS]]*1000</f>
        <v>499.6726036445362</v>
      </c>
      <c r="AZ91" s="850">
        <f>-Tabla1[[#This Row],[COSTO FLETE $ POR BOLSA 5O KG (SIN IVA)]]*20/Tabla1[[#This Row],[TIPO DE CAMBIO]]</f>
        <v>1.5011623285458169</v>
      </c>
      <c r="BA91" s="850">
        <f>+Tabla1[[#This Row],[GASTOS FINANCIEROS $ BOLSA 50 KG (IVA INC)]]*20/Tabla1[[#This Row],[TIPO DE CAMBIO]]</f>
        <v>-1.4411105475523378</v>
      </c>
      <c r="BB91" s="850">
        <f>+Tabla1[[#This Row],[PRECIO POR TN USD EN CLIENTE A PLAZO (SIN IVA)]]+Tabla1[[#This Row],[COSTO USD FLETE /TN (SIN IVA)]]+Tabla1[[#This Row],[COSTO FINANCIERO USD POR BOLSA 50KG (IVA INC)]]</f>
        <v>499.73265542552969</v>
      </c>
      <c r="BC91" s="848">
        <v>2</v>
      </c>
      <c r="BD91" s="944"/>
    </row>
    <row r="92" spans="1:56" ht="15.75" customHeight="1">
      <c r="A92" s="912">
        <v>46143</v>
      </c>
      <c r="B92" s="828">
        <v>1</v>
      </c>
      <c r="C92" s="936" t="s">
        <v>425</v>
      </c>
      <c r="D92" s="829">
        <f>+Tabla1[[#This Row],[FECHA Entrega]]</f>
        <v>46173.412499999999</v>
      </c>
      <c r="E92" s="830"/>
      <c r="F92" s="831" t="s">
        <v>448</v>
      </c>
      <c r="G92" s="832" t="s">
        <v>357</v>
      </c>
      <c r="H92" s="833">
        <v>46173.412499999999</v>
      </c>
      <c r="I92" s="834">
        <f>600*50</f>
        <v>30000</v>
      </c>
      <c r="J92" s="835">
        <v>620</v>
      </c>
      <c r="K92" s="836">
        <f t="shared" si="60"/>
        <v>18600000</v>
      </c>
      <c r="L9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3906000</v>
      </c>
      <c r="M92" s="837">
        <f t="shared" si="45"/>
        <v>22506000</v>
      </c>
      <c r="N92" s="838">
        <v>0</v>
      </c>
      <c r="O92" s="838">
        <v>0</v>
      </c>
      <c r="P92" s="838">
        <v>0</v>
      </c>
      <c r="Q92" s="839">
        <f>+Tabla1[[#This Row],[VENTA TOTAL $ (IVA INC) ]]</f>
        <v>22506000</v>
      </c>
      <c r="R92" s="840">
        <f ca="1">+Tabla1[[#This Row],[FECHA FC]]+Tabla1[[#This Row],[PLAZO ENTREGA VALORES]]</f>
        <v>46181</v>
      </c>
      <c r="S92" s="840">
        <f>+Tabla1[[#This Row],[FECHA FC]]+Tabla1[[#This Row],[PLAZO PAGO (DIAS)]]</f>
        <v>46203.412499999999</v>
      </c>
      <c r="T92" s="834">
        <f t="shared" ca="1" si="27"/>
        <v>22.412499999998545</v>
      </c>
      <c r="U92" s="831">
        <f ca="1">+$U$2-Tabla1[[#This Row],[FECHA FC]]</f>
        <v>7.5875000000014552</v>
      </c>
      <c r="V92" s="831"/>
      <c r="W92" s="841">
        <f>+Tabla1[[#This Row],[FECHA VTO VALORES]]+7</f>
        <v>46210.412499999999</v>
      </c>
      <c r="X92" s="831" t="s">
        <v>522</v>
      </c>
      <c r="Y92" s="840">
        <v>46164</v>
      </c>
      <c r="Z92" s="842">
        <f>Tabla1[[#This Row],[KGS]]/50</f>
        <v>600</v>
      </c>
      <c r="AA9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37510</v>
      </c>
      <c r="AB92" s="844">
        <f>-Tabla1[[#This Row],[COSTO FLETE $ POR BOLSA 5O KG (SIN IVA)]]*1.21-Tabla1[[#This Row],[PRECIO $/ KG A PLAZO EN CLIENTE ( SIN IVA)]]*0.003*1.21*50</f>
        <v>-2774.53</v>
      </c>
      <c r="AC92" s="845">
        <f>SUM(Tabla1[[#This Row],[PRECIO $ BOLSA 50 KG (IVA INC) ]]+Tabla1[[#This Row],[COSTO FLETE $ BOLSA 50 KG (IVA INC)]])</f>
        <v>34735.47</v>
      </c>
      <c r="AD92" s="844">
        <f ca="1">-Tabla1[[#This Row],[PRECIO $ BOLSA 50 KG (IVA INC) ]]*(Tabla1[[#This Row],[TASA FINANCIACION MENSUAL]]/365)*Tabla1[[#This Row],[PLAZO ENTREGA VALORES]]</f>
        <v>-22.612620890415297</v>
      </c>
      <c r="AE92" s="845">
        <f ca="1">SUM(Tabla1[[#This Row],[PRECIO $ BOLSA50 KG  FOB TUCUMAN A PLAZO (IVA INC)]]+Tabla1[[#This Row],[GASTOS FINANCIEROS $ BOLSA 50 KG (IVA INC)]])</f>
        <v>34712.857379109584</v>
      </c>
      <c r="AF92" s="828" t="s">
        <v>359</v>
      </c>
      <c r="AG92" s="828" t="s">
        <v>361</v>
      </c>
      <c r="AH92" s="828" t="s">
        <v>361</v>
      </c>
      <c r="AI92" s="828" t="s">
        <v>258</v>
      </c>
      <c r="AJ9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92" s="846">
        <f ca="1">SUM(Tabla1[[#This Row],[PRECIO $ BOLSA 50KG  FOB CDO TUC (IVA INC)]]-Tabla1[[#This Row],[PRECIO REF $ BOLSA 50 KG CACTU (IVA INC)]])</f>
        <v>-2402.1426208904159</v>
      </c>
      <c r="AL92" s="847">
        <f ca="1">IFERROR(Tabla1[[#This Row],[PRECIO $ BOLSA 50KG  FOB CDO TUC (IVA INC)]]/Tabla1[[#This Row],[PRECIO REF $ BOLSA 50 KG CACTU (IVA INC)]]-1,"")</f>
        <v>-6.4721611771262677E-2</v>
      </c>
      <c r="AM92" s="846">
        <f ca="1">+Tabla1[[#This Row],[DIF $ PRECIO NETO INDUSTRIA vs Neto TUCUMAN (IVA INC)]]*Tabla1[[#This Row],[Q Bolsas Equivalentes 50kg]]</f>
        <v>-1441285.5725342496</v>
      </c>
      <c r="AN92" s="846">
        <f>Tabla1[[#This Row],[PRECIO REF $ BOLSA 50 KG CACTU (IVA INC)]]*Tabla1[[#This Row],[Q Bolsas Equivalentes 50kg]]</f>
        <v>22269000</v>
      </c>
      <c r="AO92" s="846">
        <f ca="1">+Tabla1[[#This Row],[PRECIO $ BOLSA 50KG  FOB CDO TUC (IVA INC)]]*Tabla1[[#This Row],[Q Bolsas Equivalentes 50kg]]</f>
        <v>20827714.427465752</v>
      </c>
      <c r="AP92" s="847">
        <v>2.9000000000000001E-2</v>
      </c>
      <c r="AQ92" s="846">
        <f>44000/20</f>
        <v>2200</v>
      </c>
      <c r="AR92" s="828">
        <v>30</v>
      </c>
      <c r="AS92" s="849" t="s">
        <v>613</v>
      </c>
      <c r="AT92" s="924">
        <f>+Tabla1[[#This Row],[VENTA TOTAL $ (IVA INC) ]]-(SUM(Tabla1[[#This Row],[PENDIENTE DE ENTREGA]:[VALORES COBRADOS]]))</f>
        <v>0</v>
      </c>
      <c r="AU92" s="850">
        <f>VLOOKUP(Tabla1[[#This Row],[FECHA OC]],'TIPO DE CAMBIO'!A:B,2,TRUE)</f>
        <v>1393.5019</v>
      </c>
      <c r="AV92" s="850">
        <f>+Tabla1[[#This Row],[SUBTOTAL]]/Tabla1[[#This Row],[TIPO DE CAMBIO]]</f>
        <v>13347.667484342863</v>
      </c>
      <c r="AW92" s="851"/>
      <c r="AX92" s="850">
        <f>IFERROR(Tabla1[[#This Row],[VENTA TOTAL USD A PLAZO EN CLIENTE  (SIN IVA)]]*(1+Tabla1[[#This Row],[% IVA ]]),"")</f>
        <v>13347.667484342863</v>
      </c>
      <c r="AY92" s="850">
        <f>+Tabla1[[#This Row],[VENTA TOTAL USD A PLAZO EN CLIENTE  (SIN IVA)]]/Tabla1[[#This Row],[KGS]]*1000</f>
        <v>444.92224947809547</v>
      </c>
      <c r="AZ92" s="850">
        <f>-Tabla1[[#This Row],[COSTO FLETE $ POR BOLSA 5O KG (SIN IVA)]]*20/Tabla1[[#This Row],[TIPO DE CAMBIO]]</f>
        <v>-31.575127382316452</v>
      </c>
      <c r="BA92" s="850">
        <f ca="1">+Tabla1[[#This Row],[GASTOS FINANCIEROS $ BOLSA 50 KG (IVA INC)]]*20/Tabla1[[#This Row],[TIPO DE CAMBIO]]</f>
        <v>-0.3245438113922241</v>
      </c>
      <c r="BB92" s="850">
        <f ca="1">+Tabla1[[#This Row],[PRECIO POR TN USD EN CLIENTE A PLAZO (SIN IVA)]]+Tabla1[[#This Row],[COSTO USD FLETE /TN (SIN IVA)]]+Tabla1[[#This Row],[COSTO FINANCIERO USD POR BOLSA 50KG (IVA INC)]]</f>
        <v>413.02257828438678</v>
      </c>
      <c r="BC92" s="848">
        <v>3</v>
      </c>
      <c r="BD92" s="944"/>
    </row>
    <row r="93" spans="1:56" ht="15.75" customHeight="1">
      <c r="A93" s="912">
        <v>46143</v>
      </c>
      <c r="B93" s="828">
        <v>1</v>
      </c>
      <c r="C93" s="936" t="s">
        <v>425</v>
      </c>
      <c r="D93" s="829">
        <f>+Tabla1[[#This Row],[FECHA Entrega]]</f>
        <v>46176.692361111112</v>
      </c>
      <c r="E93" s="830"/>
      <c r="F93" s="831" t="s">
        <v>448</v>
      </c>
      <c r="G93" s="832" t="s">
        <v>357</v>
      </c>
      <c r="H93" s="833">
        <v>46176.692361111112</v>
      </c>
      <c r="I93" s="834">
        <f t="shared" ref="I93:I101" si="61">600*50</f>
        <v>30000</v>
      </c>
      <c r="J93" s="835">
        <v>620</v>
      </c>
      <c r="K93" s="836">
        <f t="shared" ref="K93:K101" si="62">+J93*I93</f>
        <v>18600000</v>
      </c>
      <c r="L9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3906000</v>
      </c>
      <c r="M93" s="837">
        <f t="shared" si="45"/>
        <v>22506000</v>
      </c>
      <c r="N93" s="838">
        <v>0</v>
      </c>
      <c r="O93" s="838">
        <v>0</v>
      </c>
      <c r="P93" s="838">
        <v>0</v>
      </c>
      <c r="Q93" s="839">
        <f>+Tabla1[[#This Row],[VENTA TOTAL $ (IVA INC) ]]</f>
        <v>22506000</v>
      </c>
      <c r="R93" s="840">
        <f ca="1">+Tabla1[[#This Row],[FECHA FC]]+Tabla1[[#This Row],[PLAZO ENTREGA VALORES]]</f>
        <v>46181</v>
      </c>
      <c r="S93" s="840">
        <f>+Tabla1[[#This Row],[FECHA FC]]+Tabla1[[#This Row],[PLAZO PAGO (DIAS)]]</f>
        <v>46206.692361111112</v>
      </c>
      <c r="T93" s="834">
        <f t="shared" ref="T93:T101" ca="1" si="63">+S93-$U$2</f>
        <v>25.692361111112405</v>
      </c>
      <c r="U93" s="831">
        <f ca="1">+$U$2-Tabla1[[#This Row],[FECHA FC]]</f>
        <v>4.3076388888875954</v>
      </c>
      <c r="V93" s="831"/>
      <c r="W93" s="841">
        <f>+Tabla1[[#This Row],[FECHA VTO VALORES]]+7</f>
        <v>46213.692361111112</v>
      </c>
      <c r="X93" s="831" t="s">
        <v>522</v>
      </c>
      <c r="Y93" s="840">
        <v>46164</v>
      </c>
      <c r="Z93" s="842">
        <f>Tabla1[[#This Row],[KGS]]/50</f>
        <v>600</v>
      </c>
      <c r="AA9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37510</v>
      </c>
      <c r="AB93" s="844">
        <f>-Tabla1[[#This Row],[COSTO FLETE $ POR BOLSA 5O KG (SIN IVA)]]*1.21-Tabla1[[#This Row],[PRECIO $/ KG A PLAZO EN CLIENTE ( SIN IVA)]]*0.003*1.21*50</f>
        <v>-2774.53</v>
      </c>
      <c r="AC93" s="845">
        <f>SUM(Tabla1[[#This Row],[PRECIO $ BOLSA 50 KG (IVA INC) ]]+Tabla1[[#This Row],[COSTO FLETE $ BOLSA 50 KG (IVA INC)]])</f>
        <v>34735.47</v>
      </c>
      <c r="AD93" s="844">
        <f ca="1">-Tabla1[[#This Row],[PRECIO $ BOLSA 50 KG (IVA INC) ]]*(Tabla1[[#This Row],[TASA FINANCIACION MENSUAL]]/365)*Tabla1[[#This Row],[PLAZO ENTREGA VALORES]]</f>
        <v>-12.837826046419281</v>
      </c>
      <c r="AE93" s="845">
        <f ca="1">SUM(Tabla1[[#This Row],[PRECIO $ BOLSA50 KG  FOB TUCUMAN A PLAZO (IVA INC)]]+Tabla1[[#This Row],[GASTOS FINANCIEROS $ BOLSA 50 KG (IVA INC)]])</f>
        <v>34722.632173953585</v>
      </c>
      <c r="AF93" s="828" t="s">
        <v>359</v>
      </c>
      <c r="AG93" s="828" t="s">
        <v>361</v>
      </c>
      <c r="AH93" s="828" t="s">
        <v>361</v>
      </c>
      <c r="AI93" s="828" t="s">
        <v>258</v>
      </c>
      <c r="AJ9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93" s="846">
        <f ca="1">SUM(Tabla1[[#This Row],[PRECIO $ BOLSA 50KG  FOB CDO TUC (IVA INC)]]-Tabla1[[#This Row],[PRECIO REF $ BOLSA 50 KG CACTU (IVA INC)]])</f>
        <v>-2392.3678260464148</v>
      </c>
      <c r="AL93" s="847">
        <f ca="1">IFERROR(Tabla1[[#This Row],[PRECIO $ BOLSA 50KG  FOB CDO TUC (IVA INC)]]/Tabla1[[#This Row],[PRECIO REF $ BOLSA 50 KG CACTU (IVA INC)]]-1,"")</f>
        <v>-6.4458246693962384E-2</v>
      </c>
      <c r="AM93" s="846">
        <f ca="1">+Tabla1[[#This Row],[DIF $ PRECIO NETO INDUSTRIA vs Neto TUCUMAN (IVA INC)]]*Tabla1[[#This Row],[Q Bolsas Equivalentes 50kg]]</f>
        <v>-1435420.6956278489</v>
      </c>
      <c r="AN93" s="846">
        <f>Tabla1[[#This Row],[PRECIO REF $ BOLSA 50 KG CACTU (IVA INC)]]*Tabla1[[#This Row],[Q Bolsas Equivalentes 50kg]]</f>
        <v>22269000</v>
      </c>
      <c r="AO93" s="846">
        <f ca="1">+Tabla1[[#This Row],[PRECIO $ BOLSA 50KG  FOB CDO TUC (IVA INC)]]*Tabla1[[#This Row],[Q Bolsas Equivalentes 50kg]]</f>
        <v>20833579.30437215</v>
      </c>
      <c r="AP93" s="847">
        <v>2.9000000000000001E-2</v>
      </c>
      <c r="AQ93" s="846">
        <f t="shared" ref="AQ93:AQ101" si="64">44000/20</f>
        <v>2200</v>
      </c>
      <c r="AR93" s="828">
        <v>30</v>
      </c>
      <c r="AS93" s="849" t="s">
        <v>614</v>
      </c>
      <c r="AT93" s="924">
        <f>+Tabla1[[#This Row],[VENTA TOTAL $ (IVA INC) ]]-(SUM(Tabla1[[#This Row],[PENDIENTE DE ENTREGA]:[VALORES COBRADOS]]))</f>
        <v>0</v>
      </c>
      <c r="AU93" s="850">
        <f>VLOOKUP(Tabla1[[#This Row],[FECHA OC]],'TIPO DE CAMBIO'!A:B,2,TRUE)</f>
        <v>1393.5019</v>
      </c>
      <c r="AV93" s="850">
        <f>+Tabla1[[#This Row],[SUBTOTAL]]/Tabla1[[#This Row],[TIPO DE CAMBIO]]</f>
        <v>13347.667484342863</v>
      </c>
      <c r="AW93" s="851"/>
      <c r="AX93" s="850">
        <f>IFERROR(Tabla1[[#This Row],[VENTA TOTAL USD A PLAZO EN CLIENTE  (SIN IVA)]]*(1+Tabla1[[#This Row],[% IVA ]]),"")</f>
        <v>13347.667484342863</v>
      </c>
      <c r="AY93" s="850">
        <f>+Tabla1[[#This Row],[VENTA TOTAL USD A PLAZO EN CLIENTE  (SIN IVA)]]/Tabla1[[#This Row],[KGS]]*1000</f>
        <v>444.92224947809547</v>
      </c>
      <c r="AZ93" s="850">
        <f>-Tabla1[[#This Row],[COSTO FLETE $ POR BOLSA 5O KG (SIN IVA)]]*20/Tabla1[[#This Row],[TIPO DE CAMBIO]]</f>
        <v>-31.575127382316452</v>
      </c>
      <c r="BA93" s="850">
        <f ca="1">+Tabla1[[#This Row],[GASTOS FINANCIEROS $ BOLSA 50 KG (IVA INC)]]*20/Tabla1[[#This Row],[TIPO DE CAMBIO]]</f>
        <v>-0.18425272396714035</v>
      </c>
      <c r="BB93" s="850">
        <f ca="1">+Tabla1[[#This Row],[PRECIO POR TN USD EN CLIENTE A PLAZO (SIN IVA)]]+Tabla1[[#This Row],[COSTO USD FLETE /TN (SIN IVA)]]+Tabla1[[#This Row],[COSTO FINANCIERO USD POR BOLSA 50KG (IVA INC)]]</f>
        <v>413.16286937181189</v>
      </c>
      <c r="BC93" s="848">
        <v>3</v>
      </c>
      <c r="BD93" s="944"/>
    </row>
    <row r="94" spans="1:56" ht="15.75" customHeight="1">
      <c r="A94" s="912">
        <v>46143</v>
      </c>
      <c r="B94" s="828">
        <v>1</v>
      </c>
      <c r="C94" s="936" t="s">
        <v>425</v>
      </c>
      <c r="D94" s="829">
        <f>+Tabla1[[#This Row],[FECHA Entrega]]</f>
        <v>46178.736805555556</v>
      </c>
      <c r="E94" s="830"/>
      <c r="F94" s="831" t="s">
        <v>448</v>
      </c>
      <c r="G94" s="832" t="s">
        <v>357</v>
      </c>
      <c r="H94" s="833">
        <v>46178.736805555556</v>
      </c>
      <c r="I94" s="834">
        <f t="shared" si="61"/>
        <v>30000</v>
      </c>
      <c r="J94" s="835">
        <v>620</v>
      </c>
      <c r="K94" s="836">
        <f t="shared" si="62"/>
        <v>18600000</v>
      </c>
      <c r="L9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3906000</v>
      </c>
      <c r="M94" s="837">
        <f t="shared" si="45"/>
        <v>22506000</v>
      </c>
      <c r="N94" s="838">
        <v>0</v>
      </c>
      <c r="O94" s="838">
        <v>0</v>
      </c>
      <c r="P94" s="838">
        <v>0</v>
      </c>
      <c r="Q94" s="839">
        <f>+Tabla1[[#This Row],[VENTA TOTAL $ (IVA INC) ]]</f>
        <v>22506000</v>
      </c>
      <c r="R94" s="840">
        <f ca="1">+Tabla1[[#This Row],[FECHA FC]]+Tabla1[[#This Row],[PLAZO ENTREGA VALORES]]</f>
        <v>46181</v>
      </c>
      <c r="S94" s="840">
        <f>+Tabla1[[#This Row],[FECHA FC]]+Tabla1[[#This Row],[PLAZO PAGO (DIAS)]]</f>
        <v>46208.736805555556</v>
      </c>
      <c r="T94" s="834">
        <f t="shared" ca="1" si="63"/>
        <v>27.736805555556202</v>
      </c>
      <c r="U94" s="831">
        <f ca="1">+$U$2-Tabla1[[#This Row],[FECHA FC]]</f>
        <v>2.2631944444437977</v>
      </c>
      <c r="V94" s="831"/>
      <c r="W94" s="841">
        <f>+Tabla1[[#This Row],[FECHA VTO VALORES]]+7</f>
        <v>46215.736805555556</v>
      </c>
      <c r="X94" s="831" t="s">
        <v>522</v>
      </c>
      <c r="Y94" s="840">
        <v>46164</v>
      </c>
      <c r="Z94" s="842">
        <f>Tabla1[[#This Row],[KGS]]/50</f>
        <v>600</v>
      </c>
      <c r="AA9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37510</v>
      </c>
      <c r="AB94" s="844">
        <f>-Tabla1[[#This Row],[COSTO FLETE $ POR BOLSA 5O KG (SIN IVA)]]*1.21-Tabla1[[#This Row],[PRECIO $/ KG A PLAZO EN CLIENTE ( SIN IVA)]]*0.003*1.21*50</f>
        <v>-2774.53</v>
      </c>
      <c r="AC94" s="845">
        <f>SUM(Tabla1[[#This Row],[PRECIO $ BOLSA 50 KG (IVA INC) ]]+Tabla1[[#This Row],[COSTO FLETE $ BOLSA 50 KG (IVA INC)]])</f>
        <v>34735.47</v>
      </c>
      <c r="AD94" s="844">
        <f ca="1">-Tabla1[[#This Row],[PRECIO $ BOLSA 50 KG (IVA INC) ]]*(Tabla1[[#This Row],[TASA FINANCIACION MENSUAL]]/365)*Tabla1[[#This Row],[PLAZO ENTREGA VALORES]]</f>
        <v>-6.7448774923877224</v>
      </c>
      <c r="AE94" s="845">
        <f ca="1">SUM(Tabla1[[#This Row],[PRECIO $ BOLSA50 KG  FOB TUCUMAN A PLAZO (IVA INC)]]+Tabla1[[#This Row],[GASTOS FINANCIEROS $ BOLSA 50 KG (IVA INC)]])</f>
        <v>34728.725122507611</v>
      </c>
      <c r="AF94" s="828" t="s">
        <v>359</v>
      </c>
      <c r="AG94" s="828" t="s">
        <v>361</v>
      </c>
      <c r="AH94" s="828" t="s">
        <v>361</v>
      </c>
      <c r="AI94" s="828" t="s">
        <v>258</v>
      </c>
      <c r="AJ9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94" s="846">
        <f ca="1">SUM(Tabla1[[#This Row],[PRECIO $ BOLSA 50KG  FOB CDO TUC (IVA INC)]]-Tabla1[[#This Row],[PRECIO REF $ BOLSA 50 KG CACTU (IVA INC)]])</f>
        <v>-2386.2748774923894</v>
      </c>
      <c r="AL94" s="847">
        <f ca="1">IFERROR(Tabla1[[#This Row],[PRECIO $ BOLSA 50KG  FOB CDO TUC (IVA INC)]]/Tabla1[[#This Row],[PRECIO REF $ BOLSA 50 KG CACTU (IVA INC)]]-1,"")</f>
        <v>-6.4294082648319817E-2</v>
      </c>
      <c r="AM94" s="846">
        <f ca="1">+Tabla1[[#This Row],[DIF $ PRECIO NETO INDUSTRIA vs Neto TUCUMAN (IVA INC)]]*Tabla1[[#This Row],[Q Bolsas Equivalentes 50kg]]</f>
        <v>-1431764.9264954336</v>
      </c>
      <c r="AN94" s="846">
        <f>Tabla1[[#This Row],[PRECIO REF $ BOLSA 50 KG CACTU (IVA INC)]]*Tabla1[[#This Row],[Q Bolsas Equivalentes 50kg]]</f>
        <v>22269000</v>
      </c>
      <c r="AO94" s="846">
        <f ca="1">+Tabla1[[#This Row],[PRECIO $ BOLSA 50KG  FOB CDO TUC (IVA INC)]]*Tabla1[[#This Row],[Q Bolsas Equivalentes 50kg]]</f>
        <v>20837235.073504567</v>
      </c>
      <c r="AP94" s="847">
        <v>2.9000000000000001E-2</v>
      </c>
      <c r="AQ94" s="846">
        <f t="shared" si="64"/>
        <v>2200</v>
      </c>
      <c r="AR94" s="828">
        <v>30</v>
      </c>
      <c r="AS94" s="849" t="s">
        <v>615</v>
      </c>
      <c r="AT94" s="924">
        <f>+Tabla1[[#This Row],[VENTA TOTAL $ (IVA INC) ]]-(SUM(Tabla1[[#This Row],[PENDIENTE DE ENTREGA]:[VALORES COBRADOS]]))</f>
        <v>0</v>
      </c>
      <c r="AU94" s="850">
        <f>VLOOKUP(Tabla1[[#This Row],[FECHA OC]],'TIPO DE CAMBIO'!A:B,2,TRUE)</f>
        <v>1393.5019</v>
      </c>
      <c r="AV94" s="850">
        <f>+Tabla1[[#This Row],[SUBTOTAL]]/Tabla1[[#This Row],[TIPO DE CAMBIO]]</f>
        <v>13347.667484342863</v>
      </c>
      <c r="AW94" s="851"/>
      <c r="AX94" s="850">
        <f>IFERROR(Tabla1[[#This Row],[VENTA TOTAL USD A PLAZO EN CLIENTE  (SIN IVA)]]*(1+Tabla1[[#This Row],[% IVA ]]),"")</f>
        <v>13347.667484342863</v>
      </c>
      <c r="AY94" s="850">
        <f>+Tabla1[[#This Row],[VENTA TOTAL USD A PLAZO EN CLIENTE  (SIN IVA)]]/Tabla1[[#This Row],[KGS]]*1000</f>
        <v>444.92224947809547</v>
      </c>
      <c r="AZ94" s="850">
        <f>-Tabla1[[#This Row],[COSTO FLETE $ POR BOLSA 5O KG (SIN IVA)]]*20/Tabla1[[#This Row],[TIPO DE CAMBIO]]</f>
        <v>-31.575127382316452</v>
      </c>
      <c r="BA94" s="850">
        <f ca="1">+Tabla1[[#This Row],[GASTOS FINANCIEROS $ BOLSA 50 KG (IVA INC)]]*20/Tabla1[[#This Row],[TIPO DE CAMBIO]]</f>
        <v>-9.6804711818300679E-2</v>
      </c>
      <c r="BB94" s="850">
        <f ca="1">+Tabla1[[#This Row],[PRECIO POR TN USD EN CLIENTE A PLAZO (SIN IVA)]]+Tabla1[[#This Row],[COSTO USD FLETE /TN (SIN IVA)]]+Tabla1[[#This Row],[COSTO FINANCIERO USD POR BOLSA 50KG (IVA INC)]]</f>
        <v>413.25031738396069</v>
      </c>
      <c r="BC94" s="848">
        <v>3</v>
      </c>
      <c r="BD94" s="944"/>
    </row>
    <row r="95" spans="1:56" ht="15.75" customHeight="1">
      <c r="A95" s="912">
        <v>46143</v>
      </c>
      <c r="B95" s="828">
        <v>1</v>
      </c>
      <c r="C95" s="936" t="s">
        <v>425</v>
      </c>
      <c r="D95" s="829">
        <f>+Tabla1[[#This Row],[FECHA Entrega]]</f>
        <v>46182</v>
      </c>
      <c r="E95" s="830"/>
      <c r="F95" s="831" t="s">
        <v>448</v>
      </c>
      <c r="G95" s="832" t="s">
        <v>216</v>
      </c>
      <c r="H95" s="833">
        <v>46182</v>
      </c>
      <c r="I95" s="834">
        <f t="shared" si="61"/>
        <v>30000</v>
      </c>
      <c r="J95" s="835">
        <v>620</v>
      </c>
      <c r="K95" s="836">
        <f t="shared" si="62"/>
        <v>18600000</v>
      </c>
      <c r="L9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3906000</v>
      </c>
      <c r="M95" s="837">
        <f t="shared" si="45"/>
        <v>22506000</v>
      </c>
      <c r="N95" s="838">
        <v>0</v>
      </c>
      <c r="O95" s="838">
        <v>0</v>
      </c>
      <c r="P95" s="838">
        <v>0</v>
      </c>
      <c r="Q95" s="839">
        <f>+Tabla1[[#This Row],[VENTA TOTAL $ (IVA INC) ]]</f>
        <v>22506000</v>
      </c>
      <c r="R95" s="840">
        <f ca="1">+Tabla1[[#This Row],[FECHA FC]]+Tabla1[[#This Row],[PLAZO ENTREGA VALORES]]</f>
        <v>46181</v>
      </c>
      <c r="S95" s="840">
        <f>+Tabla1[[#This Row],[FECHA FC]]+Tabla1[[#This Row],[PLAZO PAGO (DIAS)]]</f>
        <v>46212</v>
      </c>
      <c r="T95" s="834">
        <f t="shared" ca="1" si="63"/>
        <v>31</v>
      </c>
      <c r="U95" s="831">
        <f ca="1">+$U$2-Tabla1[[#This Row],[FECHA FC]]</f>
        <v>-1</v>
      </c>
      <c r="V95" s="831"/>
      <c r="W95" s="841">
        <f>+Tabla1[[#This Row],[FECHA VTO VALORES]]+7</f>
        <v>46219</v>
      </c>
      <c r="X95" s="831" t="s">
        <v>522</v>
      </c>
      <c r="Y95" s="840">
        <v>46164</v>
      </c>
      <c r="Z95" s="842">
        <f>Tabla1[[#This Row],[KGS]]/50</f>
        <v>600</v>
      </c>
      <c r="AA9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37510</v>
      </c>
      <c r="AB95" s="844">
        <f>-Tabla1[[#This Row],[COSTO FLETE $ POR BOLSA 5O KG (SIN IVA)]]*1.21-Tabla1[[#This Row],[PRECIO $/ KG A PLAZO EN CLIENTE ( SIN IVA)]]*0.003*1.21*50</f>
        <v>-2774.53</v>
      </c>
      <c r="AC95" s="845">
        <f>SUM(Tabla1[[#This Row],[PRECIO $ BOLSA 50 KG (IVA INC) ]]+Tabla1[[#This Row],[COSTO FLETE $ BOLSA 50 KG (IVA INC)]])</f>
        <v>34735.47</v>
      </c>
      <c r="AD95" s="844">
        <f ca="1">-Tabla1[[#This Row],[PRECIO $ BOLSA 50 KG (IVA INC) ]]*(Tabla1[[#This Row],[TASA FINANCIACION MENSUAL]]/365)*Tabla1[[#This Row],[PLAZO ENTREGA VALORES]]</f>
        <v>2.9802465753424658</v>
      </c>
      <c r="AE95" s="845">
        <f ca="1">SUM(Tabla1[[#This Row],[PRECIO $ BOLSA50 KG  FOB TUCUMAN A PLAZO (IVA INC)]]+Tabla1[[#This Row],[GASTOS FINANCIEROS $ BOLSA 50 KG (IVA INC)]])</f>
        <v>34738.450246575347</v>
      </c>
      <c r="AF95" s="828" t="s">
        <v>359</v>
      </c>
      <c r="AG95" s="828" t="s">
        <v>361</v>
      </c>
      <c r="AH95" s="828" t="s">
        <v>361</v>
      </c>
      <c r="AI95" s="828" t="s">
        <v>258</v>
      </c>
      <c r="AJ9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95" s="846">
        <f ca="1">SUM(Tabla1[[#This Row],[PRECIO $ BOLSA 50KG  FOB CDO TUC (IVA INC)]]-Tabla1[[#This Row],[PRECIO REF $ BOLSA 50 KG CACTU (IVA INC)]])</f>
        <v>-2376.5497534246533</v>
      </c>
      <c r="AL95" s="847">
        <f ca="1">IFERROR(Tabla1[[#This Row],[PRECIO $ BOLSA 50KG  FOB CDO TUC (IVA INC)]]/Tabla1[[#This Row],[PRECIO REF $ BOLSA 50 KG CACTU (IVA INC)]]-1,"")</f>
        <v>-6.4032055864870041E-2</v>
      </c>
      <c r="AM95" s="846">
        <f ca="1">+Tabla1[[#This Row],[DIF $ PRECIO NETO INDUSTRIA vs Neto TUCUMAN (IVA INC)]]*Tabla1[[#This Row],[Q Bolsas Equivalentes 50kg]]</f>
        <v>-1425929.852054792</v>
      </c>
      <c r="AN95" s="846">
        <f>Tabla1[[#This Row],[PRECIO REF $ BOLSA 50 KG CACTU (IVA INC)]]*Tabla1[[#This Row],[Q Bolsas Equivalentes 50kg]]</f>
        <v>22269000</v>
      </c>
      <c r="AO95" s="846">
        <f ca="1">+Tabla1[[#This Row],[PRECIO $ BOLSA 50KG  FOB CDO TUC (IVA INC)]]*Tabla1[[#This Row],[Q Bolsas Equivalentes 50kg]]</f>
        <v>20843070.147945207</v>
      </c>
      <c r="AP95" s="847">
        <v>2.9000000000000001E-2</v>
      </c>
      <c r="AQ95" s="846">
        <f t="shared" si="64"/>
        <v>2200</v>
      </c>
      <c r="AR95" s="828">
        <v>30</v>
      </c>
      <c r="AS95" s="849"/>
      <c r="AT95" s="924">
        <f>+Tabla1[[#This Row],[VENTA TOTAL $ (IVA INC) ]]-(SUM(Tabla1[[#This Row],[PENDIENTE DE ENTREGA]:[VALORES COBRADOS]]))</f>
        <v>0</v>
      </c>
      <c r="AU95" s="850">
        <f>VLOOKUP(Tabla1[[#This Row],[FECHA OC]],'TIPO DE CAMBIO'!A:B,2,TRUE)</f>
        <v>1393.5019</v>
      </c>
      <c r="AV95" s="850">
        <f>+Tabla1[[#This Row],[SUBTOTAL]]/Tabla1[[#This Row],[TIPO DE CAMBIO]]</f>
        <v>13347.667484342863</v>
      </c>
      <c r="AW95" s="851"/>
      <c r="AX95" s="850">
        <f>IFERROR(Tabla1[[#This Row],[VENTA TOTAL USD A PLAZO EN CLIENTE  (SIN IVA)]]*(1+Tabla1[[#This Row],[% IVA ]]),"")</f>
        <v>13347.667484342863</v>
      </c>
      <c r="AY95" s="850">
        <f>+Tabla1[[#This Row],[VENTA TOTAL USD A PLAZO EN CLIENTE  (SIN IVA)]]/Tabla1[[#This Row],[KGS]]*1000</f>
        <v>444.92224947809547</v>
      </c>
      <c r="AZ95" s="850">
        <f>-Tabla1[[#This Row],[COSTO FLETE $ POR BOLSA 5O KG (SIN IVA)]]*20/Tabla1[[#This Row],[TIPO DE CAMBIO]]</f>
        <v>-31.575127382316452</v>
      </c>
      <c r="BA95" s="850">
        <f ca="1">+Tabla1[[#This Row],[GASTOS FINANCIEROS $ BOLSA 50 KG (IVA INC)]]*20/Tabla1[[#This Row],[TIPO DE CAMBIO]]</f>
        <v>4.2773484203250327E-2</v>
      </c>
      <c r="BB95" s="850">
        <f ca="1">+Tabla1[[#This Row],[PRECIO POR TN USD EN CLIENTE A PLAZO (SIN IVA)]]+Tabla1[[#This Row],[COSTO USD FLETE /TN (SIN IVA)]]+Tabla1[[#This Row],[COSTO FINANCIERO USD POR BOLSA 50KG (IVA INC)]]</f>
        <v>413.38989557998224</v>
      </c>
      <c r="BC95" s="848">
        <v>3</v>
      </c>
      <c r="BD95" s="944"/>
    </row>
    <row r="96" spans="1:56" ht="15.75" customHeight="1">
      <c r="A96" s="912">
        <v>46143</v>
      </c>
      <c r="B96" s="828">
        <v>1</v>
      </c>
      <c r="C96" s="936" t="s">
        <v>425</v>
      </c>
      <c r="D96" s="829">
        <f>+Tabla1[[#This Row],[FECHA Entrega]]</f>
        <v>46184</v>
      </c>
      <c r="E96" s="830"/>
      <c r="F96" s="831" t="s">
        <v>448</v>
      </c>
      <c r="G96" s="832" t="s">
        <v>216</v>
      </c>
      <c r="H96" s="833">
        <v>46184</v>
      </c>
      <c r="I96" s="834">
        <f t="shared" si="61"/>
        <v>30000</v>
      </c>
      <c r="J96" s="835">
        <v>620</v>
      </c>
      <c r="K96" s="836">
        <f t="shared" si="62"/>
        <v>18600000</v>
      </c>
      <c r="L9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3906000</v>
      </c>
      <c r="M96" s="837">
        <f t="shared" si="45"/>
        <v>22506000</v>
      </c>
      <c r="N96" s="838">
        <v>0</v>
      </c>
      <c r="O96" s="838">
        <v>0</v>
      </c>
      <c r="P96" s="838">
        <v>0</v>
      </c>
      <c r="Q96" s="839">
        <f>+Tabla1[[#This Row],[VENTA TOTAL $ (IVA INC) ]]</f>
        <v>22506000</v>
      </c>
      <c r="R96" s="840">
        <f ca="1">+Tabla1[[#This Row],[FECHA FC]]+Tabla1[[#This Row],[PLAZO ENTREGA VALORES]]</f>
        <v>46181</v>
      </c>
      <c r="S96" s="840">
        <f>+Tabla1[[#This Row],[FECHA FC]]+Tabla1[[#This Row],[PLAZO PAGO (DIAS)]]</f>
        <v>46214</v>
      </c>
      <c r="T96" s="834">
        <f t="shared" ca="1" si="63"/>
        <v>33</v>
      </c>
      <c r="U96" s="831">
        <f ca="1">+$U$2-Tabla1[[#This Row],[FECHA FC]]</f>
        <v>-3</v>
      </c>
      <c r="V96" s="831"/>
      <c r="W96" s="841">
        <f>+Tabla1[[#This Row],[FECHA VTO VALORES]]+7</f>
        <v>46221</v>
      </c>
      <c r="X96" s="831" t="s">
        <v>522</v>
      </c>
      <c r="Y96" s="840">
        <v>46164</v>
      </c>
      <c r="Z96" s="842">
        <f>Tabla1[[#This Row],[KGS]]/50</f>
        <v>600</v>
      </c>
      <c r="AA9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37510</v>
      </c>
      <c r="AB96" s="844">
        <f>-Tabla1[[#This Row],[COSTO FLETE $ POR BOLSA 5O KG (SIN IVA)]]*1.21-Tabla1[[#This Row],[PRECIO $/ KG A PLAZO EN CLIENTE ( SIN IVA)]]*0.003*1.21*50</f>
        <v>-2774.53</v>
      </c>
      <c r="AC96" s="845">
        <f>SUM(Tabla1[[#This Row],[PRECIO $ BOLSA 50 KG (IVA INC) ]]+Tabla1[[#This Row],[COSTO FLETE $ BOLSA 50 KG (IVA INC)]])</f>
        <v>34735.47</v>
      </c>
      <c r="AD96" s="844">
        <f ca="1">-Tabla1[[#This Row],[PRECIO $ BOLSA 50 KG (IVA INC) ]]*(Tabla1[[#This Row],[TASA FINANCIACION MENSUAL]]/365)*Tabla1[[#This Row],[PLAZO ENTREGA VALORES]]</f>
        <v>8.9407397260273971</v>
      </c>
      <c r="AE96" s="845">
        <f ca="1">SUM(Tabla1[[#This Row],[PRECIO $ BOLSA50 KG  FOB TUCUMAN A PLAZO (IVA INC)]]+Tabla1[[#This Row],[GASTOS FINANCIEROS $ BOLSA 50 KG (IVA INC)]])</f>
        <v>34744.41073972603</v>
      </c>
      <c r="AF96" s="828" t="s">
        <v>359</v>
      </c>
      <c r="AG96" s="828" t="s">
        <v>361</v>
      </c>
      <c r="AH96" s="828" t="s">
        <v>361</v>
      </c>
      <c r="AI96" s="828" t="s">
        <v>258</v>
      </c>
      <c r="AJ9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96" s="846">
        <f ca="1">SUM(Tabla1[[#This Row],[PRECIO $ BOLSA 50KG  FOB CDO TUC (IVA INC)]]-Tabla1[[#This Row],[PRECIO REF $ BOLSA 50 KG CACTU (IVA INC)]])</f>
        <v>-2370.5892602739696</v>
      </c>
      <c r="AL96" s="847">
        <f ca="1">IFERROR(Tabla1[[#This Row],[PRECIO $ BOLSA 50KG  FOB CDO TUC (IVA INC)]]/Tabla1[[#This Row],[PRECIO REF $ BOLSA 50 KG CACTU (IVA INC)]]-1,"")</f>
        <v>-6.3871460602828223E-2</v>
      </c>
      <c r="AM96" s="846">
        <f ca="1">+Tabla1[[#This Row],[DIF $ PRECIO NETO INDUSTRIA vs Neto TUCUMAN (IVA INC)]]*Tabla1[[#This Row],[Q Bolsas Equivalentes 50kg]]</f>
        <v>-1422353.5561643818</v>
      </c>
      <c r="AN96" s="846">
        <f>Tabla1[[#This Row],[PRECIO REF $ BOLSA 50 KG CACTU (IVA INC)]]*Tabla1[[#This Row],[Q Bolsas Equivalentes 50kg]]</f>
        <v>22269000</v>
      </c>
      <c r="AO96" s="846">
        <f ca="1">+Tabla1[[#This Row],[PRECIO $ BOLSA 50KG  FOB CDO TUC (IVA INC)]]*Tabla1[[#This Row],[Q Bolsas Equivalentes 50kg]]</f>
        <v>20846646.44383562</v>
      </c>
      <c r="AP96" s="847">
        <v>2.9000000000000001E-2</v>
      </c>
      <c r="AQ96" s="846">
        <f t="shared" si="64"/>
        <v>2200</v>
      </c>
      <c r="AR96" s="828">
        <v>30</v>
      </c>
      <c r="AS96" s="849"/>
      <c r="AT96" s="924">
        <f>+Tabla1[[#This Row],[VENTA TOTAL $ (IVA INC) ]]-(SUM(Tabla1[[#This Row],[PENDIENTE DE ENTREGA]:[VALORES COBRADOS]]))</f>
        <v>0</v>
      </c>
      <c r="AU96" s="850">
        <f>VLOOKUP(Tabla1[[#This Row],[FECHA OC]],'TIPO DE CAMBIO'!A:B,2,TRUE)</f>
        <v>1393.5019</v>
      </c>
      <c r="AV96" s="850">
        <f>+Tabla1[[#This Row],[SUBTOTAL]]/Tabla1[[#This Row],[TIPO DE CAMBIO]]</f>
        <v>13347.667484342863</v>
      </c>
      <c r="AW96" s="851"/>
      <c r="AX96" s="850">
        <f>IFERROR(Tabla1[[#This Row],[VENTA TOTAL USD A PLAZO EN CLIENTE  (SIN IVA)]]*(1+Tabla1[[#This Row],[% IVA ]]),"")</f>
        <v>13347.667484342863</v>
      </c>
      <c r="AY96" s="850">
        <f>+Tabla1[[#This Row],[VENTA TOTAL USD A PLAZO EN CLIENTE  (SIN IVA)]]/Tabla1[[#This Row],[KGS]]*1000</f>
        <v>444.92224947809547</v>
      </c>
      <c r="AZ96" s="850">
        <f>-Tabla1[[#This Row],[COSTO FLETE $ POR BOLSA 5O KG (SIN IVA)]]*20/Tabla1[[#This Row],[TIPO DE CAMBIO]]</f>
        <v>-31.575127382316452</v>
      </c>
      <c r="BA96" s="850">
        <f ca="1">+Tabla1[[#This Row],[GASTOS FINANCIEROS $ BOLSA 50 KG (IVA INC)]]*20/Tabla1[[#This Row],[TIPO DE CAMBIO]]</f>
        <v>0.12832045260975097</v>
      </c>
      <c r="BB96" s="850">
        <f ca="1">+Tabla1[[#This Row],[PRECIO POR TN USD EN CLIENTE A PLAZO (SIN IVA)]]+Tabla1[[#This Row],[COSTO USD FLETE /TN (SIN IVA)]]+Tabla1[[#This Row],[COSTO FINANCIERO USD POR BOLSA 50KG (IVA INC)]]</f>
        <v>413.47544254838874</v>
      </c>
      <c r="BC96" s="848">
        <v>3</v>
      </c>
      <c r="BD96" s="944"/>
    </row>
    <row r="97" spans="1:56" ht="15.75" customHeight="1">
      <c r="A97" s="912">
        <v>46143</v>
      </c>
      <c r="B97" s="828">
        <v>1</v>
      </c>
      <c r="C97" s="936" t="s">
        <v>425</v>
      </c>
      <c r="D97" s="829">
        <f>+Tabla1[[#This Row],[FECHA Entrega]]</f>
        <v>46189</v>
      </c>
      <c r="E97" s="830"/>
      <c r="F97" s="831" t="s">
        <v>448</v>
      </c>
      <c r="G97" s="832" t="s">
        <v>216</v>
      </c>
      <c r="H97" s="833">
        <v>46189</v>
      </c>
      <c r="I97" s="834">
        <f t="shared" si="61"/>
        <v>30000</v>
      </c>
      <c r="J97" s="835">
        <v>620</v>
      </c>
      <c r="K97" s="836">
        <f t="shared" si="62"/>
        <v>18600000</v>
      </c>
      <c r="L9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3906000</v>
      </c>
      <c r="M97" s="837">
        <f t="shared" si="45"/>
        <v>22506000</v>
      </c>
      <c r="N97" s="838">
        <v>0</v>
      </c>
      <c r="O97" s="838">
        <v>0</v>
      </c>
      <c r="P97" s="838">
        <v>0</v>
      </c>
      <c r="Q97" s="839">
        <f>+Tabla1[[#This Row],[VENTA TOTAL $ (IVA INC) ]]</f>
        <v>22506000</v>
      </c>
      <c r="R97" s="840">
        <f ca="1">+Tabla1[[#This Row],[FECHA FC]]+Tabla1[[#This Row],[PLAZO ENTREGA VALORES]]</f>
        <v>46181</v>
      </c>
      <c r="S97" s="840">
        <f>+Tabla1[[#This Row],[FECHA FC]]+Tabla1[[#This Row],[PLAZO PAGO (DIAS)]]</f>
        <v>46219</v>
      </c>
      <c r="T97" s="834">
        <f t="shared" ca="1" si="63"/>
        <v>38</v>
      </c>
      <c r="U97" s="831">
        <f ca="1">+$U$2-Tabla1[[#This Row],[FECHA FC]]</f>
        <v>-8</v>
      </c>
      <c r="V97" s="831"/>
      <c r="W97" s="841">
        <f>+Tabla1[[#This Row],[FECHA VTO VALORES]]+7</f>
        <v>46226</v>
      </c>
      <c r="X97" s="831" t="s">
        <v>522</v>
      </c>
      <c r="Y97" s="840">
        <v>46164</v>
      </c>
      <c r="Z97" s="842">
        <f>Tabla1[[#This Row],[KGS]]/50</f>
        <v>600</v>
      </c>
      <c r="AA9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37510</v>
      </c>
      <c r="AB97" s="844">
        <f>-Tabla1[[#This Row],[COSTO FLETE $ POR BOLSA 5O KG (SIN IVA)]]*1.21-Tabla1[[#This Row],[PRECIO $/ KG A PLAZO EN CLIENTE ( SIN IVA)]]*0.003*1.21*50</f>
        <v>-2774.53</v>
      </c>
      <c r="AC97" s="845">
        <f>SUM(Tabla1[[#This Row],[PRECIO $ BOLSA 50 KG (IVA INC) ]]+Tabla1[[#This Row],[COSTO FLETE $ BOLSA 50 KG (IVA INC)]])</f>
        <v>34735.47</v>
      </c>
      <c r="AD97" s="844">
        <f ca="1">-Tabla1[[#This Row],[PRECIO $ BOLSA 50 KG (IVA INC) ]]*(Tabla1[[#This Row],[TASA FINANCIACION MENSUAL]]/365)*Tabla1[[#This Row],[PLAZO ENTREGA VALORES]]</f>
        <v>23.841972602739727</v>
      </c>
      <c r="AE97" s="845">
        <f ca="1">SUM(Tabla1[[#This Row],[PRECIO $ BOLSA50 KG  FOB TUCUMAN A PLAZO (IVA INC)]]+Tabla1[[#This Row],[GASTOS FINANCIEROS $ BOLSA 50 KG (IVA INC)]])</f>
        <v>34759.311972602743</v>
      </c>
      <c r="AF97" s="828" t="s">
        <v>359</v>
      </c>
      <c r="AG97" s="828" t="s">
        <v>361</v>
      </c>
      <c r="AH97" s="828" t="s">
        <v>361</v>
      </c>
      <c r="AI97" s="828" t="s">
        <v>258</v>
      </c>
      <c r="AJ9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97" s="846">
        <f ca="1">SUM(Tabla1[[#This Row],[PRECIO $ BOLSA 50KG  FOB CDO TUC (IVA INC)]]-Tabla1[[#This Row],[PRECIO REF $ BOLSA 50 KG CACTU (IVA INC)]])</f>
        <v>-2355.6880273972565</v>
      </c>
      <c r="AL97" s="847">
        <f ca="1">IFERROR(Tabla1[[#This Row],[PRECIO $ BOLSA 50KG  FOB CDO TUC (IVA INC)]]/Tabla1[[#This Row],[PRECIO REF $ BOLSA 50 KG CACTU (IVA INC)]]-1,"")</f>
        <v>-6.3469972447723455E-2</v>
      </c>
      <c r="AM97" s="846">
        <f ca="1">+Tabla1[[#This Row],[DIF $ PRECIO NETO INDUSTRIA vs Neto TUCUMAN (IVA INC)]]*Tabla1[[#This Row],[Q Bolsas Equivalentes 50kg]]</f>
        <v>-1413412.8164383539</v>
      </c>
      <c r="AN97" s="846">
        <f>Tabla1[[#This Row],[PRECIO REF $ BOLSA 50 KG CACTU (IVA INC)]]*Tabla1[[#This Row],[Q Bolsas Equivalentes 50kg]]</f>
        <v>22269000</v>
      </c>
      <c r="AO97" s="846">
        <f ca="1">+Tabla1[[#This Row],[PRECIO $ BOLSA 50KG  FOB CDO TUC (IVA INC)]]*Tabla1[[#This Row],[Q Bolsas Equivalentes 50kg]]</f>
        <v>20855587.183561645</v>
      </c>
      <c r="AP97" s="847">
        <v>2.9000000000000001E-2</v>
      </c>
      <c r="AQ97" s="846">
        <f t="shared" si="64"/>
        <v>2200</v>
      </c>
      <c r="AR97" s="828">
        <v>30</v>
      </c>
      <c r="AS97" s="849"/>
      <c r="AT97" s="924">
        <f>+Tabla1[[#This Row],[VENTA TOTAL $ (IVA INC) ]]-(SUM(Tabla1[[#This Row],[PENDIENTE DE ENTREGA]:[VALORES COBRADOS]]))</f>
        <v>0</v>
      </c>
      <c r="AU97" s="850">
        <f>VLOOKUP(Tabla1[[#This Row],[FECHA OC]],'TIPO DE CAMBIO'!A:B,2,TRUE)</f>
        <v>1393.5019</v>
      </c>
      <c r="AV97" s="850">
        <f>+Tabla1[[#This Row],[SUBTOTAL]]/Tabla1[[#This Row],[TIPO DE CAMBIO]]</f>
        <v>13347.667484342863</v>
      </c>
      <c r="AW97" s="851"/>
      <c r="AX97" s="850">
        <f>IFERROR(Tabla1[[#This Row],[VENTA TOTAL USD A PLAZO EN CLIENTE  (SIN IVA)]]*(1+Tabla1[[#This Row],[% IVA ]]),"")</f>
        <v>13347.667484342863</v>
      </c>
      <c r="AY97" s="850">
        <f>+Tabla1[[#This Row],[VENTA TOTAL USD A PLAZO EN CLIENTE  (SIN IVA)]]/Tabla1[[#This Row],[KGS]]*1000</f>
        <v>444.92224947809547</v>
      </c>
      <c r="AZ97" s="850">
        <f>-Tabla1[[#This Row],[COSTO FLETE $ POR BOLSA 5O KG (SIN IVA)]]*20/Tabla1[[#This Row],[TIPO DE CAMBIO]]</f>
        <v>-31.575127382316452</v>
      </c>
      <c r="BA97" s="850">
        <f ca="1">+Tabla1[[#This Row],[GASTOS FINANCIEROS $ BOLSA 50 KG (IVA INC)]]*20/Tabla1[[#This Row],[TIPO DE CAMBIO]]</f>
        <v>0.34218787362600261</v>
      </c>
      <c r="BB97" s="850">
        <f ca="1">+Tabla1[[#This Row],[PRECIO POR TN USD EN CLIENTE A PLAZO (SIN IVA)]]+Tabla1[[#This Row],[COSTO USD FLETE /TN (SIN IVA)]]+Tabla1[[#This Row],[COSTO FINANCIERO USD POR BOLSA 50KG (IVA INC)]]</f>
        <v>413.68930996940503</v>
      </c>
      <c r="BC97" s="848">
        <v>3</v>
      </c>
      <c r="BD97" s="944"/>
    </row>
    <row r="98" spans="1:56" ht="15.75" customHeight="1">
      <c r="A98" s="912">
        <v>46143</v>
      </c>
      <c r="B98" s="828">
        <v>1</v>
      </c>
      <c r="C98" s="936" t="s">
        <v>425</v>
      </c>
      <c r="D98" s="829">
        <f>+Tabla1[[#This Row],[FECHA Entrega]]</f>
        <v>46191</v>
      </c>
      <c r="E98" s="830"/>
      <c r="F98" s="831" t="s">
        <v>448</v>
      </c>
      <c r="G98" s="832" t="s">
        <v>216</v>
      </c>
      <c r="H98" s="833">
        <v>46191</v>
      </c>
      <c r="I98" s="834">
        <f t="shared" si="61"/>
        <v>30000</v>
      </c>
      <c r="J98" s="835">
        <v>620</v>
      </c>
      <c r="K98" s="836">
        <f t="shared" si="62"/>
        <v>18600000</v>
      </c>
      <c r="L9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3906000</v>
      </c>
      <c r="M98" s="837">
        <f t="shared" si="45"/>
        <v>22506000</v>
      </c>
      <c r="N98" s="838">
        <v>0</v>
      </c>
      <c r="O98" s="838">
        <v>0</v>
      </c>
      <c r="P98" s="838">
        <v>0</v>
      </c>
      <c r="Q98" s="839">
        <f>+Tabla1[[#This Row],[VENTA TOTAL $ (IVA INC) ]]</f>
        <v>22506000</v>
      </c>
      <c r="R98" s="840">
        <f ca="1">+Tabla1[[#This Row],[FECHA FC]]+Tabla1[[#This Row],[PLAZO ENTREGA VALORES]]</f>
        <v>46181</v>
      </c>
      <c r="S98" s="840">
        <f>+Tabla1[[#This Row],[FECHA FC]]+Tabla1[[#This Row],[PLAZO PAGO (DIAS)]]</f>
        <v>46221</v>
      </c>
      <c r="T98" s="834">
        <f t="shared" ca="1" si="63"/>
        <v>40</v>
      </c>
      <c r="U98" s="831">
        <f ca="1">+$U$2-Tabla1[[#This Row],[FECHA FC]]</f>
        <v>-10</v>
      </c>
      <c r="V98" s="831"/>
      <c r="W98" s="841">
        <f>+Tabla1[[#This Row],[FECHA VTO VALORES]]+7</f>
        <v>46228</v>
      </c>
      <c r="X98" s="831" t="s">
        <v>522</v>
      </c>
      <c r="Y98" s="840">
        <v>46164</v>
      </c>
      <c r="Z98" s="842">
        <f>Tabla1[[#This Row],[KGS]]/50</f>
        <v>600</v>
      </c>
      <c r="AA9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37510</v>
      </c>
      <c r="AB98" s="844">
        <f>-Tabla1[[#This Row],[COSTO FLETE $ POR BOLSA 5O KG (SIN IVA)]]*1.21-Tabla1[[#This Row],[PRECIO $/ KG A PLAZO EN CLIENTE ( SIN IVA)]]*0.003*1.21*50</f>
        <v>-2774.53</v>
      </c>
      <c r="AC98" s="845">
        <f>SUM(Tabla1[[#This Row],[PRECIO $ BOLSA 50 KG (IVA INC) ]]+Tabla1[[#This Row],[COSTO FLETE $ BOLSA 50 KG (IVA INC)]])</f>
        <v>34735.47</v>
      </c>
      <c r="AD98" s="844">
        <f ca="1">-Tabla1[[#This Row],[PRECIO $ BOLSA 50 KG (IVA INC) ]]*(Tabla1[[#This Row],[TASA FINANCIACION MENSUAL]]/365)*Tabla1[[#This Row],[PLAZO ENTREGA VALORES]]</f>
        <v>29.802465753424659</v>
      </c>
      <c r="AE98" s="845">
        <f ca="1">SUM(Tabla1[[#This Row],[PRECIO $ BOLSA50 KG  FOB TUCUMAN A PLAZO (IVA INC)]]+Tabla1[[#This Row],[GASTOS FINANCIEROS $ BOLSA 50 KG (IVA INC)]])</f>
        <v>34765.272465753427</v>
      </c>
      <c r="AF98" s="828" t="s">
        <v>359</v>
      </c>
      <c r="AG98" s="828" t="s">
        <v>361</v>
      </c>
      <c r="AH98" s="828" t="s">
        <v>361</v>
      </c>
      <c r="AI98" s="828" t="s">
        <v>258</v>
      </c>
      <c r="AJ9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98" s="846">
        <f ca="1">SUM(Tabla1[[#This Row],[PRECIO $ BOLSA 50KG  FOB CDO TUC (IVA INC)]]-Tabla1[[#This Row],[PRECIO REF $ BOLSA 50 KG CACTU (IVA INC)]])</f>
        <v>-2349.7275342465728</v>
      </c>
      <c r="AL98" s="847">
        <f ca="1">IFERROR(Tabla1[[#This Row],[PRECIO $ BOLSA 50KG  FOB CDO TUC (IVA INC)]]/Tabla1[[#This Row],[PRECIO REF $ BOLSA 50 KG CACTU (IVA INC)]]-1,"")</f>
        <v>-6.3309377185681637E-2</v>
      </c>
      <c r="AM98" s="846">
        <f ca="1">+Tabla1[[#This Row],[DIF $ PRECIO NETO INDUSTRIA vs Neto TUCUMAN (IVA INC)]]*Tabla1[[#This Row],[Q Bolsas Equivalentes 50kg]]</f>
        <v>-1409836.5205479437</v>
      </c>
      <c r="AN98" s="846">
        <f>Tabla1[[#This Row],[PRECIO REF $ BOLSA 50 KG CACTU (IVA INC)]]*Tabla1[[#This Row],[Q Bolsas Equivalentes 50kg]]</f>
        <v>22269000</v>
      </c>
      <c r="AO98" s="846">
        <f ca="1">+Tabla1[[#This Row],[PRECIO $ BOLSA 50KG  FOB CDO TUC (IVA INC)]]*Tabla1[[#This Row],[Q Bolsas Equivalentes 50kg]]</f>
        <v>20859163.479452055</v>
      </c>
      <c r="AP98" s="847">
        <v>2.9000000000000001E-2</v>
      </c>
      <c r="AQ98" s="846">
        <f t="shared" si="64"/>
        <v>2200</v>
      </c>
      <c r="AR98" s="828">
        <v>30</v>
      </c>
      <c r="AS98" s="849"/>
      <c r="AT98" s="924">
        <f>+Tabla1[[#This Row],[VENTA TOTAL $ (IVA INC) ]]-(SUM(Tabla1[[#This Row],[PENDIENTE DE ENTREGA]:[VALORES COBRADOS]]))</f>
        <v>0</v>
      </c>
      <c r="AU98" s="850">
        <f>VLOOKUP(Tabla1[[#This Row],[FECHA OC]],'TIPO DE CAMBIO'!A:B,2,TRUE)</f>
        <v>1393.5019</v>
      </c>
      <c r="AV98" s="850">
        <f>+Tabla1[[#This Row],[SUBTOTAL]]/Tabla1[[#This Row],[TIPO DE CAMBIO]]</f>
        <v>13347.667484342863</v>
      </c>
      <c r="AW98" s="851"/>
      <c r="AX98" s="850">
        <f>IFERROR(Tabla1[[#This Row],[VENTA TOTAL USD A PLAZO EN CLIENTE  (SIN IVA)]]*(1+Tabla1[[#This Row],[% IVA ]]),"")</f>
        <v>13347.667484342863</v>
      </c>
      <c r="AY98" s="850">
        <f>+Tabla1[[#This Row],[VENTA TOTAL USD A PLAZO EN CLIENTE  (SIN IVA)]]/Tabla1[[#This Row],[KGS]]*1000</f>
        <v>444.92224947809547</v>
      </c>
      <c r="AZ98" s="850">
        <f>-Tabla1[[#This Row],[COSTO FLETE $ POR BOLSA 5O KG (SIN IVA)]]*20/Tabla1[[#This Row],[TIPO DE CAMBIO]]</f>
        <v>-31.575127382316452</v>
      </c>
      <c r="BA98" s="850">
        <f ca="1">+Tabla1[[#This Row],[GASTOS FINANCIEROS $ BOLSA 50 KG (IVA INC)]]*20/Tabla1[[#This Row],[TIPO DE CAMBIO]]</f>
        <v>0.42773484203250334</v>
      </c>
      <c r="BB98" s="850">
        <f ca="1">+Tabla1[[#This Row],[PRECIO POR TN USD EN CLIENTE A PLAZO (SIN IVA)]]+Tabla1[[#This Row],[COSTO USD FLETE /TN (SIN IVA)]]+Tabla1[[#This Row],[COSTO FINANCIERO USD POR BOLSA 50KG (IVA INC)]]</f>
        <v>413.77485693781153</v>
      </c>
      <c r="BC98" s="848">
        <v>3</v>
      </c>
      <c r="BD98" s="944"/>
    </row>
    <row r="99" spans="1:56" ht="15.75" customHeight="1">
      <c r="A99" s="912">
        <v>46143</v>
      </c>
      <c r="B99" s="828">
        <v>1</v>
      </c>
      <c r="C99" s="936" t="s">
        <v>425</v>
      </c>
      <c r="D99" s="829">
        <f>+Tabla1[[#This Row],[FECHA Entrega]]</f>
        <v>46195</v>
      </c>
      <c r="E99" s="830"/>
      <c r="F99" s="831" t="s">
        <v>448</v>
      </c>
      <c r="G99" s="832" t="s">
        <v>216</v>
      </c>
      <c r="H99" s="833">
        <v>46195</v>
      </c>
      <c r="I99" s="834">
        <f t="shared" si="61"/>
        <v>30000</v>
      </c>
      <c r="J99" s="835">
        <v>620</v>
      </c>
      <c r="K99" s="836">
        <f t="shared" si="62"/>
        <v>18600000</v>
      </c>
      <c r="L9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3906000</v>
      </c>
      <c r="M99" s="837">
        <f t="shared" si="45"/>
        <v>22506000</v>
      </c>
      <c r="N99" s="838">
        <v>0</v>
      </c>
      <c r="O99" s="838">
        <v>0</v>
      </c>
      <c r="P99" s="838">
        <v>0</v>
      </c>
      <c r="Q99" s="839">
        <f>+Tabla1[[#This Row],[VENTA TOTAL $ (IVA INC) ]]</f>
        <v>22506000</v>
      </c>
      <c r="R99" s="840">
        <f ca="1">+Tabla1[[#This Row],[FECHA FC]]+Tabla1[[#This Row],[PLAZO ENTREGA VALORES]]</f>
        <v>46181</v>
      </c>
      <c r="S99" s="840">
        <f>+Tabla1[[#This Row],[FECHA FC]]+Tabla1[[#This Row],[PLAZO PAGO (DIAS)]]</f>
        <v>46225</v>
      </c>
      <c r="T99" s="834">
        <f t="shared" ca="1" si="63"/>
        <v>44</v>
      </c>
      <c r="U99" s="831">
        <f ca="1">+$U$2-Tabla1[[#This Row],[FECHA FC]]</f>
        <v>-14</v>
      </c>
      <c r="V99" s="831"/>
      <c r="W99" s="841">
        <f>+Tabla1[[#This Row],[FECHA VTO VALORES]]+7</f>
        <v>46232</v>
      </c>
      <c r="X99" s="831" t="s">
        <v>522</v>
      </c>
      <c r="Y99" s="840">
        <v>46164</v>
      </c>
      <c r="Z99" s="842">
        <f>Tabla1[[#This Row],[KGS]]/50</f>
        <v>600</v>
      </c>
      <c r="AA9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37510</v>
      </c>
      <c r="AB99" s="844">
        <f>-Tabla1[[#This Row],[COSTO FLETE $ POR BOLSA 5O KG (SIN IVA)]]*1.21-Tabla1[[#This Row],[PRECIO $/ KG A PLAZO EN CLIENTE ( SIN IVA)]]*0.003*1.21*50</f>
        <v>-2774.53</v>
      </c>
      <c r="AC99" s="845">
        <f>SUM(Tabla1[[#This Row],[PRECIO $ BOLSA 50 KG (IVA INC) ]]+Tabla1[[#This Row],[COSTO FLETE $ BOLSA 50 KG (IVA INC)]])</f>
        <v>34735.47</v>
      </c>
      <c r="AD99" s="844">
        <f ca="1">-Tabla1[[#This Row],[PRECIO $ BOLSA 50 KG (IVA INC) ]]*(Tabla1[[#This Row],[TASA FINANCIACION MENSUAL]]/365)*Tabla1[[#This Row],[PLAZO ENTREGA VALORES]]</f>
        <v>41.723452054794521</v>
      </c>
      <c r="AE99" s="845">
        <f ca="1">SUM(Tabla1[[#This Row],[PRECIO $ BOLSA50 KG  FOB TUCUMAN A PLAZO (IVA INC)]]+Tabla1[[#This Row],[GASTOS FINANCIEROS $ BOLSA 50 KG (IVA INC)]])</f>
        <v>34777.193452054795</v>
      </c>
      <c r="AF99" s="828" t="s">
        <v>359</v>
      </c>
      <c r="AG99" s="828" t="s">
        <v>361</v>
      </c>
      <c r="AH99" s="828" t="s">
        <v>361</v>
      </c>
      <c r="AI99" s="828" t="s">
        <v>258</v>
      </c>
      <c r="AJ9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99" s="846">
        <f ca="1">SUM(Tabla1[[#This Row],[PRECIO $ BOLSA 50KG  FOB CDO TUC (IVA INC)]]-Tabla1[[#This Row],[PRECIO REF $ BOLSA 50 KG CACTU (IVA INC)]])</f>
        <v>-2337.8065479452052</v>
      </c>
      <c r="AL99" s="847">
        <f ca="1">IFERROR(Tabla1[[#This Row],[PRECIO $ BOLSA 50KG  FOB CDO TUC (IVA INC)]]/Tabla1[[#This Row],[PRECIO REF $ BOLSA 50 KG CACTU (IVA INC)]]-1,"")</f>
        <v>-6.2988186661597889E-2</v>
      </c>
      <c r="AM99" s="846">
        <f ca="1">+Tabla1[[#This Row],[DIF $ PRECIO NETO INDUSTRIA vs Neto TUCUMAN (IVA INC)]]*Tabla1[[#This Row],[Q Bolsas Equivalentes 50kg]]</f>
        <v>-1402683.9287671233</v>
      </c>
      <c r="AN99" s="846">
        <f>Tabla1[[#This Row],[PRECIO REF $ BOLSA 50 KG CACTU (IVA INC)]]*Tabla1[[#This Row],[Q Bolsas Equivalentes 50kg]]</f>
        <v>22269000</v>
      </c>
      <c r="AO99" s="846">
        <f ca="1">+Tabla1[[#This Row],[PRECIO $ BOLSA 50KG  FOB CDO TUC (IVA INC)]]*Tabla1[[#This Row],[Q Bolsas Equivalentes 50kg]]</f>
        <v>20866316.071232878</v>
      </c>
      <c r="AP99" s="847">
        <v>2.9000000000000001E-2</v>
      </c>
      <c r="AQ99" s="846">
        <f t="shared" si="64"/>
        <v>2200</v>
      </c>
      <c r="AR99" s="828">
        <v>30</v>
      </c>
      <c r="AS99" s="849"/>
      <c r="AT99" s="924">
        <f>+Tabla1[[#This Row],[VENTA TOTAL $ (IVA INC) ]]-(SUM(Tabla1[[#This Row],[PENDIENTE DE ENTREGA]:[VALORES COBRADOS]]))</f>
        <v>0</v>
      </c>
      <c r="AU99" s="850">
        <f>VLOOKUP(Tabla1[[#This Row],[FECHA OC]],'TIPO DE CAMBIO'!A:B,2,TRUE)</f>
        <v>1393.5019</v>
      </c>
      <c r="AV99" s="850">
        <f>+Tabla1[[#This Row],[SUBTOTAL]]/Tabla1[[#This Row],[TIPO DE CAMBIO]]</f>
        <v>13347.667484342863</v>
      </c>
      <c r="AW99" s="851"/>
      <c r="AX99" s="850">
        <f>IFERROR(Tabla1[[#This Row],[VENTA TOTAL USD A PLAZO EN CLIENTE  (SIN IVA)]]*(1+Tabla1[[#This Row],[% IVA ]]),"")</f>
        <v>13347.667484342863</v>
      </c>
      <c r="AY99" s="850">
        <f>+Tabla1[[#This Row],[VENTA TOTAL USD A PLAZO EN CLIENTE  (SIN IVA)]]/Tabla1[[#This Row],[KGS]]*1000</f>
        <v>444.92224947809547</v>
      </c>
      <c r="AZ99" s="850">
        <f>-Tabla1[[#This Row],[COSTO FLETE $ POR BOLSA 5O KG (SIN IVA)]]*20/Tabla1[[#This Row],[TIPO DE CAMBIO]]</f>
        <v>-31.575127382316452</v>
      </c>
      <c r="BA99" s="850">
        <f ca="1">+Tabla1[[#This Row],[GASTOS FINANCIEROS $ BOLSA 50 KG (IVA INC)]]*20/Tabla1[[#This Row],[TIPO DE CAMBIO]]</f>
        <v>0.59882877884550456</v>
      </c>
      <c r="BB99" s="850">
        <f ca="1">+Tabla1[[#This Row],[PRECIO POR TN USD EN CLIENTE A PLAZO (SIN IVA)]]+Tabla1[[#This Row],[COSTO USD FLETE /TN (SIN IVA)]]+Tabla1[[#This Row],[COSTO FINANCIERO USD POR BOLSA 50KG (IVA INC)]]</f>
        <v>413.94595087462454</v>
      </c>
      <c r="BC99" s="848">
        <v>3</v>
      </c>
      <c r="BD99" s="944"/>
    </row>
    <row r="100" spans="1:56" ht="15.75" customHeight="1">
      <c r="A100" s="912">
        <v>46143</v>
      </c>
      <c r="B100" s="828">
        <v>1</v>
      </c>
      <c r="C100" s="936" t="s">
        <v>425</v>
      </c>
      <c r="D100" s="829">
        <f>+Tabla1[[#This Row],[FECHA Entrega]]</f>
        <v>46197</v>
      </c>
      <c r="E100" s="830"/>
      <c r="F100" s="831" t="s">
        <v>448</v>
      </c>
      <c r="G100" s="832" t="s">
        <v>216</v>
      </c>
      <c r="H100" s="833">
        <v>46197</v>
      </c>
      <c r="I100" s="834">
        <f t="shared" si="61"/>
        <v>30000</v>
      </c>
      <c r="J100" s="835">
        <v>620</v>
      </c>
      <c r="K100" s="836">
        <f t="shared" si="62"/>
        <v>18600000</v>
      </c>
      <c r="L10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3906000</v>
      </c>
      <c r="M100" s="837">
        <f t="shared" si="45"/>
        <v>22506000</v>
      </c>
      <c r="N100" s="838">
        <f>+Tabla1[[#This Row],[VENTA TOTAL $ (IVA INC) ]]</f>
        <v>22506000</v>
      </c>
      <c r="O100" s="838">
        <v>0</v>
      </c>
      <c r="P100" s="838">
        <v>0</v>
      </c>
      <c r="Q100" s="839">
        <v>0</v>
      </c>
      <c r="R100" s="840">
        <f ca="1">+Tabla1[[#This Row],[FECHA FC]]+Tabla1[[#This Row],[PLAZO ENTREGA VALORES]]</f>
        <v>46181</v>
      </c>
      <c r="S100" s="840">
        <f>+Tabla1[[#This Row],[FECHA FC]]+Tabla1[[#This Row],[PLAZO PAGO (DIAS)]]</f>
        <v>46227</v>
      </c>
      <c r="T100" s="834">
        <f t="shared" ca="1" si="63"/>
        <v>46</v>
      </c>
      <c r="U100" s="831">
        <f ca="1">+$U$2-Tabla1[[#This Row],[FECHA FC]]</f>
        <v>-16</v>
      </c>
      <c r="V100" s="831"/>
      <c r="W100" s="841">
        <f>+Tabla1[[#This Row],[FECHA VTO VALORES]]+7</f>
        <v>46234</v>
      </c>
      <c r="X100" s="831" t="s">
        <v>522</v>
      </c>
      <c r="Y100" s="840">
        <v>46164</v>
      </c>
      <c r="Z100" s="842">
        <f>Tabla1[[#This Row],[KGS]]/50</f>
        <v>600</v>
      </c>
      <c r="AA10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37510</v>
      </c>
      <c r="AB100" s="844">
        <f>-Tabla1[[#This Row],[COSTO FLETE $ POR BOLSA 5O KG (SIN IVA)]]*1.21-Tabla1[[#This Row],[PRECIO $/ KG A PLAZO EN CLIENTE ( SIN IVA)]]*0.003*1.21*50</f>
        <v>-2774.53</v>
      </c>
      <c r="AC100" s="845">
        <f>SUM(Tabla1[[#This Row],[PRECIO $ BOLSA 50 KG (IVA INC) ]]+Tabla1[[#This Row],[COSTO FLETE $ BOLSA 50 KG (IVA INC)]])</f>
        <v>34735.47</v>
      </c>
      <c r="AD100" s="844">
        <f ca="1">-Tabla1[[#This Row],[PRECIO $ BOLSA 50 KG (IVA INC) ]]*(Tabla1[[#This Row],[TASA FINANCIACION MENSUAL]]/365)*Tabla1[[#This Row],[PLAZO ENTREGA VALORES]]</f>
        <v>47.683945205479453</v>
      </c>
      <c r="AE100" s="845">
        <f ca="1">SUM(Tabla1[[#This Row],[PRECIO $ BOLSA50 KG  FOB TUCUMAN A PLAZO (IVA INC)]]+Tabla1[[#This Row],[GASTOS FINANCIEROS $ BOLSA 50 KG (IVA INC)]])</f>
        <v>34783.153945205479</v>
      </c>
      <c r="AF100" s="828" t="s">
        <v>359</v>
      </c>
      <c r="AG100" s="828" t="s">
        <v>361</v>
      </c>
      <c r="AH100" s="828" t="s">
        <v>361</v>
      </c>
      <c r="AI100" s="828" t="s">
        <v>258</v>
      </c>
      <c r="AJ10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100" s="846">
        <f ca="1">SUM(Tabla1[[#This Row],[PRECIO $ BOLSA 50KG  FOB CDO TUC (IVA INC)]]-Tabla1[[#This Row],[PRECIO REF $ BOLSA 50 KG CACTU (IVA INC)]])</f>
        <v>-2331.8460547945215</v>
      </c>
      <c r="AL100" s="847">
        <f ca="1">IFERROR(Tabla1[[#This Row],[PRECIO $ BOLSA 50KG  FOB CDO TUC (IVA INC)]]/Tabla1[[#This Row],[PRECIO REF $ BOLSA 50 KG CACTU (IVA INC)]]-1,"")</f>
        <v>-6.282759139955596E-2</v>
      </c>
      <c r="AM100" s="846">
        <f ca="1">+Tabla1[[#This Row],[DIF $ PRECIO NETO INDUSTRIA vs Neto TUCUMAN (IVA INC)]]*Tabla1[[#This Row],[Q Bolsas Equivalentes 50kg]]</f>
        <v>-1399107.6328767128</v>
      </c>
      <c r="AN100" s="846">
        <f>Tabla1[[#This Row],[PRECIO REF $ BOLSA 50 KG CACTU (IVA INC)]]*Tabla1[[#This Row],[Q Bolsas Equivalentes 50kg]]</f>
        <v>22269000</v>
      </c>
      <c r="AO100" s="846">
        <f ca="1">+Tabla1[[#This Row],[PRECIO $ BOLSA 50KG  FOB CDO TUC (IVA INC)]]*Tabla1[[#This Row],[Q Bolsas Equivalentes 50kg]]</f>
        <v>20869892.367123287</v>
      </c>
      <c r="AP100" s="847">
        <v>2.9000000000000001E-2</v>
      </c>
      <c r="AQ100" s="846">
        <f t="shared" si="64"/>
        <v>2200</v>
      </c>
      <c r="AR100" s="828">
        <v>30</v>
      </c>
      <c r="AS100" s="849"/>
      <c r="AT100" s="924">
        <f>+Tabla1[[#This Row],[VENTA TOTAL $ (IVA INC) ]]-(SUM(Tabla1[[#This Row],[PENDIENTE DE ENTREGA]:[VALORES COBRADOS]]))</f>
        <v>0</v>
      </c>
      <c r="AU100" s="850">
        <f>VLOOKUP(Tabla1[[#This Row],[FECHA OC]],'TIPO DE CAMBIO'!A:B,2,TRUE)</f>
        <v>1393.5019</v>
      </c>
      <c r="AV100" s="850">
        <f>+Tabla1[[#This Row],[SUBTOTAL]]/Tabla1[[#This Row],[TIPO DE CAMBIO]]</f>
        <v>13347.667484342863</v>
      </c>
      <c r="AW100" s="851"/>
      <c r="AX100" s="850">
        <f>IFERROR(Tabla1[[#This Row],[VENTA TOTAL USD A PLAZO EN CLIENTE  (SIN IVA)]]*(1+Tabla1[[#This Row],[% IVA ]]),"")</f>
        <v>13347.667484342863</v>
      </c>
      <c r="AY100" s="850">
        <f>+Tabla1[[#This Row],[VENTA TOTAL USD A PLAZO EN CLIENTE  (SIN IVA)]]/Tabla1[[#This Row],[KGS]]*1000</f>
        <v>444.92224947809547</v>
      </c>
      <c r="AZ100" s="850">
        <f>-Tabla1[[#This Row],[COSTO FLETE $ POR BOLSA 5O KG (SIN IVA)]]*20/Tabla1[[#This Row],[TIPO DE CAMBIO]]</f>
        <v>-31.575127382316452</v>
      </c>
      <c r="BA100" s="850">
        <f ca="1">+Tabla1[[#This Row],[GASTOS FINANCIEROS $ BOLSA 50 KG (IVA INC)]]*20/Tabla1[[#This Row],[TIPO DE CAMBIO]]</f>
        <v>0.68437574725200523</v>
      </c>
      <c r="BB100" s="850">
        <f ca="1">+Tabla1[[#This Row],[PRECIO POR TN USD EN CLIENTE A PLAZO (SIN IVA)]]+Tabla1[[#This Row],[COSTO USD FLETE /TN (SIN IVA)]]+Tabla1[[#This Row],[COSTO FINANCIERO USD POR BOLSA 50KG (IVA INC)]]</f>
        <v>414.03149784303099</v>
      </c>
      <c r="BC100" s="848">
        <v>3</v>
      </c>
      <c r="BD100" s="944"/>
    </row>
    <row r="101" spans="1:56" ht="15.75" customHeight="1">
      <c r="A101" s="912">
        <v>46143</v>
      </c>
      <c r="B101" s="828">
        <v>1</v>
      </c>
      <c r="C101" s="936" t="s">
        <v>425</v>
      </c>
      <c r="D101" s="829">
        <f>+Tabla1[[#This Row],[FECHA Entrega]]</f>
        <v>46202</v>
      </c>
      <c r="E101" s="830"/>
      <c r="F101" s="831" t="s">
        <v>448</v>
      </c>
      <c r="G101" s="832" t="s">
        <v>216</v>
      </c>
      <c r="H101" s="833">
        <v>46202</v>
      </c>
      <c r="I101" s="834">
        <f t="shared" si="61"/>
        <v>30000</v>
      </c>
      <c r="J101" s="835">
        <v>620</v>
      </c>
      <c r="K101" s="836">
        <f t="shared" si="62"/>
        <v>18600000</v>
      </c>
      <c r="L10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3906000</v>
      </c>
      <c r="M101" s="837">
        <f t="shared" si="45"/>
        <v>22506000</v>
      </c>
      <c r="N101" s="838">
        <f>+Tabla1[[#This Row],[VENTA TOTAL $ (IVA INC) ]]</f>
        <v>22506000</v>
      </c>
      <c r="O101" s="838">
        <v>0</v>
      </c>
      <c r="P101" s="838">
        <v>0</v>
      </c>
      <c r="Q101" s="839">
        <v>0</v>
      </c>
      <c r="R101" s="840">
        <f ca="1">+Tabla1[[#This Row],[FECHA FC]]+Tabla1[[#This Row],[PLAZO ENTREGA VALORES]]</f>
        <v>46181</v>
      </c>
      <c r="S101" s="840">
        <f>+Tabla1[[#This Row],[FECHA FC]]+Tabla1[[#This Row],[PLAZO PAGO (DIAS)]]</f>
        <v>46232</v>
      </c>
      <c r="T101" s="834">
        <f t="shared" ca="1" si="63"/>
        <v>51</v>
      </c>
      <c r="U101" s="831">
        <f ca="1">+$U$2-Tabla1[[#This Row],[FECHA FC]]</f>
        <v>-21</v>
      </c>
      <c r="V101" s="831"/>
      <c r="W101" s="841">
        <f>+Tabla1[[#This Row],[FECHA VTO VALORES]]+7</f>
        <v>46239</v>
      </c>
      <c r="X101" s="831" t="s">
        <v>522</v>
      </c>
      <c r="Y101" s="840">
        <v>46164</v>
      </c>
      <c r="Z101" s="842">
        <f>Tabla1[[#This Row],[KGS]]/50</f>
        <v>600</v>
      </c>
      <c r="AA10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37510</v>
      </c>
      <c r="AB101" s="844">
        <f>-Tabla1[[#This Row],[COSTO FLETE $ POR BOLSA 5O KG (SIN IVA)]]*1.21-Tabla1[[#This Row],[PRECIO $/ KG A PLAZO EN CLIENTE ( SIN IVA)]]*0.003*1.21*50</f>
        <v>-2774.53</v>
      </c>
      <c r="AC101" s="845">
        <f>SUM(Tabla1[[#This Row],[PRECIO $ BOLSA 50 KG (IVA INC) ]]+Tabla1[[#This Row],[COSTO FLETE $ BOLSA 50 KG (IVA INC)]])</f>
        <v>34735.47</v>
      </c>
      <c r="AD101" s="844">
        <f ca="1">-Tabla1[[#This Row],[PRECIO $ BOLSA 50 KG (IVA INC) ]]*(Tabla1[[#This Row],[TASA FINANCIACION MENSUAL]]/365)*Tabla1[[#This Row],[PLAZO ENTREGA VALORES]]</f>
        <v>62.585178082191781</v>
      </c>
      <c r="AE101" s="845">
        <f ca="1">SUM(Tabla1[[#This Row],[PRECIO $ BOLSA50 KG  FOB TUCUMAN A PLAZO (IVA INC)]]+Tabla1[[#This Row],[GASTOS FINANCIEROS $ BOLSA 50 KG (IVA INC)]])</f>
        <v>34798.055178082192</v>
      </c>
      <c r="AF101" s="828" t="s">
        <v>359</v>
      </c>
      <c r="AG101" s="828" t="s">
        <v>361</v>
      </c>
      <c r="AH101" s="828" t="s">
        <v>361</v>
      </c>
      <c r="AI101" s="828" t="s">
        <v>258</v>
      </c>
      <c r="AJ10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101" s="846">
        <f ca="1">SUM(Tabla1[[#This Row],[PRECIO $ BOLSA 50KG  FOB CDO TUC (IVA INC)]]-Tabla1[[#This Row],[PRECIO REF $ BOLSA 50 KG CACTU (IVA INC)]])</f>
        <v>-2316.9448219178084</v>
      </c>
      <c r="AL101" s="847">
        <f ca="1">IFERROR(Tabla1[[#This Row],[PRECIO $ BOLSA 50KG  FOB CDO TUC (IVA INC)]]/Tabla1[[#This Row],[PRECIO REF $ BOLSA 50 KG CACTU (IVA INC)]]-1,"")</f>
        <v>-6.2426103244451303E-2</v>
      </c>
      <c r="AM101" s="846">
        <f ca="1">+Tabla1[[#This Row],[DIF $ PRECIO NETO INDUSTRIA vs Neto TUCUMAN (IVA INC)]]*Tabla1[[#This Row],[Q Bolsas Equivalentes 50kg]]</f>
        <v>-1390166.8931506851</v>
      </c>
      <c r="AN101" s="846">
        <f>Tabla1[[#This Row],[PRECIO REF $ BOLSA 50 KG CACTU (IVA INC)]]*Tabla1[[#This Row],[Q Bolsas Equivalentes 50kg]]</f>
        <v>22269000</v>
      </c>
      <c r="AO101" s="846">
        <f ca="1">+Tabla1[[#This Row],[PRECIO $ BOLSA 50KG  FOB CDO TUC (IVA INC)]]*Tabla1[[#This Row],[Q Bolsas Equivalentes 50kg]]</f>
        <v>20878833.106849317</v>
      </c>
      <c r="AP101" s="847">
        <v>2.9000000000000001E-2</v>
      </c>
      <c r="AQ101" s="846">
        <f t="shared" si="64"/>
        <v>2200</v>
      </c>
      <c r="AR101" s="828">
        <v>30</v>
      </c>
      <c r="AS101" s="849"/>
      <c r="AT101" s="924">
        <f>+Tabla1[[#This Row],[VENTA TOTAL $ (IVA INC) ]]-(SUM(Tabla1[[#This Row],[PENDIENTE DE ENTREGA]:[VALORES COBRADOS]]))</f>
        <v>0</v>
      </c>
      <c r="AU101" s="850">
        <f>VLOOKUP(Tabla1[[#This Row],[FECHA OC]],'TIPO DE CAMBIO'!A:B,2,TRUE)</f>
        <v>1393.5019</v>
      </c>
      <c r="AV101" s="850">
        <f>+Tabla1[[#This Row],[SUBTOTAL]]/Tabla1[[#This Row],[TIPO DE CAMBIO]]</f>
        <v>13347.667484342863</v>
      </c>
      <c r="AW101" s="851"/>
      <c r="AX101" s="850">
        <f>IFERROR(Tabla1[[#This Row],[VENTA TOTAL USD A PLAZO EN CLIENTE  (SIN IVA)]]*(1+Tabla1[[#This Row],[% IVA ]]),"")</f>
        <v>13347.667484342863</v>
      </c>
      <c r="AY101" s="850">
        <f>+Tabla1[[#This Row],[VENTA TOTAL USD A PLAZO EN CLIENTE  (SIN IVA)]]/Tabla1[[#This Row],[KGS]]*1000</f>
        <v>444.92224947809547</v>
      </c>
      <c r="AZ101" s="850">
        <f>-Tabla1[[#This Row],[COSTO FLETE $ POR BOLSA 5O KG (SIN IVA)]]*20/Tabla1[[#This Row],[TIPO DE CAMBIO]]</f>
        <v>-31.575127382316452</v>
      </c>
      <c r="BA101" s="850">
        <f ca="1">+Tabla1[[#This Row],[GASTOS FINANCIEROS $ BOLSA 50 KG (IVA INC)]]*20/Tabla1[[#This Row],[TIPO DE CAMBIO]]</f>
        <v>0.8982431682682569</v>
      </c>
      <c r="BB101" s="850">
        <f ca="1">+Tabla1[[#This Row],[PRECIO POR TN USD EN CLIENTE A PLAZO (SIN IVA)]]+Tabla1[[#This Row],[COSTO USD FLETE /TN (SIN IVA)]]+Tabla1[[#This Row],[COSTO FINANCIERO USD POR BOLSA 50KG (IVA INC)]]</f>
        <v>414.24536526404728</v>
      </c>
      <c r="BC101" s="848">
        <v>3</v>
      </c>
      <c r="BD101" s="944"/>
    </row>
    <row r="102" spans="1:56" ht="15.75" customHeight="1">
      <c r="A102" s="912">
        <v>46143</v>
      </c>
      <c r="B102" s="828">
        <v>1</v>
      </c>
      <c r="C102" s="936" t="s">
        <v>525</v>
      </c>
      <c r="D102" s="829">
        <f>+Tabla1[[#This Row],[FECHA Entrega]]</f>
        <v>46170.478472222225</v>
      </c>
      <c r="E102" s="830"/>
      <c r="F102" s="831" t="s">
        <v>448</v>
      </c>
      <c r="G102" s="832" t="s">
        <v>357</v>
      </c>
      <c r="H102" s="833">
        <v>46170.478472222225</v>
      </c>
      <c r="I102" s="834">
        <f>800*50</f>
        <v>40000</v>
      </c>
      <c r="J102" s="835">
        <f t="shared" ref="J102:J109" si="65">36000/50/1.21</f>
        <v>595.04132231404958</v>
      </c>
      <c r="K102" s="836">
        <f t="shared" ref="K102" si="66">+J102*I102</f>
        <v>23801652.892561983</v>
      </c>
      <c r="L10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02" s="837">
        <f t="shared" ref="M102" si="67">SUM(K102:L102)</f>
        <v>23801652.892561983</v>
      </c>
      <c r="N102" s="838">
        <v>0</v>
      </c>
      <c r="O102" s="838">
        <v>0</v>
      </c>
      <c r="P102" s="838">
        <v>0</v>
      </c>
      <c r="Q102" s="839">
        <f>+Tabla1[[#This Row],[VENTA TOTAL $ (IVA INC) ]]</f>
        <v>23801652.892561983</v>
      </c>
      <c r="R102" s="840">
        <f>+Tabla1[[#This Row],[FECHA FC]]+Tabla1[[#This Row],[PLAZO ENTREGA VALORES]]</f>
        <v>46170.478472222225</v>
      </c>
      <c r="S102" s="840">
        <f>+Tabla1[[#This Row],[FECHA FC]]+Tabla1[[#This Row],[PLAZO PAGO (DIAS)]]</f>
        <v>46170.478472222225</v>
      </c>
      <c r="T102" s="834">
        <f t="shared" ref="T102" ca="1" si="68">+S102-$U$2</f>
        <v>-10.521527777775191</v>
      </c>
      <c r="U102" s="831">
        <v>0</v>
      </c>
      <c r="V102" s="831"/>
      <c r="W102" s="841">
        <f>+Tabla1[[#This Row],[FECHA VTO VALORES]]+7</f>
        <v>46177.478472222225</v>
      </c>
      <c r="X102" s="831" t="s">
        <v>526</v>
      </c>
      <c r="Y102" s="840">
        <v>46169</v>
      </c>
      <c r="Z102" s="842">
        <f>Tabla1[[#This Row],[KGS]]/50</f>
        <v>800</v>
      </c>
      <c r="AA10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29752.066115702481</v>
      </c>
      <c r="AB102" s="844">
        <f>-Tabla1[[#This Row],[COSTO FLETE $ POR BOLSA 5O KG (SIN IVA)]]*1.21-Tabla1[[#This Row],[PRECIO $/ KG A PLAZO EN CLIENTE ( SIN IVA)]]*0.003*1.21*50</f>
        <v>-0.31000000000000227</v>
      </c>
      <c r="AC102" s="845">
        <f>SUM(Tabla1[[#This Row],[PRECIO $ BOLSA 50 KG (IVA INC) ]]+Tabla1[[#This Row],[COSTO FLETE $ BOLSA 50 KG (IVA INC)]])</f>
        <v>29751.756115702479</v>
      </c>
      <c r="AD102" s="844">
        <f>-Tabla1[[#This Row],[PRECIO $ BOLSA 50 KG (IVA INC) ]]*(Tabla1[[#This Row],[TASA FINANCIACION MENSUAL]]/365)*Tabla1[[#This Row],[PLAZO ENTREGA VALORES]]</f>
        <v>0</v>
      </c>
      <c r="AE102" s="845">
        <f>SUM(Tabla1[[#This Row],[PRECIO $ BOLSA50 KG  FOB TUCUMAN A PLAZO (IVA INC)]]+Tabla1[[#This Row],[GASTOS FINANCIEROS $ BOLSA 50 KG (IVA INC)]])</f>
        <v>29751.756115702479</v>
      </c>
      <c r="AF102" s="828" t="s">
        <v>359</v>
      </c>
      <c r="AG102" s="828" t="s">
        <v>365</v>
      </c>
      <c r="AH102" s="828" t="s">
        <v>387</v>
      </c>
      <c r="AI102" s="828" t="s">
        <v>260</v>
      </c>
      <c r="AJ10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30673.553719008265</v>
      </c>
      <c r="AK102" s="846">
        <f>SUM(Tabla1[[#This Row],[PRECIO $ BOLSA 50KG  FOB CDO TUC (IVA INC)]]-Tabla1[[#This Row],[PRECIO REF $ BOLSA 50 KG CACTU (IVA INC)]])</f>
        <v>-921.79760330578574</v>
      </c>
      <c r="AL102" s="847">
        <f>IFERROR(Tabla1[[#This Row],[PRECIO $ BOLSA 50KG  FOB CDO TUC (IVA INC)]]/Tabla1[[#This Row],[PRECIO REF $ BOLSA 50 KG CACTU (IVA INC)]]-1,"")</f>
        <v>-3.0051868516772218E-2</v>
      </c>
      <c r="AM102" s="846">
        <f>+Tabla1[[#This Row],[DIF $ PRECIO NETO INDUSTRIA vs Neto TUCUMAN (IVA INC)]]*Tabla1[[#This Row],[Q Bolsas Equivalentes 50kg]]</f>
        <v>-737438.08264462859</v>
      </c>
      <c r="AN102" s="846">
        <f>Tabla1[[#This Row],[PRECIO REF $ BOLSA 50 KG CACTU (IVA INC)]]*Tabla1[[#This Row],[Q Bolsas Equivalentes 50kg]]</f>
        <v>24538842.975206614</v>
      </c>
      <c r="AO102" s="846">
        <f>+Tabla1[[#This Row],[PRECIO $ BOLSA 50KG  FOB CDO TUC (IVA INC)]]*Tabla1[[#This Row],[Q Bolsas Equivalentes 50kg]]</f>
        <v>23801404.892561983</v>
      </c>
      <c r="AP102" s="847">
        <v>2.9000000000000001E-2</v>
      </c>
      <c r="AQ102" s="846">
        <v>-89</v>
      </c>
      <c r="AR102" s="848"/>
      <c r="AS102" s="849" t="s">
        <v>568</v>
      </c>
      <c r="AT102" s="924">
        <f>+Tabla1[[#This Row],[VENTA TOTAL $ (IVA INC) ]]-(SUM(Tabla1[[#This Row],[PENDIENTE DE ENTREGA]:[VALORES COBRADOS]]))</f>
        <v>0</v>
      </c>
      <c r="AU102" s="850">
        <f>VLOOKUP(Tabla1[[#This Row],[FECHA OC]],'TIPO DE CAMBIO'!A:B,2,TRUE)</f>
        <v>1411.1795999999999</v>
      </c>
      <c r="AV102" s="850">
        <f>+Tabla1[[#This Row],[SUBTOTAL]]/Tabla1[[#This Row],[TIPO DE CAMBIO]]</f>
        <v>16866.494450856564</v>
      </c>
      <c r="AW102" s="851"/>
      <c r="AX102" s="850">
        <f>IFERROR(Tabla1[[#This Row],[VENTA TOTAL USD A PLAZO EN CLIENTE  (SIN IVA)]]*(1+Tabla1[[#This Row],[% IVA ]]),"")</f>
        <v>16866.494450856564</v>
      </c>
      <c r="AY102" s="850">
        <f>+Tabla1[[#This Row],[VENTA TOTAL USD A PLAZO EN CLIENTE  (SIN IVA)]]/Tabla1[[#This Row],[KGS]]*1000</f>
        <v>421.66236127141411</v>
      </c>
      <c r="AZ102" s="850">
        <f>-Tabla1[[#This Row],[COSTO FLETE $ POR BOLSA 5O KG (SIN IVA)]]*20/Tabla1[[#This Row],[TIPO DE CAMBIO]]</f>
        <v>1.2613561023699607</v>
      </c>
      <c r="BA102" s="850">
        <f>+Tabla1[[#This Row],[GASTOS FINANCIEROS $ BOLSA 50 KG (IVA INC)]]*20/Tabla1[[#This Row],[TIPO DE CAMBIO]]</f>
        <v>0</v>
      </c>
      <c r="BB102" s="850">
        <f>+Tabla1[[#This Row],[PRECIO POR TN USD EN CLIENTE A PLAZO (SIN IVA)]]+Tabla1[[#This Row],[COSTO USD FLETE /TN (SIN IVA)]]+Tabla1[[#This Row],[COSTO FINANCIERO USD POR BOLSA 50KG (IVA INC)]]</f>
        <v>422.92371737378409</v>
      </c>
      <c r="BC102" s="848">
        <v>5</v>
      </c>
      <c r="BD102" s="944" t="s">
        <v>540</v>
      </c>
    </row>
    <row r="103" spans="1:56" ht="15.75" customHeight="1">
      <c r="A103" s="912">
        <v>46143</v>
      </c>
      <c r="B103" s="828">
        <v>1</v>
      </c>
      <c r="C103" s="936" t="s">
        <v>525</v>
      </c>
      <c r="D103" s="829">
        <f>+Tabla1[[#This Row],[FECHA Entrega]]</f>
        <v>46170.527083333334</v>
      </c>
      <c r="E103" s="830"/>
      <c r="F103" s="831" t="s">
        <v>448</v>
      </c>
      <c r="G103" s="832" t="s">
        <v>357</v>
      </c>
      <c r="H103" s="833">
        <v>46170.527083333334</v>
      </c>
      <c r="I103" s="834">
        <f>700*50</f>
        <v>35000</v>
      </c>
      <c r="J103" s="835">
        <f t="shared" si="65"/>
        <v>595.04132231404958</v>
      </c>
      <c r="K103" s="836">
        <f t="shared" ref="K103:K108" si="69">+J103*I103</f>
        <v>20826446.280991737</v>
      </c>
      <c r="L10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03" s="837">
        <f t="shared" ref="M103:M108" si="70">SUM(K103:L103)</f>
        <v>20826446.280991737</v>
      </c>
      <c r="N103" s="838">
        <v>0</v>
      </c>
      <c r="O103" s="838">
        <v>0</v>
      </c>
      <c r="P103" s="838">
        <v>0</v>
      </c>
      <c r="Q103" s="839">
        <f>+Tabla1[[#This Row],[VENTA TOTAL $ (IVA INC) ]]</f>
        <v>20826446.280991737</v>
      </c>
      <c r="R103" s="840">
        <f>+Tabla1[[#This Row],[FECHA FC]]+Tabla1[[#This Row],[PLAZO ENTREGA VALORES]]</f>
        <v>46170.527083333334</v>
      </c>
      <c r="S103" s="840">
        <f>+Tabla1[[#This Row],[FECHA FC]]+Tabla1[[#This Row],[PLAZO PAGO (DIAS)]]</f>
        <v>46170.527083333334</v>
      </c>
      <c r="T103" s="834">
        <f t="shared" ref="T103:T108" ca="1" si="71">+S103-$U$2</f>
        <v>-10.472916666665697</v>
      </c>
      <c r="U103" s="831">
        <v>0</v>
      </c>
      <c r="V103" s="831"/>
      <c r="W103" s="841">
        <f>+Tabla1[[#This Row],[FECHA VTO VALORES]]+7</f>
        <v>46177.527083333334</v>
      </c>
      <c r="X103" s="831" t="s">
        <v>526</v>
      </c>
      <c r="Y103" s="840">
        <v>46169</v>
      </c>
      <c r="Z103" s="842">
        <f>Tabla1[[#This Row],[KGS]]/50</f>
        <v>700</v>
      </c>
      <c r="AA10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29752.066115702481</v>
      </c>
      <c r="AB103" s="844">
        <f>-Tabla1[[#This Row],[COSTO FLETE $ POR BOLSA 5O KG (SIN IVA)]]*1.21-Tabla1[[#This Row],[PRECIO $/ KG A PLAZO EN CLIENTE ( SIN IVA)]]*0.003*1.21*50</f>
        <v>-0.31000000000000227</v>
      </c>
      <c r="AC103" s="845">
        <f>SUM(Tabla1[[#This Row],[PRECIO $ BOLSA 50 KG (IVA INC) ]]+Tabla1[[#This Row],[COSTO FLETE $ BOLSA 50 KG (IVA INC)]])</f>
        <v>29751.756115702479</v>
      </c>
      <c r="AD103" s="844">
        <f>-Tabla1[[#This Row],[PRECIO $ BOLSA 50 KG (IVA INC) ]]*(Tabla1[[#This Row],[TASA FINANCIACION MENSUAL]]/365)*Tabla1[[#This Row],[PLAZO ENTREGA VALORES]]</f>
        <v>0</v>
      </c>
      <c r="AE103" s="845">
        <f>SUM(Tabla1[[#This Row],[PRECIO $ BOLSA50 KG  FOB TUCUMAN A PLAZO (IVA INC)]]+Tabla1[[#This Row],[GASTOS FINANCIEROS $ BOLSA 50 KG (IVA INC)]])</f>
        <v>29751.756115702479</v>
      </c>
      <c r="AF103" s="828" t="s">
        <v>359</v>
      </c>
      <c r="AG103" s="828" t="s">
        <v>365</v>
      </c>
      <c r="AH103" s="828" t="s">
        <v>387</v>
      </c>
      <c r="AI103" s="828" t="s">
        <v>260</v>
      </c>
      <c r="AJ10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30673.553719008265</v>
      </c>
      <c r="AK103" s="846">
        <f>SUM(Tabla1[[#This Row],[PRECIO $ BOLSA 50KG  FOB CDO TUC (IVA INC)]]-Tabla1[[#This Row],[PRECIO REF $ BOLSA 50 KG CACTU (IVA INC)]])</f>
        <v>-921.79760330578574</v>
      </c>
      <c r="AL103" s="847">
        <f>IFERROR(Tabla1[[#This Row],[PRECIO $ BOLSA 50KG  FOB CDO TUC (IVA INC)]]/Tabla1[[#This Row],[PRECIO REF $ BOLSA 50 KG CACTU (IVA INC)]]-1,"")</f>
        <v>-3.0051868516772218E-2</v>
      </c>
      <c r="AM103" s="846">
        <f>+Tabla1[[#This Row],[DIF $ PRECIO NETO INDUSTRIA vs Neto TUCUMAN (IVA INC)]]*Tabla1[[#This Row],[Q Bolsas Equivalentes 50kg]]</f>
        <v>-645258.32231405005</v>
      </c>
      <c r="AN103" s="846">
        <f>Tabla1[[#This Row],[PRECIO REF $ BOLSA 50 KG CACTU (IVA INC)]]*Tabla1[[#This Row],[Q Bolsas Equivalentes 50kg]]</f>
        <v>21471487.603305787</v>
      </c>
      <c r="AO103" s="846">
        <f>+Tabla1[[#This Row],[PRECIO $ BOLSA 50KG  FOB CDO TUC (IVA INC)]]*Tabla1[[#This Row],[Q Bolsas Equivalentes 50kg]]</f>
        <v>20826229.280991737</v>
      </c>
      <c r="AP103" s="847">
        <v>2.9000000000000001E-2</v>
      </c>
      <c r="AQ103" s="846">
        <v>-89</v>
      </c>
      <c r="AR103" s="848"/>
      <c r="AS103" s="849" t="s">
        <v>569</v>
      </c>
      <c r="AT103" s="924">
        <f>+Tabla1[[#This Row],[VENTA TOTAL $ (IVA INC) ]]-(SUM(Tabla1[[#This Row],[PENDIENTE DE ENTREGA]:[VALORES COBRADOS]]))</f>
        <v>0</v>
      </c>
      <c r="AU103" s="850">
        <f>VLOOKUP(Tabla1[[#This Row],[FECHA OC]],'TIPO DE CAMBIO'!A:B,2,TRUE)</f>
        <v>1411.1795999999999</v>
      </c>
      <c r="AV103" s="850">
        <f>+Tabla1[[#This Row],[SUBTOTAL]]/Tabla1[[#This Row],[TIPO DE CAMBIO]]</f>
        <v>14758.182644499493</v>
      </c>
      <c r="AW103" s="851"/>
      <c r="AX103" s="850">
        <f>IFERROR(Tabla1[[#This Row],[VENTA TOTAL USD A PLAZO EN CLIENTE  (SIN IVA)]]*(1+Tabla1[[#This Row],[% IVA ]]),"")</f>
        <v>14758.182644499493</v>
      </c>
      <c r="AY103" s="850">
        <f>+Tabla1[[#This Row],[VENTA TOTAL USD A PLAZO EN CLIENTE  (SIN IVA)]]/Tabla1[[#This Row],[KGS]]*1000</f>
        <v>421.66236127141411</v>
      </c>
      <c r="AZ103" s="850">
        <f>-Tabla1[[#This Row],[COSTO FLETE $ POR BOLSA 5O KG (SIN IVA)]]*20/Tabla1[[#This Row],[TIPO DE CAMBIO]]</f>
        <v>1.2613561023699607</v>
      </c>
      <c r="BA103" s="850">
        <f>+Tabla1[[#This Row],[GASTOS FINANCIEROS $ BOLSA 50 KG (IVA INC)]]*20/Tabla1[[#This Row],[TIPO DE CAMBIO]]</f>
        <v>0</v>
      </c>
      <c r="BB103" s="850">
        <f>+Tabla1[[#This Row],[PRECIO POR TN USD EN CLIENTE A PLAZO (SIN IVA)]]+Tabla1[[#This Row],[COSTO USD FLETE /TN (SIN IVA)]]+Tabla1[[#This Row],[COSTO FINANCIERO USD POR BOLSA 50KG (IVA INC)]]</f>
        <v>422.92371737378409</v>
      </c>
      <c r="BC103" s="848">
        <v>5</v>
      </c>
      <c r="BD103" s="944" t="s">
        <v>540</v>
      </c>
    </row>
    <row r="104" spans="1:56" ht="15.75" customHeight="1">
      <c r="A104" s="912">
        <v>46143</v>
      </c>
      <c r="B104" s="828">
        <v>1</v>
      </c>
      <c r="C104" s="936" t="s">
        <v>525</v>
      </c>
      <c r="D104" s="829">
        <f>+Tabla1[[#This Row],[FECHA Entrega]]</f>
        <v>46171.390277777777</v>
      </c>
      <c r="E104" s="830"/>
      <c r="F104" s="831" t="s">
        <v>448</v>
      </c>
      <c r="G104" s="832" t="s">
        <v>357</v>
      </c>
      <c r="H104" s="833">
        <v>46171.390277777777</v>
      </c>
      <c r="I104" s="834">
        <f>700*50</f>
        <v>35000</v>
      </c>
      <c r="J104" s="835">
        <f t="shared" si="65"/>
        <v>595.04132231404958</v>
      </c>
      <c r="K104" s="836">
        <f t="shared" si="69"/>
        <v>20826446.280991737</v>
      </c>
      <c r="L10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04" s="837">
        <f t="shared" si="70"/>
        <v>20826446.280991737</v>
      </c>
      <c r="N104" s="838">
        <v>0</v>
      </c>
      <c r="O104" s="838">
        <v>0</v>
      </c>
      <c r="P104" s="838">
        <v>0</v>
      </c>
      <c r="Q104" s="839">
        <f>+Tabla1[[#This Row],[VENTA TOTAL $ (IVA INC) ]]</f>
        <v>20826446.280991737</v>
      </c>
      <c r="R104" s="840">
        <f>+Tabla1[[#This Row],[FECHA FC]]+Tabla1[[#This Row],[PLAZO ENTREGA VALORES]]</f>
        <v>46171.390277777777</v>
      </c>
      <c r="S104" s="840">
        <f>+Tabla1[[#This Row],[FECHA FC]]+Tabla1[[#This Row],[PLAZO PAGO (DIAS)]]</f>
        <v>46171.390277777777</v>
      </c>
      <c r="T104" s="834">
        <f t="shared" ca="1" si="71"/>
        <v>-9.609722222223354</v>
      </c>
      <c r="U104" s="831">
        <v>0</v>
      </c>
      <c r="V104" s="831"/>
      <c r="W104" s="841">
        <f>+Tabla1[[#This Row],[FECHA VTO VALORES]]+7</f>
        <v>46178.390277777777</v>
      </c>
      <c r="X104" s="831" t="s">
        <v>526</v>
      </c>
      <c r="Y104" s="840">
        <v>46169</v>
      </c>
      <c r="Z104" s="842">
        <f>Tabla1[[#This Row],[KGS]]/50</f>
        <v>700</v>
      </c>
      <c r="AA10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29752.066115702481</v>
      </c>
      <c r="AB104" s="844">
        <f>-Tabla1[[#This Row],[COSTO FLETE $ POR BOLSA 5O KG (SIN IVA)]]*1.21-Tabla1[[#This Row],[PRECIO $/ KG A PLAZO EN CLIENTE ( SIN IVA)]]*0.003*1.21*50</f>
        <v>-0.31000000000000227</v>
      </c>
      <c r="AC104" s="845">
        <f>SUM(Tabla1[[#This Row],[PRECIO $ BOLSA 50 KG (IVA INC) ]]+Tabla1[[#This Row],[COSTO FLETE $ BOLSA 50 KG (IVA INC)]])</f>
        <v>29751.756115702479</v>
      </c>
      <c r="AD104" s="844">
        <f>-Tabla1[[#This Row],[PRECIO $ BOLSA 50 KG (IVA INC) ]]*(Tabla1[[#This Row],[TASA FINANCIACION MENSUAL]]/365)*Tabla1[[#This Row],[PLAZO ENTREGA VALORES]]</f>
        <v>0</v>
      </c>
      <c r="AE104" s="845">
        <f>SUM(Tabla1[[#This Row],[PRECIO $ BOLSA50 KG  FOB TUCUMAN A PLAZO (IVA INC)]]+Tabla1[[#This Row],[GASTOS FINANCIEROS $ BOLSA 50 KG (IVA INC)]])</f>
        <v>29751.756115702479</v>
      </c>
      <c r="AF104" s="828" t="s">
        <v>359</v>
      </c>
      <c r="AG104" s="828" t="s">
        <v>365</v>
      </c>
      <c r="AH104" s="828" t="s">
        <v>387</v>
      </c>
      <c r="AI104" s="828" t="s">
        <v>260</v>
      </c>
      <c r="AJ10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30673.553719008265</v>
      </c>
      <c r="AK104" s="846">
        <f>SUM(Tabla1[[#This Row],[PRECIO $ BOLSA 50KG  FOB CDO TUC (IVA INC)]]-Tabla1[[#This Row],[PRECIO REF $ BOLSA 50 KG CACTU (IVA INC)]])</f>
        <v>-921.79760330578574</v>
      </c>
      <c r="AL104" s="847">
        <f>IFERROR(Tabla1[[#This Row],[PRECIO $ BOLSA 50KG  FOB CDO TUC (IVA INC)]]/Tabla1[[#This Row],[PRECIO REF $ BOLSA 50 KG CACTU (IVA INC)]]-1,"")</f>
        <v>-3.0051868516772218E-2</v>
      </c>
      <c r="AM104" s="846">
        <f>+Tabla1[[#This Row],[DIF $ PRECIO NETO INDUSTRIA vs Neto TUCUMAN (IVA INC)]]*Tabla1[[#This Row],[Q Bolsas Equivalentes 50kg]]</f>
        <v>-645258.32231405005</v>
      </c>
      <c r="AN104" s="846">
        <f>Tabla1[[#This Row],[PRECIO REF $ BOLSA 50 KG CACTU (IVA INC)]]*Tabla1[[#This Row],[Q Bolsas Equivalentes 50kg]]</f>
        <v>21471487.603305787</v>
      </c>
      <c r="AO104" s="846">
        <f>+Tabla1[[#This Row],[PRECIO $ BOLSA 50KG  FOB CDO TUC (IVA INC)]]*Tabla1[[#This Row],[Q Bolsas Equivalentes 50kg]]</f>
        <v>20826229.280991737</v>
      </c>
      <c r="AP104" s="847">
        <v>2.9000000000000001E-2</v>
      </c>
      <c r="AQ104" s="846">
        <v>-89</v>
      </c>
      <c r="AR104" s="848"/>
      <c r="AS104" s="849" t="s">
        <v>570</v>
      </c>
      <c r="AT104" s="924">
        <f>+Tabla1[[#This Row],[VENTA TOTAL $ (IVA INC) ]]-(SUM(Tabla1[[#This Row],[PENDIENTE DE ENTREGA]:[VALORES COBRADOS]]))</f>
        <v>0</v>
      </c>
      <c r="AU104" s="850">
        <f>VLOOKUP(Tabla1[[#This Row],[FECHA OC]],'TIPO DE CAMBIO'!A:B,2,TRUE)</f>
        <v>1411.1795999999999</v>
      </c>
      <c r="AV104" s="850">
        <f>+Tabla1[[#This Row],[SUBTOTAL]]/Tabla1[[#This Row],[TIPO DE CAMBIO]]</f>
        <v>14758.182644499493</v>
      </c>
      <c r="AW104" s="851"/>
      <c r="AX104" s="850">
        <f>IFERROR(Tabla1[[#This Row],[VENTA TOTAL USD A PLAZO EN CLIENTE  (SIN IVA)]]*(1+Tabla1[[#This Row],[% IVA ]]),"")</f>
        <v>14758.182644499493</v>
      </c>
      <c r="AY104" s="850">
        <f>+Tabla1[[#This Row],[VENTA TOTAL USD A PLAZO EN CLIENTE  (SIN IVA)]]/Tabla1[[#This Row],[KGS]]*1000</f>
        <v>421.66236127141411</v>
      </c>
      <c r="AZ104" s="850">
        <f>-Tabla1[[#This Row],[COSTO FLETE $ POR BOLSA 5O KG (SIN IVA)]]*20/Tabla1[[#This Row],[TIPO DE CAMBIO]]</f>
        <v>1.2613561023699607</v>
      </c>
      <c r="BA104" s="850">
        <f>+Tabla1[[#This Row],[GASTOS FINANCIEROS $ BOLSA 50 KG (IVA INC)]]*20/Tabla1[[#This Row],[TIPO DE CAMBIO]]</f>
        <v>0</v>
      </c>
      <c r="BB104" s="850">
        <f>+Tabla1[[#This Row],[PRECIO POR TN USD EN CLIENTE A PLAZO (SIN IVA)]]+Tabla1[[#This Row],[COSTO USD FLETE /TN (SIN IVA)]]+Tabla1[[#This Row],[COSTO FINANCIERO USD POR BOLSA 50KG (IVA INC)]]</f>
        <v>422.92371737378409</v>
      </c>
      <c r="BC104" s="848">
        <v>5</v>
      </c>
      <c r="BD104" s="944" t="s">
        <v>540</v>
      </c>
    </row>
    <row r="105" spans="1:56" ht="15.75" customHeight="1">
      <c r="A105" s="912">
        <v>46143</v>
      </c>
      <c r="B105" s="828">
        <v>1</v>
      </c>
      <c r="C105" s="936" t="s">
        <v>525</v>
      </c>
      <c r="D105" s="829">
        <f>+Tabla1[[#This Row],[FECHA Entrega]]</f>
        <v>46172.845833333333</v>
      </c>
      <c r="E105" s="830"/>
      <c r="F105" s="831" t="s">
        <v>448</v>
      </c>
      <c r="G105" s="832" t="s">
        <v>357</v>
      </c>
      <c r="H105" s="833">
        <v>46172.845833333333</v>
      </c>
      <c r="I105" s="834">
        <f t="shared" ref="I105" si="72">800*50</f>
        <v>40000</v>
      </c>
      <c r="J105" s="835">
        <f t="shared" si="65"/>
        <v>595.04132231404958</v>
      </c>
      <c r="K105" s="836">
        <f t="shared" si="69"/>
        <v>23801652.892561983</v>
      </c>
      <c r="L10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05" s="837">
        <f t="shared" si="70"/>
        <v>23801652.892561983</v>
      </c>
      <c r="N105" s="838">
        <v>0</v>
      </c>
      <c r="O105" s="838">
        <v>0</v>
      </c>
      <c r="P105" s="838">
        <v>0</v>
      </c>
      <c r="Q105" s="839">
        <f>+Tabla1[[#This Row],[VENTA TOTAL $ (IVA INC) ]]</f>
        <v>23801652.892561983</v>
      </c>
      <c r="R105" s="840">
        <f>+Tabla1[[#This Row],[FECHA FC]]+Tabla1[[#This Row],[PLAZO ENTREGA VALORES]]</f>
        <v>46172.845833333333</v>
      </c>
      <c r="S105" s="840">
        <f>+Tabla1[[#This Row],[FECHA FC]]+Tabla1[[#This Row],[PLAZO PAGO (DIAS)]]</f>
        <v>46172.845833333333</v>
      </c>
      <c r="T105" s="834">
        <f t="shared" ca="1" si="71"/>
        <v>-8.1541666666671517</v>
      </c>
      <c r="U105" s="831">
        <v>0</v>
      </c>
      <c r="V105" s="831"/>
      <c r="W105" s="841">
        <f>+Tabla1[[#This Row],[FECHA VTO VALORES]]+7</f>
        <v>46179.845833333333</v>
      </c>
      <c r="X105" s="831" t="s">
        <v>526</v>
      </c>
      <c r="Y105" s="840">
        <v>46169</v>
      </c>
      <c r="Z105" s="842">
        <f>Tabla1[[#This Row],[KGS]]/50</f>
        <v>800</v>
      </c>
      <c r="AA10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29752.066115702481</v>
      </c>
      <c r="AB105" s="844">
        <f>-Tabla1[[#This Row],[COSTO FLETE $ POR BOLSA 5O KG (SIN IVA)]]*1.21-Tabla1[[#This Row],[PRECIO $/ KG A PLAZO EN CLIENTE ( SIN IVA)]]*0.003*1.21*50</f>
        <v>-0.31000000000000227</v>
      </c>
      <c r="AC105" s="845">
        <f>SUM(Tabla1[[#This Row],[PRECIO $ BOLSA 50 KG (IVA INC) ]]+Tabla1[[#This Row],[COSTO FLETE $ BOLSA 50 KG (IVA INC)]])</f>
        <v>29751.756115702479</v>
      </c>
      <c r="AD105" s="844">
        <f>-Tabla1[[#This Row],[PRECIO $ BOLSA 50 KG (IVA INC) ]]*(Tabla1[[#This Row],[TASA FINANCIACION MENSUAL]]/365)*Tabla1[[#This Row],[PLAZO ENTREGA VALORES]]</f>
        <v>0</v>
      </c>
      <c r="AE105" s="845">
        <f>SUM(Tabla1[[#This Row],[PRECIO $ BOLSA50 KG  FOB TUCUMAN A PLAZO (IVA INC)]]+Tabla1[[#This Row],[GASTOS FINANCIEROS $ BOLSA 50 KG (IVA INC)]])</f>
        <v>29751.756115702479</v>
      </c>
      <c r="AF105" s="828" t="s">
        <v>359</v>
      </c>
      <c r="AG105" s="828" t="s">
        <v>365</v>
      </c>
      <c r="AH105" s="828" t="s">
        <v>387</v>
      </c>
      <c r="AI105" s="828" t="s">
        <v>260</v>
      </c>
      <c r="AJ10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30673.553719008265</v>
      </c>
      <c r="AK105" s="846">
        <f>SUM(Tabla1[[#This Row],[PRECIO $ BOLSA 50KG  FOB CDO TUC (IVA INC)]]-Tabla1[[#This Row],[PRECIO REF $ BOLSA 50 KG CACTU (IVA INC)]])</f>
        <v>-921.79760330578574</v>
      </c>
      <c r="AL105" s="847">
        <f>IFERROR(Tabla1[[#This Row],[PRECIO $ BOLSA 50KG  FOB CDO TUC (IVA INC)]]/Tabla1[[#This Row],[PRECIO REF $ BOLSA 50 KG CACTU (IVA INC)]]-1,"")</f>
        <v>-3.0051868516772218E-2</v>
      </c>
      <c r="AM105" s="846">
        <f>+Tabla1[[#This Row],[DIF $ PRECIO NETO INDUSTRIA vs Neto TUCUMAN (IVA INC)]]*Tabla1[[#This Row],[Q Bolsas Equivalentes 50kg]]</f>
        <v>-737438.08264462859</v>
      </c>
      <c r="AN105" s="846">
        <f>Tabla1[[#This Row],[PRECIO REF $ BOLSA 50 KG CACTU (IVA INC)]]*Tabla1[[#This Row],[Q Bolsas Equivalentes 50kg]]</f>
        <v>24538842.975206614</v>
      </c>
      <c r="AO105" s="846">
        <f>+Tabla1[[#This Row],[PRECIO $ BOLSA 50KG  FOB CDO TUC (IVA INC)]]*Tabla1[[#This Row],[Q Bolsas Equivalentes 50kg]]</f>
        <v>23801404.892561983</v>
      </c>
      <c r="AP105" s="847">
        <v>2.9000000000000001E-2</v>
      </c>
      <c r="AQ105" s="846">
        <v>-89</v>
      </c>
      <c r="AR105" s="848"/>
      <c r="AS105" s="849" t="s">
        <v>571</v>
      </c>
      <c r="AT105" s="924">
        <f>+Tabla1[[#This Row],[VENTA TOTAL $ (IVA INC) ]]-(SUM(Tabla1[[#This Row],[PENDIENTE DE ENTREGA]:[VALORES COBRADOS]]))</f>
        <v>0</v>
      </c>
      <c r="AU105" s="850">
        <f>VLOOKUP(Tabla1[[#This Row],[FECHA OC]],'TIPO DE CAMBIO'!A:B,2,TRUE)</f>
        <v>1411.1795999999999</v>
      </c>
      <c r="AV105" s="850">
        <f>+Tabla1[[#This Row],[SUBTOTAL]]/Tabla1[[#This Row],[TIPO DE CAMBIO]]</f>
        <v>16866.494450856564</v>
      </c>
      <c r="AW105" s="851"/>
      <c r="AX105" s="850">
        <f>IFERROR(Tabla1[[#This Row],[VENTA TOTAL USD A PLAZO EN CLIENTE  (SIN IVA)]]*(1+Tabla1[[#This Row],[% IVA ]]),"")</f>
        <v>16866.494450856564</v>
      </c>
      <c r="AY105" s="850">
        <f>+Tabla1[[#This Row],[VENTA TOTAL USD A PLAZO EN CLIENTE  (SIN IVA)]]/Tabla1[[#This Row],[KGS]]*1000</f>
        <v>421.66236127141411</v>
      </c>
      <c r="AZ105" s="850">
        <f>-Tabla1[[#This Row],[COSTO FLETE $ POR BOLSA 5O KG (SIN IVA)]]*20/Tabla1[[#This Row],[TIPO DE CAMBIO]]</f>
        <v>1.2613561023699607</v>
      </c>
      <c r="BA105" s="850">
        <f>+Tabla1[[#This Row],[GASTOS FINANCIEROS $ BOLSA 50 KG (IVA INC)]]*20/Tabla1[[#This Row],[TIPO DE CAMBIO]]</f>
        <v>0</v>
      </c>
      <c r="BB105" s="850">
        <f>+Tabla1[[#This Row],[PRECIO POR TN USD EN CLIENTE A PLAZO (SIN IVA)]]+Tabla1[[#This Row],[COSTO USD FLETE /TN (SIN IVA)]]+Tabla1[[#This Row],[COSTO FINANCIERO USD POR BOLSA 50KG (IVA INC)]]</f>
        <v>422.92371737378409</v>
      </c>
      <c r="BC105" s="848">
        <v>5</v>
      </c>
      <c r="BD105" s="944" t="s">
        <v>540</v>
      </c>
    </row>
    <row r="106" spans="1:56" ht="15.75" customHeight="1">
      <c r="A106" s="912">
        <v>46143</v>
      </c>
      <c r="B106" s="828">
        <v>1</v>
      </c>
      <c r="C106" s="936" t="s">
        <v>525</v>
      </c>
      <c r="D106" s="829">
        <f>+Tabla1[[#This Row],[FECHA Entrega]]</f>
        <v>46174.680555555555</v>
      </c>
      <c r="E106" s="830"/>
      <c r="F106" s="831" t="s">
        <v>448</v>
      </c>
      <c r="G106" s="832" t="s">
        <v>357</v>
      </c>
      <c r="H106" s="833">
        <v>46174.680555555555</v>
      </c>
      <c r="I106" s="834">
        <f>800*50</f>
        <v>40000</v>
      </c>
      <c r="J106" s="835">
        <f t="shared" si="65"/>
        <v>595.04132231404958</v>
      </c>
      <c r="K106" s="836">
        <f t="shared" si="69"/>
        <v>23801652.892561983</v>
      </c>
      <c r="L10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06" s="837">
        <f t="shared" si="70"/>
        <v>23801652.892561983</v>
      </c>
      <c r="N106" s="838">
        <v>0</v>
      </c>
      <c r="O106" s="838">
        <v>0</v>
      </c>
      <c r="P106" s="838">
        <v>0</v>
      </c>
      <c r="Q106" s="839">
        <f>+Tabla1[[#This Row],[VENTA TOTAL $ (IVA INC) ]]</f>
        <v>23801652.892561983</v>
      </c>
      <c r="R106" s="840">
        <f>+Tabla1[[#This Row],[FECHA FC]]+Tabla1[[#This Row],[PLAZO ENTREGA VALORES]]</f>
        <v>46174.680555555555</v>
      </c>
      <c r="S106" s="840">
        <f>+Tabla1[[#This Row],[FECHA FC]]+Tabla1[[#This Row],[PLAZO PAGO (DIAS)]]</f>
        <v>46174.680555555555</v>
      </c>
      <c r="T106" s="834">
        <f t="shared" ca="1" si="71"/>
        <v>-6.3194444444452529</v>
      </c>
      <c r="U106" s="831">
        <v>0</v>
      </c>
      <c r="V106" s="831"/>
      <c r="W106" s="841">
        <f>+Tabla1[[#This Row],[FECHA VTO VALORES]]+7</f>
        <v>46181.680555555555</v>
      </c>
      <c r="X106" s="831" t="s">
        <v>526</v>
      </c>
      <c r="Y106" s="840">
        <v>46169</v>
      </c>
      <c r="Z106" s="842">
        <f>Tabla1[[#This Row],[KGS]]/50</f>
        <v>800</v>
      </c>
      <c r="AA10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29752.066115702481</v>
      </c>
      <c r="AB106" s="844">
        <f>-Tabla1[[#This Row],[COSTO FLETE $ POR BOLSA 5O KG (SIN IVA)]]*1.21-Tabla1[[#This Row],[PRECIO $/ KG A PLAZO EN CLIENTE ( SIN IVA)]]*0.003*1.21*50</f>
        <v>-0.31000000000000227</v>
      </c>
      <c r="AC106" s="845">
        <f>SUM(Tabla1[[#This Row],[PRECIO $ BOLSA 50 KG (IVA INC) ]]+Tabla1[[#This Row],[COSTO FLETE $ BOLSA 50 KG (IVA INC)]])</f>
        <v>29751.756115702479</v>
      </c>
      <c r="AD106" s="844">
        <f>-Tabla1[[#This Row],[PRECIO $ BOLSA 50 KG (IVA INC) ]]*(Tabla1[[#This Row],[TASA FINANCIACION MENSUAL]]/365)*Tabla1[[#This Row],[PLAZO ENTREGA VALORES]]</f>
        <v>0</v>
      </c>
      <c r="AE106" s="845">
        <f>SUM(Tabla1[[#This Row],[PRECIO $ BOLSA50 KG  FOB TUCUMAN A PLAZO (IVA INC)]]+Tabla1[[#This Row],[GASTOS FINANCIEROS $ BOLSA 50 KG (IVA INC)]])</f>
        <v>29751.756115702479</v>
      </c>
      <c r="AF106" s="828" t="s">
        <v>359</v>
      </c>
      <c r="AG106" s="828" t="s">
        <v>365</v>
      </c>
      <c r="AH106" s="828" t="s">
        <v>387</v>
      </c>
      <c r="AI106" s="828" t="s">
        <v>260</v>
      </c>
      <c r="AJ10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30673.553719008265</v>
      </c>
      <c r="AK106" s="846">
        <f>SUM(Tabla1[[#This Row],[PRECIO $ BOLSA 50KG  FOB CDO TUC (IVA INC)]]-Tabla1[[#This Row],[PRECIO REF $ BOLSA 50 KG CACTU (IVA INC)]])</f>
        <v>-921.79760330578574</v>
      </c>
      <c r="AL106" s="847">
        <f>IFERROR(Tabla1[[#This Row],[PRECIO $ BOLSA 50KG  FOB CDO TUC (IVA INC)]]/Tabla1[[#This Row],[PRECIO REF $ BOLSA 50 KG CACTU (IVA INC)]]-1,"")</f>
        <v>-3.0051868516772218E-2</v>
      </c>
      <c r="AM106" s="846">
        <f>+Tabla1[[#This Row],[DIF $ PRECIO NETO INDUSTRIA vs Neto TUCUMAN (IVA INC)]]*Tabla1[[#This Row],[Q Bolsas Equivalentes 50kg]]</f>
        <v>-737438.08264462859</v>
      </c>
      <c r="AN106" s="846">
        <f>Tabla1[[#This Row],[PRECIO REF $ BOLSA 50 KG CACTU (IVA INC)]]*Tabla1[[#This Row],[Q Bolsas Equivalentes 50kg]]</f>
        <v>24538842.975206614</v>
      </c>
      <c r="AO106" s="846">
        <f>+Tabla1[[#This Row],[PRECIO $ BOLSA 50KG  FOB CDO TUC (IVA INC)]]*Tabla1[[#This Row],[Q Bolsas Equivalentes 50kg]]</f>
        <v>23801404.892561983</v>
      </c>
      <c r="AP106" s="847">
        <v>2.9000000000000001E-2</v>
      </c>
      <c r="AQ106" s="846">
        <v>-89</v>
      </c>
      <c r="AR106" s="848"/>
      <c r="AS106" s="849" t="s">
        <v>572</v>
      </c>
      <c r="AT106" s="924">
        <f>+Tabla1[[#This Row],[VENTA TOTAL $ (IVA INC) ]]-(SUM(Tabla1[[#This Row],[PENDIENTE DE ENTREGA]:[VALORES COBRADOS]]))</f>
        <v>0</v>
      </c>
      <c r="AU106" s="850">
        <f>VLOOKUP(Tabla1[[#This Row],[FECHA OC]],'TIPO DE CAMBIO'!A:B,2,TRUE)</f>
        <v>1411.1795999999999</v>
      </c>
      <c r="AV106" s="850">
        <f>+Tabla1[[#This Row],[SUBTOTAL]]/Tabla1[[#This Row],[TIPO DE CAMBIO]]</f>
        <v>16866.494450856564</v>
      </c>
      <c r="AW106" s="851"/>
      <c r="AX106" s="850">
        <f>IFERROR(Tabla1[[#This Row],[VENTA TOTAL USD A PLAZO EN CLIENTE  (SIN IVA)]]*(1+Tabla1[[#This Row],[% IVA ]]),"")</f>
        <v>16866.494450856564</v>
      </c>
      <c r="AY106" s="850">
        <f>+Tabla1[[#This Row],[VENTA TOTAL USD A PLAZO EN CLIENTE  (SIN IVA)]]/Tabla1[[#This Row],[KGS]]*1000</f>
        <v>421.66236127141411</v>
      </c>
      <c r="AZ106" s="850">
        <f>-Tabla1[[#This Row],[COSTO FLETE $ POR BOLSA 5O KG (SIN IVA)]]*20/Tabla1[[#This Row],[TIPO DE CAMBIO]]</f>
        <v>1.2613561023699607</v>
      </c>
      <c r="BA106" s="850">
        <f>+Tabla1[[#This Row],[GASTOS FINANCIEROS $ BOLSA 50 KG (IVA INC)]]*20/Tabla1[[#This Row],[TIPO DE CAMBIO]]</f>
        <v>0</v>
      </c>
      <c r="BB106" s="850">
        <f>+Tabla1[[#This Row],[PRECIO POR TN USD EN CLIENTE A PLAZO (SIN IVA)]]+Tabla1[[#This Row],[COSTO USD FLETE /TN (SIN IVA)]]+Tabla1[[#This Row],[COSTO FINANCIERO USD POR BOLSA 50KG (IVA INC)]]</f>
        <v>422.92371737378409</v>
      </c>
      <c r="BC106" s="848">
        <v>5</v>
      </c>
      <c r="BD106" s="944" t="s">
        <v>540</v>
      </c>
    </row>
    <row r="107" spans="1:56" ht="15.75" customHeight="1">
      <c r="A107" s="912">
        <v>46143</v>
      </c>
      <c r="B107" s="828">
        <v>1</v>
      </c>
      <c r="C107" s="936" t="s">
        <v>525</v>
      </c>
      <c r="D107" s="829">
        <f>+Tabla1[[#This Row],[FECHA Entrega]]</f>
        <v>46176.732638888891</v>
      </c>
      <c r="E107" s="830"/>
      <c r="F107" s="831" t="s">
        <v>448</v>
      </c>
      <c r="G107" s="832" t="s">
        <v>357</v>
      </c>
      <c r="H107" s="833">
        <v>46176.732638888891</v>
      </c>
      <c r="I107" s="834">
        <f>800*50</f>
        <v>40000</v>
      </c>
      <c r="J107" s="835">
        <f t="shared" si="65"/>
        <v>595.04132231404958</v>
      </c>
      <c r="K107" s="836">
        <f t="shared" si="69"/>
        <v>23801652.892561983</v>
      </c>
      <c r="L10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07" s="837">
        <f t="shared" si="70"/>
        <v>23801652.892561983</v>
      </c>
      <c r="N107" s="838">
        <v>0</v>
      </c>
      <c r="O107" s="838">
        <v>0</v>
      </c>
      <c r="P107" s="838">
        <v>0</v>
      </c>
      <c r="Q107" s="839">
        <f>+Tabla1[[#This Row],[VENTA TOTAL $ (IVA INC) ]]</f>
        <v>23801652.892561983</v>
      </c>
      <c r="R107" s="840">
        <f>+Tabla1[[#This Row],[FECHA FC]]+Tabla1[[#This Row],[PLAZO ENTREGA VALORES]]</f>
        <v>46176.732638888891</v>
      </c>
      <c r="S107" s="840">
        <f>+Tabla1[[#This Row],[FECHA FC]]+Tabla1[[#This Row],[PLAZO PAGO (DIAS)]]</f>
        <v>46176.732638888891</v>
      </c>
      <c r="T107" s="834">
        <f t="shared" ca="1" si="71"/>
        <v>-4.2673611111094942</v>
      </c>
      <c r="U107" s="831">
        <v>0</v>
      </c>
      <c r="V107" s="831"/>
      <c r="W107" s="841">
        <f>+Tabla1[[#This Row],[FECHA VTO VALORES]]+7</f>
        <v>46183.732638888891</v>
      </c>
      <c r="X107" s="831" t="s">
        <v>526</v>
      </c>
      <c r="Y107" s="840">
        <v>46169</v>
      </c>
      <c r="Z107" s="842">
        <f>Tabla1[[#This Row],[KGS]]/50</f>
        <v>800</v>
      </c>
      <c r="AA10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29752.066115702481</v>
      </c>
      <c r="AB107" s="844">
        <f>-Tabla1[[#This Row],[COSTO FLETE $ POR BOLSA 5O KG (SIN IVA)]]*1.21-Tabla1[[#This Row],[PRECIO $/ KG A PLAZO EN CLIENTE ( SIN IVA)]]*0.003*1.21*50</f>
        <v>-0.31000000000000227</v>
      </c>
      <c r="AC107" s="845">
        <f>SUM(Tabla1[[#This Row],[PRECIO $ BOLSA 50 KG (IVA INC) ]]+Tabla1[[#This Row],[COSTO FLETE $ BOLSA 50 KG (IVA INC)]])</f>
        <v>29751.756115702479</v>
      </c>
      <c r="AD107" s="844">
        <f>-Tabla1[[#This Row],[PRECIO $ BOLSA 50 KG (IVA INC) ]]*(Tabla1[[#This Row],[TASA FINANCIACION MENSUAL]]/365)*Tabla1[[#This Row],[PLAZO ENTREGA VALORES]]</f>
        <v>0</v>
      </c>
      <c r="AE107" s="845">
        <f>SUM(Tabla1[[#This Row],[PRECIO $ BOLSA50 KG  FOB TUCUMAN A PLAZO (IVA INC)]]+Tabla1[[#This Row],[GASTOS FINANCIEROS $ BOLSA 50 KG (IVA INC)]])</f>
        <v>29751.756115702479</v>
      </c>
      <c r="AF107" s="828" t="s">
        <v>359</v>
      </c>
      <c r="AG107" s="828" t="s">
        <v>365</v>
      </c>
      <c r="AH107" s="828" t="s">
        <v>387</v>
      </c>
      <c r="AI107" s="828" t="s">
        <v>260</v>
      </c>
      <c r="AJ10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30673.553719008265</v>
      </c>
      <c r="AK107" s="846">
        <f>SUM(Tabla1[[#This Row],[PRECIO $ BOLSA 50KG  FOB CDO TUC (IVA INC)]]-Tabla1[[#This Row],[PRECIO REF $ BOLSA 50 KG CACTU (IVA INC)]])</f>
        <v>-921.79760330578574</v>
      </c>
      <c r="AL107" s="847">
        <f>IFERROR(Tabla1[[#This Row],[PRECIO $ BOLSA 50KG  FOB CDO TUC (IVA INC)]]/Tabla1[[#This Row],[PRECIO REF $ BOLSA 50 KG CACTU (IVA INC)]]-1,"")</f>
        <v>-3.0051868516772218E-2</v>
      </c>
      <c r="AM107" s="846">
        <f>+Tabla1[[#This Row],[DIF $ PRECIO NETO INDUSTRIA vs Neto TUCUMAN (IVA INC)]]*Tabla1[[#This Row],[Q Bolsas Equivalentes 50kg]]</f>
        <v>-737438.08264462859</v>
      </c>
      <c r="AN107" s="846">
        <f>Tabla1[[#This Row],[PRECIO REF $ BOLSA 50 KG CACTU (IVA INC)]]*Tabla1[[#This Row],[Q Bolsas Equivalentes 50kg]]</f>
        <v>24538842.975206614</v>
      </c>
      <c r="AO107" s="846">
        <f>+Tabla1[[#This Row],[PRECIO $ BOLSA 50KG  FOB CDO TUC (IVA INC)]]*Tabla1[[#This Row],[Q Bolsas Equivalentes 50kg]]</f>
        <v>23801404.892561983</v>
      </c>
      <c r="AP107" s="847">
        <v>2.9000000000000001E-2</v>
      </c>
      <c r="AQ107" s="846">
        <v>-89</v>
      </c>
      <c r="AR107" s="848"/>
      <c r="AS107" s="849" t="s">
        <v>573</v>
      </c>
      <c r="AT107" s="924">
        <f>+Tabla1[[#This Row],[VENTA TOTAL $ (IVA INC) ]]-(SUM(Tabla1[[#This Row],[PENDIENTE DE ENTREGA]:[VALORES COBRADOS]]))</f>
        <v>0</v>
      </c>
      <c r="AU107" s="850">
        <f>VLOOKUP(Tabla1[[#This Row],[FECHA OC]],'TIPO DE CAMBIO'!A:B,2,TRUE)</f>
        <v>1411.1795999999999</v>
      </c>
      <c r="AV107" s="850">
        <f>+Tabla1[[#This Row],[SUBTOTAL]]/Tabla1[[#This Row],[TIPO DE CAMBIO]]</f>
        <v>16866.494450856564</v>
      </c>
      <c r="AW107" s="851"/>
      <c r="AX107" s="850">
        <f>IFERROR(Tabla1[[#This Row],[VENTA TOTAL USD A PLAZO EN CLIENTE  (SIN IVA)]]*(1+Tabla1[[#This Row],[% IVA ]]),"")</f>
        <v>16866.494450856564</v>
      </c>
      <c r="AY107" s="850">
        <f>+Tabla1[[#This Row],[VENTA TOTAL USD A PLAZO EN CLIENTE  (SIN IVA)]]/Tabla1[[#This Row],[KGS]]*1000</f>
        <v>421.66236127141411</v>
      </c>
      <c r="AZ107" s="850">
        <f>-Tabla1[[#This Row],[COSTO FLETE $ POR BOLSA 5O KG (SIN IVA)]]*20/Tabla1[[#This Row],[TIPO DE CAMBIO]]</f>
        <v>1.2613561023699607</v>
      </c>
      <c r="BA107" s="850">
        <f>+Tabla1[[#This Row],[GASTOS FINANCIEROS $ BOLSA 50 KG (IVA INC)]]*20/Tabla1[[#This Row],[TIPO DE CAMBIO]]</f>
        <v>0</v>
      </c>
      <c r="BB107" s="850">
        <f>+Tabla1[[#This Row],[PRECIO POR TN USD EN CLIENTE A PLAZO (SIN IVA)]]+Tabla1[[#This Row],[COSTO USD FLETE /TN (SIN IVA)]]+Tabla1[[#This Row],[COSTO FINANCIERO USD POR BOLSA 50KG (IVA INC)]]</f>
        <v>422.92371737378409</v>
      </c>
      <c r="BC107" s="848">
        <v>5</v>
      </c>
      <c r="BD107" s="944" t="s">
        <v>540</v>
      </c>
    </row>
    <row r="108" spans="1:56" ht="15.75" customHeight="1">
      <c r="A108" s="912">
        <v>46143</v>
      </c>
      <c r="B108" s="828">
        <v>1</v>
      </c>
      <c r="C108" s="936" t="s">
        <v>525</v>
      </c>
      <c r="D108" s="829">
        <f>+Tabla1[[#This Row],[FECHA Entrega]]</f>
        <v>46177.834027777775</v>
      </c>
      <c r="E108" s="830"/>
      <c r="F108" s="831" t="s">
        <v>448</v>
      </c>
      <c r="G108" s="832" t="s">
        <v>357</v>
      </c>
      <c r="H108" s="833">
        <v>46177.834027777775</v>
      </c>
      <c r="I108" s="834">
        <f>800*50</f>
        <v>40000</v>
      </c>
      <c r="J108" s="835">
        <f t="shared" si="65"/>
        <v>595.04132231404958</v>
      </c>
      <c r="K108" s="836">
        <f t="shared" si="69"/>
        <v>23801652.892561983</v>
      </c>
      <c r="L10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08" s="837">
        <f t="shared" si="70"/>
        <v>23801652.892561983</v>
      </c>
      <c r="N108" s="838">
        <v>0</v>
      </c>
      <c r="O108" s="838">
        <v>0</v>
      </c>
      <c r="P108" s="838">
        <v>0</v>
      </c>
      <c r="Q108" s="839">
        <f>+Tabla1[[#This Row],[VENTA TOTAL $ (IVA INC) ]]</f>
        <v>23801652.892561983</v>
      </c>
      <c r="R108" s="840">
        <f>+Tabla1[[#This Row],[FECHA FC]]+Tabla1[[#This Row],[PLAZO ENTREGA VALORES]]</f>
        <v>46177.834027777775</v>
      </c>
      <c r="S108" s="840">
        <f>+Tabla1[[#This Row],[FECHA FC]]+Tabla1[[#This Row],[PLAZO PAGO (DIAS)]]</f>
        <v>46177.834027777775</v>
      </c>
      <c r="T108" s="834">
        <f t="shared" ca="1" si="71"/>
        <v>-3.1659722222248092</v>
      </c>
      <c r="U108" s="831">
        <v>0</v>
      </c>
      <c r="V108" s="831"/>
      <c r="W108" s="841">
        <f>+Tabla1[[#This Row],[FECHA VTO VALORES]]+7</f>
        <v>46184.834027777775</v>
      </c>
      <c r="X108" s="831" t="s">
        <v>526</v>
      </c>
      <c r="Y108" s="840">
        <v>46169</v>
      </c>
      <c r="Z108" s="842">
        <f>Tabla1[[#This Row],[KGS]]/50</f>
        <v>800</v>
      </c>
      <c r="AA10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29752.066115702481</v>
      </c>
      <c r="AB108" s="844">
        <f>-Tabla1[[#This Row],[COSTO FLETE $ POR BOLSA 5O KG (SIN IVA)]]*1.21-Tabla1[[#This Row],[PRECIO $/ KG A PLAZO EN CLIENTE ( SIN IVA)]]*0.003*1.21*50</f>
        <v>-0.31000000000000227</v>
      </c>
      <c r="AC108" s="845">
        <f>SUM(Tabla1[[#This Row],[PRECIO $ BOLSA 50 KG (IVA INC) ]]+Tabla1[[#This Row],[COSTO FLETE $ BOLSA 50 KG (IVA INC)]])</f>
        <v>29751.756115702479</v>
      </c>
      <c r="AD108" s="844">
        <f>-Tabla1[[#This Row],[PRECIO $ BOLSA 50 KG (IVA INC) ]]*(Tabla1[[#This Row],[TASA FINANCIACION MENSUAL]]/365)*Tabla1[[#This Row],[PLAZO ENTREGA VALORES]]</f>
        <v>0</v>
      </c>
      <c r="AE108" s="845">
        <f>SUM(Tabla1[[#This Row],[PRECIO $ BOLSA50 KG  FOB TUCUMAN A PLAZO (IVA INC)]]+Tabla1[[#This Row],[GASTOS FINANCIEROS $ BOLSA 50 KG (IVA INC)]])</f>
        <v>29751.756115702479</v>
      </c>
      <c r="AF108" s="828" t="s">
        <v>359</v>
      </c>
      <c r="AG108" s="828" t="s">
        <v>365</v>
      </c>
      <c r="AH108" s="828" t="s">
        <v>387</v>
      </c>
      <c r="AI108" s="828" t="s">
        <v>260</v>
      </c>
      <c r="AJ10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30673.553719008265</v>
      </c>
      <c r="AK108" s="846">
        <f>SUM(Tabla1[[#This Row],[PRECIO $ BOLSA 50KG  FOB CDO TUC (IVA INC)]]-Tabla1[[#This Row],[PRECIO REF $ BOLSA 50 KG CACTU (IVA INC)]])</f>
        <v>-921.79760330578574</v>
      </c>
      <c r="AL108" s="847">
        <f>IFERROR(Tabla1[[#This Row],[PRECIO $ BOLSA 50KG  FOB CDO TUC (IVA INC)]]/Tabla1[[#This Row],[PRECIO REF $ BOLSA 50 KG CACTU (IVA INC)]]-1,"")</f>
        <v>-3.0051868516772218E-2</v>
      </c>
      <c r="AM108" s="846">
        <f>+Tabla1[[#This Row],[DIF $ PRECIO NETO INDUSTRIA vs Neto TUCUMAN (IVA INC)]]*Tabla1[[#This Row],[Q Bolsas Equivalentes 50kg]]</f>
        <v>-737438.08264462859</v>
      </c>
      <c r="AN108" s="846">
        <f>Tabla1[[#This Row],[PRECIO REF $ BOLSA 50 KG CACTU (IVA INC)]]*Tabla1[[#This Row],[Q Bolsas Equivalentes 50kg]]</f>
        <v>24538842.975206614</v>
      </c>
      <c r="AO108" s="846">
        <f>+Tabla1[[#This Row],[PRECIO $ BOLSA 50KG  FOB CDO TUC (IVA INC)]]*Tabla1[[#This Row],[Q Bolsas Equivalentes 50kg]]</f>
        <v>23801404.892561983</v>
      </c>
      <c r="AP108" s="847">
        <v>2.9000000000000001E-2</v>
      </c>
      <c r="AQ108" s="846">
        <v>-89</v>
      </c>
      <c r="AR108" s="848"/>
      <c r="AS108" s="849" t="s">
        <v>574</v>
      </c>
      <c r="AT108" s="924">
        <f>+Tabla1[[#This Row],[VENTA TOTAL $ (IVA INC) ]]-(SUM(Tabla1[[#This Row],[PENDIENTE DE ENTREGA]:[VALORES COBRADOS]]))</f>
        <v>0</v>
      </c>
      <c r="AU108" s="850">
        <f>VLOOKUP(Tabla1[[#This Row],[FECHA OC]],'TIPO DE CAMBIO'!A:B,2,TRUE)</f>
        <v>1411.1795999999999</v>
      </c>
      <c r="AV108" s="850">
        <f>+Tabla1[[#This Row],[SUBTOTAL]]/Tabla1[[#This Row],[TIPO DE CAMBIO]]</f>
        <v>16866.494450856564</v>
      </c>
      <c r="AW108" s="851"/>
      <c r="AX108" s="850">
        <f>IFERROR(Tabla1[[#This Row],[VENTA TOTAL USD A PLAZO EN CLIENTE  (SIN IVA)]]*(1+Tabla1[[#This Row],[% IVA ]]),"")</f>
        <v>16866.494450856564</v>
      </c>
      <c r="AY108" s="850">
        <f>+Tabla1[[#This Row],[VENTA TOTAL USD A PLAZO EN CLIENTE  (SIN IVA)]]/Tabla1[[#This Row],[KGS]]*1000</f>
        <v>421.66236127141411</v>
      </c>
      <c r="AZ108" s="850">
        <f>-Tabla1[[#This Row],[COSTO FLETE $ POR BOLSA 5O KG (SIN IVA)]]*20/Tabla1[[#This Row],[TIPO DE CAMBIO]]</f>
        <v>1.2613561023699607</v>
      </c>
      <c r="BA108" s="850">
        <f>+Tabla1[[#This Row],[GASTOS FINANCIEROS $ BOLSA 50 KG (IVA INC)]]*20/Tabla1[[#This Row],[TIPO DE CAMBIO]]</f>
        <v>0</v>
      </c>
      <c r="BB108" s="850">
        <f>+Tabla1[[#This Row],[PRECIO POR TN USD EN CLIENTE A PLAZO (SIN IVA)]]+Tabla1[[#This Row],[COSTO USD FLETE /TN (SIN IVA)]]+Tabla1[[#This Row],[COSTO FINANCIERO USD POR BOLSA 50KG (IVA INC)]]</f>
        <v>422.92371737378409</v>
      </c>
      <c r="BC108" s="848">
        <v>5</v>
      </c>
      <c r="BD108" s="944" t="s">
        <v>540</v>
      </c>
    </row>
    <row r="109" spans="1:56" ht="15.75" customHeight="1">
      <c r="A109" s="912">
        <v>46143</v>
      </c>
      <c r="B109" s="828">
        <v>1</v>
      </c>
      <c r="C109" s="936" t="s">
        <v>525</v>
      </c>
      <c r="D109" s="829">
        <f>+Tabla1[[#This Row],[FECHA Entrega]]</f>
        <v>46178.642361111109</v>
      </c>
      <c r="E109" s="830"/>
      <c r="F109" s="831" t="s">
        <v>448</v>
      </c>
      <c r="G109" s="832" t="s">
        <v>357</v>
      </c>
      <c r="H109" s="833">
        <v>46178.642361111109</v>
      </c>
      <c r="I109" s="834">
        <f>600*50</f>
        <v>30000</v>
      </c>
      <c r="J109" s="835">
        <f t="shared" si="65"/>
        <v>595.04132231404958</v>
      </c>
      <c r="K109" s="836">
        <f t="shared" ref="K109" si="73">+J109*I109</f>
        <v>17851239.669421487</v>
      </c>
      <c r="L10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09" s="837">
        <f t="shared" ref="M109" si="74">SUM(K109:L109)</f>
        <v>17851239.669421487</v>
      </c>
      <c r="N109" s="838">
        <v>0</v>
      </c>
      <c r="O109" s="838">
        <v>0</v>
      </c>
      <c r="P109" s="838">
        <v>0</v>
      </c>
      <c r="Q109" s="839">
        <f>+Tabla1[[#This Row],[VENTA TOTAL $ (IVA INC) ]]</f>
        <v>17851239.669421487</v>
      </c>
      <c r="R109" s="840">
        <f>+Tabla1[[#This Row],[FECHA FC]]+Tabla1[[#This Row],[PLAZO ENTREGA VALORES]]</f>
        <v>46178.642361111109</v>
      </c>
      <c r="S109" s="840">
        <f>+Tabla1[[#This Row],[FECHA FC]]+Tabla1[[#This Row],[PLAZO PAGO (DIAS)]]</f>
        <v>46178.642361111109</v>
      </c>
      <c r="T109" s="834">
        <f t="shared" ref="T109" ca="1" si="75">+S109-$U$2</f>
        <v>-2.3576388888905058</v>
      </c>
      <c r="U109" s="831">
        <v>0</v>
      </c>
      <c r="V109" s="831"/>
      <c r="W109" s="841">
        <f>+Tabla1[[#This Row],[FECHA VTO VALORES]]+7</f>
        <v>46185.642361111109</v>
      </c>
      <c r="X109" s="831" t="s">
        <v>526</v>
      </c>
      <c r="Y109" s="840">
        <v>46169</v>
      </c>
      <c r="Z109" s="842">
        <f>Tabla1[[#This Row],[KGS]]/50</f>
        <v>600</v>
      </c>
      <c r="AA10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29752.066115702481</v>
      </c>
      <c r="AB109" s="844">
        <f>-Tabla1[[#This Row],[COSTO FLETE $ POR BOLSA 5O KG (SIN IVA)]]*1.21-Tabla1[[#This Row],[PRECIO $/ KG A PLAZO EN CLIENTE ( SIN IVA)]]*0.003*1.21*50</f>
        <v>-0.31000000000000227</v>
      </c>
      <c r="AC109" s="845">
        <f>SUM(Tabla1[[#This Row],[PRECIO $ BOLSA 50 KG (IVA INC) ]]+Tabla1[[#This Row],[COSTO FLETE $ BOLSA 50 KG (IVA INC)]])</f>
        <v>29751.756115702479</v>
      </c>
      <c r="AD109" s="844">
        <f>-Tabla1[[#This Row],[PRECIO $ BOLSA 50 KG (IVA INC) ]]*(Tabla1[[#This Row],[TASA FINANCIACION MENSUAL]]/365)*Tabla1[[#This Row],[PLAZO ENTREGA VALORES]]</f>
        <v>0</v>
      </c>
      <c r="AE109" s="845">
        <f>SUM(Tabla1[[#This Row],[PRECIO $ BOLSA50 KG  FOB TUCUMAN A PLAZO (IVA INC)]]+Tabla1[[#This Row],[GASTOS FINANCIEROS $ BOLSA 50 KG (IVA INC)]])</f>
        <v>29751.756115702479</v>
      </c>
      <c r="AF109" s="828" t="s">
        <v>359</v>
      </c>
      <c r="AG109" s="828" t="s">
        <v>365</v>
      </c>
      <c r="AH109" s="828" t="s">
        <v>387</v>
      </c>
      <c r="AI109" s="828" t="s">
        <v>260</v>
      </c>
      <c r="AJ10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30673.553719008265</v>
      </c>
      <c r="AK109" s="846">
        <f>SUM(Tabla1[[#This Row],[PRECIO $ BOLSA 50KG  FOB CDO TUC (IVA INC)]]-Tabla1[[#This Row],[PRECIO REF $ BOLSA 50 KG CACTU (IVA INC)]])</f>
        <v>-921.79760330578574</v>
      </c>
      <c r="AL109" s="847">
        <f>IFERROR(Tabla1[[#This Row],[PRECIO $ BOLSA 50KG  FOB CDO TUC (IVA INC)]]/Tabla1[[#This Row],[PRECIO REF $ BOLSA 50 KG CACTU (IVA INC)]]-1,"")</f>
        <v>-3.0051868516772218E-2</v>
      </c>
      <c r="AM109" s="846">
        <f>+Tabla1[[#This Row],[DIF $ PRECIO NETO INDUSTRIA vs Neto TUCUMAN (IVA INC)]]*Tabla1[[#This Row],[Q Bolsas Equivalentes 50kg]]</f>
        <v>-553078.5619834715</v>
      </c>
      <c r="AN109" s="846">
        <f>Tabla1[[#This Row],[PRECIO REF $ BOLSA 50 KG CACTU (IVA INC)]]*Tabla1[[#This Row],[Q Bolsas Equivalentes 50kg]]</f>
        <v>18404132.23140496</v>
      </c>
      <c r="AO109" s="846">
        <f>+Tabla1[[#This Row],[PRECIO $ BOLSA 50KG  FOB CDO TUC (IVA INC)]]*Tabla1[[#This Row],[Q Bolsas Equivalentes 50kg]]</f>
        <v>17851053.669421487</v>
      </c>
      <c r="AP109" s="847">
        <v>2.9000000000000001E-2</v>
      </c>
      <c r="AQ109" s="846">
        <v>-89</v>
      </c>
      <c r="AR109" s="848"/>
      <c r="AS109" s="849" t="s">
        <v>575</v>
      </c>
      <c r="AT109" s="924">
        <f>+Tabla1[[#This Row],[VENTA TOTAL $ (IVA INC) ]]-(SUM(Tabla1[[#This Row],[PENDIENTE DE ENTREGA]:[VALORES COBRADOS]]))</f>
        <v>0</v>
      </c>
      <c r="AU109" s="850">
        <f>VLOOKUP(Tabla1[[#This Row],[FECHA OC]],'TIPO DE CAMBIO'!A:B,2,TRUE)</f>
        <v>1411.1795999999999</v>
      </c>
      <c r="AV109" s="850">
        <f>+Tabla1[[#This Row],[SUBTOTAL]]/Tabla1[[#This Row],[TIPO DE CAMBIO]]</f>
        <v>12649.870838142422</v>
      </c>
      <c r="AW109" s="851"/>
      <c r="AX109" s="850">
        <f>IFERROR(Tabla1[[#This Row],[VENTA TOTAL USD A PLAZO EN CLIENTE  (SIN IVA)]]*(1+Tabla1[[#This Row],[% IVA ]]),"")</f>
        <v>12649.870838142422</v>
      </c>
      <c r="AY109" s="850">
        <f>+Tabla1[[#This Row],[VENTA TOTAL USD A PLAZO EN CLIENTE  (SIN IVA)]]/Tabla1[[#This Row],[KGS]]*1000</f>
        <v>421.66236127141411</v>
      </c>
      <c r="AZ109" s="850">
        <f>-Tabla1[[#This Row],[COSTO FLETE $ POR BOLSA 5O KG (SIN IVA)]]*20/Tabla1[[#This Row],[TIPO DE CAMBIO]]</f>
        <v>1.2613561023699607</v>
      </c>
      <c r="BA109" s="850">
        <f>+Tabla1[[#This Row],[GASTOS FINANCIEROS $ BOLSA 50 KG (IVA INC)]]*20/Tabla1[[#This Row],[TIPO DE CAMBIO]]</f>
        <v>0</v>
      </c>
      <c r="BB109" s="850">
        <f>+Tabla1[[#This Row],[PRECIO POR TN USD EN CLIENTE A PLAZO (SIN IVA)]]+Tabla1[[#This Row],[COSTO USD FLETE /TN (SIN IVA)]]+Tabla1[[#This Row],[COSTO FINANCIERO USD POR BOLSA 50KG (IVA INC)]]</f>
        <v>422.92371737378409</v>
      </c>
      <c r="BC109" s="848">
        <v>5</v>
      </c>
      <c r="BD109" s="944" t="s">
        <v>540</v>
      </c>
    </row>
    <row r="110" spans="1:56" ht="15.75" customHeight="1">
      <c r="A110" s="912">
        <v>46143</v>
      </c>
      <c r="B110" s="828">
        <v>1</v>
      </c>
      <c r="C110" s="911" t="s">
        <v>473</v>
      </c>
      <c r="D110" s="829">
        <f>+Tabla1[[#This Row],[FECHA Entrega]]</f>
        <v>46175</v>
      </c>
      <c r="E110" s="830"/>
      <c r="F110" s="831" t="s">
        <v>356</v>
      </c>
      <c r="G110" s="832" t="s">
        <v>357</v>
      </c>
      <c r="H110" s="852">
        <v>46175</v>
      </c>
      <c r="I110" s="834">
        <v>28006</v>
      </c>
      <c r="J110" s="835">
        <f>395/1000*Tabla1[[#This Row],[TIPO DE CAMBIO]]</f>
        <v>547.67773050000005</v>
      </c>
      <c r="K110" s="836">
        <f t="shared" si="60"/>
        <v>15338262.520383002</v>
      </c>
      <c r="L11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10" s="837">
        <f t="shared" si="45"/>
        <v>15338262.520383002</v>
      </c>
      <c r="N110" s="838">
        <v>0</v>
      </c>
      <c r="O110" s="838">
        <v>0</v>
      </c>
      <c r="P110" s="838">
        <v>0</v>
      </c>
      <c r="Q110" s="839">
        <f>+Tabla1[[#This Row],[VENTA TOTAL $ (IVA INC) ]]</f>
        <v>15338262.520383002</v>
      </c>
      <c r="R110" s="840">
        <f>+Tabla1[[#This Row],[FECHA FC]]+Tabla1[[#This Row],[PLAZO ENTREGA VALORES]]</f>
        <v>46171</v>
      </c>
      <c r="S110" s="840">
        <f>+Tabla1[[#This Row],[FECHA FC]]+Tabla1[[#This Row],[PLAZO PAGO (DIAS)]]</f>
        <v>46171</v>
      </c>
      <c r="T110" s="834">
        <f t="shared" ca="1" si="27"/>
        <v>-10</v>
      </c>
      <c r="U110" s="831">
        <v>-4</v>
      </c>
      <c r="V110" s="831"/>
      <c r="W110" s="841">
        <f t="shared" si="39"/>
        <v>46178</v>
      </c>
      <c r="X110" s="831" t="s">
        <v>490</v>
      </c>
      <c r="Y110" s="840">
        <v>46154</v>
      </c>
      <c r="Z110" s="842">
        <f>Tabla1[[#This Row],[KGS]]/50</f>
        <v>560.12</v>
      </c>
      <c r="AA11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27383.886525000002</v>
      </c>
      <c r="AB110" s="844">
        <f>-Tabla1[[#This Row],[COSTO FLETE $ POR BOLSA 5O KG (SIN IVA)]]*1.21-Tabla1[[#This Row],[PRECIO $/ KG A PLAZO EN CLIENTE ( SIN IVA)]]*0.003*1.21*50</f>
        <v>-99.403508085750019</v>
      </c>
      <c r="AC110" s="845">
        <f>SUM(Tabla1[[#This Row],[PRECIO $ BOLSA 50 KG (IVA INC) ]]+Tabla1[[#This Row],[COSTO FLETE $ BOLSA 50 KG (IVA INC)]])</f>
        <v>27284.483016914251</v>
      </c>
      <c r="AD110" s="844">
        <f>-Tabla1[[#This Row],[PRECIO $ BOLSA 50 KG (IVA INC) ]]*(Tabla1[[#This Row],[TASA FINANCIACION MENSUAL]]/365)*Tabla1[[#This Row],[PLAZO ENTREGA VALORES]]</f>
        <v>8.7028242106849323</v>
      </c>
      <c r="AE110" s="845">
        <f>SUM(Tabla1[[#This Row],[PRECIO $ BOLSA50 KG  FOB TUCUMAN A PLAZO (IVA INC)]]+Tabla1[[#This Row],[GASTOS FINANCIEROS $ BOLSA 50 KG (IVA INC)]])</f>
        <v>27293.185841124938</v>
      </c>
      <c r="AF110" s="828" t="s">
        <v>394</v>
      </c>
      <c r="AG110" s="828" t="s">
        <v>365</v>
      </c>
      <c r="AH110" s="828" t="s">
        <v>388</v>
      </c>
      <c r="AI110" s="828" t="s">
        <v>259</v>
      </c>
      <c r="AJ11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30655.371900826449</v>
      </c>
      <c r="AK110" s="846">
        <f>SUM(Tabla1[[#This Row],[PRECIO $ BOLSA 50KG  FOB CDO TUC (IVA INC)]]-Tabla1[[#This Row],[PRECIO REF $ BOLSA 50 KG CACTU (IVA INC)]])</f>
        <v>-3362.1860597015111</v>
      </c>
      <c r="AL110" s="847">
        <f>IFERROR(Tabla1[[#This Row],[PRECIO $ BOLSA 50KG  FOB CDO TUC (IVA INC)]]/Tabla1[[#This Row],[PRECIO REF $ BOLSA 50 KG CACTU (IVA INC)]]-1,"")</f>
        <v>-0.10967689677941461</v>
      </c>
      <c r="AM110" s="846">
        <f>+Tabla1[[#This Row],[DIF $ PRECIO NETO INDUSTRIA vs Neto TUCUMAN (IVA INC)]]*Tabla1[[#This Row],[Q Bolsas Equivalentes 50kg]]</f>
        <v>-1883227.6557600105</v>
      </c>
      <c r="AN110" s="846">
        <f>Tabla1[[#This Row],[PRECIO REF $ BOLSA 50 KG CACTU (IVA INC)]]*Tabla1[[#This Row],[Q Bolsas Equivalentes 50kg]]</f>
        <v>17170686.90909091</v>
      </c>
      <c r="AO110" s="846">
        <f>+Tabla1[[#This Row],[PRECIO $ BOLSA 50KG  FOB CDO TUC (IVA INC)]]*Tabla1[[#This Row],[Q Bolsas Equivalentes 50kg]]</f>
        <v>15287459.253330899</v>
      </c>
      <c r="AP110" s="847">
        <v>2.9000000000000001E-2</v>
      </c>
      <c r="AQ110" s="846">
        <v>0</v>
      </c>
      <c r="AR110" s="828">
        <v>-4</v>
      </c>
      <c r="AS110" s="849" t="s">
        <v>577</v>
      </c>
      <c r="AT110" s="923">
        <f>+Tabla1[[#This Row],[VENTA TOTAL $ (IVA INC) ]]-(SUM(Tabla1[[#This Row],[PENDIENTE DE ENTREGA]:[VALORES COBRADOS]]))</f>
        <v>0</v>
      </c>
      <c r="AU110" s="850">
        <f>VLOOKUP(Tabla1[[#This Row],[FECHA OC]],'TIPO DE CAMBIO'!A:B,2,TRUE)</f>
        <v>1386.5259000000001</v>
      </c>
      <c r="AV110" s="850">
        <f>+Tabla1[[#This Row],[SUBTOTAL]]/Tabla1[[#This Row],[TIPO DE CAMBIO]]</f>
        <v>11062.37</v>
      </c>
      <c r="AW110" s="851"/>
      <c r="AX110" s="850">
        <f>IFERROR(Tabla1[[#This Row],[VENTA TOTAL USD A PLAZO EN CLIENTE  (SIN IVA)]]*(1+Tabla1[[#This Row],[% IVA ]]),"")</f>
        <v>11062.37</v>
      </c>
      <c r="AY110" s="850">
        <f>+Tabla1[[#This Row],[VENTA TOTAL USD A PLAZO EN CLIENTE  (SIN IVA)]]/Tabla1[[#This Row],[KGS]]*1000</f>
        <v>395</v>
      </c>
      <c r="AZ110" s="850">
        <f>-Tabla1[[#This Row],[COSTO FLETE $ POR BOLSA 5O KG (SIN IVA)]]*20/Tabla1[[#This Row],[TIPO DE CAMBIO]]</f>
        <v>0</v>
      </c>
      <c r="BA110" s="850">
        <f>+Tabla1[[#This Row],[GASTOS FINANCIEROS $ BOLSA 50 KG (IVA INC)]]*20/Tabla1[[#This Row],[TIPO DE CAMBIO]]</f>
        <v>0.12553424657534246</v>
      </c>
      <c r="BB110" s="850">
        <f>+Tabla1[[#This Row],[PRECIO POR TN USD EN CLIENTE A PLAZO (SIN IVA)]]+Tabla1[[#This Row],[COSTO USD FLETE /TN (SIN IVA)]]+Tabla1[[#This Row],[COSTO FINANCIERO USD POR BOLSA 50KG (IVA INC)]]</f>
        <v>395.12553424657534</v>
      </c>
      <c r="BC110" s="848">
        <v>1</v>
      </c>
      <c r="BD110" s="944"/>
    </row>
    <row r="111" spans="1:56" ht="15.75" customHeight="1">
      <c r="A111" s="912">
        <v>46143</v>
      </c>
      <c r="B111" s="828">
        <v>1</v>
      </c>
      <c r="C111" s="911" t="s">
        <v>473</v>
      </c>
      <c r="D111" s="829">
        <v>46183</v>
      </c>
      <c r="E111" s="830"/>
      <c r="F111" s="831" t="s">
        <v>356</v>
      </c>
      <c r="G111" s="832" t="s">
        <v>216</v>
      </c>
      <c r="H111" s="852">
        <v>46183</v>
      </c>
      <c r="I111" s="834">
        <v>28006</v>
      </c>
      <c r="J111" s="835">
        <f>395/1000*Tabla1[[#This Row],[TIPO DE CAMBIO]]</f>
        <v>547.67773050000005</v>
      </c>
      <c r="K111" s="836">
        <f t="shared" si="60"/>
        <v>15338262.520383002</v>
      </c>
      <c r="L11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11" s="837">
        <f t="shared" si="45"/>
        <v>15338262.520383002</v>
      </c>
      <c r="N111" s="838">
        <f>+Tabla1[[#This Row],[VENTA TOTAL $ (IVA INC) ]]</f>
        <v>15338262.520383002</v>
      </c>
      <c r="O111" s="838">
        <v>0</v>
      </c>
      <c r="P111" s="838">
        <v>0</v>
      </c>
      <c r="Q111" s="839">
        <f>+Tabla1[[#This Row],[VENTA TOTAL $ (IVA INC) ]]-Tabla1[[#This Row],[PENDIENTE DE ENTREGA]]-Tabla1[[#This Row],[PENDIENTE DE COBRO]]+Tabla1[[#This Row],[VALORES EN CARTERA]]</f>
        <v>0</v>
      </c>
      <c r="R111" s="840">
        <f>+Tabla1[[#This Row],[FECHA FC]]+Tabla1[[#This Row],[PLAZO ENTREGA VALORES]]</f>
        <v>46179</v>
      </c>
      <c r="S111" s="840">
        <f>+Tabla1[[#This Row],[FECHA FC]]+Tabla1[[#This Row],[PLAZO PAGO (DIAS)]]</f>
        <v>46179</v>
      </c>
      <c r="T111" s="834">
        <f t="shared" ca="1" si="27"/>
        <v>-2</v>
      </c>
      <c r="U111" s="831">
        <v>-4</v>
      </c>
      <c r="V111" s="831"/>
      <c r="W111" s="841">
        <f t="shared" si="39"/>
        <v>46186</v>
      </c>
      <c r="X111" s="831" t="s">
        <v>490</v>
      </c>
      <c r="Y111" s="840">
        <v>46154</v>
      </c>
      <c r="Z111" s="842">
        <f>Tabla1[[#This Row],[KGS]]/50</f>
        <v>560.12</v>
      </c>
      <c r="AA11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27383.886525000002</v>
      </c>
      <c r="AB111" s="844">
        <f>-Tabla1[[#This Row],[COSTO FLETE $ POR BOLSA 5O KG (SIN IVA)]]*1.21-Tabla1[[#This Row],[PRECIO $/ KG A PLAZO EN CLIENTE ( SIN IVA)]]*0.003*1.21*50</f>
        <v>-99.403508085750019</v>
      </c>
      <c r="AC111" s="845">
        <f>SUM(Tabla1[[#This Row],[PRECIO $ BOLSA 50 KG (IVA INC) ]]+Tabla1[[#This Row],[COSTO FLETE $ BOLSA 50 KG (IVA INC)]])</f>
        <v>27284.483016914251</v>
      </c>
      <c r="AD111" s="844">
        <f>-Tabla1[[#This Row],[PRECIO $ BOLSA 50 KG (IVA INC) ]]*(Tabla1[[#This Row],[TASA FINANCIACION MENSUAL]]/365)*Tabla1[[#This Row],[PLAZO ENTREGA VALORES]]</f>
        <v>8.7028242106849323</v>
      </c>
      <c r="AE111" s="845">
        <f>SUM(Tabla1[[#This Row],[PRECIO $ BOLSA50 KG  FOB TUCUMAN A PLAZO (IVA INC)]]+Tabla1[[#This Row],[GASTOS FINANCIEROS $ BOLSA 50 KG (IVA INC)]])</f>
        <v>27293.185841124938</v>
      </c>
      <c r="AF111" s="828" t="s">
        <v>394</v>
      </c>
      <c r="AG111" s="828" t="s">
        <v>365</v>
      </c>
      <c r="AH111" s="828" t="s">
        <v>388</v>
      </c>
      <c r="AI111" s="828" t="s">
        <v>259</v>
      </c>
      <c r="AJ11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30655.371900826449</v>
      </c>
      <c r="AK111" s="846">
        <f>SUM(Tabla1[[#This Row],[PRECIO $ BOLSA 50KG  FOB CDO TUC (IVA INC)]]-Tabla1[[#This Row],[PRECIO REF $ BOLSA 50 KG CACTU (IVA INC)]])</f>
        <v>-3362.1860597015111</v>
      </c>
      <c r="AL111" s="847">
        <f>IFERROR(Tabla1[[#This Row],[PRECIO $ BOLSA 50KG  FOB CDO TUC (IVA INC)]]/Tabla1[[#This Row],[PRECIO REF $ BOLSA 50 KG CACTU (IVA INC)]]-1,"")</f>
        <v>-0.10967689677941461</v>
      </c>
      <c r="AM111" s="846">
        <f>+Tabla1[[#This Row],[DIF $ PRECIO NETO INDUSTRIA vs Neto TUCUMAN (IVA INC)]]*Tabla1[[#This Row],[Q Bolsas Equivalentes 50kg]]</f>
        <v>-1883227.6557600105</v>
      </c>
      <c r="AN111" s="846">
        <f>Tabla1[[#This Row],[PRECIO REF $ BOLSA 50 KG CACTU (IVA INC)]]*Tabla1[[#This Row],[Q Bolsas Equivalentes 50kg]]</f>
        <v>17170686.90909091</v>
      </c>
      <c r="AO111" s="846">
        <f>+Tabla1[[#This Row],[PRECIO $ BOLSA 50KG  FOB CDO TUC (IVA INC)]]*Tabla1[[#This Row],[Q Bolsas Equivalentes 50kg]]</f>
        <v>15287459.253330899</v>
      </c>
      <c r="AP111" s="847">
        <v>2.9000000000000001E-2</v>
      </c>
      <c r="AQ111" s="846">
        <v>0</v>
      </c>
      <c r="AR111" s="828">
        <v>-4</v>
      </c>
      <c r="AS111" s="849"/>
      <c r="AT111" s="923">
        <f>+Tabla1[[#This Row],[VENTA TOTAL $ (IVA INC) ]]-(SUM(Tabla1[[#This Row],[PENDIENTE DE ENTREGA]:[VALORES COBRADOS]]))</f>
        <v>0</v>
      </c>
      <c r="AU111" s="850">
        <f>VLOOKUP(Tabla1[[#This Row],[FECHA OC]],'TIPO DE CAMBIO'!A:B,2,TRUE)</f>
        <v>1386.5259000000001</v>
      </c>
      <c r="AV111" s="850">
        <f>+Tabla1[[#This Row],[SUBTOTAL]]/Tabla1[[#This Row],[TIPO DE CAMBIO]]</f>
        <v>11062.37</v>
      </c>
      <c r="AW111" s="851"/>
      <c r="AX111" s="850">
        <f>IFERROR(Tabla1[[#This Row],[VENTA TOTAL USD A PLAZO EN CLIENTE  (SIN IVA)]]*(1+Tabla1[[#This Row],[% IVA ]]),"")</f>
        <v>11062.37</v>
      </c>
      <c r="AY111" s="850">
        <f>+Tabla1[[#This Row],[VENTA TOTAL USD A PLAZO EN CLIENTE  (SIN IVA)]]/Tabla1[[#This Row],[KGS]]*1000</f>
        <v>395</v>
      </c>
      <c r="AZ111" s="850">
        <f>-Tabla1[[#This Row],[COSTO FLETE $ POR BOLSA 5O KG (SIN IVA)]]*20/Tabla1[[#This Row],[TIPO DE CAMBIO]]</f>
        <v>0</v>
      </c>
      <c r="BA111" s="850">
        <f>+Tabla1[[#This Row],[GASTOS FINANCIEROS $ BOLSA 50 KG (IVA INC)]]*20/Tabla1[[#This Row],[TIPO DE CAMBIO]]</f>
        <v>0.12553424657534246</v>
      </c>
      <c r="BB111" s="850">
        <f>+Tabla1[[#This Row],[PRECIO POR TN USD EN CLIENTE A PLAZO (SIN IVA)]]+Tabla1[[#This Row],[COSTO USD FLETE /TN (SIN IVA)]]+Tabla1[[#This Row],[COSTO FINANCIERO USD POR BOLSA 50KG (IVA INC)]]</f>
        <v>395.12553424657534</v>
      </c>
      <c r="BC111" s="848">
        <v>1</v>
      </c>
      <c r="BD111" s="944"/>
    </row>
    <row r="112" spans="1:56" ht="15.75" customHeight="1">
      <c r="A112" s="912">
        <v>46143</v>
      </c>
      <c r="B112" s="828">
        <v>1</v>
      </c>
      <c r="C112" s="911" t="s">
        <v>473</v>
      </c>
      <c r="D112" s="829">
        <v>46187</v>
      </c>
      <c r="E112" s="830"/>
      <c r="F112" s="831" t="s">
        <v>356</v>
      </c>
      <c r="G112" s="832" t="s">
        <v>216</v>
      </c>
      <c r="H112" s="852">
        <v>46185</v>
      </c>
      <c r="I112" s="834">
        <v>28006</v>
      </c>
      <c r="J112" s="835">
        <f>395/1000*Tabla1[[#This Row],[TIPO DE CAMBIO]]</f>
        <v>547.67773050000005</v>
      </c>
      <c r="K112" s="836">
        <f t="shared" si="60"/>
        <v>15338262.520383002</v>
      </c>
      <c r="L11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12" s="837">
        <f t="shared" si="45"/>
        <v>15338262.520383002</v>
      </c>
      <c r="N112" s="838">
        <f>+Tabla1[[#This Row],[VENTA TOTAL $ (IVA INC) ]]</f>
        <v>15338262.520383002</v>
      </c>
      <c r="O112" s="838">
        <v>0</v>
      </c>
      <c r="P112" s="838">
        <v>0</v>
      </c>
      <c r="Q112" s="839">
        <f>+Tabla1[[#This Row],[VENTA TOTAL $ (IVA INC) ]]-Tabla1[[#This Row],[PENDIENTE DE ENTREGA]]-Tabla1[[#This Row],[PENDIENTE DE COBRO]]+Tabla1[[#This Row],[VALORES EN CARTERA]]</f>
        <v>0</v>
      </c>
      <c r="R112" s="840">
        <f>+Tabla1[[#This Row],[FECHA FC]]+Tabla1[[#This Row],[PLAZO ENTREGA VALORES]]</f>
        <v>46183</v>
      </c>
      <c r="S112" s="840">
        <f>+Tabla1[[#This Row],[FECHA FC]]+Tabla1[[#This Row],[PLAZO PAGO (DIAS)]]</f>
        <v>46183</v>
      </c>
      <c r="T112" s="834">
        <f t="shared" ca="1" si="27"/>
        <v>2</v>
      </c>
      <c r="U112" s="831">
        <v>-4</v>
      </c>
      <c r="V112" s="831"/>
      <c r="W112" s="841">
        <f t="shared" si="39"/>
        <v>46190</v>
      </c>
      <c r="X112" s="831" t="s">
        <v>490</v>
      </c>
      <c r="Y112" s="840">
        <v>46154</v>
      </c>
      <c r="Z112" s="842">
        <f>Tabla1[[#This Row],[KGS]]/50</f>
        <v>560.12</v>
      </c>
      <c r="AA11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27383.886525000002</v>
      </c>
      <c r="AB112" s="844">
        <f>-Tabla1[[#This Row],[COSTO FLETE $ POR BOLSA 5O KG (SIN IVA)]]*1.21-Tabla1[[#This Row],[PRECIO $/ KG A PLAZO EN CLIENTE ( SIN IVA)]]*0.003*1.21*50</f>
        <v>-99.403508085750019</v>
      </c>
      <c r="AC112" s="845">
        <f>SUM(Tabla1[[#This Row],[PRECIO $ BOLSA 50 KG (IVA INC) ]]+Tabla1[[#This Row],[COSTO FLETE $ BOLSA 50 KG (IVA INC)]])</f>
        <v>27284.483016914251</v>
      </c>
      <c r="AD112" s="844">
        <f>-Tabla1[[#This Row],[PRECIO $ BOLSA 50 KG (IVA INC) ]]*(Tabla1[[#This Row],[TASA FINANCIACION MENSUAL]]/365)*Tabla1[[#This Row],[PLAZO ENTREGA VALORES]]</f>
        <v>8.7028242106849323</v>
      </c>
      <c r="AE112" s="845">
        <f>SUM(Tabla1[[#This Row],[PRECIO $ BOLSA50 KG  FOB TUCUMAN A PLAZO (IVA INC)]]+Tabla1[[#This Row],[GASTOS FINANCIEROS $ BOLSA 50 KG (IVA INC)]])</f>
        <v>27293.185841124938</v>
      </c>
      <c r="AF112" s="828" t="s">
        <v>394</v>
      </c>
      <c r="AG112" s="828" t="s">
        <v>365</v>
      </c>
      <c r="AH112" s="828" t="s">
        <v>388</v>
      </c>
      <c r="AI112" s="828" t="s">
        <v>259</v>
      </c>
      <c r="AJ11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30655.371900826449</v>
      </c>
      <c r="AK112" s="846">
        <f>SUM(Tabla1[[#This Row],[PRECIO $ BOLSA 50KG  FOB CDO TUC (IVA INC)]]-Tabla1[[#This Row],[PRECIO REF $ BOLSA 50 KG CACTU (IVA INC)]])</f>
        <v>-3362.1860597015111</v>
      </c>
      <c r="AL112" s="847">
        <f>IFERROR(Tabla1[[#This Row],[PRECIO $ BOLSA 50KG  FOB CDO TUC (IVA INC)]]/Tabla1[[#This Row],[PRECIO REF $ BOLSA 50 KG CACTU (IVA INC)]]-1,"")</f>
        <v>-0.10967689677941461</v>
      </c>
      <c r="AM112" s="846">
        <f>+Tabla1[[#This Row],[DIF $ PRECIO NETO INDUSTRIA vs Neto TUCUMAN (IVA INC)]]*Tabla1[[#This Row],[Q Bolsas Equivalentes 50kg]]</f>
        <v>-1883227.6557600105</v>
      </c>
      <c r="AN112" s="846">
        <f>Tabla1[[#This Row],[PRECIO REF $ BOLSA 50 KG CACTU (IVA INC)]]*Tabla1[[#This Row],[Q Bolsas Equivalentes 50kg]]</f>
        <v>17170686.90909091</v>
      </c>
      <c r="AO112" s="846">
        <f>+Tabla1[[#This Row],[PRECIO $ BOLSA 50KG  FOB CDO TUC (IVA INC)]]*Tabla1[[#This Row],[Q Bolsas Equivalentes 50kg]]</f>
        <v>15287459.253330899</v>
      </c>
      <c r="AP112" s="847">
        <v>2.9000000000000001E-2</v>
      </c>
      <c r="AQ112" s="846">
        <v>0</v>
      </c>
      <c r="AR112" s="828">
        <v>-4</v>
      </c>
      <c r="AS112" s="849"/>
      <c r="AT112" s="923">
        <f>+Tabla1[[#This Row],[VENTA TOTAL $ (IVA INC) ]]-(SUM(Tabla1[[#This Row],[PENDIENTE DE ENTREGA]:[VALORES COBRADOS]]))</f>
        <v>0</v>
      </c>
      <c r="AU112" s="850">
        <f>VLOOKUP(Tabla1[[#This Row],[FECHA OC]],'TIPO DE CAMBIO'!A:B,2,TRUE)</f>
        <v>1386.5259000000001</v>
      </c>
      <c r="AV112" s="850">
        <f>+Tabla1[[#This Row],[SUBTOTAL]]/Tabla1[[#This Row],[TIPO DE CAMBIO]]</f>
        <v>11062.37</v>
      </c>
      <c r="AW112" s="851"/>
      <c r="AX112" s="850">
        <f>IFERROR(Tabla1[[#This Row],[VENTA TOTAL USD A PLAZO EN CLIENTE  (SIN IVA)]]*(1+Tabla1[[#This Row],[% IVA ]]),"")</f>
        <v>11062.37</v>
      </c>
      <c r="AY112" s="850">
        <f>+Tabla1[[#This Row],[VENTA TOTAL USD A PLAZO EN CLIENTE  (SIN IVA)]]/Tabla1[[#This Row],[KGS]]*1000</f>
        <v>395</v>
      </c>
      <c r="AZ112" s="850">
        <f>-Tabla1[[#This Row],[COSTO FLETE $ POR BOLSA 5O KG (SIN IVA)]]*20/Tabla1[[#This Row],[TIPO DE CAMBIO]]</f>
        <v>0</v>
      </c>
      <c r="BA112" s="850">
        <f>+Tabla1[[#This Row],[GASTOS FINANCIEROS $ BOLSA 50 KG (IVA INC)]]*20/Tabla1[[#This Row],[TIPO DE CAMBIO]]</f>
        <v>0.12553424657534246</v>
      </c>
      <c r="BB112" s="850">
        <f>+Tabla1[[#This Row],[PRECIO POR TN USD EN CLIENTE A PLAZO (SIN IVA)]]+Tabla1[[#This Row],[COSTO USD FLETE /TN (SIN IVA)]]+Tabla1[[#This Row],[COSTO FINANCIERO USD POR BOLSA 50KG (IVA INC)]]</f>
        <v>395.12553424657534</v>
      </c>
      <c r="BC112" s="848">
        <v>1</v>
      </c>
      <c r="BD112" s="944"/>
    </row>
    <row r="113" spans="1:56" ht="15.75" customHeight="1">
      <c r="A113" s="912">
        <v>46143</v>
      </c>
      <c r="B113" s="828">
        <v>1</v>
      </c>
      <c r="C113" s="911" t="s">
        <v>473</v>
      </c>
      <c r="D113" s="829">
        <v>46187</v>
      </c>
      <c r="E113" s="830"/>
      <c r="F113" s="831" t="s">
        <v>356</v>
      </c>
      <c r="G113" s="832" t="s">
        <v>216</v>
      </c>
      <c r="H113" s="852">
        <v>46185</v>
      </c>
      <c r="I113" s="834">
        <v>28006</v>
      </c>
      <c r="J113" s="835">
        <f>395/1000*Tabla1[[#This Row],[TIPO DE CAMBIO]]</f>
        <v>547.67773050000005</v>
      </c>
      <c r="K113" s="836">
        <f t="shared" si="60"/>
        <v>15338262.520383002</v>
      </c>
      <c r="L11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13" s="837">
        <f t="shared" si="45"/>
        <v>15338262.520383002</v>
      </c>
      <c r="N113" s="838">
        <f>+Tabla1[[#This Row],[VENTA TOTAL $ (IVA INC) ]]</f>
        <v>15338262.520383002</v>
      </c>
      <c r="O113" s="838">
        <v>0</v>
      </c>
      <c r="P113" s="838">
        <v>0</v>
      </c>
      <c r="Q113" s="839">
        <f>+Tabla1[[#This Row],[VENTA TOTAL $ (IVA INC) ]]-Tabla1[[#This Row],[PENDIENTE DE ENTREGA]]-Tabla1[[#This Row],[PENDIENTE DE COBRO]]+Tabla1[[#This Row],[VALORES EN CARTERA]]</f>
        <v>0</v>
      </c>
      <c r="R113" s="840">
        <f>+Tabla1[[#This Row],[FECHA FC]]+Tabla1[[#This Row],[PLAZO ENTREGA VALORES]]</f>
        <v>46183</v>
      </c>
      <c r="S113" s="840">
        <f>+Tabla1[[#This Row],[FECHA FC]]+Tabla1[[#This Row],[PLAZO PAGO (DIAS)]]</f>
        <v>46183</v>
      </c>
      <c r="T113" s="834">
        <f t="shared" ca="1" si="27"/>
        <v>2</v>
      </c>
      <c r="U113" s="831">
        <v>-4</v>
      </c>
      <c r="V113" s="831"/>
      <c r="W113" s="841">
        <f t="shared" si="39"/>
        <v>46190</v>
      </c>
      <c r="X113" s="831" t="s">
        <v>490</v>
      </c>
      <c r="Y113" s="840">
        <v>46154</v>
      </c>
      <c r="Z113" s="842">
        <f>Tabla1[[#This Row],[KGS]]/50</f>
        <v>560.12</v>
      </c>
      <c r="AA11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27383.886525000002</v>
      </c>
      <c r="AB113" s="844">
        <f>-Tabla1[[#This Row],[COSTO FLETE $ POR BOLSA 5O KG (SIN IVA)]]*1.21-Tabla1[[#This Row],[PRECIO $/ KG A PLAZO EN CLIENTE ( SIN IVA)]]*0.003*1.21*50</f>
        <v>-99.403508085750019</v>
      </c>
      <c r="AC113" s="845">
        <f>SUM(Tabla1[[#This Row],[PRECIO $ BOLSA 50 KG (IVA INC) ]]+Tabla1[[#This Row],[COSTO FLETE $ BOLSA 50 KG (IVA INC)]])</f>
        <v>27284.483016914251</v>
      </c>
      <c r="AD113" s="844">
        <f>-Tabla1[[#This Row],[PRECIO $ BOLSA 50 KG (IVA INC) ]]*(Tabla1[[#This Row],[TASA FINANCIACION MENSUAL]]/365)*Tabla1[[#This Row],[PLAZO ENTREGA VALORES]]</f>
        <v>8.7028242106849323</v>
      </c>
      <c r="AE113" s="845">
        <f>SUM(Tabla1[[#This Row],[PRECIO $ BOLSA50 KG  FOB TUCUMAN A PLAZO (IVA INC)]]+Tabla1[[#This Row],[GASTOS FINANCIEROS $ BOLSA 50 KG (IVA INC)]])</f>
        <v>27293.185841124938</v>
      </c>
      <c r="AF113" s="828" t="s">
        <v>394</v>
      </c>
      <c r="AG113" s="828" t="s">
        <v>365</v>
      </c>
      <c r="AH113" s="828" t="s">
        <v>388</v>
      </c>
      <c r="AI113" s="828" t="s">
        <v>259</v>
      </c>
      <c r="AJ11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30655.371900826449</v>
      </c>
      <c r="AK113" s="846">
        <f>SUM(Tabla1[[#This Row],[PRECIO $ BOLSA 50KG  FOB CDO TUC (IVA INC)]]-Tabla1[[#This Row],[PRECIO REF $ BOLSA 50 KG CACTU (IVA INC)]])</f>
        <v>-3362.1860597015111</v>
      </c>
      <c r="AL113" s="847">
        <f>IFERROR(Tabla1[[#This Row],[PRECIO $ BOLSA 50KG  FOB CDO TUC (IVA INC)]]/Tabla1[[#This Row],[PRECIO REF $ BOLSA 50 KG CACTU (IVA INC)]]-1,"")</f>
        <v>-0.10967689677941461</v>
      </c>
      <c r="AM113" s="846">
        <f>+Tabla1[[#This Row],[DIF $ PRECIO NETO INDUSTRIA vs Neto TUCUMAN (IVA INC)]]*Tabla1[[#This Row],[Q Bolsas Equivalentes 50kg]]</f>
        <v>-1883227.6557600105</v>
      </c>
      <c r="AN113" s="846">
        <f>Tabla1[[#This Row],[PRECIO REF $ BOLSA 50 KG CACTU (IVA INC)]]*Tabla1[[#This Row],[Q Bolsas Equivalentes 50kg]]</f>
        <v>17170686.90909091</v>
      </c>
      <c r="AO113" s="846">
        <f>+Tabla1[[#This Row],[PRECIO $ BOLSA 50KG  FOB CDO TUC (IVA INC)]]*Tabla1[[#This Row],[Q Bolsas Equivalentes 50kg]]</f>
        <v>15287459.253330899</v>
      </c>
      <c r="AP113" s="847">
        <v>2.9000000000000001E-2</v>
      </c>
      <c r="AQ113" s="846">
        <v>0</v>
      </c>
      <c r="AR113" s="828">
        <v>-4</v>
      </c>
      <c r="AS113" s="849"/>
      <c r="AT113" s="923">
        <f>+Tabla1[[#This Row],[VENTA TOTAL $ (IVA INC) ]]-(SUM(Tabla1[[#This Row],[PENDIENTE DE ENTREGA]:[VALORES COBRADOS]]))</f>
        <v>0</v>
      </c>
      <c r="AU113" s="850">
        <f>VLOOKUP(Tabla1[[#This Row],[FECHA OC]],'TIPO DE CAMBIO'!A:B,2,TRUE)</f>
        <v>1386.5259000000001</v>
      </c>
      <c r="AV113" s="850">
        <f>+Tabla1[[#This Row],[SUBTOTAL]]/Tabla1[[#This Row],[TIPO DE CAMBIO]]</f>
        <v>11062.37</v>
      </c>
      <c r="AW113" s="851"/>
      <c r="AX113" s="850">
        <f>IFERROR(Tabla1[[#This Row],[VENTA TOTAL USD A PLAZO EN CLIENTE  (SIN IVA)]]*(1+Tabla1[[#This Row],[% IVA ]]),"")</f>
        <v>11062.37</v>
      </c>
      <c r="AY113" s="850">
        <f>+Tabla1[[#This Row],[VENTA TOTAL USD A PLAZO EN CLIENTE  (SIN IVA)]]/Tabla1[[#This Row],[KGS]]*1000</f>
        <v>395</v>
      </c>
      <c r="AZ113" s="850">
        <f>-Tabla1[[#This Row],[COSTO FLETE $ POR BOLSA 5O KG (SIN IVA)]]*20/Tabla1[[#This Row],[TIPO DE CAMBIO]]</f>
        <v>0</v>
      </c>
      <c r="BA113" s="850">
        <f>+Tabla1[[#This Row],[GASTOS FINANCIEROS $ BOLSA 50 KG (IVA INC)]]*20/Tabla1[[#This Row],[TIPO DE CAMBIO]]</f>
        <v>0.12553424657534246</v>
      </c>
      <c r="BB113" s="850">
        <f>+Tabla1[[#This Row],[PRECIO POR TN USD EN CLIENTE A PLAZO (SIN IVA)]]+Tabla1[[#This Row],[COSTO USD FLETE /TN (SIN IVA)]]+Tabla1[[#This Row],[COSTO FINANCIERO USD POR BOLSA 50KG (IVA INC)]]</f>
        <v>395.12553424657534</v>
      </c>
      <c r="BC113" s="848">
        <v>1</v>
      </c>
      <c r="BD113" s="944"/>
    </row>
    <row r="114" spans="1:56" ht="15.75" customHeight="1">
      <c r="A114" s="912">
        <v>46143</v>
      </c>
      <c r="B114" s="828">
        <v>1</v>
      </c>
      <c r="C114" s="911" t="s">
        <v>473</v>
      </c>
      <c r="D114" s="829">
        <v>46189</v>
      </c>
      <c r="E114" s="830"/>
      <c r="F114" s="831" t="s">
        <v>356</v>
      </c>
      <c r="G114" s="832" t="s">
        <v>216</v>
      </c>
      <c r="H114" s="852">
        <v>46187</v>
      </c>
      <c r="I114" s="834">
        <v>28006</v>
      </c>
      <c r="J114" s="835">
        <f>395/1000*Tabla1[[#This Row],[TIPO DE CAMBIO]]</f>
        <v>547.67773050000005</v>
      </c>
      <c r="K114" s="836">
        <f t="shared" ref="K114:K115" si="76">+J114*I114</f>
        <v>15338262.520383002</v>
      </c>
      <c r="L11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14" s="837">
        <f t="shared" ref="M114:M115" si="77">SUM(K114:L114)</f>
        <v>15338262.520383002</v>
      </c>
      <c r="N114" s="838">
        <f>+Tabla1[[#This Row],[VENTA TOTAL $ (IVA INC) ]]</f>
        <v>15338262.520383002</v>
      </c>
      <c r="O114" s="838">
        <v>0</v>
      </c>
      <c r="P114" s="838">
        <v>0</v>
      </c>
      <c r="Q114" s="839">
        <f>+Tabla1[[#This Row],[VENTA TOTAL $ (IVA INC) ]]-Tabla1[[#This Row],[PENDIENTE DE ENTREGA]]-Tabla1[[#This Row],[PENDIENTE DE COBRO]]+Tabla1[[#This Row],[VALORES EN CARTERA]]</f>
        <v>0</v>
      </c>
      <c r="R114" s="840">
        <f>+Tabla1[[#This Row],[FECHA FC]]+Tabla1[[#This Row],[PLAZO ENTREGA VALORES]]</f>
        <v>46185</v>
      </c>
      <c r="S114" s="840">
        <f>+Tabla1[[#This Row],[FECHA FC]]+Tabla1[[#This Row],[PLAZO PAGO (DIAS)]]</f>
        <v>46185</v>
      </c>
      <c r="T114" s="834">
        <f t="shared" ref="T114:T115" ca="1" si="78">+S114-$U$2</f>
        <v>4</v>
      </c>
      <c r="U114" s="831">
        <v>-4</v>
      </c>
      <c r="V114" s="831"/>
      <c r="W114" s="841">
        <f t="shared" ref="W114:W115" si="79">+S114+7</f>
        <v>46192</v>
      </c>
      <c r="X114" s="831" t="s">
        <v>490</v>
      </c>
      <c r="Y114" s="840">
        <v>46154</v>
      </c>
      <c r="Z114" s="842">
        <f>Tabla1[[#This Row],[KGS]]/50</f>
        <v>560.12</v>
      </c>
      <c r="AA11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27383.886525000002</v>
      </c>
      <c r="AB114" s="844">
        <f>-Tabla1[[#This Row],[COSTO FLETE $ POR BOLSA 5O KG (SIN IVA)]]*1.21-Tabla1[[#This Row],[PRECIO $/ KG A PLAZO EN CLIENTE ( SIN IVA)]]*0.003*1.21*50</f>
        <v>-99.403508085750019</v>
      </c>
      <c r="AC114" s="845">
        <f>SUM(Tabla1[[#This Row],[PRECIO $ BOLSA 50 KG (IVA INC) ]]+Tabla1[[#This Row],[COSTO FLETE $ BOLSA 50 KG (IVA INC)]])</f>
        <v>27284.483016914251</v>
      </c>
      <c r="AD114" s="844">
        <f>-Tabla1[[#This Row],[PRECIO $ BOLSA 50 KG (IVA INC) ]]*(Tabla1[[#This Row],[TASA FINANCIACION MENSUAL]]/365)*Tabla1[[#This Row],[PLAZO ENTREGA VALORES]]</f>
        <v>8.7028242106849323</v>
      </c>
      <c r="AE114" s="845">
        <f>SUM(Tabla1[[#This Row],[PRECIO $ BOLSA50 KG  FOB TUCUMAN A PLAZO (IVA INC)]]+Tabla1[[#This Row],[GASTOS FINANCIEROS $ BOLSA 50 KG (IVA INC)]])</f>
        <v>27293.185841124938</v>
      </c>
      <c r="AF114" s="828" t="s">
        <v>394</v>
      </c>
      <c r="AG114" s="828" t="s">
        <v>365</v>
      </c>
      <c r="AH114" s="828" t="s">
        <v>388</v>
      </c>
      <c r="AI114" s="828" t="s">
        <v>259</v>
      </c>
      <c r="AJ11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30655.371900826449</v>
      </c>
      <c r="AK114" s="846">
        <f>SUM(Tabla1[[#This Row],[PRECIO $ BOLSA 50KG  FOB CDO TUC (IVA INC)]]-Tabla1[[#This Row],[PRECIO REF $ BOLSA 50 KG CACTU (IVA INC)]])</f>
        <v>-3362.1860597015111</v>
      </c>
      <c r="AL114" s="847">
        <f>IFERROR(Tabla1[[#This Row],[PRECIO $ BOLSA 50KG  FOB CDO TUC (IVA INC)]]/Tabla1[[#This Row],[PRECIO REF $ BOLSA 50 KG CACTU (IVA INC)]]-1,"")</f>
        <v>-0.10967689677941461</v>
      </c>
      <c r="AM114" s="846">
        <f>+Tabla1[[#This Row],[DIF $ PRECIO NETO INDUSTRIA vs Neto TUCUMAN (IVA INC)]]*Tabla1[[#This Row],[Q Bolsas Equivalentes 50kg]]</f>
        <v>-1883227.6557600105</v>
      </c>
      <c r="AN114" s="846">
        <f>Tabla1[[#This Row],[PRECIO REF $ BOLSA 50 KG CACTU (IVA INC)]]*Tabla1[[#This Row],[Q Bolsas Equivalentes 50kg]]</f>
        <v>17170686.90909091</v>
      </c>
      <c r="AO114" s="846">
        <f>+Tabla1[[#This Row],[PRECIO $ BOLSA 50KG  FOB CDO TUC (IVA INC)]]*Tabla1[[#This Row],[Q Bolsas Equivalentes 50kg]]</f>
        <v>15287459.253330899</v>
      </c>
      <c r="AP114" s="847">
        <v>2.9000000000000001E-2</v>
      </c>
      <c r="AQ114" s="846">
        <v>0</v>
      </c>
      <c r="AR114" s="828">
        <v>-4</v>
      </c>
      <c r="AS114" s="849"/>
      <c r="AT114" s="923">
        <f>+Tabla1[[#This Row],[VENTA TOTAL $ (IVA INC) ]]-(SUM(Tabla1[[#This Row],[PENDIENTE DE ENTREGA]:[VALORES COBRADOS]]))</f>
        <v>0</v>
      </c>
      <c r="AU114" s="850">
        <f>VLOOKUP(Tabla1[[#This Row],[FECHA OC]],'TIPO DE CAMBIO'!A:B,2,TRUE)</f>
        <v>1386.5259000000001</v>
      </c>
      <c r="AV114" s="850">
        <f>+Tabla1[[#This Row],[SUBTOTAL]]/Tabla1[[#This Row],[TIPO DE CAMBIO]]</f>
        <v>11062.37</v>
      </c>
      <c r="AW114" s="851"/>
      <c r="AX114" s="850">
        <f>IFERROR(Tabla1[[#This Row],[VENTA TOTAL USD A PLAZO EN CLIENTE  (SIN IVA)]]*(1+Tabla1[[#This Row],[% IVA ]]),"")</f>
        <v>11062.37</v>
      </c>
      <c r="AY114" s="850">
        <f>+Tabla1[[#This Row],[VENTA TOTAL USD A PLAZO EN CLIENTE  (SIN IVA)]]/Tabla1[[#This Row],[KGS]]*1000</f>
        <v>395</v>
      </c>
      <c r="AZ114" s="850">
        <f>-Tabla1[[#This Row],[COSTO FLETE $ POR BOLSA 5O KG (SIN IVA)]]*20/Tabla1[[#This Row],[TIPO DE CAMBIO]]</f>
        <v>0</v>
      </c>
      <c r="BA114" s="850">
        <f>+Tabla1[[#This Row],[GASTOS FINANCIEROS $ BOLSA 50 KG (IVA INC)]]*20/Tabla1[[#This Row],[TIPO DE CAMBIO]]</f>
        <v>0.12553424657534246</v>
      </c>
      <c r="BB114" s="850">
        <f>+Tabla1[[#This Row],[PRECIO POR TN USD EN CLIENTE A PLAZO (SIN IVA)]]+Tabla1[[#This Row],[COSTO USD FLETE /TN (SIN IVA)]]+Tabla1[[#This Row],[COSTO FINANCIERO USD POR BOLSA 50KG (IVA INC)]]</f>
        <v>395.12553424657534</v>
      </c>
      <c r="BC114" s="848">
        <v>1</v>
      </c>
      <c r="BD114" s="944"/>
    </row>
    <row r="115" spans="1:56" ht="15.75" customHeight="1">
      <c r="A115" s="912">
        <v>46143</v>
      </c>
      <c r="B115" s="828">
        <v>1</v>
      </c>
      <c r="C115" s="911" t="s">
        <v>473</v>
      </c>
      <c r="D115" s="829">
        <v>46189</v>
      </c>
      <c r="E115" s="830"/>
      <c r="F115" s="831" t="s">
        <v>356</v>
      </c>
      <c r="G115" s="832" t="s">
        <v>216</v>
      </c>
      <c r="H115" s="852">
        <v>46187</v>
      </c>
      <c r="I115" s="834">
        <v>28006</v>
      </c>
      <c r="J115" s="835">
        <f>395/1000*Tabla1[[#This Row],[TIPO DE CAMBIO]]</f>
        <v>547.67773050000005</v>
      </c>
      <c r="K115" s="836">
        <f t="shared" si="76"/>
        <v>15338262.520383002</v>
      </c>
      <c r="L11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15" s="837">
        <f t="shared" si="77"/>
        <v>15338262.520383002</v>
      </c>
      <c r="N115" s="838">
        <f>+Tabla1[[#This Row],[VENTA TOTAL $ (IVA INC) ]]</f>
        <v>15338262.520383002</v>
      </c>
      <c r="O115" s="838">
        <v>0</v>
      </c>
      <c r="P115" s="838">
        <v>0</v>
      </c>
      <c r="Q115" s="839">
        <f>+Tabla1[[#This Row],[VENTA TOTAL $ (IVA INC) ]]-Tabla1[[#This Row],[PENDIENTE DE ENTREGA]]-Tabla1[[#This Row],[PENDIENTE DE COBRO]]+Tabla1[[#This Row],[VALORES EN CARTERA]]</f>
        <v>0</v>
      </c>
      <c r="R115" s="840">
        <f>+Tabla1[[#This Row],[FECHA FC]]+Tabla1[[#This Row],[PLAZO ENTREGA VALORES]]</f>
        <v>46185</v>
      </c>
      <c r="S115" s="840">
        <f>+Tabla1[[#This Row],[FECHA FC]]+Tabla1[[#This Row],[PLAZO PAGO (DIAS)]]</f>
        <v>46185</v>
      </c>
      <c r="T115" s="834">
        <f t="shared" ca="1" si="78"/>
        <v>4</v>
      </c>
      <c r="U115" s="831">
        <v>-4</v>
      </c>
      <c r="V115" s="831"/>
      <c r="W115" s="841">
        <f t="shared" si="79"/>
        <v>46192</v>
      </c>
      <c r="X115" s="831" t="s">
        <v>490</v>
      </c>
      <c r="Y115" s="840">
        <v>46154</v>
      </c>
      <c r="Z115" s="842">
        <f>Tabla1[[#This Row],[KGS]]/50</f>
        <v>560.12</v>
      </c>
      <c r="AA11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27383.886525000002</v>
      </c>
      <c r="AB115" s="844">
        <f>-Tabla1[[#This Row],[COSTO FLETE $ POR BOLSA 5O KG (SIN IVA)]]*1.21-Tabla1[[#This Row],[PRECIO $/ KG A PLAZO EN CLIENTE ( SIN IVA)]]*0.003*1.21*50</f>
        <v>-99.403508085750019</v>
      </c>
      <c r="AC115" s="845">
        <f>SUM(Tabla1[[#This Row],[PRECIO $ BOLSA 50 KG (IVA INC) ]]+Tabla1[[#This Row],[COSTO FLETE $ BOLSA 50 KG (IVA INC)]])</f>
        <v>27284.483016914251</v>
      </c>
      <c r="AD115" s="844">
        <f>-Tabla1[[#This Row],[PRECIO $ BOLSA 50 KG (IVA INC) ]]*(Tabla1[[#This Row],[TASA FINANCIACION MENSUAL]]/365)*Tabla1[[#This Row],[PLAZO ENTREGA VALORES]]</f>
        <v>8.7028242106849323</v>
      </c>
      <c r="AE115" s="845">
        <f>SUM(Tabla1[[#This Row],[PRECIO $ BOLSA50 KG  FOB TUCUMAN A PLAZO (IVA INC)]]+Tabla1[[#This Row],[GASTOS FINANCIEROS $ BOLSA 50 KG (IVA INC)]])</f>
        <v>27293.185841124938</v>
      </c>
      <c r="AF115" s="828" t="s">
        <v>394</v>
      </c>
      <c r="AG115" s="828" t="s">
        <v>365</v>
      </c>
      <c r="AH115" s="828" t="s">
        <v>388</v>
      </c>
      <c r="AI115" s="828" t="s">
        <v>259</v>
      </c>
      <c r="AJ11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30655.371900826449</v>
      </c>
      <c r="AK115" s="846">
        <f>SUM(Tabla1[[#This Row],[PRECIO $ BOLSA 50KG  FOB CDO TUC (IVA INC)]]-Tabla1[[#This Row],[PRECIO REF $ BOLSA 50 KG CACTU (IVA INC)]])</f>
        <v>-3362.1860597015111</v>
      </c>
      <c r="AL115" s="847">
        <f>IFERROR(Tabla1[[#This Row],[PRECIO $ BOLSA 50KG  FOB CDO TUC (IVA INC)]]/Tabla1[[#This Row],[PRECIO REF $ BOLSA 50 KG CACTU (IVA INC)]]-1,"")</f>
        <v>-0.10967689677941461</v>
      </c>
      <c r="AM115" s="846">
        <f>+Tabla1[[#This Row],[DIF $ PRECIO NETO INDUSTRIA vs Neto TUCUMAN (IVA INC)]]*Tabla1[[#This Row],[Q Bolsas Equivalentes 50kg]]</f>
        <v>-1883227.6557600105</v>
      </c>
      <c r="AN115" s="846">
        <f>Tabla1[[#This Row],[PRECIO REF $ BOLSA 50 KG CACTU (IVA INC)]]*Tabla1[[#This Row],[Q Bolsas Equivalentes 50kg]]</f>
        <v>17170686.90909091</v>
      </c>
      <c r="AO115" s="846">
        <f>+Tabla1[[#This Row],[PRECIO $ BOLSA 50KG  FOB CDO TUC (IVA INC)]]*Tabla1[[#This Row],[Q Bolsas Equivalentes 50kg]]</f>
        <v>15287459.253330899</v>
      </c>
      <c r="AP115" s="847">
        <v>2.9000000000000001E-2</v>
      </c>
      <c r="AQ115" s="846">
        <v>0</v>
      </c>
      <c r="AR115" s="828">
        <v>-4</v>
      </c>
      <c r="AS115" s="849"/>
      <c r="AT115" s="923">
        <f>+Tabla1[[#This Row],[VENTA TOTAL $ (IVA INC) ]]-(SUM(Tabla1[[#This Row],[PENDIENTE DE ENTREGA]:[VALORES COBRADOS]]))</f>
        <v>0</v>
      </c>
      <c r="AU115" s="850">
        <f>VLOOKUP(Tabla1[[#This Row],[FECHA OC]],'TIPO DE CAMBIO'!A:B,2,TRUE)</f>
        <v>1386.5259000000001</v>
      </c>
      <c r="AV115" s="850">
        <f>+Tabla1[[#This Row],[SUBTOTAL]]/Tabla1[[#This Row],[TIPO DE CAMBIO]]</f>
        <v>11062.37</v>
      </c>
      <c r="AW115" s="851"/>
      <c r="AX115" s="850">
        <f>IFERROR(Tabla1[[#This Row],[VENTA TOTAL USD A PLAZO EN CLIENTE  (SIN IVA)]]*(1+Tabla1[[#This Row],[% IVA ]]),"")</f>
        <v>11062.37</v>
      </c>
      <c r="AY115" s="850">
        <f>+Tabla1[[#This Row],[VENTA TOTAL USD A PLAZO EN CLIENTE  (SIN IVA)]]/Tabla1[[#This Row],[KGS]]*1000</f>
        <v>395</v>
      </c>
      <c r="AZ115" s="850">
        <f>-Tabla1[[#This Row],[COSTO FLETE $ POR BOLSA 5O KG (SIN IVA)]]*20/Tabla1[[#This Row],[TIPO DE CAMBIO]]</f>
        <v>0</v>
      </c>
      <c r="BA115" s="850">
        <f>+Tabla1[[#This Row],[GASTOS FINANCIEROS $ BOLSA 50 KG (IVA INC)]]*20/Tabla1[[#This Row],[TIPO DE CAMBIO]]</f>
        <v>0.12553424657534246</v>
      </c>
      <c r="BB115" s="850">
        <f>+Tabla1[[#This Row],[PRECIO POR TN USD EN CLIENTE A PLAZO (SIN IVA)]]+Tabla1[[#This Row],[COSTO USD FLETE /TN (SIN IVA)]]+Tabla1[[#This Row],[COSTO FINANCIERO USD POR BOLSA 50KG (IVA INC)]]</f>
        <v>395.12553424657534</v>
      </c>
      <c r="BC115" s="848">
        <v>1</v>
      </c>
      <c r="BD115" s="944"/>
    </row>
    <row r="116" spans="1:56" ht="15.75" customHeight="1">
      <c r="A116" s="912">
        <v>46143</v>
      </c>
      <c r="B116" s="828">
        <v>1</v>
      </c>
      <c r="C116" s="911" t="s">
        <v>473</v>
      </c>
      <c r="D116" s="829">
        <v>46193</v>
      </c>
      <c r="E116" s="830"/>
      <c r="F116" s="831" t="s">
        <v>356</v>
      </c>
      <c r="G116" s="832" t="s">
        <v>216</v>
      </c>
      <c r="H116" s="852">
        <v>46191</v>
      </c>
      <c r="I116" s="834">
        <v>28006</v>
      </c>
      <c r="J116" s="835">
        <f>395/1000*Tabla1[[#This Row],[TIPO DE CAMBIO]]</f>
        <v>547.67773050000005</v>
      </c>
      <c r="K116" s="836">
        <f t="shared" si="60"/>
        <v>15338262.520383002</v>
      </c>
      <c r="L11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16" s="837">
        <f t="shared" si="45"/>
        <v>15338262.520383002</v>
      </c>
      <c r="N116" s="838">
        <f>+Tabla1[[#This Row],[VENTA TOTAL $ (IVA INC) ]]</f>
        <v>15338262.520383002</v>
      </c>
      <c r="O116" s="838">
        <v>0</v>
      </c>
      <c r="P116" s="838">
        <v>0</v>
      </c>
      <c r="Q116" s="839">
        <f>+Tabla1[[#This Row],[VENTA TOTAL $ (IVA INC) ]]-Tabla1[[#This Row],[PENDIENTE DE ENTREGA]]-Tabla1[[#This Row],[PENDIENTE DE COBRO]]+Tabla1[[#This Row],[VALORES EN CARTERA]]</f>
        <v>0</v>
      </c>
      <c r="R116" s="840">
        <f>+Tabla1[[#This Row],[FECHA FC]]+Tabla1[[#This Row],[PLAZO ENTREGA VALORES]]</f>
        <v>46189</v>
      </c>
      <c r="S116" s="840">
        <f>+Tabla1[[#This Row],[FECHA FC]]+Tabla1[[#This Row],[PLAZO PAGO (DIAS)]]</f>
        <v>46189</v>
      </c>
      <c r="T116" s="834">
        <f t="shared" ca="1" si="27"/>
        <v>8</v>
      </c>
      <c r="U116" s="831">
        <v>-4</v>
      </c>
      <c r="V116" s="831"/>
      <c r="W116" s="841">
        <f t="shared" si="39"/>
        <v>46196</v>
      </c>
      <c r="X116" s="831" t="s">
        <v>490</v>
      </c>
      <c r="Y116" s="840">
        <v>46154</v>
      </c>
      <c r="Z116" s="842">
        <f>Tabla1[[#This Row],[KGS]]/50</f>
        <v>560.12</v>
      </c>
      <c r="AA11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27383.886525000002</v>
      </c>
      <c r="AB116" s="844">
        <f>-Tabla1[[#This Row],[COSTO FLETE $ POR BOLSA 5O KG (SIN IVA)]]*1.21-Tabla1[[#This Row],[PRECIO $/ KG A PLAZO EN CLIENTE ( SIN IVA)]]*0.003*1.21*50</f>
        <v>-99.403508085750019</v>
      </c>
      <c r="AC116" s="845">
        <f>SUM(Tabla1[[#This Row],[PRECIO $ BOLSA 50 KG (IVA INC) ]]+Tabla1[[#This Row],[COSTO FLETE $ BOLSA 50 KG (IVA INC)]])</f>
        <v>27284.483016914251</v>
      </c>
      <c r="AD116" s="844">
        <f>-Tabla1[[#This Row],[PRECIO $ BOLSA 50 KG (IVA INC) ]]*(Tabla1[[#This Row],[TASA FINANCIACION MENSUAL]]/365)*Tabla1[[#This Row],[PLAZO ENTREGA VALORES]]</f>
        <v>8.7028242106849323</v>
      </c>
      <c r="AE116" s="845">
        <f>SUM(Tabla1[[#This Row],[PRECIO $ BOLSA50 KG  FOB TUCUMAN A PLAZO (IVA INC)]]+Tabla1[[#This Row],[GASTOS FINANCIEROS $ BOLSA 50 KG (IVA INC)]])</f>
        <v>27293.185841124938</v>
      </c>
      <c r="AF116" s="828" t="s">
        <v>394</v>
      </c>
      <c r="AG116" s="828" t="s">
        <v>365</v>
      </c>
      <c r="AH116" s="828" t="s">
        <v>388</v>
      </c>
      <c r="AI116" s="828" t="s">
        <v>259</v>
      </c>
      <c r="AJ11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30655.371900826449</v>
      </c>
      <c r="AK116" s="846">
        <f>SUM(Tabla1[[#This Row],[PRECIO $ BOLSA 50KG  FOB CDO TUC (IVA INC)]]-Tabla1[[#This Row],[PRECIO REF $ BOLSA 50 KG CACTU (IVA INC)]])</f>
        <v>-3362.1860597015111</v>
      </c>
      <c r="AL116" s="847">
        <f>IFERROR(Tabla1[[#This Row],[PRECIO $ BOLSA 50KG  FOB CDO TUC (IVA INC)]]/Tabla1[[#This Row],[PRECIO REF $ BOLSA 50 KG CACTU (IVA INC)]]-1,"")</f>
        <v>-0.10967689677941461</v>
      </c>
      <c r="AM116" s="846">
        <f>+Tabla1[[#This Row],[DIF $ PRECIO NETO INDUSTRIA vs Neto TUCUMAN (IVA INC)]]*Tabla1[[#This Row],[Q Bolsas Equivalentes 50kg]]</f>
        <v>-1883227.6557600105</v>
      </c>
      <c r="AN116" s="846">
        <f>Tabla1[[#This Row],[PRECIO REF $ BOLSA 50 KG CACTU (IVA INC)]]*Tabla1[[#This Row],[Q Bolsas Equivalentes 50kg]]</f>
        <v>17170686.90909091</v>
      </c>
      <c r="AO116" s="846">
        <f>+Tabla1[[#This Row],[PRECIO $ BOLSA 50KG  FOB CDO TUC (IVA INC)]]*Tabla1[[#This Row],[Q Bolsas Equivalentes 50kg]]</f>
        <v>15287459.253330899</v>
      </c>
      <c r="AP116" s="847">
        <v>2.9000000000000001E-2</v>
      </c>
      <c r="AQ116" s="846">
        <v>0</v>
      </c>
      <c r="AR116" s="828">
        <v>-4</v>
      </c>
      <c r="AS116" s="849"/>
      <c r="AT116" s="923">
        <f>+Tabla1[[#This Row],[VENTA TOTAL $ (IVA INC) ]]-(SUM(Tabla1[[#This Row],[PENDIENTE DE ENTREGA]:[VALORES COBRADOS]]))</f>
        <v>0</v>
      </c>
      <c r="AU116" s="850">
        <f>VLOOKUP(Tabla1[[#This Row],[FECHA OC]],'TIPO DE CAMBIO'!A:B,2,TRUE)</f>
        <v>1386.5259000000001</v>
      </c>
      <c r="AV116" s="850">
        <f>+Tabla1[[#This Row],[SUBTOTAL]]/Tabla1[[#This Row],[TIPO DE CAMBIO]]</f>
        <v>11062.37</v>
      </c>
      <c r="AW116" s="851"/>
      <c r="AX116" s="850">
        <f>IFERROR(Tabla1[[#This Row],[VENTA TOTAL USD A PLAZO EN CLIENTE  (SIN IVA)]]*(1+Tabla1[[#This Row],[% IVA ]]),"")</f>
        <v>11062.37</v>
      </c>
      <c r="AY116" s="850">
        <f>+Tabla1[[#This Row],[VENTA TOTAL USD A PLAZO EN CLIENTE  (SIN IVA)]]/Tabla1[[#This Row],[KGS]]*1000</f>
        <v>395</v>
      </c>
      <c r="AZ116" s="850">
        <f>-Tabla1[[#This Row],[COSTO FLETE $ POR BOLSA 5O KG (SIN IVA)]]*20/Tabla1[[#This Row],[TIPO DE CAMBIO]]</f>
        <v>0</v>
      </c>
      <c r="BA116" s="850">
        <f>+Tabla1[[#This Row],[GASTOS FINANCIEROS $ BOLSA 50 KG (IVA INC)]]*20/Tabla1[[#This Row],[TIPO DE CAMBIO]]</f>
        <v>0.12553424657534246</v>
      </c>
      <c r="BB116" s="850">
        <f>+Tabla1[[#This Row],[PRECIO POR TN USD EN CLIENTE A PLAZO (SIN IVA)]]+Tabla1[[#This Row],[COSTO USD FLETE /TN (SIN IVA)]]+Tabla1[[#This Row],[COSTO FINANCIERO USD POR BOLSA 50KG (IVA INC)]]</f>
        <v>395.12553424657534</v>
      </c>
      <c r="BC116" s="848">
        <v>1</v>
      </c>
      <c r="BD116" s="944"/>
    </row>
    <row r="117" spans="1:56" ht="15.75" customHeight="1">
      <c r="A117" s="912">
        <v>46143</v>
      </c>
      <c r="B117" s="828">
        <v>1</v>
      </c>
      <c r="C117" s="911" t="s">
        <v>473</v>
      </c>
      <c r="D117" s="829">
        <v>46193</v>
      </c>
      <c r="E117" s="830"/>
      <c r="F117" s="831" t="s">
        <v>356</v>
      </c>
      <c r="G117" s="832" t="s">
        <v>216</v>
      </c>
      <c r="H117" s="852">
        <v>46191</v>
      </c>
      <c r="I117" s="834">
        <v>28006</v>
      </c>
      <c r="J117" s="835">
        <f>395/1000*Tabla1[[#This Row],[TIPO DE CAMBIO]]</f>
        <v>547.67773050000005</v>
      </c>
      <c r="K117" s="836">
        <f t="shared" si="60"/>
        <v>15338262.520383002</v>
      </c>
      <c r="L11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117" s="837">
        <f t="shared" si="45"/>
        <v>15338262.520383002</v>
      </c>
      <c r="N117" s="838">
        <f>+Tabla1[[#This Row],[VENTA TOTAL $ (IVA INC) ]]</f>
        <v>15338262.520383002</v>
      </c>
      <c r="O117" s="838">
        <v>0</v>
      </c>
      <c r="P117" s="838">
        <v>0</v>
      </c>
      <c r="Q117" s="839">
        <f>+Tabla1[[#This Row],[VENTA TOTAL $ (IVA INC) ]]-Tabla1[[#This Row],[PENDIENTE DE ENTREGA]]-Tabla1[[#This Row],[PENDIENTE DE COBRO]]+Tabla1[[#This Row],[VALORES EN CARTERA]]</f>
        <v>0</v>
      </c>
      <c r="R117" s="840">
        <f>+Tabla1[[#This Row],[FECHA FC]]+Tabla1[[#This Row],[PLAZO ENTREGA VALORES]]</f>
        <v>46189</v>
      </c>
      <c r="S117" s="840">
        <f>+Tabla1[[#This Row],[FECHA FC]]+Tabla1[[#This Row],[PLAZO PAGO (DIAS)]]</f>
        <v>46189</v>
      </c>
      <c r="T117" s="834">
        <f t="shared" ref="T117:T163" ca="1" si="80">+S117-$U$2</f>
        <v>8</v>
      </c>
      <c r="U117" s="831">
        <v>-4</v>
      </c>
      <c r="V117" s="831"/>
      <c r="W117" s="841">
        <f t="shared" si="39"/>
        <v>46196</v>
      </c>
      <c r="X117" s="831" t="s">
        <v>490</v>
      </c>
      <c r="Y117" s="840">
        <v>46154</v>
      </c>
      <c r="Z117" s="842">
        <f>Tabla1[[#This Row],[KGS]]/50</f>
        <v>560.12</v>
      </c>
      <c r="AA11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27383.886525000002</v>
      </c>
      <c r="AB117" s="844">
        <f>-Tabla1[[#This Row],[COSTO FLETE $ POR BOLSA 5O KG (SIN IVA)]]*1.21-Tabla1[[#This Row],[PRECIO $/ KG A PLAZO EN CLIENTE ( SIN IVA)]]*0.003*1.21*50</f>
        <v>-99.403508085750019</v>
      </c>
      <c r="AC117" s="845">
        <f>SUM(Tabla1[[#This Row],[PRECIO $ BOLSA 50 KG (IVA INC) ]]+Tabla1[[#This Row],[COSTO FLETE $ BOLSA 50 KG (IVA INC)]])</f>
        <v>27284.483016914251</v>
      </c>
      <c r="AD117" s="844">
        <f>-Tabla1[[#This Row],[PRECIO $ BOLSA 50 KG (IVA INC) ]]*(Tabla1[[#This Row],[TASA FINANCIACION MENSUAL]]/365)*Tabla1[[#This Row],[PLAZO ENTREGA VALORES]]</f>
        <v>8.7028242106849323</v>
      </c>
      <c r="AE117" s="845">
        <f>SUM(Tabla1[[#This Row],[PRECIO $ BOLSA50 KG  FOB TUCUMAN A PLAZO (IVA INC)]]+Tabla1[[#This Row],[GASTOS FINANCIEROS $ BOLSA 50 KG (IVA INC)]])</f>
        <v>27293.185841124938</v>
      </c>
      <c r="AF117" s="828" t="s">
        <v>394</v>
      </c>
      <c r="AG117" s="828" t="s">
        <v>365</v>
      </c>
      <c r="AH117" s="828" t="s">
        <v>388</v>
      </c>
      <c r="AI117" s="828" t="s">
        <v>259</v>
      </c>
      <c r="AJ11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30655.371900826449</v>
      </c>
      <c r="AK117" s="846">
        <f>SUM(Tabla1[[#This Row],[PRECIO $ BOLSA 50KG  FOB CDO TUC (IVA INC)]]-Tabla1[[#This Row],[PRECIO REF $ BOLSA 50 KG CACTU (IVA INC)]])</f>
        <v>-3362.1860597015111</v>
      </c>
      <c r="AL117" s="847">
        <f>IFERROR(Tabla1[[#This Row],[PRECIO $ BOLSA 50KG  FOB CDO TUC (IVA INC)]]/Tabla1[[#This Row],[PRECIO REF $ BOLSA 50 KG CACTU (IVA INC)]]-1,"")</f>
        <v>-0.10967689677941461</v>
      </c>
      <c r="AM117" s="846">
        <f>+Tabla1[[#This Row],[DIF $ PRECIO NETO INDUSTRIA vs Neto TUCUMAN (IVA INC)]]*Tabla1[[#This Row],[Q Bolsas Equivalentes 50kg]]</f>
        <v>-1883227.6557600105</v>
      </c>
      <c r="AN117" s="846">
        <f>Tabla1[[#This Row],[PRECIO REF $ BOLSA 50 KG CACTU (IVA INC)]]*Tabla1[[#This Row],[Q Bolsas Equivalentes 50kg]]</f>
        <v>17170686.90909091</v>
      </c>
      <c r="AO117" s="846">
        <f>+Tabla1[[#This Row],[PRECIO $ BOLSA 50KG  FOB CDO TUC (IVA INC)]]*Tabla1[[#This Row],[Q Bolsas Equivalentes 50kg]]</f>
        <v>15287459.253330899</v>
      </c>
      <c r="AP117" s="847">
        <v>2.9000000000000001E-2</v>
      </c>
      <c r="AQ117" s="846">
        <v>0</v>
      </c>
      <c r="AR117" s="828">
        <v>-4</v>
      </c>
      <c r="AS117" s="849"/>
      <c r="AT117" s="923">
        <f>+Tabla1[[#This Row],[VENTA TOTAL $ (IVA INC) ]]-(SUM(Tabla1[[#This Row],[PENDIENTE DE ENTREGA]:[VALORES COBRADOS]]))</f>
        <v>0</v>
      </c>
      <c r="AU117" s="850">
        <f>VLOOKUP(Tabla1[[#This Row],[FECHA OC]],'TIPO DE CAMBIO'!A:B,2,TRUE)</f>
        <v>1386.5259000000001</v>
      </c>
      <c r="AV117" s="850">
        <f>+Tabla1[[#This Row],[SUBTOTAL]]/Tabla1[[#This Row],[TIPO DE CAMBIO]]</f>
        <v>11062.37</v>
      </c>
      <c r="AW117" s="851"/>
      <c r="AX117" s="850">
        <f>IFERROR(Tabla1[[#This Row],[VENTA TOTAL USD A PLAZO EN CLIENTE  (SIN IVA)]]*(1+Tabla1[[#This Row],[% IVA ]]),"")</f>
        <v>11062.37</v>
      </c>
      <c r="AY117" s="850">
        <f>+Tabla1[[#This Row],[VENTA TOTAL USD A PLAZO EN CLIENTE  (SIN IVA)]]/Tabla1[[#This Row],[KGS]]*1000</f>
        <v>395</v>
      </c>
      <c r="AZ117" s="850">
        <f>-Tabla1[[#This Row],[COSTO FLETE $ POR BOLSA 5O KG (SIN IVA)]]*20/Tabla1[[#This Row],[TIPO DE CAMBIO]]</f>
        <v>0</v>
      </c>
      <c r="BA117" s="850">
        <f>+Tabla1[[#This Row],[GASTOS FINANCIEROS $ BOLSA 50 KG (IVA INC)]]*20/Tabla1[[#This Row],[TIPO DE CAMBIO]]</f>
        <v>0.12553424657534246</v>
      </c>
      <c r="BB117" s="850">
        <f>+Tabla1[[#This Row],[PRECIO POR TN USD EN CLIENTE A PLAZO (SIN IVA)]]+Tabla1[[#This Row],[COSTO USD FLETE /TN (SIN IVA)]]+Tabla1[[#This Row],[COSTO FINANCIERO USD POR BOLSA 50KG (IVA INC)]]</f>
        <v>395.12553424657534</v>
      </c>
      <c r="BC117" s="848">
        <v>1</v>
      </c>
      <c r="BD117" s="944"/>
    </row>
    <row r="118" spans="1:56" ht="15.75" customHeight="1">
      <c r="A118" s="912">
        <v>46174</v>
      </c>
      <c r="B118" s="828">
        <v>1</v>
      </c>
      <c r="C118" s="792" t="s">
        <v>406</v>
      </c>
      <c r="D118" s="829">
        <f>+Tabla1[[#This Row],[FECHA Entrega]]</f>
        <v>46180</v>
      </c>
      <c r="E118" s="830">
        <v>700000869</v>
      </c>
      <c r="F118" s="831" t="s">
        <v>358</v>
      </c>
      <c r="G118" s="832" t="s">
        <v>216</v>
      </c>
      <c r="H118" s="852">
        <v>46180</v>
      </c>
      <c r="I118" s="834">
        <f t="shared" ref="I118:I181" si="81">700*50</f>
        <v>35000</v>
      </c>
      <c r="J118" s="835">
        <f>0.315*Tabla1[[#This Row],[TIPO DE CAMBIO]]</f>
        <v>455.58481499999999</v>
      </c>
      <c r="K118" s="836">
        <f t="shared" si="60"/>
        <v>15945468.525</v>
      </c>
      <c r="L11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18" s="837">
        <f t="shared" si="45"/>
        <v>19294016.91525</v>
      </c>
      <c r="N118" s="838"/>
      <c r="O118" s="838">
        <v>0</v>
      </c>
      <c r="P118" s="838">
        <v>0</v>
      </c>
      <c r="Q118" s="839">
        <f>+Tabla1[[#This Row],[VENTA TOTAL $ (IVA INC) ]]-Tabla1[[#This Row],[PENDIENTE DE COBRO]]</f>
        <v>19294016.91525</v>
      </c>
      <c r="R118" s="840">
        <f>+Tabla1[[#This Row],[FECHA FC]]+Tabla1[[#This Row],[PLAZO ENTREGA VALORES]]</f>
        <v>46051</v>
      </c>
      <c r="S118" s="840">
        <f>+Tabla1[[#This Row],[FECHA FC]]+Tabla1[[#This Row],[PLAZO PAGO (DIAS)]]</f>
        <v>46180</v>
      </c>
      <c r="T118" s="834">
        <f t="shared" ca="1" si="80"/>
        <v>-1</v>
      </c>
      <c r="U118" s="831">
        <f>+Tabla1[[#This Row],[FECHA OC]]-Tabla1[[#This Row],[FECHA Entrega]]</f>
        <v>-129</v>
      </c>
      <c r="V118" s="831"/>
      <c r="W118" s="841">
        <f>+Tabla1[[#This Row],[FECHA VTO VALORES]]+7</f>
        <v>46187</v>
      </c>
      <c r="X118" s="831" t="s">
        <v>489</v>
      </c>
      <c r="Y118" s="840">
        <v>46051</v>
      </c>
      <c r="Z118" s="842">
        <f>Tabla1[[#This Row],[KGS]]/50</f>
        <v>700</v>
      </c>
      <c r="AA11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18" s="844">
        <f>-Tabla1[[#This Row],[COSTO FLETE $ POR BOLSA 5O KG (SIN IVA)]]*1.21-Tabla1[[#This Row],[PRECIO $/ KG A PLAZO EN CLIENTE ( SIN IVA)]]*0.003*1.21*50</f>
        <v>-0.40864392249999071</v>
      </c>
      <c r="AC118" s="845">
        <f>SUM(Tabla1[[#This Row],[PRECIO $ BOLSA 50 KG (IVA INC) ]]+Tabla1[[#This Row],[COSTO FLETE $ BOLSA 50 KG (IVA INC)]])</f>
        <v>27562.4726635775</v>
      </c>
      <c r="AD118" s="844">
        <f>-Tabla1[[#This Row],[PRECIO $ BOLSA 50 KG (IVA INC) ]]*(Tabla1[[#This Row],[TASA FINANCIACION MENSUAL]]/365)*Tabla1[[#This Row],[PLAZO ENTREGA VALORES]]</f>
        <v>282.50065471604796</v>
      </c>
      <c r="AE118" s="845">
        <f>SUM(Tabla1[[#This Row],[PRECIO $ BOLSA50 KG  FOB TUCUMAN A PLAZO (IVA INC)]]+Tabla1[[#This Row],[GASTOS FINANCIEROS $ BOLSA 50 KG (IVA INC)]])</f>
        <v>27844.973318293549</v>
      </c>
      <c r="AF118" s="828" t="s">
        <v>476</v>
      </c>
      <c r="AG118" s="828" t="s">
        <v>365</v>
      </c>
      <c r="AH118" s="828" t="s">
        <v>387</v>
      </c>
      <c r="AI118" s="828" t="s">
        <v>261</v>
      </c>
      <c r="AJ11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18" s="846">
        <f>SUM(Tabla1[[#This Row],[PRECIO $ BOLSA 50KG  FOB CDO TUC (IVA INC)]]-Tabla1[[#This Row],[PRECIO REF $ BOLSA 50 KG CACTU (IVA INC)]])</f>
        <v>-4670.0266817064512</v>
      </c>
      <c r="AL118" s="847">
        <f>IFERROR(Tabla1[[#This Row],[PRECIO $ BOLSA 50KG  FOB CDO TUC (IVA INC)]]/Tabla1[[#This Row],[PRECIO REF $ BOLSA 50 KG CACTU (IVA INC)]]-1,"")</f>
        <v>-0.14362683935741816</v>
      </c>
      <c r="AM118" s="846">
        <f>+Tabla1[[#This Row],[DIF $ PRECIO NETO INDUSTRIA vs Neto TUCUMAN (IVA INC)]]*Tabla1[[#This Row],[Q Bolsas Equivalentes 50kg]]</f>
        <v>-3269018.6771945157</v>
      </c>
      <c r="AN118" s="846">
        <f>Tabla1[[#This Row],[PRECIO REF $ BOLSA 50 KG CACTU (IVA INC)]]*Tabla1[[#This Row],[Q Bolsas Equivalentes 50kg]]</f>
        <v>22760500</v>
      </c>
      <c r="AO118" s="846">
        <f>+Tabla1[[#This Row],[PRECIO $ BOLSA 50KG  FOB CDO TUC (IVA INC)]]*Tabla1[[#This Row],[Q Bolsas Equivalentes 50kg]]</f>
        <v>19491481.322805483</v>
      </c>
      <c r="AP118" s="847">
        <v>2.9000000000000001E-2</v>
      </c>
      <c r="AQ118" s="846">
        <v>-68</v>
      </c>
      <c r="AR118" s="848"/>
      <c r="AS118" s="849"/>
      <c r="AT118" s="923">
        <f>+Tabla1[[#This Row],[VENTA TOTAL $ (IVA INC) ]]-(SUM(Tabla1[[#This Row],[PENDIENTE DE ENTREGA]:[VALORES COBRADOS]]))</f>
        <v>0</v>
      </c>
      <c r="AU118" s="850">
        <f>VLOOKUP(Tabla1[[#This Row],[FECHA OC]],'TIPO DE CAMBIO'!A:B,2,TRUE)</f>
        <v>1446.3009999999999</v>
      </c>
      <c r="AV118" s="850">
        <f>+Tabla1[[#This Row],[SUBTOTAL]]/Tabla1[[#This Row],[TIPO DE CAMBIO]]</f>
        <v>11025</v>
      </c>
      <c r="AW118" s="851"/>
      <c r="AX118" s="850">
        <f>IFERROR(Tabla1[[#This Row],[VENTA TOTAL USD A PLAZO EN CLIENTE  (SIN IVA)]]*(1+Tabla1[[#This Row],[% IVA ]]),"")</f>
        <v>11025</v>
      </c>
      <c r="AY118" s="850">
        <f>+Tabla1[[#This Row],[VENTA TOTAL USD A PLAZO EN CLIENTE  (SIN IVA)]]/Tabla1[[#This Row],[KGS]]*1000</f>
        <v>315</v>
      </c>
      <c r="AZ118" s="850">
        <v>0</v>
      </c>
      <c r="BA118" s="850">
        <f>+Tabla1[[#This Row],[GASTOS FINANCIEROS $ BOLSA 50 KG (IVA INC)]]*20/Tabla1[[#This Row],[TIPO DE CAMBIO]]</f>
        <v>3.9065264383561646</v>
      </c>
      <c r="BB118" s="850">
        <f>+Tabla1[[#This Row],[PRECIO POR TN USD EN CLIENTE A PLAZO (SIN IVA)]]+Tabla1[[#This Row],[COSTO USD FLETE /TN (SIN IVA)]]+Tabla1[[#This Row],[COSTO FINANCIERO USD POR BOLSA 50KG (IVA INC)]]</f>
        <v>318.90652643835614</v>
      </c>
      <c r="BC118" s="848">
        <v>5</v>
      </c>
      <c r="BD118" s="944"/>
    </row>
    <row r="119" spans="1:56" ht="15.75" customHeight="1">
      <c r="A119" s="912">
        <v>46174</v>
      </c>
      <c r="B119" s="828">
        <v>1</v>
      </c>
      <c r="C119" s="792" t="s">
        <v>406</v>
      </c>
      <c r="D119" s="829">
        <f>+Tabla1[[#This Row],[FECHA Entrega]]</f>
        <v>46181</v>
      </c>
      <c r="E119" s="830">
        <v>700000869</v>
      </c>
      <c r="F119" s="831" t="s">
        <v>358</v>
      </c>
      <c r="G119" s="832" t="s">
        <v>216</v>
      </c>
      <c r="H119" s="852">
        <v>46181</v>
      </c>
      <c r="I119" s="834">
        <f t="shared" si="81"/>
        <v>35000</v>
      </c>
      <c r="J119" s="835">
        <f>0.315*Tabla1[[#This Row],[TIPO DE CAMBIO]]</f>
        <v>455.58481499999999</v>
      </c>
      <c r="K119" s="836">
        <f t="shared" si="60"/>
        <v>15945468.525</v>
      </c>
      <c r="L11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19" s="837">
        <f t="shared" si="45"/>
        <v>19294016.91525</v>
      </c>
      <c r="N119" s="838"/>
      <c r="O119" s="838">
        <v>0</v>
      </c>
      <c r="P119" s="838">
        <v>0</v>
      </c>
      <c r="Q119" s="839">
        <f>+Tabla1[[#This Row],[VENTA TOTAL $ (IVA INC) ]]-Tabla1[[#This Row],[PENDIENTE DE COBRO]]</f>
        <v>19294016.91525</v>
      </c>
      <c r="R119" s="840">
        <f>+Tabla1[[#This Row],[FECHA FC]]+Tabla1[[#This Row],[PLAZO ENTREGA VALORES]]</f>
        <v>46051</v>
      </c>
      <c r="S119" s="840">
        <f>+Tabla1[[#This Row],[FECHA FC]]+Tabla1[[#This Row],[PLAZO PAGO (DIAS)]]</f>
        <v>46181</v>
      </c>
      <c r="T119" s="834">
        <f t="shared" ca="1" si="80"/>
        <v>0</v>
      </c>
      <c r="U119" s="831">
        <f>+Tabla1[[#This Row],[FECHA OC]]-Tabla1[[#This Row],[FECHA Entrega]]</f>
        <v>-130</v>
      </c>
      <c r="V119" s="831"/>
      <c r="W119" s="841">
        <f>+Tabla1[[#This Row],[FECHA VTO VALORES]]+7</f>
        <v>46188</v>
      </c>
      <c r="X119" s="831" t="s">
        <v>489</v>
      </c>
      <c r="Y119" s="840">
        <v>46051</v>
      </c>
      <c r="Z119" s="842">
        <f>Tabla1[[#This Row],[KGS]]/50</f>
        <v>700</v>
      </c>
      <c r="AA11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19" s="844">
        <f>-Tabla1[[#This Row],[COSTO FLETE $ POR BOLSA 5O KG (SIN IVA)]]*1.21-Tabla1[[#This Row],[PRECIO $/ KG A PLAZO EN CLIENTE ( SIN IVA)]]*0.003*1.21*50</f>
        <v>-0.40864392249999071</v>
      </c>
      <c r="AC119" s="845">
        <f>SUM(Tabla1[[#This Row],[PRECIO $ BOLSA 50 KG (IVA INC) ]]+Tabla1[[#This Row],[COSTO FLETE $ BOLSA 50 KG (IVA INC)]])</f>
        <v>27562.4726635775</v>
      </c>
      <c r="AD119" s="844">
        <f>-Tabla1[[#This Row],[PRECIO $ BOLSA 50 KG (IVA INC) ]]*(Tabla1[[#This Row],[TASA FINANCIACION MENSUAL]]/365)*Tabla1[[#This Row],[PLAZO ENTREGA VALORES]]</f>
        <v>284.69058227198633</v>
      </c>
      <c r="AE119" s="845">
        <f>SUM(Tabla1[[#This Row],[PRECIO $ BOLSA50 KG  FOB TUCUMAN A PLAZO (IVA INC)]]+Tabla1[[#This Row],[GASTOS FINANCIEROS $ BOLSA 50 KG (IVA INC)]])</f>
        <v>27847.163245849486</v>
      </c>
      <c r="AF119" s="828" t="s">
        <v>476</v>
      </c>
      <c r="AG119" s="828" t="s">
        <v>365</v>
      </c>
      <c r="AH119" s="828" t="s">
        <v>387</v>
      </c>
      <c r="AI119" s="828" t="s">
        <v>261</v>
      </c>
      <c r="AJ11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19" s="846">
        <f>SUM(Tabla1[[#This Row],[PRECIO $ BOLSA 50KG  FOB CDO TUC (IVA INC)]]-Tabla1[[#This Row],[PRECIO REF $ BOLSA 50 KG CACTU (IVA INC)]])</f>
        <v>-4667.836754150514</v>
      </c>
      <c r="AL119" s="847">
        <f>IFERROR(Tabla1[[#This Row],[PRECIO $ BOLSA 50KG  FOB CDO TUC (IVA INC)]]/Tabla1[[#This Row],[PRECIO REF $ BOLSA 50 KG CACTU (IVA INC)]]-1,"")</f>
        <v>-0.14355948805629748</v>
      </c>
      <c r="AM119" s="846">
        <f>+Tabla1[[#This Row],[DIF $ PRECIO NETO INDUSTRIA vs Neto TUCUMAN (IVA INC)]]*Tabla1[[#This Row],[Q Bolsas Equivalentes 50kg]]</f>
        <v>-3267485.7279053601</v>
      </c>
      <c r="AN119" s="846">
        <f>Tabla1[[#This Row],[PRECIO REF $ BOLSA 50 KG CACTU (IVA INC)]]*Tabla1[[#This Row],[Q Bolsas Equivalentes 50kg]]</f>
        <v>22760500</v>
      </c>
      <c r="AO119" s="846">
        <f>+Tabla1[[#This Row],[PRECIO $ BOLSA 50KG  FOB CDO TUC (IVA INC)]]*Tabla1[[#This Row],[Q Bolsas Equivalentes 50kg]]</f>
        <v>19493014.272094641</v>
      </c>
      <c r="AP119" s="847">
        <v>2.9000000000000001E-2</v>
      </c>
      <c r="AQ119" s="846">
        <v>-68</v>
      </c>
      <c r="AR119" s="848"/>
      <c r="AS119" s="849"/>
      <c r="AT119" s="923">
        <f>+Tabla1[[#This Row],[VENTA TOTAL $ (IVA INC) ]]-(SUM(Tabla1[[#This Row],[PENDIENTE DE ENTREGA]:[VALORES COBRADOS]]))</f>
        <v>0</v>
      </c>
      <c r="AU119" s="850">
        <f>VLOOKUP(Tabla1[[#This Row],[FECHA OC]],'TIPO DE CAMBIO'!A:B,2,TRUE)</f>
        <v>1446.3009999999999</v>
      </c>
      <c r="AV119" s="850">
        <f>+Tabla1[[#This Row],[SUBTOTAL]]/Tabla1[[#This Row],[TIPO DE CAMBIO]]</f>
        <v>11025</v>
      </c>
      <c r="AW119" s="851"/>
      <c r="AX119" s="850">
        <f>IFERROR(Tabla1[[#This Row],[VENTA TOTAL USD A PLAZO EN CLIENTE  (SIN IVA)]]*(1+Tabla1[[#This Row],[% IVA ]]),"")</f>
        <v>11025</v>
      </c>
      <c r="AY119" s="850">
        <f>+Tabla1[[#This Row],[VENTA TOTAL USD A PLAZO EN CLIENTE  (SIN IVA)]]/Tabla1[[#This Row],[KGS]]*1000</f>
        <v>315</v>
      </c>
      <c r="AZ119" s="850">
        <v>0</v>
      </c>
      <c r="BA119" s="850">
        <f>+Tabla1[[#This Row],[GASTOS FINANCIEROS $ BOLSA 50 KG (IVA INC)]]*20/Tabla1[[#This Row],[TIPO DE CAMBIO]]</f>
        <v>3.9368095890410966</v>
      </c>
      <c r="BB119" s="850">
        <f>+Tabla1[[#This Row],[PRECIO POR TN USD EN CLIENTE A PLAZO (SIN IVA)]]+Tabla1[[#This Row],[COSTO USD FLETE /TN (SIN IVA)]]+Tabla1[[#This Row],[COSTO FINANCIERO USD POR BOLSA 50KG (IVA INC)]]</f>
        <v>318.9368095890411</v>
      </c>
      <c r="BC119" s="848">
        <v>5</v>
      </c>
      <c r="BD119" s="944"/>
    </row>
    <row r="120" spans="1:56" ht="15.75" customHeight="1">
      <c r="A120" s="912">
        <v>46174</v>
      </c>
      <c r="B120" s="828">
        <v>1</v>
      </c>
      <c r="C120" s="792" t="s">
        <v>406</v>
      </c>
      <c r="D120" s="829">
        <f>+Tabla1[[#This Row],[FECHA Entrega]]</f>
        <v>46181</v>
      </c>
      <c r="E120" s="830">
        <v>700000869</v>
      </c>
      <c r="F120" s="831" t="s">
        <v>358</v>
      </c>
      <c r="G120" s="832" t="s">
        <v>216</v>
      </c>
      <c r="H120" s="852">
        <v>46181</v>
      </c>
      <c r="I120" s="834">
        <f t="shared" si="81"/>
        <v>35000</v>
      </c>
      <c r="J120" s="835">
        <f>0.315*Tabla1[[#This Row],[TIPO DE CAMBIO]]</f>
        <v>455.58481499999999</v>
      </c>
      <c r="K120" s="836">
        <f t="shared" si="60"/>
        <v>15945468.525</v>
      </c>
      <c r="L12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20" s="837">
        <f t="shared" si="45"/>
        <v>19294016.91525</v>
      </c>
      <c r="N120" s="838"/>
      <c r="O120" s="838">
        <v>0</v>
      </c>
      <c r="P120" s="838">
        <v>0</v>
      </c>
      <c r="Q120" s="839">
        <f>+Tabla1[[#This Row],[VENTA TOTAL $ (IVA INC) ]]-Tabla1[[#This Row],[PENDIENTE DE COBRO]]</f>
        <v>19294016.91525</v>
      </c>
      <c r="R120" s="840">
        <f>+Tabla1[[#This Row],[FECHA FC]]+Tabla1[[#This Row],[PLAZO ENTREGA VALORES]]</f>
        <v>46051</v>
      </c>
      <c r="S120" s="840">
        <f>+Tabla1[[#This Row],[FECHA FC]]+Tabla1[[#This Row],[PLAZO PAGO (DIAS)]]</f>
        <v>46181</v>
      </c>
      <c r="T120" s="834">
        <f t="shared" ca="1" si="80"/>
        <v>0</v>
      </c>
      <c r="U120" s="831">
        <f>+Tabla1[[#This Row],[FECHA OC]]-Tabla1[[#This Row],[FECHA Entrega]]</f>
        <v>-130</v>
      </c>
      <c r="V120" s="831"/>
      <c r="W120" s="841">
        <f>+Tabla1[[#This Row],[FECHA VTO VALORES]]+7</f>
        <v>46188</v>
      </c>
      <c r="X120" s="831" t="s">
        <v>489</v>
      </c>
      <c r="Y120" s="840">
        <v>46051</v>
      </c>
      <c r="Z120" s="842">
        <f>Tabla1[[#This Row],[KGS]]/50</f>
        <v>700</v>
      </c>
      <c r="AA12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20" s="844">
        <f>-Tabla1[[#This Row],[COSTO FLETE $ POR BOLSA 5O KG (SIN IVA)]]*1.21-Tabla1[[#This Row],[PRECIO $/ KG A PLAZO EN CLIENTE ( SIN IVA)]]*0.003*1.21*50</f>
        <v>-0.40864392249999071</v>
      </c>
      <c r="AC120" s="845">
        <f>SUM(Tabla1[[#This Row],[PRECIO $ BOLSA 50 KG (IVA INC) ]]+Tabla1[[#This Row],[COSTO FLETE $ BOLSA 50 KG (IVA INC)]])</f>
        <v>27562.4726635775</v>
      </c>
      <c r="AD120" s="844">
        <f>-Tabla1[[#This Row],[PRECIO $ BOLSA 50 KG (IVA INC) ]]*(Tabla1[[#This Row],[TASA FINANCIACION MENSUAL]]/365)*Tabla1[[#This Row],[PLAZO ENTREGA VALORES]]</f>
        <v>284.69058227198633</v>
      </c>
      <c r="AE120" s="845">
        <f>SUM(Tabla1[[#This Row],[PRECIO $ BOLSA50 KG  FOB TUCUMAN A PLAZO (IVA INC)]]+Tabla1[[#This Row],[GASTOS FINANCIEROS $ BOLSA 50 KG (IVA INC)]])</f>
        <v>27847.163245849486</v>
      </c>
      <c r="AF120" s="828" t="s">
        <v>476</v>
      </c>
      <c r="AG120" s="828" t="s">
        <v>365</v>
      </c>
      <c r="AH120" s="828" t="s">
        <v>387</v>
      </c>
      <c r="AI120" s="828" t="s">
        <v>261</v>
      </c>
      <c r="AJ12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20" s="846">
        <f>SUM(Tabla1[[#This Row],[PRECIO $ BOLSA 50KG  FOB CDO TUC (IVA INC)]]-Tabla1[[#This Row],[PRECIO REF $ BOLSA 50 KG CACTU (IVA INC)]])</f>
        <v>-4667.836754150514</v>
      </c>
      <c r="AL120" s="847">
        <f>IFERROR(Tabla1[[#This Row],[PRECIO $ BOLSA 50KG  FOB CDO TUC (IVA INC)]]/Tabla1[[#This Row],[PRECIO REF $ BOLSA 50 KG CACTU (IVA INC)]]-1,"")</f>
        <v>-0.14355948805629748</v>
      </c>
      <c r="AM120" s="846">
        <f>+Tabla1[[#This Row],[DIF $ PRECIO NETO INDUSTRIA vs Neto TUCUMAN (IVA INC)]]*Tabla1[[#This Row],[Q Bolsas Equivalentes 50kg]]</f>
        <v>-3267485.7279053601</v>
      </c>
      <c r="AN120" s="846">
        <f>Tabla1[[#This Row],[PRECIO REF $ BOLSA 50 KG CACTU (IVA INC)]]*Tabla1[[#This Row],[Q Bolsas Equivalentes 50kg]]</f>
        <v>22760500</v>
      </c>
      <c r="AO120" s="846">
        <f>+Tabla1[[#This Row],[PRECIO $ BOLSA 50KG  FOB CDO TUC (IVA INC)]]*Tabla1[[#This Row],[Q Bolsas Equivalentes 50kg]]</f>
        <v>19493014.272094641</v>
      </c>
      <c r="AP120" s="847">
        <v>2.9000000000000001E-2</v>
      </c>
      <c r="AQ120" s="846">
        <v>-68</v>
      </c>
      <c r="AR120" s="848"/>
      <c r="AS120" s="849"/>
      <c r="AT120" s="923">
        <f>+Tabla1[[#This Row],[VENTA TOTAL $ (IVA INC) ]]-(SUM(Tabla1[[#This Row],[PENDIENTE DE ENTREGA]:[VALORES COBRADOS]]))</f>
        <v>0</v>
      </c>
      <c r="AU120" s="850">
        <f>VLOOKUP(Tabla1[[#This Row],[FECHA OC]],'TIPO DE CAMBIO'!A:B,2,TRUE)</f>
        <v>1446.3009999999999</v>
      </c>
      <c r="AV120" s="850">
        <f>+Tabla1[[#This Row],[SUBTOTAL]]/Tabla1[[#This Row],[TIPO DE CAMBIO]]</f>
        <v>11025</v>
      </c>
      <c r="AW120" s="851"/>
      <c r="AX120" s="850">
        <f>IFERROR(Tabla1[[#This Row],[VENTA TOTAL USD A PLAZO EN CLIENTE  (SIN IVA)]]*(1+Tabla1[[#This Row],[% IVA ]]),"")</f>
        <v>11025</v>
      </c>
      <c r="AY120" s="850">
        <f>+Tabla1[[#This Row],[VENTA TOTAL USD A PLAZO EN CLIENTE  (SIN IVA)]]/Tabla1[[#This Row],[KGS]]*1000</f>
        <v>315</v>
      </c>
      <c r="AZ120" s="850">
        <v>0</v>
      </c>
      <c r="BA120" s="850">
        <f>+Tabla1[[#This Row],[GASTOS FINANCIEROS $ BOLSA 50 KG (IVA INC)]]*20/Tabla1[[#This Row],[TIPO DE CAMBIO]]</f>
        <v>3.9368095890410966</v>
      </c>
      <c r="BB120" s="850">
        <f>+Tabla1[[#This Row],[PRECIO POR TN USD EN CLIENTE A PLAZO (SIN IVA)]]+Tabla1[[#This Row],[COSTO USD FLETE /TN (SIN IVA)]]+Tabla1[[#This Row],[COSTO FINANCIERO USD POR BOLSA 50KG (IVA INC)]]</f>
        <v>318.9368095890411</v>
      </c>
      <c r="BC120" s="848">
        <v>5</v>
      </c>
      <c r="BD120" s="944"/>
    </row>
    <row r="121" spans="1:56" ht="15.75" customHeight="1">
      <c r="A121" s="912">
        <v>46174</v>
      </c>
      <c r="B121" s="828">
        <v>1</v>
      </c>
      <c r="C121" s="792" t="s">
        <v>406</v>
      </c>
      <c r="D121" s="829">
        <f>+Tabla1[[#This Row],[FECHA Entrega]]</f>
        <v>46182</v>
      </c>
      <c r="E121" s="830">
        <v>700000869</v>
      </c>
      <c r="F121" s="831" t="s">
        <v>358</v>
      </c>
      <c r="G121" s="832" t="s">
        <v>216</v>
      </c>
      <c r="H121" s="852">
        <v>46182</v>
      </c>
      <c r="I121" s="834">
        <f t="shared" si="81"/>
        <v>35000</v>
      </c>
      <c r="J121" s="835">
        <f>0.315*Tabla1[[#This Row],[TIPO DE CAMBIO]]</f>
        <v>455.58481499999999</v>
      </c>
      <c r="K121" s="836">
        <f t="shared" si="60"/>
        <v>15945468.525</v>
      </c>
      <c r="L12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21" s="837">
        <f t="shared" si="45"/>
        <v>19294016.91525</v>
      </c>
      <c r="N121" s="838"/>
      <c r="O121" s="838">
        <v>0</v>
      </c>
      <c r="P121" s="838">
        <v>0</v>
      </c>
      <c r="Q121" s="839">
        <f>+Tabla1[[#This Row],[VENTA TOTAL $ (IVA INC) ]]-Tabla1[[#This Row],[PENDIENTE DE COBRO]]</f>
        <v>19294016.91525</v>
      </c>
      <c r="R121" s="840">
        <f>+Tabla1[[#This Row],[FECHA FC]]+Tabla1[[#This Row],[PLAZO ENTREGA VALORES]]</f>
        <v>46051</v>
      </c>
      <c r="S121" s="840">
        <f>+Tabla1[[#This Row],[FECHA FC]]+Tabla1[[#This Row],[PLAZO PAGO (DIAS)]]</f>
        <v>46182</v>
      </c>
      <c r="T121" s="834">
        <f t="shared" ca="1" si="80"/>
        <v>1</v>
      </c>
      <c r="U121" s="831">
        <f>+Tabla1[[#This Row],[FECHA OC]]-Tabla1[[#This Row],[FECHA Entrega]]</f>
        <v>-131</v>
      </c>
      <c r="V121" s="831"/>
      <c r="W121" s="841">
        <f>+Tabla1[[#This Row],[FECHA VTO VALORES]]+7</f>
        <v>46189</v>
      </c>
      <c r="X121" s="831" t="s">
        <v>489</v>
      </c>
      <c r="Y121" s="840">
        <v>46051</v>
      </c>
      <c r="Z121" s="842">
        <f>Tabla1[[#This Row],[KGS]]/50</f>
        <v>700</v>
      </c>
      <c r="AA12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21" s="844">
        <f>-Tabla1[[#This Row],[COSTO FLETE $ POR BOLSA 5O KG (SIN IVA)]]*1.21-Tabla1[[#This Row],[PRECIO $/ KG A PLAZO EN CLIENTE ( SIN IVA)]]*0.003*1.21*50</f>
        <v>-0.40864392249999071</v>
      </c>
      <c r="AC121" s="845">
        <f>SUM(Tabla1[[#This Row],[PRECIO $ BOLSA 50 KG (IVA INC) ]]+Tabla1[[#This Row],[COSTO FLETE $ BOLSA 50 KG (IVA INC)]])</f>
        <v>27562.4726635775</v>
      </c>
      <c r="AD121" s="844">
        <f>-Tabla1[[#This Row],[PRECIO $ BOLSA 50 KG (IVA INC) ]]*(Tabla1[[#This Row],[TASA FINANCIACION MENSUAL]]/365)*Tabla1[[#This Row],[PLAZO ENTREGA VALORES]]</f>
        <v>286.88050982792464</v>
      </c>
      <c r="AE121" s="845">
        <f>SUM(Tabla1[[#This Row],[PRECIO $ BOLSA50 KG  FOB TUCUMAN A PLAZO (IVA INC)]]+Tabla1[[#This Row],[GASTOS FINANCIEROS $ BOLSA 50 KG (IVA INC)]])</f>
        <v>27849.353173405427</v>
      </c>
      <c r="AF121" s="828" t="s">
        <v>476</v>
      </c>
      <c r="AG121" s="828" t="s">
        <v>365</v>
      </c>
      <c r="AH121" s="828" t="s">
        <v>387</v>
      </c>
      <c r="AI121" s="828" t="s">
        <v>261</v>
      </c>
      <c r="AJ12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21" s="846">
        <f>SUM(Tabla1[[#This Row],[PRECIO $ BOLSA 50KG  FOB CDO TUC (IVA INC)]]-Tabla1[[#This Row],[PRECIO REF $ BOLSA 50 KG CACTU (IVA INC)]])</f>
        <v>-4665.6468265945732</v>
      </c>
      <c r="AL121" s="847">
        <f>IFERROR(Tabla1[[#This Row],[PRECIO $ BOLSA 50KG  FOB CDO TUC (IVA INC)]]/Tabla1[[#This Row],[PRECIO REF $ BOLSA 50 KG CACTU (IVA INC)]]-1,"")</f>
        <v>-0.1434921367551768</v>
      </c>
      <c r="AM121" s="846">
        <f>+Tabla1[[#This Row],[DIF $ PRECIO NETO INDUSTRIA vs Neto TUCUMAN (IVA INC)]]*Tabla1[[#This Row],[Q Bolsas Equivalentes 50kg]]</f>
        <v>-3265952.7786162011</v>
      </c>
      <c r="AN121" s="846">
        <f>Tabla1[[#This Row],[PRECIO REF $ BOLSA 50 KG CACTU (IVA INC)]]*Tabla1[[#This Row],[Q Bolsas Equivalentes 50kg]]</f>
        <v>22760500</v>
      </c>
      <c r="AO121" s="846">
        <f>+Tabla1[[#This Row],[PRECIO $ BOLSA 50KG  FOB CDO TUC (IVA INC)]]*Tabla1[[#This Row],[Q Bolsas Equivalentes 50kg]]</f>
        <v>19494547.221383799</v>
      </c>
      <c r="AP121" s="847">
        <v>2.9000000000000001E-2</v>
      </c>
      <c r="AQ121" s="846">
        <v>-68</v>
      </c>
      <c r="AR121" s="848"/>
      <c r="AS121" s="849"/>
      <c r="AT121" s="923">
        <f>+Tabla1[[#This Row],[VENTA TOTAL $ (IVA INC) ]]-(SUM(Tabla1[[#This Row],[PENDIENTE DE ENTREGA]:[VALORES COBRADOS]]))</f>
        <v>0</v>
      </c>
      <c r="AU121" s="850">
        <f>VLOOKUP(Tabla1[[#This Row],[FECHA OC]],'TIPO DE CAMBIO'!A:B,2,TRUE)</f>
        <v>1446.3009999999999</v>
      </c>
      <c r="AV121" s="850">
        <f>+Tabla1[[#This Row],[SUBTOTAL]]/Tabla1[[#This Row],[TIPO DE CAMBIO]]</f>
        <v>11025</v>
      </c>
      <c r="AW121" s="851"/>
      <c r="AX121" s="850">
        <f>IFERROR(Tabla1[[#This Row],[VENTA TOTAL USD A PLAZO EN CLIENTE  (SIN IVA)]]*(1+Tabla1[[#This Row],[% IVA ]]),"")</f>
        <v>11025</v>
      </c>
      <c r="AY121" s="850">
        <f>+Tabla1[[#This Row],[VENTA TOTAL USD A PLAZO EN CLIENTE  (SIN IVA)]]/Tabla1[[#This Row],[KGS]]*1000</f>
        <v>315</v>
      </c>
      <c r="AZ121" s="850">
        <v>0</v>
      </c>
      <c r="BA121" s="850">
        <f>+Tabla1[[#This Row],[GASTOS FINANCIEROS $ BOLSA 50 KG (IVA INC)]]*20/Tabla1[[#This Row],[TIPO DE CAMBIO]]</f>
        <v>3.9670927397260276</v>
      </c>
      <c r="BB121" s="850">
        <f>+Tabla1[[#This Row],[PRECIO POR TN USD EN CLIENTE A PLAZO (SIN IVA)]]+Tabla1[[#This Row],[COSTO USD FLETE /TN (SIN IVA)]]+Tabla1[[#This Row],[COSTO FINANCIERO USD POR BOLSA 50KG (IVA INC)]]</f>
        <v>318.96709273972601</v>
      </c>
      <c r="BC121" s="848">
        <v>5</v>
      </c>
      <c r="BD121" s="944"/>
    </row>
    <row r="122" spans="1:56" ht="15.75" customHeight="1">
      <c r="A122" s="912">
        <v>46174</v>
      </c>
      <c r="B122" s="828">
        <v>1</v>
      </c>
      <c r="C122" s="792" t="s">
        <v>406</v>
      </c>
      <c r="D122" s="829">
        <f>+Tabla1[[#This Row],[FECHA Entrega]]</f>
        <v>46182</v>
      </c>
      <c r="E122" s="830">
        <v>700000869</v>
      </c>
      <c r="F122" s="831" t="s">
        <v>358</v>
      </c>
      <c r="G122" s="832" t="s">
        <v>216</v>
      </c>
      <c r="H122" s="852">
        <v>46182</v>
      </c>
      <c r="I122" s="834">
        <f t="shared" si="81"/>
        <v>35000</v>
      </c>
      <c r="J122" s="835">
        <f>0.315*Tabla1[[#This Row],[TIPO DE CAMBIO]]</f>
        <v>455.58481499999999</v>
      </c>
      <c r="K122" s="836">
        <f t="shared" si="60"/>
        <v>15945468.525</v>
      </c>
      <c r="L12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22" s="837">
        <f t="shared" si="45"/>
        <v>19294016.91525</v>
      </c>
      <c r="N122" s="838"/>
      <c r="O122" s="838">
        <v>0</v>
      </c>
      <c r="P122" s="838">
        <v>0</v>
      </c>
      <c r="Q122" s="839">
        <f>+Tabla1[[#This Row],[VENTA TOTAL $ (IVA INC) ]]-Tabla1[[#This Row],[PENDIENTE DE COBRO]]</f>
        <v>19294016.91525</v>
      </c>
      <c r="R122" s="840">
        <f>+Tabla1[[#This Row],[FECHA FC]]+Tabla1[[#This Row],[PLAZO ENTREGA VALORES]]</f>
        <v>46051</v>
      </c>
      <c r="S122" s="840">
        <f>+Tabla1[[#This Row],[FECHA FC]]+Tabla1[[#This Row],[PLAZO PAGO (DIAS)]]</f>
        <v>46182</v>
      </c>
      <c r="T122" s="834">
        <f t="shared" ca="1" si="80"/>
        <v>1</v>
      </c>
      <c r="U122" s="831">
        <f>+Tabla1[[#This Row],[FECHA OC]]-Tabla1[[#This Row],[FECHA Entrega]]</f>
        <v>-131</v>
      </c>
      <c r="V122" s="831"/>
      <c r="W122" s="841">
        <f>+Tabla1[[#This Row],[FECHA VTO VALORES]]+7</f>
        <v>46189</v>
      </c>
      <c r="X122" s="831" t="s">
        <v>489</v>
      </c>
      <c r="Y122" s="840">
        <v>46051</v>
      </c>
      <c r="Z122" s="842">
        <f>Tabla1[[#This Row],[KGS]]/50</f>
        <v>700</v>
      </c>
      <c r="AA12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22" s="844">
        <f>-Tabla1[[#This Row],[COSTO FLETE $ POR BOLSA 5O KG (SIN IVA)]]*1.21-Tabla1[[#This Row],[PRECIO $/ KG A PLAZO EN CLIENTE ( SIN IVA)]]*0.003*1.21*50</f>
        <v>-0.40864392249999071</v>
      </c>
      <c r="AC122" s="845">
        <f>SUM(Tabla1[[#This Row],[PRECIO $ BOLSA 50 KG (IVA INC) ]]+Tabla1[[#This Row],[COSTO FLETE $ BOLSA 50 KG (IVA INC)]])</f>
        <v>27562.4726635775</v>
      </c>
      <c r="AD122" s="844">
        <f>-Tabla1[[#This Row],[PRECIO $ BOLSA 50 KG (IVA INC) ]]*(Tabla1[[#This Row],[TASA FINANCIACION MENSUAL]]/365)*Tabla1[[#This Row],[PLAZO ENTREGA VALORES]]</f>
        <v>286.88050982792464</v>
      </c>
      <c r="AE122" s="845">
        <f>SUM(Tabla1[[#This Row],[PRECIO $ BOLSA50 KG  FOB TUCUMAN A PLAZO (IVA INC)]]+Tabla1[[#This Row],[GASTOS FINANCIEROS $ BOLSA 50 KG (IVA INC)]])</f>
        <v>27849.353173405427</v>
      </c>
      <c r="AF122" s="828" t="s">
        <v>476</v>
      </c>
      <c r="AG122" s="828" t="s">
        <v>365</v>
      </c>
      <c r="AH122" s="828" t="s">
        <v>387</v>
      </c>
      <c r="AI122" s="828" t="s">
        <v>261</v>
      </c>
      <c r="AJ12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22" s="846">
        <f>SUM(Tabla1[[#This Row],[PRECIO $ BOLSA 50KG  FOB CDO TUC (IVA INC)]]-Tabla1[[#This Row],[PRECIO REF $ BOLSA 50 KG CACTU (IVA INC)]])</f>
        <v>-4665.6468265945732</v>
      </c>
      <c r="AL122" s="847">
        <f>IFERROR(Tabla1[[#This Row],[PRECIO $ BOLSA 50KG  FOB CDO TUC (IVA INC)]]/Tabla1[[#This Row],[PRECIO REF $ BOLSA 50 KG CACTU (IVA INC)]]-1,"")</f>
        <v>-0.1434921367551768</v>
      </c>
      <c r="AM122" s="846">
        <f>+Tabla1[[#This Row],[DIF $ PRECIO NETO INDUSTRIA vs Neto TUCUMAN (IVA INC)]]*Tabla1[[#This Row],[Q Bolsas Equivalentes 50kg]]</f>
        <v>-3265952.7786162011</v>
      </c>
      <c r="AN122" s="846">
        <f>Tabla1[[#This Row],[PRECIO REF $ BOLSA 50 KG CACTU (IVA INC)]]*Tabla1[[#This Row],[Q Bolsas Equivalentes 50kg]]</f>
        <v>22760500</v>
      </c>
      <c r="AO122" s="846">
        <f>+Tabla1[[#This Row],[PRECIO $ BOLSA 50KG  FOB CDO TUC (IVA INC)]]*Tabla1[[#This Row],[Q Bolsas Equivalentes 50kg]]</f>
        <v>19494547.221383799</v>
      </c>
      <c r="AP122" s="847">
        <v>2.9000000000000001E-2</v>
      </c>
      <c r="AQ122" s="846">
        <v>-68</v>
      </c>
      <c r="AR122" s="848"/>
      <c r="AS122" s="849"/>
      <c r="AT122" s="923">
        <f>+Tabla1[[#This Row],[VENTA TOTAL $ (IVA INC) ]]-(SUM(Tabla1[[#This Row],[PENDIENTE DE ENTREGA]:[VALORES COBRADOS]]))</f>
        <v>0</v>
      </c>
      <c r="AU122" s="850">
        <f>VLOOKUP(Tabla1[[#This Row],[FECHA OC]],'TIPO DE CAMBIO'!A:B,2,TRUE)</f>
        <v>1446.3009999999999</v>
      </c>
      <c r="AV122" s="850">
        <f>+Tabla1[[#This Row],[SUBTOTAL]]/Tabla1[[#This Row],[TIPO DE CAMBIO]]</f>
        <v>11025</v>
      </c>
      <c r="AW122" s="851"/>
      <c r="AX122" s="850">
        <f>IFERROR(Tabla1[[#This Row],[VENTA TOTAL USD A PLAZO EN CLIENTE  (SIN IVA)]]*(1+Tabla1[[#This Row],[% IVA ]]),"")</f>
        <v>11025</v>
      </c>
      <c r="AY122" s="850">
        <f>+Tabla1[[#This Row],[VENTA TOTAL USD A PLAZO EN CLIENTE  (SIN IVA)]]/Tabla1[[#This Row],[KGS]]*1000</f>
        <v>315</v>
      </c>
      <c r="AZ122" s="850">
        <v>0</v>
      </c>
      <c r="BA122" s="850">
        <f>+Tabla1[[#This Row],[GASTOS FINANCIEROS $ BOLSA 50 KG (IVA INC)]]*20/Tabla1[[#This Row],[TIPO DE CAMBIO]]</f>
        <v>3.9670927397260276</v>
      </c>
      <c r="BB122" s="850">
        <f>+Tabla1[[#This Row],[PRECIO POR TN USD EN CLIENTE A PLAZO (SIN IVA)]]+Tabla1[[#This Row],[COSTO USD FLETE /TN (SIN IVA)]]+Tabla1[[#This Row],[COSTO FINANCIERO USD POR BOLSA 50KG (IVA INC)]]</f>
        <v>318.96709273972601</v>
      </c>
      <c r="BC122" s="848">
        <v>5</v>
      </c>
      <c r="BD122" s="944"/>
    </row>
    <row r="123" spans="1:56" ht="15.75" customHeight="1">
      <c r="A123" s="912">
        <v>46174</v>
      </c>
      <c r="B123" s="828">
        <v>1</v>
      </c>
      <c r="C123" s="792" t="s">
        <v>406</v>
      </c>
      <c r="D123" s="829">
        <f>+Tabla1[[#This Row],[FECHA Entrega]]</f>
        <v>46183</v>
      </c>
      <c r="E123" s="830">
        <v>700000869</v>
      </c>
      <c r="F123" s="831" t="s">
        <v>358</v>
      </c>
      <c r="G123" s="832" t="s">
        <v>216</v>
      </c>
      <c r="H123" s="852">
        <v>46183</v>
      </c>
      <c r="I123" s="834">
        <f t="shared" si="81"/>
        <v>35000</v>
      </c>
      <c r="J123" s="835">
        <f>0.315*Tabla1[[#This Row],[TIPO DE CAMBIO]]</f>
        <v>455.58481499999999</v>
      </c>
      <c r="K123" s="836">
        <f t="shared" si="60"/>
        <v>15945468.525</v>
      </c>
      <c r="L12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23" s="837">
        <f t="shared" si="45"/>
        <v>19294016.91525</v>
      </c>
      <c r="N123" s="838"/>
      <c r="O123" s="838">
        <v>0</v>
      </c>
      <c r="P123" s="838">
        <v>0</v>
      </c>
      <c r="Q123" s="839">
        <f>+Tabla1[[#This Row],[VENTA TOTAL $ (IVA INC) ]]-Tabla1[[#This Row],[PENDIENTE DE COBRO]]</f>
        <v>19294016.91525</v>
      </c>
      <c r="R123" s="840">
        <f>+Tabla1[[#This Row],[FECHA FC]]+Tabla1[[#This Row],[PLAZO ENTREGA VALORES]]</f>
        <v>46051</v>
      </c>
      <c r="S123" s="840">
        <f>+Tabla1[[#This Row],[FECHA FC]]+Tabla1[[#This Row],[PLAZO PAGO (DIAS)]]</f>
        <v>46183</v>
      </c>
      <c r="T123" s="834">
        <f t="shared" ca="1" si="80"/>
        <v>2</v>
      </c>
      <c r="U123" s="831">
        <f>+Tabla1[[#This Row],[FECHA OC]]-Tabla1[[#This Row],[FECHA Entrega]]</f>
        <v>-132</v>
      </c>
      <c r="V123" s="831"/>
      <c r="W123" s="841">
        <f>+Tabla1[[#This Row],[FECHA VTO VALORES]]+7</f>
        <v>46190</v>
      </c>
      <c r="X123" s="831" t="s">
        <v>489</v>
      </c>
      <c r="Y123" s="840">
        <v>46051</v>
      </c>
      <c r="Z123" s="842">
        <f>Tabla1[[#This Row],[KGS]]/50</f>
        <v>700</v>
      </c>
      <c r="AA12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23" s="844">
        <f>-Tabla1[[#This Row],[COSTO FLETE $ POR BOLSA 5O KG (SIN IVA)]]*1.21-Tabla1[[#This Row],[PRECIO $/ KG A PLAZO EN CLIENTE ( SIN IVA)]]*0.003*1.21*50</f>
        <v>-0.40864392249999071</v>
      </c>
      <c r="AC123" s="845">
        <f>SUM(Tabla1[[#This Row],[PRECIO $ BOLSA 50 KG (IVA INC) ]]+Tabla1[[#This Row],[COSTO FLETE $ BOLSA 50 KG (IVA INC)]])</f>
        <v>27562.4726635775</v>
      </c>
      <c r="AD123" s="844">
        <f>-Tabla1[[#This Row],[PRECIO $ BOLSA 50 KG (IVA INC) ]]*(Tabla1[[#This Row],[TASA FINANCIACION MENSUAL]]/365)*Tabla1[[#This Row],[PLAZO ENTREGA VALORES]]</f>
        <v>289.07043738386301</v>
      </c>
      <c r="AE123" s="845">
        <f>SUM(Tabla1[[#This Row],[PRECIO $ BOLSA50 KG  FOB TUCUMAN A PLAZO (IVA INC)]]+Tabla1[[#This Row],[GASTOS FINANCIEROS $ BOLSA 50 KG (IVA INC)]])</f>
        <v>27851.543100961364</v>
      </c>
      <c r="AF123" s="828" t="s">
        <v>476</v>
      </c>
      <c r="AG123" s="828" t="s">
        <v>365</v>
      </c>
      <c r="AH123" s="828" t="s">
        <v>387</v>
      </c>
      <c r="AI123" s="828" t="s">
        <v>261</v>
      </c>
      <c r="AJ12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23" s="846">
        <f>SUM(Tabla1[[#This Row],[PRECIO $ BOLSA 50KG  FOB CDO TUC (IVA INC)]]-Tabla1[[#This Row],[PRECIO REF $ BOLSA 50 KG CACTU (IVA INC)]])</f>
        <v>-4663.456899038636</v>
      </c>
      <c r="AL123" s="847">
        <f>IFERROR(Tabla1[[#This Row],[PRECIO $ BOLSA 50KG  FOB CDO TUC (IVA INC)]]/Tabla1[[#This Row],[PRECIO REF $ BOLSA 50 KG CACTU (IVA INC)]]-1,"")</f>
        <v>-0.14342478545405613</v>
      </c>
      <c r="AM123" s="846">
        <f>+Tabla1[[#This Row],[DIF $ PRECIO NETO INDUSTRIA vs Neto TUCUMAN (IVA INC)]]*Tabla1[[#This Row],[Q Bolsas Equivalentes 50kg]]</f>
        <v>-3264419.829327045</v>
      </c>
      <c r="AN123" s="846">
        <f>Tabla1[[#This Row],[PRECIO REF $ BOLSA 50 KG CACTU (IVA INC)]]*Tabla1[[#This Row],[Q Bolsas Equivalentes 50kg]]</f>
        <v>22760500</v>
      </c>
      <c r="AO123" s="846">
        <f>+Tabla1[[#This Row],[PRECIO $ BOLSA 50KG  FOB CDO TUC (IVA INC)]]*Tabla1[[#This Row],[Q Bolsas Equivalentes 50kg]]</f>
        <v>19496080.170672953</v>
      </c>
      <c r="AP123" s="847">
        <v>2.9000000000000001E-2</v>
      </c>
      <c r="AQ123" s="846">
        <v>-68</v>
      </c>
      <c r="AR123" s="848"/>
      <c r="AS123" s="849"/>
      <c r="AT123" s="923">
        <f>+Tabla1[[#This Row],[VENTA TOTAL $ (IVA INC) ]]-(SUM(Tabla1[[#This Row],[PENDIENTE DE ENTREGA]:[VALORES COBRADOS]]))</f>
        <v>0</v>
      </c>
      <c r="AU123" s="850">
        <f>VLOOKUP(Tabla1[[#This Row],[FECHA OC]],'TIPO DE CAMBIO'!A:B,2,TRUE)</f>
        <v>1446.3009999999999</v>
      </c>
      <c r="AV123" s="850">
        <f>+Tabla1[[#This Row],[SUBTOTAL]]/Tabla1[[#This Row],[TIPO DE CAMBIO]]</f>
        <v>11025</v>
      </c>
      <c r="AW123" s="851"/>
      <c r="AX123" s="850">
        <f>IFERROR(Tabla1[[#This Row],[VENTA TOTAL USD A PLAZO EN CLIENTE  (SIN IVA)]]*(1+Tabla1[[#This Row],[% IVA ]]),"")</f>
        <v>11025</v>
      </c>
      <c r="AY123" s="850">
        <f>+Tabla1[[#This Row],[VENTA TOTAL USD A PLAZO EN CLIENTE  (SIN IVA)]]/Tabla1[[#This Row],[KGS]]*1000</f>
        <v>315</v>
      </c>
      <c r="AZ123" s="850">
        <v>0</v>
      </c>
      <c r="BA123" s="850">
        <f>+Tabla1[[#This Row],[GASTOS FINANCIEROS $ BOLSA 50 KG (IVA INC)]]*20/Tabla1[[#This Row],[TIPO DE CAMBIO]]</f>
        <v>3.9973758904109591</v>
      </c>
      <c r="BB123" s="850">
        <f>+Tabla1[[#This Row],[PRECIO POR TN USD EN CLIENTE A PLAZO (SIN IVA)]]+Tabla1[[#This Row],[COSTO USD FLETE /TN (SIN IVA)]]+Tabla1[[#This Row],[COSTO FINANCIERO USD POR BOLSA 50KG (IVA INC)]]</f>
        <v>318.99737589041098</v>
      </c>
      <c r="BC123" s="848">
        <v>5</v>
      </c>
      <c r="BD123" s="944"/>
    </row>
    <row r="124" spans="1:56" ht="15.75" customHeight="1">
      <c r="A124" s="912">
        <v>46174</v>
      </c>
      <c r="B124" s="828">
        <v>1</v>
      </c>
      <c r="C124" s="792" t="s">
        <v>406</v>
      </c>
      <c r="D124" s="829">
        <f>+Tabla1[[#This Row],[FECHA Entrega]]</f>
        <v>46183</v>
      </c>
      <c r="E124" s="830">
        <v>700000869</v>
      </c>
      <c r="F124" s="831" t="s">
        <v>358</v>
      </c>
      <c r="G124" s="832" t="s">
        <v>216</v>
      </c>
      <c r="H124" s="852">
        <v>46183</v>
      </c>
      <c r="I124" s="834">
        <f t="shared" si="81"/>
        <v>35000</v>
      </c>
      <c r="J124" s="835">
        <f>0.315*Tabla1[[#This Row],[TIPO DE CAMBIO]]</f>
        <v>455.58481499999999</v>
      </c>
      <c r="K124" s="836">
        <f t="shared" si="60"/>
        <v>15945468.525</v>
      </c>
      <c r="L12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24" s="837">
        <f t="shared" si="45"/>
        <v>19294016.91525</v>
      </c>
      <c r="N124" s="838"/>
      <c r="O124" s="838">
        <v>0</v>
      </c>
      <c r="P124" s="838">
        <v>0</v>
      </c>
      <c r="Q124" s="839">
        <f>+Tabla1[[#This Row],[VENTA TOTAL $ (IVA INC) ]]-Tabla1[[#This Row],[PENDIENTE DE COBRO]]</f>
        <v>19294016.91525</v>
      </c>
      <c r="R124" s="840">
        <f>+Tabla1[[#This Row],[FECHA FC]]+Tabla1[[#This Row],[PLAZO ENTREGA VALORES]]</f>
        <v>46051</v>
      </c>
      <c r="S124" s="840">
        <f>+Tabla1[[#This Row],[FECHA FC]]+Tabla1[[#This Row],[PLAZO PAGO (DIAS)]]</f>
        <v>46183</v>
      </c>
      <c r="T124" s="834">
        <f t="shared" ca="1" si="80"/>
        <v>2</v>
      </c>
      <c r="U124" s="831">
        <f>+Tabla1[[#This Row],[FECHA OC]]-Tabla1[[#This Row],[FECHA Entrega]]</f>
        <v>-132</v>
      </c>
      <c r="V124" s="831"/>
      <c r="W124" s="841">
        <f>+Tabla1[[#This Row],[FECHA VTO VALORES]]+7</f>
        <v>46190</v>
      </c>
      <c r="X124" s="831" t="s">
        <v>489</v>
      </c>
      <c r="Y124" s="840">
        <v>46051</v>
      </c>
      <c r="Z124" s="842">
        <f>Tabla1[[#This Row],[KGS]]/50</f>
        <v>700</v>
      </c>
      <c r="AA12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24" s="844">
        <f>-Tabla1[[#This Row],[COSTO FLETE $ POR BOLSA 5O KG (SIN IVA)]]*1.21-Tabla1[[#This Row],[PRECIO $/ KG A PLAZO EN CLIENTE ( SIN IVA)]]*0.003*1.21*50</f>
        <v>-0.40864392249999071</v>
      </c>
      <c r="AC124" s="845">
        <f>SUM(Tabla1[[#This Row],[PRECIO $ BOLSA 50 KG (IVA INC) ]]+Tabla1[[#This Row],[COSTO FLETE $ BOLSA 50 KG (IVA INC)]])</f>
        <v>27562.4726635775</v>
      </c>
      <c r="AD124" s="844">
        <f>-Tabla1[[#This Row],[PRECIO $ BOLSA 50 KG (IVA INC) ]]*(Tabla1[[#This Row],[TASA FINANCIACION MENSUAL]]/365)*Tabla1[[#This Row],[PLAZO ENTREGA VALORES]]</f>
        <v>289.07043738386301</v>
      </c>
      <c r="AE124" s="845">
        <f>SUM(Tabla1[[#This Row],[PRECIO $ BOLSA50 KG  FOB TUCUMAN A PLAZO (IVA INC)]]+Tabla1[[#This Row],[GASTOS FINANCIEROS $ BOLSA 50 KG (IVA INC)]])</f>
        <v>27851.543100961364</v>
      </c>
      <c r="AF124" s="828" t="s">
        <v>476</v>
      </c>
      <c r="AG124" s="828" t="s">
        <v>365</v>
      </c>
      <c r="AH124" s="828" t="s">
        <v>387</v>
      </c>
      <c r="AI124" s="828" t="s">
        <v>261</v>
      </c>
      <c r="AJ12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24" s="846">
        <f>SUM(Tabla1[[#This Row],[PRECIO $ BOLSA 50KG  FOB CDO TUC (IVA INC)]]-Tabla1[[#This Row],[PRECIO REF $ BOLSA 50 KG CACTU (IVA INC)]])</f>
        <v>-4663.456899038636</v>
      </c>
      <c r="AL124" s="847">
        <f>IFERROR(Tabla1[[#This Row],[PRECIO $ BOLSA 50KG  FOB CDO TUC (IVA INC)]]/Tabla1[[#This Row],[PRECIO REF $ BOLSA 50 KG CACTU (IVA INC)]]-1,"")</f>
        <v>-0.14342478545405613</v>
      </c>
      <c r="AM124" s="846">
        <f>+Tabla1[[#This Row],[DIF $ PRECIO NETO INDUSTRIA vs Neto TUCUMAN (IVA INC)]]*Tabla1[[#This Row],[Q Bolsas Equivalentes 50kg]]</f>
        <v>-3264419.829327045</v>
      </c>
      <c r="AN124" s="846">
        <f>Tabla1[[#This Row],[PRECIO REF $ BOLSA 50 KG CACTU (IVA INC)]]*Tabla1[[#This Row],[Q Bolsas Equivalentes 50kg]]</f>
        <v>22760500</v>
      </c>
      <c r="AO124" s="846">
        <f>+Tabla1[[#This Row],[PRECIO $ BOLSA 50KG  FOB CDO TUC (IVA INC)]]*Tabla1[[#This Row],[Q Bolsas Equivalentes 50kg]]</f>
        <v>19496080.170672953</v>
      </c>
      <c r="AP124" s="847">
        <v>2.9000000000000001E-2</v>
      </c>
      <c r="AQ124" s="846">
        <v>-68</v>
      </c>
      <c r="AR124" s="848"/>
      <c r="AS124" s="849"/>
      <c r="AT124" s="923">
        <f>+Tabla1[[#This Row],[VENTA TOTAL $ (IVA INC) ]]-(SUM(Tabla1[[#This Row],[PENDIENTE DE ENTREGA]:[VALORES COBRADOS]]))</f>
        <v>0</v>
      </c>
      <c r="AU124" s="850">
        <f>VLOOKUP(Tabla1[[#This Row],[FECHA OC]],'TIPO DE CAMBIO'!A:B,2,TRUE)</f>
        <v>1446.3009999999999</v>
      </c>
      <c r="AV124" s="850">
        <f>+Tabla1[[#This Row],[SUBTOTAL]]/Tabla1[[#This Row],[TIPO DE CAMBIO]]</f>
        <v>11025</v>
      </c>
      <c r="AW124" s="851"/>
      <c r="AX124" s="850">
        <f>IFERROR(Tabla1[[#This Row],[VENTA TOTAL USD A PLAZO EN CLIENTE  (SIN IVA)]]*(1+Tabla1[[#This Row],[% IVA ]]),"")</f>
        <v>11025</v>
      </c>
      <c r="AY124" s="850">
        <f>+Tabla1[[#This Row],[VENTA TOTAL USD A PLAZO EN CLIENTE  (SIN IVA)]]/Tabla1[[#This Row],[KGS]]*1000</f>
        <v>315</v>
      </c>
      <c r="AZ124" s="850">
        <v>0</v>
      </c>
      <c r="BA124" s="850">
        <f>+Tabla1[[#This Row],[GASTOS FINANCIEROS $ BOLSA 50 KG (IVA INC)]]*20/Tabla1[[#This Row],[TIPO DE CAMBIO]]</f>
        <v>3.9973758904109591</v>
      </c>
      <c r="BB124" s="850">
        <f>+Tabla1[[#This Row],[PRECIO POR TN USD EN CLIENTE A PLAZO (SIN IVA)]]+Tabla1[[#This Row],[COSTO USD FLETE /TN (SIN IVA)]]+Tabla1[[#This Row],[COSTO FINANCIERO USD POR BOLSA 50KG (IVA INC)]]</f>
        <v>318.99737589041098</v>
      </c>
      <c r="BC124" s="848">
        <v>5</v>
      </c>
      <c r="BD124" s="944"/>
    </row>
    <row r="125" spans="1:56" ht="15.75" customHeight="1">
      <c r="A125" s="912">
        <v>46174</v>
      </c>
      <c r="B125" s="828">
        <v>1</v>
      </c>
      <c r="C125" s="792" t="s">
        <v>406</v>
      </c>
      <c r="D125" s="829">
        <f>+Tabla1[[#This Row],[FECHA Entrega]]</f>
        <v>46184</v>
      </c>
      <c r="E125" s="830">
        <v>700000869</v>
      </c>
      <c r="F125" s="831" t="s">
        <v>358</v>
      </c>
      <c r="G125" s="832" t="s">
        <v>216</v>
      </c>
      <c r="H125" s="852">
        <v>46184</v>
      </c>
      <c r="I125" s="834">
        <f t="shared" si="81"/>
        <v>35000</v>
      </c>
      <c r="J125" s="835">
        <f>0.315*Tabla1[[#This Row],[TIPO DE CAMBIO]]</f>
        <v>455.58481499999999</v>
      </c>
      <c r="K125" s="836">
        <f t="shared" si="60"/>
        <v>15945468.525</v>
      </c>
      <c r="L12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25" s="837">
        <f t="shared" si="45"/>
        <v>19294016.91525</v>
      </c>
      <c r="N125" s="838"/>
      <c r="O125" s="838">
        <v>0</v>
      </c>
      <c r="P125" s="838">
        <v>0</v>
      </c>
      <c r="Q125" s="839">
        <f>+Tabla1[[#This Row],[VENTA TOTAL $ (IVA INC) ]]-Tabla1[[#This Row],[PENDIENTE DE COBRO]]</f>
        <v>19294016.91525</v>
      </c>
      <c r="R125" s="840">
        <f>+Tabla1[[#This Row],[FECHA FC]]+Tabla1[[#This Row],[PLAZO ENTREGA VALORES]]</f>
        <v>46051</v>
      </c>
      <c r="S125" s="840">
        <f>+Tabla1[[#This Row],[FECHA FC]]+Tabla1[[#This Row],[PLAZO PAGO (DIAS)]]</f>
        <v>46184</v>
      </c>
      <c r="T125" s="834">
        <f t="shared" ca="1" si="80"/>
        <v>3</v>
      </c>
      <c r="U125" s="831">
        <f>+Tabla1[[#This Row],[FECHA OC]]-Tabla1[[#This Row],[FECHA Entrega]]</f>
        <v>-133</v>
      </c>
      <c r="V125" s="831"/>
      <c r="W125" s="841">
        <f>+Tabla1[[#This Row],[FECHA VTO VALORES]]+7</f>
        <v>46191</v>
      </c>
      <c r="X125" s="831" t="s">
        <v>489</v>
      </c>
      <c r="Y125" s="840">
        <v>46051</v>
      </c>
      <c r="Z125" s="842">
        <f>Tabla1[[#This Row],[KGS]]/50</f>
        <v>700</v>
      </c>
      <c r="AA12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25" s="844">
        <f>-Tabla1[[#This Row],[COSTO FLETE $ POR BOLSA 5O KG (SIN IVA)]]*1.21-Tabla1[[#This Row],[PRECIO $/ KG A PLAZO EN CLIENTE ( SIN IVA)]]*0.003*1.21*50</f>
        <v>-0.40864392249999071</v>
      </c>
      <c r="AC125" s="845">
        <f>SUM(Tabla1[[#This Row],[PRECIO $ BOLSA 50 KG (IVA INC) ]]+Tabla1[[#This Row],[COSTO FLETE $ BOLSA 50 KG (IVA INC)]])</f>
        <v>27562.4726635775</v>
      </c>
      <c r="AD125" s="844">
        <f>-Tabla1[[#This Row],[PRECIO $ BOLSA 50 KG (IVA INC) ]]*(Tabla1[[#This Row],[TASA FINANCIACION MENSUAL]]/365)*Tabla1[[#This Row],[PLAZO ENTREGA VALORES]]</f>
        <v>291.26036493980138</v>
      </c>
      <c r="AE125" s="845">
        <f>SUM(Tabla1[[#This Row],[PRECIO $ BOLSA50 KG  FOB TUCUMAN A PLAZO (IVA INC)]]+Tabla1[[#This Row],[GASTOS FINANCIEROS $ BOLSA 50 KG (IVA INC)]])</f>
        <v>27853.733028517301</v>
      </c>
      <c r="AF125" s="828" t="s">
        <v>476</v>
      </c>
      <c r="AG125" s="828" t="s">
        <v>365</v>
      </c>
      <c r="AH125" s="828" t="s">
        <v>387</v>
      </c>
      <c r="AI125" s="828" t="s">
        <v>261</v>
      </c>
      <c r="AJ12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25" s="846">
        <f>SUM(Tabla1[[#This Row],[PRECIO $ BOLSA 50KG  FOB CDO TUC (IVA INC)]]-Tabla1[[#This Row],[PRECIO REF $ BOLSA 50 KG CACTU (IVA INC)]])</f>
        <v>-4661.2669714826989</v>
      </c>
      <c r="AL125" s="847">
        <f>IFERROR(Tabla1[[#This Row],[PRECIO $ BOLSA 50KG  FOB CDO TUC (IVA INC)]]/Tabla1[[#This Row],[PRECIO REF $ BOLSA 50 KG CACTU (IVA INC)]]-1,"")</f>
        <v>-0.14335743415293556</v>
      </c>
      <c r="AM125" s="846">
        <f>+Tabla1[[#This Row],[DIF $ PRECIO NETO INDUSTRIA vs Neto TUCUMAN (IVA INC)]]*Tabla1[[#This Row],[Q Bolsas Equivalentes 50kg]]</f>
        <v>-3262886.8800378894</v>
      </c>
      <c r="AN125" s="846">
        <f>Tabla1[[#This Row],[PRECIO REF $ BOLSA 50 KG CACTU (IVA INC)]]*Tabla1[[#This Row],[Q Bolsas Equivalentes 50kg]]</f>
        <v>22760500</v>
      </c>
      <c r="AO125" s="846">
        <f>+Tabla1[[#This Row],[PRECIO $ BOLSA 50KG  FOB CDO TUC (IVA INC)]]*Tabla1[[#This Row],[Q Bolsas Equivalentes 50kg]]</f>
        <v>19497613.119962111</v>
      </c>
      <c r="AP125" s="847">
        <v>2.9000000000000001E-2</v>
      </c>
      <c r="AQ125" s="846">
        <v>-68</v>
      </c>
      <c r="AR125" s="848"/>
      <c r="AS125" s="849"/>
      <c r="AT125" s="923">
        <f>+Tabla1[[#This Row],[VENTA TOTAL $ (IVA INC) ]]-(SUM(Tabla1[[#This Row],[PENDIENTE DE ENTREGA]:[VALORES COBRADOS]]))</f>
        <v>0</v>
      </c>
      <c r="AU125" s="850">
        <f>VLOOKUP(Tabla1[[#This Row],[FECHA OC]],'TIPO DE CAMBIO'!A:B,2,TRUE)</f>
        <v>1446.3009999999999</v>
      </c>
      <c r="AV125" s="850">
        <f>+Tabla1[[#This Row],[SUBTOTAL]]/Tabla1[[#This Row],[TIPO DE CAMBIO]]</f>
        <v>11025</v>
      </c>
      <c r="AW125" s="851"/>
      <c r="AX125" s="850">
        <f>IFERROR(Tabla1[[#This Row],[VENTA TOTAL USD A PLAZO EN CLIENTE  (SIN IVA)]]*(1+Tabla1[[#This Row],[% IVA ]]),"")</f>
        <v>11025</v>
      </c>
      <c r="AY125" s="850">
        <f>+Tabla1[[#This Row],[VENTA TOTAL USD A PLAZO EN CLIENTE  (SIN IVA)]]/Tabla1[[#This Row],[KGS]]*1000</f>
        <v>315</v>
      </c>
      <c r="AZ125" s="850">
        <v>0</v>
      </c>
      <c r="BA125" s="850">
        <f>+Tabla1[[#This Row],[GASTOS FINANCIEROS $ BOLSA 50 KG (IVA INC)]]*20/Tabla1[[#This Row],[TIPO DE CAMBIO]]</f>
        <v>4.0276590410958901</v>
      </c>
      <c r="BB125" s="850">
        <f>+Tabla1[[#This Row],[PRECIO POR TN USD EN CLIENTE A PLAZO (SIN IVA)]]+Tabla1[[#This Row],[COSTO USD FLETE /TN (SIN IVA)]]+Tabla1[[#This Row],[COSTO FINANCIERO USD POR BOLSA 50KG (IVA INC)]]</f>
        <v>319.02765904109589</v>
      </c>
      <c r="BC125" s="848">
        <v>5</v>
      </c>
      <c r="BD125" s="944"/>
    </row>
    <row r="126" spans="1:56" ht="15.75" customHeight="1">
      <c r="A126" s="912">
        <v>46174</v>
      </c>
      <c r="B126" s="828">
        <v>1</v>
      </c>
      <c r="C126" s="792" t="s">
        <v>406</v>
      </c>
      <c r="D126" s="829">
        <f>+Tabla1[[#This Row],[FECHA Entrega]]</f>
        <v>46184</v>
      </c>
      <c r="E126" s="830">
        <v>700000869</v>
      </c>
      <c r="F126" s="831" t="s">
        <v>358</v>
      </c>
      <c r="G126" s="832" t="s">
        <v>216</v>
      </c>
      <c r="H126" s="852">
        <v>46184</v>
      </c>
      <c r="I126" s="834">
        <f t="shared" si="81"/>
        <v>35000</v>
      </c>
      <c r="J126" s="835">
        <f>0.315*Tabla1[[#This Row],[TIPO DE CAMBIO]]</f>
        <v>455.58481499999999</v>
      </c>
      <c r="K126" s="836">
        <f t="shared" si="60"/>
        <v>15945468.525</v>
      </c>
      <c r="L12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26" s="837">
        <f t="shared" si="45"/>
        <v>19294016.91525</v>
      </c>
      <c r="N126" s="838"/>
      <c r="O126" s="838">
        <v>0</v>
      </c>
      <c r="P126" s="838">
        <v>0</v>
      </c>
      <c r="Q126" s="839">
        <f>+Tabla1[[#This Row],[VENTA TOTAL $ (IVA INC) ]]-Tabla1[[#This Row],[PENDIENTE DE COBRO]]</f>
        <v>19294016.91525</v>
      </c>
      <c r="R126" s="840">
        <f>+Tabla1[[#This Row],[FECHA FC]]+Tabla1[[#This Row],[PLAZO ENTREGA VALORES]]</f>
        <v>46051</v>
      </c>
      <c r="S126" s="840">
        <f>+Tabla1[[#This Row],[FECHA FC]]+Tabla1[[#This Row],[PLAZO PAGO (DIAS)]]</f>
        <v>46184</v>
      </c>
      <c r="T126" s="834">
        <f t="shared" ca="1" si="80"/>
        <v>3</v>
      </c>
      <c r="U126" s="831">
        <f>+Tabla1[[#This Row],[FECHA OC]]-Tabla1[[#This Row],[FECHA Entrega]]</f>
        <v>-133</v>
      </c>
      <c r="V126" s="831"/>
      <c r="W126" s="841">
        <f>+Tabla1[[#This Row],[FECHA VTO VALORES]]+7</f>
        <v>46191</v>
      </c>
      <c r="X126" s="831" t="s">
        <v>489</v>
      </c>
      <c r="Y126" s="840">
        <v>46051</v>
      </c>
      <c r="Z126" s="842">
        <f>Tabla1[[#This Row],[KGS]]/50</f>
        <v>700</v>
      </c>
      <c r="AA12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26" s="844">
        <f>-Tabla1[[#This Row],[COSTO FLETE $ POR BOLSA 5O KG (SIN IVA)]]*1.21-Tabla1[[#This Row],[PRECIO $/ KG A PLAZO EN CLIENTE ( SIN IVA)]]*0.003*1.21*50</f>
        <v>-0.40864392249999071</v>
      </c>
      <c r="AC126" s="845">
        <f>SUM(Tabla1[[#This Row],[PRECIO $ BOLSA 50 KG (IVA INC) ]]+Tabla1[[#This Row],[COSTO FLETE $ BOLSA 50 KG (IVA INC)]])</f>
        <v>27562.4726635775</v>
      </c>
      <c r="AD126" s="844">
        <f>-Tabla1[[#This Row],[PRECIO $ BOLSA 50 KG (IVA INC) ]]*(Tabla1[[#This Row],[TASA FINANCIACION MENSUAL]]/365)*Tabla1[[#This Row],[PLAZO ENTREGA VALORES]]</f>
        <v>291.26036493980138</v>
      </c>
      <c r="AE126" s="845">
        <f>SUM(Tabla1[[#This Row],[PRECIO $ BOLSA50 KG  FOB TUCUMAN A PLAZO (IVA INC)]]+Tabla1[[#This Row],[GASTOS FINANCIEROS $ BOLSA 50 KG (IVA INC)]])</f>
        <v>27853.733028517301</v>
      </c>
      <c r="AF126" s="828" t="s">
        <v>476</v>
      </c>
      <c r="AG126" s="828" t="s">
        <v>365</v>
      </c>
      <c r="AH126" s="828" t="s">
        <v>387</v>
      </c>
      <c r="AI126" s="828" t="s">
        <v>261</v>
      </c>
      <c r="AJ12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26" s="846">
        <f>SUM(Tabla1[[#This Row],[PRECIO $ BOLSA 50KG  FOB CDO TUC (IVA INC)]]-Tabla1[[#This Row],[PRECIO REF $ BOLSA 50 KG CACTU (IVA INC)]])</f>
        <v>-4661.2669714826989</v>
      </c>
      <c r="AL126" s="847">
        <f>IFERROR(Tabla1[[#This Row],[PRECIO $ BOLSA 50KG  FOB CDO TUC (IVA INC)]]/Tabla1[[#This Row],[PRECIO REF $ BOLSA 50 KG CACTU (IVA INC)]]-1,"")</f>
        <v>-0.14335743415293556</v>
      </c>
      <c r="AM126" s="846">
        <f>+Tabla1[[#This Row],[DIF $ PRECIO NETO INDUSTRIA vs Neto TUCUMAN (IVA INC)]]*Tabla1[[#This Row],[Q Bolsas Equivalentes 50kg]]</f>
        <v>-3262886.8800378894</v>
      </c>
      <c r="AN126" s="846">
        <f>Tabla1[[#This Row],[PRECIO REF $ BOLSA 50 KG CACTU (IVA INC)]]*Tabla1[[#This Row],[Q Bolsas Equivalentes 50kg]]</f>
        <v>22760500</v>
      </c>
      <c r="AO126" s="846">
        <f>+Tabla1[[#This Row],[PRECIO $ BOLSA 50KG  FOB CDO TUC (IVA INC)]]*Tabla1[[#This Row],[Q Bolsas Equivalentes 50kg]]</f>
        <v>19497613.119962111</v>
      </c>
      <c r="AP126" s="847">
        <v>2.9000000000000001E-2</v>
      </c>
      <c r="AQ126" s="846">
        <v>-68</v>
      </c>
      <c r="AR126" s="848"/>
      <c r="AS126" s="849"/>
      <c r="AT126" s="923">
        <f>+Tabla1[[#This Row],[VENTA TOTAL $ (IVA INC) ]]-(SUM(Tabla1[[#This Row],[PENDIENTE DE ENTREGA]:[VALORES COBRADOS]]))</f>
        <v>0</v>
      </c>
      <c r="AU126" s="850">
        <f>VLOOKUP(Tabla1[[#This Row],[FECHA OC]],'TIPO DE CAMBIO'!A:B,2,TRUE)</f>
        <v>1446.3009999999999</v>
      </c>
      <c r="AV126" s="850">
        <f>+Tabla1[[#This Row],[SUBTOTAL]]/Tabla1[[#This Row],[TIPO DE CAMBIO]]</f>
        <v>11025</v>
      </c>
      <c r="AW126" s="851"/>
      <c r="AX126" s="850">
        <f>IFERROR(Tabla1[[#This Row],[VENTA TOTAL USD A PLAZO EN CLIENTE  (SIN IVA)]]*(1+Tabla1[[#This Row],[% IVA ]]),"")</f>
        <v>11025</v>
      </c>
      <c r="AY126" s="850">
        <f>+Tabla1[[#This Row],[VENTA TOTAL USD A PLAZO EN CLIENTE  (SIN IVA)]]/Tabla1[[#This Row],[KGS]]*1000</f>
        <v>315</v>
      </c>
      <c r="AZ126" s="850">
        <v>0</v>
      </c>
      <c r="BA126" s="850">
        <f>+Tabla1[[#This Row],[GASTOS FINANCIEROS $ BOLSA 50 KG (IVA INC)]]*20/Tabla1[[#This Row],[TIPO DE CAMBIO]]</f>
        <v>4.0276590410958901</v>
      </c>
      <c r="BB126" s="850">
        <f>+Tabla1[[#This Row],[PRECIO POR TN USD EN CLIENTE A PLAZO (SIN IVA)]]+Tabla1[[#This Row],[COSTO USD FLETE /TN (SIN IVA)]]+Tabla1[[#This Row],[COSTO FINANCIERO USD POR BOLSA 50KG (IVA INC)]]</f>
        <v>319.02765904109589</v>
      </c>
      <c r="BC126" s="848">
        <v>5</v>
      </c>
      <c r="BD126" s="944"/>
    </row>
    <row r="127" spans="1:56" ht="15.75" customHeight="1">
      <c r="A127" s="912">
        <v>46174</v>
      </c>
      <c r="B127" s="828">
        <v>1</v>
      </c>
      <c r="C127" s="792" t="s">
        <v>406</v>
      </c>
      <c r="D127" s="829">
        <f>+Tabla1[[#This Row],[FECHA Entrega]]</f>
        <v>46177</v>
      </c>
      <c r="E127" s="830">
        <v>700000869</v>
      </c>
      <c r="F127" s="831" t="s">
        <v>358</v>
      </c>
      <c r="G127" s="832" t="s">
        <v>216</v>
      </c>
      <c r="H127" s="852">
        <v>46177</v>
      </c>
      <c r="I127" s="834">
        <f t="shared" si="81"/>
        <v>35000</v>
      </c>
      <c r="J127" s="835">
        <f>0.315*Tabla1[[#This Row],[TIPO DE CAMBIO]]</f>
        <v>455.58481499999999</v>
      </c>
      <c r="K127" s="836">
        <f t="shared" si="60"/>
        <v>15945468.525</v>
      </c>
      <c r="L12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27" s="837">
        <f t="shared" si="45"/>
        <v>19294016.91525</v>
      </c>
      <c r="N127" s="838"/>
      <c r="O127" s="838">
        <v>0</v>
      </c>
      <c r="P127" s="838">
        <v>0</v>
      </c>
      <c r="Q127" s="839">
        <f>+Tabla1[[#This Row],[VENTA TOTAL $ (IVA INC) ]]-Tabla1[[#This Row],[PENDIENTE DE COBRO]]</f>
        <v>19294016.91525</v>
      </c>
      <c r="R127" s="840">
        <f>+Tabla1[[#This Row],[FECHA FC]]+Tabla1[[#This Row],[PLAZO ENTREGA VALORES]]</f>
        <v>46051</v>
      </c>
      <c r="S127" s="840">
        <f>+Tabla1[[#This Row],[FECHA FC]]+Tabla1[[#This Row],[PLAZO PAGO (DIAS)]]</f>
        <v>46177</v>
      </c>
      <c r="T127" s="834">
        <f t="shared" ca="1" si="80"/>
        <v>-4</v>
      </c>
      <c r="U127" s="831">
        <f>+Tabla1[[#This Row],[FECHA OC]]-Tabla1[[#This Row],[FECHA Entrega]]</f>
        <v>-126</v>
      </c>
      <c r="V127" s="831"/>
      <c r="W127" s="841">
        <f>+Tabla1[[#This Row],[FECHA VTO VALORES]]+7</f>
        <v>46184</v>
      </c>
      <c r="X127" s="831" t="s">
        <v>489</v>
      </c>
      <c r="Y127" s="840">
        <v>46051</v>
      </c>
      <c r="Z127" s="842">
        <f>Tabla1[[#This Row],[KGS]]/50</f>
        <v>700</v>
      </c>
      <c r="AA12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27" s="844">
        <f>-Tabla1[[#This Row],[COSTO FLETE $ POR BOLSA 5O KG (SIN IVA)]]*1.21-Tabla1[[#This Row],[PRECIO $/ KG A PLAZO EN CLIENTE ( SIN IVA)]]*0.003*1.21*50</f>
        <v>-0.40864392249999071</v>
      </c>
      <c r="AC127" s="845">
        <f>SUM(Tabla1[[#This Row],[PRECIO $ BOLSA 50 KG (IVA INC) ]]+Tabla1[[#This Row],[COSTO FLETE $ BOLSA 50 KG (IVA INC)]])</f>
        <v>27562.4726635775</v>
      </c>
      <c r="AD127" s="844">
        <f>-Tabla1[[#This Row],[PRECIO $ BOLSA 50 KG (IVA INC) ]]*(Tabla1[[#This Row],[TASA FINANCIACION MENSUAL]]/365)*Tabla1[[#This Row],[PLAZO ENTREGA VALORES]]</f>
        <v>275.93087204823286</v>
      </c>
      <c r="AE127" s="845">
        <f>SUM(Tabla1[[#This Row],[PRECIO $ BOLSA50 KG  FOB TUCUMAN A PLAZO (IVA INC)]]+Tabla1[[#This Row],[GASTOS FINANCIEROS $ BOLSA 50 KG (IVA INC)]])</f>
        <v>27838.403535625734</v>
      </c>
      <c r="AF127" s="828" t="s">
        <v>476</v>
      </c>
      <c r="AG127" s="828" t="s">
        <v>365</v>
      </c>
      <c r="AH127" s="828" t="s">
        <v>387</v>
      </c>
      <c r="AI127" s="828" t="s">
        <v>261</v>
      </c>
      <c r="AJ12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27" s="846">
        <f>SUM(Tabla1[[#This Row],[PRECIO $ BOLSA 50KG  FOB CDO TUC (IVA INC)]]-Tabla1[[#This Row],[PRECIO REF $ BOLSA 50 KG CACTU (IVA INC)]])</f>
        <v>-4676.5964643742664</v>
      </c>
      <c r="AL127" s="847">
        <f>IFERROR(Tabla1[[#This Row],[PRECIO $ BOLSA 50KG  FOB CDO TUC (IVA INC)]]/Tabla1[[#This Row],[PRECIO REF $ BOLSA 50 KG CACTU (IVA INC)]]-1,"")</f>
        <v>-0.14382889326078019</v>
      </c>
      <c r="AM127" s="846">
        <f>+Tabla1[[#This Row],[DIF $ PRECIO NETO INDUSTRIA vs Neto TUCUMAN (IVA INC)]]*Tabla1[[#This Row],[Q Bolsas Equivalentes 50kg]]</f>
        <v>-3273617.5250619864</v>
      </c>
      <c r="AN127" s="846">
        <f>Tabla1[[#This Row],[PRECIO REF $ BOLSA 50 KG CACTU (IVA INC)]]*Tabla1[[#This Row],[Q Bolsas Equivalentes 50kg]]</f>
        <v>22760500</v>
      </c>
      <c r="AO127" s="846">
        <f>+Tabla1[[#This Row],[PRECIO $ BOLSA 50KG  FOB CDO TUC (IVA INC)]]*Tabla1[[#This Row],[Q Bolsas Equivalentes 50kg]]</f>
        <v>19486882.474938013</v>
      </c>
      <c r="AP127" s="847">
        <v>2.9000000000000001E-2</v>
      </c>
      <c r="AQ127" s="846">
        <v>-68</v>
      </c>
      <c r="AR127" s="848"/>
      <c r="AS127" s="849"/>
      <c r="AT127" s="923">
        <f>+Tabla1[[#This Row],[VENTA TOTAL $ (IVA INC) ]]-(SUM(Tabla1[[#This Row],[PENDIENTE DE ENTREGA]:[VALORES COBRADOS]]))</f>
        <v>0</v>
      </c>
      <c r="AU127" s="850">
        <f>VLOOKUP(Tabla1[[#This Row],[FECHA OC]],'TIPO DE CAMBIO'!A:B,2,TRUE)</f>
        <v>1446.3009999999999</v>
      </c>
      <c r="AV127" s="850">
        <f>+Tabla1[[#This Row],[SUBTOTAL]]/Tabla1[[#This Row],[TIPO DE CAMBIO]]</f>
        <v>11025</v>
      </c>
      <c r="AW127" s="851"/>
      <c r="AX127" s="850">
        <f>IFERROR(Tabla1[[#This Row],[VENTA TOTAL USD A PLAZO EN CLIENTE  (SIN IVA)]]*(1+Tabla1[[#This Row],[% IVA ]]),"")</f>
        <v>11025</v>
      </c>
      <c r="AY127" s="850">
        <f>+Tabla1[[#This Row],[VENTA TOTAL USD A PLAZO EN CLIENTE  (SIN IVA)]]/Tabla1[[#This Row],[KGS]]*1000</f>
        <v>315</v>
      </c>
      <c r="AZ127" s="850">
        <v>0</v>
      </c>
      <c r="BA127" s="850">
        <f>+Tabla1[[#This Row],[GASTOS FINANCIEROS $ BOLSA 50 KG (IVA INC)]]*20/Tabla1[[#This Row],[TIPO DE CAMBIO]]</f>
        <v>3.8156769863013698</v>
      </c>
      <c r="BB127" s="850">
        <f>+Tabla1[[#This Row],[PRECIO POR TN USD EN CLIENTE A PLAZO (SIN IVA)]]+Tabla1[[#This Row],[COSTO USD FLETE /TN (SIN IVA)]]+Tabla1[[#This Row],[COSTO FINANCIERO USD POR BOLSA 50KG (IVA INC)]]</f>
        <v>318.81567698630136</v>
      </c>
      <c r="BC127" s="848">
        <v>5</v>
      </c>
      <c r="BD127" s="944"/>
    </row>
    <row r="128" spans="1:56" ht="15.75" customHeight="1">
      <c r="A128" s="912">
        <v>46174</v>
      </c>
      <c r="B128" s="828">
        <v>1</v>
      </c>
      <c r="C128" s="792" t="s">
        <v>406</v>
      </c>
      <c r="D128" s="829">
        <f>+Tabla1[[#This Row],[FECHA Entrega]]</f>
        <v>46177</v>
      </c>
      <c r="E128" s="830">
        <v>700000869</v>
      </c>
      <c r="F128" s="831" t="s">
        <v>358</v>
      </c>
      <c r="G128" s="832" t="s">
        <v>216</v>
      </c>
      <c r="H128" s="852">
        <v>46177</v>
      </c>
      <c r="I128" s="834">
        <f t="shared" si="81"/>
        <v>35000</v>
      </c>
      <c r="J128" s="835">
        <f>0.315*Tabla1[[#This Row],[TIPO DE CAMBIO]]</f>
        <v>455.58481499999999</v>
      </c>
      <c r="K128" s="836">
        <f t="shared" si="60"/>
        <v>15945468.525</v>
      </c>
      <c r="L12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28" s="837">
        <f t="shared" si="45"/>
        <v>19294016.91525</v>
      </c>
      <c r="N128" s="838"/>
      <c r="O128" s="838">
        <v>0</v>
      </c>
      <c r="P128" s="838">
        <v>0</v>
      </c>
      <c r="Q128" s="839">
        <f>+Tabla1[[#This Row],[VENTA TOTAL $ (IVA INC) ]]-Tabla1[[#This Row],[PENDIENTE DE COBRO]]</f>
        <v>19294016.91525</v>
      </c>
      <c r="R128" s="840">
        <f>+Tabla1[[#This Row],[FECHA FC]]+Tabla1[[#This Row],[PLAZO ENTREGA VALORES]]</f>
        <v>46051</v>
      </c>
      <c r="S128" s="840">
        <f>+Tabla1[[#This Row],[FECHA FC]]+Tabla1[[#This Row],[PLAZO PAGO (DIAS)]]</f>
        <v>46177</v>
      </c>
      <c r="T128" s="834">
        <f t="shared" ca="1" si="80"/>
        <v>-4</v>
      </c>
      <c r="U128" s="831">
        <f>+Tabla1[[#This Row],[FECHA OC]]-Tabla1[[#This Row],[FECHA Entrega]]</f>
        <v>-126</v>
      </c>
      <c r="V128" s="831"/>
      <c r="W128" s="841">
        <f>+Tabla1[[#This Row],[FECHA VTO VALORES]]+7</f>
        <v>46184</v>
      </c>
      <c r="X128" s="831" t="s">
        <v>489</v>
      </c>
      <c r="Y128" s="840">
        <v>46051</v>
      </c>
      <c r="Z128" s="842">
        <f>Tabla1[[#This Row],[KGS]]/50</f>
        <v>700</v>
      </c>
      <c r="AA12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28" s="844">
        <f>-Tabla1[[#This Row],[COSTO FLETE $ POR BOLSA 5O KG (SIN IVA)]]*1.21-Tabla1[[#This Row],[PRECIO $/ KG A PLAZO EN CLIENTE ( SIN IVA)]]*0.003*1.21*50</f>
        <v>-0.40864392249999071</v>
      </c>
      <c r="AC128" s="845">
        <f>SUM(Tabla1[[#This Row],[PRECIO $ BOLSA 50 KG (IVA INC) ]]+Tabla1[[#This Row],[COSTO FLETE $ BOLSA 50 KG (IVA INC)]])</f>
        <v>27562.4726635775</v>
      </c>
      <c r="AD128" s="844">
        <f>-Tabla1[[#This Row],[PRECIO $ BOLSA 50 KG (IVA INC) ]]*(Tabla1[[#This Row],[TASA FINANCIACION MENSUAL]]/365)*Tabla1[[#This Row],[PLAZO ENTREGA VALORES]]</f>
        <v>275.93087204823286</v>
      </c>
      <c r="AE128" s="845">
        <f>SUM(Tabla1[[#This Row],[PRECIO $ BOLSA50 KG  FOB TUCUMAN A PLAZO (IVA INC)]]+Tabla1[[#This Row],[GASTOS FINANCIEROS $ BOLSA 50 KG (IVA INC)]])</f>
        <v>27838.403535625734</v>
      </c>
      <c r="AF128" s="828" t="s">
        <v>476</v>
      </c>
      <c r="AG128" s="828" t="s">
        <v>365</v>
      </c>
      <c r="AH128" s="828" t="s">
        <v>387</v>
      </c>
      <c r="AI128" s="828" t="s">
        <v>261</v>
      </c>
      <c r="AJ12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28" s="846">
        <f>SUM(Tabla1[[#This Row],[PRECIO $ BOLSA 50KG  FOB CDO TUC (IVA INC)]]-Tabla1[[#This Row],[PRECIO REF $ BOLSA 50 KG CACTU (IVA INC)]])</f>
        <v>-4676.5964643742664</v>
      </c>
      <c r="AL128" s="847">
        <f>IFERROR(Tabla1[[#This Row],[PRECIO $ BOLSA 50KG  FOB CDO TUC (IVA INC)]]/Tabla1[[#This Row],[PRECIO REF $ BOLSA 50 KG CACTU (IVA INC)]]-1,"")</f>
        <v>-0.14382889326078019</v>
      </c>
      <c r="AM128" s="846">
        <f>+Tabla1[[#This Row],[DIF $ PRECIO NETO INDUSTRIA vs Neto TUCUMAN (IVA INC)]]*Tabla1[[#This Row],[Q Bolsas Equivalentes 50kg]]</f>
        <v>-3273617.5250619864</v>
      </c>
      <c r="AN128" s="846">
        <f>Tabla1[[#This Row],[PRECIO REF $ BOLSA 50 KG CACTU (IVA INC)]]*Tabla1[[#This Row],[Q Bolsas Equivalentes 50kg]]</f>
        <v>22760500</v>
      </c>
      <c r="AO128" s="846">
        <f>+Tabla1[[#This Row],[PRECIO $ BOLSA 50KG  FOB CDO TUC (IVA INC)]]*Tabla1[[#This Row],[Q Bolsas Equivalentes 50kg]]</f>
        <v>19486882.474938013</v>
      </c>
      <c r="AP128" s="847">
        <v>2.9000000000000001E-2</v>
      </c>
      <c r="AQ128" s="846">
        <v>-68</v>
      </c>
      <c r="AR128" s="848"/>
      <c r="AS128" s="849"/>
      <c r="AT128" s="923">
        <f>+Tabla1[[#This Row],[VENTA TOTAL $ (IVA INC) ]]-(SUM(Tabla1[[#This Row],[PENDIENTE DE ENTREGA]:[VALORES COBRADOS]]))</f>
        <v>0</v>
      </c>
      <c r="AU128" s="850">
        <f>VLOOKUP(Tabla1[[#This Row],[FECHA OC]],'TIPO DE CAMBIO'!A:B,2,TRUE)</f>
        <v>1446.3009999999999</v>
      </c>
      <c r="AV128" s="850">
        <f>+Tabla1[[#This Row],[SUBTOTAL]]/Tabla1[[#This Row],[TIPO DE CAMBIO]]</f>
        <v>11025</v>
      </c>
      <c r="AW128" s="851"/>
      <c r="AX128" s="850">
        <f>IFERROR(Tabla1[[#This Row],[VENTA TOTAL USD A PLAZO EN CLIENTE  (SIN IVA)]]*(1+Tabla1[[#This Row],[% IVA ]]),"")</f>
        <v>11025</v>
      </c>
      <c r="AY128" s="850">
        <f>+Tabla1[[#This Row],[VENTA TOTAL USD A PLAZO EN CLIENTE  (SIN IVA)]]/Tabla1[[#This Row],[KGS]]*1000</f>
        <v>315</v>
      </c>
      <c r="AZ128" s="850">
        <v>0</v>
      </c>
      <c r="BA128" s="850">
        <f>+Tabla1[[#This Row],[GASTOS FINANCIEROS $ BOLSA 50 KG (IVA INC)]]*20/Tabla1[[#This Row],[TIPO DE CAMBIO]]</f>
        <v>3.8156769863013698</v>
      </c>
      <c r="BB128" s="850">
        <f>+Tabla1[[#This Row],[PRECIO POR TN USD EN CLIENTE A PLAZO (SIN IVA)]]+Tabla1[[#This Row],[COSTO USD FLETE /TN (SIN IVA)]]+Tabla1[[#This Row],[COSTO FINANCIERO USD POR BOLSA 50KG (IVA INC)]]</f>
        <v>318.81567698630136</v>
      </c>
      <c r="BC128" s="848">
        <v>5</v>
      </c>
      <c r="BD128" s="944"/>
    </row>
    <row r="129" spans="1:56" ht="15.75" customHeight="1">
      <c r="A129" s="912">
        <v>46174</v>
      </c>
      <c r="B129" s="828">
        <v>1</v>
      </c>
      <c r="C129" s="792" t="s">
        <v>406</v>
      </c>
      <c r="D129" s="829">
        <f>+Tabla1[[#This Row],[FECHA Entrega]]</f>
        <v>46177</v>
      </c>
      <c r="E129" s="830">
        <v>700000869</v>
      </c>
      <c r="F129" s="831" t="s">
        <v>358</v>
      </c>
      <c r="G129" s="832" t="s">
        <v>216</v>
      </c>
      <c r="H129" s="852">
        <v>46177</v>
      </c>
      <c r="I129" s="834">
        <f t="shared" si="81"/>
        <v>35000</v>
      </c>
      <c r="J129" s="835">
        <f>0.315*Tabla1[[#This Row],[TIPO DE CAMBIO]]</f>
        <v>455.58481499999999</v>
      </c>
      <c r="K129" s="836">
        <f t="shared" si="60"/>
        <v>15945468.525</v>
      </c>
      <c r="L12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29" s="837">
        <f t="shared" si="45"/>
        <v>19294016.91525</v>
      </c>
      <c r="N129" s="838"/>
      <c r="O129" s="838">
        <v>0</v>
      </c>
      <c r="P129" s="838">
        <v>0</v>
      </c>
      <c r="Q129" s="839">
        <f>+Tabla1[[#This Row],[VENTA TOTAL $ (IVA INC) ]]-Tabla1[[#This Row],[PENDIENTE DE COBRO]]</f>
        <v>19294016.91525</v>
      </c>
      <c r="R129" s="840">
        <f>+Tabla1[[#This Row],[FECHA FC]]+Tabla1[[#This Row],[PLAZO ENTREGA VALORES]]</f>
        <v>46051</v>
      </c>
      <c r="S129" s="840">
        <f>+Tabla1[[#This Row],[FECHA FC]]+Tabla1[[#This Row],[PLAZO PAGO (DIAS)]]</f>
        <v>46177</v>
      </c>
      <c r="T129" s="834">
        <f t="shared" ca="1" si="80"/>
        <v>-4</v>
      </c>
      <c r="U129" s="831">
        <f>+Tabla1[[#This Row],[FECHA OC]]-Tabla1[[#This Row],[FECHA Entrega]]</f>
        <v>-126</v>
      </c>
      <c r="V129" s="831"/>
      <c r="W129" s="841">
        <f>+Tabla1[[#This Row],[FECHA VTO VALORES]]+7</f>
        <v>46184</v>
      </c>
      <c r="X129" s="831" t="s">
        <v>489</v>
      </c>
      <c r="Y129" s="840">
        <v>46051</v>
      </c>
      <c r="Z129" s="842">
        <f>Tabla1[[#This Row],[KGS]]/50</f>
        <v>700</v>
      </c>
      <c r="AA12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29" s="844">
        <f>-Tabla1[[#This Row],[COSTO FLETE $ POR BOLSA 5O KG (SIN IVA)]]*1.21-Tabla1[[#This Row],[PRECIO $/ KG A PLAZO EN CLIENTE ( SIN IVA)]]*0.003*1.21*50</f>
        <v>-0.40864392249999071</v>
      </c>
      <c r="AC129" s="845">
        <f>SUM(Tabla1[[#This Row],[PRECIO $ BOLSA 50 KG (IVA INC) ]]+Tabla1[[#This Row],[COSTO FLETE $ BOLSA 50 KG (IVA INC)]])</f>
        <v>27562.4726635775</v>
      </c>
      <c r="AD129" s="844">
        <f>-Tabla1[[#This Row],[PRECIO $ BOLSA 50 KG (IVA INC) ]]*(Tabla1[[#This Row],[TASA FINANCIACION MENSUAL]]/365)*Tabla1[[#This Row],[PLAZO ENTREGA VALORES]]</f>
        <v>275.93087204823286</v>
      </c>
      <c r="AE129" s="845">
        <f>SUM(Tabla1[[#This Row],[PRECIO $ BOLSA50 KG  FOB TUCUMAN A PLAZO (IVA INC)]]+Tabla1[[#This Row],[GASTOS FINANCIEROS $ BOLSA 50 KG (IVA INC)]])</f>
        <v>27838.403535625734</v>
      </c>
      <c r="AF129" s="828" t="s">
        <v>476</v>
      </c>
      <c r="AG129" s="828" t="s">
        <v>365</v>
      </c>
      <c r="AH129" s="828" t="s">
        <v>387</v>
      </c>
      <c r="AI129" s="828" t="s">
        <v>261</v>
      </c>
      <c r="AJ12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29" s="846">
        <f>SUM(Tabla1[[#This Row],[PRECIO $ BOLSA 50KG  FOB CDO TUC (IVA INC)]]-Tabla1[[#This Row],[PRECIO REF $ BOLSA 50 KG CACTU (IVA INC)]])</f>
        <v>-4676.5964643742664</v>
      </c>
      <c r="AL129" s="847">
        <f>IFERROR(Tabla1[[#This Row],[PRECIO $ BOLSA 50KG  FOB CDO TUC (IVA INC)]]/Tabla1[[#This Row],[PRECIO REF $ BOLSA 50 KG CACTU (IVA INC)]]-1,"")</f>
        <v>-0.14382889326078019</v>
      </c>
      <c r="AM129" s="846">
        <f>+Tabla1[[#This Row],[DIF $ PRECIO NETO INDUSTRIA vs Neto TUCUMAN (IVA INC)]]*Tabla1[[#This Row],[Q Bolsas Equivalentes 50kg]]</f>
        <v>-3273617.5250619864</v>
      </c>
      <c r="AN129" s="846">
        <f>Tabla1[[#This Row],[PRECIO REF $ BOLSA 50 KG CACTU (IVA INC)]]*Tabla1[[#This Row],[Q Bolsas Equivalentes 50kg]]</f>
        <v>22760500</v>
      </c>
      <c r="AO129" s="846">
        <f>+Tabla1[[#This Row],[PRECIO $ BOLSA 50KG  FOB CDO TUC (IVA INC)]]*Tabla1[[#This Row],[Q Bolsas Equivalentes 50kg]]</f>
        <v>19486882.474938013</v>
      </c>
      <c r="AP129" s="847">
        <v>2.9000000000000001E-2</v>
      </c>
      <c r="AQ129" s="846">
        <v>-68</v>
      </c>
      <c r="AR129" s="848"/>
      <c r="AS129" s="849"/>
      <c r="AT129" s="923">
        <f>+Tabla1[[#This Row],[VENTA TOTAL $ (IVA INC) ]]-(SUM(Tabla1[[#This Row],[PENDIENTE DE ENTREGA]:[VALORES COBRADOS]]))</f>
        <v>0</v>
      </c>
      <c r="AU129" s="850">
        <f>VLOOKUP(Tabla1[[#This Row],[FECHA OC]],'TIPO DE CAMBIO'!A:B,2,TRUE)</f>
        <v>1446.3009999999999</v>
      </c>
      <c r="AV129" s="850">
        <f>+Tabla1[[#This Row],[SUBTOTAL]]/Tabla1[[#This Row],[TIPO DE CAMBIO]]</f>
        <v>11025</v>
      </c>
      <c r="AW129" s="851"/>
      <c r="AX129" s="850">
        <f>IFERROR(Tabla1[[#This Row],[VENTA TOTAL USD A PLAZO EN CLIENTE  (SIN IVA)]]*(1+Tabla1[[#This Row],[% IVA ]]),"")</f>
        <v>11025</v>
      </c>
      <c r="AY129" s="850">
        <f>+Tabla1[[#This Row],[VENTA TOTAL USD A PLAZO EN CLIENTE  (SIN IVA)]]/Tabla1[[#This Row],[KGS]]*1000</f>
        <v>315</v>
      </c>
      <c r="AZ129" s="850">
        <v>0</v>
      </c>
      <c r="BA129" s="850">
        <f>+Tabla1[[#This Row],[GASTOS FINANCIEROS $ BOLSA 50 KG (IVA INC)]]*20/Tabla1[[#This Row],[TIPO DE CAMBIO]]</f>
        <v>3.8156769863013698</v>
      </c>
      <c r="BB129" s="850">
        <f>+Tabla1[[#This Row],[PRECIO POR TN USD EN CLIENTE A PLAZO (SIN IVA)]]+Tabla1[[#This Row],[COSTO USD FLETE /TN (SIN IVA)]]+Tabla1[[#This Row],[COSTO FINANCIERO USD POR BOLSA 50KG (IVA INC)]]</f>
        <v>318.81567698630136</v>
      </c>
      <c r="BC129" s="848">
        <v>5</v>
      </c>
      <c r="BD129" s="944"/>
    </row>
    <row r="130" spans="1:56" ht="15.75" customHeight="1">
      <c r="A130" s="912">
        <v>46174</v>
      </c>
      <c r="B130" s="828">
        <v>1</v>
      </c>
      <c r="C130" s="792" t="s">
        <v>406</v>
      </c>
      <c r="D130" s="829">
        <f>+Tabla1[[#This Row],[FECHA Entrega]]</f>
        <v>46177</v>
      </c>
      <c r="E130" s="830">
        <v>700000869</v>
      </c>
      <c r="F130" s="831" t="s">
        <v>358</v>
      </c>
      <c r="G130" s="832" t="s">
        <v>216</v>
      </c>
      <c r="H130" s="852">
        <v>46177</v>
      </c>
      <c r="I130" s="834">
        <f t="shared" si="81"/>
        <v>35000</v>
      </c>
      <c r="J130" s="835">
        <f>0.315*Tabla1[[#This Row],[TIPO DE CAMBIO]]</f>
        <v>455.58481499999999</v>
      </c>
      <c r="K130" s="836">
        <f t="shared" si="60"/>
        <v>15945468.525</v>
      </c>
      <c r="L13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30" s="837">
        <f t="shared" si="45"/>
        <v>19294016.91525</v>
      </c>
      <c r="N130" s="838"/>
      <c r="O130" s="838">
        <v>0</v>
      </c>
      <c r="P130" s="838">
        <v>0</v>
      </c>
      <c r="Q130" s="839">
        <f>+Tabla1[[#This Row],[VENTA TOTAL $ (IVA INC) ]]-Tabla1[[#This Row],[PENDIENTE DE COBRO]]</f>
        <v>19294016.91525</v>
      </c>
      <c r="R130" s="840">
        <f>+Tabla1[[#This Row],[FECHA FC]]+Tabla1[[#This Row],[PLAZO ENTREGA VALORES]]</f>
        <v>46051</v>
      </c>
      <c r="S130" s="840">
        <f>+Tabla1[[#This Row],[FECHA FC]]+Tabla1[[#This Row],[PLAZO PAGO (DIAS)]]</f>
        <v>46177</v>
      </c>
      <c r="T130" s="834">
        <f t="shared" ca="1" si="80"/>
        <v>-4</v>
      </c>
      <c r="U130" s="831">
        <f>+Tabla1[[#This Row],[FECHA OC]]-Tabla1[[#This Row],[FECHA Entrega]]</f>
        <v>-126</v>
      </c>
      <c r="V130" s="831"/>
      <c r="W130" s="841">
        <f>+Tabla1[[#This Row],[FECHA VTO VALORES]]+7</f>
        <v>46184</v>
      </c>
      <c r="X130" s="831" t="s">
        <v>489</v>
      </c>
      <c r="Y130" s="840">
        <v>46051</v>
      </c>
      <c r="Z130" s="842">
        <f>Tabla1[[#This Row],[KGS]]/50</f>
        <v>700</v>
      </c>
      <c r="AA13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30" s="844">
        <f>-Tabla1[[#This Row],[COSTO FLETE $ POR BOLSA 5O KG (SIN IVA)]]*1.21-Tabla1[[#This Row],[PRECIO $/ KG A PLAZO EN CLIENTE ( SIN IVA)]]*0.003*1.21*50</f>
        <v>-0.40864392249999071</v>
      </c>
      <c r="AC130" s="845">
        <f>SUM(Tabla1[[#This Row],[PRECIO $ BOLSA 50 KG (IVA INC) ]]+Tabla1[[#This Row],[COSTO FLETE $ BOLSA 50 KG (IVA INC)]])</f>
        <v>27562.4726635775</v>
      </c>
      <c r="AD130" s="844">
        <f>-Tabla1[[#This Row],[PRECIO $ BOLSA 50 KG (IVA INC) ]]*(Tabla1[[#This Row],[TASA FINANCIACION MENSUAL]]/365)*Tabla1[[#This Row],[PLAZO ENTREGA VALORES]]</f>
        <v>275.93087204823286</v>
      </c>
      <c r="AE130" s="845">
        <f>SUM(Tabla1[[#This Row],[PRECIO $ BOLSA50 KG  FOB TUCUMAN A PLAZO (IVA INC)]]+Tabla1[[#This Row],[GASTOS FINANCIEROS $ BOLSA 50 KG (IVA INC)]])</f>
        <v>27838.403535625734</v>
      </c>
      <c r="AF130" s="828" t="s">
        <v>476</v>
      </c>
      <c r="AG130" s="828" t="s">
        <v>365</v>
      </c>
      <c r="AH130" s="828" t="s">
        <v>387</v>
      </c>
      <c r="AI130" s="828" t="s">
        <v>261</v>
      </c>
      <c r="AJ13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30" s="846">
        <f>SUM(Tabla1[[#This Row],[PRECIO $ BOLSA 50KG  FOB CDO TUC (IVA INC)]]-Tabla1[[#This Row],[PRECIO REF $ BOLSA 50 KG CACTU (IVA INC)]])</f>
        <v>-4676.5964643742664</v>
      </c>
      <c r="AL130" s="847">
        <f>IFERROR(Tabla1[[#This Row],[PRECIO $ BOLSA 50KG  FOB CDO TUC (IVA INC)]]/Tabla1[[#This Row],[PRECIO REF $ BOLSA 50 KG CACTU (IVA INC)]]-1,"")</f>
        <v>-0.14382889326078019</v>
      </c>
      <c r="AM130" s="846">
        <f>+Tabla1[[#This Row],[DIF $ PRECIO NETO INDUSTRIA vs Neto TUCUMAN (IVA INC)]]*Tabla1[[#This Row],[Q Bolsas Equivalentes 50kg]]</f>
        <v>-3273617.5250619864</v>
      </c>
      <c r="AN130" s="846">
        <f>Tabla1[[#This Row],[PRECIO REF $ BOLSA 50 KG CACTU (IVA INC)]]*Tabla1[[#This Row],[Q Bolsas Equivalentes 50kg]]</f>
        <v>22760500</v>
      </c>
      <c r="AO130" s="846">
        <f>+Tabla1[[#This Row],[PRECIO $ BOLSA 50KG  FOB CDO TUC (IVA INC)]]*Tabla1[[#This Row],[Q Bolsas Equivalentes 50kg]]</f>
        <v>19486882.474938013</v>
      </c>
      <c r="AP130" s="847">
        <v>2.9000000000000001E-2</v>
      </c>
      <c r="AQ130" s="846">
        <v>-68</v>
      </c>
      <c r="AR130" s="848"/>
      <c r="AS130" s="849"/>
      <c r="AT130" s="923">
        <f>+Tabla1[[#This Row],[VENTA TOTAL $ (IVA INC) ]]-(SUM(Tabla1[[#This Row],[PENDIENTE DE ENTREGA]:[VALORES COBRADOS]]))</f>
        <v>0</v>
      </c>
      <c r="AU130" s="850">
        <f>VLOOKUP(Tabla1[[#This Row],[FECHA OC]],'TIPO DE CAMBIO'!A:B,2,TRUE)</f>
        <v>1446.3009999999999</v>
      </c>
      <c r="AV130" s="850">
        <f>+Tabla1[[#This Row],[SUBTOTAL]]/Tabla1[[#This Row],[TIPO DE CAMBIO]]</f>
        <v>11025</v>
      </c>
      <c r="AW130" s="851"/>
      <c r="AX130" s="850">
        <f>IFERROR(Tabla1[[#This Row],[VENTA TOTAL USD A PLAZO EN CLIENTE  (SIN IVA)]]*(1+Tabla1[[#This Row],[% IVA ]]),"")</f>
        <v>11025</v>
      </c>
      <c r="AY130" s="850">
        <f>+Tabla1[[#This Row],[VENTA TOTAL USD A PLAZO EN CLIENTE  (SIN IVA)]]/Tabla1[[#This Row],[KGS]]*1000</f>
        <v>315</v>
      </c>
      <c r="AZ130" s="850">
        <v>0</v>
      </c>
      <c r="BA130" s="850">
        <f>+Tabla1[[#This Row],[GASTOS FINANCIEROS $ BOLSA 50 KG (IVA INC)]]*20/Tabla1[[#This Row],[TIPO DE CAMBIO]]</f>
        <v>3.8156769863013698</v>
      </c>
      <c r="BB130" s="850">
        <f>+Tabla1[[#This Row],[PRECIO POR TN USD EN CLIENTE A PLAZO (SIN IVA)]]+Tabla1[[#This Row],[COSTO USD FLETE /TN (SIN IVA)]]+Tabla1[[#This Row],[COSTO FINANCIERO USD POR BOLSA 50KG (IVA INC)]]</f>
        <v>318.81567698630136</v>
      </c>
      <c r="BC130" s="848">
        <v>5</v>
      </c>
      <c r="BD130" s="944"/>
    </row>
    <row r="131" spans="1:56" ht="15.75" customHeight="1">
      <c r="A131" s="912">
        <v>46174</v>
      </c>
      <c r="B131" s="828">
        <v>1</v>
      </c>
      <c r="C131" s="792" t="s">
        <v>406</v>
      </c>
      <c r="D131" s="829">
        <f>+Tabla1[[#This Row],[FECHA Entrega]]</f>
        <v>46177</v>
      </c>
      <c r="E131" s="830">
        <v>700000869</v>
      </c>
      <c r="F131" s="831" t="s">
        <v>358</v>
      </c>
      <c r="G131" s="832" t="s">
        <v>216</v>
      </c>
      <c r="H131" s="852">
        <v>46177</v>
      </c>
      <c r="I131" s="834">
        <f t="shared" si="81"/>
        <v>35000</v>
      </c>
      <c r="J131" s="835">
        <f>0.315*Tabla1[[#This Row],[TIPO DE CAMBIO]]</f>
        <v>455.58481499999999</v>
      </c>
      <c r="K131" s="836">
        <f t="shared" si="60"/>
        <v>15945468.525</v>
      </c>
      <c r="L13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31" s="837">
        <f t="shared" si="45"/>
        <v>19294016.91525</v>
      </c>
      <c r="N131" s="838"/>
      <c r="O131" s="838">
        <v>0</v>
      </c>
      <c r="P131" s="838">
        <v>0</v>
      </c>
      <c r="Q131" s="839">
        <f>+Tabla1[[#This Row],[VENTA TOTAL $ (IVA INC) ]]-Tabla1[[#This Row],[PENDIENTE DE COBRO]]</f>
        <v>19294016.91525</v>
      </c>
      <c r="R131" s="840">
        <f>+Tabla1[[#This Row],[FECHA FC]]+Tabla1[[#This Row],[PLAZO ENTREGA VALORES]]</f>
        <v>46051</v>
      </c>
      <c r="S131" s="840">
        <f>+Tabla1[[#This Row],[FECHA FC]]+Tabla1[[#This Row],[PLAZO PAGO (DIAS)]]</f>
        <v>46177</v>
      </c>
      <c r="T131" s="834">
        <f t="shared" ca="1" si="80"/>
        <v>-4</v>
      </c>
      <c r="U131" s="831">
        <f>+Tabla1[[#This Row],[FECHA OC]]-Tabla1[[#This Row],[FECHA Entrega]]</f>
        <v>-126</v>
      </c>
      <c r="V131" s="831"/>
      <c r="W131" s="841">
        <f>+Tabla1[[#This Row],[FECHA VTO VALORES]]+7</f>
        <v>46184</v>
      </c>
      <c r="X131" s="831" t="s">
        <v>489</v>
      </c>
      <c r="Y131" s="840">
        <v>46051</v>
      </c>
      <c r="Z131" s="842">
        <f>Tabla1[[#This Row],[KGS]]/50</f>
        <v>700</v>
      </c>
      <c r="AA13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31" s="844">
        <f>-Tabla1[[#This Row],[COSTO FLETE $ POR BOLSA 5O KG (SIN IVA)]]*1.21-Tabla1[[#This Row],[PRECIO $/ KG A PLAZO EN CLIENTE ( SIN IVA)]]*0.003*1.21*50</f>
        <v>-0.40864392249999071</v>
      </c>
      <c r="AC131" s="845">
        <f>SUM(Tabla1[[#This Row],[PRECIO $ BOLSA 50 KG (IVA INC) ]]+Tabla1[[#This Row],[COSTO FLETE $ BOLSA 50 KG (IVA INC)]])</f>
        <v>27562.4726635775</v>
      </c>
      <c r="AD131" s="844">
        <f>-Tabla1[[#This Row],[PRECIO $ BOLSA 50 KG (IVA INC) ]]*(Tabla1[[#This Row],[TASA FINANCIACION MENSUAL]]/365)*Tabla1[[#This Row],[PLAZO ENTREGA VALORES]]</f>
        <v>275.93087204823286</v>
      </c>
      <c r="AE131" s="845">
        <f>SUM(Tabla1[[#This Row],[PRECIO $ BOLSA50 KG  FOB TUCUMAN A PLAZO (IVA INC)]]+Tabla1[[#This Row],[GASTOS FINANCIEROS $ BOLSA 50 KG (IVA INC)]])</f>
        <v>27838.403535625734</v>
      </c>
      <c r="AF131" s="828" t="s">
        <v>476</v>
      </c>
      <c r="AG131" s="828" t="s">
        <v>365</v>
      </c>
      <c r="AH131" s="828" t="s">
        <v>387</v>
      </c>
      <c r="AI131" s="828" t="s">
        <v>261</v>
      </c>
      <c r="AJ13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31" s="846">
        <f>SUM(Tabla1[[#This Row],[PRECIO $ BOLSA 50KG  FOB CDO TUC (IVA INC)]]-Tabla1[[#This Row],[PRECIO REF $ BOLSA 50 KG CACTU (IVA INC)]])</f>
        <v>-4676.5964643742664</v>
      </c>
      <c r="AL131" s="847">
        <f>IFERROR(Tabla1[[#This Row],[PRECIO $ BOLSA 50KG  FOB CDO TUC (IVA INC)]]/Tabla1[[#This Row],[PRECIO REF $ BOLSA 50 KG CACTU (IVA INC)]]-1,"")</f>
        <v>-0.14382889326078019</v>
      </c>
      <c r="AM131" s="846">
        <f>+Tabla1[[#This Row],[DIF $ PRECIO NETO INDUSTRIA vs Neto TUCUMAN (IVA INC)]]*Tabla1[[#This Row],[Q Bolsas Equivalentes 50kg]]</f>
        <v>-3273617.5250619864</v>
      </c>
      <c r="AN131" s="846">
        <f>Tabla1[[#This Row],[PRECIO REF $ BOLSA 50 KG CACTU (IVA INC)]]*Tabla1[[#This Row],[Q Bolsas Equivalentes 50kg]]</f>
        <v>22760500</v>
      </c>
      <c r="AO131" s="846">
        <f>+Tabla1[[#This Row],[PRECIO $ BOLSA 50KG  FOB CDO TUC (IVA INC)]]*Tabla1[[#This Row],[Q Bolsas Equivalentes 50kg]]</f>
        <v>19486882.474938013</v>
      </c>
      <c r="AP131" s="847">
        <v>2.9000000000000001E-2</v>
      </c>
      <c r="AQ131" s="846">
        <v>-68</v>
      </c>
      <c r="AR131" s="848"/>
      <c r="AS131" s="849"/>
      <c r="AT131" s="923">
        <f>+Tabla1[[#This Row],[VENTA TOTAL $ (IVA INC) ]]-(SUM(Tabla1[[#This Row],[PENDIENTE DE ENTREGA]:[VALORES COBRADOS]]))</f>
        <v>0</v>
      </c>
      <c r="AU131" s="850">
        <f>VLOOKUP(Tabla1[[#This Row],[FECHA OC]],'TIPO DE CAMBIO'!A:B,2,TRUE)</f>
        <v>1446.3009999999999</v>
      </c>
      <c r="AV131" s="850">
        <f>+Tabla1[[#This Row],[SUBTOTAL]]/Tabla1[[#This Row],[TIPO DE CAMBIO]]</f>
        <v>11025</v>
      </c>
      <c r="AW131" s="851"/>
      <c r="AX131" s="850">
        <f>IFERROR(Tabla1[[#This Row],[VENTA TOTAL USD A PLAZO EN CLIENTE  (SIN IVA)]]*(1+Tabla1[[#This Row],[% IVA ]]),"")</f>
        <v>11025</v>
      </c>
      <c r="AY131" s="850">
        <f>+Tabla1[[#This Row],[VENTA TOTAL USD A PLAZO EN CLIENTE  (SIN IVA)]]/Tabla1[[#This Row],[KGS]]*1000</f>
        <v>315</v>
      </c>
      <c r="AZ131" s="850">
        <v>0</v>
      </c>
      <c r="BA131" s="850">
        <f>+Tabla1[[#This Row],[GASTOS FINANCIEROS $ BOLSA 50 KG (IVA INC)]]*20/Tabla1[[#This Row],[TIPO DE CAMBIO]]</f>
        <v>3.8156769863013698</v>
      </c>
      <c r="BB131" s="850">
        <f>+Tabla1[[#This Row],[PRECIO POR TN USD EN CLIENTE A PLAZO (SIN IVA)]]+Tabla1[[#This Row],[COSTO USD FLETE /TN (SIN IVA)]]+Tabla1[[#This Row],[COSTO FINANCIERO USD POR BOLSA 50KG (IVA INC)]]</f>
        <v>318.81567698630136</v>
      </c>
      <c r="BC131" s="848">
        <v>5</v>
      </c>
      <c r="BD131" s="944"/>
    </row>
    <row r="132" spans="1:56" ht="15.75" customHeight="1">
      <c r="A132" s="912">
        <v>46174</v>
      </c>
      <c r="B132" s="828">
        <v>1</v>
      </c>
      <c r="C132" s="792" t="s">
        <v>406</v>
      </c>
      <c r="D132" s="829">
        <f>+Tabla1[[#This Row],[FECHA Entrega]]</f>
        <v>46178</v>
      </c>
      <c r="E132" s="830">
        <v>700000869</v>
      </c>
      <c r="F132" s="831" t="s">
        <v>358</v>
      </c>
      <c r="G132" s="832" t="s">
        <v>216</v>
      </c>
      <c r="H132" s="852">
        <v>46178</v>
      </c>
      <c r="I132" s="834">
        <f t="shared" si="81"/>
        <v>35000</v>
      </c>
      <c r="J132" s="835">
        <f>0.315*Tabla1[[#This Row],[TIPO DE CAMBIO]]</f>
        <v>455.58481499999999</v>
      </c>
      <c r="K132" s="836">
        <f t="shared" si="60"/>
        <v>15945468.525</v>
      </c>
      <c r="L13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32" s="837">
        <f t="shared" si="45"/>
        <v>19294016.91525</v>
      </c>
      <c r="N132" s="838"/>
      <c r="O132" s="838">
        <v>0</v>
      </c>
      <c r="P132" s="838">
        <v>0</v>
      </c>
      <c r="Q132" s="839">
        <f>+Tabla1[[#This Row],[VENTA TOTAL $ (IVA INC) ]]-Tabla1[[#This Row],[PENDIENTE DE COBRO]]</f>
        <v>19294016.91525</v>
      </c>
      <c r="R132" s="840">
        <f>+Tabla1[[#This Row],[FECHA FC]]+Tabla1[[#This Row],[PLAZO ENTREGA VALORES]]</f>
        <v>46051</v>
      </c>
      <c r="S132" s="840">
        <f>+Tabla1[[#This Row],[FECHA FC]]+Tabla1[[#This Row],[PLAZO PAGO (DIAS)]]</f>
        <v>46178</v>
      </c>
      <c r="T132" s="834">
        <f t="shared" ca="1" si="80"/>
        <v>-3</v>
      </c>
      <c r="U132" s="831">
        <f>+Tabla1[[#This Row],[FECHA OC]]-Tabla1[[#This Row],[FECHA Entrega]]</f>
        <v>-127</v>
      </c>
      <c r="V132" s="831"/>
      <c r="W132" s="841">
        <f>+Tabla1[[#This Row],[FECHA VTO VALORES]]+7</f>
        <v>46185</v>
      </c>
      <c r="X132" s="831" t="s">
        <v>489</v>
      </c>
      <c r="Y132" s="840">
        <v>46051</v>
      </c>
      <c r="Z132" s="842">
        <f>Tabla1[[#This Row],[KGS]]/50</f>
        <v>700</v>
      </c>
      <c r="AA13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32" s="844">
        <f>-Tabla1[[#This Row],[COSTO FLETE $ POR BOLSA 5O KG (SIN IVA)]]*1.21-Tabla1[[#This Row],[PRECIO $/ KG A PLAZO EN CLIENTE ( SIN IVA)]]*0.003*1.21*50</f>
        <v>-0.40864392249999071</v>
      </c>
      <c r="AC132" s="845">
        <f>SUM(Tabla1[[#This Row],[PRECIO $ BOLSA 50 KG (IVA INC) ]]+Tabla1[[#This Row],[COSTO FLETE $ BOLSA 50 KG (IVA INC)]])</f>
        <v>27562.4726635775</v>
      </c>
      <c r="AD132" s="844">
        <f>-Tabla1[[#This Row],[PRECIO $ BOLSA 50 KG (IVA INC) ]]*(Tabla1[[#This Row],[TASA FINANCIACION MENSUAL]]/365)*Tabla1[[#This Row],[PLAZO ENTREGA VALORES]]</f>
        <v>278.12079960417122</v>
      </c>
      <c r="AE132" s="845">
        <f>SUM(Tabla1[[#This Row],[PRECIO $ BOLSA50 KG  FOB TUCUMAN A PLAZO (IVA INC)]]+Tabla1[[#This Row],[GASTOS FINANCIEROS $ BOLSA 50 KG (IVA INC)]])</f>
        <v>27840.593463181671</v>
      </c>
      <c r="AF132" s="828" t="s">
        <v>476</v>
      </c>
      <c r="AG132" s="828" t="s">
        <v>365</v>
      </c>
      <c r="AH132" s="828" t="s">
        <v>387</v>
      </c>
      <c r="AI132" s="828" t="s">
        <v>261</v>
      </c>
      <c r="AJ13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32" s="846">
        <f>SUM(Tabla1[[#This Row],[PRECIO $ BOLSA 50KG  FOB CDO TUC (IVA INC)]]-Tabla1[[#This Row],[PRECIO REF $ BOLSA 50 KG CACTU (IVA INC)]])</f>
        <v>-4674.4065368183292</v>
      </c>
      <c r="AL132" s="847">
        <f>IFERROR(Tabla1[[#This Row],[PRECIO $ BOLSA 50KG  FOB CDO TUC (IVA INC)]]/Tabla1[[#This Row],[PRECIO REF $ BOLSA 50 KG CACTU (IVA INC)]]-1,"")</f>
        <v>-0.14376154195965951</v>
      </c>
      <c r="AM132" s="846">
        <f>+Tabla1[[#This Row],[DIF $ PRECIO NETO INDUSTRIA vs Neto TUCUMAN (IVA INC)]]*Tabla1[[#This Row],[Q Bolsas Equivalentes 50kg]]</f>
        <v>-3272084.5757728303</v>
      </c>
      <c r="AN132" s="846">
        <f>Tabla1[[#This Row],[PRECIO REF $ BOLSA 50 KG CACTU (IVA INC)]]*Tabla1[[#This Row],[Q Bolsas Equivalentes 50kg]]</f>
        <v>22760500</v>
      </c>
      <c r="AO132" s="846">
        <f>+Tabla1[[#This Row],[PRECIO $ BOLSA 50KG  FOB CDO TUC (IVA INC)]]*Tabla1[[#This Row],[Q Bolsas Equivalentes 50kg]]</f>
        <v>19488415.424227171</v>
      </c>
      <c r="AP132" s="847">
        <v>2.9000000000000001E-2</v>
      </c>
      <c r="AQ132" s="846">
        <v>-68</v>
      </c>
      <c r="AR132" s="848"/>
      <c r="AS132" s="849"/>
      <c r="AT132" s="923">
        <f>+Tabla1[[#This Row],[VENTA TOTAL $ (IVA INC) ]]-(SUM(Tabla1[[#This Row],[PENDIENTE DE ENTREGA]:[VALORES COBRADOS]]))</f>
        <v>0</v>
      </c>
      <c r="AU132" s="850">
        <f>VLOOKUP(Tabla1[[#This Row],[FECHA OC]],'TIPO DE CAMBIO'!A:B,2,TRUE)</f>
        <v>1446.3009999999999</v>
      </c>
      <c r="AV132" s="850">
        <f>+Tabla1[[#This Row],[SUBTOTAL]]/Tabla1[[#This Row],[TIPO DE CAMBIO]]</f>
        <v>11025</v>
      </c>
      <c r="AW132" s="851"/>
      <c r="AX132" s="850">
        <f>IFERROR(Tabla1[[#This Row],[VENTA TOTAL USD A PLAZO EN CLIENTE  (SIN IVA)]]*(1+Tabla1[[#This Row],[% IVA ]]),"")</f>
        <v>11025</v>
      </c>
      <c r="AY132" s="850">
        <f>+Tabla1[[#This Row],[VENTA TOTAL USD A PLAZO EN CLIENTE  (SIN IVA)]]/Tabla1[[#This Row],[KGS]]*1000</f>
        <v>315</v>
      </c>
      <c r="AZ132" s="850">
        <v>0</v>
      </c>
      <c r="BA132" s="850">
        <f>+Tabla1[[#This Row],[GASTOS FINANCIEROS $ BOLSA 50 KG (IVA INC)]]*20/Tabla1[[#This Row],[TIPO DE CAMBIO]]</f>
        <v>3.8459601369863012</v>
      </c>
      <c r="BB132" s="850">
        <f>+Tabla1[[#This Row],[PRECIO POR TN USD EN CLIENTE A PLAZO (SIN IVA)]]+Tabla1[[#This Row],[COSTO USD FLETE /TN (SIN IVA)]]+Tabla1[[#This Row],[COSTO FINANCIERO USD POR BOLSA 50KG (IVA INC)]]</f>
        <v>318.84596013698632</v>
      </c>
      <c r="BC132" s="848">
        <v>5</v>
      </c>
      <c r="BD132" s="944"/>
    </row>
    <row r="133" spans="1:56" ht="15.75" customHeight="1">
      <c r="A133" s="912">
        <v>46174</v>
      </c>
      <c r="B133" s="828">
        <v>1</v>
      </c>
      <c r="C133" s="792" t="s">
        <v>406</v>
      </c>
      <c r="D133" s="829">
        <f>+Tabla1[[#This Row],[FECHA Entrega]]</f>
        <v>46178</v>
      </c>
      <c r="E133" s="830">
        <v>700000869</v>
      </c>
      <c r="F133" s="831" t="s">
        <v>358</v>
      </c>
      <c r="G133" s="832" t="s">
        <v>216</v>
      </c>
      <c r="H133" s="852">
        <v>46178</v>
      </c>
      <c r="I133" s="834">
        <f t="shared" si="81"/>
        <v>35000</v>
      </c>
      <c r="J133" s="835">
        <f>0.315*Tabla1[[#This Row],[TIPO DE CAMBIO]]</f>
        <v>455.58481499999999</v>
      </c>
      <c r="K133" s="836">
        <f t="shared" si="60"/>
        <v>15945468.525</v>
      </c>
      <c r="L13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33" s="837">
        <f t="shared" si="45"/>
        <v>19294016.91525</v>
      </c>
      <c r="N133" s="838"/>
      <c r="O133" s="838">
        <v>0</v>
      </c>
      <c r="P133" s="838">
        <v>0</v>
      </c>
      <c r="Q133" s="839">
        <f>+Tabla1[[#This Row],[VENTA TOTAL $ (IVA INC) ]]-Tabla1[[#This Row],[PENDIENTE DE COBRO]]</f>
        <v>19294016.91525</v>
      </c>
      <c r="R133" s="840">
        <f>+Tabla1[[#This Row],[FECHA FC]]+Tabla1[[#This Row],[PLAZO ENTREGA VALORES]]</f>
        <v>46051</v>
      </c>
      <c r="S133" s="840">
        <f>+Tabla1[[#This Row],[FECHA FC]]+Tabla1[[#This Row],[PLAZO PAGO (DIAS)]]</f>
        <v>46178</v>
      </c>
      <c r="T133" s="834">
        <f t="shared" ca="1" si="80"/>
        <v>-3</v>
      </c>
      <c r="U133" s="831">
        <f>+Tabla1[[#This Row],[FECHA OC]]-Tabla1[[#This Row],[FECHA Entrega]]</f>
        <v>-127</v>
      </c>
      <c r="V133" s="831"/>
      <c r="W133" s="841">
        <f>+Tabla1[[#This Row],[FECHA VTO VALORES]]+7</f>
        <v>46185</v>
      </c>
      <c r="X133" s="831" t="s">
        <v>489</v>
      </c>
      <c r="Y133" s="840">
        <v>46051</v>
      </c>
      <c r="Z133" s="842">
        <f>Tabla1[[#This Row],[KGS]]/50</f>
        <v>700</v>
      </c>
      <c r="AA13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33" s="844">
        <f>-Tabla1[[#This Row],[COSTO FLETE $ POR BOLSA 5O KG (SIN IVA)]]*1.21-Tabla1[[#This Row],[PRECIO $/ KG A PLAZO EN CLIENTE ( SIN IVA)]]*0.003*1.21*50</f>
        <v>-0.40864392249999071</v>
      </c>
      <c r="AC133" s="845">
        <f>SUM(Tabla1[[#This Row],[PRECIO $ BOLSA 50 KG (IVA INC) ]]+Tabla1[[#This Row],[COSTO FLETE $ BOLSA 50 KG (IVA INC)]])</f>
        <v>27562.4726635775</v>
      </c>
      <c r="AD133" s="844">
        <f>-Tabla1[[#This Row],[PRECIO $ BOLSA 50 KG (IVA INC) ]]*(Tabla1[[#This Row],[TASA FINANCIACION MENSUAL]]/365)*Tabla1[[#This Row],[PLAZO ENTREGA VALORES]]</f>
        <v>278.12079960417122</v>
      </c>
      <c r="AE133" s="845">
        <f>SUM(Tabla1[[#This Row],[PRECIO $ BOLSA50 KG  FOB TUCUMAN A PLAZO (IVA INC)]]+Tabla1[[#This Row],[GASTOS FINANCIEROS $ BOLSA 50 KG (IVA INC)]])</f>
        <v>27840.593463181671</v>
      </c>
      <c r="AF133" s="828" t="s">
        <v>476</v>
      </c>
      <c r="AG133" s="828" t="s">
        <v>365</v>
      </c>
      <c r="AH133" s="828" t="s">
        <v>387</v>
      </c>
      <c r="AI133" s="828" t="s">
        <v>261</v>
      </c>
      <c r="AJ13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33" s="846">
        <f>SUM(Tabla1[[#This Row],[PRECIO $ BOLSA 50KG  FOB CDO TUC (IVA INC)]]-Tabla1[[#This Row],[PRECIO REF $ BOLSA 50 KG CACTU (IVA INC)]])</f>
        <v>-4674.4065368183292</v>
      </c>
      <c r="AL133" s="847">
        <f>IFERROR(Tabla1[[#This Row],[PRECIO $ BOLSA 50KG  FOB CDO TUC (IVA INC)]]/Tabla1[[#This Row],[PRECIO REF $ BOLSA 50 KG CACTU (IVA INC)]]-1,"")</f>
        <v>-0.14376154195965951</v>
      </c>
      <c r="AM133" s="846">
        <f>+Tabla1[[#This Row],[DIF $ PRECIO NETO INDUSTRIA vs Neto TUCUMAN (IVA INC)]]*Tabla1[[#This Row],[Q Bolsas Equivalentes 50kg]]</f>
        <v>-3272084.5757728303</v>
      </c>
      <c r="AN133" s="846">
        <f>Tabla1[[#This Row],[PRECIO REF $ BOLSA 50 KG CACTU (IVA INC)]]*Tabla1[[#This Row],[Q Bolsas Equivalentes 50kg]]</f>
        <v>22760500</v>
      </c>
      <c r="AO133" s="846">
        <f>+Tabla1[[#This Row],[PRECIO $ BOLSA 50KG  FOB CDO TUC (IVA INC)]]*Tabla1[[#This Row],[Q Bolsas Equivalentes 50kg]]</f>
        <v>19488415.424227171</v>
      </c>
      <c r="AP133" s="847">
        <v>2.9000000000000001E-2</v>
      </c>
      <c r="AQ133" s="846">
        <v>-68</v>
      </c>
      <c r="AR133" s="848"/>
      <c r="AS133" s="849"/>
      <c r="AT133" s="923">
        <f>+Tabla1[[#This Row],[VENTA TOTAL $ (IVA INC) ]]-(SUM(Tabla1[[#This Row],[PENDIENTE DE ENTREGA]:[VALORES COBRADOS]]))</f>
        <v>0</v>
      </c>
      <c r="AU133" s="850">
        <f>VLOOKUP(Tabla1[[#This Row],[FECHA OC]],'TIPO DE CAMBIO'!A:B,2,TRUE)</f>
        <v>1446.3009999999999</v>
      </c>
      <c r="AV133" s="850">
        <f>+Tabla1[[#This Row],[SUBTOTAL]]/Tabla1[[#This Row],[TIPO DE CAMBIO]]</f>
        <v>11025</v>
      </c>
      <c r="AW133" s="851"/>
      <c r="AX133" s="850">
        <f>IFERROR(Tabla1[[#This Row],[VENTA TOTAL USD A PLAZO EN CLIENTE  (SIN IVA)]]*(1+Tabla1[[#This Row],[% IVA ]]),"")</f>
        <v>11025</v>
      </c>
      <c r="AY133" s="850">
        <f>+Tabla1[[#This Row],[VENTA TOTAL USD A PLAZO EN CLIENTE  (SIN IVA)]]/Tabla1[[#This Row],[KGS]]*1000</f>
        <v>315</v>
      </c>
      <c r="AZ133" s="850">
        <v>0</v>
      </c>
      <c r="BA133" s="850">
        <f>+Tabla1[[#This Row],[GASTOS FINANCIEROS $ BOLSA 50 KG (IVA INC)]]*20/Tabla1[[#This Row],[TIPO DE CAMBIO]]</f>
        <v>3.8459601369863012</v>
      </c>
      <c r="BB133" s="850">
        <f>+Tabla1[[#This Row],[PRECIO POR TN USD EN CLIENTE A PLAZO (SIN IVA)]]+Tabla1[[#This Row],[COSTO USD FLETE /TN (SIN IVA)]]+Tabla1[[#This Row],[COSTO FINANCIERO USD POR BOLSA 50KG (IVA INC)]]</f>
        <v>318.84596013698632</v>
      </c>
      <c r="BC133" s="848">
        <v>5</v>
      </c>
      <c r="BD133" s="944"/>
    </row>
    <row r="134" spans="1:56" ht="15.75" customHeight="1">
      <c r="A134" s="912">
        <v>46174</v>
      </c>
      <c r="B134" s="828">
        <v>1</v>
      </c>
      <c r="C134" s="792" t="s">
        <v>406</v>
      </c>
      <c r="D134" s="829">
        <f>+Tabla1[[#This Row],[FECHA Entrega]]</f>
        <v>46178</v>
      </c>
      <c r="E134" s="830">
        <v>700000869</v>
      </c>
      <c r="F134" s="831" t="s">
        <v>358</v>
      </c>
      <c r="G134" s="832" t="s">
        <v>216</v>
      </c>
      <c r="H134" s="852">
        <v>46178</v>
      </c>
      <c r="I134" s="834">
        <f t="shared" si="81"/>
        <v>35000</v>
      </c>
      <c r="J134" s="835">
        <f>0.315*Tabla1[[#This Row],[TIPO DE CAMBIO]]</f>
        <v>455.58481499999999</v>
      </c>
      <c r="K134" s="836">
        <f t="shared" si="60"/>
        <v>15945468.525</v>
      </c>
      <c r="L13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34" s="837">
        <f t="shared" si="45"/>
        <v>19294016.91525</v>
      </c>
      <c r="N134" s="838"/>
      <c r="O134" s="838">
        <v>0</v>
      </c>
      <c r="P134" s="838">
        <v>0</v>
      </c>
      <c r="Q134" s="839">
        <f>+Tabla1[[#This Row],[VENTA TOTAL $ (IVA INC) ]]-Tabla1[[#This Row],[PENDIENTE DE COBRO]]</f>
        <v>19294016.91525</v>
      </c>
      <c r="R134" s="840">
        <f>+Tabla1[[#This Row],[FECHA FC]]+Tabla1[[#This Row],[PLAZO ENTREGA VALORES]]</f>
        <v>46051</v>
      </c>
      <c r="S134" s="840">
        <f>+Tabla1[[#This Row],[FECHA FC]]+Tabla1[[#This Row],[PLAZO PAGO (DIAS)]]</f>
        <v>46178</v>
      </c>
      <c r="T134" s="834">
        <f t="shared" ca="1" si="80"/>
        <v>-3</v>
      </c>
      <c r="U134" s="831">
        <f>+Tabla1[[#This Row],[FECHA OC]]-Tabla1[[#This Row],[FECHA Entrega]]</f>
        <v>-127</v>
      </c>
      <c r="V134" s="831"/>
      <c r="W134" s="841">
        <f>+Tabla1[[#This Row],[FECHA VTO VALORES]]+7</f>
        <v>46185</v>
      </c>
      <c r="X134" s="831" t="s">
        <v>489</v>
      </c>
      <c r="Y134" s="840">
        <v>46051</v>
      </c>
      <c r="Z134" s="842">
        <f>Tabla1[[#This Row],[KGS]]/50</f>
        <v>700</v>
      </c>
      <c r="AA13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34" s="844">
        <f>-Tabla1[[#This Row],[COSTO FLETE $ POR BOLSA 5O KG (SIN IVA)]]*1.21-Tabla1[[#This Row],[PRECIO $/ KG A PLAZO EN CLIENTE ( SIN IVA)]]*0.003*1.21*50</f>
        <v>-0.40864392249999071</v>
      </c>
      <c r="AC134" s="845">
        <f>SUM(Tabla1[[#This Row],[PRECIO $ BOLSA 50 KG (IVA INC) ]]+Tabla1[[#This Row],[COSTO FLETE $ BOLSA 50 KG (IVA INC)]])</f>
        <v>27562.4726635775</v>
      </c>
      <c r="AD134" s="844">
        <f>-Tabla1[[#This Row],[PRECIO $ BOLSA 50 KG (IVA INC) ]]*(Tabla1[[#This Row],[TASA FINANCIACION MENSUAL]]/365)*Tabla1[[#This Row],[PLAZO ENTREGA VALORES]]</f>
        <v>278.12079960417122</v>
      </c>
      <c r="AE134" s="845">
        <f>SUM(Tabla1[[#This Row],[PRECIO $ BOLSA50 KG  FOB TUCUMAN A PLAZO (IVA INC)]]+Tabla1[[#This Row],[GASTOS FINANCIEROS $ BOLSA 50 KG (IVA INC)]])</f>
        <v>27840.593463181671</v>
      </c>
      <c r="AF134" s="828" t="s">
        <v>476</v>
      </c>
      <c r="AG134" s="828" t="s">
        <v>365</v>
      </c>
      <c r="AH134" s="828" t="s">
        <v>387</v>
      </c>
      <c r="AI134" s="828" t="s">
        <v>261</v>
      </c>
      <c r="AJ13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34" s="846">
        <f>SUM(Tabla1[[#This Row],[PRECIO $ BOLSA 50KG  FOB CDO TUC (IVA INC)]]-Tabla1[[#This Row],[PRECIO REF $ BOLSA 50 KG CACTU (IVA INC)]])</f>
        <v>-4674.4065368183292</v>
      </c>
      <c r="AL134" s="847">
        <f>IFERROR(Tabla1[[#This Row],[PRECIO $ BOLSA 50KG  FOB CDO TUC (IVA INC)]]/Tabla1[[#This Row],[PRECIO REF $ BOLSA 50 KG CACTU (IVA INC)]]-1,"")</f>
        <v>-0.14376154195965951</v>
      </c>
      <c r="AM134" s="846">
        <f>+Tabla1[[#This Row],[DIF $ PRECIO NETO INDUSTRIA vs Neto TUCUMAN (IVA INC)]]*Tabla1[[#This Row],[Q Bolsas Equivalentes 50kg]]</f>
        <v>-3272084.5757728303</v>
      </c>
      <c r="AN134" s="846">
        <f>Tabla1[[#This Row],[PRECIO REF $ BOLSA 50 KG CACTU (IVA INC)]]*Tabla1[[#This Row],[Q Bolsas Equivalentes 50kg]]</f>
        <v>22760500</v>
      </c>
      <c r="AO134" s="846">
        <f>+Tabla1[[#This Row],[PRECIO $ BOLSA 50KG  FOB CDO TUC (IVA INC)]]*Tabla1[[#This Row],[Q Bolsas Equivalentes 50kg]]</f>
        <v>19488415.424227171</v>
      </c>
      <c r="AP134" s="847">
        <v>2.9000000000000001E-2</v>
      </c>
      <c r="AQ134" s="846">
        <v>-68</v>
      </c>
      <c r="AR134" s="848"/>
      <c r="AS134" s="849"/>
      <c r="AT134" s="923">
        <f>+Tabla1[[#This Row],[VENTA TOTAL $ (IVA INC) ]]-(SUM(Tabla1[[#This Row],[PENDIENTE DE ENTREGA]:[VALORES COBRADOS]]))</f>
        <v>0</v>
      </c>
      <c r="AU134" s="850">
        <f>VLOOKUP(Tabla1[[#This Row],[FECHA OC]],'TIPO DE CAMBIO'!A:B,2,TRUE)</f>
        <v>1446.3009999999999</v>
      </c>
      <c r="AV134" s="850">
        <f>+Tabla1[[#This Row],[SUBTOTAL]]/Tabla1[[#This Row],[TIPO DE CAMBIO]]</f>
        <v>11025</v>
      </c>
      <c r="AW134" s="851"/>
      <c r="AX134" s="850">
        <f>IFERROR(Tabla1[[#This Row],[VENTA TOTAL USD A PLAZO EN CLIENTE  (SIN IVA)]]*(1+Tabla1[[#This Row],[% IVA ]]),"")</f>
        <v>11025</v>
      </c>
      <c r="AY134" s="850">
        <f>+Tabla1[[#This Row],[VENTA TOTAL USD A PLAZO EN CLIENTE  (SIN IVA)]]/Tabla1[[#This Row],[KGS]]*1000</f>
        <v>315</v>
      </c>
      <c r="AZ134" s="850">
        <v>0</v>
      </c>
      <c r="BA134" s="850">
        <f>+Tabla1[[#This Row],[GASTOS FINANCIEROS $ BOLSA 50 KG (IVA INC)]]*20/Tabla1[[#This Row],[TIPO DE CAMBIO]]</f>
        <v>3.8459601369863012</v>
      </c>
      <c r="BB134" s="850">
        <f>+Tabla1[[#This Row],[PRECIO POR TN USD EN CLIENTE A PLAZO (SIN IVA)]]+Tabla1[[#This Row],[COSTO USD FLETE /TN (SIN IVA)]]+Tabla1[[#This Row],[COSTO FINANCIERO USD POR BOLSA 50KG (IVA INC)]]</f>
        <v>318.84596013698632</v>
      </c>
      <c r="BC134" s="848">
        <v>5</v>
      </c>
      <c r="BD134" s="944"/>
    </row>
    <row r="135" spans="1:56" ht="15.75" customHeight="1">
      <c r="A135" s="912">
        <v>46174</v>
      </c>
      <c r="B135" s="828">
        <v>1</v>
      </c>
      <c r="C135" s="792" t="s">
        <v>406</v>
      </c>
      <c r="D135" s="829">
        <f>+Tabla1[[#This Row],[FECHA Entrega]]</f>
        <v>46179</v>
      </c>
      <c r="E135" s="830">
        <v>700000869</v>
      </c>
      <c r="F135" s="831" t="s">
        <v>358</v>
      </c>
      <c r="G135" s="832" t="s">
        <v>216</v>
      </c>
      <c r="H135" s="852">
        <v>46179</v>
      </c>
      <c r="I135" s="834">
        <f t="shared" si="81"/>
        <v>35000</v>
      </c>
      <c r="J135" s="835">
        <f>0.315*Tabla1[[#This Row],[TIPO DE CAMBIO]]</f>
        <v>455.58481499999999</v>
      </c>
      <c r="K135" s="836">
        <f t="shared" si="60"/>
        <v>15945468.525</v>
      </c>
      <c r="L13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35" s="837">
        <f t="shared" si="45"/>
        <v>19294016.91525</v>
      </c>
      <c r="N135" s="838"/>
      <c r="O135" s="838">
        <v>0</v>
      </c>
      <c r="P135" s="838">
        <v>0</v>
      </c>
      <c r="Q135" s="839">
        <f>+Tabla1[[#This Row],[VENTA TOTAL $ (IVA INC) ]]-Tabla1[[#This Row],[PENDIENTE DE COBRO]]</f>
        <v>19294016.91525</v>
      </c>
      <c r="R135" s="840">
        <f>+Tabla1[[#This Row],[FECHA FC]]+Tabla1[[#This Row],[PLAZO ENTREGA VALORES]]</f>
        <v>46051</v>
      </c>
      <c r="S135" s="840">
        <f>+Tabla1[[#This Row],[FECHA FC]]+Tabla1[[#This Row],[PLAZO PAGO (DIAS)]]</f>
        <v>46179</v>
      </c>
      <c r="T135" s="834">
        <f t="shared" ca="1" si="80"/>
        <v>-2</v>
      </c>
      <c r="U135" s="831">
        <f>+Tabla1[[#This Row],[FECHA OC]]-Tabla1[[#This Row],[FECHA Entrega]]</f>
        <v>-128</v>
      </c>
      <c r="V135" s="831"/>
      <c r="W135" s="841">
        <f>+Tabla1[[#This Row],[FECHA VTO VALORES]]+7</f>
        <v>46186</v>
      </c>
      <c r="X135" s="831" t="s">
        <v>489</v>
      </c>
      <c r="Y135" s="840">
        <v>46051</v>
      </c>
      <c r="Z135" s="842">
        <f>Tabla1[[#This Row],[KGS]]/50</f>
        <v>700</v>
      </c>
      <c r="AA13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35" s="844">
        <f>-Tabla1[[#This Row],[COSTO FLETE $ POR BOLSA 5O KG (SIN IVA)]]*1.21-Tabla1[[#This Row],[PRECIO $/ KG A PLAZO EN CLIENTE ( SIN IVA)]]*0.003*1.21*50</f>
        <v>-0.40864392249999071</v>
      </c>
      <c r="AC135" s="845">
        <f>SUM(Tabla1[[#This Row],[PRECIO $ BOLSA 50 KG (IVA INC) ]]+Tabla1[[#This Row],[COSTO FLETE $ BOLSA 50 KG (IVA INC)]])</f>
        <v>27562.4726635775</v>
      </c>
      <c r="AD135" s="844">
        <f>-Tabla1[[#This Row],[PRECIO $ BOLSA 50 KG (IVA INC) ]]*(Tabla1[[#This Row],[TASA FINANCIACION MENSUAL]]/365)*Tabla1[[#This Row],[PLAZO ENTREGA VALORES]]</f>
        <v>280.31072716010959</v>
      </c>
      <c r="AE135" s="845">
        <f>SUM(Tabla1[[#This Row],[PRECIO $ BOLSA50 KG  FOB TUCUMAN A PLAZO (IVA INC)]]+Tabla1[[#This Row],[GASTOS FINANCIEROS $ BOLSA 50 KG (IVA INC)]])</f>
        <v>27842.783390737612</v>
      </c>
      <c r="AF135" s="828" t="s">
        <v>476</v>
      </c>
      <c r="AG135" s="828" t="s">
        <v>365</v>
      </c>
      <c r="AH135" s="828" t="s">
        <v>387</v>
      </c>
      <c r="AI135" s="828" t="s">
        <v>261</v>
      </c>
      <c r="AJ13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35" s="846">
        <f>SUM(Tabla1[[#This Row],[PRECIO $ BOLSA 50KG  FOB CDO TUC (IVA INC)]]-Tabla1[[#This Row],[PRECIO REF $ BOLSA 50 KG CACTU (IVA INC)]])</f>
        <v>-4672.2166092623884</v>
      </c>
      <c r="AL135" s="847">
        <f>IFERROR(Tabla1[[#This Row],[PRECIO $ BOLSA 50KG  FOB CDO TUC (IVA INC)]]/Tabla1[[#This Row],[PRECIO REF $ BOLSA 50 KG CACTU (IVA INC)]]-1,"")</f>
        <v>-0.14369419065853872</v>
      </c>
      <c r="AM135" s="846">
        <f>+Tabla1[[#This Row],[DIF $ PRECIO NETO INDUSTRIA vs Neto TUCUMAN (IVA INC)]]*Tabla1[[#This Row],[Q Bolsas Equivalentes 50kg]]</f>
        <v>-3270551.6264836718</v>
      </c>
      <c r="AN135" s="846">
        <f>Tabla1[[#This Row],[PRECIO REF $ BOLSA 50 KG CACTU (IVA INC)]]*Tabla1[[#This Row],[Q Bolsas Equivalentes 50kg]]</f>
        <v>22760500</v>
      </c>
      <c r="AO135" s="846">
        <f>+Tabla1[[#This Row],[PRECIO $ BOLSA 50KG  FOB CDO TUC (IVA INC)]]*Tabla1[[#This Row],[Q Bolsas Equivalentes 50kg]]</f>
        <v>19489948.373516329</v>
      </c>
      <c r="AP135" s="847">
        <v>2.9000000000000001E-2</v>
      </c>
      <c r="AQ135" s="846">
        <v>-68</v>
      </c>
      <c r="AR135" s="848"/>
      <c r="AS135" s="849"/>
      <c r="AT135" s="923">
        <f>+Tabla1[[#This Row],[VENTA TOTAL $ (IVA INC) ]]-(SUM(Tabla1[[#This Row],[PENDIENTE DE ENTREGA]:[VALORES COBRADOS]]))</f>
        <v>0</v>
      </c>
      <c r="AU135" s="850">
        <f>VLOOKUP(Tabla1[[#This Row],[FECHA OC]],'TIPO DE CAMBIO'!A:B,2,TRUE)</f>
        <v>1446.3009999999999</v>
      </c>
      <c r="AV135" s="850">
        <f>+Tabla1[[#This Row],[SUBTOTAL]]/Tabla1[[#This Row],[TIPO DE CAMBIO]]</f>
        <v>11025</v>
      </c>
      <c r="AW135" s="851"/>
      <c r="AX135" s="850">
        <f>IFERROR(Tabla1[[#This Row],[VENTA TOTAL USD A PLAZO EN CLIENTE  (SIN IVA)]]*(1+Tabla1[[#This Row],[% IVA ]]),"")</f>
        <v>11025</v>
      </c>
      <c r="AY135" s="850">
        <f>+Tabla1[[#This Row],[VENTA TOTAL USD A PLAZO EN CLIENTE  (SIN IVA)]]/Tabla1[[#This Row],[KGS]]*1000</f>
        <v>315</v>
      </c>
      <c r="AZ135" s="850">
        <v>0</v>
      </c>
      <c r="BA135" s="850">
        <f>+Tabla1[[#This Row],[GASTOS FINANCIEROS $ BOLSA 50 KG (IVA INC)]]*20/Tabla1[[#This Row],[TIPO DE CAMBIO]]</f>
        <v>3.8762432876712332</v>
      </c>
      <c r="BB135" s="850">
        <f>+Tabla1[[#This Row],[PRECIO POR TN USD EN CLIENTE A PLAZO (SIN IVA)]]+Tabla1[[#This Row],[COSTO USD FLETE /TN (SIN IVA)]]+Tabla1[[#This Row],[COSTO FINANCIERO USD POR BOLSA 50KG (IVA INC)]]</f>
        <v>318.87624328767123</v>
      </c>
      <c r="BC135" s="848">
        <v>5</v>
      </c>
      <c r="BD135" s="944"/>
    </row>
    <row r="136" spans="1:56" ht="15.75" customHeight="1">
      <c r="A136" s="912">
        <v>46174</v>
      </c>
      <c r="B136" s="828">
        <v>1</v>
      </c>
      <c r="C136" s="792" t="s">
        <v>406</v>
      </c>
      <c r="D136" s="829">
        <f>+Tabla1[[#This Row],[FECHA Entrega]]</f>
        <v>46179</v>
      </c>
      <c r="E136" s="830">
        <v>700000869</v>
      </c>
      <c r="F136" s="831" t="s">
        <v>358</v>
      </c>
      <c r="G136" s="832" t="s">
        <v>216</v>
      </c>
      <c r="H136" s="852">
        <v>46179</v>
      </c>
      <c r="I136" s="834">
        <f t="shared" si="81"/>
        <v>35000</v>
      </c>
      <c r="J136" s="835">
        <f>0.315*Tabla1[[#This Row],[TIPO DE CAMBIO]]</f>
        <v>455.58481499999999</v>
      </c>
      <c r="K136" s="836">
        <f t="shared" si="60"/>
        <v>15945468.525</v>
      </c>
      <c r="L13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36" s="837">
        <f t="shared" si="45"/>
        <v>19294016.91525</v>
      </c>
      <c r="N136" s="838"/>
      <c r="O136" s="838">
        <v>0</v>
      </c>
      <c r="P136" s="838">
        <v>0</v>
      </c>
      <c r="Q136" s="839">
        <f>+Tabla1[[#This Row],[VENTA TOTAL $ (IVA INC) ]]-Tabla1[[#This Row],[PENDIENTE DE COBRO]]</f>
        <v>19294016.91525</v>
      </c>
      <c r="R136" s="840">
        <f>+Tabla1[[#This Row],[FECHA FC]]+Tabla1[[#This Row],[PLAZO ENTREGA VALORES]]</f>
        <v>46051</v>
      </c>
      <c r="S136" s="840">
        <f>+Tabla1[[#This Row],[FECHA FC]]+Tabla1[[#This Row],[PLAZO PAGO (DIAS)]]</f>
        <v>46179</v>
      </c>
      <c r="T136" s="834">
        <f t="shared" ca="1" si="80"/>
        <v>-2</v>
      </c>
      <c r="U136" s="831">
        <f>+Tabla1[[#This Row],[FECHA OC]]-Tabla1[[#This Row],[FECHA Entrega]]</f>
        <v>-128</v>
      </c>
      <c r="V136" s="831"/>
      <c r="W136" s="841">
        <f>+Tabla1[[#This Row],[FECHA VTO VALORES]]+7</f>
        <v>46186</v>
      </c>
      <c r="X136" s="831" t="s">
        <v>489</v>
      </c>
      <c r="Y136" s="840">
        <v>46051</v>
      </c>
      <c r="Z136" s="842">
        <f>Tabla1[[#This Row],[KGS]]/50</f>
        <v>700</v>
      </c>
      <c r="AA13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36" s="844">
        <f>-Tabla1[[#This Row],[COSTO FLETE $ POR BOLSA 5O KG (SIN IVA)]]*1.21-Tabla1[[#This Row],[PRECIO $/ KG A PLAZO EN CLIENTE ( SIN IVA)]]*0.003*1.21*50</f>
        <v>-0.40864392249999071</v>
      </c>
      <c r="AC136" s="845">
        <f>SUM(Tabla1[[#This Row],[PRECIO $ BOLSA 50 KG (IVA INC) ]]+Tabla1[[#This Row],[COSTO FLETE $ BOLSA 50 KG (IVA INC)]])</f>
        <v>27562.4726635775</v>
      </c>
      <c r="AD136" s="844">
        <f>-Tabla1[[#This Row],[PRECIO $ BOLSA 50 KG (IVA INC) ]]*(Tabla1[[#This Row],[TASA FINANCIACION MENSUAL]]/365)*Tabla1[[#This Row],[PLAZO ENTREGA VALORES]]</f>
        <v>280.31072716010959</v>
      </c>
      <c r="AE136" s="845">
        <f>SUM(Tabla1[[#This Row],[PRECIO $ BOLSA50 KG  FOB TUCUMAN A PLAZO (IVA INC)]]+Tabla1[[#This Row],[GASTOS FINANCIEROS $ BOLSA 50 KG (IVA INC)]])</f>
        <v>27842.783390737612</v>
      </c>
      <c r="AF136" s="828" t="s">
        <v>476</v>
      </c>
      <c r="AG136" s="828" t="s">
        <v>365</v>
      </c>
      <c r="AH136" s="828" t="s">
        <v>387</v>
      </c>
      <c r="AI136" s="828" t="s">
        <v>261</v>
      </c>
      <c r="AJ13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36" s="846">
        <f>SUM(Tabla1[[#This Row],[PRECIO $ BOLSA 50KG  FOB CDO TUC (IVA INC)]]-Tabla1[[#This Row],[PRECIO REF $ BOLSA 50 KG CACTU (IVA INC)]])</f>
        <v>-4672.2166092623884</v>
      </c>
      <c r="AL136" s="847">
        <f>IFERROR(Tabla1[[#This Row],[PRECIO $ BOLSA 50KG  FOB CDO TUC (IVA INC)]]/Tabla1[[#This Row],[PRECIO REF $ BOLSA 50 KG CACTU (IVA INC)]]-1,"")</f>
        <v>-0.14369419065853872</v>
      </c>
      <c r="AM136" s="846">
        <f>+Tabla1[[#This Row],[DIF $ PRECIO NETO INDUSTRIA vs Neto TUCUMAN (IVA INC)]]*Tabla1[[#This Row],[Q Bolsas Equivalentes 50kg]]</f>
        <v>-3270551.6264836718</v>
      </c>
      <c r="AN136" s="846">
        <f>Tabla1[[#This Row],[PRECIO REF $ BOLSA 50 KG CACTU (IVA INC)]]*Tabla1[[#This Row],[Q Bolsas Equivalentes 50kg]]</f>
        <v>22760500</v>
      </c>
      <c r="AO136" s="846">
        <f>+Tabla1[[#This Row],[PRECIO $ BOLSA 50KG  FOB CDO TUC (IVA INC)]]*Tabla1[[#This Row],[Q Bolsas Equivalentes 50kg]]</f>
        <v>19489948.373516329</v>
      </c>
      <c r="AP136" s="847">
        <v>2.9000000000000001E-2</v>
      </c>
      <c r="AQ136" s="846">
        <v>-68</v>
      </c>
      <c r="AR136" s="848"/>
      <c r="AS136" s="849"/>
      <c r="AT136" s="923">
        <f>+Tabla1[[#This Row],[VENTA TOTAL $ (IVA INC) ]]-(SUM(Tabla1[[#This Row],[PENDIENTE DE ENTREGA]:[VALORES COBRADOS]]))</f>
        <v>0</v>
      </c>
      <c r="AU136" s="850">
        <f>VLOOKUP(Tabla1[[#This Row],[FECHA OC]],'TIPO DE CAMBIO'!A:B,2,TRUE)</f>
        <v>1446.3009999999999</v>
      </c>
      <c r="AV136" s="850">
        <f>+Tabla1[[#This Row],[SUBTOTAL]]/Tabla1[[#This Row],[TIPO DE CAMBIO]]</f>
        <v>11025</v>
      </c>
      <c r="AW136" s="851"/>
      <c r="AX136" s="850">
        <f>IFERROR(Tabla1[[#This Row],[VENTA TOTAL USD A PLAZO EN CLIENTE  (SIN IVA)]]*(1+Tabla1[[#This Row],[% IVA ]]),"")</f>
        <v>11025</v>
      </c>
      <c r="AY136" s="850">
        <f>+Tabla1[[#This Row],[VENTA TOTAL USD A PLAZO EN CLIENTE  (SIN IVA)]]/Tabla1[[#This Row],[KGS]]*1000</f>
        <v>315</v>
      </c>
      <c r="AZ136" s="850">
        <v>0</v>
      </c>
      <c r="BA136" s="850">
        <f>+Tabla1[[#This Row],[GASTOS FINANCIEROS $ BOLSA 50 KG (IVA INC)]]*20/Tabla1[[#This Row],[TIPO DE CAMBIO]]</f>
        <v>3.8762432876712332</v>
      </c>
      <c r="BB136" s="850">
        <f>+Tabla1[[#This Row],[PRECIO POR TN USD EN CLIENTE A PLAZO (SIN IVA)]]+Tabla1[[#This Row],[COSTO USD FLETE /TN (SIN IVA)]]+Tabla1[[#This Row],[COSTO FINANCIERO USD POR BOLSA 50KG (IVA INC)]]</f>
        <v>318.87624328767123</v>
      </c>
      <c r="BC136" s="848">
        <v>5</v>
      </c>
      <c r="BD136" s="944"/>
    </row>
    <row r="137" spans="1:56" ht="15.75" customHeight="1">
      <c r="A137" s="912">
        <v>46174</v>
      </c>
      <c r="B137" s="828">
        <v>1</v>
      </c>
      <c r="C137" s="792" t="s">
        <v>406</v>
      </c>
      <c r="D137" s="829">
        <f>+Tabla1[[#This Row],[FECHA Entrega]]</f>
        <v>46179</v>
      </c>
      <c r="E137" s="830">
        <v>700000869</v>
      </c>
      <c r="F137" s="831" t="s">
        <v>358</v>
      </c>
      <c r="G137" s="832" t="s">
        <v>216</v>
      </c>
      <c r="H137" s="852">
        <v>46179</v>
      </c>
      <c r="I137" s="834">
        <f t="shared" si="81"/>
        <v>35000</v>
      </c>
      <c r="J137" s="835">
        <f>0.315*Tabla1[[#This Row],[TIPO DE CAMBIO]]</f>
        <v>455.58481499999999</v>
      </c>
      <c r="K137" s="836">
        <f t="shared" si="60"/>
        <v>15945468.525</v>
      </c>
      <c r="L13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37" s="837">
        <f t="shared" si="45"/>
        <v>19294016.91525</v>
      </c>
      <c r="N137" s="838"/>
      <c r="O137" s="838">
        <v>0</v>
      </c>
      <c r="P137" s="838">
        <v>0</v>
      </c>
      <c r="Q137" s="839">
        <f>+Tabla1[[#This Row],[VENTA TOTAL $ (IVA INC) ]]-Tabla1[[#This Row],[PENDIENTE DE COBRO]]</f>
        <v>19294016.91525</v>
      </c>
      <c r="R137" s="840">
        <f>+Tabla1[[#This Row],[FECHA FC]]+Tabla1[[#This Row],[PLAZO ENTREGA VALORES]]</f>
        <v>46051</v>
      </c>
      <c r="S137" s="840">
        <f>+Tabla1[[#This Row],[FECHA FC]]+Tabla1[[#This Row],[PLAZO PAGO (DIAS)]]</f>
        <v>46179</v>
      </c>
      <c r="T137" s="834">
        <f t="shared" ca="1" si="80"/>
        <v>-2</v>
      </c>
      <c r="U137" s="831">
        <f>+Tabla1[[#This Row],[FECHA OC]]-Tabla1[[#This Row],[FECHA Entrega]]</f>
        <v>-128</v>
      </c>
      <c r="V137" s="831"/>
      <c r="W137" s="841">
        <f>+Tabla1[[#This Row],[FECHA VTO VALORES]]+7</f>
        <v>46186</v>
      </c>
      <c r="X137" s="831" t="s">
        <v>489</v>
      </c>
      <c r="Y137" s="840">
        <v>46051</v>
      </c>
      <c r="Z137" s="842">
        <f>Tabla1[[#This Row],[KGS]]/50</f>
        <v>700</v>
      </c>
      <c r="AA13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37" s="844">
        <f>-Tabla1[[#This Row],[COSTO FLETE $ POR BOLSA 5O KG (SIN IVA)]]*1.21-Tabla1[[#This Row],[PRECIO $/ KG A PLAZO EN CLIENTE ( SIN IVA)]]*0.003*1.21*50</f>
        <v>-0.40864392249999071</v>
      </c>
      <c r="AC137" s="845">
        <f>SUM(Tabla1[[#This Row],[PRECIO $ BOLSA 50 KG (IVA INC) ]]+Tabla1[[#This Row],[COSTO FLETE $ BOLSA 50 KG (IVA INC)]])</f>
        <v>27562.4726635775</v>
      </c>
      <c r="AD137" s="844">
        <f>-Tabla1[[#This Row],[PRECIO $ BOLSA 50 KG (IVA INC) ]]*(Tabla1[[#This Row],[TASA FINANCIACION MENSUAL]]/365)*Tabla1[[#This Row],[PLAZO ENTREGA VALORES]]</f>
        <v>280.31072716010959</v>
      </c>
      <c r="AE137" s="845">
        <f>SUM(Tabla1[[#This Row],[PRECIO $ BOLSA50 KG  FOB TUCUMAN A PLAZO (IVA INC)]]+Tabla1[[#This Row],[GASTOS FINANCIEROS $ BOLSA 50 KG (IVA INC)]])</f>
        <v>27842.783390737612</v>
      </c>
      <c r="AF137" s="828" t="s">
        <v>476</v>
      </c>
      <c r="AG137" s="828" t="s">
        <v>365</v>
      </c>
      <c r="AH137" s="828" t="s">
        <v>387</v>
      </c>
      <c r="AI137" s="828" t="s">
        <v>261</v>
      </c>
      <c r="AJ13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37" s="846">
        <f>SUM(Tabla1[[#This Row],[PRECIO $ BOLSA 50KG  FOB CDO TUC (IVA INC)]]-Tabla1[[#This Row],[PRECIO REF $ BOLSA 50 KG CACTU (IVA INC)]])</f>
        <v>-4672.2166092623884</v>
      </c>
      <c r="AL137" s="847">
        <f>IFERROR(Tabla1[[#This Row],[PRECIO $ BOLSA 50KG  FOB CDO TUC (IVA INC)]]/Tabla1[[#This Row],[PRECIO REF $ BOLSA 50 KG CACTU (IVA INC)]]-1,"")</f>
        <v>-0.14369419065853872</v>
      </c>
      <c r="AM137" s="846">
        <f>+Tabla1[[#This Row],[DIF $ PRECIO NETO INDUSTRIA vs Neto TUCUMAN (IVA INC)]]*Tabla1[[#This Row],[Q Bolsas Equivalentes 50kg]]</f>
        <v>-3270551.6264836718</v>
      </c>
      <c r="AN137" s="846">
        <f>Tabla1[[#This Row],[PRECIO REF $ BOLSA 50 KG CACTU (IVA INC)]]*Tabla1[[#This Row],[Q Bolsas Equivalentes 50kg]]</f>
        <v>22760500</v>
      </c>
      <c r="AO137" s="846">
        <f>+Tabla1[[#This Row],[PRECIO $ BOLSA 50KG  FOB CDO TUC (IVA INC)]]*Tabla1[[#This Row],[Q Bolsas Equivalentes 50kg]]</f>
        <v>19489948.373516329</v>
      </c>
      <c r="AP137" s="847">
        <v>2.9000000000000001E-2</v>
      </c>
      <c r="AQ137" s="846">
        <v>-68</v>
      </c>
      <c r="AR137" s="848"/>
      <c r="AS137" s="849"/>
      <c r="AT137" s="923">
        <f>+Tabla1[[#This Row],[VENTA TOTAL $ (IVA INC) ]]-(SUM(Tabla1[[#This Row],[PENDIENTE DE ENTREGA]:[VALORES COBRADOS]]))</f>
        <v>0</v>
      </c>
      <c r="AU137" s="850">
        <f>VLOOKUP(Tabla1[[#This Row],[FECHA OC]],'TIPO DE CAMBIO'!A:B,2,TRUE)</f>
        <v>1446.3009999999999</v>
      </c>
      <c r="AV137" s="850">
        <f>+Tabla1[[#This Row],[SUBTOTAL]]/Tabla1[[#This Row],[TIPO DE CAMBIO]]</f>
        <v>11025</v>
      </c>
      <c r="AW137" s="851"/>
      <c r="AX137" s="850">
        <f>IFERROR(Tabla1[[#This Row],[VENTA TOTAL USD A PLAZO EN CLIENTE  (SIN IVA)]]*(1+Tabla1[[#This Row],[% IVA ]]),"")</f>
        <v>11025</v>
      </c>
      <c r="AY137" s="850">
        <f>+Tabla1[[#This Row],[VENTA TOTAL USD A PLAZO EN CLIENTE  (SIN IVA)]]/Tabla1[[#This Row],[KGS]]*1000</f>
        <v>315</v>
      </c>
      <c r="AZ137" s="850">
        <v>0</v>
      </c>
      <c r="BA137" s="850">
        <f>+Tabla1[[#This Row],[GASTOS FINANCIEROS $ BOLSA 50 KG (IVA INC)]]*20/Tabla1[[#This Row],[TIPO DE CAMBIO]]</f>
        <v>3.8762432876712332</v>
      </c>
      <c r="BB137" s="850">
        <f>+Tabla1[[#This Row],[PRECIO POR TN USD EN CLIENTE A PLAZO (SIN IVA)]]+Tabla1[[#This Row],[COSTO USD FLETE /TN (SIN IVA)]]+Tabla1[[#This Row],[COSTO FINANCIERO USD POR BOLSA 50KG (IVA INC)]]</f>
        <v>318.87624328767123</v>
      </c>
      <c r="BC137" s="848">
        <v>5</v>
      </c>
      <c r="BD137" s="944"/>
    </row>
    <row r="138" spans="1:56" ht="15.75" customHeight="1">
      <c r="A138" s="912">
        <v>46174</v>
      </c>
      <c r="B138" s="828">
        <v>1</v>
      </c>
      <c r="C138" s="792" t="s">
        <v>406</v>
      </c>
      <c r="D138" s="829">
        <f>+Tabla1[[#This Row],[FECHA Entrega]]</f>
        <v>46179</v>
      </c>
      <c r="E138" s="830">
        <v>700000869</v>
      </c>
      <c r="F138" s="831" t="s">
        <v>358</v>
      </c>
      <c r="G138" s="832" t="s">
        <v>216</v>
      </c>
      <c r="H138" s="852">
        <v>46179</v>
      </c>
      <c r="I138" s="834">
        <f t="shared" si="81"/>
        <v>35000</v>
      </c>
      <c r="J138" s="835">
        <f>0.315*Tabla1[[#This Row],[TIPO DE CAMBIO]]</f>
        <v>455.58481499999999</v>
      </c>
      <c r="K138" s="836">
        <f t="shared" si="60"/>
        <v>15945468.525</v>
      </c>
      <c r="L13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38" s="837">
        <f t="shared" si="45"/>
        <v>19294016.91525</v>
      </c>
      <c r="N138" s="838"/>
      <c r="O138" s="838">
        <v>0</v>
      </c>
      <c r="P138" s="838">
        <v>0</v>
      </c>
      <c r="Q138" s="839">
        <f>+Tabla1[[#This Row],[VENTA TOTAL $ (IVA INC) ]]-Tabla1[[#This Row],[PENDIENTE DE COBRO]]</f>
        <v>19294016.91525</v>
      </c>
      <c r="R138" s="840">
        <f>+Tabla1[[#This Row],[FECHA FC]]+Tabla1[[#This Row],[PLAZO ENTREGA VALORES]]</f>
        <v>46051</v>
      </c>
      <c r="S138" s="840">
        <f>+Tabla1[[#This Row],[FECHA FC]]+Tabla1[[#This Row],[PLAZO PAGO (DIAS)]]</f>
        <v>46179</v>
      </c>
      <c r="T138" s="834">
        <f t="shared" ca="1" si="80"/>
        <v>-2</v>
      </c>
      <c r="U138" s="831">
        <f>+Tabla1[[#This Row],[FECHA OC]]-Tabla1[[#This Row],[FECHA Entrega]]</f>
        <v>-128</v>
      </c>
      <c r="V138" s="831"/>
      <c r="W138" s="841">
        <f>+Tabla1[[#This Row],[FECHA VTO VALORES]]+7</f>
        <v>46186</v>
      </c>
      <c r="X138" s="831" t="s">
        <v>489</v>
      </c>
      <c r="Y138" s="840">
        <v>46051</v>
      </c>
      <c r="Z138" s="842">
        <f>Tabla1[[#This Row],[KGS]]/50</f>
        <v>700</v>
      </c>
      <c r="AA13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38" s="844">
        <f>-Tabla1[[#This Row],[COSTO FLETE $ POR BOLSA 5O KG (SIN IVA)]]*1.21-Tabla1[[#This Row],[PRECIO $/ KG A PLAZO EN CLIENTE ( SIN IVA)]]*0.003*1.21*50</f>
        <v>-0.40864392249999071</v>
      </c>
      <c r="AC138" s="845">
        <f>SUM(Tabla1[[#This Row],[PRECIO $ BOLSA 50 KG (IVA INC) ]]+Tabla1[[#This Row],[COSTO FLETE $ BOLSA 50 KG (IVA INC)]])</f>
        <v>27562.4726635775</v>
      </c>
      <c r="AD138" s="844">
        <f>-Tabla1[[#This Row],[PRECIO $ BOLSA 50 KG (IVA INC) ]]*(Tabla1[[#This Row],[TASA FINANCIACION MENSUAL]]/365)*Tabla1[[#This Row],[PLAZO ENTREGA VALORES]]</f>
        <v>280.31072716010959</v>
      </c>
      <c r="AE138" s="845">
        <f>SUM(Tabla1[[#This Row],[PRECIO $ BOLSA50 KG  FOB TUCUMAN A PLAZO (IVA INC)]]+Tabla1[[#This Row],[GASTOS FINANCIEROS $ BOLSA 50 KG (IVA INC)]])</f>
        <v>27842.783390737612</v>
      </c>
      <c r="AF138" s="828" t="s">
        <v>476</v>
      </c>
      <c r="AG138" s="828" t="s">
        <v>365</v>
      </c>
      <c r="AH138" s="828" t="s">
        <v>387</v>
      </c>
      <c r="AI138" s="828" t="s">
        <v>261</v>
      </c>
      <c r="AJ13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38" s="846">
        <f>SUM(Tabla1[[#This Row],[PRECIO $ BOLSA 50KG  FOB CDO TUC (IVA INC)]]-Tabla1[[#This Row],[PRECIO REF $ BOLSA 50 KG CACTU (IVA INC)]])</f>
        <v>-4672.2166092623884</v>
      </c>
      <c r="AL138" s="847">
        <f>IFERROR(Tabla1[[#This Row],[PRECIO $ BOLSA 50KG  FOB CDO TUC (IVA INC)]]/Tabla1[[#This Row],[PRECIO REF $ BOLSA 50 KG CACTU (IVA INC)]]-1,"")</f>
        <v>-0.14369419065853872</v>
      </c>
      <c r="AM138" s="846">
        <f>+Tabla1[[#This Row],[DIF $ PRECIO NETO INDUSTRIA vs Neto TUCUMAN (IVA INC)]]*Tabla1[[#This Row],[Q Bolsas Equivalentes 50kg]]</f>
        <v>-3270551.6264836718</v>
      </c>
      <c r="AN138" s="846">
        <f>Tabla1[[#This Row],[PRECIO REF $ BOLSA 50 KG CACTU (IVA INC)]]*Tabla1[[#This Row],[Q Bolsas Equivalentes 50kg]]</f>
        <v>22760500</v>
      </c>
      <c r="AO138" s="846">
        <f>+Tabla1[[#This Row],[PRECIO $ BOLSA 50KG  FOB CDO TUC (IVA INC)]]*Tabla1[[#This Row],[Q Bolsas Equivalentes 50kg]]</f>
        <v>19489948.373516329</v>
      </c>
      <c r="AP138" s="847">
        <v>2.9000000000000001E-2</v>
      </c>
      <c r="AQ138" s="846">
        <v>-68</v>
      </c>
      <c r="AR138" s="848"/>
      <c r="AS138" s="849"/>
      <c r="AT138" s="923">
        <f>+Tabla1[[#This Row],[VENTA TOTAL $ (IVA INC) ]]-(SUM(Tabla1[[#This Row],[PENDIENTE DE ENTREGA]:[VALORES COBRADOS]]))</f>
        <v>0</v>
      </c>
      <c r="AU138" s="850">
        <f>VLOOKUP(Tabla1[[#This Row],[FECHA OC]],'TIPO DE CAMBIO'!A:B,2,TRUE)</f>
        <v>1446.3009999999999</v>
      </c>
      <c r="AV138" s="850">
        <f>+Tabla1[[#This Row],[SUBTOTAL]]/Tabla1[[#This Row],[TIPO DE CAMBIO]]</f>
        <v>11025</v>
      </c>
      <c r="AW138" s="851"/>
      <c r="AX138" s="850">
        <f>IFERROR(Tabla1[[#This Row],[VENTA TOTAL USD A PLAZO EN CLIENTE  (SIN IVA)]]*(1+Tabla1[[#This Row],[% IVA ]]),"")</f>
        <v>11025</v>
      </c>
      <c r="AY138" s="850">
        <f>+Tabla1[[#This Row],[VENTA TOTAL USD A PLAZO EN CLIENTE  (SIN IVA)]]/Tabla1[[#This Row],[KGS]]*1000</f>
        <v>315</v>
      </c>
      <c r="AZ138" s="850">
        <v>0</v>
      </c>
      <c r="BA138" s="850">
        <f>+Tabla1[[#This Row],[GASTOS FINANCIEROS $ BOLSA 50 KG (IVA INC)]]*20/Tabla1[[#This Row],[TIPO DE CAMBIO]]</f>
        <v>3.8762432876712332</v>
      </c>
      <c r="BB138" s="850">
        <f>+Tabla1[[#This Row],[PRECIO POR TN USD EN CLIENTE A PLAZO (SIN IVA)]]+Tabla1[[#This Row],[COSTO USD FLETE /TN (SIN IVA)]]+Tabla1[[#This Row],[COSTO FINANCIERO USD POR BOLSA 50KG (IVA INC)]]</f>
        <v>318.87624328767123</v>
      </c>
      <c r="BC138" s="848">
        <v>5</v>
      </c>
      <c r="BD138" s="944"/>
    </row>
    <row r="139" spans="1:56" ht="15.75" customHeight="1">
      <c r="A139" s="912">
        <v>46174</v>
      </c>
      <c r="B139" s="828">
        <v>1</v>
      </c>
      <c r="C139" s="792" t="s">
        <v>406</v>
      </c>
      <c r="D139" s="829">
        <f>+Tabla1[[#This Row],[FECHA Entrega]]</f>
        <v>46179</v>
      </c>
      <c r="E139" s="830">
        <v>700000869</v>
      </c>
      <c r="F139" s="831" t="s">
        <v>358</v>
      </c>
      <c r="G139" s="832" t="s">
        <v>216</v>
      </c>
      <c r="H139" s="852">
        <v>46179</v>
      </c>
      <c r="I139" s="834">
        <f t="shared" si="81"/>
        <v>35000</v>
      </c>
      <c r="J139" s="835">
        <f>0.315*Tabla1[[#This Row],[TIPO DE CAMBIO]]</f>
        <v>455.58481499999999</v>
      </c>
      <c r="K139" s="836">
        <f t="shared" si="60"/>
        <v>15945468.525</v>
      </c>
      <c r="L13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39" s="837">
        <f t="shared" si="45"/>
        <v>19294016.91525</v>
      </c>
      <c r="N139" s="838"/>
      <c r="O139" s="838">
        <v>0</v>
      </c>
      <c r="P139" s="838">
        <v>0</v>
      </c>
      <c r="Q139" s="839">
        <f>+Tabla1[[#This Row],[VENTA TOTAL $ (IVA INC) ]]-Tabla1[[#This Row],[PENDIENTE DE COBRO]]</f>
        <v>19294016.91525</v>
      </c>
      <c r="R139" s="840">
        <f>+Tabla1[[#This Row],[FECHA FC]]+Tabla1[[#This Row],[PLAZO ENTREGA VALORES]]</f>
        <v>46051</v>
      </c>
      <c r="S139" s="840">
        <f>+Tabla1[[#This Row],[FECHA FC]]+Tabla1[[#This Row],[PLAZO PAGO (DIAS)]]</f>
        <v>46179</v>
      </c>
      <c r="T139" s="834">
        <f t="shared" ca="1" si="80"/>
        <v>-2</v>
      </c>
      <c r="U139" s="831">
        <f>+Tabla1[[#This Row],[FECHA OC]]-Tabla1[[#This Row],[FECHA Entrega]]</f>
        <v>-128</v>
      </c>
      <c r="V139" s="831"/>
      <c r="W139" s="841">
        <f>+Tabla1[[#This Row],[FECHA VTO VALORES]]+7</f>
        <v>46186</v>
      </c>
      <c r="X139" s="831" t="s">
        <v>489</v>
      </c>
      <c r="Y139" s="840">
        <v>46051</v>
      </c>
      <c r="Z139" s="842">
        <f>Tabla1[[#This Row],[KGS]]/50</f>
        <v>700</v>
      </c>
      <c r="AA13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39" s="844">
        <f>-Tabla1[[#This Row],[COSTO FLETE $ POR BOLSA 5O KG (SIN IVA)]]*1.21-Tabla1[[#This Row],[PRECIO $/ KG A PLAZO EN CLIENTE ( SIN IVA)]]*0.003*1.21*50</f>
        <v>-0.40864392249999071</v>
      </c>
      <c r="AC139" s="845">
        <f>SUM(Tabla1[[#This Row],[PRECIO $ BOLSA 50 KG (IVA INC) ]]+Tabla1[[#This Row],[COSTO FLETE $ BOLSA 50 KG (IVA INC)]])</f>
        <v>27562.4726635775</v>
      </c>
      <c r="AD139" s="844">
        <f>-Tabla1[[#This Row],[PRECIO $ BOLSA 50 KG (IVA INC) ]]*(Tabla1[[#This Row],[TASA FINANCIACION MENSUAL]]/365)*Tabla1[[#This Row],[PLAZO ENTREGA VALORES]]</f>
        <v>280.31072716010959</v>
      </c>
      <c r="AE139" s="845">
        <f>SUM(Tabla1[[#This Row],[PRECIO $ BOLSA50 KG  FOB TUCUMAN A PLAZO (IVA INC)]]+Tabla1[[#This Row],[GASTOS FINANCIEROS $ BOLSA 50 KG (IVA INC)]])</f>
        <v>27842.783390737612</v>
      </c>
      <c r="AF139" s="828" t="s">
        <v>476</v>
      </c>
      <c r="AG139" s="828" t="s">
        <v>365</v>
      </c>
      <c r="AH139" s="828" t="s">
        <v>387</v>
      </c>
      <c r="AI139" s="828" t="s">
        <v>261</v>
      </c>
      <c r="AJ13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39" s="846">
        <f>SUM(Tabla1[[#This Row],[PRECIO $ BOLSA 50KG  FOB CDO TUC (IVA INC)]]-Tabla1[[#This Row],[PRECIO REF $ BOLSA 50 KG CACTU (IVA INC)]])</f>
        <v>-4672.2166092623884</v>
      </c>
      <c r="AL139" s="847">
        <f>IFERROR(Tabla1[[#This Row],[PRECIO $ BOLSA 50KG  FOB CDO TUC (IVA INC)]]/Tabla1[[#This Row],[PRECIO REF $ BOLSA 50 KG CACTU (IVA INC)]]-1,"")</f>
        <v>-0.14369419065853872</v>
      </c>
      <c r="AM139" s="846">
        <f>+Tabla1[[#This Row],[DIF $ PRECIO NETO INDUSTRIA vs Neto TUCUMAN (IVA INC)]]*Tabla1[[#This Row],[Q Bolsas Equivalentes 50kg]]</f>
        <v>-3270551.6264836718</v>
      </c>
      <c r="AN139" s="846">
        <f>Tabla1[[#This Row],[PRECIO REF $ BOLSA 50 KG CACTU (IVA INC)]]*Tabla1[[#This Row],[Q Bolsas Equivalentes 50kg]]</f>
        <v>22760500</v>
      </c>
      <c r="AO139" s="846">
        <f>+Tabla1[[#This Row],[PRECIO $ BOLSA 50KG  FOB CDO TUC (IVA INC)]]*Tabla1[[#This Row],[Q Bolsas Equivalentes 50kg]]</f>
        <v>19489948.373516329</v>
      </c>
      <c r="AP139" s="847">
        <v>2.9000000000000001E-2</v>
      </c>
      <c r="AQ139" s="846">
        <v>-68</v>
      </c>
      <c r="AR139" s="848"/>
      <c r="AS139" s="849"/>
      <c r="AT139" s="923">
        <f>+Tabla1[[#This Row],[VENTA TOTAL $ (IVA INC) ]]-(SUM(Tabla1[[#This Row],[PENDIENTE DE ENTREGA]:[VALORES COBRADOS]]))</f>
        <v>0</v>
      </c>
      <c r="AU139" s="850">
        <f>VLOOKUP(Tabla1[[#This Row],[FECHA OC]],'TIPO DE CAMBIO'!A:B,2,TRUE)</f>
        <v>1446.3009999999999</v>
      </c>
      <c r="AV139" s="850">
        <f>+Tabla1[[#This Row],[SUBTOTAL]]/Tabla1[[#This Row],[TIPO DE CAMBIO]]</f>
        <v>11025</v>
      </c>
      <c r="AW139" s="851"/>
      <c r="AX139" s="850">
        <f>IFERROR(Tabla1[[#This Row],[VENTA TOTAL USD A PLAZO EN CLIENTE  (SIN IVA)]]*(1+Tabla1[[#This Row],[% IVA ]]),"")</f>
        <v>11025</v>
      </c>
      <c r="AY139" s="850">
        <f>+Tabla1[[#This Row],[VENTA TOTAL USD A PLAZO EN CLIENTE  (SIN IVA)]]/Tabla1[[#This Row],[KGS]]*1000</f>
        <v>315</v>
      </c>
      <c r="AZ139" s="850">
        <v>0</v>
      </c>
      <c r="BA139" s="850">
        <f>+Tabla1[[#This Row],[GASTOS FINANCIEROS $ BOLSA 50 KG (IVA INC)]]*20/Tabla1[[#This Row],[TIPO DE CAMBIO]]</f>
        <v>3.8762432876712332</v>
      </c>
      <c r="BB139" s="850">
        <f>+Tabla1[[#This Row],[PRECIO POR TN USD EN CLIENTE A PLAZO (SIN IVA)]]+Tabla1[[#This Row],[COSTO USD FLETE /TN (SIN IVA)]]+Tabla1[[#This Row],[COSTO FINANCIERO USD POR BOLSA 50KG (IVA INC)]]</f>
        <v>318.87624328767123</v>
      </c>
      <c r="BC139" s="848">
        <v>5</v>
      </c>
      <c r="BD139" s="944"/>
    </row>
    <row r="140" spans="1:56" ht="15.75" customHeight="1">
      <c r="A140" s="912">
        <v>46174</v>
      </c>
      <c r="B140" s="828">
        <v>1</v>
      </c>
      <c r="C140" s="792" t="s">
        <v>406</v>
      </c>
      <c r="D140" s="829">
        <f>+Tabla1[[#This Row],[FECHA Entrega]]</f>
        <v>46180</v>
      </c>
      <c r="E140" s="830">
        <v>700000869</v>
      </c>
      <c r="F140" s="831" t="s">
        <v>358</v>
      </c>
      <c r="G140" s="832" t="s">
        <v>216</v>
      </c>
      <c r="H140" s="852">
        <v>46180</v>
      </c>
      <c r="I140" s="834">
        <f t="shared" si="81"/>
        <v>35000</v>
      </c>
      <c r="J140" s="835">
        <f>0.315*Tabla1[[#This Row],[TIPO DE CAMBIO]]</f>
        <v>455.58481499999999</v>
      </c>
      <c r="K140" s="836">
        <f t="shared" si="60"/>
        <v>15945468.525</v>
      </c>
      <c r="L14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40" s="837">
        <f t="shared" si="45"/>
        <v>19294016.91525</v>
      </c>
      <c r="N140" s="838"/>
      <c r="O140" s="838">
        <v>0</v>
      </c>
      <c r="P140" s="838">
        <v>0</v>
      </c>
      <c r="Q140" s="839">
        <f>+Tabla1[[#This Row],[VENTA TOTAL $ (IVA INC) ]]-Tabla1[[#This Row],[PENDIENTE DE COBRO]]</f>
        <v>19294016.91525</v>
      </c>
      <c r="R140" s="840">
        <f>+Tabla1[[#This Row],[FECHA FC]]+Tabla1[[#This Row],[PLAZO ENTREGA VALORES]]</f>
        <v>46051</v>
      </c>
      <c r="S140" s="840">
        <f>+Tabla1[[#This Row],[FECHA FC]]+Tabla1[[#This Row],[PLAZO PAGO (DIAS)]]</f>
        <v>46180</v>
      </c>
      <c r="T140" s="834">
        <f t="shared" ca="1" si="80"/>
        <v>-1</v>
      </c>
      <c r="U140" s="831">
        <f>+Tabla1[[#This Row],[FECHA OC]]-Tabla1[[#This Row],[FECHA Entrega]]</f>
        <v>-129</v>
      </c>
      <c r="V140" s="831"/>
      <c r="W140" s="841">
        <f>+Tabla1[[#This Row],[FECHA VTO VALORES]]+7</f>
        <v>46187</v>
      </c>
      <c r="X140" s="831" t="s">
        <v>489</v>
      </c>
      <c r="Y140" s="840">
        <v>46051</v>
      </c>
      <c r="Z140" s="842">
        <f>Tabla1[[#This Row],[KGS]]/50</f>
        <v>700</v>
      </c>
      <c r="AA14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40" s="844">
        <f>-Tabla1[[#This Row],[COSTO FLETE $ POR BOLSA 5O KG (SIN IVA)]]*1.21-Tabla1[[#This Row],[PRECIO $/ KG A PLAZO EN CLIENTE ( SIN IVA)]]*0.003*1.21*50</f>
        <v>-0.40864392249999071</v>
      </c>
      <c r="AC140" s="845">
        <f>SUM(Tabla1[[#This Row],[PRECIO $ BOLSA 50 KG (IVA INC) ]]+Tabla1[[#This Row],[COSTO FLETE $ BOLSA 50 KG (IVA INC)]])</f>
        <v>27562.4726635775</v>
      </c>
      <c r="AD140" s="844">
        <f>-Tabla1[[#This Row],[PRECIO $ BOLSA 50 KG (IVA INC) ]]*(Tabla1[[#This Row],[TASA FINANCIACION MENSUAL]]/365)*Tabla1[[#This Row],[PLAZO ENTREGA VALORES]]</f>
        <v>282.50065471604796</v>
      </c>
      <c r="AE140" s="845">
        <f>SUM(Tabla1[[#This Row],[PRECIO $ BOLSA50 KG  FOB TUCUMAN A PLAZO (IVA INC)]]+Tabla1[[#This Row],[GASTOS FINANCIEROS $ BOLSA 50 KG (IVA INC)]])</f>
        <v>27844.973318293549</v>
      </c>
      <c r="AF140" s="828" t="s">
        <v>476</v>
      </c>
      <c r="AG140" s="828" t="s">
        <v>365</v>
      </c>
      <c r="AH140" s="828" t="s">
        <v>387</v>
      </c>
      <c r="AI140" s="828" t="s">
        <v>261</v>
      </c>
      <c r="AJ14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40" s="846">
        <f>SUM(Tabla1[[#This Row],[PRECIO $ BOLSA 50KG  FOB CDO TUC (IVA INC)]]-Tabla1[[#This Row],[PRECIO REF $ BOLSA 50 KG CACTU (IVA INC)]])</f>
        <v>-4670.0266817064512</v>
      </c>
      <c r="AL140" s="847">
        <f>IFERROR(Tabla1[[#This Row],[PRECIO $ BOLSA 50KG  FOB CDO TUC (IVA INC)]]/Tabla1[[#This Row],[PRECIO REF $ BOLSA 50 KG CACTU (IVA INC)]]-1,"")</f>
        <v>-0.14362683935741816</v>
      </c>
      <c r="AM140" s="846">
        <f>+Tabla1[[#This Row],[DIF $ PRECIO NETO INDUSTRIA vs Neto TUCUMAN (IVA INC)]]*Tabla1[[#This Row],[Q Bolsas Equivalentes 50kg]]</f>
        <v>-3269018.6771945157</v>
      </c>
      <c r="AN140" s="846">
        <f>Tabla1[[#This Row],[PRECIO REF $ BOLSA 50 KG CACTU (IVA INC)]]*Tabla1[[#This Row],[Q Bolsas Equivalentes 50kg]]</f>
        <v>22760500</v>
      </c>
      <c r="AO140" s="846">
        <f>+Tabla1[[#This Row],[PRECIO $ BOLSA 50KG  FOB CDO TUC (IVA INC)]]*Tabla1[[#This Row],[Q Bolsas Equivalentes 50kg]]</f>
        <v>19491481.322805483</v>
      </c>
      <c r="AP140" s="847">
        <v>2.9000000000000001E-2</v>
      </c>
      <c r="AQ140" s="846">
        <v>-68</v>
      </c>
      <c r="AR140" s="848"/>
      <c r="AS140" s="849"/>
      <c r="AT140" s="923">
        <f>+Tabla1[[#This Row],[VENTA TOTAL $ (IVA INC) ]]-(SUM(Tabla1[[#This Row],[PENDIENTE DE ENTREGA]:[VALORES COBRADOS]]))</f>
        <v>0</v>
      </c>
      <c r="AU140" s="850">
        <f>VLOOKUP(Tabla1[[#This Row],[FECHA OC]],'TIPO DE CAMBIO'!A:B,2,TRUE)</f>
        <v>1446.3009999999999</v>
      </c>
      <c r="AV140" s="850">
        <f>+Tabla1[[#This Row],[SUBTOTAL]]/Tabla1[[#This Row],[TIPO DE CAMBIO]]</f>
        <v>11025</v>
      </c>
      <c r="AW140" s="851"/>
      <c r="AX140" s="850">
        <f>IFERROR(Tabla1[[#This Row],[VENTA TOTAL USD A PLAZO EN CLIENTE  (SIN IVA)]]*(1+Tabla1[[#This Row],[% IVA ]]),"")</f>
        <v>11025</v>
      </c>
      <c r="AY140" s="850">
        <f>+Tabla1[[#This Row],[VENTA TOTAL USD A PLAZO EN CLIENTE  (SIN IVA)]]/Tabla1[[#This Row],[KGS]]*1000</f>
        <v>315</v>
      </c>
      <c r="AZ140" s="850">
        <v>0</v>
      </c>
      <c r="BA140" s="850">
        <f>+Tabla1[[#This Row],[GASTOS FINANCIEROS $ BOLSA 50 KG (IVA INC)]]*20/Tabla1[[#This Row],[TIPO DE CAMBIO]]</f>
        <v>3.9065264383561646</v>
      </c>
      <c r="BB140" s="850">
        <f>+Tabla1[[#This Row],[PRECIO POR TN USD EN CLIENTE A PLAZO (SIN IVA)]]+Tabla1[[#This Row],[COSTO USD FLETE /TN (SIN IVA)]]+Tabla1[[#This Row],[COSTO FINANCIERO USD POR BOLSA 50KG (IVA INC)]]</f>
        <v>318.90652643835614</v>
      </c>
      <c r="BC140" s="848">
        <v>5</v>
      </c>
      <c r="BD140" s="944"/>
    </row>
    <row r="141" spans="1:56" ht="15.75" customHeight="1">
      <c r="A141" s="912">
        <v>46174</v>
      </c>
      <c r="B141" s="828">
        <v>1</v>
      </c>
      <c r="C141" s="792" t="s">
        <v>406</v>
      </c>
      <c r="D141" s="829">
        <f>+Tabla1[[#This Row],[FECHA Entrega]]</f>
        <v>46180</v>
      </c>
      <c r="E141" s="830">
        <v>700000869</v>
      </c>
      <c r="F141" s="831" t="s">
        <v>358</v>
      </c>
      <c r="G141" s="832" t="s">
        <v>216</v>
      </c>
      <c r="H141" s="852">
        <v>46180</v>
      </c>
      <c r="I141" s="834">
        <f t="shared" si="81"/>
        <v>35000</v>
      </c>
      <c r="J141" s="835">
        <f>0.315*Tabla1[[#This Row],[TIPO DE CAMBIO]]</f>
        <v>455.58481499999999</v>
      </c>
      <c r="K141" s="836">
        <f t="shared" si="60"/>
        <v>15945468.525</v>
      </c>
      <c r="L14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41" s="837">
        <f t="shared" si="45"/>
        <v>19294016.91525</v>
      </c>
      <c r="N141" s="838"/>
      <c r="O141" s="838">
        <v>0</v>
      </c>
      <c r="P141" s="838">
        <v>0</v>
      </c>
      <c r="Q141" s="839">
        <f>+Tabla1[[#This Row],[VENTA TOTAL $ (IVA INC) ]]-Tabla1[[#This Row],[PENDIENTE DE COBRO]]</f>
        <v>19294016.91525</v>
      </c>
      <c r="R141" s="840">
        <f>+Tabla1[[#This Row],[FECHA FC]]+Tabla1[[#This Row],[PLAZO ENTREGA VALORES]]</f>
        <v>46051</v>
      </c>
      <c r="S141" s="840">
        <f>+Tabla1[[#This Row],[FECHA FC]]+Tabla1[[#This Row],[PLAZO PAGO (DIAS)]]</f>
        <v>46180</v>
      </c>
      <c r="T141" s="834">
        <f t="shared" ca="1" si="80"/>
        <v>-1</v>
      </c>
      <c r="U141" s="831">
        <f>+Tabla1[[#This Row],[FECHA OC]]-Tabla1[[#This Row],[FECHA Entrega]]</f>
        <v>-129</v>
      </c>
      <c r="V141" s="831"/>
      <c r="W141" s="841">
        <f>+Tabla1[[#This Row],[FECHA VTO VALORES]]+7</f>
        <v>46187</v>
      </c>
      <c r="X141" s="831" t="s">
        <v>489</v>
      </c>
      <c r="Y141" s="840">
        <v>46051</v>
      </c>
      <c r="Z141" s="842">
        <f>Tabla1[[#This Row],[KGS]]/50</f>
        <v>700</v>
      </c>
      <c r="AA14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41" s="844">
        <f>-Tabla1[[#This Row],[COSTO FLETE $ POR BOLSA 5O KG (SIN IVA)]]*1.21-Tabla1[[#This Row],[PRECIO $/ KG A PLAZO EN CLIENTE ( SIN IVA)]]*0.003*1.21*50</f>
        <v>-0.40864392249999071</v>
      </c>
      <c r="AC141" s="845">
        <f>SUM(Tabla1[[#This Row],[PRECIO $ BOLSA 50 KG (IVA INC) ]]+Tabla1[[#This Row],[COSTO FLETE $ BOLSA 50 KG (IVA INC)]])</f>
        <v>27562.4726635775</v>
      </c>
      <c r="AD141" s="844">
        <f>-Tabla1[[#This Row],[PRECIO $ BOLSA 50 KG (IVA INC) ]]*(Tabla1[[#This Row],[TASA FINANCIACION MENSUAL]]/365)*Tabla1[[#This Row],[PLAZO ENTREGA VALORES]]</f>
        <v>282.50065471604796</v>
      </c>
      <c r="AE141" s="845">
        <f>SUM(Tabla1[[#This Row],[PRECIO $ BOLSA50 KG  FOB TUCUMAN A PLAZO (IVA INC)]]+Tabla1[[#This Row],[GASTOS FINANCIEROS $ BOLSA 50 KG (IVA INC)]])</f>
        <v>27844.973318293549</v>
      </c>
      <c r="AF141" s="828" t="s">
        <v>476</v>
      </c>
      <c r="AG141" s="828" t="s">
        <v>365</v>
      </c>
      <c r="AH141" s="828" t="s">
        <v>387</v>
      </c>
      <c r="AI141" s="828" t="s">
        <v>261</v>
      </c>
      <c r="AJ14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41" s="846">
        <f>SUM(Tabla1[[#This Row],[PRECIO $ BOLSA 50KG  FOB CDO TUC (IVA INC)]]-Tabla1[[#This Row],[PRECIO REF $ BOLSA 50 KG CACTU (IVA INC)]])</f>
        <v>-4670.0266817064512</v>
      </c>
      <c r="AL141" s="847">
        <f>IFERROR(Tabla1[[#This Row],[PRECIO $ BOLSA 50KG  FOB CDO TUC (IVA INC)]]/Tabla1[[#This Row],[PRECIO REF $ BOLSA 50 KG CACTU (IVA INC)]]-1,"")</f>
        <v>-0.14362683935741816</v>
      </c>
      <c r="AM141" s="846">
        <f>+Tabla1[[#This Row],[DIF $ PRECIO NETO INDUSTRIA vs Neto TUCUMAN (IVA INC)]]*Tabla1[[#This Row],[Q Bolsas Equivalentes 50kg]]</f>
        <v>-3269018.6771945157</v>
      </c>
      <c r="AN141" s="846">
        <f>Tabla1[[#This Row],[PRECIO REF $ BOLSA 50 KG CACTU (IVA INC)]]*Tabla1[[#This Row],[Q Bolsas Equivalentes 50kg]]</f>
        <v>22760500</v>
      </c>
      <c r="AO141" s="846">
        <f>+Tabla1[[#This Row],[PRECIO $ BOLSA 50KG  FOB CDO TUC (IVA INC)]]*Tabla1[[#This Row],[Q Bolsas Equivalentes 50kg]]</f>
        <v>19491481.322805483</v>
      </c>
      <c r="AP141" s="847">
        <v>2.9000000000000001E-2</v>
      </c>
      <c r="AQ141" s="846">
        <v>-68</v>
      </c>
      <c r="AR141" s="848"/>
      <c r="AS141" s="849"/>
      <c r="AT141" s="923">
        <f>+Tabla1[[#This Row],[VENTA TOTAL $ (IVA INC) ]]-(SUM(Tabla1[[#This Row],[PENDIENTE DE ENTREGA]:[VALORES COBRADOS]]))</f>
        <v>0</v>
      </c>
      <c r="AU141" s="850">
        <f>VLOOKUP(Tabla1[[#This Row],[FECHA OC]],'TIPO DE CAMBIO'!A:B,2,TRUE)</f>
        <v>1446.3009999999999</v>
      </c>
      <c r="AV141" s="850">
        <f>+Tabla1[[#This Row],[SUBTOTAL]]/Tabla1[[#This Row],[TIPO DE CAMBIO]]</f>
        <v>11025</v>
      </c>
      <c r="AW141" s="851"/>
      <c r="AX141" s="850">
        <f>IFERROR(Tabla1[[#This Row],[VENTA TOTAL USD A PLAZO EN CLIENTE  (SIN IVA)]]*(1+Tabla1[[#This Row],[% IVA ]]),"")</f>
        <v>11025</v>
      </c>
      <c r="AY141" s="850">
        <f>+Tabla1[[#This Row],[VENTA TOTAL USD A PLAZO EN CLIENTE  (SIN IVA)]]/Tabla1[[#This Row],[KGS]]*1000</f>
        <v>315</v>
      </c>
      <c r="AZ141" s="850">
        <v>0</v>
      </c>
      <c r="BA141" s="850">
        <f>+Tabla1[[#This Row],[GASTOS FINANCIEROS $ BOLSA 50 KG (IVA INC)]]*20/Tabla1[[#This Row],[TIPO DE CAMBIO]]</f>
        <v>3.9065264383561646</v>
      </c>
      <c r="BB141" s="850">
        <f>+Tabla1[[#This Row],[PRECIO POR TN USD EN CLIENTE A PLAZO (SIN IVA)]]+Tabla1[[#This Row],[COSTO USD FLETE /TN (SIN IVA)]]+Tabla1[[#This Row],[COSTO FINANCIERO USD POR BOLSA 50KG (IVA INC)]]</f>
        <v>318.90652643835614</v>
      </c>
      <c r="BC141" s="848">
        <v>5</v>
      </c>
      <c r="BD141" s="944"/>
    </row>
    <row r="142" spans="1:56" ht="15.75" customHeight="1">
      <c r="A142" s="912">
        <v>46174</v>
      </c>
      <c r="B142" s="828">
        <v>1</v>
      </c>
      <c r="C142" s="792" t="s">
        <v>406</v>
      </c>
      <c r="D142" s="829">
        <f>+Tabla1[[#This Row],[FECHA Entrega]]</f>
        <v>46180</v>
      </c>
      <c r="E142" s="830">
        <v>700000869</v>
      </c>
      <c r="F142" s="831" t="s">
        <v>358</v>
      </c>
      <c r="G142" s="832" t="s">
        <v>216</v>
      </c>
      <c r="H142" s="852">
        <v>46180</v>
      </c>
      <c r="I142" s="834">
        <f t="shared" si="81"/>
        <v>35000</v>
      </c>
      <c r="J142" s="835">
        <f>0.315*Tabla1[[#This Row],[TIPO DE CAMBIO]]</f>
        <v>455.58481499999999</v>
      </c>
      <c r="K142" s="836">
        <f t="shared" si="60"/>
        <v>15945468.525</v>
      </c>
      <c r="L14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42" s="837">
        <f t="shared" si="45"/>
        <v>19294016.91525</v>
      </c>
      <c r="N142" s="838"/>
      <c r="O142" s="838">
        <v>0</v>
      </c>
      <c r="P142" s="838">
        <v>0</v>
      </c>
      <c r="Q142" s="839">
        <f>+Tabla1[[#This Row],[VENTA TOTAL $ (IVA INC) ]]-Tabla1[[#This Row],[PENDIENTE DE COBRO]]</f>
        <v>19294016.91525</v>
      </c>
      <c r="R142" s="840">
        <f>+Tabla1[[#This Row],[FECHA FC]]+Tabla1[[#This Row],[PLAZO ENTREGA VALORES]]</f>
        <v>46051</v>
      </c>
      <c r="S142" s="840">
        <f>+Tabla1[[#This Row],[FECHA FC]]+Tabla1[[#This Row],[PLAZO PAGO (DIAS)]]</f>
        <v>46180</v>
      </c>
      <c r="T142" s="834">
        <f t="shared" ca="1" si="80"/>
        <v>-1</v>
      </c>
      <c r="U142" s="831">
        <f>+Tabla1[[#This Row],[FECHA OC]]-Tabla1[[#This Row],[FECHA Entrega]]</f>
        <v>-129</v>
      </c>
      <c r="V142" s="831"/>
      <c r="W142" s="841">
        <f>+Tabla1[[#This Row],[FECHA VTO VALORES]]+7</f>
        <v>46187</v>
      </c>
      <c r="X142" s="831" t="s">
        <v>489</v>
      </c>
      <c r="Y142" s="840">
        <v>46051</v>
      </c>
      <c r="Z142" s="842">
        <f>Tabla1[[#This Row],[KGS]]/50</f>
        <v>700</v>
      </c>
      <c r="AA14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42" s="844">
        <f>-Tabla1[[#This Row],[COSTO FLETE $ POR BOLSA 5O KG (SIN IVA)]]*1.21-Tabla1[[#This Row],[PRECIO $/ KG A PLAZO EN CLIENTE ( SIN IVA)]]*0.003*1.21*50</f>
        <v>-0.40864392249999071</v>
      </c>
      <c r="AC142" s="845">
        <f>SUM(Tabla1[[#This Row],[PRECIO $ BOLSA 50 KG (IVA INC) ]]+Tabla1[[#This Row],[COSTO FLETE $ BOLSA 50 KG (IVA INC)]])</f>
        <v>27562.4726635775</v>
      </c>
      <c r="AD142" s="844">
        <f>-Tabla1[[#This Row],[PRECIO $ BOLSA 50 KG (IVA INC) ]]*(Tabla1[[#This Row],[TASA FINANCIACION MENSUAL]]/365)*Tabla1[[#This Row],[PLAZO ENTREGA VALORES]]</f>
        <v>282.50065471604796</v>
      </c>
      <c r="AE142" s="845">
        <f>SUM(Tabla1[[#This Row],[PRECIO $ BOLSA50 KG  FOB TUCUMAN A PLAZO (IVA INC)]]+Tabla1[[#This Row],[GASTOS FINANCIEROS $ BOLSA 50 KG (IVA INC)]])</f>
        <v>27844.973318293549</v>
      </c>
      <c r="AF142" s="828" t="s">
        <v>476</v>
      </c>
      <c r="AG142" s="828" t="s">
        <v>365</v>
      </c>
      <c r="AH142" s="828" t="s">
        <v>387</v>
      </c>
      <c r="AI142" s="828" t="s">
        <v>261</v>
      </c>
      <c r="AJ14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42" s="846">
        <f>SUM(Tabla1[[#This Row],[PRECIO $ BOLSA 50KG  FOB CDO TUC (IVA INC)]]-Tabla1[[#This Row],[PRECIO REF $ BOLSA 50 KG CACTU (IVA INC)]])</f>
        <v>-4670.0266817064512</v>
      </c>
      <c r="AL142" s="847">
        <f>IFERROR(Tabla1[[#This Row],[PRECIO $ BOLSA 50KG  FOB CDO TUC (IVA INC)]]/Tabla1[[#This Row],[PRECIO REF $ BOLSA 50 KG CACTU (IVA INC)]]-1,"")</f>
        <v>-0.14362683935741816</v>
      </c>
      <c r="AM142" s="846">
        <f>+Tabla1[[#This Row],[DIF $ PRECIO NETO INDUSTRIA vs Neto TUCUMAN (IVA INC)]]*Tabla1[[#This Row],[Q Bolsas Equivalentes 50kg]]</f>
        <v>-3269018.6771945157</v>
      </c>
      <c r="AN142" s="846">
        <f>Tabla1[[#This Row],[PRECIO REF $ BOLSA 50 KG CACTU (IVA INC)]]*Tabla1[[#This Row],[Q Bolsas Equivalentes 50kg]]</f>
        <v>22760500</v>
      </c>
      <c r="AO142" s="846">
        <f>+Tabla1[[#This Row],[PRECIO $ BOLSA 50KG  FOB CDO TUC (IVA INC)]]*Tabla1[[#This Row],[Q Bolsas Equivalentes 50kg]]</f>
        <v>19491481.322805483</v>
      </c>
      <c r="AP142" s="847">
        <v>2.9000000000000001E-2</v>
      </c>
      <c r="AQ142" s="846">
        <v>-68</v>
      </c>
      <c r="AR142" s="848"/>
      <c r="AS142" s="849"/>
      <c r="AT142" s="923">
        <f>+Tabla1[[#This Row],[VENTA TOTAL $ (IVA INC) ]]-(SUM(Tabla1[[#This Row],[PENDIENTE DE ENTREGA]:[VALORES COBRADOS]]))</f>
        <v>0</v>
      </c>
      <c r="AU142" s="850">
        <f>VLOOKUP(Tabla1[[#This Row],[FECHA OC]],'TIPO DE CAMBIO'!A:B,2,TRUE)</f>
        <v>1446.3009999999999</v>
      </c>
      <c r="AV142" s="850">
        <f>+Tabla1[[#This Row],[SUBTOTAL]]/Tabla1[[#This Row],[TIPO DE CAMBIO]]</f>
        <v>11025</v>
      </c>
      <c r="AW142" s="851"/>
      <c r="AX142" s="850">
        <f>IFERROR(Tabla1[[#This Row],[VENTA TOTAL USD A PLAZO EN CLIENTE  (SIN IVA)]]*(1+Tabla1[[#This Row],[% IVA ]]),"")</f>
        <v>11025</v>
      </c>
      <c r="AY142" s="850">
        <f>+Tabla1[[#This Row],[VENTA TOTAL USD A PLAZO EN CLIENTE  (SIN IVA)]]/Tabla1[[#This Row],[KGS]]*1000</f>
        <v>315</v>
      </c>
      <c r="AZ142" s="850">
        <v>0</v>
      </c>
      <c r="BA142" s="850">
        <f>+Tabla1[[#This Row],[GASTOS FINANCIEROS $ BOLSA 50 KG (IVA INC)]]*20/Tabla1[[#This Row],[TIPO DE CAMBIO]]</f>
        <v>3.9065264383561646</v>
      </c>
      <c r="BB142" s="850">
        <f>+Tabla1[[#This Row],[PRECIO POR TN USD EN CLIENTE A PLAZO (SIN IVA)]]+Tabla1[[#This Row],[COSTO USD FLETE /TN (SIN IVA)]]+Tabla1[[#This Row],[COSTO FINANCIERO USD POR BOLSA 50KG (IVA INC)]]</f>
        <v>318.90652643835614</v>
      </c>
      <c r="BC142" s="848">
        <v>5</v>
      </c>
      <c r="BD142" s="944"/>
    </row>
    <row r="143" spans="1:56" ht="15.75" customHeight="1">
      <c r="A143" s="912">
        <v>46174</v>
      </c>
      <c r="B143" s="828">
        <v>1</v>
      </c>
      <c r="C143" s="792" t="s">
        <v>406</v>
      </c>
      <c r="D143" s="829">
        <f>+Tabla1[[#This Row],[FECHA Entrega]]</f>
        <v>46180</v>
      </c>
      <c r="E143" s="830">
        <v>700000869</v>
      </c>
      <c r="F143" s="831" t="s">
        <v>358</v>
      </c>
      <c r="G143" s="832" t="s">
        <v>216</v>
      </c>
      <c r="H143" s="852">
        <v>46180</v>
      </c>
      <c r="I143" s="834">
        <f t="shared" si="81"/>
        <v>35000</v>
      </c>
      <c r="J143" s="835">
        <f>0.315*Tabla1[[#This Row],[TIPO DE CAMBIO]]</f>
        <v>455.58481499999999</v>
      </c>
      <c r="K143" s="836">
        <f t="shared" si="60"/>
        <v>15945468.525</v>
      </c>
      <c r="L14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43" s="837">
        <f t="shared" si="45"/>
        <v>19294016.91525</v>
      </c>
      <c r="N143" s="838"/>
      <c r="O143" s="838">
        <v>0</v>
      </c>
      <c r="P143" s="838">
        <v>0</v>
      </c>
      <c r="Q143" s="839">
        <f>+Tabla1[[#This Row],[VENTA TOTAL $ (IVA INC) ]]-Tabla1[[#This Row],[PENDIENTE DE COBRO]]</f>
        <v>19294016.91525</v>
      </c>
      <c r="R143" s="840">
        <f>+Tabla1[[#This Row],[FECHA FC]]+Tabla1[[#This Row],[PLAZO ENTREGA VALORES]]</f>
        <v>46051</v>
      </c>
      <c r="S143" s="840">
        <f>+Tabla1[[#This Row],[FECHA FC]]+Tabla1[[#This Row],[PLAZO PAGO (DIAS)]]</f>
        <v>46180</v>
      </c>
      <c r="T143" s="834">
        <f t="shared" ca="1" si="80"/>
        <v>-1</v>
      </c>
      <c r="U143" s="831">
        <f>+Tabla1[[#This Row],[FECHA OC]]-Tabla1[[#This Row],[FECHA Entrega]]</f>
        <v>-129</v>
      </c>
      <c r="V143" s="831"/>
      <c r="W143" s="841">
        <f>+Tabla1[[#This Row],[FECHA VTO VALORES]]+7</f>
        <v>46187</v>
      </c>
      <c r="X143" s="831" t="s">
        <v>489</v>
      </c>
      <c r="Y143" s="840">
        <v>46051</v>
      </c>
      <c r="Z143" s="842">
        <f>Tabla1[[#This Row],[KGS]]/50</f>
        <v>700</v>
      </c>
      <c r="AA14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43" s="844">
        <f>-Tabla1[[#This Row],[COSTO FLETE $ POR BOLSA 5O KG (SIN IVA)]]*1.21-Tabla1[[#This Row],[PRECIO $/ KG A PLAZO EN CLIENTE ( SIN IVA)]]*0.003*1.21*50</f>
        <v>-0.40864392249999071</v>
      </c>
      <c r="AC143" s="845">
        <f>SUM(Tabla1[[#This Row],[PRECIO $ BOLSA 50 KG (IVA INC) ]]+Tabla1[[#This Row],[COSTO FLETE $ BOLSA 50 KG (IVA INC)]])</f>
        <v>27562.4726635775</v>
      </c>
      <c r="AD143" s="844">
        <f>-Tabla1[[#This Row],[PRECIO $ BOLSA 50 KG (IVA INC) ]]*(Tabla1[[#This Row],[TASA FINANCIACION MENSUAL]]/365)*Tabla1[[#This Row],[PLAZO ENTREGA VALORES]]</f>
        <v>282.50065471604796</v>
      </c>
      <c r="AE143" s="845">
        <f>SUM(Tabla1[[#This Row],[PRECIO $ BOLSA50 KG  FOB TUCUMAN A PLAZO (IVA INC)]]+Tabla1[[#This Row],[GASTOS FINANCIEROS $ BOLSA 50 KG (IVA INC)]])</f>
        <v>27844.973318293549</v>
      </c>
      <c r="AF143" s="828" t="s">
        <v>476</v>
      </c>
      <c r="AG143" s="828" t="s">
        <v>365</v>
      </c>
      <c r="AH143" s="828" t="s">
        <v>387</v>
      </c>
      <c r="AI143" s="828" t="s">
        <v>261</v>
      </c>
      <c r="AJ14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43" s="846">
        <f>SUM(Tabla1[[#This Row],[PRECIO $ BOLSA 50KG  FOB CDO TUC (IVA INC)]]-Tabla1[[#This Row],[PRECIO REF $ BOLSA 50 KG CACTU (IVA INC)]])</f>
        <v>-4670.0266817064512</v>
      </c>
      <c r="AL143" s="847">
        <f>IFERROR(Tabla1[[#This Row],[PRECIO $ BOLSA 50KG  FOB CDO TUC (IVA INC)]]/Tabla1[[#This Row],[PRECIO REF $ BOLSA 50 KG CACTU (IVA INC)]]-1,"")</f>
        <v>-0.14362683935741816</v>
      </c>
      <c r="AM143" s="846">
        <f>+Tabla1[[#This Row],[DIF $ PRECIO NETO INDUSTRIA vs Neto TUCUMAN (IVA INC)]]*Tabla1[[#This Row],[Q Bolsas Equivalentes 50kg]]</f>
        <v>-3269018.6771945157</v>
      </c>
      <c r="AN143" s="846">
        <f>Tabla1[[#This Row],[PRECIO REF $ BOLSA 50 KG CACTU (IVA INC)]]*Tabla1[[#This Row],[Q Bolsas Equivalentes 50kg]]</f>
        <v>22760500</v>
      </c>
      <c r="AO143" s="846">
        <f>+Tabla1[[#This Row],[PRECIO $ BOLSA 50KG  FOB CDO TUC (IVA INC)]]*Tabla1[[#This Row],[Q Bolsas Equivalentes 50kg]]</f>
        <v>19491481.322805483</v>
      </c>
      <c r="AP143" s="847">
        <v>2.9000000000000001E-2</v>
      </c>
      <c r="AQ143" s="846">
        <v>-68</v>
      </c>
      <c r="AR143" s="848"/>
      <c r="AS143" s="849"/>
      <c r="AT143" s="923">
        <f>+Tabla1[[#This Row],[VENTA TOTAL $ (IVA INC) ]]-(SUM(Tabla1[[#This Row],[PENDIENTE DE ENTREGA]:[VALORES COBRADOS]]))</f>
        <v>0</v>
      </c>
      <c r="AU143" s="850">
        <f>VLOOKUP(Tabla1[[#This Row],[FECHA OC]],'TIPO DE CAMBIO'!A:B,2,TRUE)</f>
        <v>1446.3009999999999</v>
      </c>
      <c r="AV143" s="850">
        <f>+Tabla1[[#This Row],[SUBTOTAL]]/Tabla1[[#This Row],[TIPO DE CAMBIO]]</f>
        <v>11025</v>
      </c>
      <c r="AW143" s="851"/>
      <c r="AX143" s="850">
        <f>IFERROR(Tabla1[[#This Row],[VENTA TOTAL USD A PLAZO EN CLIENTE  (SIN IVA)]]*(1+Tabla1[[#This Row],[% IVA ]]),"")</f>
        <v>11025</v>
      </c>
      <c r="AY143" s="850">
        <f>+Tabla1[[#This Row],[VENTA TOTAL USD A PLAZO EN CLIENTE  (SIN IVA)]]/Tabla1[[#This Row],[KGS]]*1000</f>
        <v>315</v>
      </c>
      <c r="AZ143" s="850">
        <v>0</v>
      </c>
      <c r="BA143" s="850">
        <f>+Tabla1[[#This Row],[GASTOS FINANCIEROS $ BOLSA 50 KG (IVA INC)]]*20/Tabla1[[#This Row],[TIPO DE CAMBIO]]</f>
        <v>3.9065264383561646</v>
      </c>
      <c r="BB143" s="850">
        <f>+Tabla1[[#This Row],[PRECIO POR TN USD EN CLIENTE A PLAZO (SIN IVA)]]+Tabla1[[#This Row],[COSTO USD FLETE /TN (SIN IVA)]]+Tabla1[[#This Row],[COSTO FINANCIERO USD POR BOLSA 50KG (IVA INC)]]</f>
        <v>318.90652643835614</v>
      </c>
      <c r="BC143" s="848">
        <v>5</v>
      </c>
      <c r="BD143" s="944"/>
    </row>
    <row r="144" spans="1:56" ht="15.75" customHeight="1">
      <c r="A144" s="912">
        <v>46174</v>
      </c>
      <c r="B144" s="828">
        <v>1</v>
      </c>
      <c r="C144" s="792" t="s">
        <v>406</v>
      </c>
      <c r="D144" s="829">
        <f>+Tabla1[[#This Row],[FECHA Entrega]]</f>
        <v>46180</v>
      </c>
      <c r="E144" s="830">
        <v>700000869</v>
      </c>
      <c r="F144" s="831" t="s">
        <v>358</v>
      </c>
      <c r="G144" s="832" t="s">
        <v>216</v>
      </c>
      <c r="H144" s="852">
        <v>46180</v>
      </c>
      <c r="I144" s="834">
        <f t="shared" si="81"/>
        <v>35000</v>
      </c>
      <c r="J144" s="835">
        <f>0.315*Tabla1[[#This Row],[TIPO DE CAMBIO]]</f>
        <v>455.58481499999999</v>
      </c>
      <c r="K144" s="836">
        <f t="shared" si="60"/>
        <v>15945468.525</v>
      </c>
      <c r="L14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44" s="837">
        <f t="shared" si="45"/>
        <v>19294016.91525</v>
      </c>
      <c r="N144" s="838"/>
      <c r="O144" s="838">
        <v>0</v>
      </c>
      <c r="P144" s="838">
        <v>0</v>
      </c>
      <c r="Q144" s="839">
        <f>+Tabla1[[#This Row],[VENTA TOTAL $ (IVA INC) ]]-Tabla1[[#This Row],[PENDIENTE DE COBRO]]</f>
        <v>19294016.91525</v>
      </c>
      <c r="R144" s="840">
        <f>+Tabla1[[#This Row],[FECHA FC]]+Tabla1[[#This Row],[PLAZO ENTREGA VALORES]]</f>
        <v>46051</v>
      </c>
      <c r="S144" s="840">
        <f>+Tabla1[[#This Row],[FECHA FC]]+Tabla1[[#This Row],[PLAZO PAGO (DIAS)]]</f>
        <v>46180</v>
      </c>
      <c r="T144" s="834">
        <f t="shared" ca="1" si="80"/>
        <v>-1</v>
      </c>
      <c r="U144" s="831">
        <f>+Tabla1[[#This Row],[FECHA OC]]-Tabla1[[#This Row],[FECHA Entrega]]</f>
        <v>-129</v>
      </c>
      <c r="V144" s="831"/>
      <c r="W144" s="841">
        <f>+Tabla1[[#This Row],[FECHA VTO VALORES]]+7</f>
        <v>46187</v>
      </c>
      <c r="X144" s="831" t="s">
        <v>489</v>
      </c>
      <c r="Y144" s="840">
        <v>46051</v>
      </c>
      <c r="Z144" s="842">
        <f>Tabla1[[#This Row],[KGS]]/50</f>
        <v>700</v>
      </c>
      <c r="AA14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44" s="844">
        <f>-Tabla1[[#This Row],[COSTO FLETE $ POR BOLSA 5O KG (SIN IVA)]]*1.21-Tabla1[[#This Row],[PRECIO $/ KG A PLAZO EN CLIENTE ( SIN IVA)]]*0.003*1.21*50</f>
        <v>-0.40864392249999071</v>
      </c>
      <c r="AC144" s="845">
        <f>SUM(Tabla1[[#This Row],[PRECIO $ BOLSA 50 KG (IVA INC) ]]+Tabla1[[#This Row],[COSTO FLETE $ BOLSA 50 KG (IVA INC)]])</f>
        <v>27562.4726635775</v>
      </c>
      <c r="AD144" s="844">
        <f>-Tabla1[[#This Row],[PRECIO $ BOLSA 50 KG (IVA INC) ]]*(Tabla1[[#This Row],[TASA FINANCIACION MENSUAL]]/365)*Tabla1[[#This Row],[PLAZO ENTREGA VALORES]]</f>
        <v>282.50065471604796</v>
      </c>
      <c r="AE144" s="845">
        <f>SUM(Tabla1[[#This Row],[PRECIO $ BOLSA50 KG  FOB TUCUMAN A PLAZO (IVA INC)]]+Tabla1[[#This Row],[GASTOS FINANCIEROS $ BOLSA 50 KG (IVA INC)]])</f>
        <v>27844.973318293549</v>
      </c>
      <c r="AF144" s="828" t="s">
        <v>476</v>
      </c>
      <c r="AG144" s="828" t="s">
        <v>365</v>
      </c>
      <c r="AH144" s="828" t="s">
        <v>387</v>
      </c>
      <c r="AI144" s="828" t="s">
        <v>261</v>
      </c>
      <c r="AJ14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44" s="846">
        <f>SUM(Tabla1[[#This Row],[PRECIO $ BOLSA 50KG  FOB CDO TUC (IVA INC)]]-Tabla1[[#This Row],[PRECIO REF $ BOLSA 50 KG CACTU (IVA INC)]])</f>
        <v>-4670.0266817064512</v>
      </c>
      <c r="AL144" s="847">
        <f>IFERROR(Tabla1[[#This Row],[PRECIO $ BOLSA 50KG  FOB CDO TUC (IVA INC)]]/Tabla1[[#This Row],[PRECIO REF $ BOLSA 50 KG CACTU (IVA INC)]]-1,"")</f>
        <v>-0.14362683935741816</v>
      </c>
      <c r="AM144" s="846">
        <f>+Tabla1[[#This Row],[DIF $ PRECIO NETO INDUSTRIA vs Neto TUCUMAN (IVA INC)]]*Tabla1[[#This Row],[Q Bolsas Equivalentes 50kg]]</f>
        <v>-3269018.6771945157</v>
      </c>
      <c r="AN144" s="846">
        <f>Tabla1[[#This Row],[PRECIO REF $ BOLSA 50 KG CACTU (IVA INC)]]*Tabla1[[#This Row],[Q Bolsas Equivalentes 50kg]]</f>
        <v>22760500</v>
      </c>
      <c r="AO144" s="846">
        <f>+Tabla1[[#This Row],[PRECIO $ BOLSA 50KG  FOB CDO TUC (IVA INC)]]*Tabla1[[#This Row],[Q Bolsas Equivalentes 50kg]]</f>
        <v>19491481.322805483</v>
      </c>
      <c r="AP144" s="847">
        <v>2.9000000000000001E-2</v>
      </c>
      <c r="AQ144" s="846">
        <v>-68</v>
      </c>
      <c r="AR144" s="848"/>
      <c r="AS144" s="849"/>
      <c r="AT144" s="923">
        <f>+Tabla1[[#This Row],[VENTA TOTAL $ (IVA INC) ]]-(SUM(Tabla1[[#This Row],[PENDIENTE DE ENTREGA]:[VALORES COBRADOS]]))</f>
        <v>0</v>
      </c>
      <c r="AU144" s="850">
        <f>VLOOKUP(Tabla1[[#This Row],[FECHA OC]],'TIPO DE CAMBIO'!A:B,2,TRUE)</f>
        <v>1446.3009999999999</v>
      </c>
      <c r="AV144" s="850">
        <f>+Tabla1[[#This Row],[SUBTOTAL]]/Tabla1[[#This Row],[TIPO DE CAMBIO]]</f>
        <v>11025</v>
      </c>
      <c r="AW144" s="851"/>
      <c r="AX144" s="850">
        <f>IFERROR(Tabla1[[#This Row],[VENTA TOTAL USD A PLAZO EN CLIENTE  (SIN IVA)]]*(1+Tabla1[[#This Row],[% IVA ]]),"")</f>
        <v>11025</v>
      </c>
      <c r="AY144" s="850">
        <f>+Tabla1[[#This Row],[VENTA TOTAL USD A PLAZO EN CLIENTE  (SIN IVA)]]/Tabla1[[#This Row],[KGS]]*1000</f>
        <v>315</v>
      </c>
      <c r="AZ144" s="850">
        <v>0</v>
      </c>
      <c r="BA144" s="850">
        <f>+Tabla1[[#This Row],[GASTOS FINANCIEROS $ BOLSA 50 KG (IVA INC)]]*20/Tabla1[[#This Row],[TIPO DE CAMBIO]]</f>
        <v>3.9065264383561646</v>
      </c>
      <c r="BB144" s="850">
        <f>+Tabla1[[#This Row],[PRECIO POR TN USD EN CLIENTE A PLAZO (SIN IVA)]]+Tabla1[[#This Row],[COSTO USD FLETE /TN (SIN IVA)]]+Tabla1[[#This Row],[COSTO FINANCIERO USD POR BOLSA 50KG (IVA INC)]]</f>
        <v>318.90652643835614</v>
      </c>
      <c r="BC144" s="848">
        <v>5</v>
      </c>
      <c r="BD144" s="944"/>
    </row>
    <row r="145" spans="1:56" ht="15.75" customHeight="1">
      <c r="A145" s="912">
        <v>46174</v>
      </c>
      <c r="B145" s="828">
        <v>1</v>
      </c>
      <c r="C145" s="792" t="s">
        <v>406</v>
      </c>
      <c r="D145" s="829">
        <f>+Tabla1[[#This Row],[FECHA Entrega]]</f>
        <v>46181</v>
      </c>
      <c r="E145" s="830">
        <v>700000869</v>
      </c>
      <c r="F145" s="831" t="s">
        <v>358</v>
      </c>
      <c r="G145" s="832" t="s">
        <v>216</v>
      </c>
      <c r="H145" s="852">
        <v>46181</v>
      </c>
      <c r="I145" s="834">
        <f t="shared" si="81"/>
        <v>35000</v>
      </c>
      <c r="J145" s="835">
        <f>0.315*Tabla1[[#This Row],[TIPO DE CAMBIO]]</f>
        <v>455.58481499999999</v>
      </c>
      <c r="K145" s="836">
        <f t="shared" si="60"/>
        <v>15945468.525</v>
      </c>
      <c r="L14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45" s="837">
        <f t="shared" si="45"/>
        <v>19294016.91525</v>
      </c>
      <c r="N145" s="838"/>
      <c r="O145" s="838">
        <v>0</v>
      </c>
      <c r="P145" s="838">
        <v>0</v>
      </c>
      <c r="Q145" s="839">
        <f>+Tabla1[[#This Row],[VENTA TOTAL $ (IVA INC) ]]-Tabla1[[#This Row],[PENDIENTE DE COBRO]]</f>
        <v>19294016.91525</v>
      </c>
      <c r="R145" s="840">
        <f>+Tabla1[[#This Row],[FECHA FC]]+Tabla1[[#This Row],[PLAZO ENTREGA VALORES]]</f>
        <v>46051</v>
      </c>
      <c r="S145" s="840">
        <f>+Tabla1[[#This Row],[FECHA FC]]+Tabla1[[#This Row],[PLAZO PAGO (DIAS)]]</f>
        <v>46181</v>
      </c>
      <c r="T145" s="834">
        <f t="shared" ca="1" si="80"/>
        <v>0</v>
      </c>
      <c r="U145" s="831">
        <f>+Tabla1[[#This Row],[FECHA OC]]-Tabla1[[#This Row],[FECHA Entrega]]</f>
        <v>-130</v>
      </c>
      <c r="V145" s="831"/>
      <c r="W145" s="841">
        <f>+Tabla1[[#This Row],[FECHA VTO VALORES]]+7</f>
        <v>46188</v>
      </c>
      <c r="X145" s="831" t="s">
        <v>489</v>
      </c>
      <c r="Y145" s="840">
        <v>46051</v>
      </c>
      <c r="Z145" s="842">
        <f>Tabla1[[#This Row],[KGS]]/50</f>
        <v>700</v>
      </c>
      <c r="AA14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45" s="844">
        <f>-Tabla1[[#This Row],[COSTO FLETE $ POR BOLSA 5O KG (SIN IVA)]]*1.21-Tabla1[[#This Row],[PRECIO $/ KG A PLAZO EN CLIENTE ( SIN IVA)]]*0.003*1.21*50</f>
        <v>-0.40864392249999071</v>
      </c>
      <c r="AC145" s="845">
        <f>SUM(Tabla1[[#This Row],[PRECIO $ BOLSA 50 KG (IVA INC) ]]+Tabla1[[#This Row],[COSTO FLETE $ BOLSA 50 KG (IVA INC)]])</f>
        <v>27562.4726635775</v>
      </c>
      <c r="AD145" s="844">
        <f>-Tabla1[[#This Row],[PRECIO $ BOLSA 50 KG (IVA INC) ]]*(Tabla1[[#This Row],[TASA FINANCIACION MENSUAL]]/365)*Tabla1[[#This Row],[PLAZO ENTREGA VALORES]]</f>
        <v>284.69058227198633</v>
      </c>
      <c r="AE145" s="845">
        <f>SUM(Tabla1[[#This Row],[PRECIO $ BOLSA50 KG  FOB TUCUMAN A PLAZO (IVA INC)]]+Tabla1[[#This Row],[GASTOS FINANCIEROS $ BOLSA 50 KG (IVA INC)]])</f>
        <v>27847.163245849486</v>
      </c>
      <c r="AF145" s="828" t="s">
        <v>476</v>
      </c>
      <c r="AG145" s="828" t="s">
        <v>365</v>
      </c>
      <c r="AH145" s="828" t="s">
        <v>387</v>
      </c>
      <c r="AI145" s="828" t="s">
        <v>261</v>
      </c>
      <c r="AJ14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45" s="846">
        <f>SUM(Tabla1[[#This Row],[PRECIO $ BOLSA 50KG  FOB CDO TUC (IVA INC)]]-Tabla1[[#This Row],[PRECIO REF $ BOLSA 50 KG CACTU (IVA INC)]])</f>
        <v>-4667.836754150514</v>
      </c>
      <c r="AL145" s="847">
        <f>IFERROR(Tabla1[[#This Row],[PRECIO $ BOLSA 50KG  FOB CDO TUC (IVA INC)]]/Tabla1[[#This Row],[PRECIO REF $ BOLSA 50 KG CACTU (IVA INC)]]-1,"")</f>
        <v>-0.14355948805629748</v>
      </c>
      <c r="AM145" s="846">
        <f>+Tabla1[[#This Row],[DIF $ PRECIO NETO INDUSTRIA vs Neto TUCUMAN (IVA INC)]]*Tabla1[[#This Row],[Q Bolsas Equivalentes 50kg]]</f>
        <v>-3267485.7279053601</v>
      </c>
      <c r="AN145" s="846">
        <f>Tabla1[[#This Row],[PRECIO REF $ BOLSA 50 KG CACTU (IVA INC)]]*Tabla1[[#This Row],[Q Bolsas Equivalentes 50kg]]</f>
        <v>22760500</v>
      </c>
      <c r="AO145" s="846">
        <f>+Tabla1[[#This Row],[PRECIO $ BOLSA 50KG  FOB CDO TUC (IVA INC)]]*Tabla1[[#This Row],[Q Bolsas Equivalentes 50kg]]</f>
        <v>19493014.272094641</v>
      </c>
      <c r="AP145" s="847">
        <v>2.9000000000000001E-2</v>
      </c>
      <c r="AQ145" s="846">
        <v>-68</v>
      </c>
      <c r="AR145" s="848"/>
      <c r="AS145" s="849"/>
      <c r="AT145" s="923">
        <f>+Tabla1[[#This Row],[VENTA TOTAL $ (IVA INC) ]]-(SUM(Tabla1[[#This Row],[PENDIENTE DE ENTREGA]:[VALORES COBRADOS]]))</f>
        <v>0</v>
      </c>
      <c r="AU145" s="850">
        <f>VLOOKUP(Tabla1[[#This Row],[FECHA OC]],'TIPO DE CAMBIO'!A:B,2,TRUE)</f>
        <v>1446.3009999999999</v>
      </c>
      <c r="AV145" s="850">
        <f>+Tabla1[[#This Row],[SUBTOTAL]]/Tabla1[[#This Row],[TIPO DE CAMBIO]]</f>
        <v>11025</v>
      </c>
      <c r="AW145" s="851"/>
      <c r="AX145" s="850">
        <f>IFERROR(Tabla1[[#This Row],[VENTA TOTAL USD A PLAZO EN CLIENTE  (SIN IVA)]]*(1+Tabla1[[#This Row],[% IVA ]]),"")</f>
        <v>11025</v>
      </c>
      <c r="AY145" s="850">
        <f>+Tabla1[[#This Row],[VENTA TOTAL USD A PLAZO EN CLIENTE  (SIN IVA)]]/Tabla1[[#This Row],[KGS]]*1000</f>
        <v>315</v>
      </c>
      <c r="AZ145" s="850">
        <v>0</v>
      </c>
      <c r="BA145" s="850">
        <f>+Tabla1[[#This Row],[GASTOS FINANCIEROS $ BOLSA 50 KG (IVA INC)]]*20/Tabla1[[#This Row],[TIPO DE CAMBIO]]</f>
        <v>3.9368095890410966</v>
      </c>
      <c r="BB145" s="850">
        <f>+Tabla1[[#This Row],[PRECIO POR TN USD EN CLIENTE A PLAZO (SIN IVA)]]+Tabla1[[#This Row],[COSTO USD FLETE /TN (SIN IVA)]]+Tabla1[[#This Row],[COSTO FINANCIERO USD POR BOLSA 50KG (IVA INC)]]</f>
        <v>318.9368095890411</v>
      </c>
      <c r="BC145" s="848">
        <v>5</v>
      </c>
      <c r="BD145" s="944"/>
    </row>
    <row r="146" spans="1:56" ht="15.75" customHeight="1">
      <c r="A146" s="912">
        <v>46174</v>
      </c>
      <c r="B146" s="828">
        <v>1</v>
      </c>
      <c r="C146" s="792" t="s">
        <v>406</v>
      </c>
      <c r="D146" s="829">
        <f>+Tabla1[[#This Row],[FECHA Entrega]]</f>
        <v>46181</v>
      </c>
      <c r="E146" s="830">
        <v>700000869</v>
      </c>
      <c r="F146" s="831" t="s">
        <v>358</v>
      </c>
      <c r="G146" s="832" t="s">
        <v>216</v>
      </c>
      <c r="H146" s="852">
        <v>46181</v>
      </c>
      <c r="I146" s="834">
        <f t="shared" si="81"/>
        <v>35000</v>
      </c>
      <c r="J146" s="835">
        <f>0.315*Tabla1[[#This Row],[TIPO DE CAMBIO]]</f>
        <v>455.58481499999999</v>
      </c>
      <c r="K146" s="836">
        <f t="shared" si="60"/>
        <v>15945468.525</v>
      </c>
      <c r="L14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46" s="837">
        <f t="shared" si="45"/>
        <v>19294016.91525</v>
      </c>
      <c r="N146" s="838"/>
      <c r="O146" s="838">
        <v>0</v>
      </c>
      <c r="P146" s="838">
        <v>0</v>
      </c>
      <c r="Q146" s="839">
        <f>+Tabla1[[#This Row],[VENTA TOTAL $ (IVA INC) ]]-Tabla1[[#This Row],[PENDIENTE DE COBRO]]</f>
        <v>19294016.91525</v>
      </c>
      <c r="R146" s="840">
        <f>+Tabla1[[#This Row],[FECHA FC]]+Tabla1[[#This Row],[PLAZO ENTREGA VALORES]]</f>
        <v>46051</v>
      </c>
      <c r="S146" s="840">
        <f>+Tabla1[[#This Row],[FECHA FC]]+Tabla1[[#This Row],[PLAZO PAGO (DIAS)]]</f>
        <v>46181</v>
      </c>
      <c r="T146" s="834">
        <f t="shared" ca="1" si="80"/>
        <v>0</v>
      </c>
      <c r="U146" s="831">
        <f>+Tabla1[[#This Row],[FECHA OC]]-Tabla1[[#This Row],[FECHA Entrega]]</f>
        <v>-130</v>
      </c>
      <c r="V146" s="831"/>
      <c r="W146" s="841">
        <f>+Tabla1[[#This Row],[FECHA VTO VALORES]]+7</f>
        <v>46188</v>
      </c>
      <c r="X146" s="831" t="s">
        <v>489</v>
      </c>
      <c r="Y146" s="840">
        <v>46051</v>
      </c>
      <c r="Z146" s="842">
        <f>Tabla1[[#This Row],[KGS]]/50</f>
        <v>700</v>
      </c>
      <c r="AA14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46" s="844">
        <f>-Tabla1[[#This Row],[COSTO FLETE $ POR BOLSA 5O KG (SIN IVA)]]*1.21-Tabla1[[#This Row],[PRECIO $/ KG A PLAZO EN CLIENTE ( SIN IVA)]]*0.003*1.21*50</f>
        <v>-0.40864392249999071</v>
      </c>
      <c r="AC146" s="845">
        <f>SUM(Tabla1[[#This Row],[PRECIO $ BOLSA 50 KG (IVA INC) ]]+Tabla1[[#This Row],[COSTO FLETE $ BOLSA 50 KG (IVA INC)]])</f>
        <v>27562.4726635775</v>
      </c>
      <c r="AD146" s="844">
        <f>-Tabla1[[#This Row],[PRECIO $ BOLSA 50 KG (IVA INC) ]]*(Tabla1[[#This Row],[TASA FINANCIACION MENSUAL]]/365)*Tabla1[[#This Row],[PLAZO ENTREGA VALORES]]</f>
        <v>284.69058227198633</v>
      </c>
      <c r="AE146" s="845">
        <f>SUM(Tabla1[[#This Row],[PRECIO $ BOLSA50 KG  FOB TUCUMAN A PLAZO (IVA INC)]]+Tabla1[[#This Row],[GASTOS FINANCIEROS $ BOLSA 50 KG (IVA INC)]])</f>
        <v>27847.163245849486</v>
      </c>
      <c r="AF146" s="828" t="s">
        <v>476</v>
      </c>
      <c r="AG146" s="828" t="s">
        <v>365</v>
      </c>
      <c r="AH146" s="828" t="s">
        <v>387</v>
      </c>
      <c r="AI146" s="828" t="s">
        <v>261</v>
      </c>
      <c r="AJ14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46" s="846">
        <f>SUM(Tabla1[[#This Row],[PRECIO $ BOLSA 50KG  FOB CDO TUC (IVA INC)]]-Tabla1[[#This Row],[PRECIO REF $ BOLSA 50 KG CACTU (IVA INC)]])</f>
        <v>-4667.836754150514</v>
      </c>
      <c r="AL146" s="847">
        <f>IFERROR(Tabla1[[#This Row],[PRECIO $ BOLSA 50KG  FOB CDO TUC (IVA INC)]]/Tabla1[[#This Row],[PRECIO REF $ BOLSA 50 KG CACTU (IVA INC)]]-1,"")</f>
        <v>-0.14355948805629748</v>
      </c>
      <c r="AM146" s="846">
        <f>+Tabla1[[#This Row],[DIF $ PRECIO NETO INDUSTRIA vs Neto TUCUMAN (IVA INC)]]*Tabla1[[#This Row],[Q Bolsas Equivalentes 50kg]]</f>
        <v>-3267485.7279053601</v>
      </c>
      <c r="AN146" s="846">
        <f>Tabla1[[#This Row],[PRECIO REF $ BOLSA 50 KG CACTU (IVA INC)]]*Tabla1[[#This Row],[Q Bolsas Equivalentes 50kg]]</f>
        <v>22760500</v>
      </c>
      <c r="AO146" s="846">
        <f>+Tabla1[[#This Row],[PRECIO $ BOLSA 50KG  FOB CDO TUC (IVA INC)]]*Tabla1[[#This Row],[Q Bolsas Equivalentes 50kg]]</f>
        <v>19493014.272094641</v>
      </c>
      <c r="AP146" s="847">
        <v>2.9000000000000001E-2</v>
      </c>
      <c r="AQ146" s="846">
        <v>-68</v>
      </c>
      <c r="AR146" s="848"/>
      <c r="AS146" s="849"/>
      <c r="AT146" s="923">
        <f>+Tabla1[[#This Row],[VENTA TOTAL $ (IVA INC) ]]-(SUM(Tabla1[[#This Row],[PENDIENTE DE ENTREGA]:[VALORES COBRADOS]]))</f>
        <v>0</v>
      </c>
      <c r="AU146" s="850">
        <f>VLOOKUP(Tabla1[[#This Row],[FECHA OC]],'TIPO DE CAMBIO'!A:B,2,TRUE)</f>
        <v>1446.3009999999999</v>
      </c>
      <c r="AV146" s="850">
        <f>+Tabla1[[#This Row],[SUBTOTAL]]/Tabla1[[#This Row],[TIPO DE CAMBIO]]</f>
        <v>11025</v>
      </c>
      <c r="AW146" s="851"/>
      <c r="AX146" s="850">
        <f>IFERROR(Tabla1[[#This Row],[VENTA TOTAL USD A PLAZO EN CLIENTE  (SIN IVA)]]*(1+Tabla1[[#This Row],[% IVA ]]),"")</f>
        <v>11025</v>
      </c>
      <c r="AY146" s="850">
        <f>+Tabla1[[#This Row],[VENTA TOTAL USD A PLAZO EN CLIENTE  (SIN IVA)]]/Tabla1[[#This Row],[KGS]]*1000</f>
        <v>315</v>
      </c>
      <c r="AZ146" s="850">
        <v>0</v>
      </c>
      <c r="BA146" s="850">
        <f>+Tabla1[[#This Row],[GASTOS FINANCIEROS $ BOLSA 50 KG (IVA INC)]]*20/Tabla1[[#This Row],[TIPO DE CAMBIO]]</f>
        <v>3.9368095890410966</v>
      </c>
      <c r="BB146" s="850">
        <f>+Tabla1[[#This Row],[PRECIO POR TN USD EN CLIENTE A PLAZO (SIN IVA)]]+Tabla1[[#This Row],[COSTO USD FLETE /TN (SIN IVA)]]+Tabla1[[#This Row],[COSTO FINANCIERO USD POR BOLSA 50KG (IVA INC)]]</f>
        <v>318.9368095890411</v>
      </c>
      <c r="BC146" s="848">
        <v>5</v>
      </c>
      <c r="BD146" s="944"/>
    </row>
    <row r="147" spans="1:56" ht="15.75" customHeight="1">
      <c r="A147" s="912">
        <v>46174</v>
      </c>
      <c r="B147" s="828">
        <v>1</v>
      </c>
      <c r="C147" s="792" t="s">
        <v>406</v>
      </c>
      <c r="D147" s="829">
        <f>+Tabla1[[#This Row],[FECHA Entrega]]</f>
        <v>46181</v>
      </c>
      <c r="E147" s="830">
        <v>700000869</v>
      </c>
      <c r="F147" s="831" t="s">
        <v>358</v>
      </c>
      <c r="G147" s="832" t="s">
        <v>216</v>
      </c>
      <c r="H147" s="852">
        <v>46181</v>
      </c>
      <c r="I147" s="834">
        <f t="shared" si="81"/>
        <v>35000</v>
      </c>
      <c r="J147" s="835">
        <f>0.315*Tabla1[[#This Row],[TIPO DE CAMBIO]]</f>
        <v>455.58481499999999</v>
      </c>
      <c r="K147" s="836">
        <f t="shared" si="60"/>
        <v>15945468.525</v>
      </c>
      <c r="L14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47" s="837">
        <f t="shared" si="45"/>
        <v>19294016.91525</v>
      </c>
      <c r="N147" s="838"/>
      <c r="O147" s="838">
        <v>0</v>
      </c>
      <c r="P147" s="838">
        <v>0</v>
      </c>
      <c r="Q147" s="839">
        <f>+Tabla1[[#This Row],[VENTA TOTAL $ (IVA INC) ]]-Tabla1[[#This Row],[PENDIENTE DE COBRO]]</f>
        <v>19294016.91525</v>
      </c>
      <c r="R147" s="840">
        <f>+Tabla1[[#This Row],[FECHA FC]]+Tabla1[[#This Row],[PLAZO ENTREGA VALORES]]</f>
        <v>46051</v>
      </c>
      <c r="S147" s="840">
        <f>+Tabla1[[#This Row],[FECHA FC]]+Tabla1[[#This Row],[PLAZO PAGO (DIAS)]]</f>
        <v>46181</v>
      </c>
      <c r="T147" s="834">
        <f t="shared" ca="1" si="80"/>
        <v>0</v>
      </c>
      <c r="U147" s="831">
        <f>+Tabla1[[#This Row],[FECHA OC]]-Tabla1[[#This Row],[FECHA Entrega]]</f>
        <v>-130</v>
      </c>
      <c r="V147" s="831"/>
      <c r="W147" s="841">
        <f>+Tabla1[[#This Row],[FECHA VTO VALORES]]+7</f>
        <v>46188</v>
      </c>
      <c r="X147" s="831" t="s">
        <v>489</v>
      </c>
      <c r="Y147" s="840">
        <v>46051</v>
      </c>
      <c r="Z147" s="842">
        <f>Tabla1[[#This Row],[KGS]]/50</f>
        <v>700</v>
      </c>
      <c r="AA14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47" s="844">
        <f>-Tabla1[[#This Row],[COSTO FLETE $ POR BOLSA 5O KG (SIN IVA)]]*1.21-Tabla1[[#This Row],[PRECIO $/ KG A PLAZO EN CLIENTE ( SIN IVA)]]*0.003*1.21*50</f>
        <v>-0.40864392249999071</v>
      </c>
      <c r="AC147" s="845">
        <f>SUM(Tabla1[[#This Row],[PRECIO $ BOLSA 50 KG (IVA INC) ]]+Tabla1[[#This Row],[COSTO FLETE $ BOLSA 50 KG (IVA INC)]])</f>
        <v>27562.4726635775</v>
      </c>
      <c r="AD147" s="844">
        <f>-Tabla1[[#This Row],[PRECIO $ BOLSA 50 KG (IVA INC) ]]*(Tabla1[[#This Row],[TASA FINANCIACION MENSUAL]]/365)*Tabla1[[#This Row],[PLAZO ENTREGA VALORES]]</f>
        <v>284.69058227198633</v>
      </c>
      <c r="AE147" s="845">
        <f>SUM(Tabla1[[#This Row],[PRECIO $ BOLSA50 KG  FOB TUCUMAN A PLAZO (IVA INC)]]+Tabla1[[#This Row],[GASTOS FINANCIEROS $ BOLSA 50 KG (IVA INC)]])</f>
        <v>27847.163245849486</v>
      </c>
      <c r="AF147" s="828" t="s">
        <v>476</v>
      </c>
      <c r="AG147" s="828" t="s">
        <v>365</v>
      </c>
      <c r="AH147" s="828" t="s">
        <v>387</v>
      </c>
      <c r="AI147" s="828" t="s">
        <v>261</v>
      </c>
      <c r="AJ14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47" s="846">
        <f>SUM(Tabla1[[#This Row],[PRECIO $ BOLSA 50KG  FOB CDO TUC (IVA INC)]]-Tabla1[[#This Row],[PRECIO REF $ BOLSA 50 KG CACTU (IVA INC)]])</f>
        <v>-4667.836754150514</v>
      </c>
      <c r="AL147" s="847">
        <f>IFERROR(Tabla1[[#This Row],[PRECIO $ BOLSA 50KG  FOB CDO TUC (IVA INC)]]/Tabla1[[#This Row],[PRECIO REF $ BOLSA 50 KG CACTU (IVA INC)]]-1,"")</f>
        <v>-0.14355948805629748</v>
      </c>
      <c r="AM147" s="846">
        <f>+Tabla1[[#This Row],[DIF $ PRECIO NETO INDUSTRIA vs Neto TUCUMAN (IVA INC)]]*Tabla1[[#This Row],[Q Bolsas Equivalentes 50kg]]</f>
        <v>-3267485.7279053601</v>
      </c>
      <c r="AN147" s="846">
        <f>Tabla1[[#This Row],[PRECIO REF $ BOLSA 50 KG CACTU (IVA INC)]]*Tabla1[[#This Row],[Q Bolsas Equivalentes 50kg]]</f>
        <v>22760500</v>
      </c>
      <c r="AO147" s="846">
        <f>+Tabla1[[#This Row],[PRECIO $ BOLSA 50KG  FOB CDO TUC (IVA INC)]]*Tabla1[[#This Row],[Q Bolsas Equivalentes 50kg]]</f>
        <v>19493014.272094641</v>
      </c>
      <c r="AP147" s="847">
        <v>2.9000000000000001E-2</v>
      </c>
      <c r="AQ147" s="846">
        <v>-68</v>
      </c>
      <c r="AR147" s="848"/>
      <c r="AS147" s="849"/>
      <c r="AT147" s="923">
        <f>+Tabla1[[#This Row],[VENTA TOTAL $ (IVA INC) ]]-(SUM(Tabla1[[#This Row],[PENDIENTE DE ENTREGA]:[VALORES COBRADOS]]))</f>
        <v>0</v>
      </c>
      <c r="AU147" s="850">
        <f>VLOOKUP(Tabla1[[#This Row],[FECHA OC]],'TIPO DE CAMBIO'!A:B,2,TRUE)</f>
        <v>1446.3009999999999</v>
      </c>
      <c r="AV147" s="850">
        <f>+Tabla1[[#This Row],[SUBTOTAL]]/Tabla1[[#This Row],[TIPO DE CAMBIO]]</f>
        <v>11025</v>
      </c>
      <c r="AW147" s="851"/>
      <c r="AX147" s="850">
        <f>IFERROR(Tabla1[[#This Row],[VENTA TOTAL USD A PLAZO EN CLIENTE  (SIN IVA)]]*(1+Tabla1[[#This Row],[% IVA ]]),"")</f>
        <v>11025</v>
      </c>
      <c r="AY147" s="850">
        <f>+Tabla1[[#This Row],[VENTA TOTAL USD A PLAZO EN CLIENTE  (SIN IVA)]]/Tabla1[[#This Row],[KGS]]*1000</f>
        <v>315</v>
      </c>
      <c r="AZ147" s="850">
        <v>0</v>
      </c>
      <c r="BA147" s="850">
        <f>+Tabla1[[#This Row],[GASTOS FINANCIEROS $ BOLSA 50 KG (IVA INC)]]*20/Tabla1[[#This Row],[TIPO DE CAMBIO]]</f>
        <v>3.9368095890410966</v>
      </c>
      <c r="BB147" s="850">
        <f>+Tabla1[[#This Row],[PRECIO POR TN USD EN CLIENTE A PLAZO (SIN IVA)]]+Tabla1[[#This Row],[COSTO USD FLETE /TN (SIN IVA)]]+Tabla1[[#This Row],[COSTO FINANCIERO USD POR BOLSA 50KG (IVA INC)]]</f>
        <v>318.9368095890411</v>
      </c>
      <c r="BC147" s="848">
        <v>5</v>
      </c>
      <c r="BD147" s="944"/>
    </row>
    <row r="148" spans="1:56" ht="15.75" customHeight="1">
      <c r="A148" s="912">
        <v>46174</v>
      </c>
      <c r="B148" s="828">
        <v>1</v>
      </c>
      <c r="C148" s="792" t="s">
        <v>406</v>
      </c>
      <c r="D148" s="829">
        <f>+Tabla1[[#This Row],[FECHA Entrega]]</f>
        <v>46181</v>
      </c>
      <c r="E148" s="830">
        <v>700000869</v>
      </c>
      <c r="F148" s="831" t="s">
        <v>358</v>
      </c>
      <c r="G148" s="832" t="s">
        <v>216</v>
      </c>
      <c r="H148" s="852">
        <v>46181</v>
      </c>
      <c r="I148" s="834">
        <f t="shared" si="81"/>
        <v>35000</v>
      </c>
      <c r="J148" s="835">
        <f>0.315*Tabla1[[#This Row],[TIPO DE CAMBIO]]</f>
        <v>455.58481499999999</v>
      </c>
      <c r="K148" s="836">
        <f t="shared" si="60"/>
        <v>15945468.525</v>
      </c>
      <c r="L14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48" s="837">
        <f t="shared" si="45"/>
        <v>19294016.91525</v>
      </c>
      <c r="N148" s="838"/>
      <c r="O148" s="838">
        <v>0</v>
      </c>
      <c r="P148" s="838">
        <v>0</v>
      </c>
      <c r="Q148" s="839">
        <f>+Tabla1[[#This Row],[VENTA TOTAL $ (IVA INC) ]]-Tabla1[[#This Row],[PENDIENTE DE COBRO]]</f>
        <v>19294016.91525</v>
      </c>
      <c r="R148" s="840">
        <f>+Tabla1[[#This Row],[FECHA FC]]+Tabla1[[#This Row],[PLAZO ENTREGA VALORES]]</f>
        <v>46051</v>
      </c>
      <c r="S148" s="840">
        <f>+Tabla1[[#This Row],[FECHA FC]]+Tabla1[[#This Row],[PLAZO PAGO (DIAS)]]</f>
        <v>46181</v>
      </c>
      <c r="T148" s="834">
        <f t="shared" ca="1" si="80"/>
        <v>0</v>
      </c>
      <c r="U148" s="831">
        <f>+Tabla1[[#This Row],[FECHA OC]]-Tabla1[[#This Row],[FECHA Entrega]]</f>
        <v>-130</v>
      </c>
      <c r="V148" s="831"/>
      <c r="W148" s="841">
        <f>+Tabla1[[#This Row],[FECHA VTO VALORES]]+7</f>
        <v>46188</v>
      </c>
      <c r="X148" s="831" t="s">
        <v>489</v>
      </c>
      <c r="Y148" s="840">
        <v>46051</v>
      </c>
      <c r="Z148" s="842">
        <f>Tabla1[[#This Row],[KGS]]/50</f>
        <v>700</v>
      </c>
      <c r="AA14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48" s="844">
        <f>-Tabla1[[#This Row],[COSTO FLETE $ POR BOLSA 5O KG (SIN IVA)]]*1.21-Tabla1[[#This Row],[PRECIO $/ KG A PLAZO EN CLIENTE ( SIN IVA)]]*0.003*1.21*50</f>
        <v>-0.40864392249999071</v>
      </c>
      <c r="AC148" s="845">
        <f>SUM(Tabla1[[#This Row],[PRECIO $ BOLSA 50 KG (IVA INC) ]]+Tabla1[[#This Row],[COSTO FLETE $ BOLSA 50 KG (IVA INC)]])</f>
        <v>27562.4726635775</v>
      </c>
      <c r="AD148" s="844">
        <f>-Tabla1[[#This Row],[PRECIO $ BOLSA 50 KG (IVA INC) ]]*(Tabla1[[#This Row],[TASA FINANCIACION MENSUAL]]/365)*Tabla1[[#This Row],[PLAZO ENTREGA VALORES]]</f>
        <v>284.69058227198633</v>
      </c>
      <c r="AE148" s="845">
        <f>SUM(Tabla1[[#This Row],[PRECIO $ BOLSA50 KG  FOB TUCUMAN A PLAZO (IVA INC)]]+Tabla1[[#This Row],[GASTOS FINANCIEROS $ BOLSA 50 KG (IVA INC)]])</f>
        <v>27847.163245849486</v>
      </c>
      <c r="AF148" s="828" t="s">
        <v>476</v>
      </c>
      <c r="AG148" s="828" t="s">
        <v>365</v>
      </c>
      <c r="AH148" s="828" t="s">
        <v>387</v>
      </c>
      <c r="AI148" s="828" t="s">
        <v>261</v>
      </c>
      <c r="AJ14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48" s="846">
        <f>SUM(Tabla1[[#This Row],[PRECIO $ BOLSA 50KG  FOB CDO TUC (IVA INC)]]-Tabla1[[#This Row],[PRECIO REF $ BOLSA 50 KG CACTU (IVA INC)]])</f>
        <v>-4667.836754150514</v>
      </c>
      <c r="AL148" s="847">
        <f>IFERROR(Tabla1[[#This Row],[PRECIO $ BOLSA 50KG  FOB CDO TUC (IVA INC)]]/Tabla1[[#This Row],[PRECIO REF $ BOLSA 50 KG CACTU (IVA INC)]]-1,"")</f>
        <v>-0.14355948805629748</v>
      </c>
      <c r="AM148" s="846">
        <f>+Tabla1[[#This Row],[DIF $ PRECIO NETO INDUSTRIA vs Neto TUCUMAN (IVA INC)]]*Tabla1[[#This Row],[Q Bolsas Equivalentes 50kg]]</f>
        <v>-3267485.7279053601</v>
      </c>
      <c r="AN148" s="846">
        <f>Tabla1[[#This Row],[PRECIO REF $ BOLSA 50 KG CACTU (IVA INC)]]*Tabla1[[#This Row],[Q Bolsas Equivalentes 50kg]]</f>
        <v>22760500</v>
      </c>
      <c r="AO148" s="846">
        <f>+Tabla1[[#This Row],[PRECIO $ BOLSA 50KG  FOB CDO TUC (IVA INC)]]*Tabla1[[#This Row],[Q Bolsas Equivalentes 50kg]]</f>
        <v>19493014.272094641</v>
      </c>
      <c r="AP148" s="847">
        <v>2.9000000000000001E-2</v>
      </c>
      <c r="AQ148" s="846">
        <v>-68</v>
      </c>
      <c r="AR148" s="848"/>
      <c r="AS148" s="849"/>
      <c r="AT148" s="923">
        <f>+Tabla1[[#This Row],[VENTA TOTAL $ (IVA INC) ]]-(SUM(Tabla1[[#This Row],[PENDIENTE DE ENTREGA]:[VALORES COBRADOS]]))</f>
        <v>0</v>
      </c>
      <c r="AU148" s="850">
        <f>VLOOKUP(Tabla1[[#This Row],[FECHA OC]],'TIPO DE CAMBIO'!A:B,2,TRUE)</f>
        <v>1446.3009999999999</v>
      </c>
      <c r="AV148" s="850">
        <f>+Tabla1[[#This Row],[SUBTOTAL]]/Tabla1[[#This Row],[TIPO DE CAMBIO]]</f>
        <v>11025</v>
      </c>
      <c r="AW148" s="851"/>
      <c r="AX148" s="850">
        <f>IFERROR(Tabla1[[#This Row],[VENTA TOTAL USD A PLAZO EN CLIENTE  (SIN IVA)]]*(1+Tabla1[[#This Row],[% IVA ]]),"")</f>
        <v>11025</v>
      </c>
      <c r="AY148" s="850">
        <f>+Tabla1[[#This Row],[VENTA TOTAL USD A PLAZO EN CLIENTE  (SIN IVA)]]/Tabla1[[#This Row],[KGS]]*1000</f>
        <v>315</v>
      </c>
      <c r="AZ148" s="850">
        <v>0</v>
      </c>
      <c r="BA148" s="850">
        <f>+Tabla1[[#This Row],[GASTOS FINANCIEROS $ BOLSA 50 KG (IVA INC)]]*20/Tabla1[[#This Row],[TIPO DE CAMBIO]]</f>
        <v>3.9368095890410966</v>
      </c>
      <c r="BB148" s="850">
        <f>+Tabla1[[#This Row],[PRECIO POR TN USD EN CLIENTE A PLAZO (SIN IVA)]]+Tabla1[[#This Row],[COSTO USD FLETE /TN (SIN IVA)]]+Tabla1[[#This Row],[COSTO FINANCIERO USD POR BOLSA 50KG (IVA INC)]]</f>
        <v>318.9368095890411</v>
      </c>
      <c r="BC148" s="848">
        <v>5</v>
      </c>
      <c r="BD148" s="944"/>
    </row>
    <row r="149" spans="1:56" ht="15.75" customHeight="1">
      <c r="A149" s="912">
        <v>46174</v>
      </c>
      <c r="B149" s="828">
        <v>1</v>
      </c>
      <c r="C149" s="792" t="s">
        <v>406</v>
      </c>
      <c r="D149" s="829">
        <f>+Tabla1[[#This Row],[FECHA Entrega]]</f>
        <v>46182</v>
      </c>
      <c r="E149" s="830">
        <v>700000869</v>
      </c>
      <c r="F149" s="831" t="s">
        <v>358</v>
      </c>
      <c r="G149" s="832" t="s">
        <v>216</v>
      </c>
      <c r="H149" s="852">
        <v>46182</v>
      </c>
      <c r="I149" s="834">
        <f t="shared" si="81"/>
        <v>35000</v>
      </c>
      <c r="J149" s="835">
        <f>0.315*Tabla1[[#This Row],[TIPO DE CAMBIO]]</f>
        <v>455.58481499999999</v>
      </c>
      <c r="K149" s="836">
        <f t="shared" si="60"/>
        <v>15945468.525</v>
      </c>
      <c r="L14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49" s="837">
        <f t="shared" ref="M149:M212" si="82">SUM(K149:L149)</f>
        <v>19294016.91525</v>
      </c>
      <c r="N149" s="838"/>
      <c r="O149" s="838">
        <v>0</v>
      </c>
      <c r="P149" s="838">
        <v>0</v>
      </c>
      <c r="Q149" s="839">
        <f>+Tabla1[[#This Row],[VENTA TOTAL $ (IVA INC) ]]-Tabla1[[#This Row],[PENDIENTE DE COBRO]]</f>
        <v>19294016.91525</v>
      </c>
      <c r="R149" s="840">
        <f>+Tabla1[[#This Row],[FECHA FC]]+Tabla1[[#This Row],[PLAZO ENTREGA VALORES]]</f>
        <v>46051</v>
      </c>
      <c r="S149" s="840">
        <f>+Tabla1[[#This Row],[FECHA FC]]+Tabla1[[#This Row],[PLAZO PAGO (DIAS)]]</f>
        <v>46182</v>
      </c>
      <c r="T149" s="834">
        <f t="shared" ca="1" si="80"/>
        <v>1</v>
      </c>
      <c r="U149" s="831">
        <f>+Tabla1[[#This Row],[FECHA OC]]-Tabla1[[#This Row],[FECHA Entrega]]</f>
        <v>-131</v>
      </c>
      <c r="V149" s="831"/>
      <c r="W149" s="841">
        <f>+Tabla1[[#This Row],[FECHA VTO VALORES]]+7</f>
        <v>46189</v>
      </c>
      <c r="X149" s="831" t="s">
        <v>489</v>
      </c>
      <c r="Y149" s="840">
        <v>46051</v>
      </c>
      <c r="Z149" s="842">
        <f>Tabla1[[#This Row],[KGS]]/50</f>
        <v>700</v>
      </c>
      <c r="AA14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49" s="844">
        <f>-Tabla1[[#This Row],[COSTO FLETE $ POR BOLSA 5O KG (SIN IVA)]]*1.21-Tabla1[[#This Row],[PRECIO $/ KG A PLAZO EN CLIENTE ( SIN IVA)]]*0.003*1.21*50</f>
        <v>-0.40864392249999071</v>
      </c>
      <c r="AC149" s="845">
        <f>SUM(Tabla1[[#This Row],[PRECIO $ BOLSA 50 KG (IVA INC) ]]+Tabla1[[#This Row],[COSTO FLETE $ BOLSA 50 KG (IVA INC)]])</f>
        <v>27562.4726635775</v>
      </c>
      <c r="AD149" s="844">
        <f>-Tabla1[[#This Row],[PRECIO $ BOLSA 50 KG (IVA INC) ]]*(Tabla1[[#This Row],[TASA FINANCIACION MENSUAL]]/365)*Tabla1[[#This Row],[PLAZO ENTREGA VALORES]]</f>
        <v>286.88050982792464</v>
      </c>
      <c r="AE149" s="845">
        <f>SUM(Tabla1[[#This Row],[PRECIO $ BOLSA50 KG  FOB TUCUMAN A PLAZO (IVA INC)]]+Tabla1[[#This Row],[GASTOS FINANCIEROS $ BOLSA 50 KG (IVA INC)]])</f>
        <v>27849.353173405427</v>
      </c>
      <c r="AF149" s="828" t="s">
        <v>476</v>
      </c>
      <c r="AG149" s="828" t="s">
        <v>365</v>
      </c>
      <c r="AH149" s="828" t="s">
        <v>387</v>
      </c>
      <c r="AI149" s="828" t="s">
        <v>261</v>
      </c>
      <c r="AJ14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49" s="846">
        <f>SUM(Tabla1[[#This Row],[PRECIO $ BOLSA 50KG  FOB CDO TUC (IVA INC)]]-Tabla1[[#This Row],[PRECIO REF $ BOLSA 50 KG CACTU (IVA INC)]])</f>
        <v>-4665.6468265945732</v>
      </c>
      <c r="AL149" s="847">
        <f>IFERROR(Tabla1[[#This Row],[PRECIO $ BOLSA 50KG  FOB CDO TUC (IVA INC)]]/Tabla1[[#This Row],[PRECIO REF $ BOLSA 50 KG CACTU (IVA INC)]]-1,"")</f>
        <v>-0.1434921367551768</v>
      </c>
      <c r="AM149" s="846">
        <f>+Tabla1[[#This Row],[DIF $ PRECIO NETO INDUSTRIA vs Neto TUCUMAN (IVA INC)]]*Tabla1[[#This Row],[Q Bolsas Equivalentes 50kg]]</f>
        <v>-3265952.7786162011</v>
      </c>
      <c r="AN149" s="846">
        <f>Tabla1[[#This Row],[PRECIO REF $ BOLSA 50 KG CACTU (IVA INC)]]*Tabla1[[#This Row],[Q Bolsas Equivalentes 50kg]]</f>
        <v>22760500</v>
      </c>
      <c r="AO149" s="846">
        <f>+Tabla1[[#This Row],[PRECIO $ BOLSA 50KG  FOB CDO TUC (IVA INC)]]*Tabla1[[#This Row],[Q Bolsas Equivalentes 50kg]]</f>
        <v>19494547.221383799</v>
      </c>
      <c r="AP149" s="847">
        <v>2.9000000000000001E-2</v>
      </c>
      <c r="AQ149" s="846">
        <v>-68</v>
      </c>
      <c r="AR149" s="848"/>
      <c r="AS149" s="849"/>
      <c r="AT149" s="923">
        <f>+Tabla1[[#This Row],[VENTA TOTAL $ (IVA INC) ]]-(SUM(Tabla1[[#This Row],[PENDIENTE DE ENTREGA]:[VALORES COBRADOS]]))</f>
        <v>0</v>
      </c>
      <c r="AU149" s="850">
        <f>VLOOKUP(Tabla1[[#This Row],[FECHA OC]],'TIPO DE CAMBIO'!A:B,2,TRUE)</f>
        <v>1446.3009999999999</v>
      </c>
      <c r="AV149" s="850">
        <f>+Tabla1[[#This Row],[SUBTOTAL]]/Tabla1[[#This Row],[TIPO DE CAMBIO]]</f>
        <v>11025</v>
      </c>
      <c r="AW149" s="851"/>
      <c r="AX149" s="850">
        <f>IFERROR(Tabla1[[#This Row],[VENTA TOTAL USD A PLAZO EN CLIENTE  (SIN IVA)]]*(1+Tabla1[[#This Row],[% IVA ]]),"")</f>
        <v>11025</v>
      </c>
      <c r="AY149" s="850">
        <f>+Tabla1[[#This Row],[VENTA TOTAL USD A PLAZO EN CLIENTE  (SIN IVA)]]/Tabla1[[#This Row],[KGS]]*1000</f>
        <v>315</v>
      </c>
      <c r="AZ149" s="850">
        <v>0</v>
      </c>
      <c r="BA149" s="850">
        <f>+Tabla1[[#This Row],[GASTOS FINANCIEROS $ BOLSA 50 KG (IVA INC)]]*20/Tabla1[[#This Row],[TIPO DE CAMBIO]]</f>
        <v>3.9670927397260276</v>
      </c>
      <c r="BB149" s="850">
        <f>+Tabla1[[#This Row],[PRECIO POR TN USD EN CLIENTE A PLAZO (SIN IVA)]]+Tabla1[[#This Row],[COSTO USD FLETE /TN (SIN IVA)]]+Tabla1[[#This Row],[COSTO FINANCIERO USD POR BOLSA 50KG (IVA INC)]]</f>
        <v>318.96709273972601</v>
      </c>
      <c r="BC149" s="848">
        <v>5</v>
      </c>
      <c r="BD149" s="944"/>
    </row>
    <row r="150" spans="1:56" ht="15.75" customHeight="1">
      <c r="A150" s="912">
        <v>46174</v>
      </c>
      <c r="B150" s="828">
        <v>1</v>
      </c>
      <c r="C150" s="792" t="s">
        <v>406</v>
      </c>
      <c r="D150" s="829">
        <f>+Tabla1[[#This Row],[FECHA Entrega]]</f>
        <v>46183</v>
      </c>
      <c r="E150" s="830">
        <v>700000869</v>
      </c>
      <c r="F150" s="831" t="s">
        <v>358</v>
      </c>
      <c r="G150" s="832" t="s">
        <v>216</v>
      </c>
      <c r="H150" s="852">
        <v>46183</v>
      </c>
      <c r="I150" s="834">
        <f t="shared" si="81"/>
        <v>35000</v>
      </c>
      <c r="J150" s="835">
        <f>0.315*Tabla1[[#This Row],[TIPO DE CAMBIO]]</f>
        <v>455.58481499999999</v>
      </c>
      <c r="K150" s="836">
        <f t="shared" si="60"/>
        <v>15945468.525</v>
      </c>
      <c r="L15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50" s="837">
        <f t="shared" si="82"/>
        <v>19294016.91525</v>
      </c>
      <c r="N150" s="838"/>
      <c r="O150" s="838">
        <v>0</v>
      </c>
      <c r="P150" s="838">
        <v>0</v>
      </c>
      <c r="Q150" s="839">
        <f>+Tabla1[[#This Row],[VENTA TOTAL $ (IVA INC) ]]-Tabla1[[#This Row],[PENDIENTE DE COBRO]]</f>
        <v>19294016.91525</v>
      </c>
      <c r="R150" s="840">
        <f>+Tabla1[[#This Row],[FECHA FC]]+Tabla1[[#This Row],[PLAZO ENTREGA VALORES]]</f>
        <v>46051</v>
      </c>
      <c r="S150" s="840">
        <f>+Tabla1[[#This Row],[FECHA FC]]+Tabla1[[#This Row],[PLAZO PAGO (DIAS)]]</f>
        <v>46183</v>
      </c>
      <c r="T150" s="834">
        <f t="shared" ca="1" si="80"/>
        <v>2</v>
      </c>
      <c r="U150" s="831">
        <f>+Tabla1[[#This Row],[FECHA OC]]-Tabla1[[#This Row],[FECHA Entrega]]</f>
        <v>-132</v>
      </c>
      <c r="V150" s="831"/>
      <c r="W150" s="841">
        <f>+Tabla1[[#This Row],[FECHA VTO VALORES]]+7</f>
        <v>46190</v>
      </c>
      <c r="X150" s="831" t="s">
        <v>489</v>
      </c>
      <c r="Y150" s="840">
        <v>46051</v>
      </c>
      <c r="Z150" s="842">
        <f>Tabla1[[#This Row],[KGS]]/50</f>
        <v>700</v>
      </c>
      <c r="AA15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50" s="844">
        <f>-Tabla1[[#This Row],[COSTO FLETE $ POR BOLSA 5O KG (SIN IVA)]]*1.21-Tabla1[[#This Row],[PRECIO $/ KG A PLAZO EN CLIENTE ( SIN IVA)]]*0.003*1.21*50</f>
        <v>-0.40864392249999071</v>
      </c>
      <c r="AC150" s="845">
        <f>SUM(Tabla1[[#This Row],[PRECIO $ BOLSA 50 KG (IVA INC) ]]+Tabla1[[#This Row],[COSTO FLETE $ BOLSA 50 KG (IVA INC)]])</f>
        <v>27562.4726635775</v>
      </c>
      <c r="AD150" s="844">
        <f>-Tabla1[[#This Row],[PRECIO $ BOLSA 50 KG (IVA INC) ]]*(Tabla1[[#This Row],[TASA FINANCIACION MENSUAL]]/365)*Tabla1[[#This Row],[PLAZO ENTREGA VALORES]]</f>
        <v>289.07043738386301</v>
      </c>
      <c r="AE150" s="845">
        <f>SUM(Tabla1[[#This Row],[PRECIO $ BOLSA50 KG  FOB TUCUMAN A PLAZO (IVA INC)]]+Tabla1[[#This Row],[GASTOS FINANCIEROS $ BOLSA 50 KG (IVA INC)]])</f>
        <v>27851.543100961364</v>
      </c>
      <c r="AF150" s="828" t="s">
        <v>476</v>
      </c>
      <c r="AG150" s="828" t="s">
        <v>365</v>
      </c>
      <c r="AH150" s="828" t="s">
        <v>387</v>
      </c>
      <c r="AI150" s="828" t="s">
        <v>261</v>
      </c>
      <c r="AJ15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50" s="846">
        <f>SUM(Tabla1[[#This Row],[PRECIO $ BOLSA 50KG  FOB CDO TUC (IVA INC)]]-Tabla1[[#This Row],[PRECIO REF $ BOLSA 50 KG CACTU (IVA INC)]])</f>
        <v>-4663.456899038636</v>
      </c>
      <c r="AL150" s="847">
        <f>IFERROR(Tabla1[[#This Row],[PRECIO $ BOLSA 50KG  FOB CDO TUC (IVA INC)]]/Tabla1[[#This Row],[PRECIO REF $ BOLSA 50 KG CACTU (IVA INC)]]-1,"")</f>
        <v>-0.14342478545405613</v>
      </c>
      <c r="AM150" s="846">
        <f>+Tabla1[[#This Row],[DIF $ PRECIO NETO INDUSTRIA vs Neto TUCUMAN (IVA INC)]]*Tabla1[[#This Row],[Q Bolsas Equivalentes 50kg]]</f>
        <v>-3264419.829327045</v>
      </c>
      <c r="AN150" s="846">
        <f>Tabla1[[#This Row],[PRECIO REF $ BOLSA 50 KG CACTU (IVA INC)]]*Tabla1[[#This Row],[Q Bolsas Equivalentes 50kg]]</f>
        <v>22760500</v>
      </c>
      <c r="AO150" s="846">
        <f>+Tabla1[[#This Row],[PRECIO $ BOLSA 50KG  FOB CDO TUC (IVA INC)]]*Tabla1[[#This Row],[Q Bolsas Equivalentes 50kg]]</f>
        <v>19496080.170672953</v>
      </c>
      <c r="AP150" s="847">
        <v>2.9000000000000001E-2</v>
      </c>
      <c r="AQ150" s="846">
        <v>-68</v>
      </c>
      <c r="AR150" s="848"/>
      <c r="AS150" s="849"/>
      <c r="AT150" s="923">
        <f>+Tabla1[[#This Row],[VENTA TOTAL $ (IVA INC) ]]-(SUM(Tabla1[[#This Row],[PENDIENTE DE ENTREGA]:[VALORES COBRADOS]]))</f>
        <v>0</v>
      </c>
      <c r="AU150" s="850">
        <f>VLOOKUP(Tabla1[[#This Row],[FECHA OC]],'TIPO DE CAMBIO'!A:B,2,TRUE)</f>
        <v>1446.3009999999999</v>
      </c>
      <c r="AV150" s="850">
        <f>+Tabla1[[#This Row],[SUBTOTAL]]/Tabla1[[#This Row],[TIPO DE CAMBIO]]</f>
        <v>11025</v>
      </c>
      <c r="AW150" s="851"/>
      <c r="AX150" s="850">
        <f>IFERROR(Tabla1[[#This Row],[VENTA TOTAL USD A PLAZO EN CLIENTE  (SIN IVA)]]*(1+Tabla1[[#This Row],[% IVA ]]),"")</f>
        <v>11025</v>
      </c>
      <c r="AY150" s="850">
        <f>+Tabla1[[#This Row],[VENTA TOTAL USD A PLAZO EN CLIENTE  (SIN IVA)]]/Tabla1[[#This Row],[KGS]]*1000</f>
        <v>315</v>
      </c>
      <c r="AZ150" s="850">
        <v>0</v>
      </c>
      <c r="BA150" s="850">
        <f>+Tabla1[[#This Row],[GASTOS FINANCIEROS $ BOLSA 50 KG (IVA INC)]]*20/Tabla1[[#This Row],[TIPO DE CAMBIO]]</f>
        <v>3.9973758904109591</v>
      </c>
      <c r="BB150" s="850">
        <f>+Tabla1[[#This Row],[PRECIO POR TN USD EN CLIENTE A PLAZO (SIN IVA)]]+Tabla1[[#This Row],[COSTO USD FLETE /TN (SIN IVA)]]+Tabla1[[#This Row],[COSTO FINANCIERO USD POR BOLSA 50KG (IVA INC)]]</f>
        <v>318.99737589041098</v>
      </c>
      <c r="BC150" s="848">
        <v>5</v>
      </c>
      <c r="BD150" s="944"/>
    </row>
    <row r="151" spans="1:56" ht="15.75" customHeight="1">
      <c r="A151" s="912">
        <v>46174</v>
      </c>
      <c r="B151" s="828">
        <v>1</v>
      </c>
      <c r="C151" s="792" t="s">
        <v>406</v>
      </c>
      <c r="D151" s="829">
        <f>+Tabla1[[#This Row],[FECHA Entrega]]</f>
        <v>46183</v>
      </c>
      <c r="E151" s="830">
        <v>700000869</v>
      </c>
      <c r="F151" s="831" t="s">
        <v>358</v>
      </c>
      <c r="G151" s="832" t="s">
        <v>216</v>
      </c>
      <c r="H151" s="852">
        <v>46183</v>
      </c>
      <c r="I151" s="834">
        <f t="shared" si="81"/>
        <v>35000</v>
      </c>
      <c r="J151" s="835">
        <f>0.315*Tabla1[[#This Row],[TIPO DE CAMBIO]]</f>
        <v>455.58481499999999</v>
      </c>
      <c r="K151" s="836">
        <f t="shared" si="60"/>
        <v>15945468.525</v>
      </c>
      <c r="L15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51" s="837">
        <f t="shared" si="82"/>
        <v>19294016.91525</v>
      </c>
      <c r="N151" s="838"/>
      <c r="O151" s="838">
        <v>0</v>
      </c>
      <c r="P151" s="838">
        <v>0</v>
      </c>
      <c r="Q151" s="839">
        <f>+Tabla1[[#This Row],[VENTA TOTAL $ (IVA INC) ]]-Tabla1[[#This Row],[PENDIENTE DE COBRO]]</f>
        <v>19294016.91525</v>
      </c>
      <c r="R151" s="840">
        <f>+Tabla1[[#This Row],[FECHA FC]]+Tabla1[[#This Row],[PLAZO ENTREGA VALORES]]</f>
        <v>46051</v>
      </c>
      <c r="S151" s="840">
        <f>+Tabla1[[#This Row],[FECHA FC]]+Tabla1[[#This Row],[PLAZO PAGO (DIAS)]]</f>
        <v>46183</v>
      </c>
      <c r="T151" s="834">
        <f t="shared" ca="1" si="80"/>
        <v>2</v>
      </c>
      <c r="U151" s="831">
        <f>+Tabla1[[#This Row],[FECHA OC]]-Tabla1[[#This Row],[FECHA Entrega]]</f>
        <v>-132</v>
      </c>
      <c r="V151" s="831"/>
      <c r="W151" s="841">
        <f>+Tabla1[[#This Row],[FECHA VTO VALORES]]+7</f>
        <v>46190</v>
      </c>
      <c r="X151" s="831" t="s">
        <v>489</v>
      </c>
      <c r="Y151" s="840">
        <v>46051</v>
      </c>
      <c r="Z151" s="842">
        <f>Tabla1[[#This Row],[KGS]]/50</f>
        <v>700</v>
      </c>
      <c r="AA15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51" s="844">
        <f>-Tabla1[[#This Row],[COSTO FLETE $ POR BOLSA 5O KG (SIN IVA)]]*1.21-Tabla1[[#This Row],[PRECIO $/ KG A PLAZO EN CLIENTE ( SIN IVA)]]*0.003*1.21*50</f>
        <v>-0.40864392249999071</v>
      </c>
      <c r="AC151" s="845">
        <f>SUM(Tabla1[[#This Row],[PRECIO $ BOLSA 50 KG (IVA INC) ]]+Tabla1[[#This Row],[COSTO FLETE $ BOLSA 50 KG (IVA INC)]])</f>
        <v>27562.4726635775</v>
      </c>
      <c r="AD151" s="844">
        <f>-Tabla1[[#This Row],[PRECIO $ BOLSA 50 KG (IVA INC) ]]*(Tabla1[[#This Row],[TASA FINANCIACION MENSUAL]]/365)*Tabla1[[#This Row],[PLAZO ENTREGA VALORES]]</f>
        <v>289.07043738386301</v>
      </c>
      <c r="AE151" s="845">
        <f>SUM(Tabla1[[#This Row],[PRECIO $ BOLSA50 KG  FOB TUCUMAN A PLAZO (IVA INC)]]+Tabla1[[#This Row],[GASTOS FINANCIEROS $ BOLSA 50 KG (IVA INC)]])</f>
        <v>27851.543100961364</v>
      </c>
      <c r="AF151" s="828" t="s">
        <v>476</v>
      </c>
      <c r="AG151" s="828" t="s">
        <v>365</v>
      </c>
      <c r="AH151" s="828" t="s">
        <v>387</v>
      </c>
      <c r="AI151" s="828" t="s">
        <v>261</v>
      </c>
      <c r="AJ15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51" s="846">
        <f>SUM(Tabla1[[#This Row],[PRECIO $ BOLSA 50KG  FOB CDO TUC (IVA INC)]]-Tabla1[[#This Row],[PRECIO REF $ BOLSA 50 KG CACTU (IVA INC)]])</f>
        <v>-4663.456899038636</v>
      </c>
      <c r="AL151" s="847">
        <f>IFERROR(Tabla1[[#This Row],[PRECIO $ BOLSA 50KG  FOB CDO TUC (IVA INC)]]/Tabla1[[#This Row],[PRECIO REF $ BOLSA 50 KG CACTU (IVA INC)]]-1,"")</f>
        <v>-0.14342478545405613</v>
      </c>
      <c r="AM151" s="846">
        <f>+Tabla1[[#This Row],[DIF $ PRECIO NETO INDUSTRIA vs Neto TUCUMAN (IVA INC)]]*Tabla1[[#This Row],[Q Bolsas Equivalentes 50kg]]</f>
        <v>-3264419.829327045</v>
      </c>
      <c r="AN151" s="846">
        <f>Tabla1[[#This Row],[PRECIO REF $ BOLSA 50 KG CACTU (IVA INC)]]*Tabla1[[#This Row],[Q Bolsas Equivalentes 50kg]]</f>
        <v>22760500</v>
      </c>
      <c r="AO151" s="846">
        <f>+Tabla1[[#This Row],[PRECIO $ BOLSA 50KG  FOB CDO TUC (IVA INC)]]*Tabla1[[#This Row],[Q Bolsas Equivalentes 50kg]]</f>
        <v>19496080.170672953</v>
      </c>
      <c r="AP151" s="847">
        <v>2.9000000000000001E-2</v>
      </c>
      <c r="AQ151" s="846">
        <v>-68</v>
      </c>
      <c r="AR151" s="848"/>
      <c r="AS151" s="849"/>
      <c r="AT151" s="923">
        <f>+Tabla1[[#This Row],[VENTA TOTAL $ (IVA INC) ]]-(SUM(Tabla1[[#This Row],[PENDIENTE DE ENTREGA]:[VALORES COBRADOS]]))</f>
        <v>0</v>
      </c>
      <c r="AU151" s="850">
        <f>VLOOKUP(Tabla1[[#This Row],[FECHA OC]],'TIPO DE CAMBIO'!A:B,2,TRUE)</f>
        <v>1446.3009999999999</v>
      </c>
      <c r="AV151" s="850">
        <f>+Tabla1[[#This Row],[SUBTOTAL]]/Tabla1[[#This Row],[TIPO DE CAMBIO]]</f>
        <v>11025</v>
      </c>
      <c r="AW151" s="851"/>
      <c r="AX151" s="850">
        <f>IFERROR(Tabla1[[#This Row],[VENTA TOTAL USD A PLAZO EN CLIENTE  (SIN IVA)]]*(1+Tabla1[[#This Row],[% IVA ]]),"")</f>
        <v>11025</v>
      </c>
      <c r="AY151" s="850">
        <f>+Tabla1[[#This Row],[VENTA TOTAL USD A PLAZO EN CLIENTE  (SIN IVA)]]/Tabla1[[#This Row],[KGS]]*1000</f>
        <v>315</v>
      </c>
      <c r="AZ151" s="850">
        <v>0</v>
      </c>
      <c r="BA151" s="850">
        <f>+Tabla1[[#This Row],[GASTOS FINANCIEROS $ BOLSA 50 KG (IVA INC)]]*20/Tabla1[[#This Row],[TIPO DE CAMBIO]]</f>
        <v>3.9973758904109591</v>
      </c>
      <c r="BB151" s="850">
        <f>+Tabla1[[#This Row],[PRECIO POR TN USD EN CLIENTE A PLAZO (SIN IVA)]]+Tabla1[[#This Row],[COSTO USD FLETE /TN (SIN IVA)]]+Tabla1[[#This Row],[COSTO FINANCIERO USD POR BOLSA 50KG (IVA INC)]]</f>
        <v>318.99737589041098</v>
      </c>
      <c r="BC151" s="848">
        <v>5</v>
      </c>
      <c r="BD151" s="944"/>
    </row>
    <row r="152" spans="1:56" ht="15.75" customHeight="1">
      <c r="A152" s="912">
        <v>46174</v>
      </c>
      <c r="B152" s="828">
        <v>1</v>
      </c>
      <c r="C152" s="792" t="s">
        <v>406</v>
      </c>
      <c r="D152" s="829">
        <f>+Tabla1[[#This Row],[FECHA Entrega]]</f>
        <v>46183</v>
      </c>
      <c r="E152" s="830">
        <v>700000869</v>
      </c>
      <c r="F152" s="831" t="s">
        <v>358</v>
      </c>
      <c r="G152" s="832" t="s">
        <v>216</v>
      </c>
      <c r="H152" s="852">
        <v>46183</v>
      </c>
      <c r="I152" s="834">
        <f t="shared" si="81"/>
        <v>35000</v>
      </c>
      <c r="J152" s="835">
        <f>0.315*Tabla1[[#This Row],[TIPO DE CAMBIO]]</f>
        <v>455.58481499999999</v>
      </c>
      <c r="K152" s="836">
        <f t="shared" si="60"/>
        <v>15945468.525</v>
      </c>
      <c r="L15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52" s="837">
        <f t="shared" si="82"/>
        <v>19294016.91525</v>
      </c>
      <c r="N152" s="838"/>
      <c r="O152" s="838">
        <v>0</v>
      </c>
      <c r="P152" s="838">
        <v>0</v>
      </c>
      <c r="Q152" s="839">
        <f>+Tabla1[[#This Row],[VENTA TOTAL $ (IVA INC) ]]-Tabla1[[#This Row],[PENDIENTE DE COBRO]]</f>
        <v>19294016.91525</v>
      </c>
      <c r="R152" s="840">
        <f>+Tabla1[[#This Row],[FECHA FC]]+Tabla1[[#This Row],[PLAZO ENTREGA VALORES]]</f>
        <v>46051</v>
      </c>
      <c r="S152" s="840">
        <f>+Tabla1[[#This Row],[FECHA FC]]+Tabla1[[#This Row],[PLAZO PAGO (DIAS)]]</f>
        <v>46183</v>
      </c>
      <c r="T152" s="834">
        <f t="shared" ca="1" si="80"/>
        <v>2</v>
      </c>
      <c r="U152" s="831">
        <f>+Tabla1[[#This Row],[FECHA OC]]-Tabla1[[#This Row],[FECHA Entrega]]</f>
        <v>-132</v>
      </c>
      <c r="V152" s="831"/>
      <c r="W152" s="841">
        <f>+Tabla1[[#This Row],[FECHA VTO VALORES]]+7</f>
        <v>46190</v>
      </c>
      <c r="X152" s="831" t="s">
        <v>489</v>
      </c>
      <c r="Y152" s="840">
        <v>46051</v>
      </c>
      <c r="Z152" s="842">
        <f>Tabla1[[#This Row],[KGS]]/50</f>
        <v>700</v>
      </c>
      <c r="AA15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52" s="844">
        <f>-Tabla1[[#This Row],[COSTO FLETE $ POR BOLSA 5O KG (SIN IVA)]]*1.21-Tabla1[[#This Row],[PRECIO $/ KG A PLAZO EN CLIENTE ( SIN IVA)]]*0.003*1.21*50</f>
        <v>-0.40864392249999071</v>
      </c>
      <c r="AC152" s="845">
        <f>SUM(Tabla1[[#This Row],[PRECIO $ BOLSA 50 KG (IVA INC) ]]+Tabla1[[#This Row],[COSTO FLETE $ BOLSA 50 KG (IVA INC)]])</f>
        <v>27562.4726635775</v>
      </c>
      <c r="AD152" s="844">
        <f>-Tabla1[[#This Row],[PRECIO $ BOLSA 50 KG (IVA INC) ]]*(Tabla1[[#This Row],[TASA FINANCIACION MENSUAL]]/365)*Tabla1[[#This Row],[PLAZO ENTREGA VALORES]]</f>
        <v>289.07043738386301</v>
      </c>
      <c r="AE152" s="845">
        <f>SUM(Tabla1[[#This Row],[PRECIO $ BOLSA50 KG  FOB TUCUMAN A PLAZO (IVA INC)]]+Tabla1[[#This Row],[GASTOS FINANCIEROS $ BOLSA 50 KG (IVA INC)]])</f>
        <v>27851.543100961364</v>
      </c>
      <c r="AF152" s="828" t="s">
        <v>476</v>
      </c>
      <c r="AG152" s="828" t="s">
        <v>365</v>
      </c>
      <c r="AH152" s="828" t="s">
        <v>387</v>
      </c>
      <c r="AI152" s="828" t="s">
        <v>261</v>
      </c>
      <c r="AJ15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52" s="846">
        <f>SUM(Tabla1[[#This Row],[PRECIO $ BOLSA 50KG  FOB CDO TUC (IVA INC)]]-Tabla1[[#This Row],[PRECIO REF $ BOLSA 50 KG CACTU (IVA INC)]])</f>
        <v>-4663.456899038636</v>
      </c>
      <c r="AL152" s="847">
        <f>IFERROR(Tabla1[[#This Row],[PRECIO $ BOLSA 50KG  FOB CDO TUC (IVA INC)]]/Tabla1[[#This Row],[PRECIO REF $ BOLSA 50 KG CACTU (IVA INC)]]-1,"")</f>
        <v>-0.14342478545405613</v>
      </c>
      <c r="AM152" s="846">
        <f>+Tabla1[[#This Row],[DIF $ PRECIO NETO INDUSTRIA vs Neto TUCUMAN (IVA INC)]]*Tabla1[[#This Row],[Q Bolsas Equivalentes 50kg]]</f>
        <v>-3264419.829327045</v>
      </c>
      <c r="AN152" s="846">
        <f>Tabla1[[#This Row],[PRECIO REF $ BOLSA 50 KG CACTU (IVA INC)]]*Tabla1[[#This Row],[Q Bolsas Equivalentes 50kg]]</f>
        <v>22760500</v>
      </c>
      <c r="AO152" s="846">
        <f>+Tabla1[[#This Row],[PRECIO $ BOLSA 50KG  FOB CDO TUC (IVA INC)]]*Tabla1[[#This Row],[Q Bolsas Equivalentes 50kg]]</f>
        <v>19496080.170672953</v>
      </c>
      <c r="AP152" s="847">
        <v>2.9000000000000001E-2</v>
      </c>
      <c r="AQ152" s="846">
        <v>-68</v>
      </c>
      <c r="AR152" s="848"/>
      <c r="AS152" s="849"/>
      <c r="AT152" s="923">
        <f>+Tabla1[[#This Row],[VENTA TOTAL $ (IVA INC) ]]-(SUM(Tabla1[[#This Row],[PENDIENTE DE ENTREGA]:[VALORES COBRADOS]]))</f>
        <v>0</v>
      </c>
      <c r="AU152" s="850">
        <f>VLOOKUP(Tabla1[[#This Row],[FECHA OC]],'TIPO DE CAMBIO'!A:B,2,TRUE)</f>
        <v>1446.3009999999999</v>
      </c>
      <c r="AV152" s="850">
        <f>+Tabla1[[#This Row],[SUBTOTAL]]/Tabla1[[#This Row],[TIPO DE CAMBIO]]</f>
        <v>11025</v>
      </c>
      <c r="AW152" s="851"/>
      <c r="AX152" s="850">
        <f>IFERROR(Tabla1[[#This Row],[VENTA TOTAL USD A PLAZO EN CLIENTE  (SIN IVA)]]*(1+Tabla1[[#This Row],[% IVA ]]),"")</f>
        <v>11025</v>
      </c>
      <c r="AY152" s="850">
        <f>+Tabla1[[#This Row],[VENTA TOTAL USD A PLAZO EN CLIENTE  (SIN IVA)]]/Tabla1[[#This Row],[KGS]]*1000</f>
        <v>315</v>
      </c>
      <c r="AZ152" s="850">
        <v>0</v>
      </c>
      <c r="BA152" s="850">
        <f>+Tabla1[[#This Row],[GASTOS FINANCIEROS $ BOLSA 50 KG (IVA INC)]]*20/Tabla1[[#This Row],[TIPO DE CAMBIO]]</f>
        <v>3.9973758904109591</v>
      </c>
      <c r="BB152" s="850">
        <f>+Tabla1[[#This Row],[PRECIO POR TN USD EN CLIENTE A PLAZO (SIN IVA)]]+Tabla1[[#This Row],[COSTO USD FLETE /TN (SIN IVA)]]+Tabla1[[#This Row],[COSTO FINANCIERO USD POR BOLSA 50KG (IVA INC)]]</f>
        <v>318.99737589041098</v>
      </c>
      <c r="BC152" s="848">
        <v>5</v>
      </c>
      <c r="BD152" s="944"/>
    </row>
    <row r="153" spans="1:56" ht="15.75" customHeight="1">
      <c r="A153" s="912">
        <v>46174</v>
      </c>
      <c r="B153" s="828">
        <v>1</v>
      </c>
      <c r="C153" s="792" t="s">
        <v>406</v>
      </c>
      <c r="D153" s="829">
        <f>+Tabla1[[#This Row],[FECHA Entrega]]</f>
        <v>46184</v>
      </c>
      <c r="E153" s="830">
        <v>700000869</v>
      </c>
      <c r="F153" s="831" t="s">
        <v>358</v>
      </c>
      <c r="G153" s="832" t="s">
        <v>216</v>
      </c>
      <c r="H153" s="852">
        <v>46184</v>
      </c>
      <c r="I153" s="834">
        <f t="shared" si="81"/>
        <v>35000</v>
      </c>
      <c r="J153" s="835">
        <f>0.315*Tabla1[[#This Row],[TIPO DE CAMBIO]]</f>
        <v>455.58481499999999</v>
      </c>
      <c r="K153" s="836">
        <f t="shared" si="60"/>
        <v>15945468.525</v>
      </c>
      <c r="L15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53" s="837">
        <f t="shared" si="82"/>
        <v>19294016.91525</v>
      </c>
      <c r="N153" s="838"/>
      <c r="O153" s="838">
        <v>0</v>
      </c>
      <c r="P153" s="838">
        <v>0</v>
      </c>
      <c r="Q153" s="839">
        <f>+Tabla1[[#This Row],[VENTA TOTAL $ (IVA INC) ]]-Tabla1[[#This Row],[PENDIENTE DE COBRO]]</f>
        <v>19294016.91525</v>
      </c>
      <c r="R153" s="840">
        <f>+Tabla1[[#This Row],[FECHA FC]]+Tabla1[[#This Row],[PLAZO ENTREGA VALORES]]</f>
        <v>46051</v>
      </c>
      <c r="S153" s="840">
        <f>+Tabla1[[#This Row],[FECHA FC]]+Tabla1[[#This Row],[PLAZO PAGO (DIAS)]]</f>
        <v>46184</v>
      </c>
      <c r="T153" s="834">
        <f t="shared" ca="1" si="80"/>
        <v>3</v>
      </c>
      <c r="U153" s="831">
        <f>+Tabla1[[#This Row],[FECHA OC]]-Tabla1[[#This Row],[FECHA Entrega]]</f>
        <v>-133</v>
      </c>
      <c r="V153" s="831"/>
      <c r="W153" s="841">
        <f>+Tabla1[[#This Row],[FECHA VTO VALORES]]+7</f>
        <v>46191</v>
      </c>
      <c r="X153" s="831" t="s">
        <v>489</v>
      </c>
      <c r="Y153" s="840">
        <v>46051</v>
      </c>
      <c r="Z153" s="842">
        <f>Tabla1[[#This Row],[KGS]]/50</f>
        <v>700</v>
      </c>
      <c r="AA15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53" s="844">
        <f>-Tabla1[[#This Row],[COSTO FLETE $ POR BOLSA 5O KG (SIN IVA)]]*1.21-Tabla1[[#This Row],[PRECIO $/ KG A PLAZO EN CLIENTE ( SIN IVA)]]*0.003*1.21*50</f>
        <v>-0.40864392249999071</v>
      </c>
      <c r="AC153" s="845">
        <f>SUM(Tabla1[[#This Row],[PRECIO $ BOLSA 50 KG (IVA INC) ]]+Tabla1[[#This Row],[COSTO FLETE $ BOLSA 50 KG (IVA INC)]])</f>
        <v>27562.4726635775</v>
      </c>
      <c r="AD153" s="844">
        <f>-Tabla1[[#This Row],[PRECIO $ BOLSA 50 KG (IVA INC) ]]*(Tabla1[[#This Row],[TASA FINANCIACION MENSUAL]]/365)*Tabla1[[#This Row],[PLAZO ENTREGA VALORES]]</f>
        <v>291.26036493980138</v>
      </c>
      <c r="AE153" s="845">
        <f>SUM(Tabla1[[#This Row],[PRECIO $ BOLSA50 KG  FOB TUCUMAN A PLAZO (IVA INC)]]+Tabla1[[#This Row],[GASTOS FINANCIEROS $ BOLSA 50 KG (IVA INC)]])</f>
        <v>27853.733028517301</v>
      </c>
      <c r="AF153" s="828" t="s">
        <v>476</v>
      </c>
      <c r="AG153" s="828" t="s">
        <v>365</v>
      </c>
      <c r="AH153" s="828" t="s">
        <v>387</v>
      </c>
      <c r="AI153" s="828" t="s">
        <v>261</v>
      </c>
      <c r="AJ15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53" s="846">
        <f>SUM(Tabla1[[#This Row],[PRECIO $ BOLSA 50KG  FOB CDO TUC (IVA INC)]]-Tabla1[[#This Row],[PRECIO REF $ BOLSA 50 KG CACTU (IVA INC)]])</f>
        <v>-4661.2669714826989</v>
      </c>
      <c r="AL153" s="847">
        <f>IFERROR(Tabla1[[#This Row],[PRECIO $ BOLSA 50KG  FOB CDO TUC (IVA INC)]]/Tabla1[[#This Row],[PRECIO REF $ BOLSA 50 KG CACTU (IVA INC)]]-1,"")</f>
        <v>-0.14335743415293556</v>
      </c>
      <c r="AM153" s="846">
        <f>+Tabla1[[#This Row],[DIF $ PRECIO NETO INDUSTRIA vs Neto TUCUMAN (IVA INC)]]*Tabla1[[#This Row],[Q Bolsas Equivalentes 50kg]]</f>
        <v>-3262886.8800378894</v>
      </c>
      <c r="AN153" s="846">
        <f>Tabla1[[#This Row],[PRECIO REF $ BOLSA 50 KG CACTU (IVA INC)]]*Tabla1[[#This Row],[Q Bolsas Equivalentes 50kg]]</f>
        <v>22760500</v>
      </c>
      <c r="AO153" s="846">
        <f>+Tabla1[[#This Row],[PRECIO $ BOLSA 50KG  FOB CDO TUC (IVA INC)]]*Tabla1[[#This Row],[Q Bolsas Equivalentes 50kg]]</f>
        <v>19497613.119962111</v>
      </c>
      <c r="AP153" s="847">
        <v>2.9000000000000001E-2</v>
      </c>
      <c r="AQ153" s="846">
        <v>-68</v>
      </c>
      <c r="AR153" s="848"/>
      <c r="AS153" s="849"/>
      <c r="AT153" s="923">
        <f>+Tabla1[[#This Row],[VENTA TOTAL $ (IVA INC) ]]-(SUM(Tabla1[[#This Row],[PENDIENTE DE ENTREGA]:[VALORES COBRADOS]]))</f>
        <v>0</v>
      </c>
      <c r="AU153" s="850">
        <f>VLOOKUP(Tabla1[[#This Row],[FECHA OC]],'TIPO DE CAMBIO'!A:B,2,TRUE)</f>
        <v>1446.3009999999999</v>
      </c>
      <c r="AV153" s="850">
        <f>+Tabla1[[#This Row],[SUBTOTAL]]/Tabla1[[#This Row],[TIPO DE CAMBIO]]</f>
        <v>11025</v>
      </c>
      <c r="AW153" s="851"/>
      <c r="AX153" s="850">
        <f>IFERROR(Tabla1[[#This Row],[VENTA TOTAL USD A PLAZO EN CLIENTE  (SIN IVA)]]*(1+Tabla1[[#This Row],[% IVA ]]),"")</f>
        <v>11025</v>
      </c>
      <c r="AY153" s="850">
        <f>+Tabla1[[#This Row],[VENTA TOTAL USD A PLAZO EN CLIENTE  (SIN IVA)]]/Tabla1[[#This Row],[KGS]]*1000</f>
        <v>315</v>
      </c>
      <c r="AZ153" s="850">
        <v>0</v>
      </c>
      <c r="BA153" s="850">
        <f>+Tabla1[[#This Row],[GASTOS FINANCIEROS $ BOLSA 50 KG (IVA INC)]]*20/Tabla1[[#This Row],[TIPO DE CAMBIO]]</f>
        <v>4.0276590410958901</v>
      </c>
      <c r="BB153" s="850">
        <f>+Tabla1[[#This Row],[PRECIO POR TN USD EN CLIENTE A PLAZO (SIN IVA)]]+Tabla1[[#This Row],[COSTO USD FLETE /TN (SIN IVA)]]+Tabla1[[#This Row],[COSTO FINANCIERO USD POR BOLSA 50KG (IVA INC)]]</f>
        <v>319.02765904109589</v>
      </c>
      <c r="BC153" s="848">
        <v>5</v>
      </c>
      <c r="BD153" s="944"/>
    </row>
    <row r="154" spans="1:56" ht="15.75" customHeight="1">
      <c r="A154" s="912">
        <v>46174</v>
      </c>
      <c r="B154" s="828">
        <v>1</v>
      </c>
      <c r="C154" s="792" t="s">
        <v>406</v>
      </c>
      <c r="D154" s="829">
        <f>+Tabla1[[#This Row],[FECHA Entrega]]</f>
        <v>46184</v>
      </c>
      <c r="E154" s="830">
        <v>700000869</v>
      </c>
      <c r="F154" s="831" t="s">
        <v>358</v>
      </c>
      <c r="G154" s="832" t="s">
        <v>216</v>
      </c>
      <c r="H154" s="852">
        <v>46184</v>
      </c>
      <c r="I154" s="834">
        <f t="shared" si="81"/>
        <v>35000</v>
      </c>
      <c r="J154" s="835">
        <f>0.315*Tabla1[[#This Row],[TIPO DE CAMBIO]]</f>
        <v>455.58481499999999</v>
      </c>
      <c r="K154" s="836">
        <f t="shared" si="60"/>
        <v>15945468.525</v>
      </c>
      <c r="L15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54" s="837">
        <f t="shared" si="82"/>
        <v>19294016.91525</v>
      </c>
      <c r="N154" s="838"/>
      <c r="O154" s="838">
        <v>0</v>
      </c>
      <c r="P154" s="838">
        <v>0</v>
      </c>
      <c r="Q154" s="839">
        <f>+Tabla1[[#This Row],[VENTA TOTAL $ (IVA INC) ]]-Tabla1[[#This Row],[PENDIENTE DE COBRO]]</f>
        <v>19294016.91525</v>
      </c>
      <c r="R154" s="840">
        <f>+Tabla1[[#This Row],[FECHA FC]]+Tabla1[[#This Row],[PLAZO ENTREGA VALORES]]</f>
        <v>46051</v>
      </c>
      <c r="S154" s="840">
        <f>+Tabla1[[#This Row],[FECHA FC]]+Tabla1[[#This Row],[PLAZO PAGO (DIAS)]]</f>
        <v>46184</v>
      </c>
      <c r="T154" s="834">
        <f t="shared" ca="1" si="80"/>
        <v>3</v>
      </c>
      <c r="U154" s="831">
        <f>+Tabla1[[#This Row],[FECHA OC]]-Tabla1[[#This Row],[FECHA Entrega]]</f>
        <v>-133</v>
      </c>
      <c r="V154" s="831"/>
      <c r="W154" s="841">
        <f>+Tabla1[[#This Row],[FECHA VTO VALORES]]+7</f>
        <v>46191</v>
      </c>
      <c r="X154" s="831" t="s">
        <v>489</v>
      </c>
      <c r="Y154" s="840">
        <v>46051</v>
      </c>
      <c r="Z154" s="842">
        <f>Tabla1[[#This Row],[KGS]]/50</f>
        <v>700</v>
      </c>
      <c r="AA15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54" s="844">
        <f>-Tabla1[[#This Row],[COSTO FLETE $ POR BOLSA 5O KG (SIN IVA)]]*1.21-Tabla1[[#This Row],[PRECIO $/ KG A PLAZO EN CLIENTE ( SIN IVA)]]*0.003*1.21*50</f>
        <v>-0.40864392249999071</v>
      </c>
      <c r="AC154" s="845">
        <f>SUM(Tabla1[[#This Row],[PRECIO $ BOLSA 50 KG (IVA INC) ]]+Tabla1[[#This Row],[COSTO FLETE $ BOLSA 50 KG (IVA INC)]])</f>
        <v>27562.4726635775</v>
      </c>
      <c r="AD154" s="844">
        <f>-Tabla1[[#This Row],[PRECIO $ BOLSA 50 KG (IVA INC) ]]*(Tabla1[[#This Row],[TASA FINANCIACION MENSUAL]]/365)*Tabla1[[#This Row],[PLAZO ENTREGA VALORES]]</f>
        <v>291.26036493980138</v>
      </c>
      <c r="AE154" s="845">
        <f>SUM(Tabla1[[#This Row],[PRECIO $ BOLSA50 KG  FOB TUCUMAN A PLAZO (IVA INC)]]+Tabla1[[#This Row],[GASTOS FINANCIEROS $ BOLSA 50 KG (IVA INC)]])</f>
        <v>27853.733028517301</v>
      </c>
      <c r="AF154" s="828" t="s">
        <v>476</v>
      </c>
      <c r="AG154" s="828" t="s">
        <v>365</v>
      </c>
      <c r="AH154" s="828" t="s">
        <v>387</v>
      </c>
      <c r="AI154" s="828" t="s">
        <v>261</v>
      </c>
      <c r="AJ15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54" s="846">
        <f>SUM(Tabla1[[#This Row],[PRECIO $ BOLSA 50KG  FOB CDO TUC (IVA INC)]]-Tabla1[[#This Row],[PRECIO REF $ BOLSA 50 KG CACTU (IVA INC)]])</f>
        <v>-4661.2669714826989</v>
      </c>
      <c r="AL154" s="847">
        <f>IFERROR(Tabla1[[#This Row],[PRECIO $ BOLSA 50KG  FOB CDO TUC (IVA INC)]]/Tabla1[[#This Row],[PRECIO REF $ BOLSA 50 KG CACTU (IVA INC)]]-1,"")</f>
        <v>-0.14335743415293556</v>
      </c>
      <c r="AM154" s="846">
        <f>+Tabla1[[#This Row],[DIF $ PRECIO NETO INDUSTRIA vs Neto TUCUMAN (IVA INC)]]*Tabla1[[#This Row],[Q Bolsas Equivalentes 50kg]]</f>
        <v>-3262886.8800378894</v>
      </c>
      <c r="AN154" s="846">
        <f>Tabla1[[#This Row],[PRECIO REF $ BOLSA 50 KG CACTU (IVA INC)]]*Tabla1[[#This Row],[Q Bolsas Equivalentes 50kg]]</f>
        <v>22760500</v>
      </c>
      <c r="AO154" s="846">
        <f>+Tabla1[[#This Row],[PRECIO $ BOLSA 50KG  FOB CDO TUC (IVA INC)]]*Tabla1[[#This Row],[Q Bolsas Equivalentes 50kg]]</f>
        <v>19497613.119962111</v>
      </c>
      <c r="AP154" s="847">
        <v>2.9000000000000001E-2</v>
      </c>
      <c r="AQ154" s="846">
        <v>-68</v>
      </c>
      <c r="AR154" s="848"/>
      <c r="AS154" s="849"/>
      <c r="AT154" s="923">
        <f>+Tabla1[[#This Row],[VENTA TOTAL $ (IVA INC) ]]-(SUM(Tabla1[[#This Row],[PENDIENTE DE ENTREGA]:[VALORES COBRADOS]]))</f>
        <v>0</v>
      </c>
      <c r="AU154" s="850">
        <f>VLOOKUP(Tabla1[[#This Row],[FECHA OC]],'TIPO DE CAMBIO'!A:B,2,TRUE)</f>
        <v>1446.3009999999999</v>
      </c>
      <c r="AV154" s="850">
        <f>+Tabla1[[#This Row],[SUBTOTAL]]/Tabla1[[#This Row],[TIPO DE CAMBIO]]</f>
        <v>11025</v>
      </c>
      <c r="AW154" s="851"/>
      <c r="AX154" s="850">
        <f>IFERROR(Tabla1[[#This Row],[VENTA TOTAL USD A PLAZO EN CLIENTE  (SIN IVA)]]*(1+Tabla1[[#This Row],[% IVA ]]),"")</f>
        <v>11025</v>
      </c>
      <c r="AY154" s="850">
        <f>+Tabla1[[#This Row],[VENTA TOTAL USD A PLAZO EN CLIENTE  (SIN IVA)]]/Tabla1[[#This Row],[KGS]]*1000</f>
        <v>315</v>
      </c>
      <c r="AZ154" s="850">
        <v>0</v>
      </c>
      <c r="BA154" s="850">
        <f>+Tabla1[[#This Row],[GASTOS FINANCIEROS $ BOLSA 50 KG (IVA INC)]]*20/Tabla1[[#This Row],[TIPO DE CAMBIO]]</f>
        <v>4.0276590410958901</v>
      </c>
      <c r="BB154" s="850">
        <f>+Tabla1[[#This Row],[PRECIO POR TN USD EN CLIENTE A PLAZO (SIN IVA)]]+Tabla1[[#This Row],[COSTO USD FLETE /TN (SIN IVA)]]+Tabla1[[#This Row],[COSTO FINANCIERO USD POR BOLSA 50KG (IVA INC)]]</f>
        <v>319.02765904109589</v>
      </c>
      <c r="BC154" s="848">
        <v>5</v>
      </c>
      <c r="BD154" s="944"/>
    </row>
    <row r="155" spans="1:56" ht="15.75" customHeight="1">
      <c r="A155" s="912">
        <v>46174</v>
      </c>
      <c r="B155" s="828">
        <v>1</v>
      </c>
      <c r="C155" s="792" t="s">
        <v>406</v>
      </c>
      <c r="D155" s="829">
        <f>+Tabla1[[#This Row],[FECHA Entrega]]</f>
        <v>46184</v>
      </c>
      <c r="E155" s="830">
        <v>700000869</v>
      </c>
      <c r="F155" s="831" t="s">
        <v>358</v>
      </c>
      <c r="G155" s="832" t="s">
        <v>216</v>
      </c>
      <c r="H155" s="852">
        <v>46184</v>
      </c>
      <c r="I155" s="834">
        <f t="shared" si="81"/>
        <v>35000</v>
      </c>
      <c r="J155" s="835">
        <f>0.315*Tabla1[[#This Row],[TIPO DE CAMBIO]]</f>
        <v>455.58481499999999</v>
      </c>
      <c r="K155" s="836">
        <f t="shared" si="60"/>
        <v>15945468.525</v>
      </c>
      <c r="L15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55" s="837">
        <f t="shared" si="82"/>
        <v>19294016.91525</v>
      </c>
      <c r="N155" s="838"/>
      <c r="O155" s="838">
        <v>0</v>
      </c>
      <c r="P155" s="838">
        <v>0</v>
      </c>
      <c r="Q155" s="839">
        <f>+Tabla1[[#This Row],[VENTA TOTAL $ (IVA INC) ]]-Tabla1[[#This Row],[PENDIENTE DE COBRO]]</f>
        <v>19294016.91525</v>
      </c>
      <c r="R155" s="840">
        <f>+Tabla1[[#This Row],[FECHA FC]]+Tabla1[[#This Row],[PLAZO ENTREGA VALORES]]</f>
        <v>46051</v>
      </c>
      <c r="S155" s="840">
        <f>+Tabla1[[#This Row],[FECHA FC]]+Tabla1[[#This Row],[PLAZO PAGO (DIAS)]]</f>
        <v>46184</v>
      </c>
      <c r="T155" s="834">
        <f t="shared" ca="1" si="80"/>
        <v>3</v>
      </c>
      <c r="U155" s="831">
        <f>+Tabla1[[#This Row],[FECHA OC]]-Tabla1[[#This Row],[FECHA Entrega]]</f>
        <v>-133</v>
      </c>
      <c r="V155" s="831"/>
      <c r="W155" s="841">
        <f>+Tabla1[[#This Row],[FECHA VTO VALORES]]+7</f>
        <v>46191</v>
      </c>
      <c r="X155" s="831" t="s">
        <v>489</v>
      </c>
      <c r="Y155" s="840">
        <v>46051</v>
      </c>
      <c r="Z155" s="842">
        <f>Tabla1[[#This Row],[KGS]]/50</f>
        <v>700</v>
      </c>
      <c r="AA15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55" s="844">
        <f>-Tabla1[[#This Row],[COSTO FLETE $ POR BOLSA 5O KG (SIN IVA)]]*1.21-Tabla1[[#This Row],[PRECIO $/ KG A PLAZO EN CLIENTE ( SIN IVA)]]*0.003*1.21*50</f>
        <v>-0.40864392249999071</v>
      </c>
      <c r="AC155" s="845">
        <f>SUM(Tabla1[[#This Row],[PRECIO $ BOLSA 50 KG (IVA INC) ]]+Tabla1[[#This Row],[COSTO FLETE $ BOLSA 50 KG (IVA INC)]])</f>
        <v>27562.4726635775</v>
      </c>
      <c r="AD155" s="844">
        <f>-Tabla1[[#This Row],[PRECIO $ BOLSA 50 KG (IVA INC) ]]*(Tabla1[[#This Row],[TASA FINANCIACION MENSUAL]]/365)*Tabla1[[#This Row],[PLAZO ENTREGA VALORES]]</f>
        <v>291.26036493980138</v>
      </c>
      <c r="AE155" s="845">
        <f>SUM(Tabla1[[#This Row],[PRECIO $ BOLSA50 KG  FOB TUCUMAN A PLAZO (IVA INC)]]+Tabla1[[#This Row],[GASTOS FINANCIEROS $ BOLSA 50 KG (IVA INC)]])</f>
        <v>27853.733028517301</v>
      </c>
      <c r="AF155" s="828" t="s">
        <v>476</v>
      </c>
      <c r="AG155" s="828" t="s">
        <v>365</v>
      </c>
      <c r="AH155" s="828" t="s">
        <v>387</v>
      </c>
      <c r="AI155" s="828" t="s">
        <v>261</v>
      </c>
      <c r="AJ15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55" s="846">
        <f>SUM(Tabla1[[#This Row],[PRECIO $ BOLSA 50KG  FOB CDO TUC (IVA INC)]]-Tabla1[[#This Row],[PRECIO REF $ BOLSA 50 KG CACTU (IVA INC)]])</f>
        <v>-4661.2669714826989</v>
      </c>
      <c r="AL155" s="847">
        <f>IFERROR(Tabla1[[#This Row],[PRECIO $ BOLSA 50KG  FOB CDO TUC (IVA INC)]]/Tabla1[[#This Row],[PRECIO REF $ BOLSA 50 KG CACTU (IVA INC)]]-1,"")</f>
        <v>-0.14335743415293556</v>
      </c>
      <c r="AM155" s="846">
        <f>+Tabla1[[#This Row],[DIF $ PRECIO NETO INDUSTRIA vs Neto TUCUMAN (IVA INC)]]*Tabla1[[#This Row],[Q Bolsas Equivalentes 50kg]]</f>
        <v>-3262886.8800378894</v>
      </c>
      <c r="AN155" s="846">
        <f>Tabla1[[#This Row],[PRECIO REF $ BOLSA 50 KG CACTU (IVA INC)]]*Tabla1[[#This Row],[Q Bolsas Equivalentes 50kg]]</f>
        <v>22760500</v>
      </c>
      <c r="AO155" s="846">
        <f>+Tabla1[[#This Row],[PRECIO $ BOLSA 50KG  FOB CDO TUC (IVA INC)]]*Tabla1[[#This Row],[Q Bolsas Equivalentes 50kg]]</f>
        <v>19497613.119962111</v>
      </c>
      <c r="AP155" s="847">
        <v>2.9000000000000001E-2</v>
      </c>
      <c r="AQ155" s="846">
        <v>-68</v>
      </c>
      <c r="AR155" s="848"/>
      <c r="AS155" s="849"/>
      <c r="AT155" s="923">
        <f>+Tabla1[[#This Row],[VENTA TOTAL $ (IVA INC) ]]-(SUM(Tabla1[[#This Row],[PENDIENTE DE ENTREGA]:[VALORES COBRADOS]]))</f>
        <v>0</v>
      </c>
      <c r="AU155" s="850">
        <f>VLOOKUP(Tabla1[[#This Row],[FECHA OC]],'TIPO DE CAMBIO'!A:B,2,TRUE)</f>
        <v>1446.3009999999999</v>
      </c>
      <c r="AV155" s="850">
        <f>+Tabla1[[#This Row],[SUBTOTAL]]/Tabla1[[#This Row],[TIPO DE CAMBIO]]</f>
        <v>11025</v>
      </c>
      <c r="AW155" s="851"/>
      <c r="AX155" s="850">
        <f>IFERROR(Tabla1[[#This Row],[VENTA TOTAL USD A PLAZO EN CLIENTE  (SIN IVA)]]*(1+Tabla1[[#This Row],[% IVA ]]),"")</f>
        <v>11025</v>
      </c>
      <c r="AY155" s="850">
        <f>+Tabla1[[#This Row],[VENTA TOTAL USD A PLAZO EN CLIENTE  (SIN IVA)]]/Tabla1[[#This Row],[KGS]]*1000</f>
        <v>315</v>
      </c>
      <c r="AZ155" s="850">
        <v>0</v>
      </c>
      <c r="BA155" s="850">
        <f>+Tabla1[[#This Row],[GASTOS FINANCIEROS $ BOLSA 50 KG (IVA INC)]]*20/Tabla1[[#This Row],[TIPO DE CAMBIO]]</f>
        <v>4.0276590410958901</v>
      </c>
      <c r="BB155" s="850">
        <f>+Tabla1[[#This Row],[PRECIO POR TN USD EN CLIENTE A PLAZO (SIN IVA)]]+Tabla1[[#This Row],[COSTO USD FLETE /TN (SIN IVA)]]+Tabla1[[#This Row],[COSTO FINANCIERO USD POR BOLSA 50KG (IVA INC)]]</f>
        <v>319.02765904109589</v>
      </c>
      <c r="BC155" s="848">
        <v>5</v>
      </c>
      <c r="BD155" s="944"/>
    </row>
    <row r="156" spans="1:56" ht="15.75" customHeight="1">
      <c r="A156" s="912">
        <v>46174</v>
      </c>
      <c r="B156" s="828">
        <v>1</v>
      </c>
      <c r="C156" s="792" t="s">
        <v>406</v>
      </c>
      <c r="D156" s="829">
        <f>+Tabla1[[#This Row],[FECHA Entrega]]</f>
        <v>46184</v>
      </c>
      <c r="E156" s="830">
        <v>700000869</v>
      </c>
      <c r="F156" s="831" t="s">
        <v>358</v>
      </c>
      <c r="G156" s="832" t="s">
        <v>216</v>
      </c>
      <c r="H156" s="852">
        <v>46184</v>
      </c>
      <c r="I156" s="834">
        <f t="shared" si="81"/>
        <v>35000</v>
      </c>
      <c r="J156" s="835">
        <f>0.315*Tabla1[[#This Row],[TIPO DE CAMBIO]]</f>
        <v>455.58481499999999</v>
      </c>
      <c r="K156" s="836">
        <f t="shared" si="60"/>
        <v>15945468.525</v>
      </c>
      <c r="L15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56" s="837">
        <f t="shared" si="82"/>
        <v>19294016.91525</v>
      </c>
      <c r="N156" s="838"/>
      <c r="O156" s="838">
        <v>0</v>
      </c>
      <c r="P156" s="838">
        <v>0</v>
      </c>
      <c r="Q156" s="839">
        <f>+Tabla1[[#This Row],[VENTA TOTAL $ (IVA INC) ]]-Tabla1[[#This Row],[PENDIENTE DE COBRO]]</f>
        <v>19294016.91525</v>
      </c>
      <c r="R156" s="840">
        <f>+Tabla1[[#This Row],[FECHA FC]]+Tabla1[[#This Row],[PLAZO ENTREGA VALORES]]</f>
        <v>46051</v>
      </c>
      <c r="S156" s="840">
        <f>+Tabla1[[#This Row],[FECHA FC]]+Tabla1[[#This Row],[PLAZO PAGO (DIAS)]]</f>
        <v>46184</v>
      </c>
      <c r="T156" s="834">
        <f t="shared" ca="1" si="80"/>
        <v>3</v>
      </c>
      <c r="U156" s="831">
        <f>+Tabla1[[#This Row],[FECHA OC]]-Tabla1[[#This Row],[FECHA Entrega]]</f>
        <v>-133</v>
      </c>
      <c r="V156" s="831"/>
      <c r="W156" s="841">
        <f>+Tabla1[[#This Row],[FECHA VTO VALORES]]+7</f>
        <v>46191</v>
      </c>
      <c r="X156" s="831" t="s">
        <v>489</v>
      </c>
      <c r="Y156" s="840">
        <v>46051</v>
      </c>
      <c r="Z156" s="842">
        <f>Tabla1[[#This Row],[KGS]]/50</f>
        <v>700</v>
      </c>
      <c r="AA15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56" s="844">
        <f>-Tabla1[[#This Row],[COSTO FLETE $ POR BOLSA 5O KG (SIN IVA)]]*1.21-Tabla1[[#This Row],[PRECIO $/ KG A PLAZO EN CLIENTE ( SIN IVA)]]*0.003*1.21*50</f>
        <v>-0.40864392249999071</v>
      </c>
      <c r="AC156" s="845">
        <f>SUM(Tabla1[[#This Row],[PRECIO $ BOLSA 50 KG (IVA INC) ]]+Tabla1[[#This Row],[COSTO FLETE $ BOLSA 50 KG (IVA INC)]])</f>
        <v>27562.4726635775</v>
      </c>
      <c r="AD156" s="844">
        <f>-Tabla1[[#This Row],[PRECIO $ BOLSA 50 KG (IVA INC) ]]*(Tabla1[[#This Row],[TASA FINANCIACION MENSUAL]]/365)*Tabla1[[#This Row],[PLAZO ENTREGA VALORES]]</f>
        <v>291.26036493980138</v>
      </c>
      <c r="AE156" s="845">
        <f>SUM(Tabla1[[#This Row],[PRECIO $ BOLSA50 KG  FOB TUCUMAN A PLAZO (IVA INC)]]+Tabla1[[#This Row],[GASTOS FINANCIEROS $ BOLSA 50 KG (IVA INC)]])</f>
        <v>27853.733028517301</v>
      </c>
      <c r="AF156" s="828" t="s">
        <v>476</v>
      </c>
      <c r="AG156" s="828" t="s">
        <v>365</v>
      </c>
      <c r="AH156" s="828" t="s">
        <v>387</v>
      </c>
      <c r="AI156" s="828" t="s">
        <v>261</v>
      </c>
      <c r="AJ15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56" s="846">
        <f>SUM(Tabla1[[#This Row],[PRECIO $ BOLSA 50KG  FOB CDO TUC (IVA INC)]]-Tabla1[[#This Row],[PRECIO REF $ BOLSA 50 KG CACTU (IVA INC)]])</f>
        <v>-4661.2669714826989</v>
      </c>
      <c r="AL156" s="847">
        <f>IFERROR(Tabla1[[#This Row],[PRECIO $ BOLSA 50KG  FOB CDO TUC (IVA INC)]]/Tabla1[[#This Row],[PRECIO REF $ BOLSA 50 KG CACTU (IVA INC)]]-1,"")</f>
        <v>-0.14335743415293556</v>
      </c>
      <c r="AM156" s="846">
        <f>+Tabla1[[#This Row],[DIF $ PRECIO NETO INDUSTRIA vs Neto TUCUMAN (IVA INC)]]*Tabla1[[#This Row],[Q Bolsas Equivalentes 50kg]]</f>
        <v>-3262886.8800378894</v>
      </c>
      <c r="AN156" s="846">
        <f>Tabla1[[#This Row],[PRECIO REF $ BOLSA 50 KG CACTU (IVA INC)]]*Tabla1[[#This Row],[Q Bolsas Equivalentes 50kg]]</f>
        <v>22760500</v>
      </c>
      <c r="AO156" s="846">
        <f>+Tabla1[[#This Row],[PRECIO $ BOLSA 50KG  FOB CDO TUC (IVA INC)]]*Tabla1[[#This Row],[Q Bolsas Equivalentes 50kg]]</f>
        <v>19497613.119962111</v>
      </c>
      <c r="AP156" s="847">
        <v>2.9000000000000001E-2</v>
      </c>
      <c r="AQ156" s="846">
        <v>-68</v>
      </c>
      <c r="AR156" s="848"/>
      <c r="AS156" s="849"/>
      <c r="AT156" s="923">
        <f>+Tabla1[[#This Row],[VENTA TOTAL $ (IVA INC) ]]-(SUM(Tabla1[[#This Row],[PENDIENTE DE ENTREGA]:[VALORES COBRADOS]]))</f>
        <v>0</v>
      </c>
      <c r="AU156" s="850">
        <f>VLOOKUP(Tabla1[[#This Row],[FECHA OC]],'TIPO DE CAMBIO'!A:B,2,TRUE)</f>
        <v>1446.3009999999999</v>
      </c>
      <c r="AV156" s="850">
        <f>+Tabla1[[#This Row],[SUBTOTAL]]/Tabla1[[#This Row],[TIPO DE CAMBIO]]</f>
        <v>11025</v>
      </c>
      <c r="AW156" s="851"/>
      <c r="AX156" s="850">
        <f>IFERROR(Tabla1[[#This Row],[VENTA TOTAL USD A PLAZO EN CLIENTE  (SIN IVA)]]*(1+Tabla1[[#This Row],[% IVA ]]),"")</f>
        <v>11025</v>
      </c>
      <c r="AY156" s="850">
        <f>+Tabla1[[#This Row],[VENTA TOTAL USD A PLAZO EN CLIENTE  (SIN IVA)]]/Tabla1[[#This Row],[KGS]]*1000</f>
        <v>315</v>
      </c>
      <c r="AZ156" s="850">
        <v>0</v>
      </c>
      <c r="BA156" s="850">
        <f>+Tabla1[[#This Row],[GASTOS FINANCIEROS $ BOLSA 50 KG (IVA INC)]]*20/Tabla1[[#This Row],[TIPO DE CAMBIO]]</f>
        <v>4.0276590410958901</v>
      </c>
      <c r="BB156" s="850">
        <f>+Tabla1[[#This Row],[PRECIO POR TN USD EN CLIENTE A PLAZO (SIN IVA)]]+Tabla1[[#This Row],[COSTO USD FLETE /TN (SIN IVA)]]+Tabla1[[#This Row],[COSTO FINANCIERO USD POR BOLSA 50KG (IVA INC)]]</f>
        <v>319.02765904109589</v>
      </c>
      <c r="BC156" s="848">
        <v>5</v>
      </c>
      <c r="BD156" s="944"/>
    </row>
    <row r="157" spans="1:56" ht="15.75" customHeight="1">
      <c r="A157" s="912">
        <v>46174</v>
      </c>
      <c r="B157" s="828">
        <v>1</v>
      </c>
      <c r="C157" s="792" t="s">
        <v>406</v>
      </c>
      <c r="D157" s="829">
        <f>+Tabla1[[#This Row],[FECHA Entrega]]</f>
        <v>46185</v>
      </c>
      <c r="E157" s="830">
        <v>700000869</v>
      </c>
      <c r="F157" s="831" t="s">
        <v>358</v>
      </c>
      <c r="G157" s="832" t="s">
        <v>216</v>
      </c>
      <c r="H157" s="852">
        <v>46185</v>
      </c>
      <c r="I157" s="834">
        <f t="shared" si="81"/>
        <v>35000</v>
      </c>
      <c r="J157" s="835">
        <f>0.315*Tabla1[[#This Row],[TIPO DE CAMBIO]]</f>
        <v>455.58481499999999</v>
      </c>
      <c r="K157" s="836">
        <f t="shared" si="60"/>
        <v>15945468.525</v>
      </c>
      <c r="L15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57" s="837">
        <f t="shared" si="82"/>
        <v>19294016.91525</v>
      </c>
      <c r="N157" s="838"/>
      <c r="O157" s="838">
        <v>0</v>
      </c>
      <c r="P157" s="838">
        <v>0</v>
      </c>
      <c r="Q157" s="839">
        <f>+Tabla1[[#This Row],[VENTA TOTAL $ (IVA INC) ]]-Tabla1[[#This Row],[PENDIENTE DE COBRO]]</f>
        <v>19294016.91525</v>
      </c>
      <c r="R157" s="840">
        <f>+Tabla1[[#This Row],[FECHA FC]]+Tabla1[[#This Row],[PLAZO ENTREGA VALORES]]</f>
        <v>46051</v>
      </c>
      <c r="S157" s="840">
        <f>+Tabla1[[#This Row],[FECHA FC]]+Tabla1[[#This Row],[PLAZO PAGO (DIAS)]]</f>
        <v>46185</v>
      </c>
      <c r="T157" s="834">
        <f t="shared" ca="1" si="80"/>
        <v>4</v>
      </c>
      <c r="U157" s="831">
        <f>+Tabla1[[#This Row],[FECHA OC]]-Tabla1[[#This Row],[FECHA Entrega]]</f>
        <v>-134</v>
      </c>
      <c r="V157" s="831"/>
      <c r="W157" s="841">
        <f>+Tabla1[[#This Row],[FECHA VTO VALORES]]+7</f>
        <v>46192</v>
      </c>
      <c r="X157" s="831" t="s">
        <v>489</v>
      </c>
      <c r="Y157" s="840">
        <v>46051</v>
      </c>
      <c r="Z157" s="842">
        <f>Tabla1[[#This Row],[KGS]]/50</f>
        <v>700</v>
      </c>
      <c r="AA15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57" s="844">
        <f>-Tabla1[[#This Row],[COSTO FLETE $ POR BOLSA 5O KG (SIN IVA)]]*1.21-Tabla1[[#This Row],[PRECIO $/ KG A PLAZO EN CLIENTE ( SIN IVA)]]*0.003*1.21*50</f>
        <v>-0.40864392249999071</v>
      </c>
      <c r="AC157" s="845">
        <f>SUM(Tabla1[[#This Row],[PRECIO $ BOLSA 50 KG (IVA INC) ]]+Tabla1[[#This Row],[COSTO FLETE $ BOLSA 50 KG (IVA INC)]])</f>
        <v>27562.4726635775</v>
      </c>
      <c r="AD157" s="844">
        <f>-Tabla1[[#This Row],[PRECIO $ BOLSA 50 KG (IVA INC) ]]*(Tabla1[[#This Row],[TASA FINANCIACION MENSUAL]]/365)*Tabla1[[#This Row],[PLAZO ENTREGA VALORES]]</f>
        <v>293.45029249573975</v>
      </c>
      <c r="AE157" s="845">
        <f>SUM(Tabla1[[#This Row],[PRECIO $ BOLSA50 KG  FOB TUCUMAN A PLAZO (IVA INC)]]+Tabla1[[#This Row],[GASTOS FINANCIEROS $ BOLSA 50 KG (IVA INC)]])</f>
        <v>27855.922956073242</v>
      </c>
      <c r="AF157" s="828" t="s">
        <v>476</v>
      </c>
      <c r="AG157" s="828" t="s">
        <v>365</v>
      </c>
      <c r="AH157" s="828" t="s">
        <v>387</v>
      </c>
      <c r="AI157" s="828" t="s">
        <v>261</v>
      </c>
      <c r="AJ15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57" s="846">
        <f>SUM(Tabla1[[#This Row],[PRECIO $ BOLSA 50KG  FOB CDO TUC (IVA INC)]]-Tabla1[[#This Row],[PRECIO REF $ BOLSA 50 KG CACTU (IVA INC)]])</f>
        <v>-4659.0770439267581</v>
      </c>
      <c r="AL157" s="847">
        <f>IFERROR(Tabla1[[#This Row],[PRECIO $ BOLSA 50KG  FOB CDO TUC (IVA INC)]]/Tabla1[[#This Row],[PRECIO REF $ BOLSA 50 KG CACTU (IVA INC)]]-1,"")</f>
        <v>-0.14329008285181477</v>
      </c>
      <c r="AM157" s="846">
        <f>+Tabla1[[#This Row],[DIF $ PRECIO NETO INDUSTRIA vs Neto TUCUMAN (IVA INC)]]*Tabla1[[#This Row],[Q Bolsas Equivalentes 50kg]]</f>
        <v>-3261353.9307487304</v>
      </c>
      <c r="AN157" s="846">
        <f>Tabla1[[#This Row],[PRECIO REF $ BOLSA 50 KG CACTU (IVA INC)]]*Tabla1[[#This Row],[Q Bolsas Equivalentes 50kg]]</f>
        <v>22760500</v>
      </c>
      <c r="AO157" s="846">
        <f>+Tabla1[[#This Row],[PRECIO $ BOLSA 50KG  FOB CDO TUC (IVA INC)]]*Tabla1[[#This Row],[Q Bolsas Equivalentes 50kg]]</f>
        <v>19499146.069251269</v>
      </c>
      <c r="AP157" s="847">
        <v>2.9000000000000001E-2</v>
      </c>
      <c r="AQ157" s="846">
        <v>-68</v>
      </c>
      <c r="AR157" s="848"/>
      <c r="AS157" s="849"/>
      <c r="AT157" s="923">
        <f>+Tabla1[[#This Row],[VENTA TOTAL $ (IVA INC) ]]-(SUM(Tabla1[[#This Row],[PENDIENTE DE ENTREGA]:[VALORES COBRADOS]]))</f>
        <v>0</v>
      </c>
      <c r="AU157" s="850">
        <f>VLOOKUP(Tabla1[[#This Row],[FECHA OC]],'TIPO DE CAMBIO'!A:B,2,TRUE)</f>
        <v>1446.3009999999999</v>
      </c>
      <c r="AV157" s="850">
        <f>+Tabla1[[#This Row],[SUBTOTAL]]/Tabla1[[#This Row],[TIPO DE CAMBIO]]</f>
        <v>11025</v>
      </c>
      <c r="AW157" s="851"/>
      <c r="AX157" s="850">
        <f>IFERROR(Tabla1[[#This Row],[VENTA TOTAL USD A PLAZO EN CLIENTE  (SIN IVA)]]*(1+Tabla1[[#This Row],[% IVA ]]),"")</f>
        <v>11025</v>
      </c>
      <c r="AY157" s="850">
        <f>+Tabla1[[#This Row],[VENTA TOTAL USD A PLAZO EN CLIENTE  (SIN IVA)]]/Tabla1[[#This Row],[KGS]]*1000</f>
        <v>315</v>
      </c>
      <c r="AZ157" s="850">
        <v>0</v>
      </c>
      <c r="BA157" s="850">
        <f>+Tabla1[[#This Row],[GASTOS FINANCIEROS $ BOLSA 50 KG (IVA INC)]]*20/Tabla1[[#This Row],[TIPO DE CAMBIO]]</f>
        <v>4.057942191780822</v>
      </c>
      <c r="BB157" s="850">
        <f>+Tabla1[[#This Row],[PRECIO POR TN USD EN CLIENTE A PLAZO (SIN IVA)]]+Tabla1[[#This Row],[COSTO USD FLETE /TN (SIN IVA)]]+Tabla1[[#This Row],[COSTO FINANCIERO USD POR BOLSA 50KG (IVA INC)]]</f>
        <v>319.0579421917808</v>
      </c>
      <c r="BC157" s="848">
        <v>5</v>
      </c>
      <c r="BD157" s="944"/>
    </row>
    <row r="158" spans="1:56" ht="15.75" customHeight="1">
      <c r="A158" s="912">
        <v>46174</v>
      </c>
      <c r="B158" s="828">
        <v>1</v>
      </c>
      <c r="C158" s="792" t="s">
        <v>406</v>
      </c>
      <c r="D158" s="829">
        <f>+Tabla1[[#This Row],[FECHA Entrega]]</f>
        <v>46185</v>
      </c>
      <c r="E158" s="830">
        <v>700000869</v>
      </c>
      <c r="F158" s="831" t="s">
        <v>358</v>
      </c>
      <c r="G158" s="832" t="s">
        <v>216</v>
      </c>
      <c r="H158" s="852">
        <v>46185</v>
      </c>
      <c r="I158" s="834">
        <f t="shared" si="81"/>
        <v>35000</v>
      </c>
      <c r="J158" s="835">
        <f>0.315*Tabla1[[#This Row],[TIPO DE CAMBIO]]</f>
        <v>455.58481499999999</v>
      </c>
      <c r="K158" s="836">
        <f t="shared" si="60"/>
        <v>15945468.525</v>
      </c>
      <c r="L15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58" s="837">
        <f t="shared" si="82"/>
        <v>19294016.91525</v>
      </c>
      <c r="N158" s="838"/>
      <c r="O158" s="838">
        <v>0</v>
      </c>
      <c r="P158" s="838">
        <v>0</v>
      </c>
      <c r="Q158" s="839">
        <f>+Tabla1[[#This Row],[VENTA TOTAL $ (IVA INC) ]]-Tabla1[[#This Row],[PENDIENTE DE COBRO]]</f>
        <v>19294016.91525</v>
      </c>
      <c r="R158" s="840">
        <f>+Tabla1[[#This Row],[FECHA FC]]+Tabla1[[#This Row],[PLAZO ENTREGA VALORES]]</f>
        <v>46051</v>
      </c>
      <c r="S158" s="840">
        <f>+Tabla1[[#This Row],[FECHA FC]]+Tabla1[[#This Row],[PLAZO PAGO (DIAS)]]</f>
        <v>46185</v>
      </c>
      <c r="T158" s="834">
        <f t="shared" ca="1" si="80"/>
        <v>4</v>
      </c>
      <c r="U158" s="831">
        <f>+Tabla1[[#This Row],[FECHA OC]]-Tabla1[[#This Row],[FECHA Entrega]]</f>
        <v>-134</v>
      </c>
      <c r="V158" s="831"/>
      <c r="W158" s="841">
        <f>+Tabla1[[#This Row],[FECHA VTO VALORES]]+7</f>
        <v>46192</v>
      </c>
      <c r="X158" s="831" t="s">
        <v>489</v>
      </c>
      <c r="Y158" s="840">
        <v>46051</v>
      </c>
      <c r="Z158" s="842">
        <f>Tabla1[[#This Row],[KGS]]/50</f>
        <v>700</v>
      </c>
      <c r="AA15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58" s="844">
        <f>-Tabla1[[#This Row],[COSTO FLETE $ POR BOLSA 5O KG (SIN IVA)]]*1.21-Tabla1[[#This Row],[PRECIO $/ KG A PLAZO EN CLIENTE ( SIN IVA)]]*0.003*1.21*50</f>
        <v>-0.40864392249999071</v>
      </c>
      <c r="AC158" s="845">
        <f>SUM(Tabla1[[#This Row],[PRECIO $ BOLSA 50 KG (IVA INC) ]]+Tabla1[[#This Row],[COSTO FLETE $ BOLSA 50 KG (IVA INC)]])</f>
        <v>27562.4726635775</v>
      </c>
      <c r="AD158" s="844">
        <f>-Tabla1[[#This Row],[PRECIO $ BOLSA 50 KG (IVA INC) ]]*(Tabla1[[#This Row],[TASA FINANCIACION MENSUAL]]/365)*Tabla1[[#This Row],[PLAZO ENTREGA VALORES]]</f>
        <v>293.45029249573975</v>
      </c>
      <c r="AE158" s="845">
        <f>SUM(Tabla1[[#This Row],[PRECIO $ BOLSA50 KG  FOB TUCUMAN A PLAZO (IVA INC)]]+Tabla1[[#This Row],[GASTOS FINANCIEROS $ BOLSA 50 KG (IVA INC)]])</f>
        <v>27855.922956073242</v>
      </c>
      <c r="AF158" s="828" t="s">
        <v>476</v>
      </c>
      <c r="AG158" s="828" t="s">
        <v>365</v>
      </c>
      <c r="AH158" s="828" t="s">
        <v>387</v>
      </c>
      <c r="AI158" s="828" t="s">
        <v>261</v>
      </c>
      <c r="AJ15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58" s="846">
        <f>SUM(Tabla1[[#This Row],[PRECIO $ BOLSA 50KG  FOB CDO TUC (IVA INC)]]-Tabla1[[#This Row],[PRECIO REF $ BOLSA 50 KG CACTU (IVA INC)]])</f>
        <v>-4659.0770439267581</v>
      </c>
      <c r="AL158" s="847">
        <f>IFERROR(Tabla1[[#This Row],[PRECIO $ BOLSA 50KG  FOB CDO TUC (IVA INC)]]/Tabla1[[#This Row],[PRECIO REF $ BOLSA 50 KG CACTU (IVA INC)]]-1,"")</f>
        <v>-0.14329008285181477</v>
      </c>
      <c r="AM158" s="846">
        <f>+Tabla1[[#This Row],[DIF $ PRECIO NETO INDUSTRIA vs Neto TUCUMAN (IVA INC)]]*Tabla1[[#This Row],[Q Bolsas Equivalentes 50kg]]</f>
        <v>-3261353.9307487304</v>
      </c>
      <c r="AN158" s="846">
        <f>Tabla1[[#This Row],[PRECIO REF $ BOLSA 50 KG CACTU (IVA INC)]]*Tabla1[[#This Row],[Q Bolsas Equivalentes 50kg]]</f>
        <v>22760500</v>
      </c>
      <c r="AO158" s="846">
        <f>+Tabla1[[#This Row],[PRECIO $ BOLSA 50KG  FOB CDO TUC (IVA INC)]]*Tabla1[[#This Row],[Q Bolsas Equivalentes 50kg]]</f>
        <v>19499146.069251269</v>
      </c>
      <c r="AP158" s="847">
        <v>2.9000000000000001E-2</v>
      </c>
      <c r="AQ158" s="846">
        <v>-68</v>
      </c>
      <c r="AR158" s="848"/>
      <c r="AS158" s="849"/>
      <c r="AT158" s="923">
        <f>+Tabla1[[#This Row],[VENTA TOTAL $ (IVA INC) ]]-(SUM(Tabla1[[#This Row],[PENDIENTE DE ENTREGA]:[VALORES COBRADOS]]))</f>
        <v>0</v>
      </c>
      <c r="AU158" s="850">
        <f>VLOOKUP(Tabla1[[#This Row],[FECHA OC]],'TIPO DE CAMBIO'!A:B,2,TRUE)</f>
        <v>1446.3009999999999</v>
      </c>
      <c r="AV158" s="850">
        <f>+Tabla1[[#This Row],[SUBTOTAL]]/Tabla1[[#This Row],[TIPO DE CAMBIO]]</f>
        <v>11025</v>
      </c>
      <c r="AW158" s="851"/>
      <c r="AX158" s="850">
        <f>IFERROR(Tabla1[[#This Row],[VENTA TOTAL USD A PLAZO EN CLIENTE  (SIN IVA)]]*(1+Tabla1[[#This Row],[% IVA ]]),"")</f>
        <v>11025</v>
      </c>
      <c r="AY158" s="850">
        <f>+Tabla1[[#This Row],[VENTA TOTAL USD A PLAZO EN CLIENTE  (SIN IVA)]]/Tabla1[[#This Row],[KGS]]*1000</f>
        <v>315</v>
      </c>
      <c r="AZ158" s="850">
        <v>0</v>
      </c>
      <c r="BA158" s="850">
        <f>+Tabla1[[#This Row],[GASTOS FINANCIEROS $ BOLSA 50 KG (IVA INC)]]*20/Tabla1[[#This Row],[TIPO DE CAMBIO]]</f>
        <v>4.057942191780822</v>
      </c>
      <c r="BB158" s="850">
        <f>+Tabla1[[#This Row],[PRECIO POR TN USD EN CLIENTE A PLAZO (SIN IVA)]]+Tabla1[[#This Row],[COSTO USD FLETE /TN (SIN IVA)]]+Tabla1[[#This Row],[COSTO FINANCIERO USD POR BOLSA 50KG (IVA INC)]]</f>
        <v>319.0579421917808</v>
      </c>
      <c r="BC158" s="848">
        <v>5</v>
      </c>
      <c r="BD158" s="944"/>
    </row>
    <row r="159" spans="1:56" ht="15.75" customHeight="1">
      <c r="A159" s="912">
        <v>46174</v>
      </c>
      <c r="B159" s="828">
        <v>1</v>
      </c>
      <c r="C159" s="792" t="s">
        <v>406</v>
      </c>
      <c r="D159" s="829">
        <f>+Tabla1[[#This Row],[FECHA Entrega]]</f>
        <v>46185</v>
      </c>
      <c r="E159" s="830">
        <v>700000869</v>
      </c>
      <c r="F159" s="831" t="s">
        <v>358</v>
      </c>
      <c r="G159" s="832" t="s">
        <v>216</v>
      </c>
      <c r="H159" s="852">
        <v>46185</v>
      </c>
      <c r="I159" s="834">
        <f t="shared" si="81"/>
        <v>35000</v>
      </c>
      <c r="J159" s="835">
        <f>0.315*Tabla1[[#This Row],[TIPO DE CAMBIO]]</f>
        <v>455.58481499999999</v>
      </c>
      <c r="K159" s="836">
        <f t="shared" si="60"/>
        <v>15945468.525</v>
      </c>
      <c r="L15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59" s="837">
        <f t="shared" si="82"/>
        <v>19294016.91525</v>
      </c>
      <c r="N159" s="838"/>
      <c r="O159" s="838">
        <v>0</v>
      </c>
      <c r="P159" s="838">
        <v>0</v>
      </c>
      <c r="Q159" s="839">
        <f>+Tabla1[[#This Row],[VENTA TOTAL $ (IVA INC) ]]-Tabla1[[#This Row],[PENDIENTE DE COBRO]]</f>
        <v>19294016.91525</v>
      </c>
      <c r="R159" s="840">
        <f>+Tabla1[[#This Row],[FECHA FC]]+Tabla1[[#This Row],[PLAZO ENTREGA VALORES]]</f>
        <v>46051</v>
      </c>
      <c r="S159" s="840">
        <f>+Tabla1[[#This Row],[FECHA FC]]+Tabla1[[#This Row],[PLAZO PAGO (DIAS)]]</f>
        <v>46185</v>
      </c>
      <c r="T159" s="834">
        <f t="shared" ca="1" si="80"/>
        <v>4</v>
      </c>
      <c r="U159" s="831">
        <f>+Tabla1[[#This Row],[FECHA OC]]-Tabla1[[#This Row],[FECHA Entrega]]</f>
        <v>-134</v>
      </c>
      <c r="V159" s="831"/>
      <c r="W159" s="841">
        <f>+Tabla1[[#This Row],[FECHA VTO VALORES]]+7</f>
        <v>46192</v>
      </c>
      <c r="X159" s="831" t="s">
        <v>489</v>
      </c>
      <c r="Y159" s="840">
        <v>46051</v>
      </c>
      <c r="Z159" s="842">
        <f>Tabla1[[#This Row],[KGS]]/50</f>
        <v>700</v>
      </c>
      <c r="AA15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59" s="844">
        <f>-Tabla1[[#This Row],[COSTO FLETE $ POR BOLSA 5O KG (SIN IVA)]]*1.21-Tabla1[[#This Row],[PRECIO $/ KG A PLAZO EN CLIENTE ( SIN IVA)]]*0.003*1.21*50</f>
        <v>-0.40864392249999071</v>
      </c>
      <c r="AC159" s="845">
        <f>SUM(Tabla1[[#This Row],[PRECIO $ BOLSA 50 KG (IVA INC) ]]+Tabla1[[#This Row],[COSTO FLETE $ BOLSA 50 KG (IVA INC)]])</f>
        <v>27562.4726635775</v>
      </c>
      <c r="AD159" s="844">
        <f>-Tabla1[[#This Row],[PRECIO $ BOLSA 50 KG (IVA INC) ]]*(Tabla1[[#This Row],[TASA FINANCIACION MENSUAL]]/365)*Tabla1[[#This Row],[PLAZO ENTREGA VALORES]]</f>
        <v>293.45029249573975</v>
      </c>
      <c r="AE159" s="845">
        <f>SUM(Tabla1[[#This Row],[PRECIO $ BOLSA50 KG  FOB TUCUMAN A PLAZO (IVA INC)]]+Tabla1[[#This Row],[GASTOS FINANCIEROS $ BOLSA 50 KG (IVA INC)]])</f>
        <v>27855.922956073242</v>
      </c>
      <c r="AF159" s="828" t="s">
        <v>476</v>
      </c>
      <c r="AG159" s="828" t="s">
        <v>365</v>
      </c>
      <c r="AH159" s="828" t="s">
        <v>387</v>
      </c>
      <c r="AI159" s="828" t="s">
        <v>261</v>
      </c>
      <c r="AJ15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59" s="846">
        <f>SUM(Tabla1[[#This Row],[PRECIO $ BOLSA 50KG  FOB CDO TUC (IVA INC)]]-Tabla1[[#This Row],[PRECIO REF $ BOLSA 50 KG CACTU (IVA INC)]])</f>
        <v>-4659.0770439267581</v>
      </c>
      <c r="AL159" s="847">
        <f>IFERROR(Tabla1[[#This Row],[PRECIO $ BOLSA 50KG  FOB CDO TUC (IVA INC)]]/Tabla1[[#This Row],[PRECIO REF $ BOLSA 50 KG CACTU (IVA INC)]]-1,"")</f>
        <v>-0.14329008285181477</v>
      </c>
      <c r="AM159" s="846">
        <f>+Tabla1[[#This Row],[DIF $ PRECIO NETO INDUSTRIA vs Neto TUCUMAN (IVA INC)]]*Tabla1[[#This Row],[Q Bolsas Equivalentes 50kg]]</f>
        <v>-3261353.9307487304</v>
      </c>
      <c r="AN159" s="846">
        <f>Tabla1[[#This Row],[PRECIO REF $ BOLSA 50 KG CACTU (IVA INC)]]*Tabla1[[#This Row],[Q Bolsas Equivalentes 50kg]]</f>
        <v>22760500</v>
      </c>
      <c r="AO159" s="846">
        <f>+Tabla1[[#This Row],[PRECIO $ BOLSA 50KG  FOB CDO TUC (IVA INC)]]*Tabla1[[#This Row],[Q Bolsas Equivalentes 50kg]]</f>
        <v>19499146.069251269</v>
      </c>
      <c r="AP159" s="847">
        <v>2.9000000000000001E-2</v>
      </c>
      <c r="AQ159" s="846">
        <v>-68</v>
      </c>
      <c r="AR159" s="848"/>
      <c r="AS159" s="849"/>
      <c r="AT159" s="923">
        <f>+Tabla1[[#This Row],[VENTA TOTAL $ (IVA INC) ]]-(SUM(Tabla1[[#This Row],[PENDIENTE DE ENTREGA]:[VALORES COBRADOS]]))</f>
        <v>0</v>
      </c>
      <c r="AU159" s="850">
        <f>VLOOKUP(Tabla1[[#This Row],[FECHA OC]],'TIPO DE CAMBIO'!A:B,2,TRUE)</f>
        <v>1446.3009999999999</v>
      </c>
      <c r="AV159" s="850">
        <f>+Tabla1[[#This Row],[SUBTOTAL]]/Tabla1[[#This Row],[TIPO DE CAMBIO]]</f>
        <v>11025</v>
      </c>
      <c r="AW159" s="851"/>
      <c r="AX159" s="850">
        <f>IFERROR(Tabla1[[#This Row],[VENTA TOTAL USD A PLAZO EN CLIENTE  (SIN IVA)]]*(1+Tabla1[[#This Row],[% IVA ]]),"")</f>
        <v>11025</v>
      </c>
      <c r="AY159" s="850">
        <f>+Tabla1[[#This Row],[VENTA TOTAL USD A PLAZO EN CLIENTE  (SIN IVA)]]/Tabla1[[#This Row],[KGS]]*1000</f>
        <v>315</v>
      </c>
      <c r="AZ159" s="850">
        <v>0</v>
      </c>
      <c r="BA159" s="850">
        <f>+Tabla1[[#This Row],[GASTOS FINANCIEROS $ BOLSA 50 KG (IVA INC)]]*20/Tabla1[[#This Row],[TIPO DE CAMBIO]]</f>
        <v>4.057942191780822</v>
      </c>
      <c r="BB159" s="850">
        <f>+Tabla1[[#This Row],[PRECIO POR TN USD EN CLIENTE A PLAZO (SIN IVA)]]+Tabla1[[#This Row],[COSTO USD FLETE /TN (SIN IVA)]]+Tabla1[[#This Row],[COSTO FINANCIERO USD POR BOLSA 50KG (IVA INC)]]</f>
        <v>319.0579421917808</v>
      </c>
      <c r="BC159" s="848">
        <v>5</v>
      </c>
      <c r="BD159" s="944"/>
    </row>
    <row r="160" spans="1:56" ht="15.75" customHeight="1">
      <c r="A160" s="912">
        <v>46174</v>
      </c>
      <c r="B160" s="828">
        <v>1</v>
      </c>
      <c r="C160" s="792" t="s">
        <v>406</v>
      </c>
      <c r="D160" s="829">
        <f>+Tabla1[[#This Row],[FECHA Entrega]]</f>
        <v>46186</v>
      </c>
      <c r="E160" s="830">
        <v>700000869</v>
      </c>
      <c r="F160" s="831" t="s">
        <v>358</v>
      </c>
      <c r="G160" s="832" t="s">
        <v>216</v>
      </c>
      <c r="H160" s="852">
        <v>46186</v>
      </c>
      <c r="I160" s="834">
        <f t="shared" si="81"/>
        <v>35000</v>
      </c>
      <c r="J160" s="835">
        <f>0.315*Tabla1[[#This Row],[TIPO DE CAMBIO]]</f>
        <v>455.58481499999999</v>
      </c>
      <c r="K160" s="836">
        <f t="shared" si="60"/>
        <v>15945468.525</v>
      </c>
      <c r="L16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60" s="837">
        <f t="shared" si="82"/>
        <v>19294016.91525</v>
      </c>
      <c r="N160" s="838"/>
      <c r="O160" s="838">
        <v>0</v>
      </c>
      <c r="P160" s="838">
        <v>0</v>
      </c>
      <c r="Q160" s="839">
        <f>+Tabla1[[#This Row],[VENTA TOTAL $ (IVA INC) ]]-Tabla1[[#This Row],[PENDIENTE DE COBRO]]</f>
        <v>19294016.91525</v>
      </c>
      <c r="R160" s="840">
        <f>+Tabla1[[#This Row],[FECHA FC]]+Tabla1[[#This Row],[PLAZO ENTREGA VALORES]]</f>
        <v>46051</v>
      </c>
      <c r="S160" s="840">
        <f>+Tabla1[[#This Row],[FECHA FC]]+Tabla1[[#This Row],[PLAZO PAGO (DIAS)]]</f>
        <v>46186</v>
      </c>
      <c r="T160" s="834">
        <f t="shared" ca="1" si="80"/>
        <v>5</v>
      </c>
      <c r="U160" s="831">
        <f>+Tabla1[[#This Row],[FECHA OC]]-Tabla1[[#This Row],[FECHA Entrega]]</f>
        <v>-135</v>
      </c>
      <c r="V160" s="831"/>
      <c r="W160" s="841">
        <f>+Tabla1[[#This Row],[FECHA VTO VALORES]]+7</f>
        <v>46193</v>
      </c>
      <c r="X160" s="831" t="s">
        <v>489</v>
      </c>
      <c r="Y160" s="840">
        <v>46051</v>
      </c>
      <c r="Z160" s="842">
        <f>Tabla1[[#This Row],[KGS]]/50</f>
        <v>700</v>
      </c>
      <c r="AA16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60" s="844">
        <f>-Tabla1[[#This Row],[COSTO FLETE $ POR BOLSA 5O KG (SIN IVA)]]*1.21-Tabla1[[#This Row],[PRECIO $/ KG A PLAZO EN CLIENTE ( SIN IVA)]]*0.003*1.21*50</f>
        <v>-0.40864392249999071</v>
      </c>
      <c r="AC160" s="845">
        <f>SUM(Tabla1[[#This Row],[PRECIO $ BOLSA 50 KG (IVA INC) ]]+Tabla1[[#This Row],[COSTO FLETE $ BOLSA 50 KG (IVA INC)]])</f>
        <v>27562.4726635775</v>
      </c>
      <c r="AD160" s="844">
        <f>-Tabla1[[#This Row],[PRECIO $ BOLSA 50 KG (IVA INC) ]]*(Tabla1[[#This Row],[TASA FINANCIACION MENSUAL]]/365)*Tabla1[[#This Row],[PLAZO ENTREGA VALORES]]</f>
        <v>295.64022005167811</v>
      </c>
      <c r="AE160" s="845">
        <f>SUM(Tabla1[[#This Row],[PRECIO $ BOLSA50 KG  FOB TUCUMAN A PLAZO (IVA INC)]]+Tabla1[[#This Row],[GASTOS FINANCIEROS $ BOLSA 50 KG (IVA INC)]])</f>
        <v>27858.112883629179</v>
      </c>
      <c r="AF160" s="828" t="s">
        <v>476</v>
      </c>
      <c r="AG160" s="828" t="s">
        <v>365</v>
      </c>
      <c r="AH160" s="828" t="s">
        <v>387</v>
      </c>
      <c r="AI160" s="828" t="s">
        <v>261</v>
      </c>
      <c r="AJ16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60" s="846">
        <f>SUM(Tabla1[[#This Row],[PRECIO $ BOLSA 50KG  FOB CDO TUC (IVA INC)]]-Tabla1[[#This Row],[PRECIO REF $ BOLSA 50 KG CACTU (IVA INC)]])</f>
        <v>-4656.8871163708209</v>
      </c>
      <c r="AL160" s="847">
        <f>IFERROR(Tabla1[[#This Row],[PRECIO $ BOLSA 50KG  FOB CDO TUC (IVA INC)]]/Tabla1[[#This Row],[PRECIO REF $ BOLSA 50 KG CACTU (IVA INC)]]-1,"")</f>
        <v>-0.1432227315506942</v>
      </c>
      <c r="AM160" s="846">
        <f>+Tabla1[[#This Row],[DIF $ PRECIO NETO INDUSTRIA vs Neto TUCUMAN (IVA INC)]]*Tabla1[[#This Row],[Q Bolsas Equivalentes 50kg]]</f>
        <v>-3259820.9814595748</v>
      </c>
      <c r="AN160" s="846">
        <f>Tabla1[[#This Row],[PRECIO REF $ BOLSA 50 KG CACTU (IVA INC)]]*Tabla1[[#This Row],[Q Bolsas Equivalentes 50kg]]</f>
        <v>22760500</v>
      </c>
      <c r="AO160" s="846">
        <f>+Tabla1[[#This Row],[PRECIO $ BOLSA 50KG  FOB CDO TUC (IVA INC)]]*Tabla1[[#This Row],[Q Bolsas Equivalentes 50kg]]</f>
        <v>19500679.018540427</v>
      </c>
      <c r="AP160" s="847">
        <v>2.9000000000000001E-2</v>
      </c>
      <c r="AQ160" s="846">
        <v>-68</v>
      </c>
      <c r="AR160" s="848"/>
      <c r="AS160" s="849"/>
      <c r="AT160" s="923">
        <f>+Tabla1[[#This Row],[VENTA TOTAL $ (IVA INC) ]]-(SUM(Tabla1[[#This Row],[PENDIENTE DE ENTREGA]:[VALORES COBRADOS]]))</f>
        <v>0</v>
      </c>
      <c r="AU160" s="850">
        <f>VLOOKUP(Tabla1[[#This Row],[FECHA OC]],'TIPO DE CAMBIO'!A:B,2,TRUE)</f>
        <v>1446.3009999999999</v>
      </c>
      <c r="AV160" s="850">
        <f>+Tabla1[[#This Row],[SUBTOTAL]]/Tabla1[[#This Row],[TIPO DE CAMBIO]]</f>
        <v>11025</v>
      </c>
      <c r="AW160" s="851"/>
      <c r="AX160" s="850">
        <f>IFERROR(Tabla1[[#This Row],[VENTA TOTAL USD A PLAZO EN CLIENTE  (SIN IVA)]]*(1+Tabla1[[#This Row],[% IVA ]]),"")</f>
        <v>11025</v>
      </c>
      <c r="AY160" s="850">
        <f>+Tabla1[[#This Row],[VENTA TOTAL USD A PLAZO EN CLIENTE  (SIN IVA)]]/Tabla1[[#This Row],[KGS]]*1000</f>
        <v>315</v>
      </c>
      <c r="AZ160" s="850">
        <v>0</v>
      </c>
      <c r="BA160" s="850">
        <f>+Tabla1[[#This Row],[GASTOS FINANCIEROS $ BOLSA 50 KG (IVA INC)]]*20/Tabla1[[#This Row],[TIPO DE CAMBIO]]</f>
        <v>4.088225342465754</v>
      </c>
      <c r="BB160" s="850">
        <f>+Tabla1[[#This Row],[PRECIO POR TN USD EN CLIENTE A PLAZO (SIN IVA)]]+Tabla1[[#This Row],[COSTO USD FLETE /TN (SIN IVA)]]+Tabla1[[#This Row],[COSTO FINANCIERO USD POR BOLSA 50KG (IVA INC)]]</f>
        <v>319.08822534246576</v>
      </c>
      <c r="BC160" s="848">
        <v>5</v>
      </c>
      <c r="BD160" s="944"/>
    </row>
    <row r="161" spans="1:56" ht="15.75" customHeight="1">
      <c r="A161" s="912">
        <v>46174</v>
      </c>
      <c r="B161" s="828">
        <v>1</v>
      </c>
      <c r="C161" s="792" t="s">
        <v>406</v>
      </c>
      <c r="D161" s="829">
        <f>+Tabla1[[#This Row],[FECHA Entrega]]</f>
        <v>46189</v>
      </c>
      <c r="E161" s="830">
        <v>700000869</v>
      </c>
      <c r="F161" s="831" t="s">
        <v>358</v>
      </c>
      <c r="G161" s="832" t="s">
        <v>216</v>
      </c>
      <c r="H161" s="852">
        <v>46189</v>
      </c>
      <c r="I161" s="834">
        <f t="shared" si="81"/>
        <v>35000</v>
      </c>
      <c r="J161" s="835">
        <f>0.315*Tabla1[[#This Row],[TIPO DE CAMBIO]]</f>
        <v>455.58481499999999</v>
      </c>
      <c r="K161" s="836">
        <f t="shared" si="60"/>
        <v>15945468.525</v>
      </c>
      <c r="L16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61" s="837">
        <f t="shared" si="82"/>
        <v>19294016.91525</v>
      </c>
      <c r="N161" s="838"/>
      <c r="O161" s="838">
        <v>0</v>
      </c>
      <c r="P161" s="838">
        <v>0</v>
      </c>
      <c r="Q161" s="839">
        <f>+Tabla1[[#This Row],[VENTA TOTAL $ (IVA INC) ]]-Tabla1[[#This Row],[PENDIENTE DE COBRO]]</f>
        <v>19294016.91525</v>
      </c>
      <c r="R161" s="840">
        <f>+Tabla1[[#This Row],[FECHA FC]]+Tabla1[[#This Row],[PLAZO ENTREGA VALORES]]</f>
        <v>46051</v>
      </c>
      <c r="S161" s="840">
        <f>+Tabla1[[#This Row],[FECHA FC]]+Tabla1[[#This Row],[PLAZO PAGO (DIAS)]]</f>
        <v>46189</v>
      </c>
      <c r="T161" s="834">
        <f t="shared" ca="1" si="80"/>
        <v>8</v>
      </c>
      <c r="U161" s="831">
        <f>+Tabla1[[#This Row],[FECHA OC]]-Tabla1[[#This Row],[FECHA Entrega]]</f>
        <v>-138</v>
      </c>
      <c r="V161" s="831"/>
      <c r="W161" s="841">
        <f>+Tabla1[[#This Row],[FECHA VTO VALORES]]+7</f>
        <v>46196</v>
      </c>
      <c r="X161" s="831" t="s">
        <v>489</v>
      </c>
      <c r="Y161" s="840">
        <v>46051</v>
      </c>
      <c r="Z161" s="842">
        <f>Tabla1[[#This Row],[KGS]]/50</f>
        <v>700</v>
      </c>
      <c r="AA16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61" s="844">
        <f>-Tabla1[[#This Row],[COSTO FLETE $ POR BOLSA 5O KG (SIN IVA)]]*1.21-Tabla1[[#This Row],[PRECIO $/ KG A PLAZO EN CLIENTE ( SIN IVA)]]*0.003*1.21*50</f>
        <v>-0.40864392249999071</v>
      </c>
      <c r="AC161" s="845">
        <f>SUM(Tabla1[[#This Row],[PRECIO $ BOLSA 50 KG (IVA INC) ]]+Tabla1[[#This Row],[COSTO FLETE $ BOLSA 50 KG (IVA INC)]])</f>
        <v>27562.4726635775</v>
      </c>
      <c r="AD161" s="844">
        <f>-Tabla1[[#This Row],[PRECIO $ BOLSA 50 KG (IVA INC) ]]*(Tabla1[[#This Row],[TASA FINANCIACION MENSUAL]]/365)*Tabla1[[#This Row],[PLAZO ENTREGA VALORES]]</f>
        <v>302.21000271949316</v>
      </c>
      <c r="AE161" s="845">
        <f>SUM(Tabla1[[#This Row],[PRECIO $ BOLSA50 KG  FOB TUCUMAN A PLAZO (IVA INC)]]+Tabla1[[#This Row],[GASTOS FINANCIEROS $ BOLSA 50 KG (IVA INC)]])</f>
        <v>27864.682666296994</v>
      </c>
      <c r="AF161" s="828" t="s">
        <v>476</v>
      </c>
      <c r="AG161" s="828" t="s">
        <v>365</v>
      </c>
      <c r="AH161" s="828" t="s">
        <v>387</v>
      </c>
      <c r="AI161" s="828" t="s">
        <v>261</v>
      </c>
      <c r="AJ16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61" s="846">
        <f>SUM(Tabla1[[#This Row],[PRECIO $ BOLSA 50KG  FOB CDO TUC (IVA INC)]]-Tabla1[[#This Row],[PRECIO REF $ BOLSA 50 KG CACTU (IVA INC)]])</f>
        <v>-4650.3173337030057</v>
      </c>
      <c r="AL161" s="847">
        <f>IFERROR(Tabla1[[#This Row],[PRECIO $ BOLSA 50KG  FOB CDO TUC (IVA INC)]]/Tabla1[[#This Row],[PRECIO REF $ BOLSA 50 KG CACTU (IVA INC)]]-1,"")</f>
        <v>-0.14302067764733217</v>
      </c>
      <c r="AM161" s="846">
        <f>+Tabla1[[#This Row],[DIF $ PRECIO NETO INDUSTRIA vs Neto TUCUMAN (IVA INC)]]*Tabla1[[#This Row],[Q Bolsas Equivalentes 50kg]]</f>
        <v>-3255222.1335921041</v>
      </c>
      <c r="AN161" s="846">
        <f>Tabla1[[#This Row],[PRECIO REF $ BOLSA 50 KG CACTU (IVA INC)]]*Tabla1[[#This Row],[Q Bolsas Equivalentes 50kg]]</f>
        <v>22760500</v>
      </c>
      <c r="AO161" s="846">
        <f>+Tabla1[[#This Row],[PRECIO $ BOLSA 50KG  FOB CDO TUC (IVA INC)]]*Tabla1[[#This Row],[Q Bolsas Equivalentes 50kg]]</f>
        <v>19505277.866407897</v>
      </c>
      <c r="AP161" s="847">
        <v>2.9000000000000001E-2</v>
      </c>
      <c r="AQ161" s="846">
        <v>-68</v>
      </c>
      <c r="AR161" s="848"/>
      <c r="AS161" s="849"/>
      <c r="AT161" s="923">
        <f>+Tabla1[[#This Row],[VENTA TOTAL $ (IVA INC) ]]-(SUM(Tabla1[[#This Row],[PENDIENTE DE ENTREGA]:[VALORES COBRADOS]]))</f>
        <v>0</v>
      </c>
      <c r="AU161" s="850">
        <f>VLOOKUP(Tabla1[[#This Row],[FECHA OC]],'TIPO DE CAMBIO'!A:B,2,TRUE)</f>
        <v>1446.3009999999999</v>
      </c>
      <c r="AV161" s="850">
        <f>+Tabla1[[#This Row],[SUBTOTAL]]/Tabla1[[#This Row],[TIPO DE CAMBIO]]</f>
        <v>11025</v>
      </c>
      <c r="AW161" s="851"/>
      <c r="AX161" s="850">
        <f>IFERROR(Tabla1[[#This Row],[VENTA TOTAL USD A PLAZO EN CLIENTE  (SIN IVA)]]*(1+Tabla1[[#This Row],[% IVA ]]),"")</f>
        <v>11025</v>
      </c>
      <c r="AY161" s="850">
        <f>+Tabla1[[#This Row],[VENTA TOTAL USD A PLAZO EN CLIENTE  (SIN IVA)]]/Tabla1[[#This Row],[KGS]]*1000</f>
        <v>315</v>
      </c>
      <c r="AZ161" s="850">
        <v>0</v>
      </c>
      <c r="BA161" s="850">
        <f>+Tabla1[[#This Row],[GASTOS FINANCIEROS $ BOLSA 50 KG (IVA INC)]]*20/Tabla1[[#This Row],[TIPO DE CAMBIO]]</f>
        <v>4.179074794520548</v>
      </c>
      <c r="BB161" s="850">
        <f>+Tabla1[[#This Row],[PRECIO POR TN USD EN CLIENTE A PLAZO (SIN IVA)]]+Tabla1[[#This Row],[COSTO USD FLETE /TN (SIN IVA)]]+Tabla1[[#This Row],[COSTO FINANCIERO USD POR BOLSA 50KG (IVA INC)]]</f>
        <v>319.17907479452055</v>
      </c>
      <c r="BC161" s="848">
        <v>5</v>
      </c>
      <c r="BD161" s="944"/>
    </row>
    <row r="162" spans="1:56" ht="15.75" customHeight="1">
      <c r="A162" s="912">
        <v>46174</v>
      </c>
      <c r="B162" s="828">
        <v>1</v>
      </c>
      <c r="C162" s="792" t="s">
        <v>406</v>
      </c>
      <c r="D162" s="829">
        <f>+Tabla1[[#This Row],[FECHA Entrega]]</f>
        <v>46190</v>
      </c>
      <c r="E162" s="830">
        <v>700000869</v>
      </c>
      <c r="F162" s="831" t="s">
        <v>358</v>
      </c>
      <c r="G162" s="832" t="s">
        <v>216</v>
      </c>
      <c r="H162" s="852">
        <v>46190</v>
      </c>
      <c r="I162" s="834">
        <f t="shared" si="81"/>
        <v>35000</v>
      </c>
      <c r="J162" s="835">
        <f>0.315*Tabla1[[#This Row],[TIPO DE CAMBIO]]</f>
        <v>455.58481499999999</v>
      </c>
      <c r="K162" s="836">
        <f t="shared" si="60"/>
        <v>15945468.525</v>
      </c>
      <c r="L16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62" s="837">
        <f t="shared" si="82"/>
        <v>19294016.91525</v>
      </c>
      <c r="N162" s="838"/>
      <c r="O162" s="838">
        <v>0</v>
      </c>
      <c r="P162" s="838">
        <v>0</v>
      </c>
      <c r="Q162" s="839">
        <f>+Tabla1[[#This Row],[VENTA TOTAL $ (IVA INC) ]]-Tabla1[[#This Row],[PENDIENTE DE COBRO]]</f>
        <v>19294016.91525</v>
      </c>
      <c r="R162" s="840">
        <f>+Tabla1[[#This Row],[FECHA FC]]+Tabla1[[#This Row],[PLAZO ENTREGA VALORES]]</f>
        <v>46051</v>
      </c>
      <c r="S162" s="840">
        <f>+Tabla1[[#This Row],[FECHA FC]]+Tabla1[[#This Row],[PLAZO PAGO (DIAS)]]</f>
        <v>46190</v>
      </c>
      <c r="T162" s="834">
        <f t="shared" ca="1" si="80"/>
        <v>9</v>
      </c>
      <c r="U162" s="831">
        <f>+Tabla1[[#This Row],[FECHA OC]]-Tabla1[[#This Row],[FECHA Entrega]]</f>
        <v>-139</v>
      </c>
      <c r="V162" s="831"/>
      <c r="W162" s="841">
        <f>+Tabla1[[#This Row],[FECHA VTO VALORES]]+7</f>
        <v>46197</v>
      </c>
      <c r="X162" s="831" t="s">
        <v>489</v>
      </c>
      <c r="Y162" s="840">
        <v>46051</v>
      </c>
      <c r="Z162" s="842">
        <f>Tabla1[[#This Row],[KGS]]/50</f>
        <v>700</v>
      </c>
      <c r="AA16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62" s="844">
        <f>-Tabla1[[#This Row],[COSTO FLETE $ POR BOLSA 5O KG (SIN IVA)]]*1.21-Tabla1[[#This Row],[PRECIO $/ KG A PLAZO EN CLIENTE ( SIN IVA)]]*0.003*1.21*50</f>
        <v>-0.40864392249999071</v>
      </c>
      <c r="AC162" s="845">
        <f>SUM(Tabla1[[#This Row],[PRECIO $ BOLSA 50 KG (IVA INC) ]]+Tabla1[[#This Row],[COSTO FLETE $ BOLSA 50 KG (IVA INC)]])</f>
        <v>27562.4726635775</v>
      </c>
      <c r="AD162" s="844">
        <f>-Tabla1[[#This Row],[PRECIO $ BOLSA 50 KG (IVA INC) ]]*(Tabla1[[#This Row],[TASA FINANCIACION MENSUAL]]/365)*Tabla1[[#This Row],[PLAZO ENTREGA VALORES]]</f>
        <v>304.39993027543153</v>
      </c>
      <c r="AE162" s="845">
        <f>SUM(Tabla1[[#This Row],[PRECIO $ BOLSA50 KG  FOB TUCUMAN A PLAZO (IVA INC)]]+Tabla1[[#This Row],[GASTOS FINANCIEROS $ BOLSA 50 KG (IVA INC)]])</f>
        <v>27866.872593852931</v>
      </c>
      <c r="AF162" s="828" t="s">
        <v>476</v>
      </c>
      <c r="AG162" s="828" t="s">
        <v>365</v>
      </c>
      <c r="AH162" s="828" t="s">
        <v>387</v>
      </c>
      <c r="AI162" s="828" t="s">
        <v>261</v>
      </c>
      <c r="AJ16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62" s="846">
        <f>SUM(Tabla1[[#This Row],[PRECIO $ BOLSA 50KG  FOB CDO TUC (IVA INC)]]-Tabla1[[#This Row],[PRECIO REF $ BOLSA 50 KG CACTU (IVA INC)]])</f>
        <v>-4648.1274061470685</v>
      </c>
      <c r="AL162" s="847">
        <f>IFERROR(Tabla1[[#This Row],[PRECIO $ BOLSA 50KG  FOB CDO TUC (IVA INC)]]/Tabla1[[#This Row],[PRECIO REF $ BOLSA 50 KG CACTU (IVA INC)]]-1,"")</f>
        <v>-0.1429533263462115</v>
      </c>
      <c r="AM162" s="846">
        <f>+Tabla1[[#This Row],[DIF $ PRECIO NETO INDUSTRIA vs Neto TUCUMAN (IVA INC)]]*Tabla1[[#This Row],[Q Bolsas Equivalentes 50kg]]</f>
        <v>-3253689.1843029479</v>
      </c>
      <c r="AN162" s="846">
        <f>Tabla1[[#This Row],[PRECIO REF $ BOLSA 50 KG CACTU (IVA INC)]]*Tabla1[[#This Row],[Q Bolsas Equivalentes 50kg]]</f>
        <v>22760500</v>
      </c>
      <c r="AO162" s="846">
        <f>+Tabla1[[#This Row],[PRECIO $ BOLSA 50KG  FOB CDO TUC (IVA INC)]]*Tabla1[[#This Row],[Q Bolsas Equivalentes 50kg]]</f>
        <v>19506810.815697052</v>
      </c>
      <c r="AP162" s="847">
        <v>2.9000000000000001E-2</v>
      </c>
      <c r="AQ162" s="846">
        <v>-68</v>
      </c>
      <c r="AR162" s="848"/>
      <c r="AS162" s="849"/>
      <c r="AT162" s="923">
        <f>+Tabla1[[#This Row],[VENTA TOTAL $ (IVA INC) ]]-(SUM(Tabla1[[#This Row],[PENDIENTE DE ENTREGA]:[VALORES COBRADOS]]))</f>
        <v>0</v>
      </c>
      <c r="AU162" s="850">
        <f>VLOOKUP(Tabla1[[#This Row],[FECHA OC]],'TIPO DE CAMBIO'!A:B,2,TRUE)</f>
        <v>1446.3009999999999</v>
      </c>
      <c r="AV162" s="850">
        <f>+Tabla1[[#This Row],[SUBTOTAL]]/Tabla1[[#This Row],[TIPO DE CAMBIO]]</f>
        <v>11025</v>
      </c>
      <c r="AW162" s="851"/>
      <c r="AX162" s="850">
        <f>IFERROR(Tabla1[[#This Row],[VENTA TOTAL USD A PLAZO EN CLIENTE  (SIN IVA)]]*(1+Tabla1[[#This Row],[% IVA ]]),"")</f>
        <v>11025</v>
      </c>
      <c r="AY162" s="850">
        <f>+Tabla1[[#This Row],[VENTA TOTAL USD A PLAZO EN CLIENTE  (SIN IVA)]]/Tabla1[[#This Row],[KGS]]*1000</f>
        <v>315</v>
      </c>
      <c r="AZ162" s="850">
        <v>0</v>
      </c>
      <c r="BA162" s="850">
        <f>+Tabla1[[#This Row],[GASTOS FINANCIEROS $ BOLSA 50 KG (IVA INC)]]*20/Tabla1[[#This Row],[TIPO DE CAMBIO]]</f>
        <v>4.2093579452054799</v>
      </c>
      <c r="BB162" s="850">
        <f>+Tabla1[[#This Row],[PRECIO POR TN USD EN CLIENTE A PLAZO (SIN IVA)]]+Tabla1[[#This Row],[COSTO USD FLETE /TN (SIN IVA)]]+Tabla1[[#This Row],[COSTO FINANCIERO USD POR BOLSA 50KG (IVA INC)]]</f>
        <v>319.20935794520545</v>
      </c>
      <c r="BC162" s="848">
        <v>5</v>
      </c>
      <c r="BD162" s="944"/>
    </row>
    <row r="163" spans="1:56" ht="15.75" customHeight="1">
      <c r="A163" s="912">
        <v>46174</v>
      </c>
      <c r="B163" s="828">
        <v>1</v>
      </c>
      <c r="C163" s="792" t="s">
        <v>406</v>
      </c>
      <c r="D163" s="829">
        <f>+Tabla1[[#This Row],[FECHA Entrega]]</f>
        <v>46191</v>
      </c>
      <c r="E163" s="830">
        <v>700000869</v>
      </c>
      <c r="F163" s="831" t="s">
        <v>358</v>
      </c>
      <c r="G163" s="832" t="s">
        <v>216</v>
      </c>
      <c r="H163" s="852">
        <v>46191</v>
      </c>
      <c r="I163" s="834">
        <f t="shared" si="81"/>
        <v>35000</v>
      </c>
      <c r="J163" s="835">
        <f>0.315*Tabla1[[#This Row],[TIPO DE CAMBIO]]</f>
        <v>455.58481499999999</v>
      </c>
      <c r="K163" s="836">
        <f t="shared" si="60"/>
        <v>15945468.525</v>
      </c>
      <c r="L16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63" s="837">
        <f t="shared" si="82"/>
        <v>19294016.91525</v>
      </c>
      <c r="N163" s="838"/>
      <c r="O163" s="838">
        <v>0</v>
      </c>
      <c r="P163" s="838">
        <v>0</v>
      </c>
      <c r="Q163" s="839">
        <f>+Tabla1[[#This Row],[VENTA TOTAL $ (IVA INC) ]]-Tabla1[[#This Row],[PENDIENTE DE COBRO]]</f>
        <v>19294016.91525</v>
      </c>
      <c r="R163" s="840">
        <f>+Tabla1[[#This Row],[FECHA FC]]+Tabla1[[#This Row],[PLAZO ENTREGA VALORES]]</f>
        <v>46051</v>
      </c>
      <c r="S163" s="840">
        <f>+Tabla1[[#This Row],[FECHA FC]]+Tabla1[[#This Row],[PLAZO PAGO (DIAS)]]</f>
        <v>46191</v>
      </c>
      <c r="T163" s="834">
        <f t="shared" ca="1" si="80"/>
        <v>10</v>
      </c>
      <c r="U163" s="831">
        <f>+Tabla1[[#This Row],[FECHA OC]]-Tabla1[[#This Row],[FECHA Entrega]]</f>
        <v>-140</v>
      </c>
      <c r="V163" s="831"/>
      <c r="W163" s="841">
        <f>+Tabla1[[#This Row],[FECHA VTO VALORES]]+7</f>
        <v>46198</v>
      </c>
      <c r="X163" s="831" t="s">
        <v>489</v>
      </c>
      <c r="Y163" s="840">
        <v>46051</v>
      </c>
      <c r="Z163" s="842">
        <f>Tabla1[[#This Row],[KGS]]/50</f>
        <v>700</v>
      </c>
      <c r="AA16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63" s="844">
        <f>-Tabla1[[#This Row],[COSTO FLETE $ POR BOLSA 5O KG (SIN IVA)]]*1.21-Tabla1[[#This Row],[PRECIO $/ KG A PLAZO EN CLIENTE ( SIN IVA)]]*0.003*1.21*50</f>
        <v>-0.40864392249999071</v>
      </c>
      <c r="AC163" s="845">
        <f>SUM(Tabla1[[#This Row],[PRECIO $ BOLSA 50 KG (IVA INC) ]]+Tabla1[[#This Row],[COSTO FLETE $ BOLSA 50 KG (IVA INC)]])</f>
        <v>27562.4726635775</v>
      </c>
      <c r="AD163" s="844">
        <f>-Tabla1[[#This Row],[PRECIO $ BOLSA 50 KG (IVA INC) ]]*(Tabla1[[#This Row],[TASA FINANCIACION MENSUAL]]/365)*Tabla1[[#This Row],[PLAZO ENTREGA VALORES]]</f>
        <v>306.58985783136984</v>
      </c>
      <c r="AE163" s="845">
        <f>SUM(Tabla1[[#This Row],[PRECIO $ BOLSA50 KG  FOB TUCUMAN A PLAZO (IVA INC)]]+Tabla1[[#This Row],[GASTOS FINANCIEROS $ BOLSA 50 KG (IVA INC)]])</f>
        <v>27869.062521408869</v>
      </c>
      <c r="AF163" s="828" t="s">
        <v>476</v>
      </c>
      <c r="AG163" s="828" t="s">
        <v>365</v>
      </c>
      <c r="AH163" s="828" t="s">
        <v>387</v>
      </c>
      <c r="AI163" s="828" t="s">
        <v>261</v>
      </c>
      <c r="AJ16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63" s="846">
        <f>SUM(Tabla1[[#This Row],[PRECIO $ BOLSA 50KG  FOB CDO TUC (IVA INC)]]-Tabla1[[#This Row],[PRECIO REF $ BOLSA 50 KG CACTU (IVA INC)]])</f>
        <v>-4645.9374785911314</v>
      </c>
      <c r="AL163" s="847">
        <f>IFERROR(Tabla1[[#This Row],[PRECIO $ BOLSA 50KG  FOB CDO TUC (IVA INC)]]/Tabla1[[#This Row],[PRECIO REF $ BOLSA 50 KG CACTU (IVA INC)]]-1,"")</f>
        <v>-0.14288597504509093</v>
      </c>
      <c r="AM163" s="846">
        <f>+Tabla1[[#This Row],[DIF $ PRECIO NETO INDUSTRIA vs Neto TUCUMAN (IVA INC)]]*Tabla1[[#This Row],[Q Bolsas Equivalentes 50kg]]</f>
        <v>-3252156.2350137918</v>
      </c>
      <c r="AN163" s="846">
        <f>Tabla1[[#This Row],[PRECIO REF $ BOLSA 50 KG CACTU (IVA INC)]]*Tabla1[[#This Row],[Q Bolsas Equivalentes 50kg]]</f>
        <v>22760500</v>
      </c>
      <c r="AO163" s="846">
        <f>+Tabla1[[#This Row],[PRECIO $ BOLSA 50KG  FOB CDO TUC (IVA INC)]]*Tabla1[[#This Row],[Q Bolsas Equivalentes 50kg]]</f>
        <v>19508343.76498621</v>
      </c>
      <c r="AP163" s="847">
        <v>2.9000000000000001E-2</v>
      </c>
      <c r="AQ163" s="846">
        <v>-68</v>
      </c>
      <c r="AR163" s="848"/>
      <c r="AS163" s="849"/>
      <c r="AT163" s="923">
        <f>+Tabla1[[#This Row],[VENTA TOTAL $ (IVA INC) ]]-(SUM(Tabla1[[#This Row],[PENDIENTE DE ENTREGA]:[VALORES COBRADOS]]))</f>
        <v>0</v>
      </c>
      <c r="AU163" s="850">
        <f>VLOOKUP(Tabla1[[#This Row],[FECHA OC]],'TIPO DE CAMBIO'!A:B,2,TRUE)</f>
        <v>1446.3009999999999</v>
      </c>
      <c r="AV163" s="850">
        <f>+Tabla1[[#This Row],[SUBTOTAL]]/Tabla1[[#This Row],[TIPO DE CAMBIO]]</f>
        <v>11025</v>
      </c>
      <c r="AW163" s="851"/>
      <c r="AX163" s="850">
        <f>IFERROR(Tabla1[[#This Row],[VENTA TOTAL USD A PLAZO EN CLIENTE  (SIN IVA)]]*(1+Tabla1[[#This Row],[% IVA ]]),"")</f>
        <v>11025</v>
      </c>
      <c r="AY163" s="850">
        <f>+Tabla1[[#This Row],[VENTA TOTAL USD A PLAZO EN CLIENTE  (SIN IVA)]]/Tabla1[[#This Row],[KGS]]*1000</f>
        <v>315</v>
      </c>
      <c r="AZ163" s="850">
        <v>0</v>
      </c>
      <c r="BA163" s="850">
        <f>+Tabla1[[#This Row],[GASTOS FINANCIEROS $ BOLSA 50 KG (IVA INC)]]*20/Tabla1[[#This Row],[TIPO DE CAMBIO]]</f>
        <v>4.2396410958904109</v>
      </c>
      <c r="BB163" s="850">
        <f>+Tabla1[[#This Row],[PRECIO POR TN USD EN CLIENTE A PLAZO (SIN IVA)]]+Tabla1[[#This Row],[COSTO USD FLETE /TN (SIN IVA)]]+Tabla1[[#This Row],[COSTO FINANCIERO USD POR BOLSA 50KG (IVA INC)]]</f>
        <v>319.23964109589042</v>
      </c>
      <c r="BC163" s="848">
        <v>5</v>
      </c>
      <c r="BD163" s="944"/>
    </row>
    <row r="164" spans="1:56" ht="15.75" customHeight="1">
      <c r="A164" s="912">
        <v>46174</v>
      </c>
      <c r="B164" s="828">
        <v>1</v>
      </c>
      <c r="C164" s="792" t="s">
        <v>406</v>
      </c>
      <c r="D164" s="829">
        <f>+Tabla1[[#This Row],[FECHA Entrega]]</f>
        <v>46189</v>
      </c>
      <c r="E164" s="830">
        <v>700000869</v>
      </c>
      <c r="F164" s="831" t="s">
        <v>358</v>
      </c>
      <c r="G164" s="832" t="s">
        <v>216</v>
      </c>
      <c r="H164" s="852">
        <v>46189</v>
      </c>
      <c r="I164" s="834">
        <f t="shared" si="81"/>
        <v>35000</v>
      </c>
      <c r="J164" s="835">
        <f>0.315*Tabla1[[#This Row],[TIPO DE CAMBIO]]</f>
        <v>455.58481499999999</v>
      </c>
      <c r="K164" s="836">
        <f t="shared" si="60"/>
        <v>15945468.525</v>
      </c>
      <c r="L16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64" s="837">
        <f t="shared" si="82"/>
        <v>19294016.91525</v>
      </c>
      <c r="N164" s="838"/>
      <c r="O164" s="838">
        <v>0</v>
      </c>
      <c r="P164" s="838">
        <v>0</v>
      </c>
      <c r="Q164" s="839">
        <f>+Tabla1[[#This Row],[VENTA TOTAL $ (IVA INC) ]]-Tabla1[[#This Row],[PENDIENTE DE COBRO]]</f>
        <v>19294016.91525</v>
      </c>
      <c r="R164" s="840">
        <f>+Tabla1[[#This Row],[FECHA FC]]+Tabla1[[#This Row],[PLAZO ENTREGA VALORES]]</f>
        <v>46051</v>
      </c>
      <c r="S164" s="840">
        <f>+Tabla1[[#This Row],[FECHA FC]]+Tabla1[[#This Row],[PLAZO PAGO (DIAS)]]</f>
        <v>46189</v>
      </c>
      <c r="T164" s="834">
        <f t="shared" ref="T164:T202" ca="1" si="83">+S164-$U$2</f>
        <v>8</v>
      </c>
      <c r="U164" s="831">
        <f>+Tabla1[[#This Row],[FECHA OC]]-Tabla1[[#This Row],[FECHA Entrega]]</f>
        <v>-138</v>
      </c>
      <c r="V164" s="831"/>
      <c r="W164" s="841">
        <f>+Tabla1[[#This Row],[FECHA VTO VALORES]]+7</f>
        <v>46196</v>
      </c>
      <c r="X164" s="831" t="s">
        <v>489</v>
      </c>
      <c r="Y164" s="840">
        <v>46051</v>
      </c>
      <c r="Z164" s="842">
        <f>Tabla1[[#This Row],[KGS]]/50</f>
        <v>700</v>
      </c>
      <c r="AA16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64" s="844">
        <f>-Tabla1[[#This Row],[COSTO FLETE $ POR BOLSA 5O KG (SIN IVA)]]*1.21-Tabla1[[#This Row],[PRECIO $/ KG A PLAZO EN CLIENTE ( SIN IVA)]]*0.003*1.21*50</f>
        <v>-0.40864392249999071</v>
      </c>
      <c r="AC164" s="845">
        <f>SUM(Tabla1[[#This Row],[PRECIO $ BOLSA 50 KG (IVA INC) ]]+Tabla1[[#This Row],[COSTO FLETE $ BOLSA 50 KG (IVA INC)]])</f>
        <v>27562.4726635775</v>
      </c>
      <c r="AD164" s="844">
        <f>-Tabla1[[#This Row],[PRECIO $ BOLSA 50 KG (IVA INC) ]]*(Tabla1[[#This Row],[TASA FINANCIACION MENSUAL]]/365)*Tabla1[[#This Row],[PLAZO ENTREGA VALORES]]</f>
        <v>302.21000271949316</v>
      </c>
      <c r="AE164" s="845">
        <f>SUM(Tabla1[[#This Row],[PRECIO $ BOLSA50 KG  FOB TUCUMAN A PLAZO (IVA INC)]]+Tabla1[[#This Row],[GASTOS FINANCIEROS $ BOLSA 50 KG (IVA INC)]])</f>
        <v>27864.682666296994</v>
      </c>
      <c r="AF164" s="828" t="s">
        <v>476</v>
      </c>
      <c r="AG164" s="828" t="s">
        <v>365</v>
      </c>
      <c r="AH164" s="828" t="s">
        <v>387</v>
      </c>
      <c r="AI164" s="828" t="s">
        <v>261</v>
      </c>
      <c r="AJ16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64" s="846">
        <f>SUM(Tabla1[[#This Row],[PRECIO $ BOLSA 50KG  FOB CDO TUC (IVA INC)]]-Tabla1[[#This Row],[PRECIO REF $ BOLSA 50 KG CACTU (IVA INC)]])</f>
        <v>-4650.3173337030057</v>
      </c>
      <c r="AL164" s="847">
        <f>IFERROR(Tabla1[[#This Row],[PRECIO $ BOLSA 50KG  FOB CDO TUC (IVA INC)]]/Tabla1[[#This Row],[PRECIO REF $ BOLSA 50 KG CACTU (IVA INC)]]-1,"")</f>
        <v>-0.14302067764733217</v>
      </c>
      <c r="AM164" s="846">
        <f>+Tabla1[[#This Row],[DIF $ PRECIO NETO INDUSTRIA vs Neto TUCUMAN (IVA INC)]]*Tabla1[[#This Row],[Q Bolsas Equivalentes 50kg]]</f>
        <v>-3255222.1335921041</v>
      </c>
      <c r="AN164" s="846">
        <f>Tabla1[[#This Row],[PRECIO REF $ BOLSA 50 KG CACTU (IVA INC)]]*Tabla1[[#This Row],[Q Bolsas Equivalentes 50kg]]</f>
        <v>22760500</v>
      </c>
      <c r="AO164" s="846">
        <f>+Tabla1[[#This Row],[PRECIO $ BOLSA 50KG  FOB CDO TUC (IVA INC)]]*Tabla1[[#This Row],[Q Bolsas Equivalentes 50kg]]</f>
        <v>19505277.866407897</v>
      </c>
      <c r="AP164" s="847">
        <v>2.9000000000000001E-2</v>
      </c>
      <c r="AQ164" s="846">
        <v>-68</v>
      </c>
      <c r="AR164" s="848"/>
      <c r="AS164" s="849"/>
      <c r="AT164" s="923">
        <f>+Tabla1[[#This Row],[VENTA TOTAL $ (IVA INC) ]]-(SUM(Tabla1[[#This Row],[PENDIENTE DE ENTREGA]:[VALORES COBRADOS]]))</f>
        <v>0</v>
      </c>
      <c r="AU164" s="850">
        <f>VLOOKUP(Tabla1[[#This Row],[FECHA OC]],'TIPO DE CAMBIO'!A:B,2,TRUE)</f>
        <v>1446.3009999999999</v>
      </c>
      <c r="AV164" s="850">
        <f>+Tabla1[[#This Row],[SUBTOTAL]]/Tabla1[[#This Row],[TIPO DE CAMBIO]]</f>
        <v>11025</v>
      </c>
      <c r="AW164" s="851"/>
      <c r="AX164" s="850">
        <f>IFERROR(Tabla1[[#This Row],[VENTA TOTAL USD A PLAZO EN CLIENTE  (SIN IVA)]]*(1+Tabla1[[#This Row],[% IVA ]]),"")</f>
        <v>11025</v>
      </c>
      <c r="AY164" s="850">
        <f>+Tabla1[[#This Row],[VENTA TOTAL USD A PLAZO EN CLIENTE  (SIN IVA)]]/Tabla1[[#This Row],[KGS]]*1000</f>
        <v>315</v>
      </c>
      <c r="AZ164" s="850">
        <v>0</v>
      </c>
      <c r="BA164" s="850">
        <f>+Tabla1[[#This Row],[GASTOS FINANCIEROS $ BOLSA 50 KG (IVA INC)]]*20/Tabla1[[#This Row],[TIPO DE CAMBIO]]</f>
        <v>4.179074794520548</v>
      </c>
      <c r="BB164" s="850">
        <f>+Tabla1[[#This Row],[PRECIO POR TN USD EN CLIENTE A PLAZO (SIN IVA)]]+Tabla1[[#This Row],[COSTO USD FLETE /TN (SIN IVA)]]+Tabla1[[#This Row],[COSTO FINANCIERO USD POR BOLSA 50KG (IVA INC)]]</f>
        <v>319.17907479452055</v>
      </c>
      <c r="BC164" s="848">
        <v>5</v>
      </c>
      <c r="BD164" s="944"/>
    </row>
    <row r="165" spans="1:56" ht="15.75" customHeight="1">
      <c r="A165" s="912">
        <v>46174</v>
      </c>
      <c r="B165" s="828">
        <v>1</v>
      </c>
      <c r="C165" s="792" t="s">
        <v>406</v>
      </c>
      <c r="D165" s="829">
        <f>+Tabla1[[#This Row],[FECHA Entrega]]</f>
        <v>46189</v>
      </c>
      <c r="E165" s="830">
        <v>700000869</v>
      </c>
      <c r="F165" s="831" t="s">
        <v>358</v>
      </c>
      <c r="G165" s="832" t="s">
        <v>216</v>
      </c>
      <c r="H165" s="852">
        <v>46189</v>
      </c>
      <c r="I165" s="834">
        <f t="shared" si="81"/>
        <v>35000</v>
      </c>
      <c r="J165" s="835">
        <f>0.315*Tabla1[[#This Row],[TIPO DE CAMBIO]]</f>
        <v>455.58481499999999</v>
      </c>
      <c r="K165" s="836">
        <f t="shared" si="60"/>
        <v>15945468.525</v>
      </c>
      <c r="L16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65" s="837">
        <f t="shared" si="82"/>
        <v>19294016.91525</v>
      </c>
      <c r="N165" s="838"/>
      <c r="O165" s="838">
        <v>0</v>
      </c>
      <c r="P165" s="838">
        <v>0</v>
      </c>
      <c r="Q165" s="839">
        <f>+Tabla1[[#This Row],[VENTA TOTAL $ (IVA INC) ]]-Tabla1[[#This Row],[PENDIENTE DE COBRO]]</f>
        <v>19294016.91525</v>
      </c>
      <c r="R165" s="840">
        <f>+Tabla1[[#This Row],[FECHA FC]]+Tabla1[[#This Row],[PLAZO ENTREGA VALORES]]</f>
        <v>46051</v>
      </c>
      <c r="S165" s="840">
        <f>+Tabla1[[#This Row],[FECHA FC]]+Tabla1[[#This Row],[PLAZO PAGO (DIAS)]]</f>
        <v>46189</v>
      </c>
      <c r="T165" s="834">
        <f t="shared" ca="1" si="83"/>
        <v>8</v>
      </c>
      <c r="U165" s="831">
        <f>+Tabla1[[#This Row],[FECHA OC]]-Tabla1[[#This Row],[FECHA Entrega]]</f>
        <v>-138</v>
      </c>
      <c r="V165" s="831"/>
      <c r="W165" s="841">
        <f>+Tabla1[[#This Row],[FECHA VTO VALORES]]+7</f>
        <v>46196</v>
      </c>
      <c r="X165" s="831" t="s">
        <v>489</v>
      </c>
      <c r="Y165" s="840">
        <v>46051</v>
      </c>
      <c r="Z165" s="842">
        <f>Tabla1[[#This Row],[KGS]]/50</f>
        <v>700</v>
      </c>
      <c r="AA16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65" s="844">
        <f>-Tabla1[[#This Row],[COSTO FLETE $ POR BOLSA 5O KG (SIN IVA)]]*1.21-Tabla1[[#This Row],[PRECIO $/ KG A PLAZO EN CLIENTE ( SIN IVA)]]*0.003*1.21*50</f>
        <v>-0.40864392249999071</v>
      </c>
      <c r="AC165" s="845">
        <f>SUM(Tabla1[[#This Row],[PRECIO $ BOLSA 50 KG (IVA INC) ]]+Tabla1[[#This Row],[COSTO FLETE $ BOLSA 50 KG (IVA INC)]])</f>
        <v>27562.4726635775</v>
      </c>
      <c r="AD165" s="844">
        <f>-Tabla1[[#This Row],[PRECIO $ BOLSA 50 KG (IVA INC) ]]*(Tabla1[[#This Row],[TASA FINANCIACION MENSUAL]]/365)*Tabla1[[#This Row],[PLAZO ENTREGA VALORES]]</f>
        <v>302.21000271949316</v>
      </c>
      <c r="AE165" s="845">
        <f>SUM(Tabla1[[#This Row],[PRECIO $ BOLSA50 KG  FOB TUCUMAN A PLAZO (IVA INC)]]+Tabla1[[#This Row],[GASTOS FINANCIEROS $ BOLSA 50 KG (IVA INC)]])</f>
        <v>27864.682666296994</v>
      </c>
      <c r="AF165" s="828" t="s">
        <v>476</v>
      </c>
      <c r="AG165" s="828" t="s">
        <v>365</v>
      </c>
      <c r="AH165" s="828" t="s">
        <v>387</v>
      </c>
      <c r="AI165" s="828" t="s">
        <v>261</v>
      </c>
      <c r="AJ16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65" s="846">
        <f>SUM(Tabla1[[#This Row],[PRECIO $ BOLSA 50KG  FOB CDO TUC (IVA INC)]]-Tabla1[[#This Row],[PRECIO REF $ BOLSA 50 KG CACTU (IVA INC)]])</f>
        <v>-4650.3173337030057</v>
      </c>
      <c r="AL165" s="847">
        <f>IFERROR(Tabla1[[#This Row],[PRECIO $ BOLSA 50KG  FOB CDO TUC (IVA INC)]]/Tabla1[[#This Row],[PRECIO REF $ BOLSA 50 KG CACTU (IVA INC)]]-1,"")</f>
        <v>-0.14302067764733217</v>
      </c>
      <c r="AM165" s="846">
        <f>+Tabla1[[#This Row],[DIF $ PRECIO NETO INDUSTRIA vs Neto TUCUMAN (IVA INC)]]*Tabla1[[#This Row],[Q Bolsas Equivalentes 50kg]]</f>
        <v>-3255222.1335921041</v>
      </c>
      <c r="AN165" s="846">
        <f>Tabla1[[#This Row],[PRECIO REF $ BOLSA 50 KG CACTU (IVA INC)]]*Tabla1[[#This Row],[Q Bolsas Equivalentes 50kg]]</f>
        <v>22760500</v>
      </c>
      <c r="AO165" s="846">
        <f>+Tabla1[[#This Row],[PRECIO $ BOLSA 50KG  FOB CDO TUC (IVA INC)]]*Tabla1[[#This Row],[Q Bolsas Equivalentes 50kg]]</f>
        <v>19505277.866407897</v>
      </c>
      <c r="AP165" s="847">
        <v>2.9000000000000001E-2</v>
      </c>
      <c r="AQ165" s="846">
        <v>-68</v>
      </c>
      <c r="AR165" s="848"/>
      <c r="AS165" s="849"/>
      <c r="AT165" s="923">
        <f>+Tabla1[[#This Row],[VENTA TOTAL $ (IVA INC) ]]-(SUM(Tabla1[[#This Row],[PENDIENTE DE ENTREGA]:[VALORES COBRADOS]]))</f>
        <v>0</v>
      </c>
      <c r="AU165" s="850">
        <f>VLOOKUP(Tabla1[[#This Row],[FECHA OC]],'TIPO DE CAMBIO'!A:B,2,TRUE)</f>
        <v>1446.3009999999999</v>
      </c>
      <c r="AV165" s="850">
        <f>+Tabla1[[#This Row],[SUBTOTAL]]/Tabla1[[#This Row],[TIPO DE CAMBIO]]</f>
        <v>11025</v>
      </c>
      <c r="AW165" s="851"/>
      <c r="AX165" s="850">
        <f>IFERROR(Tabla1[[#This Row],[VENTA TOTAL USD A PLAZO EN CLIENTE  (SIN IVA)]]*(1+Tabla1[[#This Row],[% IVA ]]),"")</f>
        <v>11025</v>
      </c>
      <c r="AY165" s="850">
        <f>+Tabla1[[#This Row],[VENTA TOTAL USD A PLAZO EN CLIENTE  (SIN IVA)]]/Tabla1[[#This Row],[KGS]]*1000</f>
        <v>315</v>
      </c>
      <c r="AZ165" s="850">
        <v>0</v>
      </c>
      <c r="BA165" s="850">
        <f>+Tabla1[[#This Row],[GASTOS FINANCIEROS $ BOLSA 50 KG (IVA INC)]]*20/Tabla1[[#This Row],[TIPO DE CAMBIO]]</f>
        <v>4.179074794520548</v>
      </c>
      <c r="BB165" s="850">
        <f>+Tabla1[[#This Row],[PRECIO POR TN USD EN CLIENTE A PLAZO (SIN IVA)]]+Tabla1[[#This Row],[COSTO USD FLETE /TN (SIN IVA)]]+Tabla1[[#This Row],[COSTO FINANCIERO USD POR BOLSA 50KG (IVA INC)]]</f>
        <v>319.17907479452055</v>
      </c>
      <c r="BC165" s="848">
        <v>5</v>
      </c>
      <c r="BD165" s="944"/>
    </row>
    <row r="166" spans="1:56" ht="15.75" customHeight="1">
      <c r="A166" s="912">
        <v>46174</v>
      </c>
      <c r="B166" s="828">
        <v>1</v>
      </c>
      <c r="C166" s="792" t="s">
        <v>406</v>
      </c>
      <c r="D166" s="829">
        <f>+Tabla1[[#This Row],[FECHA Entrega]]</f>
        <v>46190</v>
      </c>
      <c r="E166" s="830">
        <v>700000869</v>
      </c>
      <c r="F166" s="831" t="s">
        <v>358</v>
      </c>
      <c r="G166" s="832" t="s">
        <v>216</v>
      </c>
      <c r="H166" s="852">
        <v>46190</v>
      </c>
      <c r="I166" s="834">
        <f t="shared" si="81"/>
        <v>35000</v>
      </c>
      <c r="J166" s="835">
        <f>0.315*Tabla1[[#This Row],[TIPO DE CAMBIO]]</f>
        <v>455.58481499999999</v>
      </c>
      <c r="K166" s="836">
        <f t="shared" si="60"/>
        <v>15945468.525</v>
      </c>
      <c r="L16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66" s="837">
        <f t="shared" si="82"/>
        <v>19294016.91525</v>
      </c>
      <c r="N166" s="838"/>
      <c r="O166" s="838">
        <v>0</v>
      </c>
      <c r="P166" s="838">
        <v>0</v>
      </c>
      <c r="Q166" s="839">
        <f>+Tabla1[[#This Row],[VENTA TOTAL $ (IVA INC) ]]-Tabla1[[#This Row],[PENDIENTE DE COBRO]]</f>
        <v>19294016.91525</v>
      </c>
      <c r="R166" s="840">
        <f>+Tabla1[[#This Row],[FECHA FC]]+Tabla1[[#This Row],[PLAZO ENTREGA VALORES]]</f>
        <v>46051</v>
      </c>
      <c r="S166" s="840">
        <f>+Tabla1[[#This Row],[FECHA FC]]+Tabla1[[#This Row],[PLAZO PAGO (DIAS)]]</f>
        <v>46190</v>
      </c>
      <c r="T166" s="834">
        <f t="shared" ca="1" si="83"/>
        <v>9</v>
      </c>
      <c r="U166" s="831">
        <f>+Tabla1[[#This Row],[FECHA OC]]-Tabla1[[#This Row],[FECHA Entrega]]</f>
        <v>-139</v>
      </c>
      <c r="V166" s="831"/>
      <c r="W166" s="841">
        <f>+Tabla1[[#This Row],[FECHA VTO VALORES]]+7</f>
        <v>46197</v>
      </c>
      <c r="X166" s="831" t="s">
        <v>489</v>
      </c>
      <c r="Y166" s="840">
        <v>46051</v>
      </c>
      <c r="Z166" s="842">
        <f>Tabla1[[#This Row],[KGS]]/50</f>
        <v>700</v>
      </c>
      <c r="AA16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66" s="844">
        <f>-Tabla1[[#This Row],[COSTO FLETE $ POR BOLSA 5O KG (SIN IVA)]]*1.21-Tabla1[[#This Row],[PRECIO $/ KG A PLAZO EN CLIENTE ( SIN IVA)]]*0.003*1.21*50</f>
        <v>-0.40864392249999071</v>
      </c>
      <c r="AC166" s="845">
        <f>SUM(Tabla1[[#This Row],[PRECIO $ BOLSA 50 KG (IVA INC) ]]+Tabla1[[#This Row],[COSTO FLETE $ BOLSA 50 KG (IVA INC)]])</f>
        <v>27562.4726635775</v>
      </c>
      <c r="AD166" s="844">
        <f>-Tabla1[[#This Row],[PRECIO $ BOLSA 50 KG (IVA INC) ]]*(Tabla1[[#This Row],[TASA FINANCIACION MENSUAL]]/365)*Tabla1[[#This Row],[PLAZO ENTREGA VALORES]]</f>
        <v>304.39993027543153</v>
      </c>
      <c r="AE166" s="845">
        <f>SUM(Tabla1[[#This Row],[PRECIO $ BOLSA50 KG  FOB TUCUMAN A PLAZO (IVA INC)]]+Tabla1[[#This Row],[GASTOS FINANCIEROS $ BOLSA 50 KG (IVA INC)]])</f>
        <v>27866.872593852931</v>
      </c>
      <c r="AF166" s="828" t="s">
        <v>476</v>
      </c>
      <c r="AG166" s="828" t="s">
        <v>365</v>
      </c>
      <c r="AH166" s="828" t="s">
        <v>387</v>
      </c>
      <c r="AI166" s="828" t="s">
        <v>261</v>
      </c>
      <c r="AJ16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66" s="846">
        <f>SUM(Tabla1[[#This Row],[PRECIO $ BOLSA 50KG  FOB CDO TUC (IVA INC)]]-Tabla1[[#This Row],[PRECIO REF $ BOLSA 50 KG CACTU (IVA INC)]])</f>
        <v>-4648.1274061470685</v>
      </c>
      <c r="AL166" s="847">
        <f>IFERROR(Tabla1[[#This Row],[PRECIO $ BOLSA 50KG  FOB CDO TUC (IVA INC)]]/Tabla1[[#This Row],[PRECIO REF $ BOLSA 50 KG CACTU (IVA INC)]]-1,"")</f>
        <v>-0.1429533263462115</v>
      </c>
      <c r="AM166" s="846">
        <f>+Tabla1[[#This Row],[DIF $ PRECIO NETO INDUSTRIA vs Neto TUCUMAN (IVA INC)]]*Tabla1[[#This Row],[Q Bolsas Equivalentes 50kg]]</f>
        <v>-3253689.1843029479</v>
      </c>
      <c r="AN166" s="846">
        <f>Tabla1[[#This Row],[PRECIO REF $ BOLSA 50 KG CACTU (IVA INC)]]*Tabla1[[#This Row],[Q Bolsas Equivalentes 50kg]]</f>
        <v>22760500</v>
      </c>
      <c r="AO166" s="846">
        <f>+Tabla1[[#This Row],[PRECIO $ BOLSA 50KG  FOB CDO TUC (IVA INC)]]*Tabla1[[#This Row],[Q Bolsas Equivalentes 50kg]]</f>
        <v>19506810.815697052</v>
      </c>
      <c r="AP166" s="847">
        <v>2.9000000000000001E-2</v>
      </c>
      <c r="AQ166" s="846">
        <v>-68</v>
      </c>
      <c r="AR166" s="848"/>
      <c r="AS166" s="849"/>
      <c r="AT166" s="923">
        <f>+Tabla1[[#This Row],[VENTA TOTAL $ (IVA INC) ]]-(SUM(Tabla1[[#This Row],[PENDIENTE DE ENTREGA]:[VALORES COBRADOS]]))</f>
        <v>0</v>
      </c>
      <c r="AU166" s="850">
        <f>VLOOKUP(Tabla1[[#This Row],[FECHA OC]],'TIPO DE CAMBIO'!A:B,2,TRUE)</f>
        <v>1446.3009999999999</v>
      </c>
      <c r="AV166" s="850">
        <f>+Tabla1[[#This Row],[SUBTOTAL]]/Tabla1[[#This Row],[TIPO DE CAMBIO]]</f>
        <v>11025</v>
      </c>
      <c r="AW166" s="851"/>
      <c r="AX166" s="850">
        <f>IFERROR(Tabla1[[#This Row],[VENTA TOTAL USD A PLAZO EN CLIENTE  (SIN IVA)]]*(1+Tabla1[[#This Row],[% IVA ]]),"")</f>
        <v>11025</v>
      </c>
      <c r="AY166" s="850">
        <f>+Tabla1[[#This Row],[VENTA TOTAL USD A PLAZO EN CLIENTE  (SIN IVA)]]/Tabla1[[#This Row],[KGS]]*1000</f>
        <v>315</v>
      </c>
      <c r="AZ166" s="850">
        <v>0</v>
      </c>
      <c r="BA166" s="850">
        <f>+Tabla1[[#This Row],[GASTOS FINANCIEROS $ BOLSA 50 KG (IVA INC)]]*20/Tabla1[[#This Row],[TIPO DE CAMBIO]]</f>
        <v>4.2093579452054799</v>
      </c>
      <c r="BB166" s="850">
        <f>+Tabla1[[#This Row],[PRECIO POR TN USD EN CLIENTE A PLAZO (SIN IVA)]]+Tabla1[[#This Row],[COSTO USD FLETE /TN (SIN IVA)]]+Tabla1[[#This Row],[COSTO FINANCIERO USD POR BOLSA 50KG (IVA INC)]]</f>
        <v>319.20935794520545</v>
      </c>
      <c r="BC166" s="848">
        <v>5</v>
      </c>
      <c r="BD166" s="944"/>
    </row>
    <row r="167" spans="1:56" ht="15.75" customHeight="1">
      <c r="A167" s="912">
        <v>46174</v>
      </c>
      <c r="B167" s="828">
        <v>1</v>
      </c>
      <c r="C167" s="792" t="s">
        <v>406</v>
      </c>
      <c r="D167" s="829">
        <f>+Tabla1[[#This Row],[FECHA Entrega]]</f>
        <v>46190</v>
      </c>
      <c r="E167" s="830">
        <v>700000869</v>
      </c>
      <c r="F167" s="831" t="s">
        <v>358</v>
      </c>
      <c r="G167" s="832" t="s">
        <v>216</v>
      </c>
      <c r="H167" s="852">
        <v>46190</v>
      </c>
      <c r="I167" s="834">
        <f t="shared" si="81"/>
        <v>35000</v>
      </c>
      <c r="J167" s="835">
        <f>0.315*Tabla1[[#This Row],[TIPO DE CAMBIO]]</f>
        <v>455.58481499999999</v>
      </c>
      <c r="K167" s="836">
        <f t="shared" si="60"/>
        <v>15945468.525</v>
      </c>
      <c r="L16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67" s="837">
        <f t="shared" si="82"/>
        <v>19294016.91525</v>
      </c>
      <c r="N167" s="838"/>
      <c r="O167" s="838">
        <v>0</v>
      </c>
      <c r="P167" s="838">
        <v>0</v>
      </c>
      <c r="Q167" s="839">
        <f>+Tabla1[[#This Row],[VENTA TOTAL $ (IVA INC) ]]-Tabla1[[#This Row],[PENDIENTE DE COBRO]]</f>
        <v>19294016.91525</v>
      </c>
      <c r="R167" s="840">
        <f>+Tabla1[[#This Row],[FECHA FC]]+Tabla1[[#This Row],[PLAZO ENTREGA VALORES]]</f>
        <v>46051</v>
      </c>
      <c r="S167" s="840">
        <f>+Tabla1[[#This Row],[FECHA FC]]+Tabla1[[#This Row],[PLAZO PAGO (DIAS)]]</f>
        <v>46190</v>
      </c>
      <c r="T167" s="834">
        <f t="shared" ca="1" si="83"/>
        <v>9</v>
      </c>
      <c r="U167" s="831">
        <f>+Tabla1[[#This Row],[FECHA OC]]-Tabla1[[#This Row],[FECHA Entrega]]</f>
        <v>-139</v>
      </c>
      <c r="V167" s="831"/>
      <c r="W167" s="841">
        <f>+Tabla1[[#This Row],[FECHA VTO VALORES]]+7</f>
        <v>46197</v>
      </c>
      <c r="X167" s="831" t="s">
        <v>489</v>
      </c>
      <c r="Y167" s="840">
        <v>46051</v>
      </c>
      <c r="Z167" s="842">
        <f>Tabla1[[#This Row],[KGS]]/50</f>
        <v>700</v>
      </c>
      <c r="AA16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67" s="844">
        <f>-Tabla1[[#This Row],[COSTO FLETE $ POR BOLSA 5O KG (SIN IVA)]]*1.21-Tabla1[[#This Row],[PRECIO $/ KG A PLAZO EN CLIENTE ( SIN IVA)]]*0.003*1.21*50</f>
        <v>-0.40864392249999071</v>
      </c>
      <c r="AC167" s="845">
        <f>SUM(Tabla1[[#This Row],[PRECIO $ BOLSA 50 KG (IVA INC) ]]+Tabla1[[#This Row],[COSTO FLETE $ BOLSA 50 KG (IVA INC)]])</f>
        <v>27562.4726635775</v>
      </c>
      <c r="AD167" s="844">
        <f>-Tabla1[[#This Row],[PRECIO $ BOLSA 50 KG (IVA INC) ]]*(Tabla1[[#This Row],[TASA FINANCIACION MENSUAL]]/365)*Tabla1[[#This Row],[PLAZO ENTREGA VALORES]]</f>
        <v>304.39993027543153</v>
      </c>
      <c r="AE167" s="845">
        <f>SUM(Tabla1[[#This Row],[PRECIO $ BOLSA50 KG  FOB TUCUMAN A PLAZO (IVA INC)]]+Tabla1[[#This Row],[GASTOS FINANCIEROS $ BOLSA 50 KG (IVA INC)]])</f>
        <v>27866.872593852931</v>
      </c>
      <c r="AF167" s="828" t="s">
        <v>476</v>
      </c>
      <c r="AG167" s="828" t="s">
        <v>365</v>
      </c>
      <c r="AH167" s="828" t="s">
        <v>387</v>
      </c>
      <c r="AI167" s="828" t="s">
        <v>261</v>
      </c>
      <c r="AJ16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67" s="846">
        <f>SUM(Tabla1[[#This Row],[PRECIO $ BOLSA 50KG  FOB CDO TUC (IVA INC)]]-Tabla1[[#This Row],[PRECIO REF $ BOLSA 50 KG CACTU (IVA INC)]])</f>
        <v>-4648.1274061470685</v>
      </c>
      <c r="AL167" s="847">
        <f>IFERROR(Tabla1[[#This Row],[PRECIO $ BOLSA 50KG  FOB CDO TUC (IVA INC)]]/Tabla1[[#This Row],[PRECIO REF $ BOLSA 50 KG CACTU (IVA INC)]]-1,"")</f>
        <v>-0.1429533263462115</v>
      </c>
      <c r="AM167" s="846">
        <f>+Tabla1[[#This Row],[DIF $ PRECIO NETO INDUSTRIA vs Neto TUCUMAN (IVA INC)]]*Tabla1[[#This Row],[Q Bolsas Equivalentes 50kg]]</f>
        <v>-3253689.1843029479</v>
      </c>
      <c r="AN167" s="846">
        <f>Tabla1[[#This Row],[PRECIO REF $ BOLSA 50 KG CACTU (IVA INC)]]*Tabla1[[#This Row],[Q Bolsas Equivalentes 50kg]]</f>
        <v>22760500</v>
      </c>
      <c r="AO167" s="846">
        <f>+Tabla1[[#This Row],[PRECIO $ BOLSA 50KG  FOB CDO TUC (IVA INC)]]*Tabla1[[#This Row],[Q Bolsas Equivalentes 50kg]]</f>
        <v>19506810.815697052</v>
      </c>
      <c r="AP167" s="847">
        <v>2.9000000000000001E-2</v>
      </c>
      <c r="AQ167" s="846">
        <v>-68</v>
      </c>
      <c r="AR167" s="848"/>
      <c r="AS167" s="849"/>
      <c r="AT167" s="923">
        <f>+Tabla1[[#This Row],[VENTA TOTAL $ (IVA INC) ]]-(SUM(Tabla1[[#This Row],[PENDIENTE DE ENTREGA]:[VALORES COBRADOS]]))</f>
        <v>0</v>
      </c>
      <c r="AU167" s="850">
        <f>VLOOKUP(Tabla1[[#This Row],[FECHA OC]],'TIPO DE CAMBIO'!A:B,2,TRUE)</f>
        <v>1446.3009999999999</v>
      </c>
      <c r="AV167" s="850">
        <f>+Tabla1[[#This Row],[SUBTOTAL]]/Tabla1[[#This Row],[TIPO DE CAMBIO]]</f>
        <v>11025</v>
      </c>
      <c r="AW167" s="851"/>
      <c r="AX167" s="850">
        <f>IFERROR(Tabla1[[#This Row],[VENTA TOTAL USD A PLAZO EN CLIENTE  (SIN IVA)]]*(1+Tabla1[[#This Row],[% IVA ]]),"")</f>
        <v>11025</v>
      </c>
      <c r="AY167" s="850">
        <f>+Tabla1[[#This Row],[VENTA TOTAL USD A PLAZO EN CLIENTE  (SIN IVA)]]/Tabla1[[#This Row],[KGS]]*1000</f>
        <v>315</v>
      </c>
      <c r="AZ167" s="850">
        <v>0</v>
      </c>
      <c r="BA167" s="850">
        <f>+Tabla1[[#This Row],[GASTOS FINANCIEROS $ BOLSA 50 KG (IVA INC)]]*20/Tabla1[[#This Row],[TIPO DE CAMBIO]]</f>
        <v>4.2093579452054799</v>
      </c>
      <c r="BB167" s="850">
        <f>+Tabla1[[#This Row],[PRECIO POR TN USD EN CLIENTE A PLAZO (SIN IVA)]]+Tabla1[[#This Row],[COSTO USD FLETE /TN (SIN IVA)]]+Tabla1[[#This Row],[COSTO FINANCIERO USD POR BOLSA 50KG (IVA INC)]]</f>
        <v>319.20935794520545</v>
      </c>
      <c r="BC167" s="848">
        <v>5</v>
      </c>
      <c r="BD167" s="944"/>
    </row>
    <row r="168" spans="1:56" ht="15.75" customHeight="1">
      <c r="A168" s="912">
        <v>46174</v>
      </c>
      <c r="B168" s="828">
        <v>1</v>
      </c>
      <c r="C168" s="792" t="s">
        <v>406</v>
      </c>
      <c r="D168" s="829">
        <f>+Tabla1[[#This Row],[FECHA Entrega]]</f>
        <v>46191</v>
      </c>
      <c r="E168" s="830">
        <v>700000869</v>
      </c>
      <c r="F168" s="831" t="s">
        <v>358</v>
      </c>
      <c r="G168" s="832" t="s">
        <v>216</v>
      </c>
      <c r="H168" s="852">
        <v>46191</v>
      </c>
      <c r="I168" s="834">
        <f t="shared" si="81"/>
        <v>35000</v>
      </c>
      <c r="J168" s="835">
        <f>0.315*Tabla1[[#This Row],[TIPO DE CAMBIO]]</f>
        <v>455.58481499999999</v>
      </c>
      <c r="K168" s="836">
        <f t="shared" si="60"/>
        <v>15945468.525</v>
      </c>
      <c r="L16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68" s="837">
        <f t="shared" si="82"/>
        <v>19294016.91525</v>
      </c>
      <c r="N168" s="838"/>
      <c r="O168" s="838">
        <v>0</v>
      </c>
      <c r="P168" s="838">
        <v>0</v>
      </c>
      <c r="Q168" s="839">
        <f>+Tabla1[[#This Row],[VENTA TOTAL $ (IVA INC) ]]-Tabla1[[#This Row],[PENDIENTE DE COBRO]]</f>
        <v>19294016.91525</v>
      </c>
      <c r="R168" s="840">
        <f>+Tabla1[[#This Row],[FECHA FC]]+Tabla1[[#This Row],[PLAZO ENTREGA VALORES]]</f>
        <v>46051</v>
      </c>
      <c r="S168" s="840">
        <f>+Tabla1[[#This Row],[FECHA FC]]+Tabla1[[#This Row],[PLAZO PAGO (DIAS)]]</f>
        <v>46191</v>
      </c>
      <c r="T168" s="834">
        <f t="shared" ca="1" si="83"/>
        <v>10</v>
      </c>
      <c r="U168" s="831">
        <f>+Tabla1[[#This Row],[FECHA OC]]-Tabla1[[#This Row],[FECHA Entrega]]</f>
        <v>-140</v>
      </c>
      <c r="V168" s="831"/>
      <c r="W168" s="841">
        <f>+Tabla1[[#This Row],[FECHA VTO VALORES]]+7</f>
        <v>46198</v>
      </c>
      <c r="X168" s="831" t="s">
        <v>489</v>
      </c>
      <c r="Y168" s="840">
        <v>46051</v>
      </c>
      <c r="Z168" s="842">
        <f>Tabla1[[#This Row],[KGS]]/50</f>
        <v>700</v>
      </c>
      <c r="AA16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68" s="844">
        <f>-Tabla1[[#This Row],[COSTO FLETE $ POR BOLSA 5O KG (SIN IVA)]]*1.21-Tabla1[[#This Row],[PRECIO $/ KG A PLAZO EN CLIENTE ( SIN IVA)]]*0.003*1.21*50</f>
        <v>-0.40864392249999071</v>
      </c>
      <c r="AC168" s="845">
        <f>SUM(Tabla1[[#This Row],[PRECIO $ BOLSA 50 KG (IVA INC) ]]+Tabla1[[#This Row],[COSTO FLETE $ BOLSA 50 KG (IVA INC)]])</f>
        <v>27562.4726635775</v>
      </c>
      <c r="AD168" s="844">
        <f>-Tabla1[[#This Row],[PRECIO $ BOLSA 50 KG (IVA INC) ]]*(Tabla1[[#This Row],[TASA FINANCIACION MENSUAL]]/365)*Tabla1[[#This Row],[PLAZO ENTREGA VALORES]]</f>
        <v>306.58985783136984</v>
      </c>
      <c r="AE168" s="845">
        <f>SUM(Tabla1[[#This Row],[PRECIO $ BOLSA50 KG  FOB TUCUMAN A PLAZO (IVA INC)]]+Tabla1[[#This Row],[GASTOS FINANCIEROS $ BOLSA 50 KG (IVA INC)]])</f>
        <v>27869.062521408869</v>
      </c>
      <c r="AF168" s="828" t="s">
        <v>476</v>
      </c>
      <c r="AG168" s="828" t="s">
        <v>365</v>
      </c>
      <c r="AH168" s="828" t="s">
        <v>387</v>
      </c>
      <c r="AI168" s="828" t="s">
        <v>261</v>
      </c>
      <c r="AJ16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68" s="846">
        <f>SUM(Tabla1[[#This Row],[PRECIO $ BOLSA 50KG  FOB CDO TUC (IVA INC)]]-Tabla1[[#This Row],[PRECIO REF $ BOLSA 50 KG CACTU (IVA INC)]])</f>
        <v>-4645.9374785911314</v>
      </c>
      <c r="AL168" s="847">
        <f>IFERROR(Tabla1[[#This Row],[PRECIO $ BOLSA 50KG  FOB CDO TUC (IVA INC)]]/Tabla1[[#This Row],[PRECIO REF $ BOLSA 50 KG CACTU (IVA INC)]]-1,"")</f>
        <v>-0.14288597504509093</v>
      </c>
      <c r="AM168" s="846">
        <f>+Tabla1[[#This Row],[DIF $ PRECIO NETO INDUSTRIA vs Neto TUCUMAN (IVA INC)]]*Tabla1[[#This Row],[Q Bolsas Equivalentes 50kg]]</f>
        <v>-3252156.2350137918</v>
      </c>
      <c r="AN168" s="846">
        <f>Tabla1[[#This Row],[PRECIO REF $ BOLSA 50 KG CACTU (IVA INC)]]*Tabla1[[#This Row],[Q Bolsas Equivalentes 50kg]]</f>
        <v>22760500</v>
      </c>
      <c r="AO168" s="846">
        <f>+Tabla1[[#This Row],[PRECIO $ BOLSA 50KG  FOB CDO TUC (IVA INC)]]*Tabla1[[#This Row],[Q Bolsas Equivalentes 50kg]]</f>
        <v>19508343.76498621</v>
      </c>
      <c r="AP168" s="847">
        <v>2.9000000000000001E-2</v>
      </c>
      <c r="AQ168" s="846">
        <v>-68</v>
      </c>
      <c r="AR168" s="848"/>
      <c r="AS168" s="849"/>
      <c r="AT168" s="923">
        <f>+Tabla1[[#This Row],[VENTA TOTAL $ (IVA INC) ]]-(SUM(Tabla1[[#This Row],[PENDIENTE DE ENTREGA]:[VALORES COBRADOS]]))</f>
        <v>0</v>
      </c>
      <c r="AU168" s="850">
        <f>VLOOKUP(Tabla1[[#This Row],[FECHA OC]],'TIPO DE CAMBIO'!A:B,2,TRUE)</f>
        <v>1446.3009999999999</v>
      </c>
      <c r="AV168" s="850">
        <f>+Tabla1[[#This Row],[SUBTOTAL]]/Tabla1[[#This Row],[TIPO DE CAMBIO]]</f>
        <v>11025</v>
      </c>
      <c r="AW168" s="851"/>
      <c r="AX168" s="850">
        <f>IFERROR(Tabla1[[#This Row],[VENTA TOTAL USD A PLAZO EN CLIENTE  (SIN IVA)]]*(1+Tabla1[[#This Row],[% IVA ]]),"")</f>
        <v>11025</v>
      </c>
      <c r="AY168" s="850">
        <f>+Tabla1[[#This Row],[VENTA TOTAL USD A PLAZO EN CLIENTE  (SIN IVA)]]/Tabla1[[#This Row],[KGS]]*1000</f>
        <v>315</v>
      </c>
      <c r="AZ168" s="850">
        <v>0</v>
      </c>
      <c r="BA168" s="850">
        <f>+Tabla1[[#This Row],[GASTOS FINANCIEROS $ BOLSA 50 KG (IVA INC)]]*20/Tabla1[[#This Row],[TIPO DE CAMBIO]]</f>
        <v>4.2396410958904109</v>
      </c>
      <c r="BB168" s="850">
        <f>+Tabla1[[#This Row],[PRECIO POR TN USD EN CLIENTE A PLAZO (SIN IVA)]]+Tabla1[[#This Row],[COSTO USD FLETE /TN (SIN IVA)]]+Tabla1[[#This Row],[COSTO FINANCIERO USD POR BOLSA 50KG (IVA INC)]]</f>
        <v>319.23964109589042</v>
      </c>
      <c r="BC168" s="848">
        <v>5</v>
      </c>
      <c r="BD168" s="944"/>
    </row>
    <row r="169" spans="1:56" ht="15.75" customHeight="1">
      <c r="A169" s="912">
        <v>46174</v>
      </c>
      <c r="B169" s="828">
        <v>1</v>
      </c>
      <c r="C169" s="792" t="s">
        <v>406</v>
      </c>
      <c r="D169" s="829">
        <f>+Tabla1[[#This Row],[FECHA Entrega]]</f>
        <v>46191</v>
      </c>
      <c r="E169" s="830">
        <v>700000869</v>
      </c>
      <c r="F169" s="831" t="s">
        <v>358</v>
      </c>
      <c r="G169" s="832" t="s">
        <v>216</v>
      </c>
      <c r="H169" s="852">
        <v>46191</v>
      </c>
      <c r="I169" s="834">
        <f t="shared" si="81"/>
        <v>35000</v>
      </c>
      <c r="J169" s="835">
        <f>0.315*Tabla1[[#This Row],[TIPO DE CAMBIO]]</f>
        <v>455.58481499999999</v>
      </c>
      <c r="K169" s="836">
        <f t="shared" si="60"/>
        <v>15945468.525</v>
      </c>
      <c r="L16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69" s="837">
        <f t="shared" si="82"/>
        <v>19294016.91525</v>
      </c>
      <c r="N169" s="838"/>
      <c r="O169" s="838">
        <v>0</v>
      </c>
      <c r="P169" s="838">
        <v>0</v>
      </c>
      <c r="Q169" s="839">
        <f>+Tabla1[[#This Row],[VENTA TOTAL $ (IVA INC) ]]-Tabla1[[#This Row],[PENDIENTE DE COBRO]]</f>
        <v>19294016.91525</v>
      </c>
      <c r="R169" s="840">
        <f>+Tabla1[[#This Row],[FECHA FC]]+Tabla1[[#This Row],[PLAZO ENTREGA VALORES]]</f>
        <v>46051</v>
      </c>
      <c r="S169" s="840">
        <f>+Tabla1[[#This Row],[FECHA FC]]+Tabla1[[#This Row],[PLAZO PAGO (DIAS)]]</f>
        <v>46191</v>
      </c>
      <c r="T169" s="834">
        <f t="shared" ca="1" si="83"/>
        <v>10</v>
      </c>
      <c r="U169" s="831">
        <f>+Tabla1[[#This Row],[FECHA OC]]-Tabla1[[#This Row],[FECHA Entrega]]</f>
        <v>-140</v>
      </c>
      <c r="V169" s="831"/>
      <c r="W169" s="841">
        <f>+Tabla1[[#This Row],[FECHA VTO VALORES]]+7</f>
        <v>46198</v>
      </c>
      <c r="X169" s="831" t="s">
        <v>489</v>
      </c>
      <c r="Y169" s="840">
        <v>46051</v>
      </c>
      <c r="Z169" s="842">
        <f>Tabla1[[#This Row],[KGS]]/50</f>
        <v>700</v>
      </c>
      <c r="AA16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69" s="844">
        <f>-Tabla1[[#This Row],[COSTO FLETE $ POR BOLSA 5O KG (SIN IVA)]]*1.21-Tabla1[[#This Row],[PRECIO $/ KG A PLAZO EN CLIENTE ( SIN IVA)]]*0.003*1.21*50</f>
        <v>-0.40864392249999071</v>
      </c>
      <c r="AC169" s="845">
        <f>SUM(Tabla1[[#This Row],[PRECIO $ BOLSA 50 KG (IVA INC) ]]+Tabla1[[#This Row],[COSTO FLETE $ BOLSA 50 KG (IVA INC)]])</f>
        <v>27562.4726635775</v>
      </c>
      <c r="AD169" s="844">
        <f>-Tabla1[[#This Row],[PRECIO $ BOLSA 50 KG (IVA INC) ]]*(Tabla1[[#This Row],[TASA FINANCIACION MENSUAL]]/365)*Tabla1[[#This Row],[PLAZO ENTREGA VALORES]]</f>
        <v>306.58985783136984</v>
      </c>
      <c r="AE169" s="845">
        <f>SUM(Tabla1[[#This Row],[PRECIO $ BOLSA50 KG  FOB TUCUMAN A PLAZO (IVA INC)]]+Tabla1[[#This Row],[GASTOS FINANCIEROS $ BOLSA 50 KG (IVA INC)]])</f>
        <v>27869.062521408869</v>
      </c>
      <c r="AF169" s="828" t="s">
        <v>476</v>
      </c>
      <c r="AG169" s="828" t="s">
        <v>365</v>
      </c>
      <c r="AH169" s="828" t="s">
        <v>387</v>
      </c>
      <c r="AI169" s="828" t="s">
        <v>261</v>
      </c>
      <c r="AJ16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69" s="846">
        <f>SUM(Tabla1[[#This Row],[PRECIO $ BOLSA 50KG  FOB CDO TUC (IVA INC)]]-Tabla1[[#This Row],[PRECIO REF $ BOLSA 50 KG CACTU (IVA INC)]])</f>
        <v>-4645.9374785911314</v>
      </c>
      <c r="AL169" s="847">
        <f>IFERROR(Tabla1[[#This Row],[PRECIO $ BOLSA 50KG  FOB CDO TUC (IVA INC)]]/Tabla1[[#This Row],[PRECIO REF $ BOLSA 50 KG CACTU (IVA INC)]]-1,"")</f>
        <v>-0.14288597504509093</v>
      </c>
      <c r="AM169" s="846">
        <f>+Tabla1[[#This Row],[DIF $ PRECIO NETO INDUSTRIA vs Neto TUCUMAN (IVA INC)]]*Tabla1[[#This Row],[Q Bolsas Equivalentes 50kg]]</f>
        <v>-3252156.2350137918</v>
      </c>
      <c r="AN169" s="846">
        <f>Tabla1[[#This Row],[PRECIO REF $ BOLSA 50 KG CACTU (IVA INC)]]*Tabla1[[#This Row],[Q Bolsas Equivalentes 50kg]]</f>
        <v>22760500</v>
      </c>
      <c r="AO169" s="846">
        <f>+Tabla1[[#This Row],[PRECIO $ BOLSA 50KG  FOB CDO TUC (IVA INC)]]*Tabla1[[#This Row],[Q Bolsas Equivalentes 50kg]]</f>
        <v>19508343.76498621</v>
      </c>
      <c r="AP169" s="847">
        <v>2.9000000000000001E-2</v>
      </c>
      <c r="AQ169" s="846">
        <v>-68</v>
      </c>
      <c r="AR169" s="848"/>
      <c r="AS169" s="849"/>
      <c r="AT169" s="923">
        <f>+Tabla1[[#This Row],[VENTA TOTAL $ (IVA INC) ]]-(SUM(Tabla1[[#This Row],[PENDIENTE DE ENTREGA]:[VALORES COBRADOS]]))</f>
        <v>0</v>
      </c>
      <c r="AU169" s="850">
        <f>VLOOKUP(Tabla1[[#This Row],[FECHA OC]],'TIPO DE CAMBIO'!A:B,2,TRUE)</f>
        <v>1446.3009999999999</v>
      </c>
      <c r="AV169" s="850">
        <f>+Tabla1[[#This Row],[SUBTOTAL]]/Tabla1[[#This Row],[TIPO DE CAMBIO]]</f>
        <v>11025</v>
      </c>
      <c r="AW169" s="851"/>
      <c r="AX169" s="850">
        <f>IFERROR(Tabla1[[#This Row],[VENTA TOTAL USD A PLAZO EN CLIENTE  (SIN IVA)]]*(1+Tabla1[[#This Row],[% IVA ]]),"")</f>
        <v>11025</v>
      </c>
      <c r="AY169" s="850">
        <f>+Tabla1[[#This Row],[VENTA TOTAL USD A PLAZO EN CLIENTE  (SIN IVA)]]/Tabla1[[#This Row],[KGS]]*1000</f>
        <v>315</v>
      </c>
      <c r="AZ169" s="850">
        <v>0</v>
      </c>
      <c r="BA169" s="850">
        <f>+Tabla1[[#This Row],[GASTOS FINANCIEROS $ BOLSA 50 KG (IVA INC)]]*20/Tabla1[[#This Row],[TIPO DE CAMBIO]]</f>
        <v>4.2396410958904109</v>
      </c>
      <c r="BB169" s="850">
        <f>+Tabla1[[#This Row],[PRECIO POR TN USD EN CLIENTE A PLAZO (SIN IVA)]]+Tabla1[[#This Row],[COSTO USD FLETE /TN (SIN IVA)]]+Tabla1[[#This Row],[COSTO FINANCIERO USD POR BOLSA 50KG (IVA INC)]]</f>
        <v>319.23964109589042</v>
      </c>
      <c r="BC169" s="848">
        <v>5</v>
      </c>
      <c r="BD169" s="944"/>
    </row>
    <row r="170" spans="1:56" ht="15.75" customHeight="1">
      <c r="A170" s="912">
        <v>46174</v>
      </c>
      <c r="B170" s="828">
        <v>1</v>
      </c>
      <c r="C170" s="792" t="s">
        <v>406</v>
      </c>
      <c r="D170" s="829">
        <f>+Tabla1[[#This Row],[FECHA Entrega]]</f>
        <v>46192</v>
      </c>
      <c r="E170" s="830">
        <v>700000869</v>
      </c>
      <c r="F170" s="831" t="s">
        <v>358</v>
      </c>
      <c r="G170" s="832" t="s">
        <v>216</v>
      </c>
      <c r="H170" s="852">
        <v>46192</v>
      </c>
      <c r="I170" s="834">
        <f t="shared" si="81"/>
        <v>35000</v>
      </c>
      <c r="J170" s="835">
        <f>0.315*Tabla1[[#This Row],[TIPO DE CAMBIO]]</f>
        <v>455.58481499999999</v>
      </c>
      <c r="K170" s="836">
        <f t="shared" si="60"/>
        <v>15945468.525</v>
      </c>
      <c r="L17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70" s="837">
        <f t="shared" si="82"/>
        <v>19294016.91525</v>
      </c>
      <c r="N170" s="838"/>
      <c r="O170" s="838">
        <v>0</v>
      </c>
      <c r="P170" s="838">
        <v>0</v>
      </c>
      <c r="Q170" s="839">
        <f>+Tabla1[[#This Row],[VENTA TOTAL $ (IVA INC) ]]-Tabla1[[#This Row],[PENDIENTE DE COBRO]]</f>
        <v>19294016.91525</v>
      </c>
      <c r="R170" s="840">
        <f>+Tabla1[[#This Row],[FECHA FC]]+Tabla1[[#This Row],[PLAZO ENTREGA VALORES]]</f>
        <v>46051</v>
      </c>
      <c r="S170" s="840">
        <f>+Tabla1[[#This Row],[FECHA FC]]+Tabla1[[#This Row],[PLAZO PAGO (DIAS)]]</f>
        <v>46192</v>
      </c>
      <c r="T170" s="834">
        <f t="shared" ca="1" si="83"/>
        <v>11</v>
      </c>
      <c r="U170" s="831">
        <f>+Tabla1[[#This Row],[FECHA OC]]-Tabla1[[#This Row],[FECHA Entrega]]</f>
        <v>-141</v>
      </c>
      <c r="V170" s="831"/>
      <c r="W170" s="841">
        <f>+Tabla1[[#This Row],[FECHA VTO VALORES]]+7</f>
        <v>46199</v>
      </c>
      <c r="X170" s="831" t="s">
        <v>489</v>
      </c>
      <c r="Y170" s="840">
        <v>46051</v>
      </c>
      <c r="Z170" s="842">
        <f>Tabla1[[#This Row],[KGS]]/50</f>
        <v>700</v>
      </c>
      <c r="AA17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70" s="844">
        <f>-Tabla1[[#This Row],[COSTO FLETE $ POR BOLSA 5O KG (SIN IVA)]]*1.21-Tabla1[[#This Row],[PRECIO $/ KG A PLAZO EN CLIENTE ( SIN IVA)]]*0.003*1.21*50</f>
        <v>-0.40864392249999071</v>
      </c>
      <c r="AC170" s="845">
        <f>SUM(Tabla1[[#This Row],[PRECIO $ BOLSA 50 KG (IVA INC) ]]+Tabla1[[#This Row],[COSTO FLETE $ BOLSA 50 KG (IVA INC)]])</f>
        <v>27562.4726635775</v>
      </c>
      <c r="AD170" s="844">
        <f>-Tabla1[[#This Row],[PRECIO $ BOLSA 50 KG (IVA INC) ]]*(Tabla1[[#This Row],[TASA FINANCIACION MENSUAL]]/365)*Tabla1[[#This Row],[PLAZO ENTREGA VALORES]]</f>
        <v>308.77978538730821</v>
      </c>
      <c r="AE170" s="845">
        <f>SUM(Tabla1[[#This Row],[PRECIO $ BOLSA50 KG  FOB TUCUMAN A PLAZO (IVA INC)]]+Tabla1[[#This Row],[GASTOS FINANCIEROS $ BOLSA 50 KG (IVA INC)]])</f>
        <v>27871.252448964809</v>
      </c>
      <c r="AF170" s="828" t="s">
        <v>476</v>
      </c>
      <c r="AG170" s="828" t="s">
        <v>365</v>
      </c>
      <c r="AH170" s="828" t="s">
        <v>387</v>
      </c>
      <c r="AI170" s="828" t="s">
        <v>261</v>
      </c>
      <c r="AJ17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70" s="846">
        <f>SUM(Tabla1[[#This Row],[PRECIO $ BOLSA 50KG  FOB CDO TUC (IVA INC)]]-Tabla1[[#This Row],[PRECIO REF $ BOLSA 50 KG CACTU (IVA INC)]])</f>
        <v>-4643.7475510351906</v>
      </c>
      <c r="AL170" s="847">
        <f>IFERROR(Tabla1[[#This Row],[PRECIO $ BOLSA 50KG  FOB CDO TUC (IVA INC)]]/Tabla1[[#This Row],[PRECIO REF $ BOLSA 50 KG CACTU (IVA INC)]]-1,"")</f>
        <v>-0.14281862374397014</v>
      </c>
      <c r="AM170" s="846">
        <f>+Tabla1[[#This Row],[DIF $ PRECIO NETO INDUSTRIA vs Neto TUCUMAN (IVA INC)]]*Tabla1[[#This Row],[Q Bolsas Equivalentes 50kg]]</f>
        <v>-3250623.2857246334</v>
      </c>
      <c r="AN170" s="846">
        <f>Tabla1[[#This Row],[PRECIO REF $ BOLSA 50 KG CACTU (IVA INC)]]*Tabla1[[#This Row],[Q Bolsas Equivalentes 50kg]]</f>
        <v>22760500</v>
      </c>
      <c r="AO170" s="846">
        <f>+Tabla1[[#This Row],[PRECIO $ BOLSA 50KG  FOB CDO TUC (IVA INC)]]*Tabla1[[#This Row],[Q Bolsas Equivalentes 50kg]]</f>
        <v>19509876.714275368</v>
      </c>
      <c r="AP170" s="847">
        <v>2.9000000000000001E-2</v>
      </c>
      <c r="AQ170" s="846">
        <v>-68</v>
      </c>
      <c r="AR170" s="848"/>
      <c r="AS170" s="849"/>
      <c r="AT170" s="923">
        <f>+Tabla1[[#This Row],[VENTA TOTAL $ (IVA INC) ]]-(SUM(Tabla1[[#This Row],[PENDIENTE DE ENTREGA]:[VALORES COBRADOS]]))</f>
        <v>0</v>
      </c>
      <c r="AU170" s="850">
        <f>VLOOKUP(Tabla1[[#This Row],[FECHA OC]],'TIPO DE CAMBIO'!A:B,2,TRUE)</f>
        <v>1446.3009999999999</v>
      </c>
      <c r="AV170" s="850">
        <f>+Tabla1[[#This Row],[SUBTOTAL]]/Tabla1[[#This Row],[TIPO DE CAMBIO]]</f>
        <v>11025</v>
      </c>
      <c r="AW170" s="851"/>
      <c r="AX170" s="850">
        <f>IFERROR(Tabla1[[#This Row],[VENTA TOTAL USD A PLAZO EN CLIENTE  (SIN IVA)]]*(1+Tabla1[[#This Row],[% IVA ]]),"")</f>
        <v>11025</v>
      </c>
      <c r="AY170" s="850">
        <f>+Tabla1[[#This Row],[VENTA TOTAL USD A PLAZO EN CLIENTE  (SIN IVA)]]/Tabla1[[#This Row],[KGS]]*1000</f>
        <v>315</v>
      </c>
      <c r="AZ170" s="850">
        <v>0</v>
      </c>
      <c r="BA170" s="850">
        <f>+Tabla1[[#This Row],[GASTOS FINANCIEROS $ BOLSA 50 KG (IVA INC)]]*20/Tabla1[[#This Row],[TIPO DE CAMBIO]]</f>
        <v>4.2699242465753429</v>
      </c>
      <c r="BB170" s="850">
        <f>+Tabla1[[#This Row],[PRECIO POR TN USD EN CLIENTE A PLAZO (SIN IVA)]]+Tabla1[[#This Row],[COSTO USD FLETE /TN (SIN IVA)]]+Tabla1[[#This Row],[COSTO FINANCIERO USD POR BOLSA 50KG (IVA INC)]]</f>
        <v>319.26992424657533</v>
      </c>
      <c r="BC170" s="848">
        <v>5</v>
      </c>
      <c r="BD170" s="944"/>
    </row>
    <row r="171" spans="1:56" ht="15.75" customHeight="1">
      <c r="A171" s="912">
        <v>46174</v>
      </c>
      <c r="B171" s="828">
        <v>1</v>
      </c>
      <c r="C171" s="792" t="s">
        <v>406</v>
      </c>
      <c r="D171" s="829">
        <f>+Tabla1[[#This Row],[FECHA Entrega]]</f>
        <v>46192</v>
      </c>
      <c r="E171" s="830">
        <v>700000869</v>
      </c>
      <c r="F171" s="831" t="s">
        <v>358</v>
      </c>
      <c r="G171" s="832" t="s">
        <v>216</v>
      </c>
      <c r="H171" s="852">
        <v>46192</v>
      </c>
      <c r="I171" s="834">
        <f t="shared" si="81"/>
        <v>35000</v>
      </c>
      <c r="J171" s="835">
        <f>0.315*Tabla1[[#This Row],[TIPO DE CAMBIO]]</f>
        <v>455.58481499999999</v>
      </c>
      <c r="K171" s="836">
        <f t="shared" si="60"/>
        <v>15945468.525</v>
      </c>
      <c r="L17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71" s="837">
        <f t="shared" si="82"/>
        <v>19294016.91525</v>
      </c>
      <c r="N171" s="838"/>
      <c r="O171" s="838">
        <v>0</v>
      </c>
      <c r="P171" s="838">
        <v>0</v>
      </c>
      <c r="Q171" s="839">
        <f>+Tabla1[[#This Row],[VENTA TOTAL $ (IVA INC) ]]-Tabla1[[#This Row],[PENDIENTE DE COBRO]]</f>
        <v>19294016.91525</v>
      </c>
      <c r="R171" s="840">
        <f>+Tabla1[[#This Row],[FECHA FC]]+Tabla1[[#This Row],[PLAZO ENTREGA VALORES]]</f>
        <v>46051</v>
      </c>
      <c r="S171" s="840">
        <f>+Tabla1[[#This Row],[FECHA FC]]+Tabla1[[#This Row],[PLAZO PAGO (DIAS)]]</f>
        <v>46192</v>
      </c>
      <c r="T171" s="834">
        <f t="shared" ca="1" si="83"/>
        <v>11</v>
      </c>
      <c r="U171" s="831">
        <f>+Tabla1[[#This Row],[FECHA OC]]-Tabla1[[#This Row],[FECHA Entrega]]</f>
        <v>-141</v>
      </c>
      <c r="V171" s="831"/>
      <c r="W171" s="841">
        <f>+Tabla1[[#This Row],[FECHA VTO VALORES]]+7</f>
        <v>46199</v>
      </c>
      <c r="X171" s="831" t="s">
        <v>489</v>
      </c>
      <c r="Y171" s="840">
        <v>46051</v>
      </c>
      <c r="Z171" s="842">
        <f>Tabla1[[#This Row],[KGS]]/50</f>
        <v>700</v>
      </c>
      <c r="AA17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71" s="844">
        <f>-Tabla1[[#This Row],[COSTO FLETE $ POR BOLSA 5O KG (SIN IVA)]]*1.21-Tabla1[[#This Row],[PRECIO $/ KG A PLAZO EN CLIENTE ( SIN IVA)]]*0.003*1.21*50</f>
        <v>-0.40864392249999071</v>
      </c>
      <c r="AC171" s="845">
        <f>SUM(Tabla1[[#This Row],[PRECIO $ BOLSA 50 KG (IVA INC) ]]+Tabla1[[#This Row],[COSTO FLETE $ BOLSA 50 KG (IVA INC)]])</f>
        <v>27562.4726635775</v>
      </c>
      <c r="AD171" s="844">
        <f>-Tabla1[[#This Row],[PRECIO $ BOLSA 50 KG (IVA INC) ]]*(Tabla1[[#This Row],[TASA FINANCIACION MENSUAL]]/365)*Tabla1[[#This Row],[PLAZO ENTREGA VALORES]]</f>
        <v>308.77978538730821</v>
      </c>
      <c r="AE171" s="845">
        <f>SUM(Tabla1[[#This Row],[PRECIO $ BOLSA50 KG  FOB TUCUMAN A PLAZO (IVA INC)]]+Tabla1[[#This Row],[GASTOS FINANCIEROS $ BOLSA 50 KG (IVA INC)]])</f>
        <v>27871.252448964809</v>
      </c>
      <c r="AF171" s="828" t="s">
        <v>476</v>
      </c>
      <c r="AG171" s="828" t="s">
        <v>365</v>
      </c>
      <c r="AH171" s="828" t="s">
        <v>387</v>
      </c>
      <c r="AI171" s="828" t="s">
        <v>261</v>
      </c>
      <c r="AJ17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71" s="846">
        <f>SUM(Tabla1[[#This Row],[PRECIO $ BOLSA 50KG  FOB CDO TUC (IVA INC)]]-Tabla1[[#This Row],[PRECIO REF $ BOLSA 50 KG CACTU (IVA INC)]])</f>
        <v>-4643.7475510351906</v>
      </c>
      <c r="AL171" s="847">
        <f>IFERROR(Tabla1[[#This Row],[PRECIO $ BOLSA 50KG  FOB CDO TUC (IVA INC)]]/Tabla1[[#This Row],[PRECIO REF $ BOLSA 50 KG CACTU (IVA INC)]]-1,"")</f>
        <v>-0.14281862374397014</v>
      </c>
      <c r="AM171" s="846">
        <f>+Tabla1[[#This Row],[DIF $ PRECIO NETO INDUSTRIA vs Neto TUCUMAN (IVA INC)]]*Tabla1[[#This Row],[Q Bolsas Equivalentes 50kg]]</f>
        <v>-3250623.2857246334</v>
      </c>
      <c r="AN171" s="846">
        <f>Tabla1[[#This Row],[PRECIO REF $ BOLSA 50 KG CACTU (IVA INC)]]*Tabla1[[#This Row],[Q Bolsas Equivalentes 50kg]]</f>
        <v>22760500</v>
      </c>
      <c r="AO171" s="846">
        <f>+Tabla1[[#This Row],[PRECIO $ BOLSA 50KG  FOB CDO TUC (IVA INC)]]*Tabla1[[#This Row],[Q Bolsas Equivalentes 50kg]]</f>
        <v>19509876.714275368</v>
      </c>
      <c r="AP171" s="847">
        <v>2.9000000000000001E-2</v>
      </c>
      <c r="AQ171" s="846">
        <v>-68</v>
      </c>
      <c r="AR171" s="848"/>
      <c r="AS171" s="849"/>
      <c r="AT171" s="923">
        <f>+Tabla1[[#This Row],[VENTA TOTAL $ (IVA INC) ]]-(SUM(Tabla1[[#This Row],[PENDIENTE DE ENTREGA]:[VALORES COBRADOS]]))</f>
        <v>0</v>
      </c>
      <c r="AU171" s="850">
        <f>VLOOKUP(Tabla1[[#This Row],[FECHA OC]],'TIPO DE CAMBIO'!A:B,2,TRUE)</f>
        <v>1446.3009999999999</v>
      </c>
      <c r="AV171" s="850">
        <f>+Tabla1[[#This Row],[SUBTOTAL]]/Tabla1[[#This Row],[TIPO DE CAMBIO]]</f>
        <v>11025</v>
      </c>
      <c r="AW171" s="851"/>
      <c r="AX171" s="850">
        <f>IFERROR(Tabla1[[#This Row],[VENTA TOTAL USD A PLAZO EN CLIENTE  (SIN IVA)]]*(1+Tabla1[[#This Row],[% IVA ]]),"")</f>
        <v>11025</v>
      </c>
      <c r="AY171" s="850">
        <f>+Tabla1[[#This Row],[VENTA TOTAL USD A PLAZO EN CLIENTE  (SIN IVA)]]/Tabla1[[#This Row],[KGS]]*1000</f>
        <v>315</v>
      </c>
      <c r="AZ171" s="850">
        <v>0</v>
      </c>
      <c r="BA171" s="850">
        <f>+Tabla1[[#This Row],[GASTOS FINANCIEROS $ BOLSA 50 KG (IVA INC)]]*20/Tabla1[[#This Row],[TIPO DE CAMBIO]]</f>
        <v>4.2699242465753429</v>
      </c>
      <c r="BB171" s="850">
        <f>+Tabla1[[#This Row],[PRECIO POR TN USD EN CLIENTE A PLAZO (SIN IVA)]]+Tabla1[[#This Row],[COSTO USD FLETE /TN (SIN IVA)]]+Tabla1[[#This Row],[COSTO FINANCIERO USD POR BOLSA 50KG (IVA INC)]]</f>
        <v>319.26992424657533</v>
      </c>
      <c r="BC171" s="848">
        <v>5</v>
      </c>
      <c r="BD171" s="944"/>
    </row>
    <row r="172" spans="1:56" ht="15.75" customHeight="1">
      <c r="A172" s="912">
        <v>46174</v>
      </c>
      <c r="B172" s="828">
        <v>1</v>
      </c>
      <c r="C172" s="792" t="s">
        <v>406</v>
      </c>
      <c r="D172" s="829">
        <f>+Tabla1[[#This Row],[FECHA Entrega]]</f>
        <v>46192</v>
      </c>
      <c r="E172" s="830">
        <v>700000869</v>
      </c>
      <c r="F172" s="831" t="s">
        <v>358</v>
      </c>
      <c r="G172" s="832" t="s">
        <v>216</v>
      </c>
      <c r="H172" s="852">
        <v>46192</v>
      </c>
      <c r="I172" s="834">
        <f t="shared" si="81"/>
        <v>35000</v>
      </c>
      <c r="J172" s="835">
        <f>0.315*Tabla1[[#This Row],[TIPO DE CAMBIO]]</f>
        <v>455.58481499999999</v>
      </c>
      <c r="K172" s="836">
        <f t="shared" si="60"/>
        <v>15945468.525</v>
      </c>
      <c r="L17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72" s="837">
        <f t="shared" si="82"/>
        <v>19294016.91525</v>
      </c>
      <c r="N172" s="838"/>
      <c r="O172" s="838">
        <v>0</v>
      </c>
      <c r="P172" s="838">
        <v>0</v>
      </c>
      <c r="Q172" s="839">
        <f>+Tabla1[[#This Row],[VENTA TOTAL $ (IVA INC) ]]-Tabla1[[#This Row],[PENDIENTE DE COBRO]]</f>
        <v>19294016.91525</v>
      </c>
      <c r="R172" s="840">
        <f>+Tabla1[[#This Row],[FECHA FC]]+Tabla1[[#This Row],[PLAZO ENTREGA VALORES]]</f>
        <v>46051</v>
      </c>
      <c r="S172" s="840">
        <f>+Tabla1[[#This Row],[FECHA FC]]+Tabla1[[#This Row],[PLAZO PAGO (DIAS)]]</f>
        <v>46192</v>
      </c>
      <c r="T172" s="834">
        <f t="shared" ca="1" si="83"/>
        <v>11</v>
      </c>
      <c r="U172" s="831">
        <f>+Tabla1[[#This Row],[FECHA OC]]-Tabla1[[#This Row],[FECHA Entrega]]</f>
        <v>-141</v>
      </c>
      <c r="V172" s="831"/>
      <c r="W172" s="841">
        <f>+Tabla1[[#This Row],[FECHA VTO VALORES]]+7</f>
        <v>46199</v>
      </c>
      <c r="X172" s="831" t="s">
        <v>489</v>
      </c>
      <c r="Y172" s="840">
        <v>46051</v>
      </c>
      <c r="Z172" s="842">
        <f>Tabla1[[#This Row],[KGS]]/50</f>
        <v>700</v>
      </c>
      <c r="AA17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72" s="844">
        <f>-Tabla1[[#This Row],[COSTO FLETE $ POR BOLSA 5O KG (SIN IVA)]]*1.21-Tabla1[[#This Row],[PRECIO $/ KG A PLAZO EN CLIENTE ( SIN IVA)]]*0.003*1.21*50</f>
        <v>-0.40864392249999071</v>
      </c>
      <c r="AC172" s="845">
        <f>SUM(Tabla1[[#This Row],[PRECIO $ BOLSA 50 KG (IVA INC) ]]+Tabla1[[#This Row],[COSTO FLETE $ BOLSA 50 KG (IVA INC)]])</f>
        <v>27562.4726635775</v>
      </c>
      <c r="AD172" s="844">
        <f>-Tabla1[[#This Row],[PRECIO $ BOLSA 50 KG (IVA INC) ]]*(Tabla1[[#This Row],[TASA FINANCIACION MENSUAL]]/365)*Tabla1[[#This Row],[PLAZO ENTREGA VALORES]]</f>
        <v>308.77978538730821</v>
      </c>
      <c r="AE172" s="845">
        <f>SUM(Tabla1[[#This Row],[PRECIO $ BOLSA50 KG  FOB TUCUMAN A PLAZO (IVA INC)]]+Tabla1[[#This Row],[GASTOS FINANCIEROS $ BOLSA 50 KG (IVA INC)]])</f>
        <v>27871.252448964809</v>
      </c>
      <c r="AF172" s="828" t="s">
        <v>476</v>
      </c>
      <c r="AG172" s="828" t="s">
        <v>365</v>
      </c>
      <c r="AH172" s="828" t="s">
        <v>387</v>
      </c>
      <c r="AI172" s="828" t="s">
        <v>261</v>
      </c>
      <c r="AJ17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72" s="846">
        <f>SUM(Tabla1[[#This Row],[PRECIO $ BOLSA 50KG  FOB CDO TUC (IVA INC)]]-Tabla1[[#This Row],[PRECIO REF $ BOLSA 50 KG CACTU (IVA INC)]])</f>
        <v>-4643.7475510351906</v>
      </c>
      <c r="AL172" s="847">
        <f>IFERROR(Tabla1[[#This Row],[PRECIO $ BOLSA 50KG  FOB CDO TUC (IVA INC)]]/Tabla1[[#This Row],[PRECIO REF $ BOLSA 50 KG CACTU (IVA INC)]]-1,"")</f>
        <v>-0.14281862374397014</v>
      </c>
      <c r="AM172" s="846">
        <f>+Tabla1[[#This Row],[DIF $ PRECIO NETO INDUSTRIA vs Neto TUCUMAN (IVA INC)]]*Tabla1[[#This Row],[Q Bolsas Equivalentes 50kg]]</f>
        <v>-3250623.2857246334</v>
      </c>
      <c r="AN172" s="846">
        <f>Tabla1[[#This Row],[PRECIO REF $ BOLSA 50 KG CACTU (IVA INC)]]*Tabla1[[#This Row],[Q Bolsas Equivalentes 50kg]]</f>
        <v>22760500</v>
      </c>
      <c r="AO172" s="846">
        <f>+Tabla1[[#This Row],[PRECIO $ BOLSA 50KG  FOB CDO TUC (IVA INC)]]*Tabla1[[#This Row],[Q Bolsas Equivalentes 50kg]]</f>
        <v>19509876.714275368</v>
      </c>
      <c r="AP172" s="847">
        <v>2.9000000000000001E-2</v>
      </c>
      <c r="AQ172" s="846">
        <v>-68</v>
      </c>
      <c r="AR172" s="848"/>
      <c r="AS172" s="849"/>
      <c r="AT172" s="923">
        <f>+Tabla1[[#This Row],[VENTA TOTAL $ (IVA INC) ]]-(SUM(Tabla1[[#This Row],[PENDIENTE DE ENTREGA]:[VALORES COBRADOS]]))</f>
        <v>0</v>
      </c>
      <c r="AU172" s="850">
        <f>VLOOKUP(Tabla1[[#This Row],[FECHA OC]],'TIPO DE CAMBIO'!A:B,2,TRUE)</f>
        <v>1446.3009999999999</v>
      </c>
      <c r="AV172" s="850">
        <f>+Tabla1[[#This Row],[SUBTOTAL]]/Tabla1[[#This Row],[TIPO DE CAMBIO]]</f>
        <v>11025</v>
      </c>
      <c r="AW172" s="851"/>
      <c r="AX172" s="850">
        <f>IFERROR(Tabla1[[#This Row],[VENTA TOTAL USD A PLAZO EN CLIENTE  (SIN IVA)]]*(1+Tabla1[[#This Row],[% IVA ]]),"")</f>
        <v>11025</v>
      </c>
      <c r="AY172" s="850">
        <f>+Tabla1[[#This Row],[VENTA TOTAL USD A PLAZO EN CLIENTE  (SIN IVA)]]/Tabla1[[#This Row],[KGS]]*1000</f>
        <v>315</v>
      </c>
      <c r="AZ172" s="850">
        <v>0</v>
      </c>
      <c r="BA172" s="850">
        <f>+Tabla1[[#This Row],[GASTOS FINANCIEROS $ BOLSA 50 KG (IVA INC)]]*20/Tabla1[[#This Row],[TIPO DE CAMBIO]]</f>
        <v>4.2699242465753429</v>
      </c>
      <c r="BB172" s="850">
        <f>+Tabla1[[#This Row],[PRECIO POR TN USD EN CLIENTE A PLAZO (SIN IVA)]]+Tabla1[[#This Row],[COSTO USD FLETE /TN (SIN IVA)]]+Tabla1[[#This Row],[COSTO FINANCIERO USD POR BOLSA 50KG (IVA INC)]]</f>
        <v>319.26992424657533</v>
      </c>
      <c r="BC172" s="848">
        <v>5</v>
      </c>
      <c r="BD172" s="944"/>
    </row>
    <row r="173" spans="1:56" ht="15.75" customHeight="1">
      <c r="A173" s="912">
        <v>46174</v>
      </c>
      <c r="B173" s="828">
        <v>1</v>
      </c>
      <c r="C173" s="792" t="s">
        <v>406</v>
      </c>
      <c r="D173" s="829">
        <f>+Tabla1[[#This Row],[FECHA Entrega]]</f>
        <v>46194</v>
      </c>
      <c r="E173" s="830">
        <v>700000869</v>
      </c>
      <c r="F173" s="831" t="s">
        <v>358</v>
      </c>
      <c r="G173" s="832" t="s">
        <v>216</v>
      </c>
      <c r="H173" s="852">
        <v>46194</v>
      </c>
      <c r="I173" s="834">
        <f t="shared" si="81"/>
        <v>35000</v>
      </c>
      <c r="J173" s="835">
        <f>0.315*Tabla1[[#This Row],[TIPO DE CAMBIO]]</f>
        <v>455.58481499999999</v>
      </c>
      <c r="K173" s="836">
        <f t="shared" si="60"/>
        <v>15945468.525</v>
      </c>
      <c r="L17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73" s="837">
        <f t="shared" si="82"/>
        <v>19294016.91525</v>
      </c>
      <c r="N173" s="838"/>
      <c r="O173" s="838">
        <v>0</v>
      </c>
      <c r="P173" s="838">
        <v>0</v>
      </c>
      <c r="Q173" s="839">
        <f>+Tabla1[[#This Row],[VENTA TOTAL $ (IVA INC) ]]-Tabla1[[#This Row],[PENDIENTE DE COBRO]]</f>
        <v>19294016.91525</v>
      </c>
      <c r="R173" s="840">
        <f>+Tabla1[[#This Row],[FECHA FC]]+Tabla1[[#This Row],[PLAZO ENTREGA VALORES]]</f>
        <v>46051</v>
      </c>
      <c r="S173" s="840">
        <f>+Tabla1[[#This Row],[FECHA FC]]+Tabla1[[#This Row],[PLAZO PAGO (DIAS)]]</f>
        <v>46194</v>
      </c>
      <c r="T173" s="834">
        <f t="shared" ca="1" si="83"/>
        <v>13</v>
      </c>
      <c r="U173" s="831">
        <f>+Tabla1[[#This Row],[FECHA OC]]-Tabla1[[#This Row],[FECHA Entrega]]</f>
        <v>-143</v>
      </c>
      <c r="V173" s="831"/>
      <c r="W173" s="841">
        <f>+Tabla1[[#This Row],[FECHA VTO VALORES]]+7</f>
        <v>46201</v>
      </c>
      <c r="X173" s="831" t="s">
        <v>489</v>
      </c>
      <c r="Y173" s="840">
        <v>46051</v>
      </c>
      <c r="Z173" s="842">
        <f>Tabla1[[#This Row],[KGS]]/50</f>
        <v>700</v>
      </c>
      <c r="AA17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73" s="844">
        <f>-Tabla1[[#This Row],[COSTO FLETE $ POR BOLSA 5O KG (SIN IVA)]]*1.21-Tabla1[[#This Row],[PRECIO $/ KG A PLAZO EN CLIENTE ( SIN IVA)]]*0.003*1.21*50</f>
        <v>-0.40864392249999071</v>
      </c>
      <c r="AC173" s="845">
        <f>SUM(Tabla1[[#This Row],[PRECIO $ BOLSA 50 KG (IVA INC) ]]+Tabla1[[#This Row],[COSTO FLETE $ BOLSA 50 KG (IVA INC)]])</f>
        <v>27562.4726635775</v>
      </c>
      <c r="AD173" s="844">
        <f>-Tabla1[[#This Row],[PRECIO $ BOLSA 50 KG (IVA INC) ]]*(Tabla1[[#This Row],[TASA FINANCIACION MENSUAL]]/365)*Tabla1[[#This Row],[PLAZO ENTREGA VALORES]]</f>
        <v>313.15964049918495</v>
      </c>
      <c r="AE173" s="845">
        <f>SUM(Tabla1[[#This Row],[PRECIO $ BOLSA50 KG  FOB TUCUMAN A PLAZO (IVA INC)]]+Tabla1[[#This Row],[GASTOS FINANCIEROS $ BOLSA 50 KG (IVA INC)]])</f>
        <v>27875.632304076684</v>
      </c>
      <c r="AF173" s="828" t="s">
        <v>476</v>
      </c>
      <c r="AG173" s="828" t="s">
        <v>365</v>
      </c>
      <c r="AH173" s="828" t="s">
        <v>387</v>
      </c>
      <c r="AI173" s="828" t="s">
        <v>261</v>
      </c>
      <c r="AJ17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73" s="846">
        <f>SUM(Tabla1[[#This Row],[PRECIO $ BOLSA 50KG  FOB CDO TUC (IVA INC)]]-Tabla1[[#This Row],[PRECIO REF $ BOLSA 50 KG CACTU (IVA INC)]])</f>
        <v>-4639.3676959233162</v>
      </c>
      <c r="AL173" s="847">
        <f>IFERROR(Tabla1[[#This Row],[PRECIO $ BOLSA 50KG  FOB CDO TUC (IVA INC)]]/Tabla1[[#This Row],[PRECIO REF $ BOLSA 50 KG CACTU (IVA INC)]]-1,"")</f>
        <v>-0.1426839211417289</v>
      </c>
      <c r="AM173" s="846">
        <f>+Tabla1[[#This Row],[DIF $ PRECIO NETO INDUSTRIA vs Neto TUCUMAN (IVA INC)]]*Tabla1[[#This Row],[Q Bolsas Equivalentes 50kg]]</f>
        <v>-3247557.3871463211</v>
      </c>
      <c r="AN173" s="846">
        <f>Tabla1[[#This Row],[PRECIO REF $ BOLSA 50 KG CACTU (IVA INC)]]*Tabla1[[#This Row],[Q Bolsas Equivalentes 50kg]]</f>
        <v>22760500</v>
      </c>
      <c r="AO173" s="846">
        <f>+Tabla1[[#This Row],[PRECIO $ BOLSA 50KG  FOB CDO TUC (IVA INC)]]*Tabla1[[#This Row],[Q Bolsas Equivalentes 50kg]]</f>
        <v>19512942.61285368</v>
      </c>
      <c r="AP173" s="847">
        <v>2.9000000000000001E-2</v>
      </c>
      <c r="AQ173" s="846">
        <v>-68</v>
      </c>
      <c r="AR173" s="848"/>
      <c r="AS173" s="849"/>
      <c r="AT173" s="923">
        <f>+Tabla1[[#This Row],[VENTA TOTAL $ (IVA INC) ]]-(SUM(Tabla1[[#This Row],[PENDIENTE DE ENTREGA]:[VALORES COBRADOS]]))</f>
        <v>0</v>
      </c>
      <c r="AU173" s="850">
        <f>VLOOKUP(Tabla1[[#This Row],[FECHA OC]],'TIPO DE CAMBIO'!A:B,2,TRUE)</f>
        <v>1446.3009999999999</v>
      </c>
      <c r="AV173" s="850">
        <f>+Tabla1[[#This Row],[SUBTOTAL]]/Tabla1[[#This Row],[TIPO DE CAMBIO]]</f>
        <v>11025</v>
      </c>
      <c r="AW173" s="851"/>
      <c r="AX173" s="850">
        <f>IFERROR(Tabla1[[#This Row],[VENTA TOTAL USD A PLAZO EN CLIENTE  (SIN IVA)]]*(1+Tabla1[[#This Row],[% IVA ]]),"")</f>
        <v>11025</v>
      </c>
      <c r="AY173" s="850">
        <f>+Tabla1[[#This Row],[VENTA TOTAL USD A PLAZO EN CLIENTE  (SIN IVA)]]/Tabla1[[#This Row],[KGS]]*1000</f>
        <v>315</v>
      </c>
      <c r="AZ173" s="850">
        <v>0</v>
      </c>
      <c r="BA173" s="850">
        <f>+Tabla1[[#This Row],[GASTOS FINANCIEROS $ BOLSA 50 KG (IVA INC)]]*20/Tabla1[[#This Row],[TIPO DE CAMBIO]]</f>
        <v>4.3304905479452058</v>
      </c>
      <c r="BB173" s="850">
        <f>+Tabla1[[#This Row],[PRECIO POR TN USD EN CLIENTE A PLAZO (SIN IVA)]]+Tabla1[[#This Row],[COSTO USD FLETE /TN (SIN IVA)]]+Tabla1[[#This Row],[COSTO FINANCIERO USD POR BOLSA 50KG (IVA INC)]]</f>
        <v>319.3304905479452</v>
      </c>
      <c r="BC173" s="848">
        <v>5</v>
      </c>
      <c r="BD173" s="944"/>
    </row>
    <row r="174" spans="1:56" ht="15.75" customHeight="1">
      <c r="A174" s="912">
        <v>46174</v>
      </c>
      <c r="B174" s="828">
        <v>1</v>
      </c>
      <c r="C174" s="792" t="s">
        <v>406</v>
      </c>
      <c r="D174" s="829">
        <f>+Tabla1[[#This Row],[FECHA Entrega]]</f>
        <v>46194</v>
      </c>
      <c r="E174" s="830">
        <v>700000869</v>
      </c>
      <c r="F174" s="831" t="s">
        <v>358</v>
      </c>
      <c r="G174" s="832" t="s">
        <v>216</v>
      </c>
      <c r="H174" s="852">
        <v>46194</v>
      </c>
      <c r="I174" s="834">
        <f t="shared" si="81"/>
        <v>35000</v>
      </c>
      <c r="J174" s="835">
        <f>0.315*Tabla1[[#This Row],[TIPO DE CAMBIO]]</f>
        <v>455.58481499999999</v>
      </c>
      <c r="K174" s="836">
        <f t="shared" si="60"/>
        <v>15945468.525</v>
      </c>
      <c r="L17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74" s="837">
        <f t="shared" si="82"/>
        <v>19294016.91525</v>
      </c>
      <c r="N174" s="838"/>
      <c r="O174" s="838">
        <v>0</v>
      </c>
      <c r="P174" s="838">
        <v>0</v>
      </c>
      <c r="Q174" s="839">
        <f>+Tabla1[[#This Row],[VENTA TOTAL $ (IVA INC) ]]-Tabla1[[#This Row],[PENDIENTE DE COBRO]]</f>
        <v>19294016.91525</v>
      </c>
      <c r="R174" s="840">
        <f>+Tabla1[[#This Row],[FECHA FC]]+Tabla1[[#This Row],[PLAZO ENTREGA VALORES]]</f>
        <v>46051</v>
      </c>
      <c r="S174" s="840">
        <f>+Tabla1[[#This Row],[FECHA FC]]+Tabla1[[#This Row],[PLAZO PAGO (DIAS)]]</f>
        <v>46194</v>
      </c>
      <c r="T174" s="834">
        <f t="shared" ca="1" si="83"/>
        <v>13</v>
      </c>
      <c r="U174" s="831">
        <f>+Tabla1[[#This Row],[FECHA OC]]-Tabla1[[#This Row],[FECHA Entrega]]</f>
        <v>-143</v>
      </c>
      <c r="V174" s="831"/>
      <c r="W174" s="841">
        <f>+Tabla1[[#This Row],[FECHA VTO VALORES]]+7</f>
        <v>46201</v>
      </c>
      <c r="X174" s="831" t="s">
        <v>489</v>
      </c>
      <c r="Y174" s="840">
        <v>46051</v>
      </c>
      <c r="Z174" s="842">
        <f>Tabla1[[#This Row],[KGS]]/50</f>
        <v>700</v>
      </c>
      <c r="AA17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74" s="844">
        <f>-Tabla1[[#This Row],[COSTO FLETE $ POR BOLSA 5O KG (SIN IVA)]]*1.21-Tabla1[[#This Row],[PRECIO $/ KG A PLAZO EN CLIENTE ( SIN IVA)]]*0.003*1.21*50</f>
        <v>-0.40864392249999071</v>
      </c>
      <c r="AC174" s="845">
        <f>SUM(Tabla1[[#This Row],[PRECIO $ BOLSA 50 KG (IVA INC) ]]+Tabla1[[#This Row],[COSTO FLETE $ BOLSA 50 KG (IVA INC)]])</f>
        <v>27562.4726635775</v>
      </c>
      <c r="AD174" s="844">
        <f>-Tabla1[[#This Row],[PRECIO $ BOLSA 50 KG (IVA INC) ]]*(Tabla1[[#This Row],[TASA FINANCIACION MENSUAL]]/365)*Tabla1[[#This Row],[PLAZO ENTREGA VALORES]]</f>
        <v>313.15964049918495</v>
      </c>
      <c r="AE174" s="845">
        <f>SUM(Tabla1[[#This Row],[PRECIO $ BOLSA50 KG  FOB TUCUMAN A PLAZO (IVA INC)]]+Tabla1[[#This Row],[GASTOS FINANCIEROS $ BOLSA 50 KG (IVA INC)]])</f>
        <v>27875.632304076684</v>
      </c>
      <c r="AF174" s="828" t="s">
        <v>476</v>
      </c>
      <c r="AG174" s="828" t="s">
        <v>365</v>
      </c>
      <c r="AH174" s="828" t="s">
        <v>387</v>
      </c>
      <c r="AI174" s="828" t="s">
        <v>261</v>
      </c>
      <c r="AJ17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74" s="846">
        <f>SUM(Tabla1[[#This Row],[PRECIO $ BOLSA 50KG  FOB CDO TUC (IVA INC)]]-Tabla1[[#This Row],[PRECIO REF $ BOLSA 50 KG CACTU (IVA INC)]])</f>
        <v>-4639.3676959233162</v>
      </c>
      <c r="AL174" s="847">
        <f>IFERROR(Tabla1[[#This Row],[PRECIO $ BOLSA 50KG  FOB CDO TUC (IVA INC)]]/Tabla1[[#This Row],[PRECIO REF $ BOLSA 50 KG CACTU (IVA INC)]]-1,"")</f>
        <v>-0.1426839211417289</v>
      </c>
      <c r="AM174" s="846">
        <f>+Tabla1[[#This Row],[DIF $ PRECIO NETO INDUSTRIA vs Neto TUCUMAN (IVA INC)]]*Tabla1[[#This Row],[Q Bolsas Equivalentes 50kg]]</f>
        <v>-3247557.3871463211</v>
      </c>
      <c r="AN174" s="846">
        <f>Tabla1[[#This Row],[PRECIO REF $ BOLSA 50 KG CACTU (IVA INC)]]*Tabla1[[#This Row],[Q Bolsas Equivalentes 50kg]]</f>
        <v>22760500</v>
      </c>
      <c r="AO174" s="846">
        <f>+Tabla1[[#This Row],[PRECIO $ BOLSA 50KG  FOB CDO TUC (IVA INC)]]*Tabla1[[#This Row],[Q Bolsas Equivalentes 50kg]]</f>
        <v>19512942.61285368</v>
      </c>
      <c r="AP174" s="847">
        <v>2.9000000000000001E-2</v>
      </c>
      <c r="AQ174" s="846">
        <v>-68</v>
      </c>
      <c r="AR174" s="848"/>
      <c r="AS174" s="849"/>
      <c r="AT174" s="923">
        <f>+Tabla1[[#This Row],[VENTA TOTAL $ (IVA INC) ]]-(SUM(Tabla1[[#This Row],[PENDIENTE DE ENTREGA]:[VALORES COBRADOS]]))</f>
        <v>0</v>
      </c>
      <c r="AU174" s="850">
        <f>VLOOKUP(Tabla1[[#This Row],[FECHA OC]],'TIPO DE CAMBIO'!A:B,2,TRUE)</f>
        <v>1446.3009999999999</v>
      </c>
      <c r="AV174" s="850">
        <f>+Tabla1[[#This Row],[SUBTOTAL]]/Tabla1[[#This Row],[TIPO DE CAMBIO]]</f>
        <v>11025</v>
      </c>
      <c r="AW174" s="851"/>
      <c r="AX174" s="850">
        <f>IFERROR(Tabla1[[#This Row],[VENTA TOTAL USD A PLAZO EN CLIENTE  (SIN IVA)]]*(1+Tabla1[[#This Row],[% IVA ]]),"")</f>
        <v>11025</v>
      </c>
      <c r="AY174" s="850">
        <f>+Tabla1[[#This Row],[VENTA TOTAL USD A PLAZO EN CLIENTE  (SIN IVA)]]/Tabla1[[#This Row],[KGS]]*1000</f>
        <v>315</v>
      </c>
      <c r="AZ174" s="850">
        <v>0</v>
      </c>
      <c r="BA174" s="850">
        <f>+Tabla1[[#This Row],[GASTOS FINANCIEROS $ BOLSA 50 KG (IVA INC)]]*20/Tabla1[[#This Row],[TIPO DE CAMBIO]]</f>
        <v>4.3304905479452058</v>
      </c>
      <c r="BB174" s="850">
        <f>+Tabla1[[#This Row],[PRECIO POR TN USD EN CLIENTE A PLAZO (SIN IVA)]]+Tabla1[[#This Row],[COSTO USD FLETE /TN (SIN IVA)]]+Tabla1[[#This Row],[COSTO FINANCIERO USD POR BOLSA 50KG (IVA INC)]]</f>
        <v>319.3304905479452</v>
      </c>
      <c r="BC174" s="848">
        <v>5</v>
      </c>
      <c r="BD174" s="944"/>
    </row>
    <row r="175" spans="1:56" ht="15.75" customHeight="1">
      <c r="A175" s="912">
        <v>46174</v>
      </c>
      <c r="B175" s="828">
        <v>1</v>
      </c>
      <c r="C175" s="792" t="s">
        <v>406</v>
      </c>
      <c r="D175" s="829">
        <f>+Tabla1[[#This Row],[FECHA Entrega]]</f>
        <v>46195</v>
      </c>
      <c r="E175" s="830">
        <v>700000869</v>
      </c>
      <c r="F175" s="831" t="s">
        <v>358</v>
      </c>
      <c r="G175" s="832" t="s">
        <v>216</v>
      </c>
      <c r="H175" s="852">
        <v>46195</v>
      </c>
      <c r="I175" s="834">
        <f t="shared" si="81"/>
        <v>35000</v>
      </c>
      <c r="J175" s="835">
        <f>0.315*Tabla1[[#This Row],[TIPO DE CAMBIO]]</f>
        <v>455.58481499999999</v>
      </c>
      <c r="K175" s="836">
        <f t="shared" si="60"/>
        <v>15945468.525</v>
      </c>
      <c r="L17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75" s="837">
        <f t="shared" si="82"/>
        <v>19294016.91525</v>
      </c>
      <c r="N175" s="838"/>
      <c r="O175" s="838">
        <v>0</v>
      </c>
      <c r="P175" s="838">
        <v>0</v>
      </c>
      <c r="Q175" s="839">
        <f>+Tabla1[[#This Row],[VENTA TOTAL $ (IVA INC) ]]-Tabla1[[#This Row],[PENDIENTE DE COBRO]]</f>
        <v>19294016.91525</v>
      </c>
      <c r="R175" s="840">
        <f>+Tabla1[[#This Row],[FECHA FC]]+Tabla1[[#This Row],[PLAZO ENTREGA VALORES]]</f>
        <v>46051</v>
      </c>
      <c r="S175" s="840">
        <f>+Tabla1[[#This Row],[FECHA FC]]+Tabla1[[#This Row],[PLAZO PAGO (DIAS)]]</f>
        <v>46195</v>
      </c>
      <c r="T175" s="834">
        <f t="shared" ca="1" si="83"/>
        <v>14</v>
      </c>
      <c r="U175" s="831">
        <f>+Tabla1[[#This Row],[FECHA OC]]-Tabla1[[#This Row],[FECHA Entrega]]</f>
        <v>-144</v>
      </c>
      <c r="V175" s="831"/>
      <c r="W175" s="841">
        <f>+Tabla1[[#This Row],[FECHA VTO VALORES]]+7</f>
        <v>46202</v>
      </c>
      <c r="X175" s="831" t="s">
        <v>489</v>
      </c>
      <c r="Y175" s="840">
        <v>46051</v>
      </c>
      <c r="Z175" s="842">
        <f>Tabla1[[#This Row],[KGS]]/50</f>
        <v>700</v>
      </c>
      <c r="AA17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75" s="844">
        <f>-Tabla1[[#This Row],[COSTO FLETE $ POR BOLSA 5O KG (SIN IVA)]]*1.21-Tabla1[[#This Row],[PRECIO $/ KG A PLAZO EN CLIENTE ( SIN IVA)]]*0.003*1.21*50</f>
        <v>-0.40864392249999071</v>
      </c>
      <c r="AC175" s="845">
        <f>SUM(Tabla1[[#This Row],[PRECIO $ BOLSA 50 KG (IVA INC) ]]+Tabla1[[#This Row],[COSTO FLETE $ BOLSA 50 KG (IVA INC)]])</f>
        <v>27562.4726635775</v>
      </c>
      <c r="AD175" s="844">
        <f>-Tabla1[[#This Row],[PRECIO $ BOLSA 50 KG (IVA INC) ]]*(Tabla1[[#This Row],[TASA FINANCIACION MENSUAL]]/365)*Tabla1[[#This Row],[PLAZO ENTREGA VALORES]]</f>
        <v>315.34956805512331</v>
      </c>
      <c r="AE175" s="845">
        <f>SUM(Tabla1[[#This Row],[PRECIO $ BOLSA50 KG  FOB TUCUMAN A PLAZO (IVA INC)]]+Tabla1[[#This Row],[GASTOS FINANCIEROS $ BOLSA 50 KG (IVA INC)]])</f>
        <v>27877.822231632625</v>
      </c>
      <c r="AF175" s="828" t="s">
        <v>476</v>
      </c>
      <c r="AG175" s="828" t="s">
        <v>365</v>
      </c>
      <c r="AH175" s="828" t="s">
        <v>387</v>
      </c>
      <c r="AI175" s="828" t="s">
        <v>261</v>
      </c>
      <c r="AJ17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75" s="846">
        <f>SUM(Tabla1[[#This Row],[PRECIO $ BOLSA 50KG  FOB CDO TUC (IVA INC)]]-Tabla1[[#This Row],[PRECIO REF $ BOLSA 50 KG CACTU (IVA INC)]])</f>
        <v>-4637.1777683673754</v>
      </c>
      <c r="AL175" s="847">
        <f>IFERROR(Tabla1[[#This Row],[PRECIO $ BOLSA 50KG  FOB CDO TUC (IVA INC)]]/Tabla1[[#This Row],[PRECIO REF $ BOLSA 50 KG CACTU (IVA INC)]]-1,"")</f>
        <v>-0.14261656984060822</v>
      </c>
      <c r="AM175" s="846">
        <f>+Tabla1[[#This Row],[DIF $ PRECIO NETO INDUSTRIA vs Neto TUCUMAN (IVA INC)]]*Tabla1[[#This Row],[Q Bolsas Equivalentes 50kg]]</f>
        <v>-3246024.4378571627</v>
      </c>
      <c r="AN175" s="846">
        <f>Tabla1[[#This Row],[PRECIO REF $ BOLSA 50 KG CACTU (IVA INC)]]*Tabla1[[#This Row],[Q Bolsas Equivalentes 50kg]]</f>
        <v>22760500</v>
      </c>
      <c r="AO175" s="846">
        <f>+Tabla1[[#This Row],[PRECIO $ BOLSA 50KG  FOB CDO TUC (IVA INC)]]*Tabla1[[#This Row],[Q Bolsas Equivalentes 50kg]]</f>
        <v>19514475.562142838</v>
      </c>
      <c r="AP175" s="847">
        <v>2.9000000000000001E-2</v>
      </c>
      <c r="AQ175" s="846">
        <v>-68</v>
      </c>
      <c r="AR175" s="848"/>
      <c r="AS175" s="849"/>
      <c r="AT175" s="923">
        <f>+Tabla1[[#This Row],[VENTA TOTAL $ (IVA INC) ]]-(SUM(Tabla1[[#This Row],[PENDIENTE DE ENTREGA]:[VALORES COBRADOS]]))</f>
        <v>0</v>
      </c>
      <c r="AU175" s="850">
        <f>VLOOKUP(Tabla1[[#This Row],[FECHA OC]],'TIPO DE CAMBIO'!A:B,2,TRUE)</f>
        <v>1446.3009999999999</v>
      </c>
      <c r="AV175" s="850">
        <f>+Tabla1[[#This Row],[SUBTOTAL]]/Tabla1[[#This Row],[TIPO DE CAMBIO]]</f>
        <v>11025</v>
      </c>
      <c r="AW175" s="851"/>
      <c r="AX175" s="850">
        <f>IFERROR(Tabla1[[#This Row],[VENTA TOTAL USD A PLAZO EN CLIENTE  (SIN IVA)]]*(1+Tabla1[[#This Row],[% IVA ]]),"")</f>
        <v>11025</v>
      </c>
      <c r="AY175" s="850">
        <f>+Tabla1[[#This Row],[VENTA TOTAL USD A PLAZO EN CLIENTE  (SIN IVA)]]/Tabla1[[#This Row],[KGS]]*1000</f>
        <v>315</v>
      </c>
      <c r="AZ175" s="850">
        <v>0</v>
      </c>
      <c r="BA175" s="850">
        <f>+Tabla1[[#This Row],[GASTOS FINANCIEROS $ BOLSA 50 KG (IVA INC)]]*20/Tabla1[[#This Row],[TIPO DE CAMBIO]]</f>
        <v>4.3607736986301369</v>
      </c>
      <c r="BB175" s="850">
        <f>+Tabla1[[#This Row],[PRECIO POR TN USD EN CLIENTE A PLAZO (SIN IVA)]]+Tabla1[[#This Row],[COSTO USD FLETE /TN (SIN IVA)]]+Tabla1[[#This Row],[COSTO FINANCIERO USD POR BOLSA 50KG (IVA INC)]]</f>
        <v>319.36077369863011</v>
      </c>
      <c r="BC175" s="848">
        <v>5</v>
      </c>
      <c r="BD175" s="944"/>
    </row>
    <row r="176" spans="1:56" ht="15.75" customHeight="1">
      <c r="A176" s="912">
        <v>46174</v>
      </c>
      <c r="B176" s="828">
        <v>1</v>
      </c>
      <c r="C176" s="792" t="s">
        <v>406</v>
      </c>
      <c r="D176" s="829">
        <f>+Tabla1[[#This Row],[FECHA Entrega]]</f>
        <v>46195</v>
      </c>
      <c r="E176" s="830">
        <v>700000869</v>
      </c>
      <c r="F176" s="831" t="s">
        <v>358</v>
      </c>
      <c r="G176" s="832" t="s">
        <v>216</v>
      </c>
      <c r="H176" s="852">
        <v>46195</v>
      </c>
      <c r="I176" s="834">
        <f t="shared" si="81"/>
        <v>35000</v>
      </c>
      <c r="J176" s="835">
        <f>0.315*Tabla1[[#This Row],[TIPO DE CAMBIO]]</f>
        <v>455.58481499999999</v>
      </c>
      <c r="K176" s="836">
        <f t="shared" si="60"/>
        <v>15945468.525</v>
      </c>
      <c r="L17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76" s="837">
        <f t="shared" si="82"/>
        <v>19294016.91525</v>
      </c>
      <c r="N176" s="838"/>
      <c r="O176" s="838">
        <v>0</v>
      </c>
      <c r="P176" s="838">
        <v>0</v>
      </c>
      <c r="Q176" s="839">
        <f>+Tabla1[[#This Row],[VENTA TOTAL $ (IVA INC) ]]-Tabla1[[#This Row],[PENDIENTE DE COBRO]]</f>
        <v>19294016.91525</v>
      </c>
      <c r="R176" s="840">
        <f>+Tabla1[[#This Row],[FECHA FC]]+Tabla1[[#This Row],[PLAZO ENTREGA VALORES]]</f>
        <v>46051</v>
      </c>
      <c r="S176" s="840">
        <f>+Tabla1[[#This Row],[FECHA FC]]+Tabla1[[#This Row],[PLAZO PAGO (DIAS)]]</f>
        <v>46195</v>
      </c>
      <c r="T176" s="834">
        <f t="shared" ca="1" si="83"/>
        <v>14</v>
      </c>
      <c r="U176" s="831">
        <f>+Tabla1[[#This Row],[FECHA OC]]-Tabla1[[#This Row],[FECHA Entrega]]</f>
        <v>-144</v>
      </c>
      <c r="V176" s="831"/>
      <c r="W176" s="841">
        <f>+Tabla1[[#This Row],[FECHA VTO VALORES]]+7</f>
        <v>46202</v>
      </c>
      <c r="X176" s="831" t="s">
        <v>489</v>
      </c>
      <c r="Y176" s="840">
        <v>46051</v>
      </c>
      <c r="Z176" s="842">
        <f>Tabla1[[#This Row],[KGS]]/50</f>
        <v>700</v>
      </c>
      <c r="AA17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76" s="844">
        <f>-Tabla1[[#This Row],[COSTO FLETE $ POR BOLSA 5O KG (SIN IVA)]]*1.21-Tabla1[[#This Row],[PRECIO $/ KG A PLAZO EN CLIENTE ( SIN IVA)]]*0.003*1.21*50</f>
        <v>-0.40864392249999071</v>
      </c>
      <c r="AC176" s="845">
        <f>SUM(Tabla1[[#This Row],[PRECIO $ BOLSA 50 KG (IVA INC) ]]+Tabla1[[#This Row],[COSTO FLETE $ BOLSA 50 KG (IVA INC)]])</f>
        <v>27562.4726635775</v>
      </c>
      <c r="AD176" s="844">
        <f>-Tabla1[[#This Row],[PRECIO $ BOLSA 50 KG (IVA INC) ]]*(Tabla1[[#This Row],[TASA FINANCIACION MENSUAL]]/365)*Tabla1[[#This Row],[PLAZO ENTREGA VALORES]]</f>
        <v>315.34956805512331</v>
      </c>
      <c r="AE176" s="845">
        <f>SUM(Tabla1[[#This Row],[PRECIO $ BOLSA50 KG  FOB TUCUMAN A PLAZO (IVA INC)]]+Tabla1[[#This Row],[GASTOS FINANCIEROS $ BOLSA 50 KG (IVA INC)]])</f>
        <v>27877.822231632625</v>
      </c>
      <c r="AF176" s="828" t="s">
        <v>476</v>
      </c>
      <c r="AG176" s="828" t="s">
        <v>365</v>
      </c>
      <c r="AH176" s="828" t="s">
        <v>387</v>
      </c>
      <c r="AI176" s="828" t="s">
        <v>261</v>
      </c>
      <c r="AJ17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76" s="846">
        <f>SUM(Tabla1[[#This Row],[PRECIO $ BOLSA 50KG  FOB CDO TUC (IVA INC)]]-Tabla1[[#This Row],[PRECIO REF $ BOLSA 50 KG CACTU (IVA INC)]])</f>
        <v>-4637.1777683673754</v>
      </c>
      <c r="AL176" s="847">
        <f>IFERROR(Tabla1[[#This Row],[PRECIO $ BOLSA 50KG  FOB CDO TUC (IVA INC)]]/Tabla1[[#This Row],[PRECIO REF $ BOLSA 50 KG CACTU (IVA INC)]]-1,"")</f>
        <v>-0.14261656984060822</v>
      </c>
      <c r="AM176" s="846">
        <f>+Tabla1[[#This Row],[DIF $ PRECIO NETO INDUSTRIA vs Neto TUCUMAN (IVA INC)]]*Tabla1[[#This Row],[Q Bolsas Equivalentes 50kg]]</f>
        <v>-3246024.4378571627</v>
      </c>
      <c r="AN176" s="846">
        <f>Tabla1[[#This Row],[PRECIO REF $ BOLSA 50 KG CACTU (IVA INC)]]*Tabla1[[#This Row],[Q Bolsas Equivalentes 50kg]]</f>
        <v>22760500</v>
      </c>
      <c r="AO176" s="846">
        <f>+Tabla1[[#This Row],[PRECIO $ BOLSA 50KG  FOB CDO TUC (IVA INC)]]*Tabla1[[#This Row],[Q Bolsas Equivalentes 50kg]]</f>
        <v>19514475.562142838</v>
      </c>
      <c r="AP176" s="847">
        <v>2.9000000000000001E-2</v>
      </c>
      <c r="AQ176" s="846">
        <v>-68</v>
      </c>
      <c r="AR176" s="848"/>
      <c r="AS176" s="849"/>
      <c r="AT176" s="923">
        <f>+Tabla1[[#This Row],[VENTA TOTAL $ (IVA INC) ]]-(SUM(Tabla1[[#This Row],[PENDIENTE DE ENTREGA]:[VALORES COBRADOS]]))</f>
        <v>0</v>
      </c>
      <c r="AU176" s="850">
        <f>VLOOKUP(Tabla1[[#This Row],[FECHA OC]],'TIPO DE CAMBIO'!A:B,2,TRUE)</f>
        <v>1446.3009999999999</v>
      </c>
      <c r="AV176" s="850">
        <f>+Tabla1[[#This Row],[SUBTOTAL]]/Tabla1[[#This Row],[TIPO DE CAMBIO]]</f>
        <v>11025</v>
      </c>
      <c r="AW176" s="851"/>
      <c r="AX176" s="850">
        <f>IFERROR(Tabla1[[#This Row],[VENTA TOTAL USD A PLAZO EN CLIENTE  (SIN IVA)]]*(1+Tabla1[[#This Row],[% IVA ]]),"")</f>
        <v>11025</v>
      </c>
      <c r="AY176" s="850">
        <f>+Tabla1[[#This Row],[VENTA TOTAL USD A PLAZO EN CLIENTE  (SIN IVA)]]/Tabla1[[#This Row],[KGS]]*1000</f>
        <v>315</v>
      </c>
      <c r="AZ176" s="850">
        <v>0</v>
      </c>
      <c r="BA176" s="850">
        <f>+Tabla1[[#This Row],[GASTOS FINANCIEROS $ BOLSA 50 KG (IVA INC)]]*20/Tabla1[[#This Row],[TIPO DE CAMBIO]]</f>
        <v>4.3607736986301369</v>
      </c>
      <c r="BB176" s="850">
        <f>+Tabla1[[#This Row],[PRECIO POR TN USD EN CLIENTE A PLAZO (SIN IVA)]]+Tabla1[[#This Row],[COSTO USD FLETE /TN (SIN IVA)]]+Tabla1[[#This Row],[COSTO FINANCIERO USD POR BOLSA 50KG (IVA INC)]]</f>
        <v>319.36077369863011</v>
      </c>
      <c r="BC176" s="848">
        <v>5</v>
      </c>
      <c r="BD176" s="944"/>
    </row>
    <row r="177" spans="1:56" ht="15.75" customHeight="1">
      <c r="A177" s="912">
        <v>46174</v>
      </c>
      <c r="B177" s="828">
        <v>1</v>
      </c>
      <c r="C177" s="792" t="s">
        <v>406</v>
      </c>
      <c r="D177" s="829">
        <f>+Tabla1[[#This Row],[FECHA Entrega]]</f>
        <v>46196</v>
      </c>
      <c r="E177" s="830">
        <v>700000869</v>
      </c>
      <c r="F177" s="831" t="s">
        <v>358</v>
      </c>
      <c r="G177" s="832" t="s">
        <v>216</v>
      </c>
      <c r="H177" s="852">
        <v>46196</v>
      </c>
      <c r="I177" s="834">
        <f t="shared" si="81"/>
        <v>35000</v>
      </c>
      <c r="J177" s="835">
        <f>0.315*Tabla1[[#This Row],[TIPO DE CAMBIO]]</f>
        <v>455.58481499999999</v>
      </c>
      <c r="K177" s="836">
        <f t="shared" si="60"/>
        <v>15945468.525</v>
      </c>
      <c r="L17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77" s="837">
        <f t="shared" si="82"/>
        <v>19294016.91525</v>
      </c>
      <c r="N177" s="838"/>
      <c r="O177" s="838">
        <v>0</v>
      </c>
      <c r="P177" s="838">
        <v>0</v>
      </c>
      <c r="Q177" s="839">
        <f>+Tabla1[[#This Row],[VENTA TOTAL $ (IVA INC) ]]-Tabla1[[#This Row],[PENDIENTE DE COBRO]]</f>
        <v>19294016.91525</v>
      </c>
      <c r="R177" s="840">
        <f>+Tabla1[[#This Row],[FECHA FC]]+Tabla1[[#This Row],[PLAZO ENTREGA VALORES]]</f>
        <v>46051</v>
      </c>
      <c r="S177" s="840">
        <f>+Tabla1[[#This Row],[FECHA FC]]+Tabla1[[#This Row],[PLAZO PAGO (DIAS)]]</f>
        <v>46196</v>
      </c>
      <c r="T177" s="834">
        <f t="shared" ca="1" si="83"/>
        <v>15</v>
      </c>
      <c r="U177" s="831">
        <f>+Tabla1[[#This Row],[FECHA OC]]-Tabla1[[#This Row],[FECHA Entrega]]</f>
        <v>-145</v>
      </c>
      <c r="V177" s="831"/>
      <c r="W177" s="841">
        <f>+Tabla1[[#This Row],[FECHA VTO VALORES]]+7</f>
        <v>46203</v>
      </c>
      <c r="X177" s="831" t="s">
        <v>489</v>
      </c>
      <c r="Y177" s="840">
        <v>46051</v>
      </c>
      <c r="Z177" s="842">
        <f>Tabla1[[#This Row],[KGS]]/50</f>
        <v>700</v>
      </c>
      <c r="AA17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77" s="844">
        <f>-Tabla1[[#This Row],[COSTO FLETE $ POR BOLSA 5O KG (SIN IVA)]]*1.21-Tabla1[[#This Row],[PRECIO $/ KG A PLAZO EN CLIENTE ( SIN IVA)]]*0.003*1.21*50</f>
        <v>-0.40864392249999071</v>
      </c>
      <c r="AC177" s="845">
        <f>SUM(Tabla1[[#This Row],[PRECIO $ BOLSA 50 KG (IVA INC) ]]+Tabla1[[#This Row],[COSTO FLETE $ BOLSA 50 KG (IVA INC)]])</f>
        <v>27562.4726635775</v>
      </c>
      <c r="AD177" s="844">
        <f>-Tabla1[[#This Row],[PRECIO $ BOLSA 50 KG (IVA INC) ]]*(Tabla1[[#This Row],[TASA FINANCIACION MENSUAL]]/365)*Tabla1[[#This Row],[PLAZO ENTREGA VALORES]]</f>
        <v>317.53949561106162</v>
      </c>
      <c r="AE177" s="845">
        <f>SUM(Tabla1[[#This Row],[PRECIO $ BOLSA50 KG  FOB TUCUMAN A PLAZO (IVA INC)]]+Tabla1[[#This Row],[GASTOS FINANCIEROS $ BOLSA 50 KG (IVA INC)]])</f>
        <v>27880.012159188562</v>
      </c>
      <c r="AF177" s="828" t="s">
        <v>476</v>
      </c>
      <c r="AG177" s="828" t="s">
        <v>365</v>
      </c>
      <c r="AH177" s="828" t="s">
        <v>387</v>
      </c>
      <c r="AI177" s="828" t="s">
        <v>261</v>
      </c>
      <c r="AJ17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77" s="846">
        <f>SUM(Tabla1[[#This Row],[PRECIO $ BOLSA 50KG  FOB CDO TUC (IVA INC)]]-Tabla1[[#This Row],[PRECIO REF $ BOLSA 50 KG CACTU (IVA INC)]])</f>
        <v>-4634.9878408114382</v>
      </c>
      <c r="AL177" s="847">
        <f>IFERROR(Tabla1[[#This Row],[PRECIO $ BOLSA 50KG  FOB CDO TUC (IVA INC)]]/Tabla1[[#This Row],[PRECIO REF $ BOLSA 50 KG CACTU (IVA INC)]]-1,"")</f>
        <v>-0.14254921853948754</v>
      </c>
      <c r="AM177" s="846">
        <f>+Tabla1[[#This Row],[DIF $ PRECIO NETO INDUSTRIA vs Neto TUCUMAN (IVA INC)]]*Tabla1[[#This Row],[Q Bolsas Equivalentes 50kg]]</f>
        <v>-3244491.4885680065</v>
      </c>
      <c r="AN177" s="846">
        <f>Tabla1[[#This Row],[PRECIO REF $ BOLSA 50 KG CACTU (IVA INC)]]*Tabla1[[#This Row],[Q Bolsas Equivalentes 50kg]]</f>
        <v>22760500</v>
      </c>
      <c r="AO177" s="846">
        <f>+Tabla1[[#This Row],[PRECIO $ BOLSA 50KG  FOB CDO TUC (IVA INC)]]*Tabla1[[#This Row],[Q Bolsas Equivalentes 50kg]]</f>
        <v>19516008.511431992</v>
      </c>
      <c r="AP177" s="847">
        <v>2.9000000000000001E-2</v>
      </c>
      <c r="AQ177" s="846">
        <v>-68</v>
      </c>
      <c r="AR177" s="848"/>
      <c r="AS177" s="849"/>
      <c r="AT177" s="923">
        <f>+Tabla1[[#This Row],[VENTA TOTAL $ (IVA INC) ]]-(SUM(Tabla1[[#This Row],[PENDIENTE DE ENTREGA]:[VALORES COBRADOS]]))</f>
        <v>0</v>
      </c>
      <c r="AU177" s="850">
        <f>VLOOKUP(Tabla1[[#This Row],[FECHA OC]],'TIPO DE CAMBIO'!A:B,2,TRUE)</f>
        <v>1446.3009999999999</v>
      </c>
      <c r="AV177" s="850">
        <f>+Tabla1[[#This Row],[SUBTOTAL]]/Tabla1[[#This Row],[TIPO DE CAMBIO]]</f>
        <v>11025</v>
      </c>
      <c r="AW177" s="851"/>
      <c r="AX177" s="850">
        <f>IFERROR(Tabla1[[#This Row],[VENTA TOTAL USD A PLAZO EN CLIENTE  (SIN IVA)]]*(1+Tabla1[[#This Row],[% IVA ]]),"")</f>
        <v>11025</v>
      </c>
      <c r="AY177" s="850">
        <f>+Tabla1[[#This Row],[VENTA TOTAL USD A PLAZO EN CLIENTE  (SIN IVA)]]/Tabla1[[#This Row],[KGS]]*1000</f>
        <v>315</v>
      </c>
      <c r="AZ177" s="850">
        <v>0</v>
      </c>
      <c r="BA177" s="850">
        <f>+Tabla1[[#This Row],[GASTOS FINANCIEROS $ BOLSA 50 KG (IVA INC)]]*20/Tabla1[[#This Row],[TIPO DE CAMBIO]]</f>
        <v>4.3910568493150688</v>
      </c>
      <c r="BB177" s="850">
        <f>+Tabla1[[#This Row],[PRECIO POR TN USD EN CLIENTE A PLAZO (SIN IVA)]]+Tabla1[[#This Row],[COSTO USD FLETE /TN (SIN IVA)]]+Tabla1[[#This Row],[COSTO FINANCIERO USD POR BOLSA 50KG (IVA INC)]]</f>
        <v>319.39105684931508</v>
      </c>
      <c r="BC177" s="848">
        <v>5</v>
      </c>
      <c r="BD177" s="944"/>
    </row>
    <row r="178" spans="1:56" ht="15.75" customHeight="1">
      <c r="A178" s="912">
        <v>46174</v>
      </c>
      <c r="B178" s="828">
        <v>1</v>
      </c>
      <c r="C178" s="792" t="s">
        <v>406</v>
      </c>
      <c r="D178" s="829">
        <f>+Tabla1[[#This Row],[FECHA Entrega]]</f>
        <v>46196</v>
      </c>
      <c r="E178" s="830">
        <v>700000869</v>
      </c>
      <c r="F178" s="831" t="s">
        <v>358</v>
      </c>
      <c r="G178" s="832" t="s">
        <v>216</v>
      </c>
      <c r="H178" s="852">
        <v>46196</v>
      </c>
      <c r="I178" s="834">
        <f t="shared" si="81"/>
        <v>35000</v>
      </c>
      <c r="J178" s="835">
        <f>0.315*Tabla1[[#This Row],[TIPO DE CAMBIO]]</f>
        <v>455.58481499999999</v>
      </c>
      <c r="K178" s="836">
        <f t="shared" si="60"/>
        <v>15945468.525</v>
      </c>
      <c r="L17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78" s="837">
        <f t="shared" si="82"/>
        <v>19294016.91525</v>
      </c>
      <c r="N178" s="838"/>
      <c r="O178" s="838">
        <v>0</v>
      </c>
      <c r="P178" s="838">
        <v>0</v>
      </c>
      <c r="Q178" s="839">
        <f>+Tabla1[[#This Row],[VENTA TOTAL $ (IVA INC) ]]-Tabla1[[#This Row],[PENDIENTE DE COBRO]]</f>
        <v>19294016.91525</v>
      </c>
      <c r="R178" s="840">
        <f>+Tabla1[[#This Row],[FECHA FC]]+Tabla1[[#This Row],[PLAZO ENTREGA VALORES]]</f>
        <v>46051</v>
      </c>
      <c r="S178" s="840">
        <f>+Tabla1[[#This Row],[FECHA FC]]+Tabla1[[#This Row],[PLAZO PAGO (DIAS)]]</f>
        <v>46196</v>
      </c>
      <c r="T178" s="834">
        <f t="shared" ca="1" si="83"/>
        <v>15</v>
      </c>
      <c r="U178" s="831">
        <f>+Tabla1[[#This Row],[FECHA OC]]-Tabla1[[#This Row],[FECHA Entrega]]</f>
        <v>-145</v>
      </c>
      <c r="V178" s="831"/>
      <c r="W178" s="841">
        <f>+Tabla1[[#This Row],[FECHA VTO VALORES]]+7</f>
        <v>46203</v>
      </c>
      <c r="X178" s="831" t="s">
        <v>489</v>
      </c>
      <c r="Y178" s="840">
        <v>46051</v>
      </c>
      <c r="Z178" s="842">
        <f>Tabla1[[#This Row],[KGS]]/50</f>
        <v>700</v>
      </c>
      <c r="AA17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78" s="844">
        <f>-Tabla1[[#This Row],[COSTO FLETE $ POR BOLSA 5O KG (SIN IVA)]]*1.21-Tabla1[[#This Row],[PRECIO $/ KG A PLAZO EN CLIENTE ( SIN IVA)]]*0.003*1.21*50</f>
        <v>-0.40864392249999071</v>
      </c>
      <c r="AC178" s="845">
        <f>SUM(Tabla1[[#This Row],[PRECIO $ BOLSA 50 KG (IVA INC) ]]+Tabla1[[#This Row],[COSTO FLETE $ BOLSA 50 KG (IVA INC)]])</f>
        <v>27562.4726635775</v>
      </c>
      <c r="AD178" s="844">
        <f>-Tabla1[[#This Row],[PRECIO $ BOLSA 50 KG (IVA INC) ]]*(Tabla1[[#This Row],[TASA FINANCIACION MENSUAL]]/365)*Tabla1[[#This Row],[PLAZO ENTREGA VALORES]]</f>
        <v>317.53949561106162</v>
      </c>
      <c r="AE178" s="845">
        <f>SUM(Tabla1[[#This Row],[PRECIO $ BOLSA50 KG  FOB TUCUMAN A PLAZO (IVA INC)]]+Tabla1[[#This Row],[GASTOS FINANCIEROS $ BOLSA 50 KG (IVA INC)]])</f>
        <v>27880.012159188562</v>
      </c>
      <c r="AF178" s="828" t="s">
        <v>476</v>
      </c>
      <c r="AG178" s="828" t="s">
        <v>365</v>
      </c>
      <c r="AH178" s="828" t="s">
        <v>387</v>
      </c>
      <c r="AI178" s="828" t="s">
        <v>261</v>
      </c>
      <c r="AJ17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78" s="846">
        <f>SUM(Tabla1[[#This Row],[PRECIO $ BOLSA 50KG  FOB CDO TUC (IVA INC)]]-Tabla1[[#This Row],[PRECIO REF $ BOLSA 50 KG CACTU (IVA INC)]])</f>
        <v>-4634.9878408114382</v>
      </c>
      <c r="AL178" s="847">
        <f>IFERROR(Tabla1[[#This Row],[PRECIO $ BOLSA 50KG  FOB CDO TUC (IVA INC)]]/Tabla1[[#This Row],[PRECIO REF $ BOLSA 50 KG CACTU (IVA INC)]]-1,"")</f>
        <v>-0.14254921853948754</v>
      </c>
      <c r="AM178" s="846">
        <f>+Tabla1[[#This Row],[DIF $ PRECIO NETO INDUSTRIA vs Neto TUCUMAN (IVA INC)]]*Tabla1[[#This Row],[Q Bolsas Equivalentes 50kg]]</f>
        <v>-3244491.4885680065</v>
      </c>
      <c r="AN178" s="846">
        <f>Tabla1[[#This Row],[PRECIO REF $ BOLSA 50 KG CACTU (IVA INC)]]*Tabla1[[#This Row],[Q Bolsas Equivalentes 50kg]]</f>
        <v>22760500</v>
      </c>
      <c r="AO178" s="846">
        <f>+Tabla1[[#This Row],[PRECIO $ BOLSA 50KG  FOB CDO TUC (IVA INC)]]*Tabla1[[#This Row],[Q Bolsas Equivalentes 50kg]]</f>
        <v>19516008.511431992</v>
      </c>
      <c r="AP178" s="847">
        <v>2.9000000000000001E-2</v>
      </c>
      <c r="AQ178" s="846">
        <v>-68</v>
      </c>
      <c r="AR178" s="848"/>
      <c r="AS178" s="849"/>
      <c r="AT178" s="923">
        <f>+Tabla1[[#This Row],[VENTA TOTAL $ (IVA INC) ]]-(SUM(Tabla1[[#This Row],[PENDIENTE DE ENTREGA]:[VALORES COBRADOS]]))</f>
        <v>0</v>
      </c>
      <c r="AU178" s="850">
        <f>VLOOKUP(Tabla1[[#This Row],[FECHA OC]],'TIPO DE CAMBIO'!A:B,2,TRUE)</f>
        <v>1446.3009999999999</v>
      </c>
      <c r="AV178" s="850">
        <f>+Tabla1[[#This Row],[SUBTOTAL]]/Tabla1[[#This Row],[TIPO DE CAMBIO]]</f>
        <v>11025</v>
      </c>
      <c r="AW178" s="851"/>
      <c r="AX178" s="850">
        <f>IFERROR(Tabla1[[#This Row],[VENTA TOTAL USD A PLAZO EN CLIENTE  (SIN IVA)]]*(1+Tabla1[[#This Row],[% IVA ]]),"")</f>
        <v>11025</v>
      </c>
      <c r="AY178" s="850">
        <f>+Tabla1[[#This Row],[VENTA TOTAL USD A PLAZO EN CLIENTE  (SIN IVA)]]/Tabla1[[#This Row],[KGS]]*1000</f>
        <v>315</v>
      </c>
      <c r="AZ178" s="850">
        <v>0</v>
      </c>
      <c r="BA178" s="850">
        <f>+Tabla1[[#This Row],[GASTOS FINANCIEROS $ BOLSA 50 KG (IVA INC)]]*20/Tabla1[[#This Row],[TIPO DE CAMBIO]]</f>
        <v>4.3910568493150688</v>
      </c>
      <c r="BB178" s="850">
        <f>+Tabla1[[#This Row],[PRECIO POR TN USD EN CLIENTE A PLAZO (SIN IVA)]]+Tabla1[[#This Row],[COSTO USD FLETE /TN (SIN IVA)]]+Tabla1[[#This Row],[COSTO FINANCIERO USD POR BOLSA 50KG (IVA INC)]]</f>
        <v>319.39105684931508</v>
      </c>
      <c r="BC178" s="848">
        <v>5</v>
      </c>
      <c r="BD178" s="944"/>
    </row>
    <row r="179" spans="1:56" ht="15.75" customHeight="1">
      <c r="A179" s="912">
        <v>46174</v>
      </c>
      <c r="B179" s="828">
        <v>1</v>
      </c>
      <c r="C179" s="792" t="s">
        <v>406</v>
      </c>
      <c r="D179" s="829">
        <f>+Tabla1[[#This Row],[FECHA Entrega]]</f>
        <v>46196</v>
      </c>
      <c r="E179" s="830">
        <v>700000869</v>
      </c>
      <c r="F179" s="831" t="s">
        <v>358</v>
      </c>
      <c r="G179" s="832" t="s">
        <v>216</v>
      </c>
      <c r="H179" s="852">
        <v>46196</v>
      </c>
      <c r="I179" s="834">
        <f t="shared" si="81"/>
        <v>35000</v>
      </c>
      <c r="J179" s="835">
        <f>0.315*Tabla1[[#This Row],[TIPO DE CAMBIO]]</f>
        <v>455.58481499999999</v>
      </c>
      <c r="K179" s="836">
        <f t="shared" si="60"/>
        <v>15945468.525</v>
      </c>
      <c r="L17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79" s="837">
        <f t="shared" si="82"/>
        <v>19294016.91525</v>
      </c>
      <c r="N179" s="838"/>
      <c r="O179" s="838">
        <v>0</v>
      </c>
      <c r="P179" s="838">
        <v>0</v>
      </c>
      <c r="Q179" s="839">
        <f>+Tabla1[[#This Row],[VENTA TOTAL $ (IVA INC) ]]-Tabla1[[#This Row],[PENDIENTE DE COBRO]]</f>
        <v>19294016.91525</v>
      </c>
      <c r="R179" s="840">
        <f>+Tabla1[[#This Row],[FECHA FC]]+Tabla1[[#This Row],[PLAZO ENTREGA VALORES]]</f>
        <v>46051</v>
      </c>
      <c r="S179" s="840">
        <f>+Tabla1[[#This Row],[FECHA FC]]+Tabla1[[#This Row],[PLAZO PAGO (DIAS)]]</f>
        <v>46196</v>
      </c>
      <c r="T179" s="834">
        <f t="shared" ca="1" si="83"/>
        <v>15</v>
      </c>
      <c r="U179" s="831">
        <f>+Tabla1[[#This Row],[FECHA OC]]-Tabla1[[#This Row],[FECHA Entrega]]</f>
        <v>-145</v>
      </c>
      <c r="V179" s="831"/>
      <c r="W179" s="841">
        <f>+Tabla1[[#This Row],[FECHA VTO VALORES]]+7</f>
        <v>46203</v>
      </c>
      <c r="X179" s="831" t="s">
        <v>489</v>
      </c>
      <c r="Y179" s="840">
        <v>46051</v>
      </c>
      <c r="Z179" s="842">
        <f>Tabla1[[#This Row],[KGS]]/50</f>
        <v>700</v>
      </c>
      <c r="AA17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79" s="844">
        <f>-Tabla1[[#This Row],[COSTO FLETE $ POR BOLSA 5O KG (SIN IVA)]]*1.21-Tabla1[[#This Row],[PRECIO $/ KG A PLAZO EN CLIENTE ( SIN IVA)]]*0.003*1.21*50</f>
        <v>-0.40864392249999071</v>
      </c>
      <c r="AC179" s="845">
        <f>SUM(Tabla1[[#This Row],[PRECIO $ BOLSA 50 KG (IVA INC) ]]+Tabla1[[#This Row],[COSTO FLETE $ BOLSA 50 KG (IVA INC)]])</f>
        <v>27562.4726635775</v>
      </c>
      <c r="AD179" s="844">
        <f>-Tabla1[[#This Row],[PRECIO $ BOLSA 50 KG (IVA INC) ]]*(Tabla1[[#This Row],[TASA FINANCIACION MENSUAL]]/365)*Tabla1[[#This Row],[PLAZO ENTREGA VALORES]]</f>
        <v>317.53949561106162</v>
      </c>
      <c r="AE179" s="845">
        <f>SUM(Tabla1[[#This Row],[PRECIO $ BOLSA50 KG  FOB TUCUMAN A PLAZO (IVA INC)]]+Tabla1[[#This Row],[GASTOS FINANCIEROS $ BOLSA 50 KG (IVA INC)]])</f>
        <v>27880.012159188562</v>
      </c>
      <c r="AF179" s="828" t="s">
        <v>476</v>
      </c>
      <c r="AG179" s="828" t="s">
        <v>365</v>
      </c>
      <c r="AH179" s="828" t="s">
        <v>387</v>
      </c>
      <c r="AI179" s="828" t="s">
        <v>261</v>
      </c>
      <c r="AJ17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79" s="846">
        <f>SUM(Tabla1[[#This Row],[PRECIO $ BOLSA 50KG  FOB CDO TUC (IVA INC)]]-Tabla1[[#This Row],[PRECIO REF $ BOLSA 50 KG CACTU (IVA INC)]])</f>
        <v>-4634.9878408114382</v>
      </c>
      <c r="AL179" s="847">
        <f>IFERROR(Tabla1[[#This Row],[PRECIO $ BOLSA 50KG  FOB CDO TUC (IVA INC)]]/Tabla1[[#This Row],[PRECIO REF $ BOLSA 50 KG CACTU (IVA INC)]]-1,"")</f>
        <v>-0.14254921853948754</v>
      </c>
      <c r="AM179" s="846">
        <f>+Tabla1[[#This Row],[DIF $ PRECIO NETO INDUSTRIA vs Neto TUCUMAN (IVA INC)]]*Tabla1[[#This Row],[Q Bolsas Equivalentes 50kg]]</f>
        <v>-3244491.4885680065</v>
      </c>
      <c r="AN179" s="846">
        <f>Tabla1[[#This Row],[PRECIO REF $ BOLSA 50 KG CACTU (IVA INC)]]*Tabla1[[#This Row],[Q Bolsas Equivalentes 50kg]]</f>
        <v>22760500</v>
      </c>
      <c r="AO179" s="846">
        <f>+Tabla1[[#This Row],[PRECIO $ BOLSA 50KG  FOB CDO TUC (IVA INC)]]*Tabla1[[#This Row],[Q Bolsas Equivalentes 50kg]]</f>
        <v>19516008.511431992</v>
      </c>
      <c r="AP179" s="847">
        <v>2.9000000000000001E-2</v>
      </c>
      <c r="AQ179" s="846">
        <v>-68</v>
      </c>
      <c r="AR179" s="848"/>
      <c r="AS179" s="849"/>
      <c r="AT179" s="923">
        <f>+Tabla1[[#This Row],[VENTA TOTAL $ (IVA INC) ]]-(SUM(Tabla1[[#This Row],[PENDIENTE DE ENTREGA]:[VALORES COBRADOS]]))</f>
        <v>0</v>
      </c>
      <c r="AU179" s="850">
        <f>VLOOKUP(Tabla1[[#This Row],[FECHA OC]],'TIPO DE CAMBIO'!A:B,2,TRUE)</f>
        <v>1446.3009999999999</v>
      </c>
      <c r="AV179" s="850">
        <f>+Tabla1[[#This Row],[SUBTOTAL]]/Tabla1[[#This Row],[TIPO DE CAMBIO]]</f>
        <v>11025</v>
      </c>
      <c r="AW179" s="851"/>
      <c r="AX179" s="850">
        <f>IFERROR(Tabla1[[#This Row],[VENTA TOTAL USD A PLAZO EN CLIENTE  (SIN IVA)]]*(1+Tabla1[[#This Row],[% IVA ]]),"")</f>
        <v>11025</v>
      </c>
      <c r="AY179" s="850">
        <f>+Tabla1[[#This Row],[VENTA TOTAL USD A PLAZO EN CLIENTE  (SIN IVA)]]/Tabla1[[#This Row],[KGS]]*1000</f>
        <v>315</v>
      </c>
      <c r="AZ179" s="850">
        <v>0</v>
      </c>
      <c r="BA179" s="850">
        <f>+Tabla1[[#This Row],[GASTOS FINANCIEROS $ BOLSA 50 KG (IVA INC)]]*20/Tabla1[[#This Row],[TIPO DE CAMBIO]]</f>
        <v>4.3910568493150688</v>
      </c>
      <c r="BB179" s="850">
        <f>+Tabla1[[#This Row],[PRECIO POR TN USD EN CLIENTE A PLAZO (SIN IVA)]]+Tabla1[[#This Row],[COSTO USD FLETE /TN (SIN IVA)]]+Tabla1[[#This Row],[COSTO FINANCIERO USD POR BOLSA 50KG (IVA INC)]]</f>
        <v>319.39105684931508</v>
      </c>
      <c r="BC179" s="848">
        <v>5</v>
      </c>
      <c r="BD179" s="944"/>
    </row>
    <row r="180" spans="1:56" ht="15.75" customHeight="1">
      <c r="A180" s="912">
        <v>46174</v>
      </c>
      <c r="B180" s="828">
        <v>1</v>
      </c>
      <c r="C180" s="792" t="s">
        <v>406</v>
      </c>
      <c r="D180" s="829">
        <f>+Tabla1[[#This Row],[FECHA Entrega]]</f>
        <v>46197</v>
      </c>
      <c r="E180" s="830">
        <v>700000869</v>
      </c>
      <c r="F180" s="831" t="s">
        <v>358</v>
      </c>
      <c r="G180" s="832" t="s">
        <v>216</v>
      </c>
      <c r="H180" s="852">
        <v>46197</v>
      </c>
      <c r="I180" s="834">
        <f t="shared" si="81"/>
        <v>35000</v>
      </c>
      <c r="J180" s="835">
        <f>0.315*Tabla1[[#This Row],[TIPO DE CAMBIO]]</f>
        <v>455.58481499999999</v>
      </c>
      <c r="K180" s="836">
        <f t="shared" si="60"/>
        <v>15945468.525</v>
      </c>
      <c r="L18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80" s="837">
        <f t="shared" si="82"/>
        <v>19294016.91525</v>
      </c>
      <c r="N180" s="838"/>
      <c r="O180" s="838">
        <v>0</v>
      </c>
      <c r="P180" s="838">
        <v>0</v>
      </c>
      <c r="Q180" s="839">
        <f>+Tabla1[[#This Row],[VENTA TOTAL $ (IVA INC) ]]-Tabla1[[#This Row],[PENDIENTE DE COBRO]]</f>
        <v>19294016.91525</v>
      </c>
      <c r="R180" s="840">
        <f>+Tabla1[[#This Row],[FECHA FC]]+Tabla1[[#This Row],[PLAZO ENTREGA VALORES]]</f>
        <v>46051</v>
      </c>
      <c r="S180" s="840">
        <f>+Tabla1[[#This Row],[FECHA FC]]+Tabla1[[#This Row],[PLAZO PAGO (DIAS)]]</f>
        <v>46197</v>
      </c>
      <c r="T180" s="834">
        <f t="shared" ca="1" si="83"/>
        <v>16</v>
      </c>
      <c r="U180" s="831">
        <f>+Tabla1[[#This Row],[FECHA OC]]-Tabla1[[#This Row],[FECHA Entrega]]</f>
        <v>-146</v>
      </c>
      <c r="V180" s="831"/>
      <c r="W180" s="841">
        <f>+Tabla1[[#This Row],[FECHA VTO VALORES]]+7</f>
        <v>46204</v>
      </c>
      <c r="X180" s="831" t="s">
        <v>489</v>
      </c>
      <c r="Y180" s="840">
        <v>46051</v>
      </c>
      <c r="Z180" s="842">
        <f>Tabla1[[#This Row],[KGS]]/50</f>
        <v>700</v>
      </c>
      <c r="AA18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80" s="844">
        <f>-Tabla1[[#This Row],[COSTO FLETE $ POR BOLSA 5O KG (SIN IVA)]]*1.21-Tabla1[[#This Row],[PRECIO $/ KG A PLAZO EN CLIENTE ( SIN IVA)]]*0.003*1.21*50</f>
        <v>-0.40864392249999071</v>
      </c>
      <c r="AC180" s="845">
        <f>SUM(Tabla1[[#This Row],[PRECIO $ BOLSA 50 KG (IVA INC) ]]+Tabla1[[#This Row],[COSTO FLETE $ BOLSA 50 KG (IVA INC)]])</f>
        <v>27562.4726635775</v>
      </c>
      <c r="AD180" s="844">
        <f>-Tabla1[[#This Row],[PRECIO $ BOLSA 50 KG (IVA INC) ]]*(Tabla1[[#This Row],[TASA FINANCIACION MENSUAL]]/365)*Tabla1[[#This Row],[PLAZO ENTREGA VALORES]]</f>
        <v>319.72942316699999</v>
      </c>
      <c r="AE180" s="845">
        <f>SUM(Tabla1[[#This Row],[PRECIO $ BOLSA50 KG  FOB TUCUMAN A PLAZO (IVA INC)]]+Tabla1[[#This Row],[GASTOS FINANCIEROS $ BOLSA 50 KG (IVA INC)]])</f>
        <v>27882.202086744499</v>
      </c>
      <c r="AF180" s="828" t="s">
        <v>476</v>
      </c>
      <c r="AG180" s="828" t="s">
        <v>365</v>
      </c>
      <c r="AH180" s="828" t="s">
        <v>387</v>
      </c>
      <c r="AI180" s="828" t="s">
        <v>261</v>
      </c>
      <c r="AJ18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80" s="846">
        <f>SUM(Tabla1[[#This Row],[PRECIO $ BOLSA 50KG  FOB CDO TUC (IVA INC)]]-Tabla1[[#This Row],[PRECIO REF $ BOLSA 50 KG CACTU (IVA INC)]])</f>
        <v>-4632.797913255501</v>
      </c>
      <c r="AL180" s="847">
        <f>IFERROR(Tabla1[[#This Row],[PRECIO $ BOLSA 50KG  FOB CDO TUC (IVA INC)]]/Tabla1[[#This Row],[PRECIO REF $ BOLSA 50 KG CACTU (IVA INC)]]-1,"")</f>
        <v>-0.14248186723836698</v>
      </c>
      <c r="AM180" s="846">
        <f>+Tabla1[[#This Row],[DIF $ PRECIO NETO INDUSTRIA vs Neto TUCUMAN (IVA INC)]]*Tabla1[[#This Row],[Q Bolsas Equivalentes 50kg]]</f>
        <v>-3242958.5392788509</v>
      </c>
      <c r="AN180" s="846">
        <f>Tabla1[[#This Row],[PRECIO REF $ BOLSA 50 KG CACTU (IVA INC)]]*Tabla1[[#This Row],[Q Bolsas Equivalentes 50kg]]</f>
        <v>22760500</v>
      </c>
      <c r="AO180" s="846">
        <f>+Tabla1[[#This Row],[PRECIO $ BOLSA 50KG  FOB CDO TUC (IVA INC)]]*Tabla1[[#This Row],[Q Bolsas Equivalentes 50kg]]</f>
        <v>19517541.46072115</v>
      </c>
      <c r="AP180" s="847">
        <v>2.9000000000000001E-2</v>
      </c>
      <c r="AQ180" s="846">
        <v>-68</v>
      </c>
      <c r="AR180" s="848"/>
      <c r="AS180" s="849"/>
      <c r="AT180" s="923">
        <f>+Tabla1[[#This Row],[VENTA TOTAL $ (IVA INC) ]]-(SUM(Tabla1[[#This Row],[PENDIENTE DE ENTREGA]:[VALORES COBRADOS]]))</f>
        <v>0</v>
      </c>
      <c r="AU180" s="850">
        <f>VLOOKUP(Tabla1[[#This Row],[FECHA OC]],'TIPO DE CAMBIO'!A:B,2,TRUE)</f>
        <v>1446.3009999999999</v>
      </c>
      <c r="AV180" s="850">
        <f>+Tabla1[[#This Row],[SUBTOTAL]]/Tabla1[[#This Row],[TIPO DE CAMBIO]]</f>
        <v>11025</v>
      </c>
      <c r="AW180" s="851"/>
      <c r="AX180" s="850">
        <f>IFERROR(Tabla1[[#This Row],[VENTA TOTAL USD A PLAZO EN CLIENTE  (SIN IVA)]]*(1+Tabla1[[#This Row],[% IVA ]]),"")</f>
        <v>11025</v>
      </c>
      <c r="AY180" s="850">
        <f>+Tabla1[[#This Row],[VENTA TOTAL USD A PLAZO EN CLIENTE  (SIN IVA)]]/Tabla1[[#This Row],[KGS]]*1000</f>
        <v>315</v>
      </c>
      <c r="AZ180" s="850">
        <v>0</v>
      </c>
      <c r="BA180" s="850">
        <f>+Tabla1[[#This Row],[GASTOS FINANCIEROS $ BOLSA 50 KG (IVA INC)]]*20/Tabla1[[#This Row],[TIPO DE CAMBIO]]</f>
        <v>4.4213400000000007</v>
      </c>
      <c r="BB180" s="850">
        <f>+Tabla1[[#This Row],[PRECIO POR TN USD EN CLIENTE A PLAZO (SIN IVA)]]+Tabla1[[#This Row],[COSTO USD FLETE /TN (SIN IVA)]]+Tabla1[[#This Row],[COSTO FINANCIERO USD POR BOLSA 50KG (IVA INC)]]</f>
        <v>319.42133999999999</v>
      </c>
      <c r="BC180" s="848">
        <v>5</v>
      </c>
      <c r="BD180" s="944"/>
    </row>
    <row r="181" spans="1:56" ht="15.75" customHeight="1">
      <c r="A181" s="912">
        <v>46174</v>
      </c>
      <c r="B181" s="828">
        <v>1</v>
      </c>
      <c r="C181" s="792" t="s">
        <v>406</v>
      </c>
      <c r="D181" s="829">
        <f>+Tabla1[[#This Row],[FECHA Entrega]]</f>
        <v>46197</v>
      </c>
      <c r="E181" s="830">
        <v>700000869</v>
      </c>
      <c r="F181" s="831" t="s">
        <v>358</v>
      </c>
      <c r="G181" s="832" t="s">
        <v>216</v>
      </c>
      <c r="H181" s="852">
        <v>46197</v>
      </c>
      <c r="I181" s="834">
        <f t="shared" si="81"/>
        <v>35000</v>
      </c>
      <c r="J181" s="835">
        <f>0.315*Tabla1[[#This Row],[TIPO DE CAMBIO]]</f>
        <v>455.58481499999999</v>
      </c>
      <c r="K181" s="836">
        <f t="shared" si="60"/>
        <v>15945468.525</v>
      </c>
      <c r="L18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81" s="837">
        <f t="shared" si="82"/>
        <v>19294016.91525</v>
      </c>
      <c r="N181" s="838"/>
      <c r="O181" s="838">
        <v>0</v>
      </c>
      <c r="P181" s="838">
        <v>0</v>
      </c>
      <c r="Q181" s="839">
        <f>+Tabla1[[#This Row],[VENTA TOTAL $ (IVA INC) ]]-Tabla1[[#This Row],[PENDIENTE DE COBRO]]</f>
        <v>19294016.91525</v>
      </c>
      <c r="R181" s="840">
        <f>+Tabla1[[#This Row],[FECHA FC]]+Tabla1[[#This Row],[PLAZO ENTREGA VALORES]]</f>
        <v>46051</v>
      </c>
      <c r="S181" s="840">
        <f>+Tabla1[[#This Row],[FECHA FC]]+Tabla1[[#This Row],[PLAZO PAGO (DIAS)]]</f>
        <v>46197</v>
      </c>
      <c r="T181" s="834">
        <f t="shared" ca="1" si="83"/>
        <v>16</v>
      </c>
      <c r="U181" s="831">
        <f>+Tabla1[[#This Row],[FECHA OC]]-Tabla1[[#This Row],[FECHA Entrega]]</f>
        <v>-146</v>
      </c>
      <c r="V181" s="831"/>
      <c r="W181" s="841">
        <f>+Tabla1[[#This Row],[FECHA VTO VALORES]]+7</f>
        <v>46204</v>
      </c>
      <c r="X181" s="831" t="s">
        <v>489</v>
      </c>
      <c r="Y181" s="840">
        <v>46051</v>
      </c>
      <c r="Z181" s="842">
        <f>Tabla1[[#This Row],[KGS]]/50</f>
        <v>700</v>
      </c>
      <c r="AA18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81" s="844">
        <f>-Tabla1[[#This Row],[COSTO FLETE $ POR BOLSA 5O KG (SIN IVA)]]*1.21-Tabla1[[#This Row],[PRECIO $/ KG A PLAZO EN CLIENTE ( SIN IVA)]]*0.003*1.21*50</f>
        <v>-0.40864392249999071</v>
      </c>
      <c r="AC181" s="845">
        <f>SUM(Tabla1[[#This Row],[PRECIO $ BOLSA 50 KG (IVA INC) ]]+Tabla1[[#This Row],[COSTO FLETE $ BOLSA 50 KG (IVA INC)]])</f>
        <v>27562.4726635775</v>
      </c>
      <c r="AD181" s="844">
        <f>-Tabla1[[#This Row],[PRECIO $ BOLSA 50 KG (IVA INC) ]]*(Tabla1[[#This Row],[TASA FINANCIACION MENSUAL]]/365)*Tabla1[[#This Row],[PLAZO ENTREGA VALORES]]</f>
        <v>319.72942316699999</v>
      </c>
      <c r="AE181" s="845">
        <f>SUM(Tabla1[[#This Row],[PRECIO $ BOLSA50 KG  FOB TUCUMAN A PLAZO (IVA INC)]]+Tabla1[[#This Row],[GASTOS FINANCIEROS $ BOLSA 50 KG (IVA INC)]])</f>
        <v>27882.202086744499</v>
      </c>
      <c r="AF181" s="828" t="s">
        <v>476</v>
      </c>
      <c r="AG181" s="828" t="s">
        <v>365</v>
      </c>
      <c r="AH181" s="828" t="s">
        <v>387</v>
      </c>
      <c r="AI181" s="828" t="s">
        <v>261</v>
      </c>
      <c r="AJ18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81" s="846">
        <f>SUM(Tabla1[[#This Row],[PRECIO $ BOLSA 50KG  FOB CDO TUC (IVA INC)]]-Tabla1[[#This Row],[PRECIO REF $ BOLSA 50 KG CACTU (IVA INC)]])</f>
        <v>-4632.797913255501</v>
      </c>
      <c r="AL181" s="847">
        <f>IFERROR(Tabla1[[#This Row],[PRECIO $ BOLSA 50KG  FOB CDO TUC (IVA INC)]]/Tabla1[[#This Row],[PRECIO REF $ BOLSA 50 KG CACTU (IVA INC)]]-1,"")</f>
        <v>-0.14248186723836698</v>
      </c>
      <c r="AM181" s="846">
        <f>+Tabla1[[#This Row],[DIF $ PRECIO NETO INDUSTRIA vs Neto TUCUMAN (IVA INC)]]*Tabla1[[#This Row],[Q Bolsas Equivalentes 50kg]]</f>
        <v>-3242958.5392788509</v>
      </c>
      <c r="AN181" s="846">
        <f>Tabla1[[#This Row],[PRECIO REF $ BOLSA 50 KG CACTU (IVA INC)]]*Tabla1[[#This Row],[Q Bolsas Equivalentes 50kg]]</f>
        <v>22760500</v>
      </c>
      <c r="AO181" s="846">
        <f>+Tabla1[[#This Row],[PRECIO $ BOLSA 50KG  FOB CDO TUC (IVA INC)]]*Tabla1[[#This Row],[Q Bolsas Equivalentes 50kg]]</f>
        <v>19517541.46072115</v>
      </c>
      <c r="AP181" s="847">
        <v>2.9000000000000001E-2</v>
      </c>
      <c r="AQ181" s="846">
        <v>-68</v>
      </c>
      <c r="AR181" s="848"/>
      <c r="AS181" s="849"/>
      <c r="AT181" s="923">
        <f>+Tabla1[[#This Row],[VENTA TOTAL $ (IVA INC) ]]-(SUM(Tabla1[[#This Row],[PENDIENTE DE ENTREGA]:[VALORES COBRADOS]]))</f>
        <v>0</v>
      </c>
      <c r="AU181" s="850">
        <f>VLOOKUP(Tabla1[[#This Row],[FECHA OC]],'TIPO DE CAMBIO'!A:B,2,TRUE)</f>
        <v>1446.3009999999999</v>
      </c>
      <c r="AV181" s="850">
        <f>+Tabla1[[#This Row],[SUBTOTAL]]/Tabla1[[#This Row],[TIPO DE CAMBIO]]</f>
        <v>11025</v>
      </c>
      <c r="AW181" s="851"/>
      <c r="AX181" s="850">
        <f>IFERROR(Tabla1[[#This Row],[VENTA TOTAL USD A PLAZO EN CLIENTE  (SIN IVA)]]*(1+Tabla1[[#This Row],[% IVA ]]),"")</f>
        <v>11025</v>
      </c>
      <c r="AY181" s="850">
        <f>+Tabla1[[#This Row],[VENTA TOTAL USD A PLAZO EN CLIENTE  (SIN IVA)]]/Tabla1[[#This Row],[KGS]]*1000</f>
        <v>315</v>
      </c>
      <c r="AZ181" s="850">
        <v>0</v>
      </c>
      <c r="BA181" s="850">
        <f>+Tabla1[[#This Row],[GASTOS FINANCIEROS $ BOLSA 50 KG (IVA INC)]]*20/Tabla1[[#This Row],[TIPO DE CAMBIO]]</f>
        <v>4.4213400000000007</v>
      </c>
      <c r="BB181" s="850">
        <f>+Tabla1[[#This Row],[PRECIO POR TN USD EN CLIENTE A PLAZO (SIN IVA)]]+Tabla1[[#This Row],[COSTO USD FLETE /TN (SIN IVA)]]+Tabla1[[#This Row],[COSTO FINANCIERO USD POR BOLSA 50KG (IVA INC)]]</f>
        <v>319.42133999999999</v>
      </c>
      <c r="BC181" s="848">
        <v>5</v>
      </c>
      <c r="BD181" s="944"/>
    </row>
    <row r="182" spans="1:56" ht="15.75" customHeight="1">
      <c r="A182" s="912">
        <v>46174</v>
      </c>
      <c r="B182" s="828">
        <v>1</v>
      </c>
      <c r="C182" s="792" t="s">
        <v>406</v>
      </c>
      <c r="D182" s="829">
        <f>+Tabla1[[#This Row],[FECHA Entrega]]</f>
        <v>46197</v>
      </c>
      <c r="E182" s="830">
        <v>700000869</v>
      </c>
      <c r="F182" s="831" t="s">
        <v>358</v>
      </c>
      <c r="G182" s="832" t="s">
        <v>216</v>
      </c>
      <c r="H182" s="852">
        <v>46197</v>
      </c>
      <c r="I182" s="834">
        <f t="shared" ref="I182:I202" si="84">700*50</f>
        <v>35000</v>
      </c>
      <c r="J182" s="835">
        <f>0.315*Tabla1[[#This Row],[TIPO DE CAMBIO]]</f>
        <v>455.58481499999999</v>
      </c>
      <c r="K182" s="836">
        <f t="shared" si="60"/>
        <v>15945468.525</v>
      </c>
      <c r="L18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82" s="837">
        <f t="shared" si="82"/>
        <v>19294016.91525</v>
      </c>
      <c r="N182" s="838"/>
      <c r="O182" s="838">
        <v>0</v>
      </c>
      <c r="P182" s="838">
        <v>0</v>
      </c>
      <c r="Q182" s="839">
        <f>+Tabla1[[#This Row],[VENTA TOTAL $ (IVA INC) ]]-Tabla1[[#This Row],[PENDIENTE DE COBRO]]</f>
        <v>19294016.91525</v>
      </c>
      <c r="R182" s="840">
        <f>+Tabla1[[#This Row],[FECHA FC]]+Tabla1[[#This Row],[PLAZO ENTREGA VALORES]]</f>
        <v>46051</v>
      </c>
      <c r="S182" s="840">
        <f>+Tabla1[[#This Row],[FECHA FC]]+Tabla1[[#This Row],[PLAZO PAGO (DIAS)]]</f>
        <v>46197</v>
      </c>
      <c r="T182" s="834">
        <f t="shared" ca="1" si="83"/>
        <v>16</v>
      </c>
      <c r="U182" s="831">
        <f>+Tabla1[[#This Row],[FECHA OC]]-Tabla1[[#This Row],[FECHA Entrega]]</f>
        <v>-146</v>
      </c>
      <c r="V182" s="831"/>
      <c r="W182" s="841">
        <f>+Tabla1[[#This Row],[FECHA VTO VALORES]]+7</f>
        <v>46204</v>
      </c>
      <c r="X182" s="831" t="s">
        <v>489</v>
      </c>
      <c r="Y182" s="840">
        <v>46051</v>
      </c>
      <c r="Z182" s="842">
        <f>Tabla1[[#This Row],[KGS]]/50</f>
        <v>700</v>
      </c>
      <c r="AA18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82" s="844">
        <f>-Tabla1[[#This Row],[COSTO FLETE $ POR BOLSA 5O KG (SIN IVA)]]*1.21-Tabla1[[#This Row],[PRECIO $/ KG A PLAZO EN CLIENTE ( SIN IVA)]]*0.003*1.21*50</f>
        <v>-0.40864392249999071</v>
      </c>
      <c r="AC182" s="845">
        <f>SUM(Tabla1[[#This Row],[PRECIO $ BOLSA 50 KG (IVA INC) ]]+Tabla1[[#This Row],[COSTO FLETE $ BOLSA 50 KG (IVA INC)]])</f>
        <v>27562.4726635775</v>
      </c>
      <c r="AD182" s="844">
        <f>-Tabla1[[#This Row],[PRECIO $ BOLSA 50 KG (IVA INC) ]]*(Tabla1[[#This Row],[TASA FINANCIACION MENSUAL]]/365)*Tabla1[[#This Row],[PLAZO ENTREGA VALORES]]</f>
        <v>319.72942316699999</v>
      </c>
      <c r="AE182" s="845">
        <f>SUM(Tabla1[[#This Row],[PRECIO $ BOLSA50 KG  FOB TUCUMAN A PLAZO (IVA INC)]]+Tabla1[[#This Row],[GASTOS FINANCIEROS $ BOLSA 50 KG (IVA INC)]])</f>
        <v>27882.202086744499</v>
      </c>
      <c r="AF182" s="828" t="s">
        <v>476</v>
      </c>
      <c r="AG182" s="828" t="s">
        <v>365</v>
      </c>
      <c r="AH182" s="828" t="s">
        <v>387</v>
      </c>
      <c r="AI182" s="828" t="s">
        <v>261</v>
      </c>
      <c r="AJ18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82" s="846">
        <f>SUM(Tabla1[[#This Row],[PRECIO $ BOLSA 50KG  FOB CDO TUC (IVA INC)]]-Tabla1[[#This Row],[PRECIO REF $ BOLSA 50 KG CACTU (IVA INC)]])</f>
        <v>-4632.797913255501</v>
      </c>
      <c r="AL182" s="847">
        <f>IFERROR(Tabla1[[#This Row],[PRECIO $ BOLSA 50KG  FOB CDO TUC (IVA INC)]]/Tabla1[[#This Row],[PRECIO REF $ BOLSA 50 KG CACTU (IVA INC)]]-1,"")</f>
        <v>-0.14248186723836698</v>
      </c>
      <c r="AM182" s="846">
        <f>+Tabla1[[#This Row],[DIF $ PRECIO NETO INDUSTRIA vs Neto TUCUMAN (IVA INC)]]*Tabla1[[#This Row],[Q Bolsas Equivalentes 50kg]]</f>
        <v>-3242958.5392788509</v>
      </c>
      <c r="AN182" s="846">
        <f>Tabla1[[#This Row],[PRECIO REF $ BOLSA 50 KG CACTU (IVA INC)]]*Tabla1[[#This Row],[Q Bolsas Equivalentes 50kg]]</f>
        <v>22760500</v>
      </c>
      <c r="AO182" s="846">
        <f>+Tabla1[[#This Row],[PRECIO $ BOLSA 50KG  FOB CDO TUC (IVA INC)]]*Tabla1[[#This Row],[Q Bolsas Equivalentes 50kg]]</f>
        <v>19517541.46072115</v>
      </c>
      <c r="AP182" s="847">
        <v>2.9000000000000001E-2</v>
      </c>
      <c r="AQ182" s="846">
        <v>-68</v>
      </c>
      <c r="AR182" s="848"/>
      <c r="AS182" s="849"/>
      <c r="AT182" s="923">
        <f>+Tabla1[[#This Row],[VENTA TOTAL $ (IVA INC) ]]-(SUM(Tabla1[[#This Row],[PENDIENTE DE ENTREGA]:[VALORES COBRADOS]]))</f>
        <v>0</v>
      </c>
      <c r="AU182" s="850">
        <f>VLOOKUP(Tabla1[[#This Row],[FECHA OC]],'TIPO DE CAMBIO'!A:B,2,TRUE)</f>
        <v>1446.3009999999999</v>
      </c>
      <c r="AV182" s="850">
        <f>+Tabla1[[#This Row],[SUBTOTAL]]/Tabla1[[#This Row],[TIPO DE CAMBIO]]</f>
        <v>11025</v>
      </c>
      <c r="AW182" s="851"/>
      <c r="AX182" s="850">
        <f>IFERROR(Tabla1[[#This Row],[VENTA TOTAL USD A PLAZO EN CLIENTE  (SIN IVA)]]*(1+Tabla1[[#This Row],[% IVA ]]),"")</f>
        <v>11025</v>
      </c>
      <c r="AY182" s="850">
        <f>+Tabla1[[#This Row],[VENTA TOTAL USD A PLAZO EN CLIENTE  (SIN IVA)]]/Tabla1[[#This Row],[KGS]]*1000</f>
        <v>315</v>
      </c>
      <c r="AZ182" s="850">
        <v>0</v>
      </c>
      <c r="BA182" s="850">
        <f>+Tabla1[[#This Row],[GASTOS FINANCIEROS $ BOLSA 50 KG (IVA INC)]]*20/Tabla1[[#This Row],[TIPO DE CAMBIO]]</f>
        <v>4.4213400000000007</v>
      </c>
      <c r="BB182" s="850">
        <f>+Tabla1[[#This Row],[PRECIO POR TN USD EN CLIENTE A PLAZO (SIN IVA)]]+Tabla1[[#This Row],[COSTO USD FLETE /TN (SIN IVA)]]+Tabla1[[#This Row],[COSTO FINANCIERO USD POR BOLSA 50KG (IVA INC)]]</f>
        <v>319.42133999999999</v>
      </c>
      <c r="BC182" s="848">
        <v>5</v>
      </c>
      <c r="BD182" s="944"/>
    </row>
    <row r="183" spans="1:56" ht="15.75" customHeight="1">
      <c r="A183" s="912">
        <v>46174</v>
      </c>
      <c r="B183" s="828">
        <v>1</v>
      </c>
      <c r="C183" s="792" t="s">
        <v>406</v>
      </c>
      <c r="D183" s="829">
        <f>+Tabla1[[#This Row],[FECHA Entrega]]</f>
        <v>46197</v>
      </c>
      <c r="E183" s="830">
        <v>700000869</v>
      </c>
      <c r="F183" s="831" t="s">
        <v>358</v>
      </c>
      <c r="G183" s="832" t="s">
        <v>216</v>
      </c>
      <c r="H183" s="852">
        <v>46197</v>
      </c>
      <c r="I183" s="834">
        <f t="shared" si="84"/>
        <v>35000</v>
      </c>
      <c r="J183" s="835">
        <f>0.315*Tabla1[[#This Row],[TIPO DE CAMBIO]]</f>
        <v>455.58481499999999</v>
      </c>
      <c r="K183" s="836">
        <f t="shared" si="60"/>
        <v>15945468.525</v>
      </c>
      <c r="L18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83" s="837">
        <f t="shared" si="82"/>
        <v>19294016.91525</v>
      </c>
      <c r="N183" s="838"/>
      <c r="O183" s="838">
        <v>0</v>
      </c>
      <c r="P183" s="838">
        <v>0</v>
      </c>
      <c r="Q183" s="839">
        <f>+Tabla1[[#This Row],[VENTA TOTAL $ (IVA INC) ]]-Tabla1[[#This Row],[PENDIENTE DE COBRO]]</f>
        <v>19294016.91525</v>
      </c>
      <c r="R183" s="840">
        <f>+Tabla1[[#This Row],[FECHA FC]]+Tabla1[[#This Row],[PLAZO ENTREGA VALORES]]</f>
        <v>46051</v>
      </c>
      <c r="S183" s="840">
        <f>+Tabla1[[#This Row],[FECHA FC]]+Tabla1[[#This Row],[PLAZO PAGO (DIAS)]]</f>
        <v>46197</v>
      </c>
      <c r="T183" s="834">
        <f t="shared" ca="1" si="83"/>
        <v>16</v>
      </c>
      <c r="U183" s="831">
        <f>+Tabla1[[#This Row],[FECHA OC]]-Tabla1[[#This Row],[FECHA Entrega]]</f>
        <v>-146</v>
      </c>
      <c r="V183" s="831"/>
      <c r="W183" s="841">
        <f>+Tabla1[[#This Row],[FECHA VTO VALORES]]+7</f>
        <v>46204</v>
      </c>
      <c r="X183" s="831" t="s">
        <v>489</v>
      </c>
      <c r="Y183" s="840">
        <v>46051</v>
      </c>
      <c r="Z183" s="842">
        <f>Tabla1[[#This Row],[KGS]]/50</f>
        <v>700</v>
      </c>
      <c r="AA18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83" s="844">
        <f>-Tabla1[[#This Row],[COSTO FLETE $ POR BOLSA 5O KG (SIN IVA)]]*1.21-Tabla1[[#This Row],[PRECIO $/ KG A PLAZO EN CLIENTE ( SIN IVA)]]*0.003*1.21*50</f>
        <v>-0.40864392249999071</v>
      </c>
      <c r="AC183" s="845">
        <f>SUM(Tabla1[[#This Row],[PRECIO $ BOLSA 50 KG (IVA INC) ]]+Tabla1[[#This Row],[COSTO FLETE $ BOLSA 50 KG (IVA INC)]])</f>
        <v>27562.4726635775</v>
      </c>
      <c r="AD183" s="844">
        <f>-Tabla1[[#This Row],[PRECIO $ BOLSA 50 KG (IVA INC) ]]*(Tabla1[[#This Row],[TASA FINANCIACION MENSUAL]]/365)*Tabla1[[#This Row],[PLAZO ENTREGA VALORES]]</f>
        <v>319.72942316699999</v>
      </c>
      <c r="AE183" s="845">
        <f>SUM(Tabla1[[#This Row],[PRECIO $ BOLSA50 KG  FOB TUCUMAN A PLAZO (IVA INC)]]+Tabla1[[#This Row],[GASTOS FINANCIEROS $ BOLSA 50 KG (IVA INC)]])</f>
        <v>27882.202086744499</v>
      </c>
      <c r="AF183" s="828" t="s">
        <v>476</v>
      </c>
      <c r="AG183" s="828" t="s">
        <v>365</v>
      </c>
      <c r="AH183" s="828" t="s">
        <v>387</v>
      </c>
      <c r="AI183" s="828" t="s">
        <v>261</v>
      </c>
      <c r="AJ18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83" s="846">
        <f>SUM(Tabla1[[#This Row],[PRECIO $ BOLSA 50KG  FOB CDO TUC (IVA INC)]]-Tabla1[[#This Row],[PRECIO REF $ BOLSA 50 KG CACTU (IVA INC)]])</f>
        <v>-4632.797913255501</v>
      </c>
      <c r="AL183" s="847">
        <f>IFERROR(Tabla1[[#This Row],[PRECIO $ BOLSA 50KG  FOB CDO TUC (IVA INC)]]/Tabla1[[#This Row],[PRECIO REF $ BOLSA 50 KG CACTU (IVA INC)]]-1,"")</f>
        <v>-0.14248186723836698</v>
      </c>
      <c r="AM183" s="846">
        <f>+Tabla1[[#This Row],[DIF $ PRECIO NETO INDUSTRIA vs Neto TUCUMAN (IVA INC)]]*Tabla1[[#This Row],[Q Bolsas Equivalentes 50kg]]</f>
        <v>-3242958.5392788509</v>
      </c>
      <c r="AN183" s="846">
        <f>Tabla1[[#This Row],[PRECIO REF $ BOLSA 50 KG CACTU (IVA INC)]]*Tabla1[[#This Row],[Q Bolsas Equivalentes 50kg]]</f>
        <v>22760500</v>
      </c>
      <c r="AO183" s="846">
        <f>+Tabla1[[#This Row],[PRECIO $ BOLSA 50KG  FOB CDO TUC (IVA INC)]]*Tabla1[[#This Row],[Q Bolsas Equivalentes 50kg]]</f>
        <v>19517541.46072115</v>
      </c>
      <c r="AP183" s="847">
        <v>2.9000000000000001E-2</v>
      </c>
      <c r="AQ183" s="846">
        <v>-68</v>
      </c>
      <c r="AR183" s="848"/>
      <c r="AS183" s="849"/>
      <c r="AT183" s="923">
        <f>+Tabla1[[#This Row],[VENTA TOTAL $ (IVA INC) ]]-(SUM(Tabla1[[#This Row],[PENDIENTE DE ENTREGA]:[VALORES COBRADOS]]))</f>
        <v>0</v>
      </c>
      <c r="AU183" s="850">
        <f>VLOOKUP(Tabla1[[#This Row],[FECHA OC]],'TIPO DE CAMBIO'!A:B,2,TRUE)</f>
        <v>1446.3009999999999</v>
      </c>
      <c r="AV183" s="850">
        <f>+Tabla1[[#This Row],[SUBTOTAL]]/Tabla1[[#This Row],[TIPO DE CAMBIO]]</f>
        <v>11025</v>
      </c>
      <c r="AW183" s="851"/>
      <c r="AX183" s="850">
        <f>IFERROR(Tabla1[[#This Row],[VENTA TOTAL USD A PLAZO EN CLIENTE  (SIN IVA)]]*(1+Tabla1[[#This Row],[% IVA ]]),"")</f>
        <v>11025</v>
      </c>
      <c r="AY183" s="850">
        <f>+Tabla1[[#This Row],[VENTA TOTAL USD A PLAZO EN CLIENTE  (SIN IVA)]]/Tabla1[[#This Row],[KGS]]*1000</f>
        <v>315</v>
      </c>
      <c r="AZ183" s="850">
        <v>0</v>
      </c>
      <c r="BA183" s="850">
        <f>+Tabla1[[#This Row],[GASTOS FINANCIEROS $ BOLSA 50 KG (IVA INC)]]*20/Tabla1[[#This Row],[TIPO DE CAMBIO]]</f>
        <v>4.4213400000000007</v>
      </c>
      <c r="BB183" s="850">
        <f>+Tabla1[[#This Row],[PRECIO POR TN USD EN CLIENTE A PLAZO (SIN IVA)]]+Tabla1[[#This Row],[COSTO USD FLETE /TN (SIN IVA)]]+Tabla1[[#This Row],[COSTO FINANCIERO USD POR BOLSA 50KG (IVA INC)]]</f>
        <v>319.42133999999999</v>
      </c>
      <c r="BC183" s="848">
        <v>5</v>
      </c>
      <c r="BD183" s="944"/>
    </row>
    <row r="184" spans="1:56" ht="15.75" customHeight="1">
      <c r="A184" s="912">
        <v>46174</v>
      </c>
      <c r="B184" s="828">
        <v>1</v>
      </c>
      <c r="C184" s="792" t="s">
        <v>406</v>
      </c>
      <c r="D184" s="829">
        <f>+Tabla1[[#This Row],[FECHA Entrega]]</f>
        <v>46197</v>
      </c>
      <c r="E184" s="830">
        <v>700000869</v>
      </c>
      <c r="F184" s="831" t="s">
        <v>358</v>
      </c>
      <c r="G184" s="832" t="s">
        <v>216</v>
      </c>
      <c r="H184" s="852">
        <v>46197</v>
      </c>
      <c r="I184" s="834">
        <f t="shared" si="84"/>
        <v>35000</v>
      </c>
      <c r="J184" s="835">
        <f>0.315*Tabla1[[#This Row],[TIPO DE CAMBIO]]</f>
        <v>455.58481499999999</v>
      </c>
      <c r="K184" s="836">
        <f t="shared" si="60"/>
        <v>15945468.525</v>
      </c>
      <c r="L18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84" s="837">
        <f t="shared" si="82"/>
        <v>19294016.91525</v>
      </c>
      <c r="N184" s="838"/>
      <c r="O184" s="838">
        <v>0</v>
      </c>
      <c r="P184" s="838">
        <v>0</v>
      </c>
      <c r="Q184" s="839">
        <f>+Tabla1[[#This Row],[VENTA TOTAL $ (IVA INC) ]]-Tabla1[[#This Row],[PENDIENTE DE COBRO]]</f>
        <v>19294016.91525</v>
      </c>
      <c r="R184" s="840">
        <f>+Tabla1[[#This Row],[FECHA FC]]+Tabla1[[#This Row],[PLAZO ENTREGA VALORES]]</f>
        <v>46051</v>
      </c>
      <c r="S184" s="840">
        <f>+Tabla1[[#This Row],[FECHA FC]]+Tabla1[[#This Row],[PLAZO PAGO (DIAS)]]</f>
        <v>46197</v>
      </c>
      <c r="T184" s="834">
        <f t="shared" ca="1" si="83"/>
        <v>16</v>
      </c>
      <c r="U184" s="831">
        <f>+Tabla1[[#This Row],[FECHA OC]]-Tabla1[[#This Row],[FECHA Entrega]]</f>
        <v>-146</v>
      </c>
      <c r="V184" s="831"/>
      <c r="W184" s="841">
        <f>+Tabla1[[#This Row],[FECHA VTO VALORES]]+7</f>
        <v>46204</v>
      </c>
      <c r="X184" s="831" t="s">
        <v>489</v>
      </c>
      <c r="Y184" s="840">
        <v>46051</v>
      </c>
      <c r="Z184" s="842">
        <f>Tabla1[[#This Row],[KGS]]/50</f>
        <v>700</v>
      </c>
      <c r="AA18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84" s="844">
        <f>-Tabla1[[#This Row],[COSTO FLETE $ POR BOLSA 5O KG (SIN IVA)]]*1.21-Tabla1[[#This Row],[PRECIO $/ KG A PLAZO EN CLIENTE ( SIN IVA)]]*0.003*1.21*50</f>
        <v>-0.40864392249999071</v>
      </c>
      <c r="AC184" s="845">
        <f>SUM(Tabla1[[#This Row],[PRECIO $ BOLSA 50 KG (IVA INC) ]]+Tabla1[[#This Row],[COSTO FLETE $ BOLSA 50 KG (IVA INC)]])</f>
        <v>27562.4726635775</v>
      </c>
      <c r="AD184" s="844">
        <f>-Tabla1[[#This Row],[PRECIO $ BOLSA 50 KG (IVA INC) ]]*(Tabla1[[#This Row],[TASA FINANCIACION MENSUAL]]/365)*Tabla1[[#This Row],[PLAZO ENTREGA VALORES]]</f>
        <v>319.72942316699999</v>
      </c>
      <c r="AE184" s="845">
        <f>SUM(Tabla1[[#This Row],[PRECIO $ BOLSA50 KG  FOB TUCUMAN A PLAZO (IVA INC)]]+Tabla1[[#This Row],[GASTOS FINANCIEROS $ BOLSA 50 KG (IVA INC)]])</f>
        <v>27882.202086744499</v>
      </c>
      <c r="AF184" s="828" t="s">
        <v>476</v>
      </c>
      <c r="AG184" s="828" t="s">
        <v>365</v>
      </c>
      <c r="AH184" s="828" t="s">
        <v>387</v>
      </c>
      <c r="AI184" s="828" t="s">
        <v>261</v>
      </c>
      <c r="AJ18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84" s="846">
        <f>SUM(Tabla1[[#This Row],[PRECIO $ BOLSA 50KG  FOB CDO TUC (IVA INC)]]-Tabla1[[#This Row],[PRECIO REF $ BOLSA 50 KG CACTU (IVA INC)]])</f>
        <v>-4632.797913255501</v>
      </c>
      <c r="AL184" s="847">
        <f>IFERROR(Tabla1[[#This Row],[PRECIO $ BOLSA 50KG  FOB CDO TUC (IVA INC)]]/Tabla1[[#This Row],[PRECIO REF $ BOLSA 50 KG CACTU (IVA INC)]]-1,"")</f>
        <v>-0.14248186723836698</v>
      </c>
      <c r="AM184" s="846">
        <f>+Tabla1[[#This Row],[DIF $ PRECIO NETO INDUSTRIA vs Neto TUCUMAN (IVA INC)]]*Tabla1[[#This Row],[Q Bolsas Equivalentes 50kg]]</f>
        <v>-3242958.5392788509</v>
      </c>
      <c r="AN184" s="846">
        <f>Tabla1[[#This Row],[PRECIO REF $ BOLSA 50 KG CACTU (IVA INC)]]*Tabla1[[#This Row],[Q Bolsas Equivalentes 50kg]]</f>
        <v>22760500</v>
      </c>
      <c r="AO184" s="846">
        <f>+Tabla1[[#This Row],[PRECIO $ BOLSA 50KG  FOB CDO TUC (IVA INC)]]*Tabla1[[#This Row],[Q Bolsas Equivalentes 50kg]]</f>
        <v>19517541.46072115</v>
      </c>
      <c r="AP184" s="847">
        <v>2.9000000000000001E-2</v>
      </c>
      <c r="AQ184" s="846">
        <v>-68</v>
      </c>
      <c r="AR184" s="848"/>
      <c r="AS184" s="849"/>
      <c r="AT184" s="923">
        <f>+Tabla1[[#This Row],[VENTA TOTAL $ (IVA INC) ]]-(SUM(Tabla1[[#This Row],[PENDIENTE DE ENTREGA]:[VALORES COBRADOS]]))</f>
        <v>0</v>
      </c>
      <c r="AU184" s="850">
        <f>VLOOKUP(Tabla1[[#This Row],[FECHA OC]],'TIPO DE CAMBIO'!A:B,2,TRUE)</f>
        <v>1446.3009999999999</v>
      </c>
      <c r="AV184" s="850">
        <f>+Tabla1[[#This Row],[SUBTOTAL]]/Tabla1[[#This Row],[TIPO DE CAMBIO]]</f>
        <v>11025</v>
      </c>
      <c r="AW184" s="851"/>
      <c r="AX184" s="850">
        <f>IFERROR(Tabla1[[#This Row],[VENTA TOTAL USD A PLAZO EN CLIENTE  (SIN IVA)]]*(1+Tabla1[[#This Row],[% IVA ]]),"")</f>
        <v>11025</v>
      </c>
      <c r="AY184" s="850">
        <f>+Tabla1[[#This Row],[VENTA TOTAL USD A PLAZO EN CLIENTE  (SIN IVA)]]/Tabla1[[#This Row],[KGS]]*1000</f>
        <v>315</v>
      </c>
      <c r="AZ184" s="850">
        <v>0</v>
      </c>
      <c r="BA184" s="850">
        <f>+Tabla1[[#This Row],[GASTOS FINANCIEROS $ BOLSA 50 KG (IVA INC)]]*20/Tabla1[[#This Row],[TIPO DE CAMBIO]]</f>
        <v>4.4213400000000007</v>
      </c>
      <c r="BB184" s="850">
        <f>+Tabla1[[#This Row],[PRECIO POR TN USD EN CLIENTE A PLAZO (SIN IVA)]]+Tabla1[[#This Row],[COSTO USD FLETE /TN (SIN IVA)]]+Tabla1[[#This Row],[COSTO FINANCIERO USD POR BOLSA 50KG (IVA INC)]]</f>
        <v>319.42133999999999</v>
      </c>
      <c r="BC184" s="848">
        <v>5</v>
      </c>
      <c r="BD184" s="944"/>
    </row>
    <row r="185" spans="1:56" ht="15.75" customHeight="1">
      <c r="A185" s="912">
        <v>46174</v>
      </c>
      <c r="B185" s="828">
        <v>1</v>
      </c>
      <c r="C185" s="792" t="s">
        <v>406</v>
      </c>
      <c r="D185" s="829">
        <f>+Tabla1[[#This Row],[FECHA Entrega]]</f>
        <v>46198</v>
      </c>
      <c r="E185" s="830">
        <v>700000869</v>
      </c>
      <c r="F185" s="831" t="s">
        <v>358</v>
      </c>
      <c r="G185" s="832" t="s">
        <v>216</v>
      </c>
      <c r="H185" s="852">
        <v>46198</v>
      </c>
      <c r="I185" s="834">
        <f t="shared" si="84"/>
        <v>35000</v>
      </c>
      <c r="J185" s="835">
        <f>0.315*Tabla1[[#This Row],[TIPO DE CAMBIO]]</f>
        <v>455.58481499999999</v>
      </c>
      <c r="K185" s="836">
        <f t="shared" si="60"/>
        <v>15945468.525</v>
      </c>
      <c r="L18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85" s="837">
        <f t="shared" si="82"/>
        <v>19294016.91525</v>
      </c>
      <c r="N185" s="838"/>
      <c r="O185" s="838">
        <v>0</v>
      </c>
      <c r="P185" s="838">
        <v>0</v>
      </c>
      <c r="Q185" s="839">
        <f>+Tabla1[[#This Row],[VENTA TOTAL $ (IVA INC) ]]-Tabla1[[#This Row],[PENDIENTE DE COBRO]]</f>
        <v>19294016.91525</v>
      </c>
      <c r="R185" s="840">
        <f>+Tabla1[[#This Row],[FECHA FC]]+Tabla1[[#This Row],[PLAZO ENTREGA VALORES]]</f>
        <v>46051</v>
      </c>
      <c r="S185" s="840">
        <f>+Tabla1[[#This Row],[FECHA FC]]+Tabla1[[#This Row],[PLAZO PAGO (DIAS)]]</f>
        <v>46198</v>
      </c>
      <c r="T185" s="834">
        <f t="shared" ca="1" si="83"/>
        <v>17</v>
      </c>
      <c r="U185" s="831">
        <f>+Tabla1[[#This Row],[FECHA OC]]-Tabla1[[#This Row],[FECHA Entrega]]</f>
        <v>-147</v>
      </c>
      <c r="V185" s="831"/>
      <c r="W185" s="841">
        <f>+Tabla1[[#This Row],[FECHA VTO VALORES]]+7</f>
        <v>46205</v>
      </c>
      <c r="X185" s="831" t="s">
        <v>489</v>
      </c>
      <c r="Y185" s="840">
        <v>46051</v>
      </c>
      <c r="Z185" s="842">
        <f>Tabla1[[#This Row],[KGS]]/50</f>
        <v>700</v>
      </c>
      <c r="AA18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85" s="844">
        <f>-Tabla1[[#This Row],[COSTO FLETE $ POR BOLSA 5O KG (SIN IVA)]]*1.21-Tabla1[[#This Row],[PRECIO $/ KG A PLAZO EN CLIENTE ( SIN IVA)]]*0.003*1.21*50</f>
        <v>-0.40864392249999071</v>
      </c>
      <c r="AC185" s="845">
        <f>SUM(Tabla1[[#This Row],[PRECIO $ BOLSA 50 KG (IVA INC) ]]+Tabla1[[#This Row],[COSTO FLETE $ BOLSA 50 KG (IVA INC)]])</f>
        <v>27562.4726635775</v>
      </c>
      <c r="AD185" s="844">
        <f>-Tabla1[[#This Row],[PRECIO $ BOLSA 50 KG (IVA INC) ]]*(Tabla1[[#This Row],[TASA FINANCIACION MENSUAL]]/365)*Tabla1[[#This Row],[PLAZO ENTREGA VALORES]]</f>
        <v>321.91935072293836</v>
      </c>
      <c r="AE185" s="845">
        <f>SUM(Tabla1[[#This Row],[PRECIO $ BOLSA50 KG  FOB TUCUMAN A PLAZO (IVA INC)]]+Tabla1[[#This Row],[GASTOS FINANCIEROS $ BOLSA 50 KG (IVA INC)]])</f>
        <v>27884.39201430044</v>
      </c>
      <c r="AF185" s="828" t="s">
        <v>476</v>
      </c>
      <c r="AG185" s="828" t="s">
        <v>365</v>
      </c>
      <c r="AH185" s="828" t="s">
        <v>387</v>
      </c>
      <c r="AI185" s="828" t="s">
        <v>261</v>
      </c>
      <c r="AJ18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85" s="846">
        <f>SUM(Tabla1[[#This Row],[PRECIO $ BOLSA 50KG  FOB CDO TUC (IVA INC)]]-Tabla1[[#This Row],[PRECIO REF $ BOLSA 50 KG CACTU (IVA INC)]])</f>
        <v>-4630.6079856995602</v>
      </c>
      <c r="AL185" s="847">
        <f>IFERROR(Tabla1[[#This Row],[PRECIO $ BOLSA 50KG  FOB CDO TUC (IVA INC)]]/Tabla1[[#This Row],[PRECIO REF $ BOLSA 50 KG CACTU (IVA INC)]]-1,"")</f>
        <v>-0.14241451593724619</v>
      </c>
      <c r="AM185" s="846">
        <f>+Tabla1[[#This Row],[DIF $ PRECIO NETO INDUSTRIA vs Neto TUCUMAN (IVA INC)]]*Tabla1[[#This Row],[Q Bolsas Equivalentes 50kg]]</f>
        <v>-3241425.589989692</v>
      </c>
      <c r="AN185" s="846">
        <f>Tabla1[[#This Row],[PRECIO REF $ BOLSA 50 KG CACTU (IVA INC)]]*Tabla1[[#This Row],[Q Bolsas Equivalentes 50kg]]</f>
        <v>22760500</v>
      </c>
      <c r="AO185" s="846">
        <f>+Tabla1[[#This Row],[PRECIO $ BOLSA 50KG  FOB CDO TUC (IVA INC)]]*Tabla1[[#This Row],[Q Bolsas Equivalentes 50kg]]</f>
        <v>19519074.410010308</v>
      </c>
      <c r="AP185" s="847">
        <v>2.9000000000000001E-2</v>
      </c>
      <c r="AQ185" s="846">
        <v>-68</v>
      </c>
      <c r="AR185" s="848"/>
      <c r="AS185" s="849"/>
      <c r="AT185" s="923">
        <f>+Tabla1[[#This Row],[VENTA TOTAL $ (IVA INC) ]]-(SUM(Tabla1[[#This Row],[PENDIENTE DE ENTREGA]:[VALORES COBRADOS]]))</f>
        <v>0</v>
      </c>
      <c r="AU185" s="850">
        <f>VLOOKUP(Tabla1[[#This Row],[FECHA OC]],'TIPO DE CAMBIO'!A:B,2,TRUE)</f>
        <v>1446.3009999999999</v>
      </c>
      <c r="AV185" s="850">
        <f>+Tabla1[[#This Row],[SUBTOTAL]]/Tabla1[[#This Row],[TIPO DE CAMBIO]]</f>
        <v>11025</v>
      </c>
      <c r="AW185" s="851"/>
      <c r="AX185" s="850">
        <f>IFERROR(Tabla1[[#This Row],[VENTA TOTAL USD A PLAZO EN CLIENTE  (SIN IVA)]]*(1+Tabla1[[#This Row],[% IVA ]]),"")</f>
        <v>11025</v>
      </c>
      <c r="AY185" s="850">
        <f>+Tabla1[[#This Row],[VENTA TOTAL USD A PLAZO EN CLIENTE  (SIN IVA)]]/Tabla1[[#This Row],[KGS]]*1000</f>
        <v>315</v>
      </c>
      <c r="AZ185" s="850">
        <v>0</v>
      </c>
      <c r="BA185" s="850">
        <f>+Tabla1[[#This Row],[GASTOS FINANCIEROS $ BOLSA 50 KG (IVA INC)]]*20/Tabla1[[#This Row],[TIPO DE CAMBIO]]</f>
        <v>4.4516231506849318</v>
      </c>
      <c r="BB185" s="850">
        <f>+Tabla1[[#This Row],[PRECIO POR TN USD EN CLIENTE A PLAZO (SIN IVA)]]+Tabla1[[#This Row],[COSTO USD FLETE /TN (SIN IVA)]]+Tabla1[[#This Row],[COSTO FINANCIERO USD POR BOLSA 50KG (IVA INC)]]</f>
        <v>319.45162315068495</v>
      </c>
      <c r="BC185" s="848">
        <v>5</v>
      </c>
      <c r="BD185" s="944"/>
    </row>
    <row r="186" spans="1:56" ht="15.75" customHeight="1">
      <c r="A186" s="912">
        <v>46174</v>
      </c>
      <c r="B186" s="828">
        <v>1</v>
      </c>
      <c r="C186" s="792" t="s">
        <v>406</v>
      </c>
      <c r="D186" s="829">
        <f>+Tabla1[[#This Row],[FECHA Entrega]]</f>
        <v>46198</v>
      </c>
      <c r="E186" s="830">
        <v>700000869</v>
      </c>
      <c r="F186" s="831" t="s">
        <v>358</v>
      </c>
      <c r="G186" s="832" t="s">
        <v>216</v>
      </c>
      <c r="H186" s="852">
        <v>46198</v>
      </c>
      <c r="I186" s="834">
        <f t="shared" si="84"/>
        <v>35000</v>
      </c>
      <c r="J186" s="835">
        <f>0.315*Tabla1[[#This Row],[TIPO DE CAMBIO]]</f>
        <v>455.58481499999999</v>
      </c>
      <c r="K186" s="836">
        <f t="shared" si="60"/>
        <v>15945468.525</v>
      </c>
      <c r="L18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86" s="837">
        <f t="shared" si="82"/>
        <v>19294016.91525</v>
      </c>
      <c r="N186" s="838"/>
      <c r="O186" s="838">
        <v>0</v>
      </c>
      <c r="P186" s="838">
        <v>0</v>
      </c>
      <c r="Q186" s="839">
        <f>+Tabla1[[#This Row],[VENTA TOTAL $ (IVA INC) ]]-Tabla1[[#This Row],[PENDIENTE DE COBRO]]</f>
        <v>19294016.91525</v>
      </c>
      <c r="R186" s="840">
        <f>+Tabla1[[#This Row],[FECHA FC]]+Tabla1[[#This Row],[PLAZO ENTREGA VALORES]]</f>
        <v>46051</v>
      </c>
      <c r="S186" s="840">
        <f>+Tabla1[[#This Row],[FECHA FC]]+Tabla1[[#This Row],[PLAZO PAGO (DIAS)]]</f>
        <v>46198</v>
      </c>
      <c r="T186" s="834">
        <f t="shared" ca="1" si="83"/>
        <v>17</v>
      </c>
      <c r="U186" s="831">
        <f>+Tabla1[[#This Row],[FECHA OC]]-Tabla1[[#This Row],[FECHA Entrega]]</f>
        <v>-147</v>
      </c>
      <c r="V186" s="831"/>
      <c r="W186" s="841">
        <f>+Tabla1[[#This Row],[FECHA VTO VALORES]]+7</f>
        <v>46205</v>
      </c>
      <c r="X186" s="831" t="s">
        <v>489</v>
      </c>
      <c r="Y186" s="840">
        <v>46051</v>
      </c>
      <c r="Z186" s="842">
        <f>Tabla1[[#This Row],[KGS]]/50</f>
        <v>700</v>
      </c>
      <c r="AA18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86" s="844">
        <f>-Tabla1[[#This Row],[COSTO FLETE $ POR BOLSA 5O KG (SIN IVA)]]*1.21-Tabla1[[#This Row],[PRECIO $/ KG A PLAZO EN CLIENTE ( SIN IVA)]]*0.003*1.21*50</f>
        <v>-0.40864392249999071</v>
      </c>
      <c r="AC186" s="845">
        <f>SUM(Tabla1[[#This Row],[PRECIO $ BOLSA 50 KG (IVA INC) ]]+Tabla1[[#This Row],[COSTO FLETE $ BOLSA 50 KG (IVA INC)]])</f>
        <v>27562.4726635775</v>
      </c>
      <c r="AD186" s="844">
        <f>-Tabla1[[#This Row],[PRECIO $ BOLSA 50 KG (IVA INC) ]]*(Tabla1[[#This Row],[TASA FINANCIACION MENSUAL]]/365)*Tabla1[[#This Row],[PLAZO ENTREGA VALORES]]</f>
        <v>321.91935072293836</v>
      </c>
      <c r="AE186" s="845">
        <f>SUM(Tabla1[[#This Row],[PRECIO $ BOLSA50 KG  FOB TUCUMAN A PLAZO (IVA INC)]]+Tabla1[[#This Row],[GASTOS FINANCIEROS $ BOLSA 50 KG (IVA INC)]])</f>
        <v>27884.39201430044</v>
      </c>
      <c r="AF186" s="828" t="s">
        <v>476</v>
      </c>
      <c r="AG186" s="828" t="s">
        <v>365</v>
      </c>
      <c r="AH186" s="828" t="s">
        <v>387</v>
      </c>
      <c r="AI186" s="828" t="s">
        <v>261</v>
      </c>
      <c r="AJ18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86" s="846">
        <f>SUM(Tabla1[[#This Row],[PRECIO $ BOLSA 50KG  FOB CDO TUC (IVA INC)]]-Tabla1[[#This Row],[PRECIO REF $ BOLSA 50 KG CACTU (IVA INC)]])</f>
        <v>-4630.6079856995602</v>
      </c>
      <c r="AL186" s="847">
        <f>IFERROR(Tabla1[[#This Row],[PRECIO $ BOLSA 50KG  FOB CDO TUC (IVA INC)]]/Tabla1[[#This Row],[PRECIO REF $ BOLSA 50 KG CACTU (IVA INC)]]-1,"")</f>
        <v>-0.14241451593724619</v>
      </c>
      <c r="AM186" s="846">
        <f>+Tabla1[[#This Row],[DIF $ PRECIO NETO INDUSTRIA vs Neto TUCUMAN (IVA INC)]]*Tabla1[[#This Row],[Q Bolsas Equivalentes 50kg]]</f>
        <v>-3241425.589989692</v>
      </c>
      <c r="AN186" s="846">
        <f>Tabla1[[#This Row],[PRECIO REF $ BOLSA 50 KG CACTU (IVA INC)]]*Tabla1[[#This Row],[Q Bolsas Equivalentes 50kg]]</f>
        <v>22760500</v>
      </c>
      <c r="AO186" s="846">
        <f>+Tabla1[[#This Row],[PRECIO $ BOLSA 50KG  FOB CDO TUC (IVA INC)]]*Tabla1[[#This Row],[Q Bolsas Equivalentes 50kg]]</f>
        <v>19519074.410010308</v>
      </c>
      <c r="AP186" s="847">
        <v>2.9000000000000001E-2</v>
      </c>
      <c r="AQ186" s="846">
        <v>-68</v>
      </c>
      <c r="AR186" s="848"/>
      <c r="AS186" s="849"/>
      <c r="AT186" s="923">
        <f>+Tabla1[[#This Row],[VENTA TOTAL $ (IVA INC) ]]-(SUM(Tabla1[[#This Row],[PENDIENTE DE ENTREGA]:[VALORES COBRADOS]]))</f>
        <v>0</v>
      </c>
      <c r="AU186" s="850">
        <f>VLOOKUP(Tabla1[[#This Row],[FECHA OC]],'TIPO DE CAMBIO'!A:B,2,TRUE)</f>
        <v>1446.3009999999999</v>
      </c>
      <c r="AV186" s="850">
        <f>+Tabla1[[#This Row],[SUBTOTAL]]/Tabla1[[#This Row],[TIPO DE CAMBIO]]</f>
        <v>11025</v>
      </c>
      <c r="AW186" s="851"/>
      <c r="AX186" s="850">
        <f>IFERROR(Tabla1[[#This Row],[VENTA TOTAL USD A PLAZO EN CLIENTE  (SIN IVA)]]*(1+Tabla1[[#This Row],[% IVA ]]),"")</f>
        <v>11025</v>
      </c>
      <c r="AY186" s="850">
        <f>+Tabla1[[#This Row],[VENTA TOTAL USD A PLAZO EN CLIENTE  (SIN IVA)]]/Tabla1[[#This Row],[KGS]]*1000</f>
        <v>315</v>
      </c>
      <c r="AZ186" s="850">
        <v>0</v>
      </c>
      <c r="BA186" s="850">
        <f>+Tabla1[[#This Row],[GASTOS FINANCIEROS $ BOLSA 50 KG (IVA INC)]]*20/Tabla1[[#This Row],[TIPO DE CAMBIO]]</f>
        <v>4.4516231506849318</v>
      </c>
      <c r="BB186" s="850">
        <f>+Tabla1[[#This Row],[PRECIO POR TN USD EN CLIENTE A PLAZO (SIN IVA)]]+Tabla1[[#This Row],[COSTO USD FLETE /TN (SIN IVA)]]+Tabla1[[#This Row],[COSTO FINANCIERO USD POR BOLSA 50KG (IVA INC)]]</f>
        <v>319.45162315068495</v>
      </c>
      <c r="BC186" s="848">
        <v>5</v>
      </c>
      <c r="BD186" s="944"/>
    </row>
    <row r="187" spans="1:56" ht="15.75" customHeight="1">
      <c r="A187" s="912">
        <v>46174</v>
      </c>
      <c r="B187" s="828">
        <v>1</v>
      </c>
      <c r="C187" s="792" t="s">
        <v>406</v>
      </c>
      <c r="D187" s="829">
        <f>+Tabla1[[#This Row],[FECHA Entrega]]</f>
        <v>46199</v>
      </c>
      <c r="E187" s="830">
        <v>700000869</v>
      </c>
      <c r="F187" s="831" t="s">
        <v>358</v>
      </c>
      <c r="G187" s="832" t="s">
        <v>216</v>
      </c>
      <c r="H187" s="852">
        <v>46199</v>
      </c>
      <c r="I187" s="834">
        <f t="shared" si="84"/>
        <v>35000</v>
      </c>
      <c r="J187" s="835">
        <f>0.315*Tabla1[[#This Row],[TIPO DE CAMBIO]]</f>
        <v>455.58481499999999</v>
      </c>
      <c r="K187" s="836">
        <f t="shared" si="60"/>
        <v>15945468.525</v>
      </c>
      <c r="L18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87" s="837">
        <f t="shared" si="82"/>
        <v>19294016.91525</v>
      </c>
      <c r="N187" s="838"/>
      <c r="O187" s="838">
        <v>0</v>
      </c>
      <c r="P187" s="838">
        <v>0</v>
      </c>
      <c r="Q187" s="839">
        <f>+Tabla1[[#This Row],[VENTA TOTAL $ (IVA INC) ]]-Tabla1[[#This Row],[PENDIENTE DE COBRO]]</f>
        <v>19294016.91525</v>
      </c>
      <c r="R187" s="840">
        <f>+Tabla1[[#This Row],[FECHA FC]]+Tabla1[[#This Row],[PLAZO ENTREGA VALORES]]</f>
        <v>46051</v>
      </c>
      <c r="S187" s="840">
        <f>+Tabla1[[#This Row],[FECHA FC]]+Tabla1[[#This Row],[PLAZO PAGO (DIAS)]]</f>
        <v>46199</v>
      </c>
      <c r="T187" s="834">
        <f t="shared" ca="1" si="83"/>
        <v>18</v>
      </c>
      <c r="U187" s="831">
        <f>+Tabla1[[#This Row],[FECHA OC]]-Tabla1[[#This Row],[FECHA Entrega]]</f>
        <v>-148</v>
      </c>
      <c r="V187" s="831"/>
      <c r="W187" s="841">
        <f>+Tabla1[[#This Row],[FECHA VTO VALORES]]+7</f>
        <v>46206</v>
      </c>
      <c r="X187" s="831" t="s">
        <v>489</v>
      </c>
      <c r="Y187" s="840">
        <v>46051</v>
      </c>
      <c r="Z187" s="842">
        <f>Tabla1[[#This Row],[KGS]]/50</f>
        <v>700</v>
      </c>
      <c r="AA18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87" s="844">
        <f>-Tabla1[[#This Row],[COSTO FLETE $ POR BOLSA 5O KG (SIN IVA)]]*1.21-Tabla1[[#This Row],[PRECIO $/ KG A PLAZO EN CLIENTE ( SIN IVA)]]*0.003*1.21*50</f>
        <v>-0.40864392249999071</v>
      </c>
      <c r="AC187" s="845">
        <f>SUM(Tabla1[[#This Row],[PRECIO $ BOLSA 50 KG (IVA INC) ]]+Tabla1[[#This Row],[COSTO FLETE $ BOLSA 50 KG (IVA INC)]])</f>
        <v>27562.4726635775</v>
      </c>
      <c r="AD187" s="844">
        <f>-Tabla1[[#This Row],[PRECIO $ BOLSA 50 KG (IVA INC) ]]*(Tabla1[[#This Row],[TASA FINANCIACION MENSUAL]]/365)*Tabla1[[#This Row],[PLAZO ENTREGA VALORES]]</f>
        <v>324.10927827887673</v>
      </c>
      <c r="AE187" s="845">
        <f>SUM(Tabla1[[#This Row],[PRECIO $ BOLSA50 KG  FOB TUCUMAN A PLAZO (IVA INC)]]+Tabla1[[#This Row],[GASTOS FINANCIEROS $ BOLSA 50 KG (IVA INC)]])</f>
        <v>27886.581941856377</v>
      </c>
      <c r="AF187" s="828" t="s">
        <v>476</v>
      </c>
      <c r="AG187" s="828" t="s">
        <v>365</v>
      </c>
      <c r="AH187" s="828" t="s">
        <v>387</v>
      </c>
      <c r="AI187" s="828" t="s">
        <v>261</v>
      </c>
      <c r="AJ18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87" s="846">
        <f>SUM(Tabla1[[#This Row],[PRECIO $ BOLSA 50KG  FOB CDO TUC (IVA INC)]]-Tabla1[[#This Row],[PRECIO REF $ BOLSA 50 KG CACTU (IVA INC)]])</f>
        <v>-4628.4180581436231</v>
      </c>
      <c r="AL187" s="847">
        <f>IFERROR(Tabla1[[#This Row],[PRECIO $ BOLSA 50KG  FOB CDO TUC (IVA INC)]]/Tabla1[[#This Row],[PRECIO REF $ BOLSA 50 KG CACTU (IVA INC)]]-1,"")</f>
        <v>-0.14234716463612562</v>
      </c>
      <c r="AM187" s="846">
        <f>+Tabla1[[#This Row],[DIF $ PRECIO NETO INDUSTRIA vs Neto TUCUMAN (IVA INC)]]*Tabla1[[#This Row],[Q Bolsas Equivalentes 50kg]]</f>
        <v>-3239892.6407005363</v>
      </c>
      <c r="AN187" s="846">
        <f>Tabla1[[#This Row],[PRECIO REF $ BOLSA 50 KG CACTU (IVA INC)]]*Tabla1[[#This Row],[Q Bolsas Equivalentes 50kg]]</f>
        <v>22760500</v>
      </c>
      <c r="AO187" s="846">
        <f>+Tabla1[[#This Row],[PRECIO $ BOLSA 50KG  FOB CDO TUC (IVA INC)]]*Tabla1[[#This Row],[Q Bolsas Equivalentes 50kg]]</f>
        <v>19520607.359299462</v>
      </c>
      <c r="AP187" s="847">
        <v>2.9000000000000001E-2</v>
      </c>
      <c r="AQ187" s="846">
        <v>-68</v>
      </c>
      <c r="AR187" s="848"/>
      <c r="AS187" s="849"/>
      <c r="AT187" s="923">
        <f>+Tabla1[[#This Row],[VENTA TOTAL $ (IVA INC) ]]-(SUM(Tabla1[[#This Row],[PENDIENTE DE ENTREGA]:[VALORES COBRADOS]]))</f>
        <v>0</v>
      </c>
      <c r="AU187" s="850">
        <f>VLOOKUP(Tabla1[[#This Row],[FECHA OC]],'TIPO DE CAMBIO'!A:B,2,TRUE)</f>
        <v>1446.3009999999999</v>
      </c>
      <c r="AV187" s="850">
        <f>+Tabla1[[#This Row],[SUBTOTAL]]/Tabla1[[#This Row],[TIPO DE CAMBIO]]</f>
        <v>11025</v>
      </c>
      <c r="AW187" s="851"/>
      <c r="AX187" s="850">
        <f>IFERROR(Tabla1[[#This Row],[VENTA TOTAL USD A PLAZO EN CLIENTE  (SIN IVA)]]*(1+Tabla1[[#This Row],[% IVA ]]),"")</f>
        <v>11025</v>
      </c>
      <c r="AY187" s="850">
        <f>+Tabla1[[#This Row],[VENTA TOTAL USD A PLAZO EN CLIENTE  (SIN IVA)]]/Tabla1[[#This Row],[KGS]]*1000</f>
        <v>315</v>
      </c>
      <c r="AZ187" s="850">
        <v>0</v>
      </c>
      <c r="BA187" s="850">
        <f>+Tabla1[[#This Row],[GASTOS FINANCIEROS $ BOLSA 50 KG (IVA INC)]]*20/Tabla1[[#This Row],[TIPO DE CAMBIO]]</f>
        <v>4.4819063013698637</v>
      </c>
      <c r="BB187" s="850">
        <f>+Tabla1[[#This Row],[PRECIO POR TN USD EN CLIENTE A PLAZO (SIN IVA)]]+Tabla1[[#This Row],[COSTO USD FLETE /TN (SIN IVA)]]+Tabla1[[#This Row],[COSTO FINANCIERO USD POR BOLSA 50KG (IVA INC)]]</f>
        <v>319.48190630136986</v>
      </c>
      <c r="BC187" s="848">
        <v>5</v>
      </c>
      <c r="BD187" s="944"/>
    </row>
    <row r="188" spans="1:56" ht="15.75" customHeight="1">
      <c r="A188" s="912">
        <v>46174</v>
      </c>
      <c r="B188" s="828">
        <v>1</v>
      </c>
      <c r="C188" s="792" t="s">
        <v>406</v>
      </c>
      <c r="D188" s="829">
        <f>+Tabla1[[#This Row],[FECHA Entrega]]</f>
        <v>46199</v>
      </c>
      <c r="E188" s="830">
        <v>700000869</v>
      </c>
      <c r="F188" s="831" t="s">
        <v>358</v>
      </c>
      <c r="G188" s="832" t="s">
        <v>216</v>
      </c>
      <c r="H188" s="852">
        <v>46199</v>
      </c>
      <c r="I188" s="834">
        <f t="shared" si="84"/>
        <v>35000</v>
      </c>
      <c r="J188" s="835">
        <f>0.315*Tabla1[[#This Row],[TIPO DE CAMBIO]]</f>
        <v>455.58481499999999</v>
      </c>
      <c r="K188" s="836">
        <f t="shared" si="60"/>
        <v>15945468.525</v>
      </c>
      <c r="L18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88" s="837">
        <f t="shared" si="82"/>
        <v>19294016.91525</v>
      </c>
      <c r="N188" s="838"/>
      <c r="O188" s="838">
        <v>0</v>
      </c>
      <c r="P188" s="838">
        <v>0</v>
      </c>
      <c r="Q188" s="839">
        <f>+Tabla1[[#This Row],[VENTA TOTAL $ (IVA INC) ]]-Tabla1[[#This Row],[PENDIENTE DE COBRO]]</f>
        <v>19294016.91525</v>
      </c>
      <c r="R188" s="840">
        <f>+Tabla1[[#This Row],[FECHA FC]]+Tabla1[[#This Row],[PLAZO ENTREGA VALORES]]</f>
        <v>46051</v>
      </c>
      <c r="S188" s="840">
        <f>+Tabla1[[#This Row],[FECHA FC]]+Tabla1[[#This Row],[PLAZO PAGO (DIAS)]]</f>
        <v>46199</v>
      </c>
      <c r="T188" s="834">
        <f t="shared" ca="1" si="83"/>
        <v>18</v>
      </c>
      <c r="U188" s="831">
        <f>+Tabla1[[#This Row],[FECHA OC]]-Tabla1[[#This Row],[FECHA Entrega]]</f>
        <v>-148</v>
      </c>
      <c r="V188" s="831"/>
      <c r="W188" s="841">
        <f>+Tabla1[[#This Row],[FECHA VTO VALORES]]+7</f>
        <v>46206</v>
      </c>
      <c r="X188" s="831" t="s">
        <v>489</v>
      </c>
      <c r="Y188" s="840">
        <v>46051</v>
      </c>
      <c r="Z188" s="842">
        <f>Tabla1[[#This Row],[KGS]]/50</f>
        <v>700</v>
      </c>
      <c r="AA18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88" s="844">
        <f>-Tabla1[[#This Row],[COSTO FLETE $ POR BOLSA 5O KG (SIN IVA)]]*1.21-Tabla1[[#This Row],[PRECIO $/ KG A PLAZO EN CLIENTE ( SIN IVA)]]*0.003*1.21*50</f>
        <v>-0.40864392249999071</v>
      </c>
      <c r="AC188" s="845">
        <f>SUM(Tabla1[[#This Row],[PRECIO $ BOLSA 50 KG (IVA INC) ]]+Tabla1[[#This Row],[COSTO FLETE $ BOLSA 50 KG (IVA INC)]])</f>
        <v>27562.4726635775</v>
      </c>
      <c r="AD188" s="844">
        <f>-Tabla1[[#This Row],[PRECIO $ BOLSA 50 KG (IVA INC) ]]*(Tabla1[[#This Row],[TASA FINANCIACION MENSUAL]]/365)*Tabla1[[#This Row],[PLAZO ENTREGA VALORES]]</f>
        <v>324.10927827887673</v>
      </c>
      <c r="AE188" s="845">
        <f>SUM(Tabla1[[#This Row],[PRECIO $ BOLSA50 KG  FOB TUCUMAN A PLAZO (IVA INC)]]+Tabla1[[#This Row],[GASTOS FINANCIEROS $ BOLSA 50 KG (IVA INC)]])</f>
        <v>27886.581941856377</v>
      </c>
      <c r="AF188" s="828" t="s">
        <v>476</v>
      </c>
      <c r="AG188" s="828" t="s">
        <v>365</v>
      </c>
      <c r="AH188" s="828" t="s">
        <v>387</v>
      </c>
      <c r="AI188" s="828" t="s">
        <v>261</v>
      </c>
      <c r="AJ18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88" s="846">
        <f>SUM(Tabla1[[#This Row],[PRECIO $ BOLSA 50KG  FOB CDO TUC (IVA INC)]]-Tabla1[[#This Row],[PRECIO REF $ BOLSA 50 KG CACTU (IVA INC)]])</f>
        <v>-4628.4180581436231</v>
      </c>
      <c r="AL188" s="847">
        <f>IFERROR(Tabla1[[#This Row],[PRECIO $ BOLSA 50KG  FOB CDO TUC (IVA INC)]]/Tabla1[[#This Row],[PRECIO REF $ BOLSA 50 KG CACTU (IVA INC)]]-1,"")</f>
        <v>-0.14234716463612562</v>
      </c>
      <c r="AM188" s="846">
        <f>+Tabla1[[#This Row],[DIF $ PRECIO NETO INDUSTRIA vs Neto TUCUMAN (IVA INC)]]*Tabla1[[#This Row],[Q Bolsas Equivalentes 50kg]]</f>
        <v>-3239892.6407005363</v>
      </c>
      <c r="AN188" s="846">
        <f>Tabla1[[#This Row],[PRECIO REF $ BOLSA 50 KG CACTU (IVA INC)]]*Tabla1[[#This Row],[Q Bolsas Equivalentes 50kg]]</f>
        <v>22760500</v>
      </c>
      <c r="AO188" s="846">
        <f>+Tabla1[[#This Row],[PRECIO $ BOLSA 50KG  FOB CDO TUC (IVA INC)]]*Tabla1[[#This Row],[Q Bolsas Equivalentes 50kg]]</f>
        <v>19520607.359299462</v>
      </c>
      <c r="AP188" s="847">
        <v>2.9000000000000001E-2</v>
      </c>
      <c r="AQ188" s="846">
        <v>-68</v>
      </c>
      <c r="AR188" s="848"/>
      <c r="AS188" s="849"/>
      <c r="AT188" s="923">
        <f>+Tabla1[[#This Row],[VENTA TOTAL $ (IVA INC) ]]-(SUM(Tabla1[[#This Row],[PENDIENTE DE ENTREGA]:[VALORES COBRADOS]]))</f>
        <v>0</v>
      </c>
      <c r="AU188" s="850">
        <f>VLOOKUP(Tabla1[[#This Row],[FECHA OC]],'TIPO DE CAMBIO'!A:B,2,TRUE)</f>
        <v>1446.3009999999999</v>
      </c>
      <c r="AV188" s="850">
        <f>+Tabla1[[#This Row],[SUBTOTAL]]/Tabla1[[#This Row],[TIPO DE CAMBIO]]</f>
        <v>11025</v>
      </c>
      <c r="AW188" s="851"/>
      <c r="AX188" s="850">
        <f>IFERROR(Tabla1[[#This Row],[VENTA TOTAL USD A PLAZO EN CLIENTE  (SIN IVA)]]*(1+Tabla1[[#This Row],[% IVA ]]),"")</f>
        <v>11025</v>
      </c>
      <c r="AY188" s="850">
        <f>+Tabla1[[#This Row],[VENTA TOTAL USD A PLAZO EN CLIENTE  (SIN IVA)]]/Tabla1[[#This Row],[KGS]]*1000</f>
        <v>315</v>
      </c>
      <c r="AZ188" s="850">
        <v>0</v>
      </c>
      <c r="BA188" s="850">
        <f>+Tabla1[[#This Row],[GASTOS FINANCIEROS $ BOLSA 50 KG (IVA INC)]]*20/Tabla1[[#This Row],[TIPO DE CAMBIO]]</f>
        <v>4.4819063013698637</v>
      </c>
      <c r="BB188" s="850">
        <f>+Tabla1[[#This Row],[PRECIO POR TN USD EN CLIENTE A PLAZO (SIN IVA)]]+Tabla1[[#This Row],[COSTO USD FLETE /TN (SIN IVA)]]+Tabla1[[#This Row],[COSTO FINANCIERO USD POR BOLSA 50KG (IVA INC)]]</f>
        <v>319.48190630136986</v>
      </c>
      <c r="BC188" s="848">
        <v>5</v>
      </c>
      <c r="BD188" s="944"/>
    </row>
    <row r="189" spans="1:56" ht="15.75" customHeight="1">
      <c r="A189" s="912">
        <v>46174</v>
      </c>
      <c r="B189" s="828">
        <v>1</v>
      </c>
      <c r="C189" s="792" t="s">
        <v>406</v>
      </c>
      <c r="D189" s="829">
        <f>+Tabla1[[#This Row],[FECHA Entrega]]</f>
        <v>46200</v>
      </c>
      <c r="E189" s="830">
        <v>700000869</v>
      </c>
      <c r="F189" s="831" t="s">
        <v>358</v>
      </c>
      <c r="G189" s="832" t="s">
        <v>216</v>
      </c>
      <c r="H189" s="852">
        <v>46200</v>
      </c>
      <c r="I189" s="834">
        <f t="shared" si="84"/>
        <v>35000</v>
      </c>
      <c r="J189" s="835">
        <f>0.315*Tabla1[[#This Row],[TIPO DE CAMBIO]]</f>
        <v>455.58481499999999</v>
      </c>
      <c r="K189" s="836">
        <f t="shared" si="60"/>
        <v>15945468.525</v>
      </c>
      <c r="L18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89" s="837">
        <f t="shared" si="82"/>
        <v>19294016.91525</v>
      </c>
      <c r="N189" s="838"/>
      <c r="O189" s="838">
        <v>0</v>
      </c>
      <c r="P189" s="838">
        <v>0</v>
      </c>
      <c r="Q189" s="839">
        <f>+Tabla1[[#This Row],[VENTA TOTAL $ (IVA INC) ]]-Tabla1[[#This Row],[PENDIENTE DE COBRO]]</f>
        <v>19294016.91525</v>
      </c>
      <c r="R189" s="840">
        <f>+Tabla1[[#This Row],[FECHA FC]]+Tabla1[[#This Row],[PLAZO ENTREGA VALORES]]</f>
        <v>46051</v>
      </c>
      <c r="S189" s="840">
        <f>+Tabla1[[#This Row],[FECHA FC]]+Tabla1[[#This Row],[PLAZO PAGO (DIAS)]]</f>
        <v>46200</v>
      </c>
      <c r="T189" s="834">
        <f t="shared" ca="1" si="83"/>
        <v>19</v>
      </c>
      <c r="U189" s="831">
        <f>+Tabla1[[#This Row],[FECHA OC]]-Tabla1[[#This Row],[FECHA Entrega]]</f>
        <v>-149</v>
      </c>
      <c r="V189" s="831"/>
      <c r="W189" s="841">
        <f>+Tabla1[[#This Row],[FECHA VTO VALORES]]+7</f>
        <v>46207</v>
      </c>
      <c r="X189" s="831" t="s">
        <v>489</v>
      </c>
      <c r="Y189" s="840">
        <v>46051</v>
      </c>
      <c r="Z189" s="842">
        <f>Tabla1[[#This Row],[KGS]]/50</f>
        <v>700</v>
      </c>
      <c r="AA18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89" s="844">
        <f>-Tabla1[[#This Row],[COSTO FLETE $ POR BOLSA 5O KG (SIN IVA)]]*1.21-Tabla1[[#This Row],[PRECIO $/ KG A PLAZO EN CLIENTE ( SIN IVA)]]*0.003*1.21*50</f>
        <v>-0.40864392249999071</v>
      </c>
      <c r="AC189" s="845">
        <f>SUM(Tabla1[[#This Row],[PRECIO $ BOLSA 50 KG (IVA INC) ]]+Tabla1[[#This Row],[COSTO FLETE $ BOLSA 50 KG (IVA INC)]])</f>
        <v>27562.4726635775</v>
      </c>
      <c r="AD189" s="844">
        <f>-Tabla1[[#This Row],[PRECIO $ BOLSA 50 KG (IVA INC) ]]*(Tabla1[[#This Row],[TASA FINANCIACION MENSUAL]]/365)*Tabla1[[#This Row],[PLAZO ENTREGA VALORES]]</f>
        <v>326.2992058348151</v>
      </c>
      <c r="AE189" s="845">
        <f>SUM(Tabla1[[#This Row],[PRECIO $ BOLSA50 KG  FOB TUCUMAN A PLAZO (IVA INC)]]+Tabla1[[#This Row],[GASTOS FINANCIEROS $ BOLSA 50 KG (IVA INC)]])</f>
        <v>27888.771869412314</v>
      </c>
      <c r="AF189" s="828" t="s">
        <v>476</v>
      </c>
      <c r="AG189" s="828" t="s">
        <v>365</v>
      </c>
      <c r="AH189" s="828" t="s">
        <v>387</v>
      </c>
      <c r="AI189" s="828" t="s">
        <v>261</v>
      </c>
      <c r="AJ18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89" s="846">
        <f>SUM(Tabla1[[#This Row],[PRECIO $ BOLSA 50KG  FOB CDO TUC (IVA INC)]]-Tabla1[[#This Row],[PRECIO REF $ BOLSA 50 KG CACTU (IVA INC)]])</f>
        <v>-4626.2281305876859</v>
      </c>
      <c r="AL189" s="847">
        <f>IFERROR(Tabla1[[#This Row],[PRECIO $ BOLSA 50KG  FOB CDO TUC (IVA INC)]]/Tabla1[[#This Row],[PRECIO REF $ BOLSA 50 KG CACTU (IVA INC)]]-1,"")</f>
        <v>-0.14227981333500495</v>
      </c>
      <c r="AM189" s="846">
        <f>+Tabla1[[#This Row],[DIF $ PRECIO NETO INDUSTRIA vs Neto TUCUMAN (IVA INC)]]*Tabla1[[#This Row],[Q Bolsas Equivalentes 50kg]]</f>
        <v>-3238359.6914113802</v>
      </c>
      <c r="AN189" s="846">
        <f>Tabla1[[#This Row],[PRECIO REF $ BOLSA 50 KG CACTU (IVA INC)]]*Tabla1[[#This Row],[Q Bolsas Equivalentes 50kg]]</f>
        <v>22760500</v>
      </c>
      <c r="AO189" s="846">
        <f>+Tabla1[[#This Row],[PRECIO $ BOLSA 50KG  FOB CDO TUC (IVA INC)]]*Tabla1[[#This Row],[Q Bolsas Equivalentes 50kg]]</f>
        <v>19522140.30858862</v>
      </c>
      <c r="AP189" s="847">
        <v>2.9000000000000001E-2</v>
      </c>
      <c r="AQ189" s="846">
        <v>-68</v>
      </c>
      <c r="AR189" s="848"/>
      <c r="AS189" s="849"/>
      <c r="AT189" s="923">
        <f>+Tabla1[[#This Row],[VENTA TOTAL $ (IVA INC) ]]-(SUM(Tabla1[[#This Row],[PENDIENTE DE ENTREGA]:[VALORES COBRADOS]]))</f>
        <v>0</v>
      </c>
      <c r="AU189" s="850">
        <f>VLOOKUP(Tabla1[[#This Row],[FECHA OC]],'TIPO DE CAMBIO'!A:B,2,TRUE)</f>
        <v>1446.3009999999999</v>
      </c>
      <c r="AV189" s="850">
        <f>+Tabla1[[#This Row],[SUBTOTAL]]/Tabla1[[#This Row],[TIPO DE CAMBIO]]</f>
        <v>11025</v>
      </c>
      <c r="AW189" s="851"/>
      <c r="AX189" s="850">
        <f>IFERROR(Tabla1[[#This Row],[VENTA TOTAL USD A PLAZO EN CLIENTE  (SIN IVA)]]*(1+Tabla1[[#This Row],[% IVA ]]),"")</f>
        <v>11025</v>
      </c>
      <c r="AY189" s="850">
        <f>+Tabla1[[#This Row],[VENTA TOTAL USD A PLAZO EN CLIENTE  (SIN IVA)]]/Tabla1[[#This Row],[KGS]]*1000</f>
        <v>315</v>
      </c>
      <c r="AZ189" s="850">
        <v>0</v>
      </c>
      <c r="BA189" s="850">
        <f>+Tabla1[[#This Row],[GASTOS FINANCIEROS $ BOLSA 50 KG (IVA INC)]]*20/Tabla1[[#This Row],[TIPO DE CAMBIO]]</f>
        <v>4.5121894520547947</v>
      </c>
      <c r="BB189" s="850">
        <f>+Tabla1[[#This Row],[PRECIO POR TN USD EN CLIENTE A PLAZO (SIN IVA)]]+Tabla1[[#This Row],[COSTO USD FLETE /TN (SIN IVA)]]+Tabla1[[#This Row],[COSTO FINANCIERO USD POR BOLSA 50KG (IVA INC)]]</f>
        <v>319.51218945205477</v>
      </c>
      <c r="BC189" s="848">
        <v>5</v>
      </c>
      <c r="BD189" s="944"/>
    </row>
    <row r="190" spans="1:56" ht="15.75" customHeight="1">
      <c r="A190" s="912">
        <v>46174</v>
      </c>
      <c r="B190" s="828">
        <v>1</v>
      </c>
      <c r="C190" s="792" t="s">
        <v>406</v>
      </c>
      <c r="D190" s="829">
        <f>+Tabla1[[#This Row],[FECHA Entrega]]</f>
        <v>46200</v>
      </c>
      <c r="E190" s="830">
        <v>700000869</v>
      </c>
      <c r="F190" s="831" t="s">
        <v>358</v>
      </c>
      <c r="G190" s="832" t="s">
        <v>216</v>
      </c>
      <c r="H190" s="852">
        <v>46200</v>
      </c>
      <c r="I190" s="834">
        <f t="shared" si="84"/>
        <v>35000</v>
      </c>
      <c r="J190" s="835">
        <f>0.315*Tabla1[[#This Row],[TIPO DE CAMBIO]]</f>
        <v>455.58481499999999</v>
      </c>
      <c r="K190" s="836">
        <f t="shared" si="60"/>
        <v>15945468.525</v>
      </c>
      <c r="L19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90" s="837">
        <f t="shared" si="82"/>
        <v>19294016.91525</v>
      </c>
      <c r="N190" s="838"/>
      <c r="O190" s="838">
        <v>0</v>
      </c>
      <c r="P190" s="838">
        <v>0</v>
      </c>
      <c r="Q190" s="839">
        <f>+Tabla1[[#This Row],[VENTA TOTAL $ (IVA INC) ]]-Tabla1[[#This Row],[PENDIENTE DE COBRO]]</f>
        <v>19294016.91525</v>
      </c>
      <c r="R190" s="840">
        <f>+Tabla1[[#This Row],[FECHA FC]]+Tabla1[[#This Row],[PLAZO ENTREGA VALORES]]</f>
        <v>46051</v>
      </c>
      <c r="S190" s="840">
        <f>+Tabla1[[#This Row],[FECHA FC]]+Tabla1[[#This Row],[PLAZO PAGO (DIAS)]]</f>
        <v>46200</v>
      </c>
      <c r="T190" s="834">
        <f t="shared" ca="1" si="83"/>
        <v>19</v>
      </c>
      <c r="U190" s="831">
        <f>+Tabla1[[#This Row],[FECHA OC]]-Tabla1[[#This Row],[FECHA Entrega]]</f>
        <v>-149</v>
      </c>
      <c r="V190" s="831"/>
      <c r="W190" s="841">
        <f>+Tabla1[[#This Row],[FECHA VTO VALORES]]+7</f>
        <v>46207</v>
      </c>
      <c r="X190" s="831" t="s">
        <v>489</v>
      </c>
      <c r="Y190" s="840">
        <v>46051</v>
      </c>
      <c r="Z190" s="842">
        <f>Tabla1[[#This Row],[KGS]]/50</f>
        <v>700</v>
      </c>
      <c r="AA19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90" s="844">
        <f>-Tabla1[[#This Row],[COSTO FLETE $ POR BOLSA 5O KG (SIN IVA)]]*1.21-Tabla1[[#This Row],[PRECIO $/ KG A PLAZO EN CLIENTE ( SIN IVA)]]*0.003*1.21*50</f>
        <v>-0.40864392249999071</v>
      </c>
      <c r="AC190" s="845">
        <f>SUM(Tabla1[[#This Row],[PRECIO $ BOLSA 50 KG (IVA INC) ]]+Tabla1[[#This Row],[COSTO FLETE $ BOLSA 50 KG (IVA INC)]])</f>
        <v>27562.4726635775</v>
      </c>
      <c r="AD190" s="844">
        <f>-Tabla1[[#This Row],[PRECIO $ BOLSA 50 KG (IVA INC) ]]*(Tabla1[[#This Row],[TASA FINANCIACION MENSUAL]]/365)*Tabla1[[#This Row],[PLAZO ENTREGA VALORES]]</f>
        <v>326.2992058348151</v>
      </c>
      <c r="AE190" s="845">
        <f>SUM(Tabla1[[#This Row],[PRECIO $ BOLSA50 KG  FOB TUCUMAN A PLAZO (IVA INC)]]+Tabla1[[#This Row],[GASTOS FINANCIEROS $ BOLSA 50 KG (IVA INC)]])</f>
        <v>27888.771869412314</v>
      </c>
      <c r="AF190" s="828" t="s">
        <v>476</v>
      </c>
      <c r="AG190" s="828" t="s">
        <v>365</v>
      </c>
      <c r="AH190" s="828" t="s">
        <v>387</v>
      </c>
      <c r="AI190" s="828" t="s">
        <v>261</v>
      </c>
      <c r="AJ19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90" s="846">
        <f>SUM(Tabla1[[#This Row],[PRECIO $ BOLSA 50KG  FOB CDO TUC (IVA INC)]]-Tabla1[[#This Row],[PRECIO REF $ BOLSA 50 KG CACTU (IVA INC)]])</f>
        <v>-4626.2281305876859</v>
      </c>
      <c r="AL190" s="847">
        <f>IFERROR(Tabla1[[#This Row],[PRECIO $ BOLSA 50KG  FOB CDO TUC (IVA INC)]]/Tabla1[[#This Row],[PRECIO REF $ BOLSA 50 KG CACTU (IVA INC)]]-1,"")</f>
        <v>-0.14227981333500495</v>
      </c>
      <c r="AM190" s="846">
        <f>+Tabla1[[#This Row],[DIF $ PRECIO NETO INDUSTRIA vs Neto TUCUMAN (IVA INC)]]*Tabla1[[#This Row],[Q Bolsas Equivalentes 50kg]]</f>
        <v>-3238359.6914113802</v>
      </c>
      <c r="AN190" s="846">
        <f>Tabla1[[#This Row],[PRECIO REF $ BOLSA 50 KG CACTU (IVA INC)]]*Tabla1[[#This Row],[Q Bolsas Equivalentes 50kg]]</f>
        <v>22760500</v>
      </c>
      <c r="AO190" s="846">
        <f>+Tabla1[[#This Row],[PRECIO $ BOLSA 50KG  FOB CDO TUC (IVA INC)]]*Tabla1[[#This Row],[Q Bolsas Equivalentes 50kg]]</f>
        <v>19522140.30858862</v>
      </c>
      <c r="AP190" s="847">
        <v>2.9000000000000001E-2</v>
      </c>
      <c r="AQ190" s="846">
        <v>-68</v>
      </c>
      <c r="AR190" s="848"/>
      <c r="AS190" s="849"/>
      <c r="AT190" s="923">
        <f>+Tabla1[[#This Row],[VENTA TOTAL $ (IVA INC) ]]-(SUM(Tabla1[[#This Row],[PENDIENTE DE ENTREGA]:[VALORES COBRADOS]]))</f>
        <v>0</v>
      </c>
      <c r="AU190" s="850">
        <f>VLOOKUP(Tabla1[[#This Row],[FECHA OC]],'TIPO DE CAMBIO'!A:B,2,TRUE)</f>
        <v>1446.3009999999999</v>
      </c>
      <c r="AV190" s="850">
        <f>+Tabla1[[#This Row],[SUBTOTAL]]/Tabla1[[#This Row],[TIPO DE CAMBIO]]</f>
        <v>11025</v>
      </c>
      <c r="AW190" s="851"/>
      <c r="AX190" s="850">
        <f>IFERROR(Tabla1[[#This Row],[VENTA TOTAL USD A PLAZO EN CLIENTE  (SIN IVA)]]*(1+Tabla1[[#This Row],[% IVA ]]),"")</f>
        <v>11025</v>
      </c>
      <c r="AY190" s="850">
        <f>+Tabla1[[#This Row],[VENTA TOTAL USD A PLAZO EN CLIENTE  (SIN IVA)]]/Tabla1[[#This Row],[KGS]]*1000</f>
        <v>315</v>
      </c>
      <c r="AZ190" s="850">
        <v>0</v>
      </c>
      <c r="BA190" s="850">
        <f>+Tabla1[[#This Row],[GASTOS FINANCIEROS $ BOLSA 50 KG (IVA INC)]]*20/Tabla1[[#This Row],[TIPO DE CAMBIO]]</f>
        <v>4.5121894520547947</v>
      </c>
      <c r="BB190" s="850">
        <f>+Tabla1[[#This Row],[PRECIO POR TN USD EN CLIENTE A PLAZO (SIN IVA)]]+Tabla1[[#This Row],[COSTO USD FLETE /TN (SIN IVA)]]+Tabla1[[#This Row],[COSTO FINANCIERO USD POR BOLSA 50KG (IVA INC)]]</f>
        <v>319.51218945205477</v>
      </c>
      <c r="BC190" s="848">
        <v>5</v>
      </c>
      <c r="BD190" s="944"/>
    </row>
    <row r="191" spans="1:56" ht="15.75" customHeight="1">
      <c r="A191" s="912">
        <v>46174</v>
      </c>
      <c r="B191" s="828">
        <v>1</v>
      </c>
      <c r="C191" s="792" t="s">
        <v>406</v>
      </c>
      <c r="D191" s="829">
        <f>+Tabla1[[#This Row],[FECHA Entrega]]</f>
        <v>46201</v>
      </c>
      <c r="E191" s="830">
        <v>700000869</v>
      </c>
      <c r="F191" s="831" t="s">
        <v>358</v>
      </c>
      <c r="G191" s="832" t="s">
        <v>216</v>
      </c>
      <c r="H191" s="852">
        <v>46201</v>
      </c>
      <c r="I191" s="834">
        <f t="shared" si="84"/>
        <v>35000</v>
      </c>
      <c r="J191" s="835">
        <f>0.315*Tabla1[[#This Row],[TIPO DE CAMBIO]]</f>
        <v>455.58481499999999</v>
      </c>
      <c r="K191" s="836">
        <f t="shared" si="60"/>
        <v>15945468.525</v>
      </c>
      <c r="L19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91" s="837">
        <f t="shared" si="82"/>
        <v>19294016.91525</v>
      </c>
      <c r="N191" s="838"/>
      <c r="O191" s="838">
        <v>0</v>
      </c>
      <c r="P191" s="838">
        <v>0</v>
      </c>
      <c r="Q191" s="839">
        <f>+Tabla1[[#This Row],[VENTA TOTAL $ (IVA INC) ]]-Tabla1[[#This Row],[PENDIENTE DE COBRO]]</f>
        <v>19294016.91525</v>
      </c>
      <c r="R191" s="840">
        <f>+Tabla1[[#This Row],[FECHA FC]]+Tabla1[[#This Row],[PLAZO ENTREGA VALORES]]</f>
        <v>46051</v>
      </c>
      <c r="S191" s="840">
        <f>+Tabla1[[#This Row],[FECHA FC]]+Tabla1[[#This Row],[PLAZO PAGO (DIAS)]]</f>
        <v>46201</v>
      </c>
      <c r="T191" s="834">
        <f t="shared" ca="1" si="83"/>
        <v>20</v>
      </c>
      <c r="U191" s="831">
        <f>+Tabla1[[#This Row],[FECHA OC]]-Tabla1[[#This Row],[FECHA Entrega]]</f>
        <v>-150</v>
      </c>
      <c r="V191" s="831"/>
      <c r="W191" s="841">
        <f>+Tabla1[[#This Row],[FECHA VTO VALORES]]+7</f>
        <v>46208</v>
      </c>
      <c r="X191" s="831" t="s">
        <v>489</v>
      </c>
      <c r="Y191" s="840">
        <v>46051</v>
      </c>
      <c r="Z191" s="842">
        <f>Tabla1[[#This Row],[KGS]]/50</f>
        <v>700</v>
      </c>
      <c r="AA19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91" s="844">
        <f>-Tabla1[[#This Row],[COSTO FLETE $ POR BOLSA 5O KG (SIN IVA)]]*1.21-Tabla1[[#This Row],[PRECIO $/ KG A PLAZO EN CLIENTE ( SIN IVA)]]*0.003*1.21*50</f>
        <v>-0.40864392249999071</v>
      </c>
      <c r="AC191" s="845">
        <f>SUM(Tabla1[[#This Row],[PRECIO $ BOLSA 50 KG (IVA INC) ]]+Tabla1[[#This Row],[COSTO FLETE $ BOLSA 50 KG (IVA INC)]])</f>
        <v>27562.4726635775</v>
      </c>
      <c r="AD191" s="844">
        <f>-Tabla1[[#This Row],[PRECIO $ BOLSA 50 KG (IVA INC) ]]*(Tabla1[[#This Row],[TASA FINANCIACION MENSUAL]]/365)*Tabla1[[#This Row],[PLAZO ENTREGA VALORES]]</f>
        <v>328.48913339075341</v>
      </c>
      <c r="AE191" s="845">
        <f>SUM(Tabla1[[#This Row],[PRECIO $ BOLSA50 KG  FOB TUCUMAN A PLAZO (IVA INC)]]+Tabla1[[#This Row],[GASTOS FINANCIEROS $ BOLSA 50 KG (IVA INC)]])</f>
        <v>27890.961796968255</v>
      </c>
      <c r="AF191" s="828" t="s">
        <v>476</v>
      </c>
      <c r="AG191" s="828" t="s">
        <v>365</v>
      </c>
      <c r="AH191" s="828" t="s">
        <v>387</v>
      </c>
      <c r="AI191" s="828" t="s">
        <v>261</v>
      </c>
      <c r="AJ19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91" s="846">
        <f>SUM(Tabla1[[#This Row],[PRECIO $ BOLSA 50KG  FOB CDO TUC (IVA INC)]]-Tabla1[[#This Row],[PRECIO REF $ BOLSA 50 KG CACTU (IVA INC)]])</f>
        <v>-4624.0382030317451</v>
      </c>
      <c r="AL191" s="847">
        <f>IFERROR(Tabla1[[#This Row],[PRECIO $ BOLSA 50KG  FOB CDO TUC (IVA INC)]]/Tabla1[[#This Row],[PRECIO REF $ BOLSA 50 KG CACTU (IVA INC)]]-1,"")</f>
        <v>-0.14221246203388416</v>
      </c>
      <c r="AM191" s="846">
        <f>+Tabla1[[#This Row],[DIF $ PRECIO NETO INDUSTRIA vs Neto TUCUMAN (IVA INC)]]*Tabla1[[#This Row],[Q Bolsas Equivalentes 50kg]]</f>
        <v>-3236826.7421222217</v>
      </c>
      <c r="AN191" s="846">
        <f>Tabla1[[#This Row],[PRECIO REF $ BOLSA 50 KG CACTU (IVA INC)]]*Tabla1[[#This Row],[Q Bolsas Equivalentes 50kg]]</f>
        <v>22760500</v>
      </c>
      <c r="AO191" s="846">
        <f>+Tabla1[[#This Row],[PRECIO $ BOLSA 50KG  FOB CDO TUC (IVA INC)]]*Tabla1[[#This Row],[Q Bolsas Equivalentes 50kg]]</f>
        <v>19523673.257877778</v>
      </c>
      <c r="AP191" s="847">
        <v>2.9000000000000001E-2</v>
      </c>
      <c r="AQ191" s="846">
        <v>-68</v>
      </c>
      <c r="AR191" s="848"/>
      <c r="AS191" s="849"/>
      <c r="AT191" s="923">
        <f>+Tabla1[[#This Row],[VENTA TOTAL $ (IVA INC) ]]-(SUM(Tabla1[[#This Row],[PENDIENTE DE ENTREGA]:[VALORES COBRADOS]]))</f>
        <v>0</v>
      </c>
      <c r="AU191" s="850">
        <f>VLOOKUP(Tabla1[[#This Row],[FECHA OC]],'TIPO DE CAMBIO'!A:B,2,TRUE)</f>
        <v>1446.3009999999999</v>
      </c>
      <c r="AV191" s="850">
        <f>+Tabla1[[#This Row],[SUBTOTAL]]/Tabla1[[#This Row],[TIPO DE CAMBIO]]</f>
        <v>11025</v>
      </c>
      <c r="AW191" s="851"/>
      <c r="AX191" s="850">
        <f>IFERROR(Tabla1[[#This Row],[VENTA TOTAL USD A PLAZO EN CLIENTE  (SIN IVA)]]*(1+Tabla1[[#This Row],[% IVA ]]),"")</f>
        <v>11025</v>
      </c>
      <c r="AY191" s="850">
        <f>+Tabla1[[#This Row],[VENTA TOTAL USD A PLAZO EN CLIENTE  (SIN IVA)]]/Tabla1[[#This Row],[KGS]]*1000</f>
        <v>315</v>
      </c>
      <c r="AZ191" s="850">
        <v>0</v>
      </c>
      <c r="BA191" s="850">
        <f>+Tabla1[[#This Row],[GASTOS FINANCIEROS $ BOLSA 50 KG (IVA INC)]]*20/Tabla1[[#This Row],[TIPO DE CAMBIO]]</f>
        <v>4.5424726027397266</v>
      </c>
      <c r="BB191" s="850">
        <f>+Tabla1[[#This Row],[PRECIO POR TN USD EN CLIENTE A PLAZO (SIN IVA)]]+Tabla1[[#This Row],[COSTO USD FLETE /TN (SIN IVA)]]+Tabla1[[#This Row],[COSTO FINANCIERO USD POR BOLSA 50KG (IVA INC)]]</f>
        <v>319.54247260273974</v>
      </c>
      <c r="BC191" s="848">
        <v>5</v>
      </c>
      <c r="BD191" s="944"/>
    </row>
    <row r="192" spans="1:56" ht="15.75" customHeight="1">
      <c r="A192" s="912">
        <v>46174</v>
      </c>
      <c r="B192" s="828">
        <v>1</v>
      </c>
      <c r="C192" s="792" t="s">
        <v>406</v>
      </c>
      <c r="D192" s="829">
        <f>+Tabla1[[#This Row],[FECHA Entrega]]</f>
        <v>46201</v>
      </c>
      <c r="E192" s="830">
        <v>700000869</v>
      </c>
      <c r="F192" s="831" t="s">
        <v>358</v>
      </c>
      <c r="G192" s="832" t="s">
        <v>216</v>
      </c>
      <c r="H192" s="852">
        <v>46201</v>
      </c>
      <c r="I192" s="834">
        <f t="shared" si="84"/>
        <v>35000</v>
      </c>
      <c r="J192" s="835">
        <f>0.315*Tabla1[[#This Row],[TIPO DE CAMBIO]]</f>
        <v>455.58481499999999</v>
      </c>
      <c r="K192" s="836">
        <f t="shared" si="60"/>
        <v>15945468.525</v>
      </c>
      <c r="L19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92" s="837">
        <f t="shared" si="82"/>
        <v>19294016.91525</v>
      </c>
      <c r="N192" s="838"/>
      <c r="O192" s="838">
        <v>0</v>
      </c>
      <c r="P192" s="838">
        <v>0</v>
      </c>
      <c r="Q192" s="839">
        <f>+Tabla1[[#This Row],[VENTA TOTAL $ (IVA INC) ]]-Tabla1[[#This Row],[PENDIENTE DE COBRO]]</f>
        <v>19294016.91525</v>
      </c>
      <c r="R192" s="840">
        <f>+Tabla1[[#This Row],[FECHA FC]]+Tabla1[[#This Row],[PLAZO ENTREGA VALORES]]</f>
        <v>46051</v>
      </c>
      <c r="S192" s="840">
        <f>+Tabla1[[#This Row],[FECHA FC]]+Tabla1[[#This Row],[PLAZO PAGO (DIAS)]]</f>
        <v>46201</v>
      </c>
      <c r="T192" s="834">
        <f t="shared" ca="1" si="83"/>
        <v>20</v>
      </c>
      <c r="U192" s="831">
        <f>+Tabla1[[#This Row],[FECHA OC]]-Tabla1[[#This Row],[FECHA Entrega]]</f>
        <v>-150</v>
      </c>
      <c r="V192" s="831"/>
      <c r="W192" s="841">
        <f>+Tabla1[[#This Row],[FECHA VTO VALORES]]+7</f>
        <v>46208</v>
      </c>
      <c r="X192" s="831" t="s">
        <v>489</v>
      </c>
      <c r="Y192" s="840">
        <v>46051</v>
      </c>
      <c r="Z192" s="842">
        <f>Tabla1[[#This Row],[KGS]]/50</f>
        <v>700</v>
      </c>
      <c r="AA19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92" s="844">
        <f>-Tabla1[[#This Row],[COSTO FLETE $ POR BOLSA 5O KG (SIN IVA)]]*1.21-Tabla1[[#This Row],[PRECIO $/ KG A PLAZO EN CLIENTE ( SIN IVA)]]*0.003*1.21*50</f>
        <v>-0.40864392249999071</v>
      </c>
      <c r="AC192" s="845">
        <f>SUM(Tabla1[[#This Row],[PRECIO $ BOLSA 50 KG (IVA INC) ]]+Tabla1[[#This Row],[COSTO FLETE $ BOLSA 50 KG (IVA INC)]])</f>
        <v>27562.4726635775</v>
      </c>
      <c r="AD192" s="844">
        <f>-Tabla1[[#This Row],[PRECIO $ BOLSA 50 KG (IVA INC) ]]*(Tabla1[[#This Row],[TASA FINANCIACION MENSUAL]]/365)*Tabla1[[#This Row],[PLAZO ENTREGA VALORES]]</f>
        <v>328.48913339075341</v>
      </c>
      <c r="AE192" s="845">
        <f>SUM(Tabla1[[#This Row],[PRECIO $ BOLSA50 KG  FOB TUCUMAN A PLAZO (IVA INC)]]+Tabla1[[#This Row],[GASTOS FINANCIEROS $ BOLSA 50 KG (IVA INC)]])</f>
        <v>27890.961796968255</v>
      </c>
      <c r="AF192" s="828" t="s">
        <v>476</v>
      </c>
      <c r="AG192" s="828" t="s">
        <v>365</v>
      </c>
      <c r="AH192" s="828" t="s">
        <v>387</v>
      </c>
      <c r="AI192" s="828" t="s">
        <v>261</v>
      </c>
      <c r="AJ19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92" s="846">
        <f>SUM(Tabla1[[#This Row],[PRECIO $ BOLSA 50KG  FOB CDO TUC (IVA INC)]]-Tabla1[[#This Row],[PRECIO REF $ BOLSA 50 KG CACTU (IVA INC)]])</f>
        <v>-4624.0382030317451</v>
      </c>
      <c r="AL192" s="847">
        <f>IFERROR(Tabla1[[#This Row],[PRECIO $ BOLSA 50KG  FOB CDO TUC (IVA INC)]]/Tabla1[[#This Row],[PRECIO REF $ BOLSA 50 KG CACTU (IVA INC)]]-1,"")</f>
        <v>-0.14221246203388416</v>
      </c>
      <c r="AM192" s="846">
        <f>+Tabla1[[#This Row],[DIF $ PRECIO NETO INDUSTRIA vs Neto TUCUMAN (IVA INC)]]*Tabla1[[#This Row],[Q Bolsas Equivalentes 50kg]]</f>
        <v>-3236826.7421222217</v>
      </c>
      <c r="AN192" s="846">
        <f>Tabla1[[#This Row],[PRECIO REF $ BOLSA 50 KG CACTU (IVA INC)]]*Tabla1[[#This Row],[Q Bolsas Equivalentes 50kg]]</f>
        <v>22760500</v>
      </c>
      <c r="AO192" s="846">
        <f>+Tabla1[[#This Row],[PRECIO $ BOLSA 50KG  FOB CDO TUC (IVA INC)]]*Tabla1[[#This Row],[Q Bolsas Equivalentes 50kg]]</f>
        <v>19523673.257877778</v>
      </c>
      <c r="AP192" s="847">
        <v>2.9000000000000001E-2</v>
      </c>
      <c r="AQ192" s="846">
        <v>-68</v>
      </c>
      <c r="AR192" s="848"/>
      <c r="AS192" s="849"/>
      <c r="AT192" s="923">
        <f>+Tabla1[[#This Row],[VENTA TOTAL $ (IVA INC) ]]-(SUM(Tabla1[[#This Row],[PENDIENTE DE ENTREGA]:[VALORES COBRADOS]]))</f>
        <v>0</v>
      </c>
      <c r="AU192" s="850">
        <f>VLOOKUP(Tabla1[[#This Row],[FECHA OC]],'TIPO DE CAMBIO'!A:B,2,TRUE)</f>
        <v>1446.3009999999999</v>
      </c>
      <c r="AV192" s="850">
        <f>+Tabla1[[#This Row],[SUBTOTAL]]/Tabla1[[#This Row],[TIPO DE CAMBIO]]</f>
        <v>11025</v>
      </c>
      <c r="AW192" s="851"/>
      <c r="AX192" s="850">
        <f>IFERROR(Tabla1[[#This Row],[VENTA TOTAL USD A PLAZO EN CLIENTE  (SIN IVA)]]*(1+Tabla1[[#This Row],[% IVA ]]),"")</f>
        <v>11025</v>
      </c>
      <c r="AY192" s="850">
        <f>+Tabla1[[#This Row],[VENTA TOTAL USD A PLAZO EN CLIENTE  (SIN IVA)]]/Tabla1[[#This Row],[KGS]]*1000</f>
        <v>315</v>
      </c>
      <c r="AZ192" s="850">
        <v>0</v>
      </c>
      <c r="BA192" s="850">
        <f>+Tabla1[[#This Row],[GASTOS FINANCIEROS $ BOLSA 50 KG (IVA INC)]]*20/Tabla1[[#This Row],[TIPO DE CAMBIO]]</f>
        <v>4.5424726027397266</v>
      </c>
      <c r="BB192" s="850">
        <f>+Tabla1[[#This Row],[PRECIO POR TN USD EN CLIENTE A PLAZO (SIN IVA)]]+Tabla1[[#This Row],[COSTO USD FLETE /TN (SIN IVA)]]+Tabla1[[#This Row],[COSTO FINANCIERO USD POR BOLSA 50KG (IVA INC)]]</f>
        <v>319.54247260273974</v>
      </c>
      <c r="BC192" s="848">
        <v>5</v>
      </c>
      <c r="BD192" s="944"/>
    </row>
    <row r="193" spans="1:56" ht="15.75" customHeight="1">
      <c r="A193" s="912">
        <v>46174</v>
      </c>
      <c r="B193" s="828">
        <v>1</v>
      </c>
      <c r="C193" s="792" t="s">
        <v>406</v>
      </c>
      <c r="D193" s="829">
        <f>+Tabla1[[#This Row],[FECHA Entrega]]</f>
        <v>46202</v>
      </c>
      <c r="E193" s="830">
        <v>700000869</v>
      </c>
      <c r="F193" s="831" t="s">
        <v>358</v>
      </c>
      <c r="G193" s="832" t="s">
        <v>216</v>
      </c>
      <c r="H193" s="852">
        <v>46202</v>
      </c>
      <c r="I193" s="834">
        <f t="shared" si="84"/>
        <v>35000</v>
      </c>
      <c r="J193" s="835">
        <f>0.315*Tabla1[[#This Row],[TIPO DE CAMBIO]]</f>
        <v>455.58481499999999</v>
      </c>
      <c r="K193" s="836">
        <f t="shared" si="60"/>
        <v>15945468.525</v>
      </c>
      <c r="L19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93" s="837">
        <f t="shared" si="82"/>
        <v>19294016.91525</v>
      </c>
      <c r="N193" s="838"/>
      <c r="O193" s="838">
        <v>0</v>
      </c>
      <c r="P193" s="838">
        <v>0</v>
      </c>
      <c r="Q193" s="839">
        <f>+Tabla1[[#This Row],[VENTA TOTAL $ (IVA INC) ]]-Tabla1[[#This Row],[PENDIENTE DE COBRO]]</f>
        <v>19294016.91525</v>
      </c>
      <c r="R193" s="840">
        <f>+Tabla1[[#This Row],[FECHA FC]]+Tabla1[[#This Row],[PLAZO ENTREGA VALORES]]</f>
        <v>46051</v>
      </c>
      <c r="S193" s="840">
        <f>+Tabla1[[#This Row],[FECHA FC]]+Tabla1[[#This Row],[PLAZO PAGO (DIAS)]]</f>
        <v>46202</v>
      </c>
      <c r="T193" s="834">
        <f t="shared" ca="1" si="83"/>
        <v>21</v>
      </c>
      <c r="U193" s="831">
        <f>+Tabla1[[#This Row],[FECHA OC]]-Tabla1[[#This Row],[FECHA Entrega]]</f>
        <v>-151</v>
      </c>
      <c r="V193" s="831"/>
      <c r="W193" s="841">
        <f>+Tabla1[[#This Row],[FECHA VTO VALORES]]+7</f>
        <v>46209</v>
      </c>
      <c r="X193" s="831" t="s">
        <v>489</v>
      </c>
      <c r="Y193" s="840">
        <v>46051</v>
      </c>
      <c r="Z193" s="842">
        <f>Tabla1[[#This Row],[KGS]]/50</f>
        <v>700</v>
      </c>
      <c r="AA19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93" s="844">
        <f>-Tabla1[[#This Row],[COSTO FLETE $ POR BOLSA 5O KG (SIN IVA)]]*1.21-Tabla1[[#This Row],[PRECIO $/ KG A PLAZO EN CLIENTE ( SIN IVA)]]*0.003*1.21*50</f>
        <v>-0.40864392249999071</v>
      </c>
      <c r="AC193" s="845">
        <f>SUM(Tabla1[[#This Row],[PRECIO $ BOLSA 50 KG (IVA INC) ]]+Tabla1[[#This Row],[COSTO FLETE $ BOLSA 50 KG (IVA INC)]])</f>
        <v>27562.4726635775</v>
      </c>
      <c r="AD193" s="844">
        <f>-Tabla1[[#This Row],[PRECIO $ BOLSA 50 KG (IVA INC) ]]*(Tabla1[[#This Row],[TASA FINANCIACION MENSUAL]]/365)*Tabla1[[#This Row],[PLAZO ENTREGA VALORES]]</f>
        <v>330.67906094669178</v>
      </c>
      <c r="AE193" s="845">
        <f>SUM(Tabla1[[#This Row],[PRECIO $ BOLSA50 KG  FOB TUCUMAN A PLAZO (IVA INC)]]+Tabla1[[#This Row],[GASTOS FINANCIEROS $ BOLSA 50 KG (IVA INC)]])</f>
        <v>27893.151724524192</v>
      </c>
      <c r="AF193" s="828" t="s">
        <v>476</v>
      </c>
      <c r="AG193" s="828" t="s">
        <v>365</v>
      </c>
      <c r="AH193" s="828" t="s">
        <v>387</v>
      </c>
      <c r="AI193" s="828" t="s">
        <v>261</v>
      </c>
      <c r="AJ19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93" s="846">
        <f>SUM(Tabla1[[#This Row],[PRECIO $ BOLSA 50KG  FOB CDO TUC (IVA INC)]]-Tabla1[[#This Row],[PRECIO REF $ BOLSA 50 KG CACTU (IVA INC)]])</f>
        <v>-4621.8482754758079</v>
      </c>
      <c r="AL193" s="847">
        <f>IFERROR(Tabla1[[#This Row],[PRECIO $ BOLSA 50KG  FOB CDO TUC (IVA INC)]]/Tabla1[[#This Row],[PRECIO REF $ BOLSA 50 KG CACTU (IVA INC)]]-1,"")</f>
        <v>-0.14214511073276359</v>
      </c>
      <c r="AM193" s="846">
        <f>+Tabla1[[#This Row],[DIF $ PRECIO NETO INDUSTRIA vs Neto TUCUMAN (IVA INC)]]*Tabla1[[#This Row],[Q Bolsas Equivalentes 50kg]]</f>
        <v>-3235293.7928330656</v>
      </c>
      <c r="AN193" s="846">
        <f>Tabla1[[#This Row],[PRECIO REF $ BOLSA 50 KG CACTU (IVA INC)]]*Tabla1[[#This Row],[Q Bolsas Equivalentes 50kg]]</f>
        <v>22760500</v>
      </c>
      <c r="AO193" s="846">
        <f>+Tabla1[[#This Row],[PRECIO $ BOLSA 50KG  FOB CDO TUC (IVA INC)]]*Tabla1[[#This Row],[Q Bolsas Equivalentes 50kg]]</f>
        <v>19525206.207166936</v>
      </c>
      <c r="AP193" s="847">
        <v>2.9000000000000001E-2</v>
      </c>
      <c r="AQ193" s="846">
        <v>-68</v>
      </c>
      <c r="AR193" s="848"/>
      <c r="AS193" s="849"/>
      <c r="AT193" s="923">
        <f>+Tabla1[[#This Row],[VENTA TOTAL $ (IVA INC) ]]-(SUM(Tabla1[[#This Row],[PENDIENTE DE ENTREGA]:[VALORES COBRADOS]]))</f>
        <v>0</v>
      </c>
      <c r="AU193" s="850">
        <f>VLOOKUP(Tabla1[[#This Row],[FECHA OC]],'TIPO DE CAMBIO'!A:B,2,TRUE)</f>
        <v>1446.3009999999999</v>
      </c>
      <c r="AV193" s="850">
        <f>+Tabla1[[#This Row],[SUBTOTAL]]/Tabla1[[#This Row],[TIPO DE CAMBIO]]</f>
        <v>11025</v>
      </c>
      <c r="AW193" s="851"/>
      <c r="AX193" s="850">
        <f>IFERROR(Tabla1[[#This Row],[VENTA TOTAL USD A PLAZO EN CLIENTE  (SIN IVA)]]*(1+Tabla1[[#This Row],[% IVA ]]),"")</f>
        <v>11025</v>
      </c>
      <c r="AY193" s="850">
        <f>+Tabla1[[#This Row],[VENTA TOTAL USD A PLAZO EN CLIENTE  (SIN IVA)]]/Tabla1[[#This Row],[KGS]]*1000</f>
        <v>315</v>
      </c>
      <c r="AZ193" s="850">
        <v>0</v>
      </c>
      <c r="BA193" s="850">
        <f>+Tabla1[[#This Row],[GASTOS FINANCIEROS $ BOLSA 50 KG (IVA INC)]]*20/Tabla1[[#This Row],[TIPO DE CAMBIO]]</f>
        <v>4.5727557534246577</v>
      </c>
      <c r="BB193" s="850">
        <f>+Tabla1[[#This Row],[PRECIO POR TN USD EN CLIENTE A PLAZO (SIN IVA)]]+Tabla1[[#This Row],[COSTO USD FLETE /TN (SIN IVA)]]+Tabla1[[#This Row],[COSTO FINANCIERO USD POR BOLSA 50KG (IVA INC)]]</f>
        <v>319.57275575342464</v>
      </c>
      <c r="BC193" s="848">
        <v>5</v>
      </c>
      <c r="BD193" s="944"/>
    </row>
    <row r="194" spans="1:56" ht="15.75" customHeight="1">
      <c r="A194" s="912">
        <v>46174</v>
      </c>
      <c r="B194" s="828">
        <v>1</v>
      </c>
      <c r="C194" s="792" t="s">
        <v>406</v>
      </c>
      <c r="D194" s="829">
        <f>+Tabla1[[#This Row],[FECHA Entrega]]</f>
        <v>46202</v>
      </c>
      <c r="E194" s="830">
        <v>700000869</v>
      </c>
      <c r="F194" s="831" t="s">
        <v>358</v>
      </c>
      <c r="G194" s="832" t="s">
        <v>216</v>
      </c>
      <c r="H194" s="852">
        <v>46202</v>
      </c>
      <c r="I194" s="834">
        <f t="shared" si="84"/>
        <v>35000</v>
      </c>
      <c r="J194" s="835">
        <f>0.315*Tabla1[[#This Row],[TIPO DE CAMBIO]]</f>
        <v>455.58481499999999</v>
      </c>
      <c r="K194" s="836">
        <f t="shared" si="60"/>
        <v>15945468.525</v>
      </c>
      <c r="L19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94" s="837">
        <f t="shared" si="82"/>
        <v>19294016.91525</v>
      </c>
      <c r="N194" s="838"/>
      <c r="O194" s="838">
        <v>0</v>
      </c>
      <c r="P194" s="838">
        <v>0</v>
      </c>
      <c r="Q194" s="839">
        <f>+Tabla1[[#This Row],[VENTA TOTAL $ (IVA INC) ]]-Tabla1[[#This Row],[PENDIENTE DE COBRO]]</f>
        <v>19294016.91525</v>
      </c>
      <c r="R194" s="840">
        <f>+Tabla1[[#This Row],[FECHA FC]]+Tabla1[[#This Row],[PLAZO ENTREGA VALORES]]</f>
        <v>46051</v>
      </c>
      <c r="S194" s="840">
        <f>+Tabla1[[#This Row],[FECHA FC]]+Tabla1[[#This Row],[PLAZO PAGO (DIAS)]]</f>
        <v>46202</v>
      </c>
      <c r="T194" s="834">
        <f t="shared" ca="1" si="83"/>
        <v>21</v>
      </c>
      <c r="U194" s="831">
        <f>+Tabla1[[#This Row],[FECHA OC]]-Tabla1[[#This Row],[FECHA Entrega]]</f>
        <v>-151</v>
      </c>
      <c r="V194" s="831"/>
      <c r="W194" s="841">
        <f>+Tabla1[[#This Row],[FECHA VTO VALORES]]+7</f>
        <v>46209</v>
      </c>
      <c r="X194" s="831" t="s">
        <v>489</v>
      </c>
      <c r="Y194" s="840">
        <v>46051</v>
      </c>
      <c r="Z194" s="842">
        <f>Tabla1[[#This Row],[KGS]]/50</f>
        <v>700</v>
      </c>
      <c r="AA19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94" s="844">
        <f>-Tabla1[[#This Row],[COSTO FLETE $ POR BOLSA 5O KG (SIN IVA)]]*1.21-Tabla1[[#This Row],[PRECIO $/ KG A PLAZO EN CLIENTE ( SIN IVA)]]*0.003*1.21*50</f>
        <v>-0.40864392249999071</v>
      </c>
      <c r="AC194" s="845">
        <f>SUM(Tabla1[[#This Row],[PRECIO $ BOLSA 50 KG (IVA INC) ]]+Tabla1[[#This Row],[COSTO FLETE $ BOLSA 50 KG (IVA INC)]])</f>
        <v>27562.4726635775</v>
      </c>
      <c r="AD194" s="844">
        <f>-Tabla1[[#This Row],[PRECIO $ BOLSA 50 KG (IVA INC) ]]*(Tabla1[[#This Row],[TASA FINANCIACION MENSUAL]]/365)*Tabla1[[#This Row],[PLAZO ENTREGA VALORES]]</f>
        <v>330.67906094669178</v>
      </c>
      <c r="AE194" s="845">
        <f>SUM(Tabla1[[#This Row],[PRECIO $ BOLSA50 KG  FOB TUCUMAN A PLAZO (IVA INC)]]+Tabla1[[#This Row],[GASTOS FINANCIEROS $ BOLSA 50 KG (IVA INC)]])</f>
        <v>27893.151724524192</v>
      </c>
      <c r="AF194" s="828" t="s">
        <v>476</v>
      </c>
      <c r="AG194" s="828" t="s">
        <v>365</v>
      </c>
      <c r="AH194" s="828" t="s">
        <v>387</v>
      </c>
      <c r="AI194" s="828" t="s">
        <v>261</v>
      </c>
      <c r="AJ19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94" s="846">
        <f>SUM(Tabla1[[#This Row],[PRECIO $ BOLSA 50KG  FOB CDO TUC (IVA INC)]]-Tabla1[[#This Row],[PRECIO REF $ BOLSA 50 KG CACTU (IVA INC)]])</f>
        <v>-4621.8482754758079</v>
      </c>
      <c r="AL194" s="847">
        <f>IFERROR(Tabla1[[#This Row],[PRECIO $ BOLSA 50KG  FOB CDO TUC (IVA INC)]]/Tabla1[[#This Row],[PRECIO REF $ BOLSA 50 KG CACTU (IVA INC)]]-1,"")</f>
        <v>-0.14214511073276359</v>
      </c>
      <c r="AM194" s="846">
        <f>+Tabla1[[#This Row],[DIF $ PRECIO NETO INDUSTRIA vs Neto TUCUMAN (IVA INC)]]*Tabla1[[#This Row],[Q Bolsas Equivalentes 50kg]]</f>
        <v>-3235293.7928330656</v>
      </c>
      <c r="AN194" s="846">
        <f>Tabla1[[#This Row],[PRECIO REF $ BOLSA 50 KG CACTU (IVA INC)]]*Tabla1[[#This Row],[Q Bolsas Equivalentes 50kg]]</f>
        <v>22760500</v>
      </c>
      <c r="AO194" s="846">
        <f>+Tabla1[[#This Row],[PRECIO $ BOLSA 50KG  FOB CDO TUC (IVA INC)]]*Tabla1[[#This Row],[Q Bolsas Equivalentes 50kg]]</f>
        <v>19525206.207166936</v>
      </c>
      <c r="AP194" s="847">
        <v>2.9000000000000001E-2</v>
      </c>
      <c r="AQ194" s="846">
        <v>-68</v>
      </c>
      <c r="AR194" s="848"/>
      <c r="AS194" s="849"/>
      <c r="AT194" s="923">
        <f>+Tabla1[[#This Row],[VENTA TOTAL $ (IVA INC) ]]-(SUM(Tabla1[[#This Row],[PENDIENTE DE ENTREGA]:[VALORES COBRADOS]]))</f>
        <v>0</v>
      </c>
      <c r="AU194" s="850">
        <f>VLOOKUP(Tabla1[[#This Row],[FECHA OC]],'TIPO DE CAMBIO'!A:B,2,TRUE)</f>
        <v>1446.3009999999999</v>
      </c>
      <c r="AV194" s="850">
        <f>+Tabla1[[#This Row],[SUBTOTAL]]/Tabla1[[#This Row],[TIPO DE CAMBIO]]</f>
        <v>11025</v>
      </c>
      <c r="AW194" s="851"/>
      <c r="AX194" s="850">
        <f>IFERROR(Tabla1[[#This Row],[VENTA TOTAL USD A PLAZO EN CLIENTE  (SIN IVA)]]*(1+Tabla1[[#This Row],[% IVA ]]),"")</f>
        <v>11025</v>
      </c>
      <c r="AY194" s="850">
        <f>+Tabla1[[#This Row],[VENTA TOTAL USD A PLAZO EN CLIENTE  (SIN IVA)]]/Tabla1[[#This Row],[KGS]]*1000</f>
        <v>315</v>
      </c>
      <c r="AZ194" s="850">
        <v>0</v>
      </c>
      <c r="BA194" s="850">
        <f>+Tabla1[[#This Row],[GASTOS FINANCIEROS $ BOLSA 50 KG (IVA INC)]]*20/Tabla1[[#This Row],[TIPO DE CAMBIO]]</f>
        <v>4.5727557534246577</v>
      </c>
      <c r="BB194" s="850">
        <f>+Tabla1[[#This Row],[PRECIO POR TN USD EN CLIENTE A PLAZO (SIN IVA)]]+Tabla1[[#This Row],[COSTO USD FLETE /TN (SIN IVA)]]+Tabla1[[#This Row],[COSTO FINANCIERO USD POR BOLSA 50KG (IVA INC)]]</f>
        <v>319.57275575342464</v>
      </c>
      <c r="BC194" s="848">
        <v>5</v>
      </c>
      <c r="BD194" s="944"/>
    </row>
    <row r="195" spans="1:56" ht="15.75" customHeight="1">
      <c r="A195" s="912">
        <v>46174</v>
      </c>
      <c r="B195" s="828">
        <v>1</v>
      </c>
      <c r="C195" s="792" t="s">
        <v>406</v>
      </c>
      <c r="D195" s="829">
        <f>+Tabla1[[#This Row],[FECHA Entrega]]</f>
        <v>46202</v>
      </c>
      <c r="E195" s="830">
        <v>700000869</v>
      </c>
      <c r="F195" s="831" t="s">
        <v>358</v>
      </c>
      <c r="G195" s="832" t="s">
        <v>216</v>
      </c>
      <c r="H195" s="852">
        <v>46202</v>
      </c>
      <c r="I195" s="834">
        <f t="shared" si="84"/>
        <v>35000</v>
      </c>
      <c r="J195" s="835">
        <f>0.315*Tabla1[[#This Row],[TIPO DE CAMBIO]]</f>
        <v>455.58481499999999</v>
      </c>
      <c r="K195" s="836">
        <f t="shared" si="60"/>
        <v>15945468.525</v>
      </c>
      <c r="L19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95" s="837">
        <f t="shared" si="82"/>
        <v>19294016.91525</v>
      </c>
      <c r="N195" s="838"/>
      <c r="O195" s="838">
        <v>0</v>
      </c>
      <c r="P195" s="838">
        <v>0</v>
      </c>
      <c r="Q195" s="839">
        <f>+Tabla1[[#This Row],[VENTA TOTAL $ (IVA INC) ]]-Tabla1[[#This Row],[PENDIENTE DE COBRO]]</f>
        <v>19294016.91525</v>
      </c>
      <c r="R195" s="840">
        <f>+Tabla1[[#This Row],[FECHA FC]]+Tabla1[[#This Row],[PLAZO ENTREGA VALORES]]</f>
        <v>46051</v>
      </c>
      <c r="S195" s="840">
        <f>+Tabla1[[#This Row],[FECHA FC]]+Tabla1[[#This Row],[PLAZO PAGO (DIAS)]]</f>
        <v>46202</v>
      </c>
      <c r="T195" s="834">
        <f t="shared" ca="1" si="83"/>
        <v>21</v>
      </c>
      <c r="U195" s="831">
        <f>+Tabla1[[#This Row],[FECHA OC]]-Tabla1[[#This Row],[FECHA Entrega]]</f>
        <v>-151</v>
      </c>
      <c r="V195" s="831"/>
      <c r="W195" s="841">
        <f>+Tabla1[[#This Row],[FECHA VTO VALORES]]+7</f>
        <v>46209</v>
      </c>
      <c r="X195" s="831" t="s">
        <v>489</v>
      </c>
      <c r="Y195" s="840">
        <v>46051</v>
      </c>
      <c r="Z195" s="842">
        <f>Tabla1[[#This Row],[KGS]]/50</f>
        <v>700</v>
      </c>
      <c r="AA19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95" s="844">
        <f>-Tabla1[[#This Row],[COSTO FLETE $ POR BOLSA 5O KG (SIN IVA)]]*1.21-Tabla1[[#This Row],[PRECIO $/ KG A PLAZO EN CLIENTE ( SIN IVA)]]*0.003*1.21*50</f>
        <v>-0.40864392249999071</v>
      </c>
      <c r="AC195" s="845">
        <f>SUM(Tabla1[[#This Row],[PRECIO $ BOLSA 50 KG (IVA INC) ]]+Tabla1[[#This Row],[COSTO FLETE $ BOLSA 50 KG (IVA INC)]])</f>
        <v>27562.4726635775</v>
      </c>
      <c r="AD195" s="844">
        <f>-Tabla1[[#This Row],[PRECIO $ BOLSA 50 KG (IVA INC) ]]*(Tabla1[[#This Row],[TASA FINANCIACION MENSUAL]]/365)*Tabla1[[#This Row],[PLAZO ENTREGA VALORES]]</f>
        <v>330.67906094669178</v>
      </c>
      <c r="AE195" s="845">
        <f>SUM(Tabla1[[#This Row],[PRECIO $ BOLSA50 KG  FOB TUCUMAN A PLAZO (IVA INC)]]+Tabla1[[#This Row],[GASTOS FINANCIEROS $ BOLSA 50 KG (IVA INC)]])</f>
        <v>27893.151724524192</v>
      </c>
      <c r="AF195" s="828" t="s">
        <v>476</v>
      </c>
      <c r="AG195" s="828" t="s">
        <v>365</v>
      </c>
      <c r="AH195" s="828" t="s">
        <v>387</v>
      </c>
      <c r="AI195" s="828" t="s">
        <v>261</v>
      </c>
      <c r="AJ19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95" s="846">
        <f>SUM(Tabla1[[#This Row],[PRECIO $ BOLSA 50KG  FOB CDO TUC (IVA INC)]]-Tabla1[[#This Row],[PRECIO REF $ BOLSA 50 KG CACTU (IVA INC)]])</f>
        <v>-4621.8482754758079</v>
      </c>
      <c r="AL195" s="847">
        <f>IFERROR(Tabla1[[#This Row],[PRECIO $ BOLSA 50KG  FOB CDO TUC (IVA INC)]]/Tabla1[[#This Row],[PRECIO REF $ BOLSA 50 KG CACTU (IVA INC)]]-1,"")</f>
        <v>-0.14214511073276359</v>
      </c>
      <c r="AM195" s="846">
        <f>+Tabla1[[#This Row],[DIF $ PRECIO NETO INDUSTRIA vs Neto TUCUMAN (IVA INC)]]*Tabla1[[#This Row],[Q Bolsas Equivalentes 50kg]]</f>
        <v>-3235293.7928330656</v>
      </c>
      <c r="AN195" s="846">
        <f>Tabla1[[#This Row],[PRECIO REF $ BOLSA 50 KG CACTU (IVA INC)]]*Tabla1[[#This Row],[Q Bolsas Equivalentes 50kg]]</f>
        <v>22760500</v>
      </c>
      <c r="AO195" s="846">
        <f>+Tabla1[[#This Row],[PRECIO $ BOLSA 50KG  FOB CDO TUC (IVA INC)]]*Tabla1[[#This Row],[Q Bolsas Equivalentes 50kg]]</f>
        <v>19525206.207166936</v>
      </c>
      <c r="AP195" s="847">
        <v>2.9000000000000001E-2</v>
      </c>
      <c r="AQ195" s="846">
        <v>-68</v>
      </c>
      <c r="AR195" s="848"/>
      <c r="AS195" s="849"/>
      <c r="AT195" s="923">
        <f>+Tabla1[[#This Row],[VENTA TOTAL $ (IVA INC) ]]-(SUM(Tabla1[[#This Row],[PENDIENTE DE ENTREGA]:[VALORES COBRADOS]]))</f>
        <v>0</v>
      </c>
      <c r="AU195" s="850">
        <f>VLOOKUP(Tabla1[[#This Row],[FECHA OC]],'TIPO DE CAMBIO'!A:B,2,TRUE)</f>
        <v>1446.3009999999999</v>
      </c>
      <c r="AV195" s="850">
        <f>+Tabla1[[#This Row],[SUBTOTAL]]/Tabla1[[#This Row],[TIPO DE CAMBIO]]</f>
        <v>11025</v>
      </c>
      <c r="AW195" s="851"/>
      <c r="AX195" s="850">
        <f>IFERROR(Tabla1[[#This Row],[VENTA TOTAL USD A PLAZO EN CLIENTE  (SIN IVA)]]*(1+Tabla1[[#This Row],[% IVA ]]),"")</f>
        <v>11025</v>
      </c>
      <c r="AY195" s="850">
        <f>+Tabla1[[#This Row],[VENTA TOTAL USD A PLAZO EN CLIENTE  (SIN IVA)]]/Tabla1[[#This Row],[KGS]]*1000</f>
        <v>315</v>
      </c>
      <c r="AZ195" s="850">
        <v>0</v>
      </c>
      <c r="BA195" s="850">
        <f>+Tabla1[[#This Row],[GASTOS FINANCIEROS $ BOLSA 50 KG (IVA INC)]]*20/Tabla1[[#This Row],[TIPO DE CAMBIO]]</f>
        <v>4.5727557534246577</v>
      </c>
      <c r="BB195" s="850">
        <f>+Tabla1[[#This Row],[PRECIO POR TN USD EN CLIENTE A PLAZO (SIN IVA)]]+Tabla1[[#This Row],[COSTO USD FLETE /TN (SIN IVA)]]+Tabla1[[#This Row],[COSTO FINANCIERO USD POR BOLSA 50KG (IVA INC)]]</f>
        <v>319.57275575342464</v>
      </c>
      <c r="BC195" s="848">
        <v>5</v>
      </c>
      <c r="BD195" s="944"/>
    </row>
    <row r="196" spans="1:56" ht="15.75" customHeight="1">
      <c r="A196" s="912">
        <v>46174</v>
      </c>
      <c r="B196" s="828">
        <v>1</v>
      </c>
      <c r="C196" s="792" t="s">
        <v>406</v>
      </c>
      <c r="D196" s="829">
        <f>+Tabla1[[#This Row],[FECHA Entrega]]</f>
        <v>46202</v>
      </c>
      <c r="E196" s="830">
        <v>700000869</v>
      </c>
      <c r="F196" s="831" t="s">
        <v>358</v>
      </c>
      <c r="G196" s="832" t="s">
        <v>216</v>
      </c>
      <c r="H196" s="852">
        <v>46202</v>
      </c>
      <c r="I196" s="834">
        <f t="shared" si="84"/>
        <v>35000</v>
      </c>
      <c r="J196" s="835">
        <f>0.315*Tabla1[[#This Row],[TIPO DE CAMBIO]]</f>
        <v>455.58481499999999</v>
      </c>
      <c r="K196" s="836">
        <f t="shared" si="60"/>
        <v>15945468.525</v>
      </c>
      <c r="L19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96" s="837">
        <f t="shared" si="82"/>
        <v>19294016.91525</v>
      </c>
      <c r="N196" s="838"/>
      <c r="O196" s="838">
        <v>0</v>
      </c>
      <c r="P196" s="838">
        <v>0</v>
      </c>
      <c r="Q196" s="839">
        <f>+Tabla1[[#This Row],[VENTA TOTAL $ (IVA INC) ]]-Tabla1[[#This Row],[PENDIENTE DE COBRO]]</f>
        <v>19294016.91525</v>
      </c>
      <c r="R196" s="840">
        <f>+Tabla1[[#This Row],[FECHA FC]]+Tabla1[[#This Row],[PLAZO ENTREGA VALORES]]</f>
        <v>46051</v>
      </c>
      <c r="S196" s="840">
        <f>+Tabla1[[#This Row],[FECHA FC]]+Tabla1[[#This Row],[PLAZO PAGO (DIAS)]]</f>
        <v>46202</v>
      </c>
      <c r="T196" s="834">
        <f t="shared" ca="1" si="83"/>
        <v>21</v>
      </c>
      <c r="U196" s="831">
        <f>+Tabla1[[#This Row],[FECHA OC]]-Tabla1[[#This Row],[FECHA Entrega]]</f>
        <v>-151</v>
      </c>
      <c r="V196" s="831"/>
      <c r="W196" s="841">
        <f>+Tabla1[[#This Row],[FECHA VTO VALORES]]+7</f>
        <v>46209</v>
      </c>
      <c r="X196" s="831" t="s">
        <v>489</v>
      </c>
      <c r="Y196" s="840">
        <v>46051</v>
      </c>
      <c r="Z196" s="842">
        <f>Tabla1[[#This Row],[KGS]]/50</f>
        <v>700</v>
      </c>
      <c r="AA19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96" s="844">
        <f>-Tabla1[[#This Row],[COSTO FLETE $ POR BOLSA 5O KG (SIN IVA)]]*1.21-Tabla1[[#This Row],[PRECIO $/ KG A PLAZO EN CLIENTE ( SIN IVA)]]*0.003*1.21*50</f>
        <v>-0.40864392249999071</v>
      </c>
      <c r="AC196" s="845">
        <f>SUM(Tabla1[[#This Row],[PRECIO $ BOLSA 50 KG (IVA INC) ]]+Tabla1[[#This Row],[COSTO FLETE $ BOLSA 50 KG (IVA INC)]])</f>
        <v>27562.4726635775</v>
      </c>
      <c r="AD196" s="844">
        <f>-Tabla1[[#This Row],[PRECIO $ BOLSA 50 KG (IVA INC) ]]*(Tabla1[[#This Row],[TASA FINANCIACION MENSUAL]]/365)*Tabla1[[#This Row],[PLAZO ENTREGA VALORES]]</f>
        <v>330.67906094669178</v>
      </c>
      <c r="AE196" s="845">
        <f>SUM(Tabla1[[#This Row],[PRECIO $ BOLSA50 KG  FOB TUCUMAN A PLAZO (IVA INC)]]+Tabla1[[#This Row],[GASTOS FINANCIEROS $ BOLSA 50 KG (IVA INC)]])</f>
        <v>27893.151724524192</v>
      </c>
      <c r="AF196" s="828" t="s">
        <v>476</v>
      </c>
      <c r="AG196" s="828" t="s">
        <v>365</v>
      </c>
      <c r="AH196" s="828" t="s">
        <v>387</v>
      </c>
      <c r="AI196" s="828" t="s">
        <v>261</v>
      </c>
      <c r="AJ19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96" s="846">
        <f>SUM(Tabla1[[#This Row],[PRECIO $ BOLSA 50KG  FOB CDO TUC (IVA INC)]]-Tabla1[[#This Row],[PRECIO REF $ BOLSA 50 KG CACTU (IVA INC)]])</f>
        <v>-4621.8482754758079</v>
      </c>
      <c r="AL196" s="847">
        <f>IFERROR(Tabla1[[#This Row],[PRECIO $ BOLSA 50KG  FOB CDO TUC (IVA INC)]]/Tabla1[[#This Row],[PRECIO REF $ BOLSA 50 KG CACTU (IVA INC)]]-1,"")</f>
        <v>-0.14214511073276359</v>
      </c>
      <c r="AM196" s="846">
        <f>+Tabla1[[#This Row],[DIF $ PRECIO NETO INDUSTRIA vs Neto TUCUMAN (IVA INC)]]*Tabla1[[#This Row],[Q Bolsas Equivalentes 50kg]]</f>
        <v>-3235293.7928330656</v>
      </c>
      <c r="AN196" s="846">
        <f>Tabla1[[#This Row],[PRECIO REF $ BOLSA 50 KG CACTU (IVA INC)]]*Tabla1[[#This Row],[Q Bolsas Equivalentes 50kg]]</f>
        <v>22760500</v>
      </c>
      <c r="AO196" s="846">
        <f>+Tabla1[[#This Row],[PRECIO $ BOLSA 50KG  FOB CDO TUC (IVA INC)]]*Tabla1[[#This Row],[Q Bolsas Equivalentes 50kg]]</f>
        <v>19525206.207166936</v>
      </c>
      <c r="AP196" s="847">
        <v>2.9000000000000001E-2</v>
      </c>
      <c r="AQ196" s="846">
        <v>-68</v>
      </c>
      <c r="AR196" s="848"/>
      <c r="AS196" s="849"/>
      <c r="AT196" s="923">
        <f>+Tabla1[[#This Row],[VENTA TOTAL $ (IVA INC) ]]-(SUM(Tabla1[[#This Row],[PENDIENTE DE ENTREGA]:[VALORES COBRADOS]]))</f>
        <v>0</v>
      </c>
      <c r="AU196" s="850">
        <f>VLOOKUP(Tabla1[[#This Row],[FECHA OC]],'TIPO DE CAMBIO'!A:B,2,TRUE)</f>
        <v>1446.3009999999999</v>
      </c>
      <c r="AV196" s="850">
        <f>+Tabla1[[#This Row],[SUBTOTAL]]/Tabla1[[#This Row],[TIPO DE CAMBIO]]</f>
        <v>11025</v>
      </c>
      <c r="AW196" s="851"/>
      <c r="AX196" s="850">
        <f>IFERROR(Tabla1[[#This Row],[VENTA TOTAL USD A PLAZO EN CLIENTE  (SIN IVA)]]*(1+Tabla1[[#This Row],[% IVA ]]),"")</f>
        <v>11025</v>
      </c>
      <c r="AY196" s="850">
        <f>+Tabla1[[#This Row],[VENTA TOTAL USD A PLAZO EN CLIENTE  (SIN IVA)]]/Tabla1[[#This Row],[KGS]]*1000</f>
        <v>315</v>
      </c>
      <c r="AZ196" s="850">
        <v>0</v>
      </c>
      <c r="BA196" s="850">
        <f>+Tabla1[[#This Row],[GASTOS FINANCIEROS $ BOLSA 50 KG (IVA INC)]]*20/Tabla1[[#This Row],[TIPO DE CAMBIO]]</f>
        <v>4.5727557534246577</v>
      </c>
      <c r="BB196" s="850">
        <f>+Tabla1[[#This Row],[PRECIO POR TN USD EN CLIENTE A PLAZO (SIN IVA)]]+Tabla1[[#This Row],[COSTO USD FLETE /TN (SIN IVA)]]+Tabla1[[#This Row],[COSTO FINANCIERO USD POR BOLSA 50KG (IVA INC)]]</f>
        <v>319.57275575342464</v>
      </c>
      <c r="BC196" s="848">
        <v>5</v>
      </c>
      <c r="BD196" s="944"/>
    </row>
    <row r="197" spans="1:56" ht="15.75" customHeight="1">
      <c r="A197" s="912">
        <v>46174</v>
      </c>
      <c r="B197" s="828">
        <v>1</v>
      </c>
      <c r="C197" s="792" t="s">
        <v>406</v>
      </c>
      <c r="D197" s="829">
        <f>+Tabla1[[#This Row],[FECHA Entrega]]</f>
        <v>46202</v>
      </c>
      <c r="E197" s="830">
        <v>700000869</v>
      </c>
      <c r="F197" s="831" t="s">
        <v>358</v>
      </c>
      <c r="G197" s="832" t="s">
        <v>216</v>
      </c>
      <c r="H197" s="852">
        <v>46202</v>
      </c>
      <c r="I197" s="834">
        <f t="shared" si="84"/>
        <v>35000</v>
      </c>
      <c r="J197" s="835">
        <f>0.315*Tabla1[[#This Row],[TIPO DE CAMBIO]]</f>
        <v>455.58481499999999</v>
      </c>
      <c r="K197" s="836">
        <f t="shared" si="60"/>
        <v>15945468.525</v>
      </c>
      <c r="L19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97" s="837">
        <f t="shared" si="82"/>
        <v>19294016.91525</v>
      </c>
      <c r="N197" s="838"/>
      <c r="O197" s="838">
        <v>0</v>
      </c>
      <c r="P197" s="838">
        <v>0</v>
      </c>
      <c r="Q197" s="839">
        <f>+Tabla1[[#This Row],[VENTA TOTAL $ (IVA INC) ]]-Tabla1[[#This Row],[PENDIENTE DE COBRO]]</f>
        <v>19294016.91525</v>
      </c>
      <c r="R197" s="840">
        <f>+Tabla1[[#This Row],[FECHA FC]]+Tabla1[[#This Row],[PLAZO ENTREGA VALORES]]</f>
        <v>46051</v>
      </c>
      <c r="S197" s="840">
        <f>+Tabla1[[#This Row],[FECHA FC]]+Tabla1[[#This Row],[PLAZO PAGO (DIAS)]]</f>
        <v>46202</v>
      </c>
      <c r="T197" s="834">
        <f t="shared" ca="1" si="83"/>
        <v>21</v>
      </c>
      <c r="U197" s="831">
        <f>+Tabla1[[#This Row],[FECHA OC]]-Tabla1[[#This Row],[FECHA Entrega]]</f>
        <v>-151</v>
      </c>
      <c r="V197" s="831"/>
      <c r="W197" s="841">
        <f>+Tabla1[[#This Row],[FECHA VTO VALORES]]+7</f>
        <v>46209</v>
      </c>
      <c r="X197" s="831" t="s">
        <v>489</v>
      </c>
      <c r="Y197" s="840">
        <v>46051</v>
      </c>
      <c r="Z197" s="842">
        <f>Tabla1[[#This Row],[KGS]]/50</f>
        <v>700</v>
      </c>
      <c r="AA19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97" s="844">
        <f>-Tabla1[[#This Row],[COSTO FLETE $ POR BOLSA 5O KG (SIN IVA)]]*1.21-Tabla1[[#This Row],[PRECIO $/ KG A PLAZO EN CLIENTE ( SIN IVA)]]*0.003*1.21*50</f>
        <v>-0.40864392249999071</v>
      </c>
      <c r="AC197" s="845">
        <f>SUM(Tabla1[[#This Row],[PRECIO $ BOLSA 50 KG (IVA INC) ]]+Tabla1[[#This Row],[COSTO FLETE $ BOLSA 50 KG (IVA INC)]])</f>
        <v>27562.4726635775</v>
      </c>
      <c r="AD197" s="844">
        <f>-Tabla1[[#This Row],[PRECIO $ BOLSA 50 KG (IVA INC) ]]*(Tabla1[[#This Row],[TASA FINANCIACION MENSUAL]]/365)*Tabla1[[#This Row],[PLAZO ENTREGA VALORES]]</f>
        <v>330.67906094669178</v>
      </c>
      <c r="AE197" s="845">
        <f>SUM(Tabla1[[#This Row],[PRECIO $ BOLSA50 KG  FOB TUCUMAN A PLAZO (IVA INC)]]+Tabla1[[#This Row],[GASTOS FINANCIEROS $ BOLSA 50 KG (IVA INC)]])</f>
        <v>27893.151724524192</v>
      </c>
      <c r="AF197" s="828" t="s">
        <v>476</v>
      </c>
      <c r="AG197" s="828" t="s">
        <v>365</v>
      </c>
      <c r="AH197" s="828" t="s">
        <v>387</v>
      </c>
      <c r="AI197" s="828" t="s">
        <v>261</v>
      </c>
      <c r="AJ19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97" s="846">
        <f>SUM(Tabla1[[#This Row],[PRECIO $ BOLSA 50KG  FOB CDO TUC (IVA INC)]]-Tabla1[[#This Row],[PRECIO REF $ BOLSA 50 KG CACTU (IVA INC)]])</f>
        <v>-4621.8482754758079</v>
      </c>
      <c r="AL197" s="847">
        <f>IFERROR(Tabla1[[#This Row],[PRECIO $ BOLSA 50KG  FOB CDO TUC (IVA INC)]]/Tabla1[[#This Row],[PRECIO REF $ BOLSA 50 KG CACTU (IVA INC)]]-1,"")</f>
        <v>-0.14214511073276359</v>
      </c>
      <c r="AM197" s="846">
        <f>+Tabla1[[#This Row],[DIF $ PRECIO NETO INDUSTRIA vs Neto TUCUMAN (IVA INC)]]*Tabla1[[#This Row],[Q Bolsas Equivalentes 50kg]]</f>
        <v>-3235293.7928330656</v>
      </c>
      <c r="AN197" s="846">
        <f>Tabla1[[#This Row],[PRECIO REF $ BOLSA 50 KG CACTU (IVA INC)]]*Tabla1[[#This Row],[Q Bolsas Equivalentes 50kg]]</f>
        <v>22760500</v>
      </c>
      <c r="AO197" s="846">
        <f>+Tabla1[[#This Row],[PRECIO $ BOLSA 50KG  FOB CDO TUC (IVA INC)]]*Tabla1[[#This Row],[Q Bolsas Equivalentes 50kg]]</f>
        <v>19525206.207166936</v>
      </c>
      <c r="AP197" s="847">
        <v>2.9000000000000001E-2</v>
      </c>
      <c r="AQ197" s="846">
        <v>-68</v>
      </c>
      <c r="AR197" s="848"/>
      <c r="AS197" s="849"/>
      <c r="AT197" s="923">
        <f>+Tabla1[[#This Row],[VENTA TOTAL $ (IVA INC) ]]-(SUM(Tabla1[[#This Row],[PENDIENTE DE ENTREGA]:[VALORES COBRADOS]]))</f>
        <v>0</v>
      </c>
      <c r="AU197" s="850">
        <f>VLOOKUP(Tabla1[[#This Row],[FECHA OC]],'TIPO DE CAMBIO'!A:B,2,TRUE)</f>
        <v>1446.3009999999999</v>
      </c>
      <c r="AV197" s="850">
        <f>+Tabla1[[#This Row],[SUBTOTAL]]/Tabla1[[#This Row],[TIPO DE CAMBIO]]</f>
        <v>11025</v>
      </c>
      <c r="AW197" s="851"/>
      <c r="AX197" s="850">
        <f>IFERROR(Tabla1[[#This Row],[VENTA TOTAL USD A PLAZO EN CLIENTE  (SIN IVA)]]*(1+Tabla1[[#This Row],[% IVA ]]),"")</f>
        <v>11025</v>
      </c>
      <c r="AY197" s="850">
        <f>+Tabla1[[#This Row],[VENTA TOTAL USD A PLAZO EN CLIENTE  (SIN IVA)]]/Tabla1[[#This Row],[KGS]]*1000</f>
        <v>315</v>
      </c>
      <c r="AZ197" s="850">
        <v>0</v>
      </c>
      <c r="BA197" s="850">
        <f>+Tabla1[[#This Row],[GASTOS FINANCIEROS $ BOLSA 50 KG (IVA INC)]]*20/Tabla1[[#This Row],[TIPO DE CAMBIO]]</f>
        <v>4.5727557534246577</v>
      </c>
      <c r="BB197" s="850">
        <f>+Tabla1[[#This Row],[PRECIO POR TN USD EN CLIENTE A PLAZO (SIN IVA)]]+Tabla1[[#This Row],[COSTO USD FLETE /TN (SIN IVA)]]+Tabla1[[#This Row],[COSTO FINANCIERO USD POR BOLSA 50KG (IVA INC)]]</f>
        <v>319.57275575342464</v>
      </c>
      <c r="BC197" s="848">
        <v>5</v>
      </c>
      <c r="BD197" s="944"/>
    </row>
    <row r="198" spans="1:56" ht="15.75" customHeight="1">
      <c r="A198" s="912">
        <v>46174</v>
      </c>
      <c r="B198" s="828">
        <v>1</v>
      </c>
      <c r="C198" s="792" t="s">
        <v>406</v>
      </c>
      <c r="D198" s="829">
        <f>+Tabla1[[#This Row],[FECHA Entrega]]</f>
        <v>46202</v>
      </c>
      <c r="E198" s="830">
        <v>700000869</v>
      </c>
      <c r="F198" s="831" t="s">
        <v>358</v>
      </c>
      <c r="G198" s="832" t="s">
        <v>216</v>
      </c>
      <c r="H198" s="852">
        <v>46202</v>
      </c>
      <c r="I198" s="834">
        <f t="shared" si="84"/>
        <v>35000</v>
      </c>
      <c r="J198" s="835">
        <f>0.315*Tabla1[[#This Row],[TIPO DE CAMBIO]]</f>
        <v>455.58481499999999</v>
      </c>
      <c r="K198" s="836">
        <f t="shared" si="60"/>
        <v>15945468.525</v>
      </c>
      <c r="L19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98" s="837">
        <f t="shared" si="82"/>
        <v>19294016.91525</v>
      </c>
      <c r="N198" s="838"/>
      <c r="O198" s="838">
        <v>0</v>
      </c>
      <c r="P198" s="838">
        <v>0</v>
      </c>
      <c r="Q198" s="839">
        <f>+Tabla1[[#This Row],[VENTA TOTAL $ (IVA INC) ]]-Tabla1[[#This Row],[PENDIENTE DE COBRO]]</f>
        <v>19294016.91525</v>
      </c>
      <c r="R198" s="840">
        <f>+Tabla1[[#This Row],[FECHA FC]]+Tabla1[[#This Row],[PLAZO ENTREGA VALORES]]</f>
        <v>46051</v>
      </c>
      <c r="S198" s="840">
        <f>+Tabla1[[#This Row],[FECHA FC]]+Tabla1[[#This Row],[PLAZO PAGO (DIAS)]]</f>
        <v>46202</v>
      </c>
      <c r="T198" s="834">
        <f t="shared" ca="1" si="83"/>
        <v>21</v>
      </c>
      <c r="U198" s="831">
        <f>+Tabla1[[#This Row],[FECHA OC]]-Tabla1[[#This Row],[FECHA Entrega]]</f>
        <v>-151</v>
      </c>
      <c r="V198" s="831"/>
      <c r="W198" s="841">
        <f>+Tabla1[[#This Row],[FECHA VTO VALORES]]+7</f>
        <v>46209</v>
      </c>
      <c r="X198" s="831" t="s">
        <v>489</v>
      </c>
      <c r="Y198" s="840">
        <v>46051</v>
      </c>
      <c r="Z198" s="842">
        <f>Tabla1[[#This Row],[KGS]]/50</f>
        <v>700</v>
      </c>
      <c r="AA19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98" s="844">
        <f>-Tabla1[[#This Row],[COSTO FLETE $ POR BOLSA 5O KG (SIN IVA)]]*1.21-Tabla1[[#This Row],[PRECIO $/ KG A PLAZO EN CLIENTE ( SIN IVA)]]*0.003*1.21*50</f>
        <v>-0.40864392249999071</v>
      </c>
      <c r="AC198" s="845">
        <f>SUM(Tabla1[[#This Row],[PRECIO $ BOLSA 50 KG (IVA INC) ]]+Tabla1[[#This Row],[COSTO FLETE $ BOLSA 50 KG (IVA INC)]])</f>
        <v>27562.4726635775</v>
      </c>
      <c r="AD198" s="844">
        <f>-Tabla1[[#This Row],[PRECIO $ BOLSA 50 KG (IVA INC) ]]*(Tabla1[[#This Row],[TASA FINANCIACION MENSUAL]]/365)*Tabla1[[#This Row],[PLAZO ENTREGA VALORES]]</f>
        <v>330.67906094669178</v>
      </c>
      <c r="AE198" s="845">
        <f>SUM(Tabla1[[#This Row],[PRECIO $ BOLSA50 KG  FOB TUCUMAN A PLAZO (IVA INC)]]+Tabla1[[#This Row],[GASTOS FINANCIEROS $ BOLSA 50 KG (IVA INC)]])</f>
        <v>27893.151724524192</v>
      </c>
      <c r="AF198" s="828" t="s">
        <v>476</v>
      </c>
      <c r="AG198" s="828" t="s">
        <v>365</v>
      </c>
      <c r="AH198" s="828" t="s">
        <v>387</v>
      </c>
      <c r="AI198" s="828" t="s">
        <v>261</v>
      </c>
      <c r="AJ19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98" s="846">
        <f>SUM(Tabla1[[#This Row],[PRECIO $ BOLSA 50KG  FOB CDO TUC (IVA INC)]]-Tabla1[[#This Row],[PRECIO REF $ BOLSA 50 KG CACTU (IVA INC)]])</f>
        <v>-4621.8482754758079</v>
      </c>
      <c r="AL198" s="847">
        <f>IFERROR(Tabla1[[#This Row],[PRECIO $ BOLSA 50KG  FOB CDO TUC (IVA INC)]]/Tabla1[[#This Row],[PRECIO REF $ BOLSA 50 KG CACTU (IVA INC)]]-1,"")</f>
        <v>-0.14214511073276359</v>
      </c>
      <c r="AM198" s="846">
        <f>+Tabla1[[#This Row],[DIF $ PRECIO NETO INDUSTRIA vs Neto TUCUMAN (IVA INC)]]*Tabla1[[#This Row],[Q Bolsas Equivalentes 50kg]]</f>
        <v>-3235293.7928330656</v>
      </c>
      <c r="AN198" s="846">
        <f>Tabla1[[#This Row],[PRECIO REF $ BOLSA 50 KG CACTU (IVA INC)]]*Tabla1[[#This Row],[Q Bolsas Equivalentes 50kg]]</f>
        <v>22760500</v>
      </c>
      <c r="AO198" s="846">
        <f>+Tabla1[[#This Row],[PRECIO $ BOLSA 50KG  FOB CDO TUC (IVA INC)]]*Tabla1[[#This Row],[Q Bolsas Equivalentes 50kg]]</f>
        <v>19525206.207166936</v>
      </c>
      <c r="AP198" s="847">
        <v>2.9000000000000001E-2</v>
      </c>
      <c r="AQ198" s="846">
        <v>-68</v>
      </c>
      <c r="AR198" s="848"/>
      <c r="AS198" s="849"/>
      <c r="AT198" s="923">
        <f>+Tabla1[[#This Row],[VENTA TOTAL $ (IVA INC) ]]-(SUM(Tabla1[[#This Row],[PENDIENTE DE ENTREGA]:[VALORES COBRADOS]]))</f>
        <v>0</v>
      </c>
      <c r="AU198" s="850">
        <f>VLOOKUP(Tabla1[[#This Row],[FECHA OC]],'TIPO DE CAMBIO'!A:B,2,TRUE)</f>
        <v>1446.3009999999999</v>
      </c>
      <c r="AV198" s="850">
        <f>+Tabla1[[#This Row],[SUBTOTAL]]/Tabla1[[#This Row],[TIPO DE CAMBIO]]</f>
        <v>11025</v>
      </c>
      <c r="AW198" s="851"/>
      <c r="AX198" s="850">
        <f>IFERROR(Tabla1[[#This Row],[VENTA TOTAL USD A PLAZO EN CLIENTE  (SIN IVA)]]*(1+Tabla1[[#This Row],[% IVA ]]),"")</f>
        <v>11025</v>
      </c>
      <c r="AY198" s="850">
        <f>+Tabla1[[#This Row],[VENTA TOTAL USD A PLAZO EN CLIENTE  (SIN IVA)]]/Tabla1[[#This Row],[KGS]]*1000</f>
        <v>315</v>
      </c>
      <c r="AZ198" s="850">
        <v>0</v>
      </c>
      <c r="BA198" s="850">
        <f>+Tabla1[[#This Row],[GASTOS FINANCIEROS $ BOLSA 50 KG (IVA INC)]]*20/Tabla1[[#This Row],[TIPO DE CAMBIO]]</f>
        <v>4.5727557534246577</v>
      </c>
      <c r="BB198" s="850">
        <f>+Tabla1[[#This Row],[PRECIO POR TN USD EN CLIENTE A PLAZO (SIN IVA)]]+Tabla1[[#This Row],[COSTO USD FLETE /TN (SIN IVA)]]+Tabla1[[#This Row],[COSTO FINANCIERO USD POR BOLSA 50KG (IVA INC)]]</f>
        <v>319.57275575342464</v>
      </c>
      <c r="BC198" s="848">
        <v>5</v>
      </c>
      <c r="BD198" s="944"/>
    </row>
    <row r="199" spans="1:56" ht="15.75" customHeight="1">
      <c r="A199" s="912">
        <v>46174</v>
      </c>
      <c r="B199" s="828">
        <v>1</v>
      </c>
      <c r="C199" s="792" t="s">
        <v>406</v>
      </c>
      <c r="D199" s="829">
        <f>+Tabla1[[#This Row],[FECHA Entrega]]</f>
        <v>46203</v>
      </c>
      <c r="E199" s="830">
        <v>700000869</v>
      </c>
      <c r="F199" s="831" t="s">
        <v>358</v>
      </c>
      <c r="G199" s="832" t="s">
        <v>216</v>
      </c>
      <c r="H199" s="852">
        <v>46203</v>
      </c>
      <c r="I199" s="834">
        <f t="shared" si="84"/>
        <v>35000</v>
      </c>
      <c r="J199" s="835">
        <f>0.315*Tabla1[[#This Row],[TIPO DE CAMBIO]]</f>
        <v>455.58481499999999</v>
      </c>
      <c r="K199" s="836">
        <f t="shared" si="60"/>
        <v>15945468.525</v>
      </c>
      <c r="L19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199" s="837">
        <f t="shared" si="82"/>
        <v>19294016.91525</v>
      </c>
      <c r="N199" s="838"/>
      <c r="O199" s="838">
        <v>0</v>
      </c>
      <c r="P199" s="838">
        <v>0</v>
      </c>
      <c r="Q199" s="839">
        <f>+Tabla1[[#This Row],[VENTA TOTAL $ (IVA INC) ]]-Tabla1[[#This Row],[PENDIENTE DE COBRO]]</f>
        <v>19294016.91525</v>
      </c>
      <c r="R199" s="840">
        <f>+Tabla1[[#This Row],[FECHA FC]]+Tabla1[[#This Row],[PLAZO ENTREGA VALORES]]</f>
        <v>46051</v>
      </c>
      <c r="S199" s="840">
        <f>+Tabla1[[#This Row],[FECHA FC]]+Tabla1[[#This Row],[PLAZO PAGO (DIAS)]]</f>
        <v>46203</v>
      </c>
      <c r="T199" s="834">
        <f t="shared" ca="1" si="83"/>
        <v>22</v>
      </c>
      <c r="U199" s="831">
        <f>+Tabla1[[#This Row],[FECHA OC]]-Tabla1[[#This Row],[FECHA Entrega]]</f>
        <v>-152</v>
      </c>
      <c r="V199" s="831"/>
      <c r="W199" s="841">
        <f>+Tabla1[[#This Row],[FECHA VTO VALORES]]+7</f>
        <v>46210</v>
      </c>
      <c r="X199" s="831" t="s">
        <v>489</v>
      </c>
      <c r="Y199" s="840">
        <v>46051</v>
      </c>
      <c r="Z199" s="842">
        <f>Tabla1[[#This Row],[KGS]]/50</f>
        <v>700</v>
      </c>
      <c r="AA19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199" s="844">
        <f>-Tabla1[[#This Row],[COSTO FLETE $ POR BOLSA 5O KG (SIN IVA)]]*1.21-Tabla1[[#This Row],[PRECIO $/ KG A PLAZO EN CLIENTE ( SIN IVA)]]*0.003*1.21*50</f>
        <v>-0.40864392249999071</v>
      </c>
      <c r="AC199" s="845">
        <f>SUM(Tabla1[[#This Row],[PRECIO $ BOLSA 50 KG (IVA INC) ]]+Tabla1[[#This Row],[COSTO FLETE $ BOLSA 50 KG (IVA INC)]])</f>
        <v>27562.4726635775</v>
      </c>
      <c r="AD199" s="844">
        <f>-Tabla1[[#This Row],[PRECIO $ BOLSA 50 KG (IVA INC) ]]*(Tabla1[[#This Row],[TASA FINANCIACION MENSUAL]]/365)*Tabla1[[#This Row],[PLAZO ENTREGA VALORES]]</f>
        <v>332.86898850263015</v>
      </c>
      <c r="AE199" s="845">
        <f>SUM(Tabla1[[#This Row],[PRECIO $ BOLSA50 KG  FOB TUCUMAN A PLAZO (IVA INC)]]+Tabla1[[#This Row],[GASTOS FINANCIEROS $ BOLSA 50 KG (IVA INC)]])</f>
        <v>27895.341652080129</v>
      </c>
      <c r="AF199" s="828" t="s">
        <v>476</v>
      </c>
      <c r="AG199" s="828" t="s">
        <v>365</v>
      </c>
      <c r="AH199" s="828" t="s">
        <v>387</v>
      </c>
      <c r="AI199" s="828" t="s">
        <v>261</v>
      </c>
      <c r="AJ19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199" s="846">
        <f>SUM(Tabla1[[#This Row],[PRECIO $ BOLSA 50KG  FOB CDO TUC (IVA INC)]]-Tabla1[[#This Row],[PRECIO REF $ BOLSA 50 KG CACTU (IVA INC)]])</f>
        <v>-4619.6583479198707</v>
      </c>
      <c r="AL199" s="847">
        <f>IFERROR(Tabla1[[#This Row],[PRECIO $ BOLSA 50KG  FOB CDO TUC (IVA INC)]]/Tabla1[[#This Row],[PRECIO REF $ BOLSA 50 KG CACTU (IVA INC)]]-1,"")</f>
        <v>-0.14207775943164291</v>
      </c>
      <c r="AM199" s="846">
        <f>+Tabla1[[#This Row],[DIF $ PRECIO NETO INDUSTRIA vs Neto TUCUMAN (IVA INC)]]*Tabla1[[#This Row],[Q Bolsas Equivalentes 50kg]]</f>
        <v>-3233760.8435439095</v>
      </c>
      <c r="AN199" s="846">
        <f>Tabla1[[#This Row],[PRECIO REF $ BOLSA 50 KG CACTU (IVA INC)]]*Tabla1[[#This Row],[Q Bolsas Equivalentes 50kg]]</f>
        <v>22760500</v>
      </c>
      <c r="AO199" s="846">
        <f>+Tabla1[[#This Row],[PRECIO $ BOLSA 50KG  FOB CDO TUC (IVA INC)]]*Tabla1[[#This Row],[Q Bolsas Equivalentes 50kg]]</f>
        <v>19526739.156456091</v>
      </c>
      <c r="AP199" s="847">
        <v>2.9000000000000001E-2</v>
      </c>
      <c r="AQ199" s="846">
        <v>-68</v>
      </c>
      <c r="AR199" s="848"/>
      <c r="AS199" s="849"/>
      <c r="AT199" s="923">
        <f>+Tabla1[[#This Row],[VENTA TOTAL $ (IVA INC) ]]-(SUM(Tabla1[[#This Row],[PENDIENTE DE ENTREGA]:[VALORES COBRADOS]]))</f>
        <v>0</v>
      </c>
      <c r="AU199" s="850">
        <f>VLOOKUP(Tabla1[[#This Row],[FECHA OC]],'TIPO DE CAMBIO'!A:B,2,TRUE)</f>
        <v>1446.3009999999999</v>
      </c>
      <c r="AV199" s="850">
        <f>+Tabla1[[#This Row],[SUBTOTAL]]/Tabla1[[#This Row],[TIPO DE CAMBIO]]</f>
        <v>11025</v>
      </c>
      <c r="AW199" s="851"/>
      <c r="AX199" s="850">
        <f>IFERROR(Tabla1[[#This Row],[VENTA TOTAL USD A PLAZO EN CLIENTE  (SIN IVA)]]*(1+Tabla1[[#This Row],[% IVA ]]),"")</f>
        <v>11025</v>
      </c>
      <c r="AY199" s="850">
        <f>+Tabla1[[#This Row],[VENTA TOTAL USD A PLAZO EN CLIENTE  (SIN IVA)]]/Tabla1[[#This Row],[KGS]]*1000</f>
        <v>315</v>
      </c>
      <c r="AZ199" s="850">
        <v>0</v>
      </c>
      <c r="BA199" s="850">
        <f>+Tabla1[[#This Row],[GASTOS FINANCIEROS $ BOLSA 50 KG (IVA INC)]]*20/Tabla1[[#This Row],[TIPO DE CAMBIO]]</f>
        <v>4.6030389041095896</v>
      </c>
      <c r="BB199" s="850">
        <f>+Tabla1[[#This Row],[PRECIO POR TN USD EN CLIENTE A PLAZO (SIN IVA)]]+Tabla1[[#This Row],[COSTO USD FLETE /TN (SIN IVA)]]+Tabla1[[#This Row],[COSTO FINANCIERO USD POR BOLSA 50KG (IVA INC)]]</f>
        <v>319.60303890410961</v>
      </c>
      <c r="BC199" s="848">
        <v>5</v>
      </c>
      <c r="BD199" s="944"/>
    </row>
    <row r="200" spans="1:56" ht="15.75" customHeight="1">
      <c r="A200" s="912">
        <v>46174</v>
      </c>
      <c r="B200" s="828">
        <v>1</v>
      </c>
      <c r="C200" s="792" t="s">
        <v>406</v>
      </c>
      <c r="D200" s="829">
        <f>+Tabla1[[#This Row],[FECHA Entrega]]</f>
        <v>46203</v>
      </c>
      <c r="E200" s="830">
        <v>700000869</v>
      </c>
      <c r="F200" s="831" t="s">
        <v>358</v>
      </c>
      <c r="G200" s="832" t="s">
        <v>216</v>
      </c>
      <c r="H200" s="852">
        <v>46203</v>
      </c>
      <c r="I200" s="834">
        <f t="shared" si="84"/>
        <v>35000</v>
      </c>
      <c r="J200" s="835">
        <f>0.315*Tabla1[[#This Row],[TIPO DE CAMBIO]]</f>
        <v>455.58481499999999</v>
      </c>
      <c r="K200" s="836">
        <f t="shared" si="60"/>
        <v>15945468.525</v>
      </c>
      <c r="L20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00" s="837">
        <f t="shared" si="82"/>
        <v>19294016.91525</v>
      </c>
      <c r="N200" s="838"/>
      <c r="O200" s="838">
        <v>0</v>
      </c>
      <c r="P200" s="838">
        <v>0</v>
      </c>
      <c r="Q200" s="839">
        <f>+Tabla1[[#This Row],[VENTA TOTAL $ (IVA INC) ]]-Tabla1[[#This Row],[PENDIENTE DE COBRO]]</f>
        <v>19294016.91525</v>
      </c>
      <c r="R200" s="840">
        <f>+Tabla1[[#This Row],[FECHA FC]]+Tabla1[[#This Row],[PLAZO ENTREGA VALORES]]</f>
        <v>46051</v>
      </c>
      <c r="S200" s="840">
        <f>+Tabla1[[#This Row],[FECHA FC]]+Tabla1[[#This Row],[PLAZO PAGO (DIAS)]]</f>
        <v>46203</v>
      </c>
      <c r="T200" s="834">
        <f t="shared" ca="1" si="83"/>
        <v>22</v>
      </c>
      <c r="U200" s="831">
        <f>+Tabla1[[#This Row],[FECHA OC]]-Tabla1[[#This Row],[FECHA Entrega]]</f>
        <v>-152</v>
      </c>
      <c r="V200" s="831"/>
      <c r="W200" s="841">
        <f>+Tabla1[[#This Row],[FECHA VTO VALORES]]+7</f>
        <v>46210</v>
      </c>
      <c r="X200" s="831" t="s">
        <v>489</v>
      </c>
      <c r="Y200" s="840">
        <v>46051</v>
      </c>
      <c r="Z200" s="842">
        <f>Tabla1[[#This Row],[KGS]]/50</f>
        <v>700</v>
      </c>
      <c r="AA20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00" s="844">
        <f>-Tabla1[[#This Row],[COSTO FLETE $ POR BOLSA 5O KG (SIN IVA)]]*1.21-Tabla1[[#This Row],[PRECIO $/ KG A PLAZO EN CLIENTE ( SIN IVA)]]*0.003*1.21*50</f>
        <v>-0.40864392249999071</v>
      </c>
      <c r="AC200" s="845">
        <f>SUM(Tabla1[[#This Row],[PRECIO $ BOLSA 50 KG (IVA INC) ]]+Tabla1[[#This Row],[COSTO FLETE $ BOLSA 50 KG (IVA INC)]])</f>
        <v>27562.4726635775</v>
      </c>
      <c r="AD200" s="844">
        <f>-Tabla1[[#This Row],[PRECIO $ BOLSA 50 KG (IVA INC) ]]*(Tabla1[[#This Row],[TASA FINANCIACION MENSUAL]]/365)*Tabla1[[#This Row],[PLAZO ENTREGA VALORES]]</f>
        <v>332.86898850263015</v>
      </c>
      <c r="AE200" s="845">
        <f>SUM(Tabla1[[#This Row],[PRECIO $ BOLSA50 KG  FOB TUCUMAN A PLAZO (IVA INC)]]+Tabla1[[#This Row],[GASTOS FINANCIEROS $ BOLSA 50 KG (IVA INC)]])</f>
        <v>27895.341652080129</v>
      </c>
      <c r="AF200" s="828" t="s">
        <v>476</v>
      </c>
      <c r="AG200" s="828" t="s">
        <v>365</v>
      </c>
      <c r="AH200" s="828" t="s">
        <v>387</v>
      </c>
      <c r="AI200" s="828" t="s">
        <v>261</v>
      </c>
      <c r="AJ20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00" s="846">
        <f>SUM(Tabla1[[#This Row],[PRECIO $ BOLSA 50KG  FOB CDO TUC (IVA INC)]]-Tabla1[[#This Row],[PRECIO REF $ BOLSA 50 KG CACTU (IVA INC)]])</f>
        <v>-4619.6583479198707</v>
      </c>
      <c r="AL200" s="847">
        <f>IFERROR(Tabla1[[#This Row],[PRECIO $ BOLSA 50KG  FOB CDO TUC (IVA INC)]]/Tabla1[[#This Row],[PRECIO REF $ BOLSA 50 KG CACTU (IVA INC)]]-1,"")</f>
        <v>-0.14207775943164291</v>
      </c>
      <c r="AM200" s="846">
        <f>+Tabla1[[#This Row],[DIF $ PRECIO NETO INDUSTRIA vs Neto TUCUMAN (IVA INC)]]*Tabla1[[#This Row],[Q Bolsas Equivalentes 50kg]]</f>
        <v>-3233760.8435439095</v>
      </c>
      <c r="AN200" s="846">
        <f>Tabla1[[#This Row],[PRECIO REF $ BOLSA 50 KG CACTU (IVA INC)]]*Tabla1[[#This Row],[Q Bolsas Equivalentes 50kg]]</f>
        <v>22760500</v>
      </c>
      <c r="AO200" s="846">
        <f>+Tabla1[[#This Row],[PRECIO $ BOLSA 50KG  FOB CDO TUC (IVA INC)]]*Tabla1[[#This Row],[Q Bolsas Equivalentes 50kg]]</f>
        <v>19526739.156456091</v>
      </c>
      <c r="AP200" s="847">
        <v>2.9000000000000001E-2</v>
      </c>
      <c r="AQ200" s="846">
        <v>-68</v>
      </c>
      <c r="AR200" s="848"/>
      <c r="AS200" s="849"/>
      <c r="AT200" s="923">
        <f>+Tabla1[[#This Row],[VENTA TOTAL $ (IVA INC) ]]-(SUM(Tabla1[[#This Row],[PENDIENTE DE ENTREGA]:[VALORES COBRADOS]]))</f>
        <v>0</v>
      </c>
      <c r="AU200" s="850">
        <f>VLOOKUP(Tabla1[[#This Row],[FECHA OC]],'TIPO DE CAMBIO'!A:B,2,TRUE)</f>
        <v>1446.3009999999999</v>
      </c>
      <c r="AV200" s="850">
        <f>+Tabla1[[#This Row],[SUBTOTAL]]/Tabla1[[#This Row],[TIPO DE CAMBIO]]</f>
        <v>11025</v>
      </c>
      <c r="AW200" s="851"/>
      <c r="AX200" s="850">
        <f>IFERROR(Tabla1[[#This Row],[VENTA TOTAL USD A PLAZO EN CLIENTE  (SIN IVA)]]*(1+Tabla1[[#This Row],[% IVA ]]),"")</f>
        <v>11025</v>
      </c>
      <c r="AY200" s="850">
        <f>+Tabla1[[#This Row],[VENTA TOTAL USD A PLAZO EN CLIENTE  (SIN IVA)]]/Tabla1[[#This Row],[KGS]]*1000</f>
        <v>315</v>
      </c>
      <c r="AZ200" s="850">
        <v>0</v>
      </c>
      <c r="BA200" s="850">
        <f>+Tabla1[[#This Row],[GASTOS FINANCIEROS $ BOLSA 50 KG (IVA INC)]]*20/Tabla1[[#This Row],[TIPO DE CAMBIO]]</f>
        <v>4.6030389041095896</v>
      </c>
      <c r="BB200" s="850">
        <f>+Tabla1[[#This Row],[PRECIO POR TN USD EN CLIENTE A PLAZO (SIN IVA)]]+Tabla1[[#This Row],[COSTO USD FLETE /TN (SIN IVA)]]+Tabla1[[#This Row],[COSTO FINANCIERO USD POR BOLSA 50KG (IVA INC)]]</f>
        <v>319.60303890410961</v>
      </c>
      <c r="BC200" s="848">
        <v>5</v>
      </c>
      <c r="BD200" s="944"/>
    </row>
    <row r="201" spans="1:56" ht="15.75" customHeight="1">
      <c r="A201" s="912">
        <v>46174</v>
      </c>
      <c r="B201" s="828">
        <v>1</v>
      </c>
      <c r="C201" s="792" t="s">
        <v>406</v>
      </c>
      <c r="D201" s="829">
        <f>+Tabla1[[#This Row],[FECHA Entrega]]</f>
        <v>46203</v>
      </c>
      <c r="E201" s="830">
        <v>700000869</v>
      </c>
      <c r="F201" s="831" t="s">
        <v>358</v>
      </c>
      <c r="G201" s="832" t="s">
        <v>216</v>
      </c>
      <c r="H201" s="852">
        <v>46203</v>
      </c>
      <c r="I201" s="834">
        <f t="shared" si="84"/>
        <v>35000</v>
      </c>
      <c r="J201" s="835">
        <f>0.315*Tabla1[[#This Row],[TIPO DE CAMBIO]]</f>
        <v>455.58481499999999</v>
      </c>
      <c r="K201" s="836">
        <f t="shared" si="60"/>
        <v>15945468.525</v>
      </c>
      <c r="L20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01" s="837">
        <f t="shared" si="82"/>
        <v>19294016.91525</v>
      </c>
      <c r="N201" s="838"/>
      <c r="O201" s="838">
        <v>0</v>
      </c>
      <c r="P201" s="838">
        <v>0</v>
      </c>
      <c r="Q201" s="839">
        <f>+Tabla1[[#This Row],[VENTA TOTAL $ (IVA INC) ]]-Tabla1[[#This Row],[PENDIENTE DE COBRO]]</f>
        <v>19294016.91525</v>
      </c>
      <c r="R201" s="840">
        <f>+Tabla1[[#This Row],[FECHA FC]]+Tabla1[[#This Row],[PLAZO ENTREGA VALORES]]</f>
        <v>46051</v>
      </c>
      <c r="S201" s="840">
        <f>+Tabla1[[#This Row],[FECHA FC]]+Tabla1[[#This Row],[PLAZO PAGO (DIAS)]]</f>
        <v>46203</v>
      </c>
      <c r="T201" s="834">
        <f t="shared" ca="1" si="83"/>
        <v>22</v>
      </c>
      <c r="U201" s="831">
        <f>+Tabla1[[#This Row],[FECHA OC]]-Tabla1[[#This Row],[FECHA Entrega]]</f>
        <v>-152</v>
      </c>
      <c r="V201" s="831"/>
      <c r="W201" s="841">
        <f>+Tabla1[[#This Row],[FECHA VTO VALORES]]+7</f>
        <v>46210</v>
      </c>
      <c r="X201" s="831" t="s">
        <v>489</v>
      </c>
      <c r="Y201" s="840">
        <v>46051</v>
      </c>
      <c r="Z201" s="842">
        <f>Tabla1[[#This Row],[KGS]]/50</f>
        <v>700</v>
      </c>
      <c r="AA20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01" s="844">
        <f>-Tabla1[[#This Row],[COSTO FLETE $ POR BOLSA 5O KG (SIN IVA)]]*1.21-Tabla1[[#This Row],[PRECIO $/ KG A PLAZO EN CLIENTE ( SIN IVA)]]*0.003*1.21*50</f>
        <v>-0.40864392249999071</v>
      </c>
      <c r="AC201" s="845">
        <f>SUM(Tabla1[[#This Row],[PRECIO $ BOLSA 50 KG (IVA INC) ]]+Tabla1[[#This Row],[COSTO FLETE $ BOLSA 50 KG (IVA INC)]])</f>
        <v>27562.4726635775</v>
      </c>
      <c r="AD201" s="844">
        <f>-Tabla1[[#This Row],[PRECIO $ BOLSA 50 KG (IVA INC) ]]*(Tabla1[[#This Row],[TASA FINANCIACION MENSUAL]]/365)*Tabla1[[#This Row],[PLAZO ENTREGA VALORES]]</f>
        <v>332.86898850263015</v>
      </c>
      <c r="AE201" s="845">
        <f>SUM(Tabla1[[#This Row],[PRECIO $ BOLSA50 KG  FOB TUCUMAN A PLAZO (IVA INC)]]+Tabla1[[#This Row],[GASTOS FINANCIEROS $ BOLSA 50 KG (IVA INC)]])</f>
        <v>27895.341652080129</v>
      </c>
      <c r="AF201" s="828" t="s">
        <v>476</v>
      </c>
      <c r="AG201" s="828" t="s">
        <v>365</v>
      </c>
      <c r="AH201" s="828" t="s">
        <v>387</v>
      </c>
      <c r="AI201" s="828" t="s">
        <v>261</v>
      </c>
      <c r="AJ20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01" s="846">
        <f>SUM(Tabla1[[#This Row],[PRECIO $ BOLSA 50KG  FOB CDO TUC (IVA INC)]]-Tabla1[[#This Row],[PRECIO REF $ BOLSA 50 KG CACTU (IVA INC)]])</f>
        <v>-4619.6583479198707</v>
      </c>
      <c r="AL201" s="847">
        <f>IFERROR(Tabla1[[#This Row],[PRECIO $ BOLSA 50KG  FOB CDO TUC (IVA INC)]]/Tabla1[[#This Row],[PRECIO REF $ BOLSA 50 KG CACTU (IVA INC)]]-1,"")</f>
        <v>-0.14207775943164291</v>
      </c>
      <c r="AM201" s="846">
        <f>+Tabla1[[#This Row],[DIF $ PRECIO NETO INDUSTRIA vs Neto TUCUMAN (IVA INC)]]*Tabla1[[#This Row],[Q Bolsas Equivalentes 50kg]]</f>
        <v>-3233760.8435439095</v>
      </c>
      <c r="AN201" s="846">
        <f>Tabla1[[#This Row],[PRECIO REF $ BOLSA 50 KG CACTU (IVA INC)]]*Tabla1[[#This Row],[Q Bolsas Equivalentes 50kg]]</f>
        <v>22760500</v>
      </c>
      <c r="AO201" s="846">
        <f>+Tabla1[[#This Row],[PRECIO $ BOLSA 50KG  FOB CDO TUC (IVA INC)]]*Tabla1[[#This Row],[Q Bolsas Equivalentes 50kg]]</f>
        <v>19526739.156456091</v>
      </c>
      <c r="AP201" s="847">
        <v>2.9000000000000001E-2</v>
      </c>
      <c r="AQ201" s="846">
        <v>-68</v>
      </c>
      <c r="AR201" s="848"/>
      <c r="AS201" s="849"/>
      <c r="AT201" s="923">
        <f>+Tabla1[[#This Row],[VENTA TOTAL $ (IVA INC) ]]-(SUM(Tabla1[[#This Row],[PENDIENTE DE ENTREGA]:[VALORES COBRADOS]]))</f>
        <v>0</v>
      </c>
      <c r="AU201" s="850">
        <f>VLOOKUP(Tabla1[[#This Row],[FECHA OC]],'TIPO DE CAMBIO'!A:B,2,TRUE)</f>
        <v>1446.3009999999999</v>
      </c>
      <c r="AV201" s="850">
        <f>+Tabla1[[#This Row],[SUBTOTAL]]/Tabla1[[#This Row],[TIPO DE CAMBIO]]</f>
        <v>11025</v>
      </c>
      <c r="AW201" s="851"/>
      <c r="AX201" s="850">
        <f>IFERROR(Tabla1[[#This Row],[VENTA TOTAL USD A PLAZO EN CLIENTE  (SIN IVA)]]*(1+Tabla1[[#This Row],[% IVA ]]),"")</f>
        <v>11025</v>
      </c>
      <c r="AY201" s="850">
        <f>+Tabla1[[#This Row],[VENTA TOTAL USD A PLAZO EN CLIENTE  (SIN IVA)]]/Tabla1[[#This Row],[KGS]]*1000</f>
        <v>315</v>
      </c>
      <c r="AZ201" s="850">
        <v>0</v>
      </c>
      <c r="BA201" s="850">
        <f>+Tabla1[[#This Row],[GASTOS FINANCIEROS $ BOLSA 50 KG (IVA INC)]]*20/Tabla1[[#This Row],[TIPO DE CAMBIO]]</f>
        <v>4.6030389041095896</v>
      </c>
      <c r="BB201" s="850">
        <f>+Tabla1[[#This Row],[PRECIO POR TN USD EN CLIENTE A PLAZO (SIN IVA)]]+Tabla1[[#This Row],[COSTO USD FLETE /TN (SIN IVA)]]+Tabla1[[#This Row],[COSTO FINANCIERO USD POR BOLSA 50KG (IVA INC)]]</f>
        <v>319.60303890410961</v>
      </c>
      <c r="BC201" s="848">
        <v>5</v>
      </c>
      <c r="BD201" s="944"/>
    </row>
    <row r="202" spans="1:56" ht="15.75" customHeight="1">
      <c r="A202" s="912">
        <v>46174</v>
      </c>
      <c r="B202" s="828">
        <v>1</v>
      </c>
      <c r="C202" s="792" t="s">
        <v>406</v>
      </c>
      <c r="D202" s="829">
        <f>+Tabla1[[#This Row],[FECHA Entrega]]</f>
        <v>46203</v>
      </c>
      <c r="E202" s="830">
        <v>700000869</v>
      </c>
      <c r="F202" s="831" t="s">
        <v>358</v>
      </c>
      <c r="G202" s="832" t="s">
        <v>216</v>
      </c>
      <c r="H202" s="852">
        <v>46203</v>
      </c>
      <c r="I202" s="834">
        <f t="shared" si="84"/>
        <v>35000</v>
      </c>
      <c r="J202" s="835">
        <f>0.315*Tabla1[[#This Row],[TIPO DE CAMBIO]]</f>
        <v>455.58481499999999</v>
      </c>
      <c r="K202" s="836">
        <f t="shared" si="60"/>
        <v>15945468.525</v>
      </c>
      <c r="L20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02" s="837">
        <f t="shared" si="82"/>
        <v>19294016.91525</v>
      </c>
      <c r="N202" s="838"/>
      <c r="O202" s="838">
        <v>0</v>
      </c>
      <c r="P202" s="838">
        <v>0</v>
      </c>
      <c r="Q202" s="839">
        <f>+Tabla1[[#This Row],[VENTA TOTAL $ (IVA INC) ]]-Tabla1[[#This Row],[PENDIENTE DE COBRO]]</f>
        <v>19294016.91525</v>
      </c>
      <c r="R202" s="840">
        <f>+Tabla1[[#This Row],[FECHA FC]]+Tabla1[[#This Row],[PLAZO ENTREGA VALORES]]</f>
        <v>46051</v>
      </c>
      <c r="S202" s="840">
        <f>+Tabla1[[#This Row],[FECHA FC]]+Tabla1[[#This Row],[PLAZO PAGO (DIAS)]]</f>
        <v>46203</v>
      </c>
      <c r="T202" s="834">
        <f t="shared" ca="1" si="83"/>
        <v>22</v>
      </c>
      <c r="U202" s="831">
        <f>+Tabla1[[#This Row],[FECHA OC]]-Tabla1[[#This Row],[FECHA Entrega]]</f>
        <v>-152</v>
      </c>
      <c r="V202" s="831"/>
      <c r="W202" s="841">
        <f>+Tabla1[[#This Row],[FECHA VTO VALORES]]+7</f>
        <v>46210</v>
      </c>
      <c r="X202" s="831" t="s">
        <v>489</v>
      </c>
      <c r="Y202" s="840">
        <v>46051</v>
      </c>
      <c r="Z202" s="842">
        <f>Tabla1[[#This Row],[KGS]]/50</f>
        <v>700</v>
      </c>
      <c r="AA20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02" s="844">
        <f>-Tabla1[[#This Row],[COSTO FLETE $ POR BOLSA 5O KG (SIN IVA)]]*1.21-Tabla1[[#This Row],[PRECIO $/ KG A PLAZO EN CLIENTE ( SIN IVA)]]*0.003*1.21*50</f>
        <v>-0.40864392249999071</v>
      </c>
      <c r="AC202" s="845">
        <f>SUM(Tabla1[[#This Row],[PRECIO $ BOLSA 50 KG (IVA INC) ]]+Tabla1[[#This Row],[COSTO FLETE $ BOLSA 50 KG (IVA INC)]])</f>
        <v>27562.4726635775</v>
      </c>
      <c r="AD202" s="844">
        <f>-Tabla1[[#This Row],[PRECIO $ BOLSA 50 KG (IVA INC) ]]*(Tabla1[[#This Row],[TASA FINANCIACION MENSUAL]]/365)*Tabla1[[#This Row],[PLAZO ENTREGA VALORES]]</f>
        <v>332.86898850263015</v>
      </c>
      <c r="AE202" s="845">
        <f>SUM(Tabla1[[#This Row],[PRECIO $ BOLSA50 KG  FOB TUCUMAN A PLAZO (IVA INC)]]+Tabla1[[#This Row],[GASTOS FINANCIEROS $ BOLSA 50 KG (IVA INC)]])</f>
        <v>27895.341652080129</v>
      </c>
      <c r="AF202" s="828" t="s">
        <v>476</v>
      </c>
      <c r="AG202" s="828" t="s">
        <v>365</v>
      </c>
      <c r="AH202" s="828" t="s">
        <v>387</v>
      </c>
      <c r="AI202" s="828" t="s">
        <v>261</v>
      </c>
      <c r="AJ20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02" s="846">
        <f>SUM(Tabla1[[#This Row],[PRECIO $ BOLSA 50KG  FOB CDO TUC (IVA INC)]]-Tabla1[[#This Row],[PRECIO REF $ BOLSA 50 KG CACTU (IVA INC)]])</f>
        <v>-4619.6583479198707</v>
      </c>
      <c r="AL202" s="847">
        <f>IFERROR(Tabla1[[#This Row],[PRECIO $ BOLSA 50KG  FOB CDO TUC (IVA INC)]]/Tabla1[[#This Row],[PRECIO REF $ BOLSA 50 KG CACTU (IVA INC)]]-1,"")</f>
        <v>-0.14207775943164291</v>
      </c>
      <c r="AM202" s="846">
        <f>+Tabla1[[#This Row],[DIF $ PRECIO NETO INDUSTRIA vs Neto TUCUMAN (IVA INC)]]*Tabla1[[#This Row],[Q Bolsas Equivalentes 50kg]]</f>
        <v>-3233760.8435439095</v>
      </c>
      <c r="AN202" s="846">
        <f>Tabla1[[#This Row],[PRECIO REF $ BOLSA 50 KG CACTU (IVA INC)]]*Tabla1[[#This Row],[Q Bolsas Equivalentes 50kg]]</f>
        <v>22760500</v>
      </c>
      <c r="AO202" s="846">
        <f>+Tabla1[[#This Row],[PRECIO $ BOLSA 50KG  FOB CDO TUC (IVA INC)]]*Tabla1[[#This Row],[Q Bolsas Equivalentes 50kg]]</f>
        <v>19526739.156456091</v>
      </c>
      <c r="AP202" s="847">
        <v>2.9000000000000001E-2</v>
      </c>
      <c r="AQ202" s="846">
        <v>-68</v>
      </c>
      <c r="AR202" s="848"/>
      <c r="AS202" s="849"/>
      <c r="AT202" s="923">
        <f>+Tabla1[[#This Row],[VENTA TOTAL $ (IVA INC) ]]-(SUM(Tabla1[[#This Row],[PENDIENTE DE ENTREGA]:[VALORES COBRADOS]]))</f>
        <v>0</v>
      </c>
      <c r="AU202" s="850">
        <f>VLOOKUP(Tabla1[[#This Row],[FECHA OC]],'TIPO DE CAMBIO'!A:B,2,TRUE)</f>
        <v>1446.3009999999999</v>
      </c>
      <c r="AV202" s="850">
        <f>+Tabla1[[#This Row],[SUBTOTAL]]/Tabla1[[#This Row],[TIPO DE CAMBIO]]</f>
        <v>11025</v>
      </c>
      <c r="AW202" s="851"/>
      <c r="AX202" s="850">
        <f>IFERROR(Tabla1[[#This Row],[VENTA TOTAL USD A PLAZO EN CLIENTE  (SIN IVA)]]*(1+Tabla1[[#This Row],[% IVA ]]),"")</f>
        <v>11025</v>
      </c>
      <c r="AY202" s="850">
        <f>+Tabla1[[#This Row],[VENTA TOTAL USD A PLAZO EN CLIENTE  (SIN IVA)]]/Tabla1[[#This Row],[KGS]]*1000</f>
        <v>315</v>
      </c>
      <c r="AZ202" s="850">
        <v>0</v>
      </c>
      <c r="BA202" s="850">
        <f>+Tabla1[[#This Row],[GASTOS FINANCIEROS $ BOLSA 50 KG (IVA INC)]]*20/Tabla1[[#This Row],[TIPO DE CAMBIO]]</f>
        <v>4.6030389041095896</v>
      </c>
      <c r="BB202" s="850">
        <f>+Tabla1[[#This Row],[PRECIO POR TN USD EN CLIENTE A PLAZO (SIN IVA)]]+Tabla1[[#This Row],[COSTO USD FLETE /TN (SIN IVA)]]+Tabla1[[#This Row],[COSTO FINANCIERO USD POR BOLSA 50KG (IVA INC)]]</f>
        <v>319.60303890410961</v>
      </c>
      <c r="BC202" s="848">
        <v>5</v>
      </c>
      <c r="BD202" s="944"/>
    </row>
    <row r="203" spans="1:56" ht="15.75" customHeight="1">
      <c r="A203" s="912">
        <v>46174</v>
      </c>
      <c r="B203" s="828">
        <v>1</v>
      </c>
      <c r="C203" s="792" t="s">
        <v>417</v>
      </c>
      <c r="D203" s="829">
        <f>+Tabla1[[#This Row],[FECHA Entrega]]</f>
        <v>46176</v>
      </c>
      <c r="E203" s="830"/>
      <c r="F203" s="831" t="s">
        <v>448</v>
      </c>
      <c r="G203" s="832" t="s">
        <v>216</v>
      </c>
      <c r="H203" s="852">
        <v>46176</v>
      </c>
      <c r="I203" s="834">
        <f>800*50</f>
        <v>40000</v>
      </c>
      <c r="J203" s="835">
        <f t="shared" ref="J203:J210" si="85">600/1.21</f>
        <v>495.86776859504135</v>
      </c>
      <c r="K203" s="836">
        <f t="shared" ref="K203:K231" si="86">+J203*I203</f>
        <v>19834710.743801653</v>
      </c>
      <c r="L20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03" s="837">
        <f t="shared" si="82"/>
        <v>24000000</v>
      </c>
      <c r="N203" s="838">
        <v>0</v>
      </c>
      <c r="O203" s="838">
        <v>0</v>
      </c>
      <c r="P203" s="838">
        <v>0</v>
      </c>
      <c r="Q203" s="839">
        <f>+Tabla1[[#This Row],[VENTA TOTAL $ (IVA INC) ]]-Tabla1[[#This Row],[PENDIENTE DE COBRO]]</f>
        <v>24000000</v>
      </c>
      <c r="R203" s="840">
        <v>46093</v>
      </c>
      <c r="S203" s="840">
        <f>+Tabla1[[#This Row],[FECHA FC]]+Tabla1[[#This Row],[PLAZO PAGO (DIAS)]]</f>
        <v>46176</v>
      </c>
      <c r="T203" s="834">
        <f t="shared" ref="T203:T231" ca="1" si="87">+S203-$U$2</f>
        <v>-5</v>
      </c>
      <c r="U203" s="831">
        <f>+Tabla1[[#This Row],[FECHA RETIRO VALORES]]-Tabla1[[#This Row],[FECHA Entrega]]</f>
        <v>-83</v>
      </c>
      <c r="V203" s="831"/>
      <c r="W203" s="841">
        <f>+Tabla1[[#This Row],[FECHA VTO VALORES]]+7</f>
        <v>46183</v>
      </c>
      <c r="X203" s="831" t="s">
        <v>538</v>
      </c>
      <c r="Y203" s="840">
        <v>46094</v>
      </c>
      <c r="Z203" s="842">
        <f>Tabla1[[#This Row],[KGS]]/50</f>
        <v>800</v>
      </c>
      <c r="AA20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03" s="844">
        <f>-Tabla1[[#This Row],[COSTO FLETE $ POR BOLSA 5O KG (SIN IVA)]]*1.21-Tabla1[[#This Row],[PRECIO $/ KG A PLAZO EN CLIENTE ( SIN IVA)]]*0.003*1.21*50</f>
        <v>0.14499999999999602</v>
      </c>
      <c r="AC203" s="845">
        <f>SUM(Tabla1[[#This Row],[PRECIO $ BOLSA 50 KG (IVA INC) ]]+Tabla1[[#This Row],[COSTO FLETE $ BOLSA 50 KG (IVA INC)]])</f>
        <v>30000.145</v>
      </c>
      <c r="AD203" s="844">
        <f>-Tabla1[[#This Row],[PRECIO $ BOLSA 50 KG (IVA INC) ]]*(Tabla1[[#This Row],[TASA FINANCIACION MENSUAL]]/365)*Tabla1[[#This Row],[PLAZO ENTREGA VALORES]]</f>
        <v>197.83561643835617</v>
      </c>
      <c r="AE203" s="845">
        <f>SUM(Tabla1[[#This Row],[PRECIO $ BOLSA50 KG  FOB TUCUMAN A PLAZO (IVA INC)]]+Tabla1[[#This Row],[GASTOS FINANCIEROS $ BOLSA 50 KG (IVA INC)]])</f>
        <v>30197.980616438355</v>
      </c>
      <c r="AF203" s="828" t="s">
        <v>359</v>
      </c>
      <c r="AG203" s="828" t="s">
        <v>365</v>
      </c>
      <c r="AH203" s="828" t="s">
        <v>387</v>
      </c>
      <c r="AI203" s="828" t="s">
        <v>391</v>
      </c>
      <c r="AJ20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35314</v>
      </c>
      <c r="AK203" s="846">
        <f>SUM(Tabla1[[#This Row],[PRECIO $ BOLSA 50KG  FOB CDO TUC (IVA INC)]]-Tabla1[[#This Row],[PRECIO REF $ BOLSA 50 KG CACTU (IVA INC)]])</f>
        <v>-5116.0193835616446</v>
      </c>
      <c r="AL203" s="847">
        <f>IFERROR(Tabla1[[#This Row],[PRECIO $ BOLSA 50KG  FOB CDO TUC (IVA INC)]]/Tabla1[[#This Row],[PRECIO REF $ BOLSA 50 KG CACTU (IVA INC)]]-1,"")</f>
        <v>-0.14487227115482937</v>
      </c>
      <c r="AM203" s="846">
        <f>+Tabla1[[#This Row],[DIF $ PRECIO NETO INDUSTRIA vs Neto TUCUMAN (IVA INC)]]*Tabla1[[#This Row],[Q Bolsas Equivalentes 50kg]]</f>
        <v>-4092815.5068493159</v>
      </c>
      <c r="AN203" s="846">
        <f>Tabla1[[#This Row],[PRECIO REF $ BOLSA 50 KG CACTU (IVA INC)]]*Tabla1[[#This Row],[Q Bolsas Equivalentes 50kg]]</f>
        <v>28251200</v>
      </c>
      <c r="AO203" s="846">
        <f>+Tabla1[[#This Row],[PRECIO $ BOLSA 50KG  FOB CDO TUC (IVA INC)]]*Tabla1[[#This Row],[Q Bolsas Equivalentes 50kg]]</f>
        <v>24158384.493150685</v>
      </c>
      <c r="AP203" s="847">
        <v>2.9000000000000001E-2</v>
      </c>
      <c r="AQ203" s="846">
        <v>-74.5</v>
      </c>
      <c r="AR203" s="828">
        <v>0</v>
      </c>
      <c r="AS203" s="849"/>
      <c r="AT203" s="923">
        <f>+Tabla1[[#This Row],[VENTA TOTAL $ (IVA INC) ]]-(SUM(Tabla1[[#This Row],[PENDIENTE DE ENTREGA]:[VALORES COBRADOS]]))</f>
        <v>0</v>
      </c>
      <c r="AU203" s="850">
        <f>VLOOKUP(Tabla1[[#This Row],[FECHA OC]],'TIPO DE CAMBIO'!A:B,2,TRUE)</f>
        <v>1392.9851000000001</v>
      </c>
      <c r="AV203" s="850">
        <f>+Tabla1[[#This Row],[SUBTOTAL]]/Tabla1[[#This Row],[TIPO DE CAMBIO]]</f>
        <v>14238.997060199461</v>
      </c>
      <c r="AW203" s="851"/>
      <c r="AX203" s="850">
        <f>IFERROR(Tabla1[[#This Row],[VENTA TOTAL USD A PLAZO EN CLIENTE  (SIN IVA)]]*(1+Tabla1[[#This Row],[% IVA ]]),"")</f>
        <v>14238.997060199461</v>
      </c>
      <c r="AY203" s="850">
        <f>+Tabla1[[#This Row],[VENTA TOTAL USD A PLAZO EN CLIENTE  (SIN IVA)]]/Tabla1[[#This Row],[KGS]]*1000</f>
        <v>355.97492650498651</v>
      </c>
      <c r="AZ203" s="850">
        <f>-Tabla1[[#This Row],[COSTO FLETE $ POR BOLSA 5O KG (SIN IVA)]]*20/Tabla1[[#This Row],[TIPO DE CAMBIO]]</f>
        <v>1.0696453249930669</v>
      </c>
      <c r="BA203" s="850">
        <f>+Tabla1[[#This Row],[GASTOS FINANCIEROS $ BOLSA 50 KG (IVA INC)]]*20/Tabla1[[#This Row],[TIPO DE CAMBIO]]</f>
        <v>2.8404556005424055</v>
      </c>
      <c r="BB203" s="850">
        <f>+Tabla1[[#This Row],[PRECIO POR TN USD EN CLIENTE A PLAZO (SIN IVA)]]+Tabla1[[#This Row],[COSTO USD FLETE /TN (SIN IVA)]]+Tabla1[[#This Row],[COSTO FINANCIERO USD POR BOLSA 50KG (IVA INC)]]</f>
        <v>359.88502743052197</v>
      </c>
      <c r="BC203" s="828">
        <v>4</v>
      </c>
      <c r="BD203" s="944" t="s">
        <v>485</v>
      </c>
    </row>
    <row r="204" spans="1:56" ht="15.75" customHeight="1">
      <c r="A204" s="912">
        <v>46174</v>
      </c>
      <c r="B204" s="828">
        <v>1</v>
      </c>
      <c r="C204" s="792" t="s">
        <v>417</v>
      </c>
      <c r="D204" s="829">
        <f>+Tabla1[[#This Row],[FECHA Entrega]]</f>
        <v>46176</v>
      </c>
      <c r="E204" s="830"/>
      <c r="F204" s="831" t="s">
        <v>448</v>
      </c>
      <c r="G204" s="832" t="s">
        <v>216</v>
      </c>
      <c r="H204" s="852">
        <v>46176</v>
      </c>
      <c r="I204" s="834">
        <f t="shared" ref="I204:I210" si="88">800*50</f>
        <v>40000</v>
      </c>
      <c r="J204" s="835">
        <f t="shared" si="85"/>
        <v>495.86776859504135</v>
      </c>
      <c r="K204" s="836">
        <f t="shared" si="86"/>
        <v>19834710.743801653</v>
      </c>
      <c r="L20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04" s="837">
        <f t="shared" si="82"/>
        <v>24000000</v>
      </c>
      <c r="N204" s="838">
        <v>0</v>
      </c>
      <c r="O204" s="838">
        <v>0</v>
      </c>
      <c r="P204" s="838">
        <v>0</v>
      </c>
      <c r="Q204" s="839">
        <f>+Tabla1[[#This Row],[VENTA TOTAL $ (IVA INC) ]]-Tabla1[[#This Row],[PENDIENTE DE COBRO]]</f>
        <v>24000000</v>
      </c>
      <c r="R204" s="840">
        <v>46093</v>
      </c>
      <c r="S204" s="840">
        <f>+Tabla1[[#This Row],[FECHA FC]]+Tabla1[[#This Row],[PLAZO PAGO (DIAS)]]</f>
        <v>46176</v>
      </c>
      <c r="T204" s="834">
        <f t="shared" ca="1" si="87"/>
        <v>-5</v>
      </c>
      <c r="U204" s="831">
        <f>+Tabla1[[#This Row],[FECHA RETIRO VALORES]]-Tabla1[[#This Row],[FECHA Entrega]]</f>
        <v>-83</v>
      </c>
      <c r="V204" s="831"/>
      <c r="W204" s="841">
        <f>+Tabla1[[#This Row],[FECHA VTO VALORES]]+7</f>
        <v>46183</v>
      </c>
      <c r="X204" s="831" t="s">
        <v>538</v>
      </c>
      <c r="Y204" s="840">
        <v>46094</v>
      </c>
      <c r="Z204" s="842">
        <f>Tabla1[[#This Row],[KGS]]/50</f>
        <v>800</v>
      </c>
      <c r="AA20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04" s="844">
        <f>-Tabla1[[#This Row],[COSTO FLETE $ POR BOLSA 5O KG (SIN IVA)]]*1.21-Tabla1[[#This Row],[PRECIO $/ KG A PLAZO EN CLIENTE ( SIN IVA)]]*0.003*1.21*50</f>
        <v>0.14499999999999602</v>
      </c>
      <c r="AC204" s="845">
        <f>SUM(Tabla1[[#This Row],[PRECIO $ BOLSA 50 KG (IVA INC) ]]+Tabla1[[#This Row],[COSTO FLETE $ BOLSA 50 KG (IVA INC)]])</f>
        <v>30000.145</v>
      </c>
      <c r="AD204" s="844">
        <f>-Tabla1[[#This Row],[PRECIO $ BOLSA 50 KG (IVA INC) ]]*(Tabla1[[#This Row],[TASA FINANCIACION MENSUAL]]/365)*Tabla1[[#This Row],[PLAZO ENTREGA VALORES]]</f>
        <v>197.83561643835617</v>
      </c>
      <c r="AE204" s="845">
        <f>SUM(Tabla1[[#This Row],[PRECIO $ BOLSA50 KG  FOB TUCUMAN A PLAZO (IVA INC)]]+Tabla1[[#This Row],[GASTOS FINANCIEROS $ BOLSA 50 KG (IVA INC)]])</f>
        <v>30197.980616438355</v>
      </c>
      <c r="AF204" s="828" t="s">
        <v>359</v>
      </c>
      <c r="AG204" s="828" t="s">
        <v>365</v>
      </c>
      <c r="AH204" s="828" t="s">
        <v>387</v>
      </c>
      <c r="AI204" s="828" t="s">
        <v>391</v>
      </c>
      <c r="AJ20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35314</v>
      </c>
      <c r="AK204" s="846">
        <f>SUM(Tabla1[[#This Row],[PRECIO $ BOLSA 50KG  FOB CDO TUC (IVA INC)]]-Tabla1[[#This Row],[PRECIO REF $ BOLSA 50 KG CACTU (IVA INC)]])</f>
        <v>-5116.0193835616446</v>
      </c>
      <c r="AL204" s="847">
        <f>IFERROR(Tabla1[[#This Row],[PRECIO $ BOLSA 50KG  FOB CDO TUC (IVA INC)]]/Tabla1[[#This Row],[PRECIO REF $ BOLSA 50 KG CACTU (IVA INC)]]-1,"")</f>
        <v>-0.14487227115482937</v>
      </c>
      <c r="AM204" s="846">
        <f>+Tabla1[[#This Row],[DIF $ PRECIO NETO INDUSTRIA vs Neto TUCUMAN (IVA INC)]]*Tabla1[[#This Row],[Q Bolsas Equivalentes 50kg]]</f>
        <v>-4092815.5068493159</v>
      </c>
      <c r="AN204" s="846">
        <f>Tabla1[[#This Row],[PRECIO REF $ BOLSA 50 KG CACTU (IVA INC)]]*Tabla1[[#This Row],[Q Bolsas Equivalentes 50kg]]</f>
        <v>28251200</v>
      </c>
      <c r="AO204" s="846">
        <f>+Tabla1[[#This Row],[PRECIO $ BOLSA 50KG  FOB CDO TUC (IVA INC)]]*Tabla1[[#This Row],[Q Bolsas Equivalentes 50kg]]</f>
        <v>24158384.493150685</v>
      </c>
      <c r="AP204" s="847">
        <v>2.9000000000000001E-2</v>
      </c>
      <c r="AQ204" s="846">
        <v>-74.5</v>
      </c>
      <c r="AR204" s="828">
        <v>0</v>
      </c>
      <c r="AS204" s="849"/>
      <c r="AT204" s="923">
        <f>+Tabla1[[#This Row],[VENTA TOTAL $ (IVA INC) ]]-(SUM(Tabla1[[#This Row],[PENDIENTE DE ENTREGA]:[VALORES COBRADOS]]))</f>
        <v>0</v>
      </c>
      <c r="AU204" s="850">
        <f>VLOOKUP(Tabla1[[#This Row],[FECHA OC]],'TIPO DE CAMBIO'!A:B,2,TRUE)</f>
        <v>1392.9851000000001</v>
      </c>
      <c r="AV204" s="850">
        <f>+Tabla1[[#This Row],[SUBTOTAL]]/Tabla1[[#This Row],[TIPO DE CAMBIO]]</f>
        <v>14238.997060199461</v>
      </c>
      <c r="AW204" s="851"/>
      <c r="AX204" s="850">
        <f>IFERROR(Tabla1[[#This Row],[VENTA TOTAL USD A PLAZO EN CLIENTE  (SIN IVA)]]*(1+Tabla1[[#This Row],[% IVA ]]),"")</f>
        <v>14238.997060199461</v>
      </c>
      <c r="AY204" s="850">
        <f>+Tabla1[[#This Row],[VENTA TOTAL USD A PLAZO EN CLIENTE  (SIN IVA)]]/Tabla1[[#This Row],[KGS]]*1000</f>
        <v>355.97492650498651</v>
      </c>
      <c r="AZ204" s="850">
        <f>-Tabla1[[#This Row],[COSTO FLETE $ POR BOLSA 5O KG (SIN IVA)]]*20/Tabla1[[#This Row],[TIPO DE CAMBIO]]</f>
        <v>1.0696453249930669</v>
      </c>
      <c r="BA204" s="850">
        <f>+Tabla1[[#This Row],[GASTOS FINANCIEROS $ BOLSA 50 KG (IVA INC)]]*20/Tabla1[[#This Row],[TIPO DE CAMBIO]]</f>
        <v>2.8404556005424055</v>
      </c>
      <c r="BB204" s="850">
        <f>+Tabla1[[#This Row],[PRECIO POR TN USD EN CLIENTE A PLAZO (SIN IVA)]]+Tabla1[[#This Row],[COSTO USD FLETE /TN (SIN IVA)]]+Tabla1[[#This Row],[COSTO FINANCIERO USD POR BOLSA 50KG (IVA INC)]]</f>
        <v>359.88502743052197</v>
      </c>
      <c r="BC204" s="828">
        <v>4</v>
      </c>
      <c r="BD204" s="944" t="s">
        <v>485</v>
      </c>
    </row>
    <row r="205" spans="1:56" ht="15.75" customHeight="1">
      <c r="A205" s="912">
        <v>46174</v>
      </c>
      <c r="B205" s="828">
        <v>1</v>
      </c>
      <c r="C205" s="792" t="s">
        <v>417</v>
      </c>
      <c r="D205" s="829">
        <f>+Tabla1[[#This Row],[FECHA Entrega]]</f>
        <v>46181</v>
      </c>
      <c r="E205" s="830"/>
      <c r="F205" s="831" t="s">
        <v>448</v>
      </c>
      <c r="G205" s="832" t="s">
        <v>216</v>
      </c>
      <c r="H205" s="852">
        <v>46181</v>
      </c>
      <c r="I205" s="834">
        <f t="shared" si="88"/>
        <v>40000</v>
      </c>
      <c r="J205" s="835">
        <f t="shared" si="85"/>
        <v>495.86776859504135</v>
      </c>
      <c r="K205" s="836">
        <f t="shared" si="86"/>
        <v>19834710.743801653</v>
      </c>
      <c r="L20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05" s="837">
        <f t="shared" si="82"/>
        <v>24000000</v>
      </c>
      <c r="N205" s="838">
        <v>0</v>
      </c>
      <c r="O205" s="838">
        <v>0</v>
      </c>
      <c r="P205" s="838">
        <v>0</v>
      </c>
      <c r="Q205" s="839">
        <f>+Tabla1[[#This Row],[VENTA TOTAL $ (IVA INC) ]]-Tabla1[[#This Row],[PENDIENTE DE COBRO]]</f>
        <v>24000000</v>
      </c>
      <c r="R205" s="840">
        <v>46093</v>
      </c>
      <c r="S205" s="840">
        <f>+Tabla1[[#This Row],[FECHA FC]]+Tabla1[[#This Row],[PLAZO PAGO (DIAS)]]</f>
        <v>46181</v>
      </c>
      <c r="T205" s="834">
        <f t="shared" ca="1" si="87"/>
        <v>0</v>
      </c>
      <c r="U205" s="831">
        <f>+Tabla1[[#This Row],[FECHA RETIRO VALORES]]-Tabla1[[#This Row],[FECHA Entrega]]</f>
        <v>-88</v>
      </c>
      <c r="V205" s="831"/>
      <c r="W205" s="841">
        <f>+Tabla1[[#This Row],[FECHA VTO VALORES]]+7</f>
        <v>46188</v>
      </c>
      <c r="X205" s="831" t="s">
        <v>538</v>
      </c>
      <c r="Y205" s="840">
        <v>46094</v>
      </c>
      <c r="Z205" s="842">
        <f>Tabla1[[#This Row],[KGS]]/50</f>
        <v>800</v>
      </c>
      <c r="AA20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05" s="844">
        <f>-Tabla1[[#This Row],[COSTO FLETE $ POR BOLSA 5O KG (SIN IVA)]]*1.21-Tabla1[[#This Row],[PRECIO $/ KG A PLAZO EN CLIENTE ( SIN IVA)]]*0.003*1.21*50</f>
        <v>0.14499999999999602</v>
      </c>
      <c r="AC205" s="845">
        <f>SUM(Tabla1[[#This Row],[PRECIO $ BOLSA 50 KG (IVA INC) ]]+Tabla1[[#This Row],[COSTO FLETE $ BOLSA 50 KG (IVA INC)]])</f>
        <v>30000.145</v>
      </c>
      <c r="AD205" s="844">
        <f>-Tabla1[[#This Row],[PRECIO $ BOLSA 50 KG (IVA INC) ]]*(Tabla1[[#This Row],[TASA FINANCIACION MENSUAL]]/365)*Tabla1[[#This Row],[PLAZO ENTREGA VALORES]]</f>
        <v>209.75342465753425</v>
      </c>
      <c r="AE205" s="845">
        <f>SUM(Tabla1[[#This Row],[PRECIO $ BOLSA50 KG  FOB TUCUMAN A PLAZO (IVA INC)]]+Tabla1[[#This Row],[GASTOS FINANCIEROS $ BOLSA 50 KG (IVA INC)]])</f>
        <v>30209.898424657535</v>
      </c>
      <c r="AF205" s="828" t="s">
        <v>359</v>
      </c>
      <c r="AG205" s="828" t="s">
        <v>365</v>
      </c>
      <c r="AH205" s="828" t="s">
        <v>387</v>
      </c>
      <c r="AI205" s="828" t="s">
        <v>391</v>
      </c>
      <c r="AJ20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35314</v>
      </c>
      <c r="AK205" s="846">
        <f>SUM(Tabla1[[#This Row],[PRECIO $ BOLSA 50KG  FOB CDO TUC (IVA INC)]]-Tabla1[[#This Row],[PRECIO REF $ BOLSA 50 KG CACTU (IVA INC)]])</f>
        <v>-5104.1015753424654</v>
      </c>
      <c r="AL205" s="847">
        <f>IFERROR(Tabla1[[#This Row],[PRECIO $ BOLSA 50KG  FOB CDO TUC (IVA INC)]]/Tabla1[[#This Row],[PRECIO REF $ BOLSA 50 KG CACTU (IVA INC)]]-1,"")</f>
        <v>-0.14453479003631609</v>
      </c>
      <c r="AM205" s="846">
        <f>+Tabla1[[#This Row],[DIF $ PRECIO NETO INDUSTRIA vs Neto TUCUMAN (IVA INC)]]*Tabla1[[#This Row],[Q Bolsas Equivalentes 50kg]]</f>
        <v>-4083281.2602739725</v>
      </c>
      <c r="AN205" s="846">
        <f>Tabla1[[#This Row],[PRECIO REF $ BOLSA 50 KG CACTU (IVA INC)]]*Tabla1[[#This Row],[Q Bolsas Equivalentes 50kg]]</f>
        <v>28251200</v>
      </c>
      <c r="AO205" s="846">
        <f>+Tabla1[[#This Row],[PRECIO $ BOLSA 50KG  FOB CDO TUC (IVA INC)]]*Tabla1[[#This Row],[Q Bolsas Equivalentes 50kg]]</f>
        <v>24167918.739726029</v>
      </c>
      <c r="AP205" s="847">
        <v>2.9000000000000001E-2</v>
      </c>
      <c r="AQ205" s="846">
        <v>-74.5</v>
      </c>
      <c r="AR205" s="828">
        <v>0</v>
      </c>
      <c r="AS205" s="849"/>
      <c r="AT205" s="923">
        <f>+Tabla1[[#This Row],[VENTA TOTAL $ (IVA INC) ]]-(SUM(Tabla1[[#This Row],[PENDIENTE DE ENTREGA]:[VALORES COBRADOS]]))</f>
        <v>0</v>
      </c>
      <c r="AU205" s="850">
        <f>VLOOKUP(Tabla1[[#This Row],[FECHA OC]],'TIPO DE CAMBIO'!A:B,2,TRUE)</f>
        <v>1392.9851000000001</v>
      </c>
      <c r="AV205" s="850">
        <f>+Tabla1[[#This Row],[SUBTOTAL]]/Tabla1[[#This Row],[TIPO DE CAMBIO]]</f>
        <v>14238.997060199461</v>
      </c>
      <c r="AW205" s="851"/>
      <c r="AX205" s="850">
        <f>IFERROR(Tabla1[[#This Row],[VENTA TOTAL USD A PLAZO EN CLIENTE  (SIN IVA)]]*(1+Tabla1[[#This Row],[% IVA ]]),"")</f>
        <v>14238.997060199461</v>
      </c>
      <c r="AY205" s="850">
        <f>+Tabla1[[#This Row],[VENTA TOTAL USD A PLAZO EN CLIENTE  (SIN IVA)]]/Tabla1[[#This Row],[KGS]]*1000</f>
        <v>355.97492650498651</v>
      </c>
      <c r="AZ205" s="850">
        <f>-Tabla1[[#This Row],[COSTO FLETE $ POR BOLSA 5O KG (SIN IVA)]]*20/Tabla1[[#This Row],[TIPO DE CAMBIO]]</f>
        <v>1.0696453249930669</v>
      </c>
      <c r="BA205" s="850">
        <f>+Tabla1[[#This Row],[GASTOS FINANCIEROS $ BOLSA 50 KG (IVA INC)]]*20/Tabla1[[#This Row],[TIPO DE CAMBIO]]</f>
        <v>3.0115673837076109</v>
      </c>
      <c r="BB205" s="850">
        <f>+Tabla1[[#This Row],[PRECIO POR TN USD EN CLIENTE A PLAZO (SIN IVA)]]+Tabla1[[#This Row],[COSTO USD FLETE /TN (SIN IVA)]]+Tabla1[[#This Row],[COSTO FINANCIERO USD POR BOLSA 50KG (IVA INC)]]</f>
        <v>360.05613921368717</v>
      </c>
      <c r="BC205" s="828">
        <v>4</v>
      </c>
      <c r="BD205" s="944" t="s">
        <v>485</v>
      </c>
    </row>
    <row r="206" spans="1:56" ht="15.75" customHeight="1">
      <c r="A206" s="912">
        <v>46174</v>
      </c>
      <c r="B206" s="828">
        <v>1</v>
      </c>
      <c r="C206" s="792" t="s">
        <v>417</v>
      </c>
      <c r="D206" s="829">
        <f>+Tabla1[[#This Row],[FECHA Entrega]]</f>
        <v>46183</v>
      </c>
      <c r="E206" s="830"/>
      <c r="F206" s="831" t="s">
        <v>448</v>
      </c>
      <c r="G206" s="832" t="s">
        <v>216</v>
      </c>
      <c r="H206" s="852">
        <v>46183</v>
      </c>
      <c r="I206" s="834">
        <f t="shared" si="88"/>
        <v>40000</v>
      </c>
      <c r="J206" s="835">
        <f t="shared" si="85"/>
        <v>495.86776859504135</v>
      </c>
      <c r="K206" s="836">
        <f t="shared" si="86"/>
        <v>19834710.743801653</v>
      </c>
      <c r="L20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06" s="837">
        <f t="shared" si="82"/>
        <v>24000000</v>
      </c>
      <c r="N206" s="838">
        <v>0</v>
      </c>
      <c r="O206" s="838">
        <v>0</v>
      </c>
      <c r="P206" s="838">
        <v>0</v>
      </c>
      <c r="Q206" s="839">
        <f>+Tabla1[[#This Row],[VENTA TOTAL $ (IVA INC) ]]-Tabla1[[#This Row],[PENDIENTE DE COBRO]]</f>
        <v>24000000</v>
      </c>
      <c r="R206" s="840">
        <v>46093</v>
      </c>
      <c r="S206" s="840">
        <f>+Tabla1[[#This Row],[FECHA FC]]+Tabla1[[#This Row],[PLAZO PAGO (DIAS)]]</f>
        <v>46183</v>
      </c>
      <c r="T206" s="834">
        <f t="shared" ca="1" si="87"/>
        <v>2</v>
      </c>
      <c r="U206" s="831">
        <f>+Tabla1[[#This Row],[FECHA RETIRO VALORES]]-Tabla1[[#This Row],[FECHA Entrega]]</f>
        <v>-90</v>
      </c>
      <c r="V206" s="831"/>
      <c r="W206" s="841">
        <f>+Tabla1[[#This Row],[FECHA VTO VALORES]]+7</f>
        <v>46190</v>
      </c>
      <c r="X206" s="831" t="s">
        <v>538</v>
      </c>
      <c r="Y206" s="840">
        <v>46094</v>
      </c>
      <c r="Z206" s="842">
        <f>Tabla1[[#This Row],[KGS]]/50</f>
        <v>800</v>
      </c>
      <c r="AA20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06" s="844">
        <f>-Tabla1[[#This Row],[COSTO FLETE $ POR BOLSA 5O KG (SIN IVA)]]*1.21-Tabla1[[#This Row],[PRECIO $/ KG A PLAZO EN CLIENTE ( SIN IVA)]]*0.003*1.21*50</f>
        <v>0.14499999999999602</v>
      </c>
      <c r="AC206" s="845">
        <f>SUM(Tabla1[[#This Row],[PRECIO $ BOLSA 50 KG (IVA INC) ]]+Tabla1[[#This Row],[COSTO FLETE $ BOLSA 50 KG (IVA INC)]])</f>
        <v>30000.145</v>
      </c>
      <c r="AD206" s="844">
        <f>-Tabla1[[#This Row],[PRECIO $ BOLSA 50 KG (IVA INC) ]]*(Tabla1[[#This Row],[TASA FINANCIACION MENSUAL]]/365)*Tabla1[[#This Row],[PLAZO ENTREGA VALORES]]</f>
        <v>214.52054794520549</v>
      </c>
      <c r="AE206" s="845">
        <f>SUM(Tabla1[[#This Row],[PRECIO $ BOLSA50 KG  FOB TUCUMAN A PLAZO (IVA INC)]]+Tabla1[[#This Row],[GASTOS FINANCIEROS $ BOLSA 50 KG (IVA INC)]])</f>
        <v>30214.665547945206</v>
      </c>
      <c r="AF206" s="828" t="s">
        <v>359</v>
      </c>
      <c r="AG206" s="828" t="s">
        <v>365</v>
      </c>
      <c r="AH206" s="828" t="s">
        <v>387</v>
      </c>
      <c r="AI206" s="828" t="s">
        <v>391</v>
      </c>
      <c r="AJ20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35314</v>
      </c>
      <c r="AK206" s="846">
        <f>SUM(Tabla1[[#This Row],[PRECIO $ BOLSA 50KG  FOB CDO TUC (IVA INC)]]-Tabla1[[#This Row],[PRECIO REF $ BOLSA 50 KG CACTU (IVA INC)]])</f>
        <v>-5099.3344520547944</v>
      </c>
      <c r="AL206" s="847">
        <f>IFERROR(Tabla1[[#This Row],[PRECIO $ BOLSA 50KG  FOB CDO TUC (IVA INC)]]/Tabla1[[#This Row],[PRECIO REF $ BOLSA 50 KG CACTU (IVA INC)]]-1,"")</f>
        <v>-0.14439979758891075</v>
      </c>
      <c r="AM206" s="846">
        <f>+Tabla1[[#This Row],[DIF $ PRECIO NETO INDUSTRIA vs Neto TUCUMAN (IVA INC)]]*Tabla1[[#This Row],[Q Bolsas Equivalentes 50kg]]</f>
        <v>-4079467.5616438356</v>
      </c>
      <c r="AN206" s="846">
        <f>Tabla1[[#This Row],[PRECIO REF $ BOLSA 50 KG CACTU (IVA INC)]]*Tabla1[[#This Row],[Q Bolsas Equivalentes 50kg]]</f>
        <v>28251200</v>
      </c>
      <c r="AO206" s="846">
        <f>+Tabla1[[#This Row],[PRECIO $ BOLSA 50KG  FOB CDO TUC (IVA INC)]]*Tabla1[[#This Row],[Q Bolsas Equivalentes 50kg]]</f>
        <v>24171732.438356165</v>
      </c>
      <c r="AP206" s="847">
        <v>2.9000000000000001E-2</v>
      </c>
      <c r="AQ206" s="846">
        <v>-74.5</v>
      </c>
      <c r="AR206" s="828">
        <v>0</v>
      </c>
      <c r="AS206" s="849"/>
      <c r="AT206" s="923">
        <f>+Tabla1[[#This Row],[VENTA TOTAL $ (IVA INC) ]]-(SUM(Tabla1[[#This Row],[PENDIENTE DE ENTREGA]:[VALORES COBRADOS]]))</f>
        <v>0</v>
      </c>
      <c r="AU206" s="850">
        <f>VLOOKUP(Tabla1[[#This Row],[FECHA OC]],'TIPO DE CAMBIO'!A:B,2,TRUE)</f>
        <v>1392.9851000000001</v>
      </c>
      <c r="AV206" s="850">
        <f>+Tabla1[[#This Row],[SUBTOTAL]]/Tabla1[[#This Row],[TIPO DE CAMBIO]]</f>
        <v>14238.997060199461</v>
      </c>
      <c r="AW206" s="851"/>
      <c r="AX206" s="850">
        <f>IFERROR(Tabla1[[#This Row],[VENTA TOTAL USD A PLAZO EN CLIENTE  (SIN IVA)]]*(1+Tabla1[[#This Row],[% IVA ]]),"")</f>
        <v>14238.997060199461</v>
      </c>
      <c r="AY206" s="850">
        <f>+Tabla1[[#This Row],[VENTA TOTAL USD A PLAZO EN CLIENTE  (SIN IVA)]]/Tabla1[[#This Row],[KGS]]*1000</f>
        <v>355.97492650498651</v>
      </c>
      <c r="AZ206" s="850">
        <f>-Tabla1[[#This Row],[COSTO FLETE $ POR BOLSA 5O KG (SIN IVA)]]*20/Tabla1[[#This Row],[TIPO DE CAMBIO]]</f>
        <v>1.0696453249930669</v>
      </c>
      <c r="BA206" s="850">
        <f>+Tabla1[[#This Row],[GASTOS FINANCIEROS $ BOLSA 50 KG (IVA INC)]]*20/Tabla1[[#This Row],[TIPO DE CAMBIO]]</f>
        <v>3.080012096973693</v>
      </c>
      <c r="BB206" s="850">
        <f>+Tabla1[[#This Row],[PRECIO POR TN USD EN CLIENTE A PLAZO (SIN IVA)]]+Tabla1[[#This Row],[COSTO USD FLETE /TN (SIN IVA)]]+Tabla1[[#This Row],[COSTO FINANCIERO USD POR BOLSA 50KG (IVA INC)]]</f>
        <v>360.12458392695328</v>
      </c>
      <c r="BC206" s="828">
        <v>4</v>
      </c>
      <c r="BD206" s="944" t="s">
        <v>485</v>
      </c>
    </row>
    <row r="207" spans="1:56" ht="15.75" customHeight="1">
      <c r="A207" s="912">
        <v>46174</v>
      </c>
      <c r="B207" s="828">
        <v>1</v>
      </c>
      <c r="C207" s="792" t="s">
        <v>417</v>
      </c>
      <c r="D207" s="829">
        <f>+Tabla1[[#This Row],[FECHA Entrega]]</f>
        <v>46185</v>
      </c>
      <c r="E207" s="830"/>
      <c r="F207" s="831" t="s">
        <v>448</v>
      </c>
      <c r="G207" s="832" t="s">
        <v>216</v>
      </c>
      <c r="H207" s="852">
        <v>46185</v>
      </c>
      <c r="I207" s="834">
        <f t="shared" si="88"/>
        <v>40000</v>
      </c>
      <c r="J207" s="835">
        <f t="shared" si="85"/>
        <v>495.86776859504135</v>
      </c>
      <c r="K207" s="836">
        <f t="shared" si="86"/>
        <v>19834710.743801653</v>
      </c>
      <c r="L20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07" s="837">
        <f t="shared" si="82"/>
        <v>24000000</v>
      </c>
      <c r="N207" s="838">
        <v>0</v>
      </c>
      <c r="O207" s="838">
        <v>0</v>
      </c>
      <c r="P207" s="838">
        <v>0</v>
      </c>
      <c r="Q207" s="839">
        <f>+Tabla1[[#This Row],[VENTA TOTAL $ (IVA INC) ]]-Tabla1[[#This Row],[PENDIENTE DE COBRO]]</f>
        <v>24000000</v>
      </c>
      <c r="R207" s="840">
        <v>46093</v>
      </c>
      <c r="S207" s="840">
        <f>+Tabla1[[#This Row],[FECHA FC]]+Tabla1[[#This Row],[PLAZO PAGO (DIAS)]]</f>
        <v>46185</v>
      </c>
      <c r="T207" s="834">
        <f t="shared" ca="1" si="87"/>
        <v>4</v>
      </c>
      <c r="U207" s="831">
        <f>+Tabla1[[#This Row],[FECHA RETIRO VALORES]]-Tabla1[[#This Row],[FECHA Entrega]]</f>
        <v>-92</v>
      </c>
      <c r="V207" s="831"/>
      <c r="W207" s="841">
        <f>+Tabla1[[#This Row],[FECHA VTO VALORES]]+7</f>
        <v>46192</v>
      </c>
      <c r="X207" s="831" t="s">
        <v>538</v>
      </c>
      <c r="Y207" s="840">
        <v>46094</v>
      </c>
      <c r="Z207" s="842">
        <f>Tabla1[[#This Row],[KGS]]/50</f>
        <v>800</v>
      </c>
      <c r="AA20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07" s="844">
        <f>-Tabla1[[#This Row],[COSTO FLETE $ POR BOLSA 5O KG (SIN IVA)]]*1.21-Tabla1[[#This Row],[PRECIO $/ KG A PLAZO EN CLIENTE ( SIN IVA)]]*0.003*1.21*50</f>
        <v>0.14499999999999602</v>
      </c>
      <c r="AC207" s="845">
        <f>SUM(Tabla1[[#This Row],[PRECIO $ BOLSA 50 KG (IVA INC) ]]+Tabla1[[#This Row],[COSTO FLETE $ BOLSA 50 KG (IVA INC)]])</f>
        <v>30000.145</v>
      </c>
      <c r="AD207" s="844">
        <f>-Tabla1[[#This Row],[PRECIO $ BOLSA 50 KG (IVA INC) ]]*(Tabla1[[#This Row],[TASA FINANCIACION MENSUAL]]/365)*Tabla1[[#This Row],[PLAZO ENTREGA VALORES]]</f>
        <v>219.28767123287673</v>
      </c>
      <c r="AE207" s="845">
        <f>SUM(Tabla1[[#This Row],[PRECIO $ BOLSA50 KG  FOB TUCUMAN A PLAZO (IVA INC)]]+Tabla1[[#This Row],[GASTOS FINANCIEROS $ BOLSA 50 KG (IVA INC)]])</f>
        <v>30219.432671232877</v>
      </c>
      <c r="AF207" s="828" t="s">
        <v>359</v>
      </c>
      <c r="AG207" s="828" t="s">
        <v>365</v>
      </c>
      <c r="AH207" s="828" t="s">
        <v>387</v>
      </c>
      <c r="AI207" s="828" t="s">
        <v>391</v>
      </c>
      <c r="AJ20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35314</v>
      </c>
      <c r="AK207" s="846">
        <f>SUM(Tabla1[[#This Row],[PRECIO $ BOLSA 50KG  FOB CDO TUC (IVA INC)]]-Tabla1[[#This Row],[PRECIO REF $ BOLSA 50 KG CACTU (IVA INC)]])</f>
        <v>-5094.5673287671234</v>
      </c>
      <c r="AL207" s="847">
        <f>IFERROR(Tabla1[[#This Row],[PRECIO $ BOLSA 50KG  FOB CDO TUC (IVA INC)]]/Tabla1[[#This Row],[PRECIO REF $ BOLSA 50 KG CACTU (IVA INC)]]-1,"")</f>
        <v>-0.14426480514150541</v>
      </c>
      <c r="AM207" s="846">
        <f>+Tabla1[[#This Row],[DIF $ PRECIO NETO INDUSTRIA vs Neto TUCUMAN (IVA INC)]]*Tabla1[[#This Row],[Q Bolsas Equivalentes 50kg]]</f>
        <v>-4075653.8630136987</v>
      </c>
      <c r="AN207" s="846">
        <f>Tabla1[[#This Row],[PRECIO REF $ BOLSA 50 KG CACTU (IVA INC)]]*Tabla1[[#This Row],[Q Bolsas Equivalentes 50kg]]</f>
        <v>28251200</v>
      </c>
      <c r="AO207" s="846">
        <f>+Tabla1[[#This Row],[PRECIO $ BOLSA 50KG  FOB CDO TUC (IVA INC)]]*Tabla1[[#This Row],[Q Bolsas Equivalentes 50kg]]</f>
        <v>24175546.1369863</v>
      </c>
      <c r="AP207" s="847">
        <v>2.9000000000000001E-2</v>
      </c>
      <c r="AQ207" s="846">
        <v>-74.5</v>
      </c>
      <c r="AR207" s="828">
        <v>0</v>
      </c>
      <c r="AS207" s="849"/>
      <c r="AT207" s="923">
        <f>+Tabla1[[#This Row],[VENTA TOTAL $ (IVA INC) ]]-(SUM(Tabla1[[#This Row],[PENDIENTE DE ENTREGA]:[VALORES COBRADOS]]))</f>
        <v>0</v>
      </c>
      <c r="AU207" s="850">
        <f>VLOOKUP(Tabla1[[#This Row],[FECHA OC]],'TIPO DE CAMBIO'!A:B,2,TRUE)</f>
        <v>1392.9851000000001</v>
      </c>
      <c r="AV207" s="850">
        <f>+Tabla1[[#This Row],[SUBTOTAL]]/Tabla1[[#This Row],[TIPO DE CAMBIO]]</f>
        <v>14238.997060199461</v>
      </c>
      <c r="AW207" s="851"/>
      <c r="AX207" s="850">
        <f>IFERROR(Tabla1[[#This Row],[VENTA TOTAL USD A PLAZO EN CLIENTE  (SIN IVA)]]*(1+Tabla1[[#This Row],[% IVA ]]),"")</f>
        <v>14238.997060199461</v>
      </c>
      <c r="AY207" s="850">
        <f>+Tabla1[[#This Row],[VENTA TOTAL USD A PLAZO EN CLIENTE  (SIN IVA)]]/Tabla1[[#This Row],[KGS]]*1000</f>
        <v>355.97492650498651</v>
      </c>
      <c r="AZ207" s="850">
        <f>-Tabla1[[#This Row],[COSTO FLETE $ POR BOLSA 5O KG (SIN IVA)]]*20/Tabla1[[#This Row],[TIPO DE CAMBIO]]</f>
        <v>1.0696453249930669</v>
      </c>
      <c r="BA207" s="850">
        <f>+Tabla1[[#This Row],[GASTOS FINANCIEROS $ BOLSA 50 KG (IVA INC)]]*20/Tabla1[[#This Row],[TIPO DE CAMBIO]]</f>
        <v>3.1484568102397748</v>
      </c>
      <c r="BB207" s="850">
        <f>+Tabla1[[#This Row],[PRECIO POR TN USD EN CLIENTE A PLAZO (SIN IVA)]]+Tabla1[[#This Row],[COSTO USD FLETE /TN (SIN IVA)]]+Tabla1[[#This Row],[COSTO FINANCIERO USD POR BOLSA 50KG (IVA INC)]]</f>
        <v>360.19302864021938</v>
      </c>
      <c r="BC207" s="828">
        <v>4</v>
      </c>
      <c r="BD207" s="944" t="s">
        <v>485</v>
      </c>
    </row>
    <row r="208" spans="1:56" ht="15.75" customHeight="1">
      <c r="A208" s="912">
        <v>46174</v>
      </c>
      <c r="B208" s="828">
        <v>1</v>
      </c>
      <c r="C208" s="792" t="s">
        <v>417</v>
      </c>
      <c r="D208" s="829">
        <f>+Tabla1[[#This Row],[FECHA Entrega]]</f>
        <v>46188</v>
      </c>
      <c r="E208" s="830"/>
      <c r="F208" s="831" t="s">
        <v>448</v>
      </c>
      <c r="G208" s="832" t="s">
        <v>216</v>
      </c>
      <c r="H208" s="852">
        <v>46188</v>
      </c>
      <c r="I208" s="834">
        <f t="shared" si="88"/>
        <v>40000</v>
      </c>
      <c r="J208" s="835">
        <f t="shared" si="85"/>
        <v>495.86776859504135</v>
      </c>
      <c r="K208" s="836">
        <f t="shared" si="86"/>
        <v>19834710.743801653</v>
      </c>
      <c r="L20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08" s="837">
        <f t="shared" si="82"/>
        <v>24000000</v>
      </c>
      <c r="N208" s="838">
        <v>0</v>
      </c>
      <c r="O208" s="838">
        <v>0</v>
      </c>
      <c r="P208" s="838">
        <v>0</v>
      </c>
      <c r="Q208" s="839">
        <f>+Tabla1[[#This Row],[VENTA TOTAL $ (IVA INC) ]]-Tabla1[[#This Row],[PENDIENTE DE COBRO]]</f>
        <v>24000000</v>
      </c>
      <c r="R208" s="840">
        <v>46093</v>
      </c>
      <c r="S208" s="840">
        <f>+Tabla1[[#This Row],[FECHA FC]]+Tabla1[[#This Row],[PLAZO PAGO (DIAS)]]</f>
        <v>46188</v>
      </c>
      <c r="T208" s="834">
        <f t="shared" ca="1" si="87"/>
        <v>7</v>
      </c>
      <c r="U208" s="831">
        <f>+Tabla1[[#This Row],[FECHA RETIRO VALORES]]-Tabla1[[#This Row],[FECHA Entrega]]</f>
        <v>-95</v>
      </c>
      <c r="V208" s="831"/>
      <c r="W208" s="841">
        <f>+Tabla1[[#This Row],[FECHA VTO VALORES]]+7</f>
        <v>46195</v>
      </c>
      <c r="X208" s="831" t="s">
        <v>538</v>
      </c>
      <c r="Y208" s="840">
        <v>46094</v>
      </c>
      <c r="Z208" s="842">
        <f>Tabla1[[#This Row],[KGS]]/50</f>
        <v>800</v>
      </c>
      <c r="AA20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08" s="844">
        <f>-Tabla1[[#This Row],[COSTO FLETE $ POR BOLSA 5O KG (SIN IVA)]]*1.21-Tabla1[[#This Row],[PRECIO $/ KG A PLAZO EN CLIENTE ( SIN IVA)]]*0.003*1.21*50</f>
        <v>0.14499999999999602</v>
      </c>
      <c r="AC208" s="845">
        <f>SUM(Tabla1[[#This Row],[PRECIO $ BOLSA 50 KG (IVA INC) ]]+Tabla1[[#This Row],[COSTO FLETE $ BOLSA 50 KG (IVA INC)]])</f>
        <v>30000.145</v>
      </c>
      <c r="AD208" s="844">
        <f>-Tabla1[[#This Row],[PRECIO $ BOLSA 50 KG (IVA INC) ]]*(Tabla1[[#This Row],[TASA FINANCIACION MENSUAL]]/365)*Tabla1[[#This Row],[PLAZO ENTREGA VALORES]]</f>
        <v>226.43835616438358</v>
      </c>
      <c r="AE208" s="845">
        <f>SUM(Tabla1[[#This Row],[PRECIO $ BOLSA50 KG  FOB TUCUMAN A PLAZO (IVA INC)]]+Tabla1[[#This Row],[GASTOS FINANCIEROS $ BOLSA 50 KG (IVA INC)]])</f>
        <v>30226.583356164385</v>
      </c>
      <c r="AF208" s="828" t="s">
        <v>359</v>
      </c>
      <c r="AG208" s="828" t="s">
        <v>365</v>
      </c>
      <c r="AH208" s="828" t="s">
        <v>387</v>
      </c>
      <c r="AI208" s="828" t="s">
        <v>391</v>
      </c>
      <c r="AJ20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35314</v>
      </c>
      <c r="AK208" s="846">
        <f>SUM(Tabla1[[#This Row],[PRECIO $ BOLSA 50KG  FOB CDO TUC (IVA INC)]]-Tabla1[[#This Row],[PRECIO REF $ BOLSA 50 KG CACTU (IVA INC)]])</f>
        <v>-5087.4166438356151</v>
      </c>
      <c r="AL208" s="847">
        <f>IFERROR(Tabla1[[#This Row],[PRECIO $ BOLSA 50KG  FOB CDO TUC (IVA INC)]]/Tabla1[[#This Row],[PRECIO REF $ BOLSA 50 KG CACTU (IVA INC)]]-1,"")</f>
        <v>-0.14406231647039747</v>
      </c>
      <c r="AM208" s="846">
        <f>+Tabla1[[#This Row],[DIF $ PRECIO NETO INDUSTRIA vs Neto TUCUMAN (IVA INC)]]*Tabla1[[#This Row],[Q Bolsas Equivalentes 50kg]]</f>
        <v>-4069933.3150684922</v>
      </c>
      <c r="AN208" s="846">
        <f>Tabla1[[#This Row],[PRECIO REF $ BOLSA 50 KG CACTU (IVA INC)]]*Tabla1[[#This Row],[Q Bolsas Equivalentes 50kg]]</f>
        <v>28251200</v>
      </c>
      <c r="AO208" s="846">
        <f>+Tabla1[[#This Row],[PRECIO $ BOLSA 50KG  FOB CDO TUC (IVA INC)]]*Tabla1[[#This Row],[Q Bolsas Equivalentes 50kg]]</f>
        <v>24181266.684931509</v>
      </c>
      <c r="AP208" s="847">
        <v>2.9000000000000001E-2</v>
      </c>
      <c r="AQ208" s="846">
        <v>-74.5</v>
      </c>
      <c r="AR208" s="828">
        <v>0</v>
      </c>
      <c r="AS208" s="849"/>
      <c r="AT208" s="923">
        <f>+Tabla1[[#This Row],[VENTA TOTAL $ (IVA INC) ]]-(SUM(Tabla1[[#This Row],[PENDIENTE DE ENTREGA]:[VALORES COBRADOS]]))</f>
        <v>0</v>
      </c>
      <c r="AU208" s="850">
        <f>VLOOKUP(Tabla1[[#This Row],[FECHA OC]],'TIPO DE CAMBIO'!A:B,2,TRUE)</f>
        <v>1392.9851000000001</v>
      </c>
      <c r="AV208" s="850">
        <f>+Tabla1[[#This Row],[SUBTOTAL]]/Tabla1[[#This Row],[TIPO DE CAMBIO]]</f>
        <v>14238.997060199461</v>
      </c>
      <c r="AW208" s="851"/>
      <c r="AX208" s="850">
        <f>IFERROR(Tabla1[[#This Row],[VENTA TOTAL USD A PLAZO EN CLIENTE  (SIN IVA)]]*(1+Tabla1[[#This Row],[% IVA ]]),"")</f>
        <v>14238.997060199461</v>
      </c>
      <c r="AY208" s="850">
        <f>+Tabla1[[#This Row],[VENTA TOTAL USD A PLAZO EN CLIENTE  (SIN IVA)]]/Tabla1[[#This Row],[KGS]]*1000</f>
        <v>355.97492650498651</v>
      </c>
      <c r="AZ208" s="850">
        <f>-Tabla1[[#This Row],[COSTO FLETE $ POR BOLSA 5O KG (SIN IVA)]]*20/Tabla1[[#This Row],[TIPO DE CAMBIO]]</f>
        <v>1.0696453249930669</v>
      </c>
      <c r="BA208" s="850">
        <f>+Tabla1[[#This Row],[GASTOS FINANCIEROS $ BOLSA 50 KG (IVA INC)]]*20/Tabla1[[#This Row],[TIPO DE CAMBIO]]</f>
        <v>3.2511238801388984</v>
      </c>
      <c r="BB208" s="850">
        <f>+Tabla1[[#This Row],[PRECIO POR TN USD EN CLIENTE A PLAZO (SIN IVA)]]+Tabla1[[#This Row],[COSTO USD FLETE /TN (SIN IVA)]]+Tabla1[[#This Row],[COSTO FINANCIERO USD POR BOLSA 50KG (IVA INC)]]</f>
        <v>360.29569571011848</v>
      </c>
      <c r="BC208" s="828">
        <v>4</v>
      </c>
      <c r="BD208" s="944" t="s">
        <v>485</v>
      </c>
    </row>
    <row r="209" spans="1:56" ht="15.75" customHeight="1">
      <c r="A209" s="912">
        <v>46174</v>
      </c>
      <c r="B209" s="828">
        <v>1</v>
      </c>
      <c r="C209" s="792" t="s">
        <v>417</v>
      </c>
      <c r="D209" s="829">
        <f>+Tabla1[[#This Row],[FECHA Entrega]]</f>
        <v>46196</v>
      </c>
      <c r="E209" s="830"/>
      <c r="F209" s="831" t="s">
        <v>448</v>
      </c>
      <c r="G209" s="832" t="s">
        <v>216</v>
      </c>
      <c r="H209" s="852">
        <v>46196</v>
      </c>
      <c r="I209" s="834">
        <f t="shared" si="88"/>
        <v>40000</v>
      </c>
      <c r="J209" s="835">
        <f t="shared" si="85"/>
        <v>495.86776859504135</v>
      </c>
      <c r="K209" s="836">
        <f t="shared" si="86"/>
        <v>19834710.743801653</v>
      </c>
      <c r="L20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09" s="837">
        <f t="shared" si="82"/>
        <v>24000000</v>
      </c>
      <c r="N209" s="838">
        <v>0</v>
      </c>
      <c r="O209" s="838">
        <v>0</v>
      </c>
      <c r="P209" s="838">
        <v>0</v>
      </c>
      <c r="Q209" s="839">
        <f>+Tabla1[[#This Row],[VENTA TOTAL $ (IVA INC) ]]-Tabla1[[#This Row],[PENDIENTE DE COBRO]]</f>
        <v>24000000</v>
      </c>
      <c r="R209" s="840">
        <v>46093</v>
      </c>
      <c r="S209" s="840">
        <f>+Tabla1[[#This Row],[FECHA FC]]+Tabla1[[#This Row],[PLAZO PAGO (DIAS)]]</f>
        <v>46203</v>
      </c>
      <c r="T209" s="834">
        <f t="shared" ca="1" si="87"/>
        <v>22</v>
      </c>
      <c r="U209" s="831">
        <f>+Tabla1[[#This Row],[FECHA RETIRO VALORES]]-Tabla1[[#This Row],[FECHA Entrega]]</f>
        <v>-103</v>
      </c>
      <c r="V209" s="831"/>
      <c r="W209" s="841">
        <f>+Tabla1[[#This Row],[FECHA VTO VALORES]]+7</f>
        <v>46210</v>
      </c>
      <c r="X209" s="831" t="s">
        <v>538</v>
      </c>
      <c r="Y209" s="840">
        <v>46094</v>
      </c>
      <c r="Z209" s="842">
        <f>Tabla1[[#This Row],[KGS]]/50</f>
        <v>800</v>
      </c>
      <c r="AA20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09" s="844">
        <f>-Tabla1[[#This Row],[COSTO FLETE $ POR BOLSA 5O KG (SIN IVA)]]*1.21-Tabla1[[#This Row],[PRECIO $/ KG A PLAZO EN CLIENTE ( SIN IVA)]]*0.003*1.21*50</f>
        <v>0.14499999999999602</v>
      </c>
      <c r="AC209" s="845">
        <f>SUM(Tabla1[[#This Row],[PRECIO $ BOLSA 50 KG (IVA INC) ]]+Tabla1[[#This Row],[COSTO FLETE $ BOLSA 50 KG (IVA INC)]])</f>
        <v>30000.145</v>
      </c>
      <c r="AD209" s="844">
        <f>-Tabla1[[#This Row],[PRECIO $ BOLSA 50 KG (IVA INC) ]]*(Tabla1[[#This Row],[TASA FINANCIACION MENSUAL]]/365)*Tabla1[[#This Row],[PLAZO ENTREGA VALORES]]</f>
        <v>245.50684931506851</v>
      </c>
      <c r="AE209" s="845">
        <f>SUM(Tabla1[[#This Row],[PRECIO $ BOLSA50 KG  FOB TUCUMAN A PLAZO (IVA INC)]]+Tabla1[[#This Row],[GASTOS FINANCIEROS $ BOLSA 50 KG (IVA INC)]])</f>
        <v>30245.651849315069</v>
      </c>
      <c r="AF209" s="828" t="s">
        <v>359</v>
      </c>
      <c r="AG209" s="828" t="s">
        <v>365</v>
      </c>
      <c r="AH209" s="828" t="s">
        <v>387</v>
      </c>
      <c r="AI209" s="828" t="s">
        <v>391</v>
      </c>
      <c r="AJ20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35314</v>
      </c>
      <c r="AK209" s="846">
        <f>SUM(Tabla1[[#This Row],[PRECIO $ BOLSA 50KG  FOB CDO TUC (IVA INC)]]-Tabla1[[#This Row],[PRECIO REF $ BOLSA 50 KG CACTU (IVA INC)]])</f>
        <v>-5068.3481506849312</v>
      </c>
      <c r="AL209" s="847">
        <f>IFERROR(Tabla1[[#This Row],[PRECIO $ BOLSA 50KG  FOB CDO TUC (IVA INC)]]/Tabla1[[#This Row],[PRECIO REF $ BOLSA 50 KG CACTU (IVA INC)]]-1,"")</f>
        <v>-0.14352234668077624</v>
      </c>
      <c r="AM209" s="846">
        <f>+Tabla1[[#This Row],[DIF $ PRECIO NETO INDUSTRIA vs Neto TUCUMAN (IVA INC)]]*Tabla1[[#This Row],[Q Bolsas Equivalentes 50kg]]</f>
        <v>-4054678.5205479451</v>
      </c>
      <c r="AN209" s="846">
        <f>Tabla1[[#This Row],[PRECIO REF $ BOLSA 50 KG CACTU (IVA INC)]]*Tabla1[[#This Row],[Q Bolsas Equivalentes 50kg]]</f>
        <v>28251200</v>
      </c>
      <c r="AO209" s="846">
        <f>+Tabla1[[#This Row],[PRECIO $ BOLSA 50KG  FOB CDO TUC (IVA INC)]]*Tabla1[[#This Row],[Q Bolsas Equivalentes 50kg]]</f>
        <v>24196521.479452055</v>
      </c>
      <c r="AP209" s="847">
        <v>2.9000000000000001E-2</v>
      </c>
      <c r="AQ209" s="846">
        <v>-74.5</v>
      </c>
      <c r="AR209" s="828">
        <v>7</v>
      </c>
      <c r="AS209" s="849"/>
      <c r="AT209" s="923">
        <f>+Tabla1[[#This Row],[VENTA TOTAL $ (IVA INC) ]]-(SUM(Tabla1[[#This Row],[PENDIENTE DE ENTREGA]:[VALORES COBRADOS]]))</f>
        <v>0</v>
      </c>
      <c r="AU209" s="850">
        <f>VLOOKUP(Tabla1[[#This Row],[FECHA OC]],'TIPO DE CAMBIO'!A:B,2,TRUE)</f>
        <v>1392.9851000000001</v>
      </c>
      <c r="AV209" s="850">
        <f>+Tabla1[[#This Row],[SUBTOTAL]]/Tabla1[[#This Row],[TIPO DE CAMBIO]]</f>
        <v>14238.997060199461</v>
      </c>
      <c r="AW209" s="851"/>
      <c r="AX209" s="850">
        <f>IFERROR(Tabla1[[#This Row],[VENTA TOTAL USD A PLAZO EN CLIENTE  (SIN IVA)]]*(1+Tabla1[[#This Row],[% IVA ]]),"")</f>
        <v>14238.997060199461</v>
      </c>
      <c r="AY209" s="850">
        <f>+Tabla1[[#This Row],[VENTA TOTAL USD A PLAZO EN CLIENTE  (SIN IVA)]]/Tabla1[[#This Row],[KGS]]*1000</f>
        <v>355.97492650498651</v>
      </c>
      <c r="AZ209" s="850">
        <f>-Tabla1[[#This Row],[COSTO FLETE $ POR BOLSA 5O KG (SIN IVA)]]*20/Tabla1[[#This Row],[TIPO DE CAMBIO]]</f>
        <v>1.0696453249930669</v>
      </c>
      <c r="BA209" s="850">
        <f>+Tabla1[[#This Row],[GASTOS FINANCIEROS $ BOLSA 50 KG (IVA INC)]]*20/Tabla1[[#This Row],[TIPO DE CAMBIO]]</f>
        <v>3.5249027332032261</v>
      </c>
      <c r="BB209" s="850">
        <f>+Tabla1[[#This Row],[PRECIO POR TN USD EN CLIENTE A PLAZO (SIN IVA)]]+Tabla1[[#This Row],[COSTO USD FLETE /TN (SIN IVA)]]+Tabla1[[#This Row],[COSTO FINANCIERO USD POR BOLSA 50KG (IVA INC)]]</f>
        <v>360.56947456318284</v>
      </c>
      <c r="BC209" s="828">
        <v>4</v>
      </c>
      <c r="BD209" s="944" t="s">
        <v>485</v>
      </c>
    </row>
    <row r="210" spans="1:56" ht="15.75" customHeight="1">
      <c r="A210" s="912">
        <v>46174</v>
      </c>
      <c r="B210" s="828">
        <v>1</v>
      </c>
      <c r="C210" s="792" t="s">
        <v>417</v>
      </c>
      <c r="D210" s="829">
        <f>+Tabla1[[#This Row],[FECHA Entrega]]</f>
        <v>46196</v>
      </c>
      <c r="E210" s="830"/>
      <c r="F210" s="831" t="s">
        <v>448</v>
      </c>
      <c r="G210" s="832" t="s">
        <v>216</v>
      </c>
      <c r="H210" s="852">
        <v>46196</v>
      </c>
      <c r="I210" s="834">
        <f t="shared" si="88"/>
        <v>40000</v>
      </c>
      <c r="J210" s="835">
        <f t="shared" si="85"/>
        <v>495.86776859504135</v>
      </c>
      <c r="K210" s="836">
        <f t="shared" si="86"/>
        <v>19834710.743801653</v>
      </c>
      <c r="L21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10" s="837">
        <f t="shared" si="82"/>
        <v>24000000</v>
      </c>
      <c r="N210" s="838">
        <v>0</v>
      </c>
      <c r="O210" s="838">
        <v>0</v>
      </c>
      <c r="P210" s="838">
        <v>0</v>
      </c>
      <c r="Q210" s="839">
        <f>+Tabla1[[#This Row],[VENTA TOTAL $ (IVA INC) ]]-Tabla1[[#This Row],[PENDIENTE DE COBRO]]</f>
        <v>24000000</v>
      </c>
      <c r="R210" s="840">
        <v>46093</v>
      </c>
      <c r="S210" s="840">
        <f>+Tabla1[[#This Row],[FECHA FC]]+Tabla1[[#This Row],[PLAZO PAGO (DIAS)]]</f>
        <v>46203</v>
      </c>
      <c r="T210" s="834">
        <f t="shared" ca="1" si="87"/>
        <v>22</v>
      </c>
      <c r="U210" s="831">
        <f>+Tabla1[[#This Row],[FECHA RETIRO VALORES]]-Tabla1[[#This Row],[FECHA Entrega]]</f>
        <v>-103</v>
      </c>
      <c r="V210" s="831"/>
      <c r="W210" s="841">
        <f>+Tabla1[[#This Row],[FECHA VTO VALORES]]+7</f>
        <v>46210</v>
      </c>
      <c r="X210" s="831" t="s">
        <v>538</v>
      </c>
      <c r="Y210" s="840">
        <v>46094</v>
      </c>
      <c r="Z210" s="842">
        <f>Tabla1[[#This Row],[KGS]]/50</f>
        <v>800</v>
      </c>
      <c r="AA21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10" s="844">
        <f>-Tabla1[[#This Row],[COSTO FLETE $ POR BOLSA 5O KG (SIN IVA)]]*1.21-Tabla1[[#This Row],[PRECIO $/ KG A PLAZO EN CLIENTE ( SIN IVA)]]*0.003*1.21*50</f>
        <v>0.14499999999999602</v>
      </c>
      <c r="AC210" s="845">
        <f>SUM(Tabla1[[#This Row],[PRECIO $ BOLSA 50 KG (IVA INC) ]]+Tabla1[[#This Row],[COSTO FLETE $ BOLSA 50 KG (IVA INC)]])</f>
        <v>30000.145</v>
      </c>
      <c r="AD210" s="844">
        <f>-Tabla1[[#This Row],[PRECIO $ BOLSA 50 KG (IVA INC) ]]*(Tabla1[[#This Row],[TASA FINANCIACION MENSUAL]]/365)*Tabla1[[#This Row],[PLAZO ENTREGA VALORES]]</f>
        <v>245.50684931506851</v>
      </c>
      <c r="AE210" s="845">
        <f>SUM(Tabla1[[#This Row],[PRECIO $ BOLSA50 KG  FOB TUCUMAN A PLAZO (IVA INC)]]+Tabla1[[#This Row],[GASTOS FINANCIEROS $ BOLSA 50 KG (IVA INC)]])</f>
        <v>30245.651849315069</v>
      </c>
      <c r="AF210" s="828" t="s">
        <v>359</v>
      </c>
      <c r="AG210" s="828" t="s">
        <v>365</v>
      </c>
      <c r="AH210" s="828" t="s">
        <v>387</v>
      </c>
      <c r="AI210" s="828" t="s">
        <v>391</v>
      </c>
      <c r="AJ21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35314</v>
      </c>
      <c r="AK210" s="846">
        <f>SUM(Tabla1[[#This Row],[PRECIO $ BOLSA 50KG  FOB CDO TUC (IVA INC)]]-Tabla1[[#This Row],[PRECIO REF $ BOLSA 50 KG CACTU (IVA INC)]])</f>
        <v>-5068.3481506849312</v>
      </c>
      <c r="AL210" s="847">
        <f>IFERROR(Tabla1[[#This Row],[PRECIO $ BOLSA 50KG  FOB CDO TUC (IVA INC)]]/Tabla1[[#This Row],[PRECIO REF $ BOLSA 50 KG CACTU (IVA INC)]]-1,"")</f>
        <v>-0.14352234668077624</v>
      </c>
      <c r="AM210" s="846">
        <f>+Tabla1[[#This Row],[DIF $ PRECIO NETO INDUSTRIA vs Neto TUCUMAN (IVA INC)]]*Tabla1[[#This Row],[Q Bolsas Equivalentes 50kg]]</f>
        <v>-4054678.5205479451</v>
      </c>
      <c r="AN210" s="846">
        <f>Tabla1[[#This Row],[PRECIO REF $ BOLSA 50 KG CACTU (IVA INC)]]*Tabla1[[#This Row],[Q Bolsas Equivalentes 50kg]]</f>
        <v>28251200</v>
      </c>
      <c r="AO210" s="846">
        <f>+Tabla1[[#This Row],[PRECIO $ BOLSA 50KG  FOB CDO TUC (IVA INC)]]*Tabla1[[#This Row],[Q Bolsas Equivalentes 50kg]]</f>
        <v>24196521.479452055</v>
      </c>
      <c r="AP210" s="847">
        <v>2.9000000000000001E-2</v>
      </c>
      <c r="AQ210" s="846">
        <v>-74.5</v>
      </c>
      <c r="AR210" s="828">
        <v>7</v>
      </c>
      <c r="AS210" s="849"/>
      <c r="AT210" s="923">
        <f>+Tabla1[[#This Row],[VENTA TOTAL $ (IVA INC) ]]-(SUM(Tabla1[[#This Row],[PENDIENTE DE ENTREGA]:[VALORES COBRADOS]]))</f>
        <v>0</v>
      </c>
      <c r="AU210" s="850">
        <f>VLOOKUP(Tabla1[[#This Row],[FECHA OC]],'TIPO DE CAMBIO'!A:B,2,TRUE)</f>
        <v>1392.9851000000001</v>
      </c>
      <c r="AV210" s="850">
        <f>+Tabla1[[#This Row],[SUBTOTAL]]/Tabla1[[#This Row],[TIPO DE CAMBIO]]</f>
        <v>14238.997060199461</v>
      </c>
      <c r="AW210" s="851"/>
      <c r="AX210" s="850">
        <f>IFERROR(Tabla1[[#This Row],[VENTA TOTAL USD A PLAZO EN CLIENTE  (SIN IVA)]]*(1+Tabla1[[#This Row],[% IVA ]]),"")</f>
        <v>14238.997060199461</v>
      </c>
      <c r="AY210" s="850">
        <f>+Tabla1[[#This Row],[VENTA TOTAL USD A PLAZO EN CLIENTE  (SIN IVA)]]/Tabla1[[#This Row],[KGS]]*1000</f>
        <v>355.97492650498651</v>
      </c>
      <c r="AZ210" s="850">
        <f>-Tabla1[[#This Row],[COSTO FLETE $ POR BOLSA 5O KG (SIN IVA)]]*20/Tabla1[[#This Row],[TIPO DE CAMBIO]]</f>
        <v>1.0696453249930669</v>
      </c>
      <c r="BA210" s="850">
        <f>+Tabla1[[#This Row],[GASTOS FINANCIEROS $ BOLSA 50 KG (IVA INC)]]*20/Tabla1[[#This Row],[TIPO DE CAMBIO]]</f>
        <v>3.5249027332032261</v>
      </c>
      <c r="BB210" s="850">
        <f>+Tabla1[[#This Row],[PRECIO POR TN USD EN CLIENTE A PLAZO (SIN IVA)]]+Tabla1[[#This Row],[COSTO USD FLETE /TN (SIN IVA)]]+Tabla1[[#This Row],[COSTO FINANCIERO USD POR BOLSA 50KG (IVA INC)]]</f>
        <v>360.56947456318284</v>
      </c>
      <c r="BC210" s="828">
        <v>4</v>
      </c>
      <c r="BD210" s="944" t="s">
        <v>485</v>
      </c>
    </row>
    <row r="211" spans="1:56" ht="15.75" customHeight="1">
      <c r="A211" s="912">
        <v>46174</v>
      </c>
      <c r="B211" s="828">
        <v>1</v>
      </c>
      <c r="C211" s="792" t="s">
        <v>450</v>
      </c>
      <c r="D211" s="829">
        <f>+Tabla1[[#This Row],[FECHA Entrega]]</f>
        <v>46203</v>
      </c>
      <c r="E211" s="830"/>
      <c r="F211" s="831" t="s">
        <v>448</v>
      </c>
      <c r="G211" s="832" t="s">
        <v>216</v>
      </c>
      <c r="H211" s="852">
        <v>46203</v>
      </c>
      <c r="I211" s="834">
        <f>600*50</f>
        <v>30000</v>
      </c>
      <c r="J211" s="835">
        <f t="shared" ref="J211:J218" si="89">35000/1.21/50</f>
        <v>578.51239669421489</v>
      </c>
      <c r="K211" s="836">
        <f t="shared" si="86"/>
        <v>17355371.900826447</v>
      </c>
      <c r="L21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3644628.0991735538</v>
      </c>
      <c r="M211" s="837">
        <f t="shared" si="82"/>
        <v>21000000</v>
      </c>
      <c r="N211" s="838">
        <v>0</v>
      </c>
      <c r="O211" s="838">
        <v>0</v>
      </c>
      <c r="P211" s="838">
        <v>0</v>
      </c>
      <c r="Q211" s="839">
        <f>+Tabla1[[#This Row],[VENTA TOTAL $ (IVA INC) ]]-Tabla1[[#This Row],[PENDIENTE DE COBRO]]</f>
        <v>21000000</v>
      </c>
      <c r="R211" s="840">
        <f>+Tabla1[[#This Row],[FECHA FC]]+Tabla1[[#This Row],[PLAZO ENTREGA VALORES]]</f>
        <v>46156</v>
      </c>
      <c r="S211" s="840">
        <f>+Tabla1[[#This Row],[FECHA FC]]+Tabla1[[#This Row],[PLAZO PAGO (DIAS)]]</f>
        <v>46203</v>
      </c>
      <c r="T211" s="834">
        <f t="shared" ca="1" si="87"/>
        <v>22</v>
      </c>
      <c r="U211" s="831">
        <f>+Tabla1[[#This Row],[FECHA OC]]-Tabla1[[#This Row],[FECHA Entrega]]</f>
        <v>-47</v>
      </c>
      <c r="V211" s="831"/>
      <c r="W211" s="841">
        <f>+Tabla1[[#This Row],[FECHA VTO VALORES]]+7</f>
        <v>46210</v>
      </c>
      <c r="X211" s="831" t="s">
        <v>487</v>
      </c>
      <c r="Y211" s="840">
        <v>46156</v>
      </c>
      <c r="Z211" s="842">
        <f>Tabla1[[#This Row],[KGS]]/50</f>
        <v>600</v>
      </c>
      <c r="AA21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35000</v>
      </c>
      <c r="AB211" s="844">
        <f>-Tabla1[[#This Row],[COSTO FLETE $ POR BOLSA 5O KG (SIN IVA)]]*1.21-Tabla1[[#This Row],[PRECIO $/ KG A PLAZO EN CLIENTE ( SIN IVA)]]*0.003*1.21*50</f>
        <v>0.26999999999999602</v>
      </c>
      <c r="AC211" s="845">
        <f>SUM(Tabla1[[#This Row],[PRECIO $ BOLSA 50 KG (IVA INC) ]]+Tabla1[[#This Row],[COSTO FLETE $ BOLSA 50 KG (IVA INC)]])</f>
        <v>35000.269999999997</v>
      </c>
      <c r="AD211" s="844">
        <f>-Tabla1[[#This Row],[PRECIO $ BOLSA 50 KG (IVA INC) ]]*(Tabla1[[#This Row],[TASA FINANCIACION MENSUAL]]/365)*Tabla1[[#This Row],[PLAZO ENTREGA VALORES]]</f>
        <v>135.20547945205479</v>
      </c>
      <c r="AE211" s="845">
        <f>SUM(Tabla1[[#This Row],[PRECIO $ BOLSA50 KG  FOB TUCUMAN A PLAZO (IVA INC)]]+Tabla1[[#This Row],[GASTOS FINANCIEROS $ BOLSA 50 KG (IVA INC)]])</f>
        <v>35135.475479452049</v>
      </c>
      <c r="AF211" s="828" t="s">
        <v>359</v>
      </c>
      <c r="AG211" s="828" t="s">
        <v>365</v>
      </c>
      <c r="AH211" s="828" t="s">
        <v>387</v>
      </c>
      <c r="AI211" s="828" t="s">
        <v>391</v>
      </c>
      <c r="AJ21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211" s="846">
        <f>SUM(Tabla1[[#This Row],[PRECIO $ BOLSA 50KG  FOB CDO TUC (IVA INC)]]-Tabla1[[#This Row],[PRECIO REF $ BOLSA 50 KG CACTU (IVA INC)]])</f>
        <v>-1961.5245205479514</v>
      </c>
      <c r="AL211" s="847">
        <f>IFERROR(Tabla1[[#This Row],[PRECIO $ BOLSA 50KG  FOB CDO TUC (IVA INC)]]/Tabla1[[#This Row],[PRECIO REF $ BOLSA 50 KG CACTU (IVA INC)]]-1,"")</f>
        <v>-5.2875556528774625E-2</v>
      </c>
      <c r="AM211" s="846">
        <f>+Tabla1[[#This Row],[DIF $ PRECIO NETO INDUSTRIA vs Neto TUCUMAN (IVA INC)]]*Tabla1[[#This Row],[Q Bolsas Equivalentes 50kg]]</f>
        <v>-1176914.7123287709</v>
      </c>
      <c r="AN211" s="846">
        <f>Tabla1[[#This Row],[PRECIO REF $ BOLSA 50 KG CACTU (IVA INC)]]*Tabla1[[#This Row],[Q Bolsas Equivalentes 50kg]]</f>
        <v>22258200</v>
      </c>
      <c r="AO211" s="846">
        <f>+Tabla1[[#This Row],[PRECIO $ BOLSA 50KG  FOB CDO TUC (IVA INC)]]*Tabla1[[#This Row],[Q Bolsas Equivalentes 50kg]]</f>
        <v>21081285.287671231</v>
      </c>
      <c r="AP211" s="847">
        <v>0.03</v>
      </c>
      <c r="AQ211" s="846">
        <v>-87</v>
      </c>
      <c r="AR211" s="828">
        <v>0</v>
      </c>
      <c r="AS211" s="849"/>
      <c r="AT211" s="923">
        <f>+Tabla1[[#This Row],[VENTA TOTAL $ (IVA INC) ]]-(SUM(Tabla1[[#This Row],[PENDIENTE DE ENTREGA]:[VALORES COBRADOS]]))</f>
        <v>0</v>
      </c>
      <c r="AU211" s="850">
        <f>VLOOKUP(Tabla1[[#This Row],[FECHA OC]],'TIPO DE CAMBIO'!A:B,2,TRUE)</f>
        <v>1393.2321999999999</v>
      </c>
      <c r="AV211" s="850">
        <f>+Tabla1[[#This Row],[SUBTOTAL]]/Tabla1[[#This Row],[TIPO DE CAMBIO]]</f>
        <v>12456.91271047744</v>
      </c>
      <c r="AW211" s="851"/>
      <c r="AX211" s="850">
        <f>IFERROR(Tabla1[[#This Row],[VENTA TOTAL USD A PLAZO EN CLIENTE  (SIN IVA)]]*(1+Tabla1[[#This Row],[% IVA ]]),"")</f>
        <v>12456.91271047744</v>
      </c>
      <c r="AY211" s="850">
        <f>+Tabla1[[#This Row],[VENTA TOTAL USD A PLAZO EN CLIENTE  (SIN IVA)]]/Tabla1[[#This Row],[KGS]]*1000</f>
        <v>415.23042368258132</v>
      </c>
      <c r="AZ211" s="850">
        <f>-Tabla1[[#This Row],[COSTO FLETE $ POR BOLSA 5O KG (SIN IVA)]]*20/Tabla1[[#This Row],[TIPO DE CAMBIO]]</f>
        <v>1.2488944771732953</v>
      </c>
      <c r="BA211" s="850">
        <f>+Tabla1[[#This Row],[GASTOS FINANCIEROS $ BOLSA 50 KG (IVA INC)]]*20/Tabla1[[#This Row],[TIPO DE CAMBIO]]</f>
        <v>1.9408893858763068</v>
      </c>
      <c r="BB211" s="850">
        <f>+Tabla1[[#This Row],[PRECIO POR TN USD EN CLIENTE A PLAZO (SIN IVA)]]+Tabla1[[#This Row],[COSTO USD FLETE /TN (SIN IVA)]]+Tabla1[[#This Row],[COSTO FINANCIERO USD POR BOLSA 50KG (IVA INC)]]</f>
        <v>418.42020754563089</v>
      </c>
      <c r="BC211" s="828">
        <v>4</v>
      </c>
      <c r="BD211" s="944" t="s">
        <v>485</v>
      </c>
    </row>
    <row r="212" spans="1:56" ht="15.75" customHeight="1">
      <c r="A212" s="912">
        <v>46174</v>
      </c>
      <c r="B212" s="828">
        <v>1</v>
      </c>
      <c r="C212" s="792" t="s">
        <v>450</v>
      </c>
      <c r="D212" s="829">
        <f>+Tabla1[[#This Row],[FECHA Entrega]]</f>
        <v>46203</v>
      </c>
      <c r="E212" s="830"/>
      <c r="F212" s="831" t="s">
        <v>448</v>
      </c>
      <c r="G212" s="832" t="s">
        <v>216</v>
      </c>
      <c r="H212" s="852">
        <v>46203</v>
      </c>
      <c r="I212" s="834">
        <f t="shared" ref="I212:I218" si="90">600*50</f>
        <v>30000</v>
      </c>
      <c r="J212" s="835">
        <f t="shared" si="89"/>
        <v>578.51239669421489</v>
      </c>
      <c r="K212" s="836">
        <f t="shared" si="86"/>
        <v>17355371.900826447</v>
      </c>
      <c r="L21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3644628.0991735538</v>
      </c>
      <c r="M212" s="837">
        <f t="shared" si="82"/>
        <v>21000000</v>
      </c>
      <c r="N212" s="838">
        <v>0</v>
      </c>
      <c r="O212" s="838">
        <v>0</v>
      </c>
      <c r="P212" s="838">
        <v>0</v>
      </c>
      <c r="Q212" s="839">
        <f>+Tabla1[[#This Row],[VENTA TOTAL $ (IVA INC) ]]-Tabla1[[#This Row],[PENDIENTE DE COBRO]]</f>
        <v>21000000</v>
      </c>
      <c r="R212" s="840">
        <f>+Tabla1[[#This Row],[FECHA FC]]+Tabla1[[#This Row],[PLAZO ENTREGA VALORES]]</f>
        <v>46156</v>
      </c>
      <c r="S212" s="840">
        <f>+Tabla1[[#This Row],[FECHA FC]]+Tabla1[[#This Row],[PLAZO PAGO (DIAS)]]</f>
        <v>46203</v>
      </c>
      <c r="T212" s="834">
        <f t="shared" ca="1" si="87"/>
        <v>22</v>
      </c>
      <c r="U212" s="831">
        <f>+Tabla1[[#This Row],[FECHA OC]]-Tabla1[[#This Row],[FECHA Entrega]]</f>
        <v>-47</v>
      </c>
      <c r="V212" s="831"/>
      <c r="W212" s="841">
        <f>+Tabla1[[#This Row],[FECHA VTO VALORES]]+7</f>
        <v>46210</v>
      </c>
      <c r="X212" s="831" t="s">
        <v>487</v>
      </c>
      <c r="Y212" s="840">
        <v>46156</v>
      </c>
      <c r="Z212" s="842">
        <f>Tabla1[[#This Row],[KGS]]/50</f>
        <v>600</v>
      </c>
      <c r="AA21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35000</v>
      </c>
      <c r="AB212" s="844">
        <f>-Tabla1[[#This Row],[COSTO FLETE $ POR BOLSA 5O KG (SIN IVA)]]*1.21-Tabla1[[#This Row],[PRECIO $/ KG A PLAZO EN CLIENTE ( SIN IVA)]]*0.003*1.21*50</f>
        <v>0.26999999999999602</v>
      </c>
      <c r="AC212" s="845">
        <f>SUM(Tabla1[[#This Row],[PRECIO $ BOLSA 50 KG (IVA INC) ]]+Tabla1[[#This Row],[COSTO FLETE $ BOLSA 50 KG (IVA INC)]])</f>
        <v>35000.269999999997</v>
      </c>
      <c r="AD212" s="844">
        <f>-Tabla1[[#This Row],[PRECIO $ BOLSA 50 KG (IVA INC) ]]*(Tabla1[[#This Row],[TASA FINANCIACION MENSUAL]]/365)*Tabla1[[#This Row],[PLAZO ENTREGA VALORES]]</f>
        <v>135.20547945205479</v>
      </c>
      <c r="AE212" s="845">
        <f>SUM(Tabla1[[#This Row],[PRECIO $ BOLSA50 KG  FOB TUCUMAN A PLAZO (IVA INC)]]+Tabla1[[#This Row],[GASTOS FINANCIEROS $ BOLSA 50 KG (IVA INC)]])</f>
        <v>35135.475479452049</v>
      </c>
      <c r="AF212" s="828" t="s">
        <v>359</v>
      </c>
      <c r="AG212" s="828" t="s">
        <v>365</v>
      </c>
      <c r="AH212" s="828" t="s">
        <v>387</v>
      </c>
      <c r="AI212" s="828" t="s">
        <v>391</v>
      </c>
      <c r="AJ21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212" s="846">
        <f>SUM(Tabla1[[#This Row],[PRECIO $ BOLSA 50KG  FOB CDO TUC (IVA INC)]]-Tabla1[[#This Row],[PRECIO REF $ BOLSA 50 KG CACTU (IVA INC)]])</f>
        <v>-1961.5245205479514</v>
      </c>
      <c r="AL212" s="847">
        <f>IFERROR(Tabla1[[#This Row],[PRECIO $ BOLSA 50KG  FOB CDO TUC (IVA INC)]]/Tabla1[[#This Row],[PRECIO REF $ BOLSA 50 KG CACTU (IVA INC)]]-1,"")</f>
        <v>-5.2875556528774625E-2</v>
      </c>
      <c r="AM212" s="846">
        <f>+Tabla1[[#This Row],[DIF $ PRECIO NETO INDUSTRIA vs Neto TUCUMAN (IVA INC)]]*Tabla1[[#This Row],[Q Bolsas Equivalentes 50kg]]</f>
        <v>-1176914.7123287709</v>
      </c>
      <c r="AN212" s="846">
        <f>Tabla1[[#This Row],[PRECIO REF $ BOLSA 50 KG CACTU (IVA INC)]]*Tabla1[[#This Row],[Q Bolsas Equivalentes 50kg]]</f>
        <v>22258200</v>
      </c>
      <c r="AO212" s="846">
        <f>+Tabla1[[#This Row],[PRECIO $ BOLSA 50KG  FOB CDO TUC (IVA INC)]]*Tabla1[[#This Row],[Q Bolsas Equivalentes 50kg]]</f>
        <v>21081285.287671231</v>
      </c>
      <c r="AP212" s="847">
        <v>0.03</v>
      </c>
      <c r="AQ212" s="846">
        <v>-87</v>
      </c>
      <c r="AR212" s="828">
        <v>0</v>
      </c>
      <c r="AS212" s="849"/>
      <c r="AT212" s="923">
        <f>+Tabla1[[#This Row],[VENTA TOTAL $ (IVA INC) ]]-(SUM(Tabla1[[#This Row],[PENDIENTE DE ENTREGA]:[VALORES COBRADOS]]))</f>
        <v>0</v>
      </c>
      <c r="AU212" s="850">
        <f>VLOOKUP(Tabla1[[#This Row],[FECHA OC]],'TIPO DE CAMBIO'!A:B,2,TRUE)</f>
        <v>1393.2321999999999</v>
      </c>
      <c r="AV212" s="850">
        <f>+Tabla1[[#This Row],[SUBTOTAL]]/Tabla1[[#This Row],[TIPO DE CAMBIO]]</f>
        <v>12456.91271047744</v>
      </c>
      <c r="AW212" s="851"/>
      <c r="AX212" s="850">
        <f>IFERROR(Tabla1[[#This Row],[VENTA TOTAL USD A PLAZO EN CLIENTE  (SIN IVA)]]*(1+Tabla1[[#This Row],[% IVA ]]),"")</f>
        <v>12456.91271047744</v>
      </c>
      <c r="AY212" s="850">
        <f>+Tabla1[[#This Row],[VENTA TOTAL USD A PLAZO EN CLIENTE  (SIN IVA)]]/Tabla1[[#This Row],[KGS]]*1000</f>
        <v>415.23042368258132</v>
      </c>
      <c r="AZ212" s="850">
        <f>-Tabla1[[#This Row],[COSTO FLETE $ POR BOLSA 5O KG (SIN IVA)]]*20/Tabla1[[#This Row],[TIPO DE CAMBIO]]</f>
        <v>1.2488944771732953</v>
      </c>
      <c r="BA212" s="850">
        <f>+Tabla1[[#This Row],[GASTOS FINANCIEROS $ BOLSA 50 KG (IVA INC)]]*20/Tabla1[[#This Row],[TIPO DE CAMBIO]]</f>
        <v>1.9408893858763068</v>
      </c>
      <c r="BB212" s="850">
        <f>+Tabla1[[#This Row],[PRECIO POR TN USD EN CLIENTE A PLAZO (SIN IVA)]]+Tabla1[[#This Row],[COSTO USD FLETE /TN (SIN IVA)]]+Tabla1[[#This Row],[COSTO FINANCIERO USD POR BOLSA 50KG (IVA INC)]]</f>
        <v>418.42020754563089</v>
      </c>
      <c r="BC212" s="828">
        <v>4</v>
      </c>
      <c r="BD212" s="944" t="s">
        <v>485</v>
      </c>
    </row>
    <row r="213" spans="1:56" ht="15.75" customHeight="1">
      <c r="A213" s="912">
        <v>46174</v>
      </c>
      <c r="B213" s="828">
        <v>1</v>
      </c>
      <c r="C213" s="792" t="s">
        <v>451</v>
      </c>
      <c r="D213" s="829">
        <f>+Tabla1[[#This Row],[FECHA Entrega]]</f>
        <v>46203</v>
      </c>
      <c r="E213" s="830"/>
      <c r="F213" s="831" t="s">
        <v>448</v>
      </c>
      <c r="G213" s="832" t="s">
        <v>216</v>
      </c>
      <c r="H213" s="852">
        <v>46203</v>
      </c>
      <c r="I213" s="834">
        <f t="shared" si="90"/>
        <v>30000</v>
      </c>
      <c r="J213" s="835">
        <f t="shared" si="89"/>
        <v>578.51239669421489</v>
      </c>
      <c r="K213" s="836">
        <f t="shared" si="86"/>
        <v>17355371.900826447</v>
      </c>
      <c r="L21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3644628.0991735538</v>
      </c>
      <c r="M213" s="837">
        <f t="shared" ref="M213:M288" si="91">SUM(K213:L213)</f>
        <v>21000000</v>
      </c>
      <c r="N213" s="838">
        <v>0</v>
      </c>
      <c r="O213" s="838">
        <v>0</v>
      </c>
      <c r="P213" s="838">
        <v>0</v>
      </c>
      <c r="Q213" s="839">
        <f>+Tabla1[[#This Row],[VENTA TOTAL $ (IVA INC) ]]-Tabla1[[#This Row],[PENDIENTE DE COBRO]]</f>
        <v>21000000</v>
      </c>
      <c r="R213" s="840">
        <f>+Tabla1[[#This Row],[FECHA FC]]+Tabla1[[#This Row],[PLAZO ENTREGA VALORES]]</f>
        <v>46156</v>
      </c>
      <c r="S213" s="840">
        <f>+Tabla1[[#This Row],[FECHA FC]]+Tabla1[[#This Row],[PLAZO PAGO (DIAS)]]</f>
        <v>46203</v>
      </c>
      <c r="T213" s="834">
        <f t="shared" ca="1" si="87"/>
        <v>22</v>
      </c>
      <c r="U213" s="831">
        <f>+Tabla1[[#This Row],[FECHA OC]]-Tabla1[[#This Row],[FECHA Entrega]]</f>
        <v>-47</v>
      </c>
      <c r="V213" s="831"/>
      <c r="W213" s="841">
        <f>+Tabla1[[#This Row],[FECHA VTO VALORES]]+7</f>
        <v>46210</v>
      </c>
      <c r="X213" s="831" t="s">
        <v>487</v>
      </c>
      <c r="Y213" s="840">
        <v>46156</v>
      </c>
      <c r="Z213" s="842">
        <f>Tabla1[[#This Row],[KGS]]/50</f>
        <v>600</v>
      </c>
      <c r="AA21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35000</v>
      </c>
      <c r="AB213" s="844">
        <f>-Tabla1[[#This Row],[COSTO FLETE $ POR BOLSA 5O KG (SIN IVA)]]*1.21-Tabla1[[#This Row],[PRECIO $/ KG A PLAZO EN CLIENTE ( SIN IVA)]]*0.003*1.21*50</f>
        <v>0.26999999999999602</v>
      </c>
      <c r="AC213" s="845">
        <f>SUM(Tabla1[[#This Row],[PRECIO $ BOLSA 50 KG (IVA INC) ]]+Tabla1[[#This Row],[COSTO FLETE $ BOLSA 50 KG (IVA INC)]])</f>
        <v>35000.269999999997</v>
      </c>
      <c r="AD213" s="844">
        <f>-Tabla1[[#This Row],[PRECIO $ BOLSA 50 KG (IVA INC) ]]*(Tabla1[[#This Row],[TASA FINANCIACION MENSUAL]]/365)*Tabla1[[#This Row],[PLAZO ENTREGA VALORES]]</f>
        <v>130.69863013698631</v>
      </c>
      <c r="AE213" s="845">
        <f>SUM(Tabla1[[#This Row],[PRECIO $ BOLSA50 KG  FOB TUCUMAN A PLAZO (IVA INC)]]+Tabla1[[#This Row],[GASTOS FINANCIEROS $ BOLSA 50 KG (IVA INC)]])</f>
        <v>35130.96863013698</v>
      </c>
      <c r="AF213" s="828" t="s">
        <v>359</v>
      </c>
      <c r="AG213" s="828" t="s">
        <v>365</v>
      </c>
      <c r="AH213" s="828" t="s">
        <v>387</v>
      </c>
      <c r="AI213" s="828" t="s">
        <v>391</v>
      </c>
      <c r="AJ21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213" s="846">
        <f>SUM(Tabla1[[#This Row],[PRECIO $ BOLSA 50KG  FOB CDO TUC (IVA INC)]]-Tabla1[[#This Row],[PRECIO REF $ BOLSA 50 KG CACTU (IVA INC)]])</f>
        <v>-1966.0313698630198</v>
      </c>
      <c r="AL213" s="847">
        <f>IFERROR(Tabla1[[#This Row],[PRECIO $ BOLSA 50KG  FOB CDO TUC (IVA INC)]]/Tabla1[[#This Row],[PRECIO REF $ BOLSA 50 KG CACTU (IVA INC)]]-1,"")</f>
        <v>-5.299704477081757E-2</v>
      </c>
      <c r="AM213" s="846">
        <f>+Tabla1[[#This Row],[DIF $ PRECIO NETO INDUSTRIA vs Neto TUCUMAN (IVA INC)]]*Tabla1[[#This Row],[Q Bolsas Equivalentes 50kg]]</f>
        <v>-1179618.8219178119</v>
      </c>
      <c r="AN213" s="846">
        <f>Tabla1[[#This Row],[PRECIO REF $ BOLSA 50 KG CACTU (IVA INC)]]*Tabla1[[#This Row],[Q Bolsas Equivalentes 50kg]]</f>
        <v>22258200</v>
      </c>
      <c r="AO213" s="846">
        <f>+Tabla1[[#This Row],[PRECIO $ BOLSA 50KG  FOB CDO TUC (IVA INC)]]*Tabla1[[#This Row],[Q Bolsas Equivalentes 50kg]]</f>
        <v>21078581.178082187</v>
      </c>
      <c r="AP213" s="847">
        <v>2.9000000000000001E-2</v>
      </c>
      <c r="AQ213" s="846">
        <v>-87</v>
      </c>
      <c r="AR213" s="828">
        <v>0</v>
      </c>
      <c r="AS213" s="849"/>
      <c r="AT213" s="923">
        <f>+Tabla1[[#This Row],[VENTA TOTAL $ (IVA INC) ]]-(SUM(Tabla1[[#This Row],[PENDIENTE DE ENTREGA]:[VALORES COBRADOS]]))</f>
        <v>0</v>
      </c>
      <c r="AU213" s="850">
        <f>VLOOKUP(Tabla1[[#This Row],[FECHA OC]],'TIPO DE CAMBIO'!A:B,2,TRUE)</f>
        <v>1393.2321999999999</v>
      </c>
      <c r="AV213" s="850">
        <f>+Tabla1[[#This Row],[SUBTOTAL]]/Tabla1[[#This Row],[TIPO DE CAMBIO]]</f>
        <v>12456.91271047744</v>
      </c>
      <c r="AW213" s="851"/>
      <c r="AX213" s="850">
        <f>IFERROR(Tabla1[[#This Row],[VENTA TOTAL USD A PLAZO EN CLIENTE  (SIN IVA)]]*(1+Tabla1[[#This Row],[% IVA ]]),"")</f>
        <v>12456.91271047744</v>
      </c>
      <c r="AY213" s="850">
        <f>+Tabla1[[#This Row],[VENTA TOTAL USD A PLAZO EN CLIENTE  (SIN IVA)]]/Tabla1[[#This Row],[KGS]]*1000</f>
        <v>415.23042368258132</v>
      </c>
      <c r="AZ213" s="850">
        <f>-Tabla1[[#This Row],[COSTO FLETE $ POR BOLSA 5O KG (SIN IVA)]]*20/Tabla1[[#This Row],[TIPO DE CAMBIO]]</f>
        <v>1.2488944771732953</v>
      </c>
      <c r="BA213" s="850">
        <f>+Tabla1[[#This Row],[GASTOS FINANCIEROS $ BOLSA 50 KG (IVA INC)]]*20/Tabla1[[#This Row],[TIPO DE CAMBIO]]</f>
        <v>1.8761930730137637</v>
      </c>
      <c r="BB213" s="850">
        <f>+Tabla1[[#This Row],[PRECIO POR TN USD EN CLIENTE A PLAZO (SIN IVA)]]+Tabla1[[#This Row],[COSTO USD FLETE /TN (SIN IVA)]]+Tabla1[[#This Row],[COSTO FINANCIERO USD POR BOLSA 50KG (IVA INC)]]</f>
        <v>418.35551123276838</v>
      </c>
      <c r="BC213" s="828">
        <v>4</v>
      </c>
      <c r="BD213" s="944" t="s">
        <v>485</v>
      </c>
    </row>
    <row r="214" spans="1:56" ht="15.75" customHeight="1">
      <c r="A214" s="912">
        <v>46174</v>
      </c>
      <c r="B214" s="828">
        <v>1</v>
      </c>
      <c r="C214" s="792" t="s">
        <v>451</v>
      </c>
      <c r="D214" s="829">
        <f>+Tabla1[[#This Row],[FECHA Entrega]]</f>
        <v>46218</v>
      </c>
      <c r="E214" s="830"/>
      <c r="F214" s="831" t="s">
        <v>448</v>
      </c>
      <c r="G214" s="832" t="s">
        <v>216</v>
      </c>
      <c r="H214" s="852">
        <v>46218</v>
      </c>
      <c r="I214" s="834">
        <f t="shared" si="90"/>
        <v>30000</v>
      </c>
      <c r="J214" s="835">
        <f t="shared" si="89"/>
        <v>578.51239669421489</v>
      </c>
      <c r="K214" s="836">
        <f t="shared" si="86"/>
        <v>17355371.900826447</v>
      </c>
      <c r="L21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3644628.0991735538</v>
      </c>
      <c r="M214" s="837">
        <f t="shared" si="91"/>
        <v>21000000</v>
      </c>
      <c r="N214" s="838">
        <v>0</v>
      </c>
      <c r="O214" s="838">
        <v>0</v>
      </c>
      <c r="P214" s="838">
        <v>0</v>
      </c>
      <c r="Q214" s="839">
        <f>+Tabla1[[#This Row],[VENTA TOTAL $ (IVA INC) ]]-Tabla1[[#This Row],[PENDIENTE DE COBRO]]</f>
        <v>21000000</v>
      </c>
      <c r="R214" s="840">
        <f>+Tabla1[[#This Row],[FECHA FC]]+Tabla1[[#This Row],[PLAZO ENTREGA VALORES]]</f>
        <v>46156</v>
      </c>
      <c r="S214" s="840">
        <f>+Tabla1[[#This Row],[FECHA FC]]+Tabla1[[#This Row],[PLAZO PAGO (DIAS)]]</f>
        <v>46218</v>
      </c>
      <c r="T214" s="834">
        <f t="shared" ca="1" si="87"/>
        <v>37</v>
      </c>
      <c r="U214" s="831">
        <f>+Tabla1[[#This Row],[FECHA OC]]-Tabla1[[#This Row],[FECHA Entrega]]</f>
        <v>-62</v>
      </c>
      <c r="V214" s="831"/>
      <c r="W214" s="841">
        <f>+Tabla1[[#This Row],[FECHA VTO VALORES]]+7</f>
        <v>46225</v>
      </c>
      <c r="X214" s="831" t="s">
        <v>487</v>
      </c>
      <c r="Y214" s="840">
        <v>46156</v>
      </c>
      <c r="Z214" s="842">
        <f>Tabla1[[#This Row],[KGS]]/50</f>
        <v>600</v>
      </c>
      <c r="AA21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35000</v>
      </c>
      <c r="AB214" s="844">
        <f>-Tabla1[[#This Row],[COSTO FLETE $ POR BOLSA 5O KG (SIN IVA)]]*1.21-Tabla1[[#This Row],[PRECIO $/ KG A PLAZO EN CLIENTE ( SIN IVA)]]*0.003*1.21*50</f>
        <v>0.26999999999999602</v>
      </c>
      <c r="AC214" s="845">
        <f>SUM(Tabla1[[#This Row],[PRECIO $ BOLSA 50 KG (IVA INC) ]]+Tabla1[[#This Row],[COSTO FLETE $ BOLSA 50 KG (IVA INC)]])</f>
        <v>35000.269999999997</v>
      </c>
      <c r="AD214" s="844">
        <f>-Tabla1[[#This Row],[PRECIO $ BOLSA 50 KG (IVA INC) ]]*(Tabla1[[#This Row],[TASA FINANCIACION MENSUAL]]/365)*Tabla1[[#This Row],[PLAZO ENTREGA VALORES]]</f>
        <v>172.41095890410958</v>
      </c>
      <c r="AE214" s="845">
        <f>SUM(Tabla1[[#This Row],[PRECIO $ BOLSA50 KG  FOB TUCUMAN A PLAZO (IVA INC)]]+Tabla1[[#This Row],[GASTOS FINANCIEROS $ BOLSA 50 KG (IVA INC)]])</f>
        <v>35172.680958904108</v>
      </c>
      <c r="AF214" s="828" t="s">
        <v>359</v>
      </c>
      <c r="AG214" s="828" t="s">
        <v>365</v>
      </c>
      <c r="AH214" s="828" t="s">
        <v>387</v>
      </c>
      <c r="AI214" s="828" t="s">
        <v>391</v>
      </c>
      <c r="AJ21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214" s="846">
        <f>SUM(Tabla1[[#This Row],[PRECIO $ BOLSA 50KG  FOB CDO TUC (IVA INC)]]-Tabla1[[#This Row],[PRECIO REF $ BOLSA 50 KG CACTU (IVA INC)]])</f>
        <v>-1924.3190410958923</v>
      </c>
      <c r="AL214" s="847">
        <f>IFERROR(Tabla1[[#This Row],[PRECIO $ BOLSA 50KG  FOB CDO TUC (IVA INC)]]/Tabla1[[#This Row],[PRECIO REF $ BOLSA 50 KG CACTU (IVA INC)]]-1,"")</f>
        <v>-5.1872632317866429E-2</v>
      </c>
      <c r="AM214" s="846">
        <f>+Tabla1[[#This Row],[DIF $ PRECIO NETO INDUSTRIA vs Neto TUCUMAN (IVA INC)]]*Tabla1[[#This Row],[Q Bolsas Equivalentes 50kg]]</f>
        <v>-1154591.4246575353</v>
      </c>
      <c r="AN214" s="846">
        <f>Tabla1[[#This Row],[PRECIO REF $ BOLSA 50 KG CACTU (IVA INC)]]*Tabla1[[#This Row],[Q Bolsas Equivalentes 50kg]]</f>
        <v>22258200</v>
      </c>
      <c r="AO214" s="846">
        <f>+Tabla1[[#This Row],[PRECIO $ BOLSA 50KG  FOB CDO TUC (IVA INC)]]*Tabla1[[#This Row],[Q Bolsas Equivalentes 50kg]]</f>
        <v>21103608.575342465</v>
      </c>
      <c r="AP214" s="847">
        <v>2.9000000000000001E-2</v>
      </c>
      <c r="AQ214" s="846">
        <v>-87</v>
      </c>
      <c r="AR214" s="828">
        <v>0</v>
      </c>
      <c r="AS214" s="849"/>
      <c r="AT214" s="923">
        <f>+Tabla1[[#This Row],[VENTA TOTAL $ (IVA INC) ]]-(SUM(Tabla1[[#This Row],[PENDIENTE DE ENTREGA]:[VALORES COBRADOS]]))</f>
        <v>0</v>
      </c>
      <c r="AU214" s="850">
        <f>VLOOKUP(Tabla1[[#This Row],[FECHA OC]],'TIPO DE CAMBIO'!A:B,2,TRUE)</f>
        <v>1393.2321999999999</v>
      </c>
      <c r="AV214" s="850">
        <f>+Tabla1[[#This Row],[SUBTOTAL]]/Tabla1[[#This Row],[TIPO DE CAMBIO]]</f>
        <v>12456.91271047744</v>
      </c>
      <c r="AW214" s="851"/>
      <c r="AX214" s="850">
        <f>IFERROR(Tabla1[[#This Row],[VENTA TOTAL USD A PLAZO EN CLIENTE  (SIN IVA)]]*(1+Tabla1[[#This Row],[% IVA ]]),"")</f>
        <v>12456.91271047744</v>
      </c>
      <c r="AY214" s="850">
        <f>+Tabla1[[#This Row],[VENTA TOTAL USD A PLAZO EN CLIENTE  (SIN IVA)]]/Tabla1[[#This Row],[KGS]]*1000</f>
        <v>415.23042368258132</v>
      </c>
      <c r="AZ214" s="850">
        <f>-Tabla1[[#This Row],[COSTO FLETE $ POR BOLSA 5O KG (SIN IVA)]]*20/Tabla1[[#This Row],[TIPO DE CAMBIO]]</f>
        <v>1.2488944771732953</v>
      </c>
      <c r="BA214" s="850">
        <f>+Tabla1[[#This Row],[GASTOS FINANCIEROS $ BOLSA 50 KG (IVA INC)]]*20/Tabla1[[#This Row],[TIPO DE CAMBIO]]</f>
        <v>2.4749780963160282</v>
      </c>
      <c r="BB214" s="850">
        <f>+Tabla1[[#This Row],[PRECIO POR TN USD EN CLIENTE A PLAZO (SIN IVA)]]+Tabla1[[#This Row],[COSTO USD FLETE /TN (SIN IVA)]]+Tabla1[[#This Row],[COSTO FINANCIERO USD POR BOLSA 50KG (IVA INC)]]</f>
        <v>418.95429625607062</v>
      </c>
      <c r="BC214" s="828">
        <v>4</v>
      </c>
      <c r="BD214" s="944" t="s">
        <v>485</v>
      </c>
    </row>
    <row r="215" spans="1:56" ht="15.75" customHeight="1">
      <c r="A215" s="912">
        <v>46174</v>
      </c>
      <c r="B215" s="828">
        <v>1</v>
      </c>
      <c r="C215" s="792" t="s">
        <v>453</v>
      </c>
      <c r="D215" s="829">
        <f>+Tabla1[[#This Row],[FECHA Entrega]]</f>
        <v>46203</v>
      </c>
      <c r="E215" s="830"/>
      <c r="F215" s="831" t="s">
        <v>448</v>
      </c>
      <c r="G215" s="832" t="s">
        <v>216</v>
      </c>
      <c r="H215" s="852">
        <v>46203</v>
      </c>
      <c r="I215" s="834">
        <f t="shared" si="90"/>
        <v>30000</v>
      </c>
      <c r="J215" s="835">
        <f t="shared" si="89"/>
        <v>578.51239669421489</v>
      </c>
      <c r="K215" s="836">
        <f t="shared" si="86"/>
        <v>17355371.900826447</v>
      </c>
      <c r="L21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3644628.0991735538</v>
      </c>
      <c r="M215" s="837">
        <f t="shared" si="91"/>
        <v>21000000</v>
      </c>
      <c r="N215" s="838">
        <v>0</v>
      </c>
      <c r="O215" s="838">
        <v>0</v>
      </c>
      <c r="P215" s="838">
        <v>0</v>
      </c>
      <c r="Q215" s="839">
        <f>+Tabla1[[#This Row],[VENTA TOTAL $ (IVA INC) ]]-Tabla1[[#This Row],[PENDIENTE DE COBRO]]</f>
        <v>21000000</v>
      </c>
      <c r="R215" s="840">
        <f>+Tabla1[[#This Row],[FECHA FC]]+Tabla1[[#This Row],[PLAZO ENTREGA VALORES]]</f>
        <v>46156</v>
      </c>
      <c r="S215" s="840">
        <f>+Tabla1[[#This Row],[FECHA FC]]+Tabla1[[#This Row],[PLAZO PAGO (DIAS)]]</f>
        <v>46203</v>
      </c>
      <c r="T215" s="834">
        <f t="shared" ca="1" si="87"/>
        <v>22</v>
      </c>
      <c r="U215" s="831">
        <f>+Tabla1[[#This Row],[FECHA OC]]-Tabla1[[#This Row],[FECHA Entrega]]</f>
        <v>-47</v>
      </c>
      <c r="V215" s="831"/>
      <c r="W215" s="841">
        <f>+Tabla1[[#This Row],[FECHA VTO VALORES]]+7</f>
        <v>46210</v>
      </c>
      <c r="X215" s="831" t="s">
        <v>487</v>
      </c>
      <c r="Y215" s="840">
        <v>46156</v>
      </c>
      <c r="Z215" s="842">
        <f>Tabla1[[#This Row],[KGS]]/50</f>
        <v>600</v>
      </c>
      <c r="AA21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35000</v>
      </c>
      <c r="AB215" s="844">
        <f>-Tabla1[[#This Row],[COSTO FLETE $ POR BOLSA 5O KG (SIN IVA)]]*1.21-Tabla1[[#This Row],[PRECIO $/ KG A PLAZO EN CLIENTE ( SIN IVA)]]*0.003*1.21*50</f>
        <v>0.26999999999999602</v>
      </c>
      <c r="AC215" s="845">
        <f>SUM(Tabla1[[#This Row],[PRECIO $ BOLSA 50 KG (IVA INC) ]]+Tabla1[[#This Row],[COSTO FLETE $ BOLSA 50 KG (IVA INC)]])</f>
        <v>35000.269999999997</v>
      </c>
      <c r="AD215" s="844">
        <f>-Tabla1[[#This Row],[PRECIO $ BOLSA 50 KG (IVA INC) ]]*(Tabla1[[#This Row],[TASA FINANCIACION MENSUAL]]/365)*Tabla1[[#This Row],[PLAZO ENTREGA VALORES]]</f>
        <v>130.69863013698631</v>
      </c>
      <c r="AE215" s="845">
        <f>SUM(Tabla1[[#This Row],[PRECIO $ BOLSA50 KG  FOB TUCUMAN A PLAZO (IVA INC)]]+Tabla1[[#This Row],[GASTOS FINANCIEROS $ BOLSA 50 KG (IVA INC)]])</f>
        <v>35130.96863013698</v>
      </c>
      <c r="AF215" s="828" t="s">
        <v>359</v>
      </c>
      <c r="AG215" s="828" t="s">
        <v>365</v>
      </c>
      <c r="AH215" s="828" t="s">
        <v>387</v>
      </c>
      <c r="AI215" s="828" t="s">
        <v>391</v>
      </c>
      <c r="AJ21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215" s="846">
        <f>SUM(Tabla1[[#This Row],[PRECIO $ BOLSA 50KG  FOB CDO TUC (IVA INC)]]-Tabla1[[#This Row],[PRECIO REF $ BOLSA 50 KG CACTU (IVA INC)]])</f>
        <v>-1966.0313698630198</v>
      </c>
      <c r="AL215" s="847">
        <f>IFERROR(Tabla1[[#This Row],[PRECIO $ BOLSA 50KG  FOB CDO TUC (IVA INC)]]/Tabla1[[#This Row],[PRECIO REF $ BOLSA 50 KG CACTU (IVA INC)]]-1,"")</f>
        <v>-5.299704477081757E-2</v>
      </c>
      <c r="AM215" s="846">
        <f>+Tabla1[[#This Row],[DIF $ PRECIO NETO INDUSTRIA vs Neto TUCUMAN (IVA INC)]]*Tabla1[[#This Row],[Q Bolsas Equivalentes 50kg]]</f>
        <v>-1179618.8219178119</v>
      </c>
      <c r="AN215" s="846">
        <f>Tabla1[[#This Row],[PRECIO REF $ BOLSA 50 KG CACTU (IVA INC)]]*Tabla1[[#This Row],[Q Bolsas Equivalentes 50kg]]</f>
        <v>22258200</v>
      </c>
      <c r="AO215" s="846">
        <f>+Tabla1[[#This Row],[PRECIO $ BOLSA 50KG  FOB CDO TUC (IVA INC)]]*Tabla1[[#This Row],[Q Bolsas Equivalentes 50kg]]</f>
        <v>21078581.178082187</v>
      </c>
      <c r="AP215" s="847">
        <v>2.9000000000000001E-2</v>
      </c>
      <c r="AQ215" s="846">
        <v>-87</v>
      </c>
      <c r="AR215" s="828">
        <v>0</v>
      </c>
      <c r="AS215" s="849"/>
      <c r="AT215" s="923">
        <f>+Tabla1[[#This Row],[VENTA TOTAL $ (IVA INC) ]]-(SUM(Tabla1[[#This Row],[PENDIENTE DE ENTREGA]:[VALORES COBRADOS]]))</f>
        <v>0</v>
      </c>
      <c r="AU215" s="850">
        <f>VLOOKUP(Tabla1[[#This Row],[FECHA OC]],'TIPO DE CAMBIO'!A:B,2,TRUE)</f>
        <v>1393.2321999999999</v>
      </c>
      <c r="AV215" s="850">
        <f>+Tabla1[[#This Row],[SUBTOTAL]]/Tabla1[[#This Row],[TIPO DE CAMBIO]]</f>
        <v>12456.91271047744</v>
      </c>
      <c r="AW215" s="851"/>
      <c r="AX215" s="850">
        <f>IFERROR(Tabla1[[#This Row],[VENTA TOTAL USD A PLAZO EN CLIENTE  (SIN IVA)]]*(1+Tabla1[[#This Row],[% IVA ]]),"")</f>
        <v>12456.91271047744</v>
      </c>
      <c r="AY215" s="850">
        <f>+Tabla1[[#This Row],[VENTA TOTAL USD A PLAZO EN CLIENTE  (SIN IVA)]]/Tabla1[[#This Row],[KGS]]*1000</f>
        <v>415.23042368258132</v>
      </c>
      <c r="AZ215" s="850">
        <f>-Tabla1[[#This Row],[COSTO FLETE $ POR BOLSA 5O KG (SIN IVA)]]*20/Tabla1[[#This Row],[TIPO DE CAMBIO]]</f>
        <v>1.2488944771732953</v>
      </c>
      <c r="BA215" s="850">
        <f>+Tabla1[[#This Row],[GASTOS FINANCIEROS $ BOLSA 50 KG (IVA INC)]]*20/Tabla1[[#This Row],[TIPO DE CAMBIO]]</f>
        <v>1.8761930730137637</v>
      </c>
      <c r="BB215" s="850">
        <f>+Tabla1[[#This Row],[PRECIO POR TN USD EN CLIENTE A PLAZO (SIN IVA)]]+Tabla1[[#This Row],[COSTO USD FLETE /TN (SIN IVA)]]+Tabla1[[#This Row],[COSTO FINANCIERO USD POR BOLSA 50KG (IVA INC)]]</f>
        <v>418.35551123276838</v>
      </c>
      <c r="BC215" s="828">
        <v>4</v>
      </c>
      <c r="BD215" s="944" t="s">
        <v>485</v>
      </c>
    </row>
    <row r="216" spans="1:56" ht="15.75" customHeight="1">
      <c r="A216" s="912">
        <v>46174</v>
      </c>
      <c r="B216" s="828">
        <v>1</v>
      </c>
      <c r="C216" s="792" t="s">
        <v>467</v>
      </c>
      <c r="D216" s="829">
        <f>+Tabla1[[#This Row],[FECHA Entrega]]</f>
        <v>46188</v>
      </c>
      <c r="E216" s="830"/>
      <c r="F216" s="831" t="s">
        <v>448</v>
      </c>
      <c r="G216" s="832" t="s">
        <v>216</v>
      </c>
      <c r="H216" s="852">
        <v>46188</v>
      </c>
      <c r="I216" s="834">
        <f t="shared" si="90"/>
        <v>30000</v>
      </c>
      <c r="J216" s="835">
        <f t="shared" si="89"/>
        <v>578.51239669421489</v>
      </c>
      <c r="K216" s="836">
        <f t="shared" si="86"/>
        <v>17355371.900826447</v>
      </c>
      <c r="L21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3644628.0991735538</v>
      </c>
      <c r="M216" s="837">
        <f t="shared" si="91"/>
        <v>21000000</v>
      </c>
      <c r="N216" s="838">
        <v>0</v>
      </c>
      <c r="O216" s="838">
        <v>0</v>
      </c>
      <c r="P216" s="838">
        <v>0</v>
      </c>
      <c r="Q216" s="839">
        <f>+Tabla1[[#This Row],[VENTA TOTAL $ (IVA INC) ]]-Tabla1[[#This Row],[PENDIENTE DE COBRO]]</f>
        <v>21000000</v>
      </c>
      <c r="R216" s="840">
        <f>+Tabla1[[#This Row],[FECHA FC]]+Tabla1[[#This Row],[PLAZO ENTREGA VALORES]]</f>
        <v>46156</v>
      </c>
      <c r="S216" s="840">
        <f>+Tabla1[[#This Row],[FECHA FC]]+Tabla1[[#This Row],[PLAZO PAGO (DIAS)]]</f>
        <v>46188</v>
      </c>
      <c r="T216" s="834">
        <f t="shared" ca="1" si="87"/>
        <v>7</v>
      </c>
      <c r="U216" s="831">
        <f>+Tabla1[[#This Row],[FECHA OC]]-Tabla1[[#This Row],[FECHA Entrega]]</f>
        <v>-32</v>
      </c>
      <c r="V216" s="831"/>
      <c r="W216" s="841">
        <f>+Tabla1[[#This Row],[FECHA VTO VALORES]]+7</f>
        <v>46195</v>
      </c>
      <c r="X216" s="831" t="s">
        <v>487</v>
      </c>
      <c r="Y216" s="840">
        <v>46156</v>
      </c>
      <c r="Z216" s="842">
        <f>Tabla1[[#This Row],[KGS]]/50</f>
        <v>600</v>
      </c>
      <c r="AA21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35000</v>
      </c>
      <c r="AB216" s="844">
        <f>-Tabla1[[#This Row],[COSTO FLETE $ POR BOLSA 5O KG (SIN IVA)]]*1.21-Tabla1[[#This Row],[PRECIO $/ KG A PLAZO EN CLIENTE ( SIN IVA)]]*0.003*1.21*50</f>
        <v>0.26999999999999602</v>
      </c>
      <c r="AC216" s="845">
        <f>SUM(Tabla1[[#This Row],[PRECIO $ BOLSA 50 KG (IVA INC) ]]+Tabla1[[#This Row],[COSTO FLETE $ BOLSA 50 KG (IVA INC)]])</f>
        <v>35000.269999999997</v>
      </c>
      <c r="AD216" s="844">
        <f>-Tabla1[[#This Row],[PRECIO $ BOLSA 50 KG (IVA INC) ]]*(Tabla1[[#This Row],[TASA FINANCIACION MENSUAL]]/365)*Tabla1[[#This Row],[PLAZO ENTREGA VALORES]]</f>
        <v>88.986301369863014</v>
      </c>
      <c r="AE216" s="845">
        <f>SUM(Tabla1[[#This Row],[PRECIO $ BOLSA50 KG  FOB TUCUMAN A PLAZO (IVA INC)]]+Tabla1[[#This Row],[GASTOS FINANCIEROS $ BOLSA 50 KG (IVA INC)]])</f>
        <v>35089.25630136986</v>
      </c>
      <c r="AF216" s="828" t="s">
        <v>359</v>
      </c>
      <c r="AG216" s="828" t="s">
        <v>365</v>
      </c>
      <c r="AH216" s="828" t="s">
        <v>387</v>
      </c>
      <c r="AI216" s="828" t="s">
        <v>391</v>
      </c>
      <c r="AJ21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216" s="846">
        <f>SUM(Tabla1[[#This Row],[PRECIO $ BOLSA 50KG  FOB CDO TUC (IVA INC)]]-Tabla1[[#This Row],[PRECIO REF $ BOLSA 50 KG CACTU (IVA INC)]])</f>
        <v>-2007.74369863014</v>
      </c>
      <c r="AL216" s="847">
        <f>IFERROR(Tabla1[[#This Row],[PRECIO $ BOLSA 50KG  FOB CDO TUC (IVA INC)]]/Tabla1[[#This Row],[PRECIO REF $ BOLSA 50 KG CACTU (IVA INC)]]-1,"")</f>
        <v>-5.4121457223768488E-2</v>
      </c>
      <c r="AM216" s="846">
        <f>+Tabla1[[#This Row],[DIF $ PRECIO NETO INDUSTRIA vs Neto TUCUMAN (IVA INC)]]*Tabla1[[#This Row],[Q Bolsas Equivalentes 50kg]]</f>
        <v>-1204646.2191780841</v>
      </c>
      <c r="AN216" s="846">
        <f>Tabla1[[#This Row],[PRECIO REF $ BOLSA 50 KG CACTU (IVA INC)]]*Tabla1[[#This Row],[Q Bolsas Equivalentes 50kg]]</f>
        <v>22258200</v>
      </c>
      <c r="AO216" s="846">
        <f>+Tabla1[[#This Row],[PRECIO $ BOLSA 50KG  FOB CDO TUC (IVA INC)]]*Tabla1[[#This Row],[Q Bolsas Equivalentes 50kg]]</f>
        <v>21053553.780821916</v>
      </c>
      <c r="AP216" s="847">
        <v>2.9000000000000001E-2</v>
      </c>
      <c r="AQ216" s="846">
        <v>-87</v>
      </c>
      <c r="AR216" s="828">
        <v>0</v>
      </c>
      <c r="AS216" s="849"/>
      <c r="AT216" s="923">
        <f>+Tabla1[[#This Row],[VENTA TOTAL $ (IVA INC) ]]-(SUM(Tabla1[[#This Row],[PENDIENTE DE ENTREGA]:[VALORES COBRADOS]]))</f>
        <v>0</v>
      </c>
      <c r="AU216" s="850">
        <f>VLOOKUP(Tabla1[[#This Row],[FECHA OC]],'TIPO DE CAMBIO'!A:B,2,TRUE)</f>
        <v>1393.2321999999999</v>
      </c>
      <c r="AV216" s="850">
        <f>+Tabla1[[#This Row],[SUBTOTAL]]/Tabla1[[#This Row],[TIPO DE CAMBIO]]</f>
        <v>12456.91271047744</v>
      </c>
      <c r="AW216" s="851"/>
      <c r="AX216" s="850">
        <f>IFERROR(Tabla1[[#This Row],[VENTA TOTAL USD A PLAZO EN CLIENTE  (SIN IVA)]]*(1+Tabla1[[#This Row],[% IVA ]]),"")</f>
        <v>12456.91271047744</v>
      </c>
      <c r="AY216" s="850">
        <f>+Tabla1[[#This Row],[VENTA TOTAL USD A PLAZO EN CLIENTE  (SIN IVA)]]/Tabla1[[#This Row],[KGS]]*1000</f>
        <v>415.23042368258132</v>
      </c>
      <c r="AZ216" s="850">
        <f>-Tabla1[[#This Row],[COSTO FLETE $ POR BOLSA 5O KG (SIN IVA)]]*20/Tabla1[[#This Row],[TIPO DE CAMBIO]]</f>
        <v>1.2488944771732953</v>
      </c>
      <c r="BA216" s="850">
        <f>+Tabla1[[#This Row],[GASTOS FINANCIEROS $ BOLSA 50 KG (IVA INC)]]*20/Tabla1[[#This Row],[TIPO DE CAMBIO]]</f>
        <v>1.2774080497114984</v>
      </c>
      <c r="BB216" s="850">
        <f>+Tabla1[[#This Row],[PRECIO POR TN USD EN CLIENTE A PLAZO (SIN IVA)]]+Tabla1[[#This Row],[COSTO USD FLETE /TN (SIN IVA)]]+Tabla1[[#This Row],[COSTO FINANCIERO USD POR BOLSA 50KG (IVA INC)]]</f>
        <v>417.75672620946608</v>
      </c>
      <c r="BC216" s="828">
        <v>4</v>
      </c>
      <c r="BD216" s="944" t="s">
        <v>485</v>
      </c>
    </row>
    <row r="217" spans="1:56" ht="15.75" customHeight="1">
      <c r="A217" s="912">
        <v>46174</v>
      </c>
      <c r="B217" s="828">
        <v>1</v>
      </c>
      <c r="C217" s="792" t="s">
        <v>467</v>
      </c>
      <c r="D217" s="829">
        <f>+Tabla1[[#This Row],[FECHA Entrega]]</f>
        <v>46188</v>
      </c>
      <c r="E217" s="830"/>
      <c r="F217" s="831" t="s">
        <v>448</v>
      </c>
      <c r="G217" s="832" t="s">
        <v>216</v>
      </c>
      <c r="H217" s="852">
        <v>46188</v>
      </c>
      <c r="I217" s="834">
        <f t="shared" si="90"/>
        <v>30000</v>
      </c>
      <c r="J217" s="835">
        <f t="shared" si="89"/>
        <v>578.51239669421489</v>
      </c>
      <c r="K217" s="836">
        <f t="shared" si="86"/>
        <v>17355371.900826447</v>
      </c>
      <c r="L21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3644628.0991735538</v>
      </c>
      <c r="M217" s="837">
        <f t="shared" si="91"/>
        <v>21000000</v>
      </c>
      <c r="N217" s="838">
        <v>0</v>
      </c>
      <c r="O217" s="838">
        <v>0</v>
      </c>
      <c r="P217" s="838">
        <v>0</v>
      </c>
      <c r="Q217" s="839">
        <f>+Tabla1[[#This Row],[VENTA TOTAL $ (IVA INC) ]]-Tabla1[[#This Row],[PENDIENTE DE COBRO]]</f>
        <v>21000000</v>
      </c>
      <c r="R217" s="840">
        <f>+Tabla1[[#This Row],[FECHA FC]]+Tabla1[[#This Row],[PLAZO ENTREGA VALORES]]</f>
        <v>46156</v>
      </c>
      <c r="S217" s="840">
        <f>+Tabla1[[#This Row],[FECHA FC]]+Tabla1[[#This Row],[PLAZO PAGO (DIAS)]]</f>
        <v>46188</v>
      </c>
      <c r="T217" s="834">
        <f t="shared" ca="1" si="87"/>
        <v>7</v>
      </c>
      <c r="U217" s="831">
        <f>+Tabla1[[#This Row],[FECHA OC]]-Tabla1[[#This Row],[FECHA Entrega]]</f>
        <v>-32</v>
      </c>
      <c r="V217" s="831"/>
      <c r="W217" s="841">
        <f>+Tabla1[[#This Row],[FECHA VTO VALORES]]+7</f>
        <v>46195</v>
      </c>
      <c r="X217" s="831" t="s">
        <v>487</v>
      </c>
      <c r="Y217" s="840">
        <v>46156</v>
      </c>
      <c r="Z217" s="842">
        <f>Tabla1[[#This Row],[KGS]]/50</f>
        <v>600</v>
      </c>
      <c r="AA21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35000</v>
      </c>
      <c r="AB217" s="844">
        <f>-Tabla1[[#This Row],[COSTO FLETE $ POR BOLSA 5O KG (SIN IVA)]]*1.21-Tabla1[[#This Row],[PRECIO $/ KG A PLAZO EN CLIENTE ( SIN IVA)]]*0.003*1.21*50</f>
        <v>0.26999999999999602</v>
      </c>
      <c r="AC217" s="845">
        <f>SUM(Tabla1[[#This Row],[PRECIO $ BOLSA 50 KG (IVA INC) ]]+Tabla1[[#This Row],[COSTO FLETE $ BOLSA 50 KG (IVA INC)]])</f>
        <v>35000.269999999997</v>
      </c>
      <c r="AD217" s="844">
        <f>-Tabla1[[#This Row],[PRECIO $ BOLSA 50 KG (IVA INC) ]]*(Tabla1[[#This Row],[TASA FINANCIACION MENSUAL]]/365)*Tabla1[[#This Row],[PLAZO ENTREGA VALORES]]</f>
        <v>88.986301369863014</v>
      </c>
      <c r="AE217" s="845">
        <f>SUM(Tabla1[[#This Row],[PRECIO $ BOLSA50 KG  FOB TUCUMAN A PLAZO (IVA INC)]]+Tabla1[[#This Row],[GASTOS FINANCIEROS $ BOLSA 50 KG (IVA INC)]])</f>
        <v>35089.25630136986</v>
      </c>
      <c r="AF217" s="828" t="s">
        <v>359</v>
      </c>
      <c r="AG217" s="828" t="s">
        <v>365</v>
      </c>
      <c r="AH217" s="828" t="s">
        <v>387</v>
      </c>
      <c r="AI217" s="828" t="s">
        <v>391</v>
      </c>
      <c r="AJ21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217" s="846">
        <f>SUM(Tabla1[[#This Row],[PRECIO $ BOLSA 50KG  FOB CDO TUC (IVA INC)]]-Tabla1[[#This Row],[PRECIO REF $ BOLSA 50 KG CACTU (IVA INC)]])</f>
        <v>-2007.74369863014</v>
      </c>
      <c r="AL217" s="847">
        <f>IFERROR(Tabla1[[#This Row],[PRECIO $ BOLSA 50KG  FOB CDO TUC (IVA INC)]]/Tabla1[[#This Row],[PRECIO REF $ BOLSA 50 KG CACTU (IVA INC)]]-1,"")</f>
        <v>-5.4121457223768488E-2</v>
      </c>
      <c r="AM217" s="846">
        <f>+Tabla1[[#This Row],[DIF $ PRECIO NETO INDUSTRIA vs Neto TUCUMAN (IVA INC)]]*Tabla1[[#This Row],[Q Bolsas Equivalentes 50kg]]</f>
        <v>-1204646.2191780841</v>
      </c>
      <c r="AN217" s="846">
        <f>Tabla1[[#This Row],[PRECIO REF $ BOLSA 50 KG CACTU (IVA INC)]]*Tabla1[[#This Row],[Q Bolsas Equivalentes 50kg]]</f>
        <v>22258200</v>
      </c>
      <c r="AO217" s="846">
        <f>+Tabla1[[#This Row],[PRECIO $ BOLSA 50KG  FOB CDO TUC (IVA INC)]]*Tabla1[[#This Row],[Q Bolsas Equivalentes 50kg]]</f>
        <v>21053553.780821916</v>
      </c>
      <c r="AP217" s="847">
        <v>2.9000000000000001E-2</v>
      </c>
      <c r="AQ217" s="846">
        <v>-87</v>
      </c>
      <c r="AR217" s="828">
        <v>0</v>
      </c>
      <c r="AS217" s="849"/>
      <c r="AT217" s="923">
        <f>+Tabla1[[#This Row],[VENTA TOTAL $ (IVA INC) ]]-(SUM(Tabla1[[#This Row],[PENDIENTE DE ENTREGA]:[VALORES COBRADOS]]))</f>
        <v>0</v>
      </c>
      <c r="AU217" s="850">
        <f>VLOOKUP(Tabla1[[#This Row],[FECHA OC]],'TIPO DE CAMBIO'!A:B,2,TRUE)</f>
        <v>1393.2321999999999</v>
      </c>
      <c r="AV217" s="850">
        <f>+Tabla1[[#This Row],[SUBTOTAL]]/Tabla1[[#This Row],[TIPO DE CAMBIO]]</f>
        <v>12456.91271047744</v>
      </c>
      <c r="AW217" s="851"/>
      <c r="AX217" s="850">
        <f>IFERROR(Tabla1[[#This Row],[VENTA TOTAL USD A PLAZO EN CLIENTE  (SIN IVA)]]*(1+Tabla1[[#This Row],[% IVA ]]),"")</f>
        <v>12456.91271047744</v>
      </c>
      <c r="AY217" s="850">
        <f>+Tabla1[[#This Row],[VENTA TOTAL USD A PLAZO EN CLIENTE  (SIN IVA)]]/Tabla1[[#This Row],[KGS]]*1000</f>
        <v>415.23042368258132</v>
      </c>
      <c r="AZ217" s="850">
        <f>-Tabla1[[#This Row],[COSTO FLETE $ POR BOLSA 5O KG (SIN IVA)]]*20/Tabla1[[#This Row],[TIPO DE CAMBIO]]</f>
        <v>1.2488944771732953</v>
      </c>
      <c r="BA217" s="850">
        <f>+Tabla1[[#This Row],[GASTOS FINANCIEROS $ BOLSA 50 KG (IVA INC)]]*20/Tabla1[[#This Row],[TIPO DE CAMBIO]]</f>
        <v>1.2774080497114984</v>
      </c>
      <c r="BB217" s="850">
        <f>+Tabla1[[#This Row],[PRECIO POR TN USD EN CLIENTE A PLAZO (SIN IVA)]]+Tabla1[[#This Row],[COSTO USD FLETE /TN (SIN IVA)]]+Tabla1[[#This Row],[COSTO FINANCIERO USD POR BOLSA 50KG (IVA INC)]]</f>
        <v>417.75672620946608</v>
      </c>
      <c r="BC217" s="828">
        <v>4</v>
      </c>
      <c r="BD217" s="944" t="s">
        <v>485</v>
      </c>
    </row>
    <row r="218" spans="1:56" ht="15.75" customHeight="1">
      <c r="A218" s="912">
        <v>46174</v>
      </c>
      <c r="B218" s="828">
        <v>1</v>
      </c>
      <c r="C218" s="792" t="s">
        <v>467</v>
      </c>
      <c r="D218" s="829">
        <f>+Tabla1[[#This Row],[FECHA Entrega]]</f>
        <v>46203</v>
      </c>
      <c r="E218" s="830"/>
      <c r="F218" s="831" t="s">
        <v>448</v>
      </c>
      <c r="G218" s="832" t="s">
        <v>216</v>
      </c>
      <c r="H218" s="852">
        <v>46203</v>
      </c>
      <c r="I218" s="834">
        <f t="shared" si="90"/>
        <v>30000</v>
      </c>
      <c r="J218" s="835">
        <f t="shared" si="89"/>
        <v>578.51239669421489</v>
      </c>
      <c r="K218" s="836">
        <f t="shared" si="86"/>
        <v>17355371.900826447</v>
      </c>
      <c r="L21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3644628.0991735538</v>
      </c>
      <c r="M218" s="837">
        <f t="shared" si="91"/>
        <v>21000000</v>
      </c>
      <c r="N218" s="838">
        <v>0</v>
      </c>
      <c r="O218" s="838">
        <v>0</v>
      </c>
      <c r="P218" s="838">
        <v>0</v>
      </c>
      <c r="Q218" s="839">
        <f>+Tabla1[[#This Row],[VENTA TOTAL $ (IVA INC) ]]-Tabla1[[#This Row],[PENDIENTE DE COBRO]]</f>
        <v>21000000</v>
      </c>
      <c r="R218" s="840">
        <f>+Tabla1[[#This Row],[FECHA FC]]+Tabla1[[#This Row],[PLAZO ENTREGA VALORES]]</f>
        <v>46156</v>
      </c>
      <c r="S218" s="840">
        <f>+Tabla1[[#This Row],[FECHA FC]]+Tabla1[[#This Row],[PLAZO PAGO (DIAS)]]</f>
        <v>46203</v>
      </c>
      <c r="T218" s="834">
        <f t="shared" ca="1" si="87"/>
        <v>22</v>
      </c>
      <c r="U218" s="831">
        <f>+Tabla1[[#This Row],[FECHA OC]]-Tabla1[[#This Row],[FECHA Entrega]]</f>
        <v>-47</v>
      </c>
      <c r="V218" s="831"/>
      <c r="W218" s="841">
        <f>+Tabla1[[#This Row],[FECHA VTO VALORES]]+7</f>
        <v>46210</v>
      </c>
      <c r="X218" s="831" t="s">
        <v>487</v>
      </c>
      <c r="Y218" s="840">
        <v>46156</v>
      </c>
      <c r="Z218" s="842">
        <f>Tabla1[[#This Row],[KGS]]/50</f>
        <v>600</v>
      </c>
      <c r="AA21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35000</v>
      </c>
      <c r="AB218" s="844">
        <f>-Tabla1[[#This Row],[COSTO FLETE $ POR BOLSA 5O KG (SIN IVA)]]*1.21-Tabla1[[#This Row],[PRECIO $/ KG A PLAZO EN CLIENTE ( SIN IVA)]]*0.003*1.21*50</f>
        <v>0.26999999999999602</v>
      </c>
      <c r="AC218" s="845">
        <f>SUM(Tabla1[[#This Row],[PRECIO $ BOLSA 50 KG (IVA INC) ]]+Tabla1[[#This Row],[COSTO FLETE $ BOLSA 50 KG (IVA INC)]])</f>
        <v>35000.269999999997</v>
      </c>
      <c r="AD218" s="844">
        <f>-Tabla1[[#This Row],[PRECIO $ BOLSA 50 KG (IVA INC) ]]*(Tabla1[[#This Row],[TASA FINANCIACION MENSUAL]]/365)*Tabla1[[#This Row],[PLAZO ENTREGA VALORES]]</f>
        <v>130.69863013698631</v>
      </c>
      <c r="AE218" s="845">
        <f>SUM(Tabla1[[#This Row],[PRECIO $ BOLSA50 KG  FOB TUCUMAN A PLAZO (IVA INC)]]+Tabla1[[#This Row],[GASTOS FINANCIEROS $ BOLSA 50 KG (IVA INC)]])</f>
        <v>35130.96863013698</v>
      </c>
      <c r="AF218" s="828" t="s">
        <v>359</v>
      </c>
      <c r="AG218" s="828" t="s">
        <v>365</v>
      </c>
      <c r="AH218" s="828" t="s">
        <v>387</v>
      </c>
      <c r="AI218" s="828" t="s">
        <v>391</v>
      </c>
      <c r="AJ21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218" s="846">
        <f>SUM(Tabla1[[#This Row],[PRECIO $ BOLSA 50KG  FOB CDO TUC (IVA INC)]]-Tabla1[[#This Row],[PRECIO REF $ BOLSA 50 KG CACTU (IVA INC)]])</f>
        <v>-1966.0313698630198</v>
      </c>
      <c r="AL218" s="847">
        <f>IFERROR(Tabla1[[#This Row],[PRECIO $ BOLSA 50KG  FOB CDO TUC (IVA INC)]]/Tabla1[[#This Row],[PRECIO REF $ BOLSA 50 KG CACTU (IVA INC)]]-1,"")</f>
        <v>-5.299704477081757E-2</v>
      </c>
      <c r="AM218" s="846">
        <f>+Tabla1[[#This Row],[DIF $ PRECIO NETO INDUSTRIA vs Neto TUCUMAN (IVA INC)]]*Tabla1[[#This Row],[Q Bolsas Equivalentes 50kg]]</f>
        <v>-1179618.8219178119</v>
      </c>
      <c r="AN218" s="846">
        <f>Tabla1[[#This Row],[PRECIO REF $ BOLSA 50 KG CACTU (IVA INC)]]*Tabla1[[#This Row],[Q Bolsas Equivalentes 50kg]]</f>
        <v>22258200</v>
      </c>
      <c r="AO218" s="846">
        <f>+Tabla1[[#This Row],[PRECIO $ BOLSA 50KG  FOB CDO TUC (IVA INC)]]*Tabla1[[#This Row],[Q Bolsas Equivalentes 50kg]]</f>
        <v>21078581.178082187</v>
      </c>
      <c r="AP218" s="847">
        <v>2.9000000000000001E-2</v>
      </c>
      <c r="AQ218" s="846">
        <v>-87</v>
      </c>
      <c r="AR218" s="828">
        <v>0</v>
      </c>
      <c r="AS218" s="849"/>
      <c r="AT218" s="923">
        <f>+Tabla1[[#This Row],[VENTA TOTAL $ (IVA INC) ]]-(SUM(Tabla1[[#This Row],[PENDIENTE DE ENTREGA]:[VALORES COBRADOS]]))</f>
        <v>0</v>
      </c>
      <c r="AU218" s="850">
        <f>VLOOKUP(Tabla1[[#This Row],[FECHA OC]],'TIPO DE CAMBIO'!A:B,2,TRUE)</f>
        <v>1393.2321999999999</v>
      </c>
      <c r="AV218" s="850">
        <f>+Tabla1[[#This Row],[SUBTOTAL]]/Tabla1[[#This Row],[TIPO DE CAMBIO]]</f>
        <v>12456.91271047744</v>
      </c>
      <c r="AW218" s="851"/>
      <c r="AX218" s="850">
        <f>IFERROR(Tabla1[[#This Row],[VENTA TOTAL USD A PLAZO EN CLIENTE  (SIN IVA)]]*(1+Tabla1[[#This Row],[% IVA ]]),"")</f>
        <v>12456.91271047744</v>
      </c>
      <c r="AY218" s="850">
        <f>+Tabla1[[#This Row],[VENTA TOTAL USD A PLAZO EN CLIENTE  (SIN IVA)]]/Tabla1[[#This Row],[KGS]]*1000</f>
        <v>415.23042368258132</v>
      </c>
      <c r="AZ218" s="850">
        <f>-Tabla1[[#This Row],[COSTO FLETE $ POR BOLSA 5O KG (SIN IVA)]]*20/Tabla1[[#This Row],[TIPO DE CAMBIO]]</f>
        <v>1.2488944771732953</v>
      </c>
      <c r="BA218" s="850">
        <f>+Tabla1[[#This Row],[GASTOS FINANCIEROS $ BOLSA 50 KG (IVA INC)]]*20/Tabla1[[#This Row],[TIPO DE CAMBIO]]</f>
        <v>1.8761930730137637</v>
      </c>
      <c r="BB218" s="850">
        <f>+Tabla1[[#This Row],[PRECIO POR TN USD EN CLIENTE A PLAZO (SIN IVA)]]+Tabla1[[#This Row],[COSTO USD FLETE /TN (SIN IVA)]]+Tabla1[[#This Row],[COSTO FINANCIERO USD POR BOLSA 50KG (IVA INC)]]</f>
        <v>418.35551123276838</v>
      </c>
      <c r="BC218" s="828">
        <v>4</v>
      </c>
      <c r="BD218" s="944" t="s">
        <v>485</v>
      </c>
    </row>
    <row r="219" spans="1:56" ht="15.75" customHeight="1">
      <c r="A219" s="912">
        <v>46174</v>
      </c>
      <c r="B219" s="828">
        <v>1</v>
      </c>
      <c r="C219" s="792" t="s">
        <v>408</v>
      </c>
      <c r="D219" s="829">
        <f>+Tabla1[[#This Row],[FECHA Entrega]]</f>
        <v>46175</v>
      </c>
      <c r="E219" s="830"/>
      <c r="F219" s="831" t="s">
        <v>356</v>
      </c>
      <c r="G219" s="832" t="s">
        <v>216</v>
      </c>
      <c r="H219" s="852">
        <v>46175</v>
      </c>
      <c r="I219" s="834">
        <v>28006</v>
      </c>
      <c r="J219" s="835">
        <f>0.395*Tabla1[[#This Row],[TIPO DE CAMBIO]]</f>
        <v>551.16238099999998</v>
      </c>
      <c r="K219" s="836">
        <f t="shared" si="86"/>
        <v>15435853.642285999</v>
      </c>
      <c r="L21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219" s="837">
        <f t="shared" si="91"/>
        <v>15435853.642285999</v>
      </c>
      <c r="N219" s="838">
        <f>+Tabla1[[#This Row],[VENTA TOTAL $ (IVA INC) ]]</f>
        <v>15435853.642285999</v>
      </c>
      <c r="O219" s="838">
        <v>0</v>
      </c>
      <c r="P219" s="838">
        <v>0</v>
      </c>
      <c r="Q219" s="839">
        <f>+Tabla1[[#This Row],[VENTA TOTAL $ (IVA INC) ]]-Tabla1[[#This Row],[PENDIENTE DE ENTREGA]]-Tabla1[[#This Row],[PENDIENTE DE COBRO]]+Tabla1[[#This Row],[VALORES EN CARTERA]]</f>
        <v>0</v>
      </c>
      <c r="R219" s="840">
        <f>+Tabla1[[#This Row],[FECHA FC]]+Tabla1[[#This Row],[PLAZO ENTREGA VALORES]]</f>
        <v>46168</v>
      </c>
      <c r="S219" s="840">
        <f>+Tabla1[[#This Row],[FECHA FC]]+Tabla1[[#This Row],[PLAZO PAGO (DIAS)]]</f>
        <v>46168</v>
      </c>
      <c r="T219" s="834">
        <f t="shared" ca="1" si="87"/>
        <v>-13</v>
      </c>
      <c r="U219" s="831">
        <v>-7</v>
      </c>
      <c r="V219" s="831"/>
      <c r="W219" s="841">
        <f>+Tabla1[[#This Row],[FECHA VTO VALORES]]+7</f>
        <v>46175</v>
      </c>
      <c r="X219" s="831" t="s">
        <v>488</v>
      </c>
      <c r="Y219" s="840">
        <v>46157</v>
      </c>
      <c r="Z219" s="842">
        <f>Tabla1[[#This Row],[KGS]]/50</f>
        <v>560.12</v>
      </c>
      <c r="AA21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27558.119049999998</v>
      </c>
      <c r="AB219" s="844">
        <f>-Tabla1[[#This Row],[COSTO FLETE $ POR BOLSA 5O KG (SIN IVA)]]*1.21-Tabla1[[#This Row],[PRECIO $/ KG A PLAZO EN CLIENTE ( SIN IVA)]]*0.003*1.21*50</f>
        <v>0.39402784850000216</v>
      </c>
      <c r="AC219" s="845">
        <f>SUM(Tabla1[[#This Row],[PRECIO $ BOLSA 50 KG (IVA INC) ]]+Tabla1[[#This Row],[COSTO FLETE $ BOLSA 50 KG (IVA INC)]])</f>
        <v>27558.513077848496</v>
      </c>
      <c r="AD219" s="844">
        <f>-Tabla1[[#This Row],[PRECIO $ BOLSA 50 KG (IVA INC) ]]*(Tabla1[[#This Row],[TASA FINANCIACION MENSUAL]]/365)*Tabla1[[#This Row],[PLAZO ENTREGA VALORES]]</f>
        <v>15.326844293561644</v>
      </c>
      <c r="AE219" s="845">
        <f>SUM(Tabla1[[#This Row],[PRECIO $ BOLSA50 KG  FOB TUCUMAN A PLAZO (IVA INC)]]+Tabla1[[#This Row],[GASTOS FINANCIEROS $ BOLSA 50 KG (IVA INC)]])</f>
        <v>27573.839922142059</v>
      </c>
      <c r="AF219" s="828" t="s">
        <v>394</v>
      </c>
      <c r="AG219" s="828" t="s">
        <v>365</v>
      </c>
      <c r="AH219" s="828" t="s">
        <v>388</v>
      </c>
      <c r="AI219" s="828" t="s">
        <v>259</v>
      </c>
      <c r="AJ21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30660.330578512399</v>
      </c>
      <c r="AK219" s="846">
        <f>SUM(Tabla1[[#This Row],[PRECIO $ BOLSA 50KG  FOB CDO TUC (IVA INC)]]-Tabla1[[#This Row],[PRECIO REF $ BOLSA 50 KG CACTU (IVA INC)]])</f>
        <v>-3086.4906563703407</v>
      </c>
      <c r="AL219" s="847">
        <f>IFERROR(Tabla1[[#This Row],[PRECIO $ BOLSA 50KG  FOB CDO TUC (IVA INC)]]/Tabla1[[#This Row],[PRECIO REF $ BOLSA 50 KG CACTU (IVA INC)]]-1,"")</f>
        <v>-0.10066723346203699</v>
      </c>
      <c r="AM219" s="846">
        <f>+Tabla1[[#This Row],[DIF $ PRECIO NETO INDUSTRIA vs Neto TUCUMAN (IVA INC)]]*Tabla1[[#This Row],[Q Bolsas Equivalentes 50kg]]</f>
        <v>-1728805.1464461552</v>
      </c>
      <c r="AN219" s="846">
        <f>Tabla1[[#This Row],[PRECIO REF $ BOLSA 50 KG CACTU (IVA INC)]]*Tabla1[[#This Row],[Q Bolsas Equivalentes 50kg]]</f>
        <v>17173464.363636367</v>
      </c>
      <c r="AO219" s="846">
        <f>+Tabla1[[#This Row],[PRECIO $ BOLSA 50KG  FOB CDO TUC (IVA INC)]]*Tabla1[[#This Row],[Q Bolsas Equivalentes 50kg]]</f>
        <v>15444659.21719021</v>
      </c>
      <c r="AP219" s="847">
        <v>2.9000000000000001E-2</v>
      </c>
      <c r="AQ219" s="846">
        <v>-83</v>
      </c>
      <c r="AR219" s="828">
        <v>-7</v>
      </c>
      <c r="AS219" s="849"/>
      <c r="AT219" s="923">
        <f>+Tabla1[[#This Row],[VENTA TOTAL $ (IVA INC) ]]-(SUM(Tabla1[[#This Row],[PENDIENTE DE ENTREGA]:[VALORES COBRADOS]]))</f>
        <v>0</v>
      </c>
      <c r="AU219" s="850">
        <f>VLOOKUP(Tabla1[[#This Row],[FECHA OC]],'TIPO DE CAMBIO'!A:B,2,TRUE)</f>
        <v>1395.3478</v>
      </c>
      <c r="AV219" s="850">
        <f>+Tabla1[[#This Row],[SUBTOTAL]]/Tabla1[[#This Row],[TIPO DE CAMBIO]]</f>
        <v>11062.369999999999</v>
      </c>
      <c r="AW219" s="851"/>
      <c r="AX219" s="850">
        <f>IFERROR(Tabla1[[#This Row],[VENTA TOTAL USD A PLAZO EN CLIENTE  (SIN IVA)]]*(1+Tabla1[[#This Row],[% IVA ]]),"")</f>
        <v>11062.369999999999</v>
      </c>
      <c r="AY219" s="850">
        <f>+Tabla1[[#This Row],[VENTA TOTAL USD A PLAZO EN CLIENTE  (SIN IVA)]]/Tabla1[[#This Row],[KGS]]*1000</f>
        <v>394.99999999999994</v>
      </c>
      <c r="AZ219" s="850">
        <f>-Tabla1[[#This Row],[COSTO FLETE $ POR BOLSA 5O KG (SIN IVA)]]*20/Tabla1[[#This Row],[TIPO DE CAMBIO]]</f>
        <v>1.1896675509862129</v>
      </c>
      <c r="BA219" s="850">
        <f>+Tabla1[[#This Row],[GASTOS FINANCIEROS $ BOLSA 50 KG (IVA INC)]]*20/Tabla1[[#This Row],[TIPO DE CAMBIO]]</f>
        <v>0.21968493150684931</v>
      </c>
      <c r="BB219" s="850">
        <f>+Tabla1[[#This Row],[PRECIO POR TN USD EN CLIENTE A PLAZO (SIN IVA)]]+Tabla1[[#This Row],[COSTO USD FLETE /TN (SIN IVA)]]+Tabla1[[#This Row],[COSTO FINANCIERO USD POR BOLSA 50KG (IVA INC)]]</f>
        <v>396.40935248249298</v>
      </c>
      <c r="BC219" s="848">
        <v>1</v>
      </c>
      <c r="BD219" s="944"/>
    </row>
    <row r="220" spans="1:56" ht="15.75" customHeight="1">
      <c r="A220" s="912">
        <v>46174</v>
      </c>
      <c r="B220" s="828">
        <v>1</v>
      </c>
      <c r="C220" s="792" t="s">
        <v>408</v>
      </c>
      <c r="D220" s="829">
        <f>+Tabla1[[#This Row],[FECHA Entrega]]</f>
        <v>46175</v>
      </c>
      <c r="E220" s="830"/>
      <c r="F220" s="831" t="s">
        <v>356</v>
      </c>
      <c r="G220" s="832" t="s">
        <v>216</v>
      </c>
      <c r="H220" s="852">
        <v>46175</v>
      </c>
      <c r="I220" s="834">
        <v>28006</v>
      </c>
      <c r="J220" s="835">
        <f>0.395*Tabla1[[#This Row],[TIPO DE CAMBIO]]</f>
        <v>551.16238099999998</v>
      </c>
      <c r="K220" s="836">
        <f t="shared" si="86"/>
        <v>15435853.642285999</v>
      </c>
      <c r="L22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220" s="837">
        <f t="shared" si="91"/>
        <v>15435853.642285999</v>
      </c>
      <c r="N220" s="838">
        <f>+Tabla1[[#This Row],[VENTA TOTAL $ (IVA INC) ]]</f>
        <v>15435853.642285999</v>
      </c>
      <c r="O220" s="838">
        <v>0</v>
      </c>
      <c r="P220" s="838">
        <v>0</v>
      </c>
      <c r="Q220" s="839">
        <f>+Tabla1[[#This Row],[VENTA TOTAL $ (IVA INC) ]]-Tabla1[[#This Row],[PENDIENTE DE ENTREGA]]-Tabla1[[#This Row],[PENDIENTE DE COBRO]]+Tabla1[[#This Row],[VALORES EN CARTERA]]</f>
        <v>0</v>
      </c>
      <c r="R220" s="840">
        <f>+Tabla1[[#This Row],[FECHA FC]]+Tabla1[[#This Row],[PLAZO ENTREGA VALORES]]</f>
        <v>46168</v>
      </c>
      <c r="S220" s="840">
        <f>+Tabla1[[#This Row],[FECHA FC]]+Tabla1[[#This Row],[PLAZO PAGO (DIAS)]]</f>
        <v>46168</v>
      </c>
      <c r="T220" s="834">
        <f t="shared" ca="1" si="87"/>
        <v>-13</v>
      </c>
      <c r="U220" s="831">
        <v>-7</v>
      </c>
      <c r="V220" s="831"/>
      <c r="W220" s="841">
        <f>+Tabla1[[#This Row],[FECHA VTO VALORES]]+7</f>
        <v>46175</v>
      </c>
      <c r="X220" s="831" t="s">
        <v>488</v>
      </c>
      <c r="Y220" s="840">
        <v>46157</v>
      </c>
      <c r="Z220" s="842">
        <f>Tabla1[[#This Row],[KGS]]/50</f>
        <v>560.12</v>
      </c>
      <c r="AA22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27558.119049999998</v>
      </c>
      <c r="AB220" s="844">
        <f>-Tabla1[[#This Row],[COSTO FLETE $ POR BOLSA 5O KG (SIN IVA)]]*1.21-Tabla1[[#This Row],[PRECIO $/ KG A PLAZO EN CLIENTE ( SIN IVA)]]*0.003*1.21*50</f>
        <v>0.39402784850000216</v>
      </c>
      <c r="AC220" s="845">
        <f>SUM(Tabla1[[#This Row],[PRECIO $ BOLSA 50 KG (IVA INC) ]]+Tabla1[[#This Row],[COSTO FLETE $ BOLSA 50 KG (IVA INC)]])</f>
        <v>27558.513077848496</v>
      </c>
      <c r="AD220" s="844">
        <f>-Tabla1[[#This Row],[PRECIO $ BOLSA 50 KG (IVA INC) ]]*(Tabla1[[#This Row],[TASA FINANCIACION MENSUAL]]/365)*Tabla1[[#This Row],[PLAZO ENTREGA VALORES]]</f>
        <v>15.326844293561644</v>
      </c>
      <c r="AE220" s="845">
        <f>SUM(Tabla1[[#This Row],[PRECIO $ BOLSA50 KG  FOB TUCUMAN A PLAZO (IVA INC)]]+Tabla1[[#This Row],[GASTOS FINANCIEROS $ BOLSA 50 KG (IVA INC)]])</f>
        <v>27573.839922142059</v>
      </c>
      <c r="AF220" s="828" t="s">
        <v>394</v>
      </c>
      <c r="AG220" s="828" t="s">
        <v>365</v>
      </c>
      <c r="AH220" s="828" t="s">
        <v>388</v>
      </c>
      <c r="AI220" s="828" t="s">
        <v>259</v>
      </c>
      <c r="AJ22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30660.330578512399</v>
      </c>
      <c r="AK220" s="846">
        <f>SUM(Tabla1[[#This Row],[PRECIO $ BOLSA 50KG  FOB CDO TUC (IVA INC)]]-Tabla1[[#This Row],[PRECIO REF $ BOLSA 50 KG CACTU (IVA INC)]])</f>
        <v>-3086.4906563703407</v>
      </c>
      <c r="AL220" s="847">
        <f>IFERROR(Tabla1[[#This Row],[PRECIO $ BOLSA 50KG  FOB CDO TUC (IVA INC)]]/Tabla1[[#This Row],[PRECIO REF $ BOLSA 50 KG CACTU (IVA INC)]]-1,"")</f>
        <v>-0.10066723346203699</v>
      </c>
      <c r="AM220" s="846">
        <f>+Tabla1[[#This Row],[DIF $ PRECIO NETO INDUSTRIA vs Neto TUCUMAN (IVA INC)]]*Tabla1[[#This Row],[Q Bolsas Equivalentes 50kg]]</f>
        <v>-1728805.1464461552</v>
      </c>
      <c r="AN220" s="846">
        <f>Tabla1[[#This Row],[PRECIO REF $ BOLSA 50 KG CACTU (IVA INC)]]*Tabla1[[#This Row],[Q Bolsas Equivalentes 50kg]]</f>
        <v>17173464.363636367</v>
      </c>
      <c r="AO220" s="846">
        <f>+Tabla1[[#This Row],[PRECIO $ BOLSA 50KG  FOB CDO TUC (IVA INC)]]*Tabla1[[#This Row],[Q Bolsas Equivalentes 50kg]]</f>
        <v>15444659.21719021</v>
      </c>
      <c r="AP220" s="847">
        <v>2.9000000000000001E-2</v>
      </c>
      <c r="AQ220" s="846">
        <v>-83</v>
      </c>
      <c r="AR220" s="828">
        <v>-7</v>
      </c>
      <c r="AS220" s="849"/>
      <c r="AT220" s="923">
        <f>+Tabla1[[#This Row],[VENTA TOTAL $ (IVA INC) ]]-(SUM(Tabla1[[#This Row],[PENDIENTE DE ENTREGA]:[VALORES COBRADOS]]))</f>
        <v>0</v>
      </c>
      <c r="AU220" s="850">
        <f>VLOOKUP(Tabla1[[#This Row],[FECHA OC]],'TIPO DE CAMBIO'!A:B,2,TRUE)</f>
        <v>1395.3478</v>
      </c>
      <c r="AV220" s="850">
        <f>+Tabla1[[#This Row],[SUBTOTAL]]/Tabla1[[#This Row],[TIPO DE CAMBIO]]</f>
        <v>11062.369999999999</v>
      </c>
      <c r="AW220" s="851"/>
      <c r="AX220" s="850">
        <f>IFERROR(Tabla1[[#This Row],[VENTA TOTAL USD A PLAZO EN CLIENTE  (SIN IVA)]]*(1+Tabla1[[#This Row],[% IVA ]]),"")</f>
        <v>11062.369999999999</v>
      </c>
      <c r="AY220" s="850">
        <f>+Tabla1[[#This Row],[VENTA TOTAL USD A PLAZO EN CLIENTE  (SIN IVA)]]/Tabla1[[#This Row],[KGS]]*1000</f>
        <v>394.99999999999994</v>
      </c>
      <c r="AZ220" s="850">
        <f>-Tabla1[[#This Row],[COSTO FLETE $ POR BOLSA 5O KG (SIN IVA)]]*20/Tabla1[[#This Row],[TIPO DE CAMBIO]]</f>
        <v>1.1896675509862129</v>
      </c>
      <c r="BA220" s="850">
        <f>+Tabla1[[#This Row],[GASTOS FINANCIEROS $ BOLSA 50 KG (IVA INC)]]*20/Tabla1[[#This Row],[TIPO DE CAMBIO]]</f>
        <v>0.21968493150684931</v>
      </c>
      <c r="BB220" s="850">
        <f>+Tabla1[[#This Row],[PRECIO POR TN USD EN CLIENTE A PLAZO (SIN IVA)]]+Tabla1[[#This Row],[COSTO USD FLETE /TN (SIN IVA)]]+Tabla1[[#This Row],[COSTO FINANCIERO USD POR BOLSA 50KG (IVA INC)]]</f>
        <v>396.40935248249298</v>
      </c>
      <c r="BC220" s="848">
        <v>1</v>
      </c>
      <c r="BD220" s="944"/>
    </row>
    <row r="221" spans="1:56" ht="15.75" customHeight="1">
      <c r="A221" s="912">
        <v>46174</v>
      </c>
      <c r="B221" s="828">
        <v>1</v>
      </c>
      <c r="C221" s="792" t="s">
        <v>408</v>
      </c>
      <c r="D221" s="829">
        <f>+Tabla1[[#This Row],[FECHA Entrega]]</f>
        <v>46182</v>
      </c>
      <c r="E221" s="830"/>
      <c r="F221" s="831" t="s">
        <v>356</v>
      </c>
      <c r="G221" s="832" t="s">
        <v>216</v>
      </c>
      <c r="H221" s="852">
        <v>46182</v>
      </c>
      <c r="I221" s="834">
        <v>28006</v>
      </c>
      <c r="J221" s="835">
        <f>0.395*Tabla1[[#This Row],[TIPO DE CAMBIO]]</f>
        <v>551.16238099999998</v>
      </c>
      <c r="K221" s="836">
        <f t="shared" si="86"/>
        <v>15435853.642285999</v>
      </c>
      <c r="L22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221" s="837">
        <f t="shared" si="91"/>
        <v>15435853.642285999</v>
      </c>
      <c r="N221" s="838">
        <f>+Tabla1[[#This Row],[VENTA TOTAL $ (IVA INC) ]]</f>
        <v>15435853.642285999</v>
      </c>
      <c r="O221" s="838">
        <v>0</v>
      </c>
      <c r="P221" s="838">
        <v>0</v>
      </c>
      <c r="Q221" s="839">
        <f>+Tabla1[[#This Row],[VENTA TOTAL $ (IVA INC) ]]-Tabla1[[#This Row],[PENDIENTE DE ENTREGA]]-Tabla1[[#This Row],[PENDIENTE DE COBRO]]+Tabla1[[#This Row],[VALORES EN CARTERA]]</f>
        <v>0</v>
      </c>
      <c r="R221" s="840">
        <f>+Tabla1[[#This Row],[FECHA FC]]+Tabla1[[#This Row],[PLAZO ENTREGA VALORES]]</f>
        <v>46175</v>
      </c>
      <c r="S221" s="840">
        <f>+Tabla1[[#This Row],[FECHA FC]]+Tabla1[[#This Row],[PLAZO PAGO (DIAS)]]</f>
        <v>46175</v>
      </c>
      <c r="T221" s="834">
        <f t="shared" ca="1" si="87"/>
        <v>-6</v>
      </c>
      <c r="U221" s="831">
        <v>-7</v>
      </c>
      <c r="V221" s="831"/>
      <c r="W221" s="841">
        <f>+Tabla1[[#This Row],[FECHA VTO VALORES]]+7</f>
        <v>46182</v>
      </c>
      <c r="X221" s="831" t="s">
        <v>488</v>
      </c>
      <c r="Y221" s="840">
        <v>46157</v>
      </c>
      <c r="Z221" s="842">
        <f>Tabla1[[#This Row],[KGS]]/50</f>
        <v>560.12</v>
      </c>
      <c r="AA22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27558.119049999998</v>
      </c>
      <c r="AB221" s="844">
        <f>-Tabla1[[#This Row],[COSTO FLETE $ POR BOLSA 5O KG (SIN IVA)]]*1.21-Tabla1[[#This Row],[PRECIO $/ KG A PLAZO EN CLIENTE ( SIN IVA)]]*0.003*1.21*50</f>
        <v>0.39402784850000216</v>
      </c>
      <c r="AC221" s="845">
        <f>SUM(Tabla1[[#This Row],[PRECIO $ BOLSA 50 KG (IVA INC) ]]+Tabla1[[#This Row],[COSTO FLETE $ BOLSA 50 KG (IVA INC)]])</f>
        <v>27558.513077848496</v>
      </c>
      <c r="AD221" s="844">
        <f>-Tabla1[[#This Row],[PRECIO $ BOLSA 50 KG (IVA INC) ]]*(Tabla1[[#This Row],[TASA FINANCIACION MENSUAL]]/365)*Tabla1[[#This Row],[PLAZO ENTREGA VALORES]]</f>
        <v>15.326844293561644</v>
      </c>
      <c r="AE221" s="845">
        <f>SUM(Tabla1[[#This Row],[PRECIO $ BOLSA50 KG  FOB TUCUMAN A PLAZO (IVA INC)]]+Tabla1[[#This Row],[GASTOS FINANCIEROS $ BOLSA 50 KG (IVA INC)]])</f>
        <v>27573.839922142059</v>
      </c>
      <c r="AF221" s="828" t="s">
        <v>394</v>
      </c>
      <c r="AG221" s="828" t="s">
        <v>365</v>
      </c>
      <c r="AH221" s="828" t="s">
        <v>388</v>
      </c>
      <c r="AI221" s="828" t="s">
        <v>259</v>
      </c>
      <c r="AJ22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30660.330578512399</v>
      </c>
      <c r="AK221" s="846">
        <f>SUM(Tabla1[[#This Row],[PRECIO $ BOLSA 50KG  FOB CDO TUC (IVA INC)]]-Tabla1[[#This Row],[PRECIO REF $ BOLSA 50 KG CACTU (IVA INC)]])</f>
        <v>-3086.4906563703407</v>
      </c>
      <c r="AL221" s="847">
        <f>IFERROR(Tabla1[[#This Row],[PRECIO $ BOLSA 50KG  FOB CDO TUC (IVA INC)]]/Tabla1[[#This Row],[PRECIO REF $ BOLSA 50 KG CACTU (IVA INC)]]-1,"")</f>
        <v>-0.10066723346203699</v>
      </c>
      <c r="AM221" s="846">
        <f>+Tabla1[[#This Row],[DIF $ PRECIO NETO INDUSTRIA vs Neto TUCUMAN (IVA INC)]]*Tabla1[[#This Row],[Q Bolsas Equivalentes 50kg]]</f>
        <v>-1728805.1464461552</v>
      </c>
      <c r="AN221" s="846">
        <f>Tabla1[[#This Row],[PRECIO REF $ BOLSA 50 KG CACTU (IVA INC)]]*Tabla1[[#This Row],[Q Bolsas Equivalentes 50kg]]</f>
        <v>17173464.363636367</v>
      </c>
      <c r="AO221" s="846">
        <f>+Tabla1[[#This Row],[PRECIO $ BOLSA 50KG  FOB CDO TUC (IVA INC)]]*Tabla1[[#This Row],[Q Bolsas Equivalentes 50kg]]</f>
        <v>15444659.21719021</v>
      </c>
      <c r="AP221" s="847">
        <v>2.9000000000000001E-2</v>
      </c>
      <c r="AQ221" s="846">
        <v>-83</v>
      </c>
      <c r="AR221" s="828">
        <v>-7</v>
      </c>
      <c r="AS221" s="849"/>
      <c r="AT221" s="923">
        <f>+Tabla1[[#This Row],[VENTA TOTAL $ (IVA INC) ]]-(SUM(Tabla1[[#This Row],[PENDIENTE DE ENTREGA]:[VALORES COBRADOS]]))</f>
        <v>0</v>
      </c>
      <c r="AU221" s="850">
        <f>VLOOKUP(Tabla1[[#This Row],[FECHA OC]],'TIPO DE CAMBIO'!A:B,2,TRUE)</f>
        <v>1395.3478</v>
      </c>
      <c r="AV221" s="850">
        <f>+Tabla1[[#This Row],[SUBTOTAL]]/Tabla1[[#This Row],[TIPO DE CAMBIO]]</f>
        <v>11062.369999999999</v>
      </c>
      <c r="AW221" s="851"/>
      <c r="AX221" s="850">
        <f>IFERROR(Tabla1[[#This Row],[VENTA TOTAL USD A PLAZO EN CLIENTE  (SIN IVA)]]*(1+Tabla1[[#This Row],[% IVA ]]),"")</f>
        <v>11062.369999999999</v>
      </c>
      <c r="AY221" s="850">
        <f>+Tabla1[[#This Row],[VENTA TOTAL USD A PLAZO EN CLIENTE  (SIN IVA)]]/Tabla1[[#This Row],[KGS]]*1000</f>
        <v>394.99999999999994</v>
      </c>
      <c r="AZ221" s="850">
        <f>-Tabla1[[#This Row],[COSTO FLETE $ POR BOLSA 5O KG (SIN IVA)]]*20/Tabla1[[#This Row],[TIPO DE CAMBIO]]</f>
        <v>1.1896675509862129</v>
      </c>
      <c r="BA221" s="850">
        <f>+Tabla1[[#This Row],[GASTOS FINANCIEROS $ BOLSA 50 KG (IVA INC)]]*20/Tabla1[[#This Row],[TIPO DE CAMBIO]]</f>
        <v>0.21968493150684931</v>
      </c>
      <c r="BB221" s="850">
        <f>+Tabla1[[#This Row],[PRECIO POR TN USD EN CLIENTE A PLAZO (SIN IVA)]]+Tabla1[[#This Row],[COSTO USD FLETE /TN (SIN IVA)]]+Tabla1[[#This Row],[COSTO FINANCIERO USD POR BOLSA 50KG (IVA INC)]]</f>
        <v>396.40935248249298</v>
      </c>
      <c r="BC221" s="848">
        <v>1</v>
      </c>
      <c r="BD221" s="944"/>
    </row>
    <row r="222" spans="1:56" ht="15.75" customHeight="1">
      <c r="A222" s="912">
        <v>46174</v>
      </c>
      <c r="B222" s="828">
        <v>1</v>
      </c>
      <c r="C222" s="792" t="s">
        <v>408</v>
      </c>
      <c r="D222" s="829">
        <f>+Tabla1[[#This Row],[FECHA Entrega]]</f>
        <v>46182</v>
      </c>
      <c r="E222" s="830"/>
      <c r="F222" s="831" t="s">
        <v>356</v>
      </c>
      <c r="G222" s="832" t="s">
        <v>216</v>
      </c>
      <c r="H222" s="852">
        <v>46182</v>
      </c>
      <c r="I222" s="834">
        <v>28006</v>
      </c>
      <c r="J222" s="835">
        <f>0.395*Tabla1[[#This Row],[TIPO DE CAMBIO]]</f>
        <v>551.16238099999998</v>
      </c>
      <c r="K222" s="836">
        <f t="shared" si="86"/>
        <v>15435853.642285999</v>
      </c>
      <c r="L22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222" s="837">
        <f t="shared" si="91"/>
        <v>15435853.642285999</v>
      </c>
      <c r="N222" s="838">
        <f>+Tabla1[[#This Row],[VENTA TOTAL $ (IVA INC) ]]</f>
        <v>15435853.642285999</v>
      </c>
      <c r="O222" s="838">
        <v>0</v>
      </c>
      <c r="P222" s="838">
        <v>0</v>
      </c>
      <c r="Q222" s="839">
        <f>+Tabla1[[#This Row],[VENTA TOTAL $ (IVA INC) ]]-Tabla1[[#This Row],[PENDIENTE DE ENTREGA]]-Tabla1[[#This Row],[PENDIENTE DE COBRO]]+Tabla1[[#This Row],[VALORES EN CARTERA]]</f>
        <v>0</v>
      </c>
      <c r="R222" s="840">
        <f>+Tabla1[[#This Row],[FECHA FC]]+Tabla1[[#This Row],[PLAZO ENTREGA VALORES]]</f>
        <v>46175</v>
      </c>
      <c r="S222" s="840">
        <f>+Tabla1[[#This Row],[FECHA FC]]+Tabla1[[#This Row],[PLAZO PAGO (DIAS)]]</f>
        <v>46175</v>
      </c>
      <c r="T222" s="834">
        <f t="shared" ca="1" si="87"/>
        <v>-6</v>
      </c>
      <c r="U222" s="831">
        <v>-7</v>
      </c>
      <c r="V222" s="831"/>
      <c r="W222" s="841">
        <f>+Tabla1[[#This Row],[FECHA VTO VALORES]]+7</f>
        <v>46182</v>
      </c>
      <c r="X222" s="831" t="s">
        <v>488</v>
      </c>
      <c r="Y222" s="840">
        <v>46157</v>
      </c>
      <c r="Z222" s="842">
        <f>Tabla1[[#This Row],[KGS]]/50</f>
        <v>560.12</v>
      </c>
      <c r="AA22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27558.119049999998</v>
      </c>
      <c r="AB222" s="844">
        <f>-Tabla1[[#This Row],[COSTO FLETE $ POR BOLSA 5O KG (SIN IVA)]]*1.21-Tabla1[[#This Row],[PRECIO $/ KG A PLAZO EN CLIENTE ( SIN IVA)]]*0.003*1.21*50</f>
        <v>0.39402784850000216</v>
      </c>
      <c r="AC222" s="845">
        <f>SUM(Tabla1[[#This Row],[PRECIO $ BOLSA 50 KG (IVA INC) ]]+Tabla1[[#This Row],[COSTO FLETE $ BOLSA 50 KG (IVA INC)]])</f>
        <v>27558.513077848496</v>
      </c>
      <c r="AD222" s="844">
        <f>-Tabla1[[#This Row],[PRECIO $ BOLSA 50 KG (IVA INC) ]]*(Tabla1[[#This Row],[TASA FINANCIACION MENSUAL]]/365)*Tabla1[[#This Row],[PLAZO ENTREGA VALORES]]</f>
        <v>15.326844293561644</v>
      </c>
      <c r="AE222" s="845">
        <f>SUM(Tabla1[[#This Row],[PRECIO $ BOLSA50 KG  FOB TUCUMAN A PLAZO (IVA INC)]]+Tabla1[[#This Row],[GASTOS FINANCIEROS $ BOLSA 50 KG (IVA INC)]])</f>
        <v>27573.839922142059</v>
      </c>
      <c r="AF222" s="828" t="s">
        <v>394</v>
      </c>
      <c r="AG222" s="828" t="s">
        <v>365</v>
      </c>
      <c r="AH222" s="828" t="s">
        <v>388</v>
      </c>
      <c r="AI222" s="828" t="s">
        <v>259</v>
      </c>
      <c r="AJ22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30660.330578512399</v>
      </c>
      <c r="AK222" s="846">
        <f>SUM(Tabla1[[#This Row],[PRECIO $ BOLSA 50KG  FOB CDO TUC (IVA INC)]]-Tabla1[[#This Row],[PRECIO REF $ BOLSA 50 KG CACTU (IVA INC)]])</f>
        <v>-3086.4906563703407</v>
      </c>
      <c r="AL222" s="847">
        <f>IFERROR(Tabla1[[#This Row],[PRECIO $ BOLSA 50KG  FOB CDO TUC (IVA INC)]]/Tabla1[[#This Row],[PRECIO REF $ BOLSA 50 KG CACTU (IVA INC)]]-1,"")</f>
        <v>-0.10066723346203699</v>
      </c>
      <c r="AM222" s="846">
        <f>+Tabla1[[#This Row],[DIF $ PRECIO NETO INDUSTRIA vs Neto TUCUMAN (IVA INC)]]*Tabla1[[#This Row],[Q Bolsas Equivalentes 50kg]]</f>
        <v>-1728805.1464461552</v>
      </c>
      <c r="AN222" s="846">
        <f>Tabla1[[#This Row],[PRECIO REF $ BOLSA 50 KG CACTU (IVA INC)]]*Tabla1[[#This Row],[Q Bolsas Equivalentes 50kg]]</f>
        <v>17173464.363636367</v>
      </c>
      <c r="AO222" s="846">
        <f>+Tabla1[[#This Row],[PRECIO $ BOLSA 50KG  FOB CDO TUC (IVA INC)]]*Tabla1[[#This Row],[Q Bolsas Equivalentes 50kg]]</f>
        <v>15444659.21719021</v>
      </c>
      <c r="AP222" s="847">
        <v>2.9000000000000001E-2</v>
      </c>
      <c r="AQ222" s="846">
        <v>-83</v>
      </c>
      <c r="AR222" s="828">
        <v>-7</v>
      </c>
      <c r="AS222" s="849"/>
      <c r="AT222" s="923">
        <f>+Tabla1[[#This Row],[VENTA TOTAL $ (IVA INC) ]]-(SUM(Tabla1[[#This Row],[PENDIENTE DE ENTREGA]:[VALORES COBRADOS]]))</f>
        <v>0</v>
      </c>
      <c r="AU222" s="850">
        <f>VLOOKUP(Tabla1[[#This Row],[FECHA OC]],'TIPO DE CAMBIO'!A:B,2,TRUE)</f>
        <v>1395.3478</v>
      </c>
      <c r="AV222" s="850">
        <f>+Tabla1[[#This Row],[SUBTOTAL]]/Tabla1[[#This Row],[TIPO DE CAMBIO]]</f>
        <v>11062.369999999999</v>
      </c>
      <c r="AW222" s="851"/>
      <c r="AX222" s="850">
        <f>IFERROR(Tabla1[[#This Row],[VENTA TOTAL USD A PLAZO EN CLIENTE  (SIN IVA)]]*(1+Tabla1[[#This Row],[% IVA ]]),"")</f>
        <v>11062.369999999999</v>
      </c>
      <c r="AY222" s="850">
        <f>+Tabla1[[#This Row],[VENTA TOTAL USD A PLAZO EN CLIENTE  (SIN IVA)]]/Tabla1[[#This Row],[KGS]]*1000</f>
        <v>394.99999999999994</v>
      </c>
      <c r="AZ222" s="850">
        <f>-Tabla1[[#This Row],[COSTO FLETE $ POR BOLSA 5O KG (SIN IVA)]]*20/Tabla1[[#This Row],[TIPO DE CAMBIO]]</f>
        <v>1.1896675509862129</v>
      </c>
      <c r="BA222" s="850">
        <f>+Tabla1[[#This Row],[GASTOS FINANCIEROS $ BOLSA 50 KG (IVA INC)]]*20/Tabla1[[#This Row],[TIPO DE CAMBIO]]</f>
        <v>0.21968493150684931</v>
      </c>
      <c r="BB222" s="850">
        <f>+Tabla1[[#This Row],[PRECIO POR TN USD EN CLIENTE A PLAZO (SIN IVA)]]+Tabla1[[#This Row],[COSTO USD FLETE /TN (SIN IVA)]]+Tabla1[[#This Row],[COSTO FINANCIERO USD POR BOLSA 50KG (IVA INC)]]</f>
        <v>396.40935248249298</v>
      </c>
      <c r="BC222" s="848">
        <v>1</v>
      </c>
      <c r="BD222" s="944"/>
    </row>
    <row r="223" spans="1:56" ht="15.75" customHeight="1">
      <c r="A223" s="912">
        <v>46174</v>
      </c>
      <c r="B223" s="828">
        <v>1</v>
      </c>
      <c r="C223" s="792" t="s">
        <v>408</v>
      </c>
      <c r="D223" s="829">
        <f>+Tabla1[[#This Row],[FECHA Entrega]]</f>
        <v>46190</v>
      </c>
      <c r="E223" s="830"/>
      <c r="F223" s="831" t="s">
        <v>356</v>
      </c>
      <c r="G223" s="832" t="s">
        <v>216</v>
      </c>
      <c r="H223" s="852">
        <v>46190</v>
      </c>
      <c r="I223" s="834">
        <v>28006</v>
      </c>
      <c r="J223" s="835">
        <f>0.395*Tabla1[[#This Row],[TIPO DE CAMBIO]]</f>
        <v>551.16238099999998</v>
      </c>
      <c r="K223" s="836">
        <f t="shared" si="86"/>
        <v>15435853.642285999</v>
      </c>
      <c r="L22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223" s="837">
        <f t="shared" si="91"/>
        <v>15435853.642285999</v>
      </c>
      <c r="N223" s="838">
        <f>+Tabla1[[#This Row],[VENTA TOTAL $ (IVA INC) ]]</f>
        <v>15435853.642285999</v>
      </c>
      <c r="O223" s="838">
        <v>0</v>
      </c>
      <c r="P223" s="838">
        <v>0</v>
      </c>
      <c r="Q223" s="839">
        <f>+Tabla1[[#This Row],[VENTA TOTAL $ (IVA INC) ]]-Tabla1[[#This Row],[PENDIENTE DE ENTREGA]]-Tabla1[[#This Row],[PENDIENTE DE COBRO]]+Tabla1[[#This Row],[VALORES EN CARTERA]]</f>
        <v>0</v>
      </c>
      <c r="R223" s="840">
        <f>+Tabla1[[#This Row],[FECHA FC]]+Tabla1[[#This Row],[PLAZO ENTREGA VALORES]]</f>
        <v>46183</v>
      </c>
      <c r="S223" s="840">
        <f>+Tabla1[[#This Row],[FECHA FC]]+Tabla1[[#This Row],[PLAZO PAGO (DIAS)]]</f>
        <v>46183</v>
      </c>
      <c r="T223" s="834">
        <f t="shared" ca="1" si="87"/>
        <v>2</v>
      </c>
      <c r="U223" s="831">
        <v>-7</v>
      </c>
      <c r="V223" s="831"/>
      <c r="W223" s="841">
        <f>+Tabla1[[#This Row],[FECHA VTO VALORES]]+7</f>
        <v>46190</v>
      </c>
      <c r="X223" s="831" t="s">
        <v>488</v>
      </c>
      <c r="Y223" s="840">
        <v>46157</v>
      </c>
      <c r="Z223" s="842">
        <f>Tabla1[[#This Row],[KGS]]/50</f>
        <v>560.12</v>
      </c>
      <c r="AA22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27558.119049999998</v>
      </c>
      <c r="AB223" s="844">
        <f>-Tabla1[[#This Row],[COSTO FLETE $ POR BOLSA 5O KG (SIN IVA)]]*1.21-Tabla1[[#This Row],[PRECIO $/ KG A PLAZO EN CLIENTE ( SIN IVA)]]*0.003*1.21*50</f>
        <v>0.39402784850000216</v>
      </c>
      <c r="AC223" s="845">
        <f>SUM(Tabla1[[#This Row],[PRECIO $ BOLSA 50 KG (IVA INC) ]]+Tabla1[[#This Row],[COSTO FLETE $ BOLSA 50 KG (IVA INC)]])</f>
        <v>27558.513077848496</v>
      </c>
      <c r="AD223" s="844">
        <f>-Tabla1[[#This Row],[PRECIO $ BOLSA 50 KG (IVA INC) ]]*(Tabla1[[#This Row],[TASA FINANCIACION MENSUAL]]/365)*Tabla1[[#This Row],[PLAZO ENTREGA VALORES]]</f>
        <v>15.326844293561644</v>
      </c>
      <c r="AE223" s="845">
        <f>SUM(Tabla1[[#This Row],[PRECIO $ BOLSA50 KG  FOB TUCUMAN A PLAZO (IVA INC)]]+Tabla1[[#This Row],[GASTOS FINANCIEROS $ BOLSA 50 KG (IVA INC)]])</f>
        <v>27573.839922142059</v>
      </c>
      <c r="AF223" s="828" t="s">
        <v>394</v>
      </c>
      <c r="AG223" s="828" t="s">
        <v>365</v>
      </c>
      <c r="AH223" s="828" t="s">
        <v>388</v>
      </c>
      <c r="AI223" s="828" t="s">
        <v>259</v>
      </c>
      <c r="AJ22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30660.330578512399</v>
      </c>
      <c r="AK223" s="846">
        <f>SUM(Tabla1[[#This Row],[PRECIO $ BOLSA 50KG  FOB CDO TUC (IVA INC)]]-Tabla1[[#This Row],[PRECIO REF $ BOLSA 50 KG CACTU (IVA INC)]])</f>
        <v>-3086.4906563703407</v>
      </c>
      <c r="AL223" s="847">
        <f>IFERROR(Tabla1[[#This Row],[PRECIO $ BOLSA 50KG  FOB CDO TUC (IVA INC)]]/Tabla1[[#This Row],[PRECIO REF $ BOLSA 50 KG CACTU (IVA INC)]]-1,"")</f>
        <v>-0.10066723346203699</v>
      </c>
      <c r="AM223" s="846">
        <f>+Tabla1[[#This Row],[DIF $ PRECIO NETO INDUSTRIA vs Neto TUCUMAN (IVA INC)]]*Tabla1[[#This Row],[Q Bolsas Equivalentes 50kg]]</f>
        <v>-1728805.1464461552</v>
      </c>
      <c r="AN223" s="846">
        <f>Tabla1[[#This Row],[PRECIO REF $ BOLSA 50 KG CACTU (IVA INC)]]*Tabla1[[#This Row],[Q Bolsas Equivalentes 50kg]]</f>
        <v>17173464.363636367</v>
      </c>
      <c r="AO223" s="846">
        <f>+Tabla1[[#This Row],[PRECIO $ BOLSA 50KG  FOB CDO TUC (IVA INC)]]*Tabla1[[#This Row],[Q Bolsas Equivalentes 50kg]]</f>
        <v>15444659.21719021</v>
      </c>
      <c r="AP223" s="847">
        <v>2.9000000000000001E-2</v>
      </c>
      <c r="AQ223" s="846">
        <v>-83</v>
      </c>
      <c r="AR223" s="828">
        <v>-7</v>
      </c>
      <c r="AS223" s="849"/>
      <c r="AT223" s="923">
        <f>+Tabla1[[#This Row],[VENTA TOTAL $ (IVA INC) ]]-(SUM(Tabla1[[#This Row],[PENDIENTE DE ENTREGA]:[VALORES COBRADOS]]))</f>
        <v>0</v>
      </c>
      <c r="AU223" s="850">
        <f>VLOOKUP(Tabla1[[#This Row],[FECHA OC]],'TIPO DE CAMBIO'!A:B,2,TRUE)</f>
        <v>1395.3478</v>
      </c>
      <c r="AV223" s="850">
        <f>+Tabla1[[#This Row],[SUBTOTAL]]/Tabla1[[#This Row],[TIPO DE CAMBIO]]</f>
        <v>11062.369999999999</v>
      </c>
      <c r="AW223" s="851"/>
      <c r="AX223" s="850">
        <f>IFERROR(Tabla1[[#This Row],[VENTA TOTAL USD A PLAZO EN CLIENTE  (SIN IVA)]]*(1+Tabla1[[#This Row],[% IVA ]]),"")</f>
        <v>11062.369999999999</v>
      </c>
      <c r="AY223" s="850">
        <f>+Tabla1[[#This Row],[VENTA TOTAL USD A PLAZO EN CLIENTE  (SIN IVA)]]/Tabla1[[#This Row],[KGS]]*1000</f>
        <v>394.99999999999994</v>
      </c>
      <c r="AZ223" s="850">
        <f>-Tabla1[[#This Row],[COSTO FLETE $ POR BOLSA 5O KG (SIN IVA)]]*20/Tabla1[[#This Row],[TIPO DE CAMBIO]]</f>
        <v>1.1896675509862129</v>
      </c>
      <c r="BA223" s="850">
        <f>+Tabla1[[#This Row],[GASTOS FINANCIEROS $ BOLSA 50 KG (IVA INC)]]*20/Tabla1[[#This Row],[TIPO DE CAMBIO]]</f>
        <v>0.21968493150684931</v>
      </c>
      <c r="BB223" s="850">
        <f>+Tabla1[[#This Row],[PRECIO POR TN USD EN CLIENTE A PLAZO (SIN IVA)]]+Tabla1[[#This Row],[COSTO USD FLETE /TN (SIN IVA)]]+Tabla1[[#This Row],[COSTO FINANCIERO USD POR BOLSA 50KG (IVA INC)]]</f>
        <v>396.40935248249298</v>
      </c>
      <c r="BC223" s="848">
        <v>1</v>
      </c>
      <c r="BD223" s="944"/>
    </row>
    <row r="224" spans="1:56" ht="15.75" customHeight="1">
      <c r="A224" s="912">
        <v>46174</v>
      </c>
      <c r="B224" s="828">
        <v>1</v>
      </c>
      <c r="C224" s="792" t="s">
        <v>471</v>
      </c>
      <c r="D224" s="829">
        <f>+Tabla1[[#This Row],[FECHA Entrega]]</f>
        <v>46174</v>
      </c>
      <c r="E224" s="830">
        <v>2843</v>
      </c>
      <c r="F224" s="831" t="s">
        <v>448</v>
      </c>
      <c r="G224" s="832" t="s">
        <v>357</v>
      </c>
      <c r="H224" s="852">
        <v>46174</v>
      </c>
      <c r="I224" s="834">
        <f>800*50</f>
        <v>40000</v>
      </c>
      <c r="J224" s="835">
        <f t="shared" ref="J224:J252" si="92">600/1.21</f>
        <v>495.86776859504135</v>
      </c>
      <c r="K224" s="836">
        <f t="shared" si="86"/>
        <v>19834710.743801653</v>
      </c>
      <c r="L22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24" s="837">
        <f t="shared" si="91"/>
        <v>24000000</v>
      </c>
      <c r="N224" s="838">
        <v>0</v>
      </c>
      <c r="O224" s="838">
        <v>0</v>
      </c>
      <c r="P224" s="838">
        <v>0</v>
      </c>
      <c r="Q224" s="839">
        <f>+Tabla1[[#This Row],[VENTA TOTAL $ (IVA INC) ]]-Tabla1[[#This Row],[PENDIENTE DE COBRO]]</f>
        <v>24000000</v>
      </c>
      <c r="R224" s="840">
        <f>+Tabla1[[#This Row],[FECHA FC]]+Tabla1[[#This Row],[PLAZO ENTREGA VALORES]]</f>
        <v>46126</v>
      </c>
      <c r="S224" s="840">
        <f>+Tabla1[[#This Row],[FECHA FC]]+Tabla1[[#This Row],[PLAZO PAGO (DIAS)]]</f>
        <v>46174</v>
      </c>
      <c r="T224" s="834">
        <f t="shared" ca="1" si="87"/>
        <v>-7</v>
      </c>
      <c r="U224" s="831">
        <f>+Tabla1[[#This Row],[FECHA OC]]-Tabla1[[#This Row],[FECHA Entrega]]</f>
        <v>-48</v>
      </c>
      <c r="V224" s="831"/>
      <c r="W224" s="841">
        <f>+Tabla1[[#This Row],[FECHA VTO VALORES]]+7</f>
        <v>46181</v>
      </c>
      <c r="X224" s="831">
        <v>2381</v>
      </c>
      <c r="Y224" s="840">
        <v>46126</v>
      </c>
      <c r="Z224" s="842">
        <f>Tabla1[[#This Row],[KGS]]/50</f>
        <v>800</v>
      </c>
      <c r="AA22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24" s="844">
        <f>-Tabla1[[#This Row],[COSTO FLETE $ POR BOLSA 5O KG (SIN IVA)]]*1.21-Tabla1[[#This Row],[PRECIO $/ KG A PLAZO EN CLIENTE ( SIN IVA)]]*0.003*1.21*50</f>
        <v>0.14499999999999602</v>
      </c>
      <c r="AC224" s="845">
        <f>SUM(Tabla1[[#This Row],[PRECIO $ BOLSA 50 KG (IVA INC) ]]+Tabla1[[#This Row],[COSTO FLETE $ BOLSA 50 KG (IVA INC)]])</f>
        <v>30000.145</v>
      </c>
      <c r="AD224" s="844">
        <f>-Tabla1[[#This Row],[PRECIO $ BOLSA 50 KG (IVA INC) ]]*(Tabla1[[#This Row],[TASA FINANCIACION MENSUAL]]/365)*Tabla1[[#This Row],[PLAZO ENTREGA VALORES]]</f>
        <v>114.41095890410961</v>
      </c>
      <c r="AE224" s="845">
        <f>SUM(Tabla1[[#This Row],[PRECIO $ BOLSA50 KG  FOB TUCUMAN A PLAZO (IVA INC)]]+Tabla1[[#This Row],[GASTOS FINANCIEROS $ BOLSA 50 KG (IVA INC)]])</f>
        <v>30114.555958904111</v>
      </c>
      <c r="AF224" s="828" t="s">
        <v>359</v>
      </c>
      <c r="AG224" s="828" t="s">
        <v>365</v>
      </c>
      <c r="AH224" s="828" t="s">
        <v>387</v>
      </c>
      <c r="AI224" s="828" t="s">
        <v>391</v>
      </c>
      <c r="AJ22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24" s="846">
        <f>SUM(Tabla1[[#This Row],[PRECIO $ BOLSA 50KG  FOB CDO TUC (IVA INC)]]-Tabla1[[#This Row],[PRECIO REF $ BOLSA 50 KG CACTU (IVA INC)]])</f>
        <v>-5240.4440410958887</v>
      </c>
      <c r="AL224" s="847">
        <f>IFERROR(Tabla1[[#This Row],[PRECIO $ BOLSA 50KG  FOB CDO TUC (IVA INC)]]/Tabla1[[#This Row],[PRECIO REF $ BOLSA 50 KG CACTU (IVA INC)]]-1,"")</f>
        <v>-0.14822356218627886</v>
      </c>
      <c r="AM224" s="846">
        <f>+Tabla1[[#This Row],[DIF $ PRECIO NETO INDUSTRIA vs Neto TUCUMAN (IVA INC)]]*Tabla1[[#This Row],[Q Bolsas Equivalentes 50kg]]</f>
        <v>-4192355.2328767111</v>
      </c>
      <c r="AN224" s="846">
        <f>Tabla1[[#This Row],[PRECIO REF $ BOLSA 50 KG CACTU (IVA INC)]]*Tabla1[[#This Row],[Q Bolsas Equivalentes 50kg]]</f>
        <v>28284000</v>
      </c>
      <c r="AO224" s="846">
        <f>+Tabla1[[#This Row],[PRECIO $ BOLSA 50KG  FOB CDO TUC (IVA INC)]]*Tabla1[[#This Row],[Q Bolsas Equivalentes 50kg]]</f>
        <v>24091644.767123289</v>
      </c>
      <c r="AP224" s="847">
        <v>2.9000000000000001E-2</v>
      </c>
      <c r="AQ224" s="846">
        <v>-74.5</v>
      </c>
      <c r="AR224" s="828"/>
      <c r="AS224" s="849" t="s">
        <v>603</v>
      </c>
      <c r="AT224" s="923">
        <f>+Tabla1[[#This Row],[VENTA TOTAL $ (IVA INC) ]]-(SUM(Tabla1[[#This Row],[PENDIENTE DE ENTREGA]:[VALORES COBRADOS]]))</f>
        <v>0</v>
      </c>
      <c r="AU224" s="850">
        <f>VLOOKUP(Tabla1[[#This Row],[FECHA OC]],'TIPO DE CAMBIO'!A:B,2,TRUE)</f>
        <v>1358.5219999999999</v>
      </c>
      <c r="AV224" s="850">
        <f>+Tabla1[[#This Row],[SUBTOTAL]]/Tabla1[[#This Row],[TIPO DE CAMBIO]]</f>
        <v>14600.213131477925</v>
      </c>
      <c r="AW224" s="851"/>
      <c r="AX224" s="850">
        <f>IFERROR(Tabla1[[#This Row],[VENTA TOTAL USD A PLAZO EN CLIENTE  (SIN IVA)]]*(1+Tabla1[[#This Row],[% IVA ]]),"")</f>
        <v>14600.213131477925</v>
      </c>
      <c r="AY224" s="850">
        <f>+Tabla1[[#This Row],[VENTA TOTAL USD A PLAZO EN CLIENTE  (SIN IVA)]]/Tabla1[[#This Row],[KGS]]*1000</f>
        <v>365.00532828694816</v>
      </c>
      <c r="AZ224" s="850">
        <f>-Tabla1[[#This Row],[COSTO FLETE $ POR BOLSA 5O KG (SIN IVA)]]*20/Tabla1[[#This Row],[TIPO DE CAMBIO]]</f>
        <v>1.096780177280898</v>
      </c>
      <c r="BA224" s="850">
        <f>+Tabla1[[#This Row],[GASTOS FINANCIEROS $ BOLSA 50 KG (IVA INC)]]*20/Tabla1[[#This Row],[TIPO DE CAMBIO]]</f>
        <v>1.6843445877815688</v>
      </c>
      <c r="BB224" s="850">
        <f>+Tabla1[[#This Row],[PRECIO POR TN USD EN CLIENTE A PLAZO (SIN IVA)]]+Tabla1[[#This Row],[COSTO USD FLETE /TN (SIN IVA)]]+Tabla1[[#This Row],[COSTO FINANCIERO USD POR BOLSA 50KG (IVA INC)]]</f>
        <v>367.78645305201064</v>
      </c>
      <c r="BC224" s="828">
        <v>4</v>
      </c>
      <c r="BD224" s="944" t="s">
        <v>485</v>
      </c>
    </row>
    <row r="225" spans="1:56" ht="15.75" customHeight="1">
      <c r="A225" s="912">
        <v>46174</v>
      </c>
      <c r="B225" s="828">
        <v>1</v>
      </c>
      <c r="C225" s="792" t="s">
        <v>471</v>
      </c>
      <c r="D225" s="829">
        <f>+Tabla1[[#This Row],[FECHA Entrega]]</f>
        <v>46175</v>
      </c>
      <c r="E225" s="830">
        <v>2843</v>
      </c>
      <c r="F225" s="831" t="s">
        <v>448</v>
      </c>
      <c r="G225" s="832" t="s">
        <v>357</v>
      </c>
      <c r="H225" s="852">
        <v>46175</v>
      </c>
      <c r="I225" s="834">
        <f t="shared" ref="I225:I252" si="93">800*50</f>
        <v>40000</v>
      </c>
      <c r="J225" s="835">
        <f t="shared" si="92"/>
        <v>495.86776859504135</v>
      </c>
      <c r="K225" s="836">
        <f t="shared" si="86"/>
        <v>19834710.743801653</v>
      </c>
      <c r="L22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25" s="837">
        <f t="shared" si="91"/>
        <v>24000000</v>
      </c>
      <c r="N225" s="838">
        <v>0</v>
      </c>
      <c r="O225" s="838">
        <v>0</v>
      </c>
      <c r="P225" s="838">
        <v>0</v>
      </c>
      <c r="Q225" s="839">
        <f>+Tabla1[[#This Row],[VENTA TOTAL $ (IVA INC) ]]-Tabla1[[#This Row],[PENDIENTE DE COBRO]]</f>
        <v>24000000</v>
      </c>
      <c r="R225" s="840">
        <f>+Tabla1[[#This Row],[FECHA FC]]+Tabla1[[#This Row],[PLAZO ENTREGA VALORES]]</f>
        <v>46126</v>
      </c>
      <c r="S225" s="840">
        <f>+Tabla1[[#This Row],[FECHA FC]]+Tabla1[[#This Row],[PLAZO PAGO (DIAS)]]</f>
        <v>46175</v>
      </c>
      <c r="T225" s="834">
        <f t="shared" ca="1" si="87"/>
        <v>-6</v>
      </c>
      <c r="U225" s="831">
        <f>+Tabla1[[#This Row],[FECHA OC]]-Tabla1[[#This Row],[FECHA Entrega]]</f>
        <v>-49</v>
      </c>
      <c r="V225" s="831"/>
      <c r="W225" s="841">
        <f>+Tabla1[[#This Row],[FECHA VTO VALORES]]+7</f>
        <v>46182</v>
      </c>
      <c r="X225" s="831">
        <v>2381</v>
      </c>
      <c r="Y225" s="840">
        <v>46126</v>
      </c>
      <c r="Z225" s="842">
        <f>Tabla1[[#This Row],[KGS]]/50</f>
        <v>800</v>
      </c>
      <c r="AA22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25" s="844">
        <f>-Tabla1[[#This Row],[COSTO FLETE $ POR BOLSA 5O KG (SIN IVA)]]*1.21-Tabla1[[#This Row],[PRECIO $/ KG A PLAZO EN CLIENTE ( SIN IVA)]]*0.003*1.21*50</f>
        <v>0.14499999999999602</v>
      </c>
      <c r="AC225" s="845">
        <f>SUM(Tabla1[[#This Row],[PRECIO $ BOLSA 50 KG (IVA INC) ]]+Tabla1[[#This Row],[COSTO FLETE $ BOLSA 50 KG (IVA INC)]])</f>
        <v>30000.145</v>
      </c>
      <c r="AD225" s="844">
        <f>-Tabla1[[#This Row],[PRECIO $ BOLSA 50 KG (IVA INC) ]]*(Tabla1[[#This Row],[TASA FINANCIACION MENSUAL]]/365)*Tabla1[[#This Row],[PLAZO ENTREGA VALORES]]</f>
        <v>116.79452054794521</v>
      </c>
      <c r="AE225" s="845">
        <f>SUM(Tabla1[[#This Row],[PRECIO $ BOLSA50 KG  FOB TUCUMAN A PLAZO (IVA INC)]]+Tabla1[[#This Row],[GASTOS FINANCIEROS $ BOLSA 50 KG (IVA INC)]])</f>
        <v>30116.939520547945</v>
      </c>
      <c r="AF225" s="828" t="s">
        <v>359</v>
      </c>
      <c r="AG225" s="828" t="s">
        <v>365</v>
      </c>
      <c r="AH225" s="828" t="s">
        <v>387</v>
      </c>
      <c r="AI225" s="828" t="s">
        <v>391</v>
      </c>
      <c r="AJ22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25" s="846">
        <f>SUM(Tabla1[[#This Row],[PRECIO $ BOLSA 50KG  FOB CDO TUC (IVA INC)]]-Tabla1[[#This Row],[PRECIO REF $ BOLSA 50 KG CACTU (IVA INC)]])</f>
        <v>-5238.060479452055</v>
      </c>
      <c r="AL225" s="847">
        <f>IFERROR(Tabla1[[#This Row],[PRECIO $ BOLSA 50KG  FOB CDO TUC (IVA INC)]]/Tabla1[[#This Row],[PRECIO REF $ BOLSA 50 KG CACTU (IVA INC)]]-1,"")</f>
        <v>-0.14815614423566836</v>
      </c>
      <c r="AM225" s="846">
        <f>+Tabla1[[#This Row],[DIF $ PRECIO NETO INDUSTRIA vs Neto TUCUMAN (IVA INC)]]*Tabla1[[#This Row],[Q Bolsas Equivalentes 50kg]]</f>
        <v>-4190448.3835616438</v>
      </c>
      <c r="AN225" s="846">
        <f>Tabla1[[#This Row],[PRECIO REF $ BOLSA 50 KG CACTU (IVA INC)]]*Tabla1[[#This Row],[Q Bolsas Equivalentes 50kg]]</f>
        <v>28284000</v>
      </c>
      <c r="AO225" s="846">
        <f>+Tabla1[[#This Row],[PRECIO $ BOLSA 50KG  FOB CDO TUC (IVA INC)]]*Tabla1[[#This Row],[Q Bolsas Equivalentes 50kg]]</f>
        <v>24093551.616438355</v>
      </c>
      <c r="AP225" s="847">
        <v>2.9000000000000001E-2</v>
      </c>
      <c r="AQ225" s="846">
        <v>-74.5</v>
      </c>
      <c r="AR225" s="828"/>
      <c r="AS225" s="849" t="s">
        <v>604</v>
      </c>
      <c r="AT225" s="923">
        <f>+Tabla1[[#This Row],[VENTA TOTAL $ (IVA INC) ]]-(SUM(Tabla1[[#This Row],[PENDIENTE DE ENTREGA]:[VALORES COBRADOS]]))</f>
        <v>0</v>
      </c>
      <c r="AU225" s="850">
        <f>VLOOKUP(Tabla1[[#This Row],[FECHA OC]],'TIPO DE CAMBIO'!A:B,2,TRUE)</f>
        <v>1358.5219999999999</v>
      </c>
      <c r="AV225" s="850">
        <f>+Tabla1[[#This Row],[SUBTOTAL]]/Tabla1[[#This Row],[TIPO DE CAMBIO]]</f>
        <v>14600.213131477925</v>
      </c>
      <c r="AW225" s="851"/>
      <c r="AX225" s="850">
        <f>IFERROR(Tabla1[[#This Row],[VENTA TOTAL USD A PLAZO EN CLIENTE  (SIN IVA)]]*(1+Tabla1[[#This Row],[% IVA ]]),"")</f>
        <v>14600.213131477925</v>
      </c>
      <c r="AY225" s="850">
        <f>+Tabla1[[#This Row],[VENTA TOTAL USD A PLAZO EN CLIENTE  (SIN IVA)]]/Tabla1[[#This Row],[KGS]]*1000</f>
        <v>365.00532828694816</v>
      </c>
      <c r="AZ225" s="850">
        <f>-Tabla1[[#This Row],[COSTO FLETE $ POR BOLSA 5O KG (SIN IVA)]]*20/Tabla1[[#This Row],[TIPO DE CAMBIO]]</f>
        <v>1.096780177280898</v>
      </c>
      <c r="BA225" s="850">
        <f>+Tabla1[[#This Row],[GASTOS FINANCIEROS $ BOLSA 50 KG (IVA INC)]]*20/Tabla1[[#This Row],[TIPO DE CAMBIO]]</f>
        <v>1.7194351000270178</v>
      </c>
      <c r="BB225" s="850">
        <f>+Tabla1[[#This Row],[PRECIO POR TN USD EN CLIENTE A PLAZO (SIN IVA)]]+Tabla1[[#This Row],[COSTO USD FLETE /TN (SIN IVA)]]+Tabla1[[#This Row],[COSTO FINANCIERO USD POR BOLSA 50KG (IVA INC)]]</f>
        <v>367.82154356425605</v>
      </c>
      <c r="BC225" s="828">
        <v>4</v>
      </c>
      <c r="BD225" s="944" t="s">
        <v>485</v>
      </c>
    </row>
    <row r="226" spans="1:56" ht="15.75" customHeight="1">
      <c r="A226" s="912">
        <v>46174</v>
      </c>
      <c r="B226" s="828">
        <v>1</v>
      </c>
      <c r="C226" s="792" t="s">
        <v>471</v>
      </c>
      <c r="D226" s="829">
        <f>+Tabla1[[#This Row],[FECHA Entrega]]</f>
        <v>46176</v>
      </c>
      <c r="E226" s="830">
        <v>2843</v>
      </c>
      <c r="F226" s="831" t="s">
        <v>448</v>
      </c>
      <c r="G226" s="832" t="s">
        <v>357</v>
      </c>
      <c r="H226" s="852">
        <v>46176</v>
      </c>
      <c r="I226" s="834">
        <f t="shared" si="93"/>
        <v>40000</v>
      </c>
      <c r="J226" s="835">
        <f t="shared" si="92"/>
        <v>495.86776859504135</v>
      </c>
      <c r="K226" s="836">
        <f t="shared" si="86"/>
        <v>19834710.743801653</v>
      </c>
      <c r="L22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26" s="837">
        <f t="shared" si="91"/>
        <v>24000000</v>
      </c>
      <c r="N226" s="838">
        <v>0</v>
      </c>
      <c r="O226" s="838">
        <v>0</v>
      </c>
      <c r="P226" s="838">
        <v>0</v>
      </c>
      <c r="Q226" s="839">
        <f>+Tabla1[[#This Row],[VENTA TOTAL $ (IVA INC) ]]-Tabla1[[#This Row],[PENDIENTE DE COBRO]]</f>
        <v>24000000</v>
      </c>
      <c r="R226" s="840">
        <f>+Tabla1[[#This Row],[FECHA FC]]+Tabla1[[#This Row],[PLAZO ENTREGA VALORES]]</f>
        <v>46126</v>
      </c>
      <c r="S226" s="840">
        <f>+Tabla1[[#This Row],[FECHA FC]]+Tabla1[[#This Row],[PLAZO PAGO (DIAS)]]</f>
        <v>46176</v>
      </c>
      <c r="T226" s="834">
        <f t="shared" ca="1" si="87"/>
        <v>-5</v>
      </c>
      <c r="U226" s="831">
        <f>+Tabla1[[#This Row],[FECHA OC]]-Tabla1[[#This Row],[FECHA Entrega]]</f>
        <v>-50</v>
      </c>
      <c r="V226" s="831"/>
      <c r="W226" s="841">
        <f>+Tabla1[[#This Row],[FECHA VTO VALORES]]+7</f>
        <v>46183</v>
      </c>
      <c r="X226" s="831">
        <v>2381</v>
      </c>
      <c r="Y226" s="840">
        <v>46126</v>
      </c>
      <c r="Z226" s="842">
        <f>Tabla1[[#This Row],[KGS]]/50</f>
        <v>800</v>
      </c>
      <c r="AA22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26" s="844">
        <f>-Tabla1[[#This Row],[COSTO FLETE $ POR BOLSA 5O KG (SIN IVA)]]*1.21-Tabla1[[#This Row],[PRECIO $/ KG A PLAZO EN CLIENTE ( SIN IVA)]]*0.003*1.21*50</f>
        <v>0.14499999999999602</v>
      </c>
      <c r="AC226" s="845">
        <f>SUM(Tabla1[[#This Row],[PRECIO $ BOLSA 50 KG (IVA INC) ]]+Tabla1[[#This Row],[COSTO FLETE $ BOLSA 50 KG (IVA INC)]])</f>
        <v>30000.145</v>
      </c>
      <c r="AD226" s="844">
        <f>-Tabla1[[#This Row],[PRECIO $ BOLSA 50 KG (IVA INC) ]]*(Tabla1[[#This Row],[TASA FINANCIACION MENSUAL]]/365)*Tabla1[[#This Row],[PLAZO ENTREGA VALORES]]</f>
        <v>119.17808219178083</v>
      </c>
      <c r="AE226" s="845">
        <f>SUM(Tabla1[[#This Row],[PRECIO $ BOLSA50 KG  FOB TUCUMAN A PLAZO (IVA INC)]]+Tabla1[[#This Row],[GASTOS FINANCIEROS $ BOLSA 50 KG (IVA INC)]])</f>
        <v>30119.323082191782</v>
      </c>
      <c r="AF226" s="828" t="s">
        <v>359</v>
      </c>
      <c r="AG226" s="828" t="s">
        <v>365</v>
      </c>
      <c r="AH226" s="828" t="s">
        <v>387</v>
      </c>
      <c r="AI226" s="828" t="s">
        <v>391</v>
      </c>
      <c r="AJ22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26" s="846">
        <f>SUM(Tabla1[[#This Row],[PRECIO $ BOLSA 50KG  FOB CDO TUC (IVA INC)]]-Tabla1[[#This Row],[PRECIO REF $ BOLSA 50 KG CACTU (IVA INC)]])</f>
        <v>-5235.6769178082177</v>
      </c>
      <c r="AL226" s="847">
        <f>IFERROR(Tabla1[[#This Row],[PRECIO $ BOLSA 50KG  FOB CDO TUC (IVA INC)]]/Tabla1[[#This Row],[PRECIO REF $ BOLSA 50 KG CACTU (IVA INC)]]-1,"")</f>
        <v>-0.14808872628505776</v>
      </c>
      <c r="AM226" s="846">
        <f>+Tabla1[[#This Row],[DIF $ PRECIO NETO INDUSTRIA vs Neto TUCUMAN (IVA INC)]]*Tabla1[[#This Row],[Q Bolsas Equivalentes 50kg]]</f>
        <v>-4188541.5342465742</v>
      </c>
      <c r="AN226" s="846">
        <f>Tabla1[[#This Row],[PRECIO REF $ BOLSA 50 KG CACTU (IVA INC)]]*Tabla1[[#This Row],[Q Bolsas Equivalentes 50kg]]</f>
        <v>28284000</v>
      </c>
      <c r="AO226" s="846">
        <f>+Tabla1[[#This Row],[PRECIO $ BOLSA 50KG  FOB CDO TUC (IVA INC)]]*Tabla1[[#This Row],[Q Bolsas Equivalentes 50kg]]</f>
        <v>24095458.465753425</v>
      </c>
      <c r="AP226" s="847">
        <v>2.9000000000000001E-2</v>
      </c>
      <c r="AQ226" s="846">
        <v>-74.5</v>
      </c>
      <c r="AR226" s="828"/>
      <c r="AS226" s="849" t="s">
        <v>605</v>
      </c>
      <c r="AT226" s="923">
        <f>+Tabla1[[#This Row],[VENTA TOTAL $ (IVA INC) ]]-(SUM(Tabla1[[#This Row],[PENDIENTE DE ENTREGA]:[VALORES COBRADOS]]))</f>
        <v>0</v>
      </c>
      <c r="AU226" s="850">
        <f>VLOOKUP(Tabla1[[#This Row],[FECHA OC]],'TIPO DE CAMBIO'!A:B,2,TRUE)</f>
        <v>1358.5219999999999</v>
      </c>
      <c r="AV226" s="850">
        <f>+Tabla1[[#This Row],[SUBTOTAL]]/Tabla1[[#This Row],[TIPO DE CAMBIO]]</f>
        <v>14600.213131477925</v>
      </c>
      <c r="AW226" s="851"/>
      <c r="AX226" s="850">
        <f>IFERROR(Tabla1[[#This Row],[VENTA TOTAL USD A PLAZO EN CLIENTE  (SIN IVA)]]*(1+Tabla1[[#This Row],[% IVA ]]),"")</f>
        <v>14600.213131477925</v>
      </c>
      <c r="AY226" s="850">
        <f>+Tabla1[[#This Row],[VENTA TOTAL USD A PLAZO EN CLIENTE  (SIN IVA)]]/Tabla1[[#This Row],[KGS]]*1000</f>
        <v>365.00532828694816</v>
      </c>
      <c r="AZ226" s="850">
        <f>-Tabla1[[#This Row],[COSTO FLETE $ POR BOLSA 5O KG (SIN IVA)]]*20/Tabla1[[#This Row],[TIPO DE CAMBIO]]</f>
        <v>1.096780177280898</v>
      </c>
      <c r="BA226" s="850">
        <f>+Tabla1[[#This Row],[GASTOS FINANCIEROS $ BOLSA 50 KG (IVA INC)]]*20/Tabla1[[#This Row],[TIPO DE CAMBIO]]</f>
        <v>1.7545256122724671</v>
      </c>
      <c r="BB226" s="850">
        <f>+Tabla1[[#This Row],[PRECIO POR TN USD EN CLIENTE A PLAZO (SIN IVA)]]+Tabla1[[#This Row],[COSTO USD FLETE /TN (SIN IVA)]]+Tabla1[[#This Row],[COSTO FINANCIERO USD POR BOLSA 50KG (IVA INC)]]</f>
        <v>367.85663407650151</v>
      </c>
      <c r="BC226" s="828">
        <v>4</v>
      </c>
      <c r="BD226" s="944" t="s">
        <v>485</v>
      </c>
    </row>
    <row r="227" spans="1:56" ht="15.75" customHeight="1">
      <c r="A227" s="912">
        <v>46174</v>
      </c>
      <c r="B227" s="828">
        <v>1</v>
      </c>
      <c r="C227" s="792" t="s">
        <v>471</v>
      </c>
      <c r="D227" s="829">
        <f>+Tabla1[[#This Row],[FECHA Entrega]]</f>
        <v>46177</v>
      </c>
      <c r="E227" s="830">
        <v>2843</v>
      </c>
      <c r="F227" s="831" t="s">
        <v>448</v>
      </c>
      <c r="G227" s="832" t="s">
        <v>357</v>
      </c>
      <c r="H227" s="852">
        <v>46177</v>
      </c>
      <c r="I227" s="834">
        <f t="shared" si="93"/>
        <v>40000</v>
      </c>
      <c r="J227" s="835">
        <f t="shared" si="92"/>
        <v>495.86776859504135</v>
      </c>
      <c r="K227" s="836">
        <f t="shared" si="86"/>
        <v>19834710.743801653</v>
      </c>
      <c r="L22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27" s="837">
        <f t="shared" si="91"/>
        <v>24000000</v>
      </c>
      <c r="N227" s="838">
        <v>0</v>
      </c>
      <c r="O227" s="838">
        <v>0</v>
      </c>
      <c r="P227" s="838">
        <v>0</v>
      </c>
      <c r="Q227" s="839">
        <f>+Tabla1[[#This Row],[VENTA TOTAL $ (IVA INC) ]]-Tabla1[[#This Row],[PENDIENTE DE COBRO]]</f>
        <v>24000000</v>
      </c>
      <c r="R227" s="840">
        <f>+Tabla1[[#This Row],[FECHA FC]]+Tabla1[[#This Row],[PLAZO ENTREGA VALORES]]</f>
        <v>46126</v>
      </c>
      <c r="S227" s="840">
        <f>+Tabla1[[#This Row],[FECHA FC]]+Tabla1[[#This Row],[PLAZO PAGO (DIAS)]]</f>
        <v>46177</v>
      </c>
      <c r="T227" s="834">
        <f t="shared" ca="1" si="87"/>
        <v>-4</v>
      </c>
      <c r="U227" s="831">
        <f>+Tabla1[[#This Row],[FECHA OC]]-Tabla1[[#This Row],[FECHA Entrega]]</f>
        <v>-51</v>
      </c>
      <c r="V227" s="831"/>
      <c r="W227" s="841">
        <f>+Tabla1[[#This Row],[FECHA VTO VALORES]]+7</f>
        <v>46184</v>
      </c>
      <c r="X227" s="831">
        <v>2381</v>
      </c>
      <c r="Y227" s="840">
        <v>46126</v>
      </c>
      <c r="Z227" s="842">
        <f>Tabla1[[#This Row],[KGS]]/50</f>
        <v>800</v>
      </c>
      <c r="AA22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27" s="844">
        <f>-Tabla1[[#This Row],[COSTO FLETE $ POR BOLSA 5O KG (SIN IVA)]]*1.21-Tabla1[[#This Row],[PRECIO $/ KG A PLAZO EN CLIENTE ( SIN IVA)]]*0.003*1.21*50</f>
        <v>0.14499999999999602</v>
      </c>
      <c r="AC227" s="845">
        <f>SUM(Tabla1[[#This Row],[PRECIO $ BOLSA 50 KG (IVA INC) ]]+Tabla1[[#This Row],[COSTO FLETE $ BOLSA 50 KG (IVA INC)]])</f>
        <v>30000.145</v>
      </c>
      <c r="AD227" s="844">
        <f>-Tabla1[[#This Row],[PRECIO $ BOLSA 50 KG (IVA INC) ]]*(Tabla1[[#This Row],[TASA FINANCIACION MENSUAL]]/365)*Tabla1[[#This Row],[PLAZO ENTREGA VALORES]]</f>
        <v>121.56164383561645</v>
      </c>
      <c r="AE227" s="845">
        <f>SUM(Tabla1[[#This Row],[PRECIO $ BOLSA50 KG  FOB TUCUMAN A PLAZO (IVA INC)]]+Tabla1[[#This Row],[GASTOS FINANCIEROS $ BOLSA 50 KG (IVA INC)]])</f>
        <v>30121.706643835616</v>
      </c>
      <c r="AF227" s="828" t="s">
        <v>359</v>
      </c>
      <c r="AG227" s="828" t="s">
        <v>365</v>
      </c>
      <c r="AH227" s="828" t="s">
        <v>387</v>
      </c>
      <c r="AI227" s="828" t="s">
        <v>391</v>
      </c>
      <c r="AJ22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27" s="846">
        <f>SUM(Tabla1[[#This Row],[PRECIO $ BOLSA 50KG  FOB CDO TUC (IVA INC)]]-Tabla1[[#This Row],[PRECIO REF $ BOLSA 50 KG CACTU (IVA INC)]])</f>
        <v>-5233.293356164384</v>
      </c>
      <c r="AL227" s="847">
        <f>IFERROR(Tabla1[[#This Row],[PRECIO $ BOLSA 50KG  FOB CDO TUC (IVA INC)]]/Tabla1[[#This Row],[PRECIO REF $ BOLSA 50 KG CACTU (IVA INC)]]-1,"")</f>
        <v>-0.14802130833444727</v>
      </c>
      <c r="AM227" s="846">
        <f>+Tabla1[[#This Row],[DIF $ PRECIO NETO INDUSTRIA vs Neto TUCUMAN (IVA INC)]]*Tabla1[[#This Row],[Q Bolsas Equivalentes 50kg]]</f>
        <v>-4186634.6849315073</v>
      </c>
      <c r="AN227" s="846">
        <f>Tabla1[[#This Row],[PRECIO REF $ BOLSA 50 KG CACTU (IVA INC)]]*Tabla1[[#This Row],[Q Bolsas Equivalentes 50kg]]</f>
        <v>28284000</v>
      </c>
      <c r="AO227" s="846">
        <f>+Tabla1[[#This Row],[PRECIO $ BOLSA 50KG  FOB CDO TUC (IVA INC)]]*Tabla1[[#This Row],[Q Bolsas Equivalentes 50kg]]</f>
        <v>24097365.315068495</v>
      </c>
      <c r="AP227" s="847">
        <v>2.9000000000000001E-2</v>
      </c>
      <c r="AQ227" s="846">
        <v>-74.5</v>
      </c>
      <c r="AR227" s="828"/>
      <c r="AS227" s="849" t="s">
        <v>606</v>
      </c>
      <c r="AT227" s="923">
        <f>+Tabla1[[#This Row],[VENTA TOTAL $ (IVA INC) ]]-(SUM(Tabla1[[#This Row],[PENDIENTE DE ENTREGA]:[VALORES COBRADOS]]))</f>
        <v>0</v>
      </c>
      <c r="AU227" s="850">
        <f>VLOOKUP(Tabla1[[#This Row],[FECHA OC]],'TIPO DE CAMBIO'!A:B,2,TRUE)</f>
        <v>1358.5219999999999</v>
      </c>
      <c r="AV227" s="850">
        <f>+Tabla1[[#This Row],[SUBTOTAL]]/Tabla1[[#This Row],[TIPO DE CAMBIO]]</f>
        <v>14600.213131477925</v>
      </c>
      <c r="AW227" s="851"/>
      <c r="AX227" s="850">
        <f>IFERROR(Tabla1[[#This Row],[VENTA TOTAL USD A PLAZO EN CLIENTE  (SIN IVA)]]*(1+Tabla1[[#This Row],[% IVA ]]),"")</f>
        <v>14600.213131477925</v>
      </c>
      <c r="AY227" s="850">
        <f>+Tabla1[[#This Row],[VENTA TOTAL USD A PLAZO EN CLIENTE  (SIN IVA)]]/Tabla1[[#This Row],[KGS]]*1000</f>
        <v>365.00532828694816</v>
      </c>
      <c r="AZ227" s="850">
        <f>-Tabla1[[#This Row],[COSTO FLETE $ POR BOLSA 5O KG (SIN IVA)]]*20/Tabla1[[#This Row],[TIPO DE CAMBIO]]</f>
        <v>1.096780177280898</v>
      </c>
      <c r="BA227" s="850">
        <f>+Tabla1[[#This Row],[GASTOS FINANCIEROS $ BOLSA 50 KG (IVA INC)]]*20/Tabla1[[#This Row],[TIPO DE CAMBIO]]</f>
        <v>1.7896161245179165</v>
      </c>
      <c r="BB227" s="850">
        <f>+Tabla1[[#This Row],[PRECIO POR TN USD EN CLIENTE A PLAZO (SIN IVA)]]+Tabla1[[#This Row],[COSTO USD FLETE /TN (SIN IVA)]]+Tabla1[[#This Row],[COSTO FINANCIERO USD POR BOLSA 50KG (IVA INC)]]</f>
        <v>367.89172458874697</v>
      </c>
      <c r="BC227" s="828">
        <v>4</v>
      </c>
      <c r="BD227" s="944" t="s">
        <v>485</v>
      </c>
    </row>
    <row r="228" spans="1:56" ht="15.75" customHeight="1">
      <c r="A228" s="912">
        <v>46174</v>
      </c>
      <c r="B228" s="828">
        <v>1</v>
      </c>
      <c r="C228" s="792" t="s">
        <v>471</v>
      </c>
      <c r="D228" s="829">
        <f>+Tabla1[[#This Row],[FECHA Entrega]]</f>
        <v>46178</v>
      </c>
      <c r="E228" s="830">
        <v>2843</v>
      </c>
      <c r="F228" s="831" t="s">
        <v>448</v>
      </c>
      <c r="G228" s="832" t="s">
        <v>357</v>
      </c>
      <c r="H228" s="852">
        <v>46178</v>
      </c>
      <c r="I228" s="834">
        <f t="shared" si="93"/>
        <v>40000</v>
      </c>
      <c r="J228" s="835">
        <f t="shared" si="92"/>
        <v>495.86776859504135</v>
      </c>
      <c r="K228" s="836">
        <f t="shared" si="86"/>
        <v>19834710.743801653</v>
      </c>
      <c r="L22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28" s="837">
        <f t="shared" si="91"/>
        <v>24000000</v>
      </c>
      <c r="N228" s="838">
        <v>0</v>
      </c>
      <c r="O228" s="838">
        <v>0</v>
      </c>
      <c r="P228" s="838">
        <v>0</v>
      </c>
      <c r="Q228" s="839">
        <f>+Tabla1[[#This Row],[VENTA TOTAL $ (IVA INC) ]]-Tabla1[[#This Row],[PENDIENTE DE COBRO]]</f>
        <v>24000000</v>
      </c>
      <c r="R228" s="840">
        <f>+Tabla1[[#This Row],[FECHA FC]]+Tabla1[[#This Row],[PLAZO ENTREGA VALORES]]</f>
        <v>46126</v>
      </c>
      <c r="S228" s="840">
        <f>+Tabla1[[#This Row],[FECHA FC]]+Tabla1[[#This Row],[PLAZO PAGO (DIAS)]]</f>
        <v>46178</v>
      </c>
      <c r="T228" s="834">
        <f t="shared" ca="1" si="87"/>
        <v>-3</v>
      </c>
      <c r="U228" s="831">
        <f>+Tabla1[[#This Row],[FECHA OC]]-Tabla1[[#This Row],[FECHA Entrega]]</f>
        <v>-52</v>
      </c>
      <c r="V228" s="831"/>
      <c r="W228" s="841">
        <f>+Tabla1[[#This Row],[FECHA VTO VALORES]]+7</f>
        <v>46185</v>
      </c>
      <c r="X228" s="831">
        <v>2381</v>
      </c>
      <c r="Y228" s="840">
        <v>46126</v>
      </c>
      <c r="Z228" s="842">
        <f>Tabla1[[#This Row],[KGS]]/50</f>
        <v>800</v>
      </c>
      <c r="AA22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28" s="844">
        <f>-Tabla1[[#This Row],[COSTO FLETE $ POR BOLSA 5O KG (SIN IVA)]]*1.21-Tabla1[[#This Row],[PRECIO $/ KG A PLAZO EN CLIENTE ( SIN IVA)]]*0.003*1.21*50</f>
        <v>0.14499999999999602</v>
      </c>
      <c r="AC228" s="845">
        <f>SUM(Tabla1[[#This Row],[PRECIO $ BOLSA 50 KG (IVA INC) ]]+Tabla1[[#This Row],[COSTO FLETE $ BOLSA 50 KG (IVA INC)]])</f>
        <v>30000.145</v>
      </c>
      <c r="AD228" s="844">
        <f>-Tabla1[[#This Row],[PRECIO $ BOLSA 50 KG (IVA INC) ]]*(Tabla1[[#This Row],[TASA FINANCIACION MENSUAL]]/365)*Tabla1[[#This Row],[PLAZO ENTREGA VALORES]]</f>
        <v>123.94520547945207</v>
      </c>
      <c r="AE228" s="845">
        <f>SUM(Tabla1[[#This Row],[PRECIO $ BOLSA50 KG  FOB TUCUMAN A PLAZO (IVA INC)]]+Tabla1[[#This Row],[GASTOS FINANCIEROS $ BOLSA 50 KG (IVA INC)]])</f>
        <v>30124.090205479453</v>
      </c>
      <c r="AF228" s="828" t="s">
        <v>359</v>
      </c>
      <c r="AG228" s="828" t="s">
        <v>365</v>
      </c>
      <c r="AH228" s="828" t="s">
        <v>387</v>
      </c>
      <c r="AI228" s="828" t="s">
        <v>391</v>
      </c>
      <c r="AJ22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28" s="846">
        <f>SUM(Tabla1[[#This Row],[PRECIO $ BOLSA 50KG  FOB CDO TUC (IVA INC)]]-Tabla1[[#This Row],[PRECIO REF $ BOLSA 50 KG CACTU (IVA INC)]])</f>
        <v>-5230.9097945205467</v>
      </c>
      <c r="AL228" s="847">
        <f>IFERROR(Tabla1[[#This Row],[PRECIO $ BOLSA 50KG  FOB CDO TUC (IVA INC)]]/Tabla1[[#This Row],[PRECIO REF $ BOLSA 50 KG CACTU (IVA INC)]]-1,"")</f>
        <v>-0.14795389038383666</v>
      </c>
      <c r="AM228" s="846">
        <f>+Tabla1[[#This Row],[DIF $ PRECIO NETO INDUSTRIA vs Neto TUCUMAN (IVA INC)]]*Tabla1[[#This Row],[Q Bolsas Equivalentes 50kg]]</f>
        <v>-4184727.8356164373</v>
      </c>
      <c r="AN228" s="846">
        <f>Tabla1[[#This Row],[PRECIO REF $ BOLSA 50 KG CACTU (IVA INC)]]*Tabla1[[#This Row],[Q Bolsas Equivalentes 50kg]]</f>
        <v>28284000</v>
      </c>
      <c r="AO228" s="846">
        <f>+Tabla1[[#This Row],[PRECIO $ BOLSA 50KG  FOB CDO TUC (IVA INC)]]*Tabla1[[#This Row],[Q Bolsas Equivalentes 50kg]]</f>
        <v>24099272.164383564</v>
      </c>
      <c r="AP228" s="847">
        <v>2.9000000000000001E-2</v>
      </c>
      <c r="AQ228" s="846">
        <v>-74.5</v>
      </c>
      <c r="AR228" s="828"/>
      <c r="AS228" s="849" t="s">
        <v>607</v>
      </c>
      <c r="AT228" s="923">
        <f>+Tabla1[[#This Row],[VENTA TOTAL $ (IVA INC) ]]-(SUM(Tabla1[[#This Row],[PENDIENTE DE ENTREGA]:[VALORES COBRADOS]]))</f>
        <v>0</v>
      </c>
      <c r="AU228" s="850">
        <f>VLOOKUP(Tabla1[[#This Row],[FECHA OC]],'TIPO DE CAMBIO'!A:B,2,TRUE)</f>
        <v>1358.5219999999999</v>
      </c>
      <c r="AV228" s="850">
        <f>+Tabla1[[#This Row],[SUBTOTAL]]/Tabla1[[#This Row],[TIPO DE CAMBIO]]</f>
        <v>14600.213131477925</v>
      </c>
      <c r="AW228" s="851"/>
      <c r="AX228" s="850">
        <f>IFERROR(Tabla1[[#This Row],[VENTA TOTAL USD A PLAZO EN CLIENTE  (SIN IVA)]]*(1+Tabla1[[#This Row],[% IVA ]]),"")</f>
        <v>14600.213131477925</v>
      </c>
      <c r="AY228" s="850">
        <f>+Tabla1[[#This Row],[VENTA TOTAL USD A PLAZO EN CLIENTE  (SIN IVA)]]/Tabla1[[#This Row],[KGS]]*1000</f>
        <v>365.00532828694816</v>
      </c>
      <c r="AZ228" s="850">
        <f>-Tabla1[[#This Row],[COSTO FLETE $ POR BOLSA 5O KG (SIN IVA)]]*20/Tabla1[[#This Row],[TIPO DE CAMBIO]]</f>
        <v>1.096780177280898</v>
      </c>
      <c r="BA228" s="850">
        <f>+Tabla1[[#This Row],[GASTOS FINANCIEROS $ BOLSA 50 KG (IVA INC)]]*20/Tabla1[[#This Row],[TIPO DE CAMBIO]]</f>
        <v>1.8247066367633662</v>
      </c>
      <c r="BB228" s="850">
        <f>+Tabla1[[#This Row],[PRECIO POR TN USD EN CLIENTE A PLAZO (SIN IVA)]]+Tabla1[[#This Row],[COSTO USD FLETE /TN (SIN IVA)]]+Tabla1[[#This Row],[COSTO FINANCIERO USD POR BOLSA 50KG (IVA INC)]]</f>
        <v>367.92681510099243</v>
      </c>
      <c r="BC228" s="828">
        <v>4</v>
      </c>
      <c r="BD228" s="944" t="s">
        <v>485</v>
      </c>
    </row>
    <row r="229" spans="1:56" ht="15.75" customHeight="1">
      <c r="A229" s="912">
        <v>46174</v>
      </c>
      <c r="B229" s="828">
        <v>1</v>
      </c>
      <c r="C229" s="792" t="s">
        <v>471</v>
      </c>
      <c r="D229" s="829">
        <f>+Tabla1[[#This Row],[FECHA Entrega]]</f>
        <v>46179</v>
      </c>
      <c r="E229" s="830">
        <v>2843</v>
      </c>
      <c r="F229" s="831" t="s">
        <v>448</v>
      </c>
      <c r="G229" s="832" t="s">
        <v>357</v>
      </c>
      <c r="H229" s="852">
        <v>46179</v>
      </c>
      <c r="I229" s="834">
        <f t="shared" si="93"/>
        <v>40000</v>
      </c>
      <c r="J229" s="835">
        <f t="shared" si="92"/>
        <v>495.86776859504135</v>
      </c>
      <c r="K229" s="836">
        <f t="shared" si="86"/>
        <v>19834710.743801653</v>
      </c>
      <c r="L22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29" s="837">
        <f t="shared" si="91"/>
        <v>24000000</v>
      </c>
      <c r="N229" s="838">
        <v>0</v>
      </c>
      <c r="O229" s="838">
        <v>0</v>
      </c>
      <c r="P229" s="838">
        <v>0</v>
      </c>
      <c r="Q229" s="839">
        <f>+Tabla1[[#This Row],[VENTA TOTAL $ (IVA INC) ]]-Tabla1[[#This Row],[PENDIENTE DE COBRO]]</f>
        <v>24000000</v>
      </c>
      <c r="R229" s="840">
        <f>+Tabla1[[#This Row],[FECHA FC]]+Tabla1[[#This Row],[PLAZO ENTREGA VALORES]]</f>
        <v>46126</v>
      </c>
      <c r="S229" s="840">
        <f>+Tabla1[[#This Row],[FECHA FC]]+Tabla1[[#This Row],[PLAZO PAGO (DIAS)]]</f>
        <v>46179</v>
      </c>
      <c r="T229" s="834">
        <f t="shared" ca="1" si="87"/>
        <v>-2</v>
      </c>
      <c r="U229" s="831">
        <f>+Tabla1[[#This Row],[FECHA OC]]-Tabla1[[#This Row],[FECHA Entrega]]</f>
        <v>-53</v>
      </c>
      <c r="V229" s="831"/>
      <c r="W229" s="841">
        <f>+Tabla1[[#This Row],[FECHA VTO VALORES]]+7</f>
        <v>46186</v>
      </c>
      <c r="X229" s="831">
        <v>2381</v>
      </c>
      <c r="Y229" s="840">
        <v>46126</v>
      </c>
      <c r="Z229" s="842">
        <f>Tabla1[[#This Row],[KGS]]/50</f>
        <v>800</v>
      </c>
      <c r="AA22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29" s="844">
        <f>-Tabla1[[#This Row],[COSTO FLETE $ POR BOLSA 5O KG (SIN IVA)]]*1.21-Tabla1[[#This Row],[PRECIO $/ KG A PLAZO EN CLIENTE ( SIN IVA)]]*0.003*1.21*50</f>
        <v>0.14499999999999602</v>
      </c>
      <c r="AC229" s="845">
        <f>SUM(Tabla1[[#This Row],[PRECIO $ BOLSA 50 KG (IVA INC) ]]+Tabla1[[#This Row],[COSTO FLETE $ BOLSA 50 KG (IVA INC)]])</f>
        <v>30000.145</v>
      </c>
      <c r="AD229" s="844">
        <f>-Tabla1[[#This Row],[PRECIO $ BOLSA 50 KG (IVA INC) ]]*(Tabla1[[#This Row],[TASA FINANCIACION MENSUAL]]/365)*Tabla1[[#This Row],[PLAZO ENTREGA VALORES]]</f>
        <v>126.32876712328768</v>
      </c>
      <c r="AE229" s="845">
        <f>SUM(Tabla1[[#This Row],[PRECIO $ BOLSA50 KG  FOB TUCUMAN A PLAZO (IVA INC)]]+Tabla1[[#This Row],[GASTOS FINANCIEROS $ BOLSA 50 KG (IVA INC)]])</f>
        <v>30126.473767123287</v>
      </c>
      <c r="AF229" s="828" t="s">
        <v>359</v>
      </c>
      <c r="AG229" s="828" t="s">
        <v>365</v>
      </c>
      <c r="AH229" s="828" t="s">
        <v>387</v>
      </c>
      <c r="AI229" s="828" t="s">
        <v>391</v>
      </c>
      <c r="AJ22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29" s="846">
        <f>SUM(Tabla1[[#This Row],[PRECIO $ BOLSA 50KG  FOB CDO TUC (IVA INC)]]-Tabla1[[#This Row],[PRECIO REF $ BOLSA 50 KG CACTU (IVA INC)]])</f>
        <v>-5228.526232876713</v>
      </c>
      <c r="AL229" s="847">
        <f>IFERROR(Tabla1[[#This Row],[PRECIO $ BOLSA 50KG  FOB CDO TUC (IVA INC)]]/Tabla1[[#This Row],[PRECIO REF $ BOLSA 50 KG CACTU (IVA INC)]]-1,"")</f>
        <v>-0.14788647243322617</v>
      </c>
      <c r="AM229" s="846">
        <f>+Tabla1[[#This Row],[DIF $ PRECIO NETO INDUSTRIA vs Neto TUCUMAN (IVA INC)]]*Tabla1[[#This Row],[Q Bolsas Equivalentes 50kg]]</f>
        <v>-4182820.9863013704</v>
      </c>
      <c r="AN229" s="846">
        <f>Tabla1[[#This Row],[PRECIO REF $ BOLSA 50 KG CACTU (IVA INC)]]*Tabla1[[#This Row],[Q Bolsas Equivalentes 50kg]]</f>
        <v>28284000</v>
      </c>
      <c r="AO229" s="846">
        <f>+Tabla1[[#This Row],[PRECIO $ BOLSA 50KG  FOB CDO TUC (IVA INC)]]*Tabla1[[#This Row],[Q Bolsas Equivalentes 50kg]]</f>
        <v>24101179.01369863</v>
      </c>
      <c r="AP229" s="847">
        <v>2.9000000000000001E-2</v>
      </c>
      <c r="AQ229" s="846">
        <v>-74.5</v>
      </c>
      <c r="AR229" s="828"/>
      <c r="AS229" s="849" t="s">
        <v>608</v>
      </c>
      <c r="AT229" s="923">
        <f>+Tabla1[[#This Row],[VENTA TOTAL $ (IVA INC) ]]-(SUM(Tabla1[[#This Row],[PENDIENTE DE ENTREGA]:[VALORES COBRADOS]]))</f>
        <v>0</v>
      </c>
      <c r="AU229" s="850">
        <f>VLOOKUP(Tabla1[[#This Row],[FECHA OC]],'TIPO DE CAMBIO'!A:B,2,TRUE)</f>
        <v>1358.5219999999999</v>
      </c>
      <c r="AV229" s="850">
        <f>+Tabla1[[#This Row],[SUBTOTAL]]/Tabla1[[#This Row],[TIPO DE CAMBIO]]</f>
        <v>14600.213131477925</v>
      </c>
      <c r="AW229" s="851"/>
      <c r="AX229" s="850">
        <f>IFERROR(Tabla1[[#This Row],[VENTA TOTAL USD A PLAZO EN CLIENTE  (SIN IVA)]]*(1+Tabla1[[#This Row],[% IVA ]]),"")</f>
        <v>14600.213131477925</v>
      </c>
      <c r="AY229" s="850">
        <f>+Tabla1[[#This Row],[VENTA TOTAL USD A PLAZO EN CLIENTE  (SIN IVA)]]/Tabla1[[#This Row],[KGS]]*1000</f>
        <v>365.00532828694816</v>
      </c>
      <c r="AZ229" s="850">
        <f>-Tabla1[[#This Row],[COSTO FLETE $ POR BOLSA 5O KG (SIN IVA)]]*20/Tabla1[[#This Row],[TIPO DE CAMBIO]]</f>
        <v>1.096780177280898</v>
      </c>
      <c r="BA229" s="850">
        <f>+Tabla1[[#This Row],[GASTOS FINANCIEROS $ BOLSA 50 KG (IVA INC)]]*20/Tabla1[[#This Row],[TIPO DE CAMBIO]]</f>
        <v>1.8597971490088154</v>
      </c>
      <c r="BB229" s="850">
        <f>+Tabla1[[#This Row],[PRECIO POR TN USD EN CLIENTE A PLAZO (SIN IVA)]]+Tabla1[[#This Row],[COSTO USD FLETE /TN (SIN IVA)]]+Tabla1[[#This Row],[COSTO FINANCIERO USD POR BOLSA 50KG (IVA INC)]]</f>
        <v>367.96190561323789</v>
      </c>
      <c r="BC229" s="828">
        <v>4</v>
      </c>
      <c r="BD229" s="944" t="s">
        <v>485</v>
      </c>
    </row>
    <row r="230" spans="1:56" ht="15.75" customHeight="1">
      <c r="A230" s="912">
        <v>46174</v>
      </c>
      <c r="B230" s="828">
        <v>1</v>
      </c>
      <c r="C230" s="792" t="s">
        <v>471</v>
      </c>
      <c r="D230" s="829">
        <f>+Tabla1[[#This Row],[FECHA Entrega]]</f>
        <v>46180</v>
      </c>
      <c r="E230" s="830">
        <v>2843</v>
      </c>
      <c r="F230" s="831" t="s">
        <v>448</v>
      </c>
      <c r="G230" s="832" t="s">
        <v>357</v>
      </c>
      <c r="H230" s="852">
        <v>46180</v>
      </c>
      <c r="I230" s="834">
        <f t="shared" si="93"/>
        <v>40000</v>
      </c>
      <c r="J230" s="835">
        <f t="shared" si="92"/>
        <v>495.86776859504135</v>
      </c>
      <c r="K230" s="836">
        <f t="shared" si="86"/>
        <v>19834710.743801653</v>
      </c>
      <c r="L23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30" s="837">
        <f t="shared" si="91"/>
        <v>24000000</v>
      </c>
      <c r="N230" s="838">
        <v>0</v>
      </c>
      <c r="O230" s="838">
        <v>0</v>
      </c>
      <c r="P230" s="838">
        <v>0</v>
      </c>
      <c r="Q230" s="839">
        <f>+Tabla1[[#This Row],[VENTA TOTAL $ (IVA INC) ]]-Tabla1[[#This Row],[PENDIENTE DE COBRO]]</f>
        <v>24000000</v>
      </c>
      <c r="R230" s="840">
        <f>+Tabla1[[#This Row],[FECHA FC]]+Tabla1[[#This Row],[PLAZO ENTREGA VALORES]]</f>
        <v>46126</v>
      </c>
      <c r="S230" s="840">
        <f>+Tabla1[[#This Row],[FECHA FC]]+Tabla1[[#This Row],[PLAZO PAGO (DIAS)]]</f>
        <v>46180</v>
      </c>
      <c r="T230" s="834">
        <f t="shared" ca="1" si="87"/>
        <v>-1</v>
      </c>
      <c r="U230" s="831">
        <f>+Tabla1[[#This Row],[FECHA OC]]-Tabla1[[#This Row],[FECHA Entrega]]</f>
        <v>-54</v>
      </c>
      <c r="V230" s="831"/>
      <c r="W230" s="841">
        <f>+Tabla1[[#This Row],[FECHA VTO VALORES]]+7</f>
        <v>46187</v>
      </c>
      <c r="X230" s="831">
        <v>2381</v>
      </c>
      <c r="Y230" s="840">
        <v>46126</v>
      </c>
      <c r="Z230" s="842">
        <f>Tabla1[[#This Row],[KGS]]/50</f>
        <v>800</v>
      </c>
      <c r="AA23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30" s="844">
        <f>-Tabla1[[#This Row],[COSTO FLETE $ POR BOLSA 5O KG (SIN IVA)]]*1.21-Tabla1[[#This Row],[PRECIO $/ KG A PLAZO EN CLIENTE ( SIN IVA)]]*0.003*1.21*50</f>
        <v>0.14499999999999602</v>
      </c>
      <c r="AC230" s="845">
        <f>SUM(Tabla1[[#This Row],[PRECIO $ BOLSA 50 KG (IVA INC) ]]+Tabla1[[#This Row],[COSTO FLETE $ BOLSA 50 KG (IVA INC)]])</f>
        <v>30000.145</v>
      </c>
      <c r="AD230" s="844">
        <f>-Tabla1[[#This Row],[PRECIO $ BOLSA 50 KG (IVA INC) ]]*(Tabla1[[#This Row],[TASA FINANCIACION MENSUAL]]/365)*Tabla1[[#This Row],[PLAZO ENTREGA VALORES]]</f>
        <v>128.7123287671233</v>
      </c>
      <c r="AE230" s="845">
        <f>SUM(Tabla1[[#This Row],[PRECIO $ BOLSA50 KG  FOB TUCUMAN A PLAZO (IVA INC)]]+Tabla1[[#This Row],[GASTOS FINANCIEROS $ BOLSA 50 KG (IVA INC)]])</f>
        <v>30128.857328767124</v>
      </c>
      <c r="AF230" s="828" t="s">
        <v>359</v>
      </c>
      <c r="AG230" s="828" t="s">
        <v>365</v>
      </c>
      <c r="AH230" s="828" t="s">
        <v>387</v>
      </c>
      <c r="AI230" s="828" t="s">
        <v>391</v>
      </c>
      <c r="AJ23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30" s="846">
        <f>SUM(Tabla1[[#This Row],[PRECIO $ BOLSA 50KG  FOB CDO TUC (IVA INC)]]-Tabla1[[#This Row],[PRECIO REF $ BOLSA 50 KG CACTU (IVA INC)]])</f>
        <v>-5226.1426712328757</v>
      </c>
      <c r="AL230" s="847">
        <f>IFERROR(Tabla1[[#This Row],[PRECIO $ BOLSA 50KG  FOB CDO TUC (IVA INC)]]/Tabla1[[#This Row],[PRECIO REF $ BOLSA 50 KG CACTU (IVA INC)]]-1,"")</f>
        <v>-0.14781905448261567</v>
      </c>
      <c r="AM230" s="846">
        <f>+Tabla1[[#This Row],[DIF $ PRECIO NETO INDUSTRIA vs Neto TUCUMAN (IVA INC)]]*Tabla1[[#This Row],[Q Bolsas Equivalentes 50kg]]</f>
        <v>-4180914.1369863003</v>
      </c>
      <c r="AN230" s="846">
        <f>Tabla1[[#This Row],[PRECIO REF $ BOLSA 50 KG CACTU (IVA INC)]]*Tabla1[[#This Row],[Q Bolsas Equivalentes 50kg]]</f>
        <v>28284000</v>
      </c>
      <c r="AO230" s="846">
        <f>+Tabla1[[#This Row],[PRECIO $ BOLSA 50KG  FOB CDO TUC (IVA INC)]]*Tabla1[[#This Row],[Q Bolsas Equivalentes 50kg]]</f>
        <v>24103085.8630137</v>
      </c>
      <c r="AP230" s="847">
        <v>2.9000000000000001E-2</v>
      </c>
      <c r="AQ230" s="846">
        <v>-74.5</v>
      </c>
      <c r="AR230" s="828"/>
      <c r="AS230" s="849" t="s">
        <v>609</v>
      </c>
      <c r="AT230" s="923">
        <f>+Tabla1[[#This Row],[VENTA TOTAL $ (IVA INC) ]]-(SUM(Tabla1[[#This Row],[PENDIENTE DE ENTREGA]:[VALORES COBRADOS]]))</f>
        <v>0</v>
      </c>
      <c r="AU230" s="850">
        <f>VLOOKUP(Tabla1[[#This Row],[FECHA OC]],'TIPO DE CAMBIO'!A:B,2,TRUE)</f>
        <v>1358.5219999999999</v>
      </c>
      <c r="AV230" s="850">
        <f>+Tabla1[[#This Row],[SUBTOTAL]]/Tabla1[[#This Row],[TIPO DE CAMBIO]]</f>
        <v>14600.213131477925</v>
      </c>
      <c r="AW230" s="851"/>
      <c r="AX230" s="850">
        <f>IFERROR(Tabla1[[#This Row],[VENTA TOTAL USD A PLAZO EN CLIENTE  (SIN IVA)]]*(1+Tabla1[[#This Row],[% IVA ]]),"")</f>
        <v>14600.213131477925</v>
      </c>
      <c r="AY230" s="850">
        <f>+Tabla1[[#This Row],[VENTA TOTAL USD A PLAZO EN CLIENTE  (SIN IVA)]]/Tabla1[[#This Row],[KGS]]*1000</f>
        <v>365.00532828694816</v>
      </c>
      <c r="AZ230" s="850">
        <f>-Tabla1[[#This Row],[COSTO FLETE $ POR BOLSA 5O KG (SIN IVA)]]*20/Tabla1[[#This Row],[TIPO DE CAMBIO]]</f>
        <v>1.096780177280898</v>
      </c>
      <c r="BA230" s="850">
        <f>+Tabla1[[#This Row],[GASTOS FINANCIEROS $ BOLSA 50 KG (IVA INC)]]*20/Tabla1[[#This Row],[TIPO DE CAMBIO]]</f>
        <v>1.8948876612542644</v>
      </c>
      <c r="BB230" s="850">
        <f>+Tabla1[[#This Row],[PRECIO POR TN USD EN CLIENTE A PLAZO (SIN IVA)]]+Tabla1[[#This Row],[COSTO USD FLETE /TN (SIN IVA)]]+Tabla1[[#This Row],[COSTO FINANCIERO USD POR BOLSA 50KG (IVA INC)]]</f>
        <v>367.99699612548329</v>
      </c>
      <c r="BC230" s="828">
        <v>4</v>
      </c>
      <c r="BD230" s="944" t="s">
        <v>485</v>
      </c>
    </row>
    <row r="231" spans="1:56" ht="15.75" customHeight="1">
      <c r="A231" s="912">
        <v>46174</v>
      </c>
      <c r="B231" s="828">
        <v>1</v>
      </c>
      <c r="C231" s="792" t="s">
        <v>471</v>
      </c>
      <c r="D231" s="829">
        <f>+Tabla1[[#This Row],[FECHA Entrega]]</f>
        <v>46181</v>
      </c>
      <c r="E231" s="830">
        <v>2843</v>
      </c>
      <c r="F231" s="831" t="s">
        <v>448</v>
      </c>
      <c r="G231" s="832" t="s">
        <v>357</v>
      </c>
      <c r="H231" s="852">
        <v>46181</v>
      </c>
      <c r="I231" s="834">
        <f t="shared" si="93"/>
        <v>40000</v>
      </c>
      <c r="J231" s="835">
        <f t="shared" si="92"/>
        <v>495.86776859504135</v>
      </c>
      <c r="K231" s="836">
        <f t="shared" si="86"/>
        <v>19834710.743801653</v>
      </c>
      <c r="L23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31" s="837">
        <f t="shared" si="91"/>
        <v>24000000</v>
      </c>
      <c r="N231" s="838">
        <v>0</v>
      </c>
      <c r="O231" s="838">
        <v>0</v>
      </c>
      <c r="P231" s="838">
        <v>0</v>
      </c>
      <c r="Q231" s="839">
        <f>+Tabla1[[#This Row],[VENTA TOTAL $ (IVA INC) ]]-Tabla1[[#This Row],[PENDIENTE DE COBRO]]</f>
        <v>24000000</v>
      </c>
      <c r="R231" s="840">
        <f>+Tabla1[[#This Row],[FECHA FC]]+Tabla1[[#This Row],[PLAZO ENTREGA VALORES]]</f>
        <v>46126</v>
      </c>
      <c r="S231" s="840">
        <f>+Tabla1[[#This Row],[FECHA FC]]+Tabla1[[#This Row],[PLAZO PAGO (DIAS)]]</f>
        <v>46181</v>
      </c>
      <c r="T231" s="834">
        <f t="shared" ca="1" si="87"/>
        <v>0</v>
      </c>
      <c r="U231" s="831">
        <f>+Tabla1[[#This Row],[FECHA OC]]-Tabla1[[#This Row],[FECHA Entrega]]</f>
        <v>-55</v>
      </c>
      <c r="V231" s="831"/>
      <c r="W231" s="841">
        <f>+Tabla1[[#This Row],[FECHA VTO VALORES]]+7</f>
        <v>46188</v>
      </c>
      <c r="X231" s="831">
        <v>2381</v>
      </c>
      <c r="Y231" s="840">
        <v>46126</v>
      </c>
      <c r="Z231" s="842">
        <f>Tabla1[[#This Row],[KGS]]/50</f>
        <v>800</v>
      </c>
      <c r="AA23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31" s="844">
        <f>-Tabla1[[#This Row],[COSTO FLETE $ POR BOLSA 5O KG (SIN IVA)]]*1.21-Tabla1[[#This Row],[PRECIO $/ KG A PLAZO EN CLIENTE ( SIN IVA)]]*0.003*1.21*50</f>
        <v>0.14499999999999602</v>
      </c>
      <c r="AC231" s="845">
        <f>SUM(Tabla1[[#This Row],[PRECIO $ BOLSA 50 KG (IVA INC) ]]+Tabla1[[#This Row],[COSTO FLETE $ BOLSA 50 KG (IVA INC)]])</f>
        <v>30000.145</v>
      </c>
      <c r="AD231" s="844">
        <f>-Tabla1[[#This Row],[PRECIO $ BOLSA 50 KG (IVA INC) ]]*(Tabla1[[#This Row],[TASA FINANCIACION MENSUAL]]/365)*Tabla1[[#This Row],[PLAZO ENTREGA VALORES]]</f>
        <v>131.0958904109589</v>
      </c>
      <c r="AE231" s="845">
        <f>SUM(Tabla1[[#This Row],[PRECIO $ BOLSA50 KG  FOB TUCUMAN A PLAZO (IVA INC)]]+Tabla1[[#This Row],[GASTOS FINANCIEROS $ BOLSA 50 KG (IVA INC)]])</f>
        <v>30131.240890410958</v>
      </c>
      <c r="AF231" s="828" t="s">
        <v>359</v>
      </c>
      <c r="AG231" s="828" t="s">
        <v>365</v>
      </c>
      <c r="AH231" s="828" t="s">
        <v>387</v>
      </c>
      <c r="AI231" s="828" t="s">
        <v>391</v>
      </c>
      <c r="AJ23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31" s="846">
        <f>SUM(Tabla1[[#This Row],[PRECIO $ BOLSA 50KG  FOB CDO TUC (IVA INC)]]-Tabla1[[#This Row],[PRECIO REF $ BOLSA 50 KG CACTU (IVA INC)]])</f>
        <v>-5223.7591095890421</v>
      </c>
      <c r="AL231" s="847">
        <f>IFERROR(Tabla1[[#This Row],[PRECIO $ BOLSA 50KG  FOB CDO TUC (IVA INC)]]/Tabla1[[#This Row],[PRECIO REF $ BOLSA 50 KG CACTU (IVA INC)]]-1,"")</f>
        <v>-0.14775163653200518</v>
      </c>
      <c r="AM231" s="846">
        <f>+Tabla1[[#This Row],[DIF $ PRECIO NETO INDUSTRIA vs Neto TUCUMAN (IVA INC)]]*Tabla1[[#This Row],[Q Bolsas Equivalentes 50kg]]</f>
        <v>-4179007.2876712335</v>
      </c>
      <c r="AN231" s="846">
        <f>Tabla1[[#This Row],[PRECIO REF $ BOLSA 50 KG CACTU (IVA INC)]]*Tabla1[[#This Row],[Q Bolsas Equivalentes 50kg]]</f>
        <v>28284000</v>
      </c>
      <c r="AO231" s="846">
        <f>+Tabla1[[#This Row],[PRECIO $ BOLSA 50KG  FOB CDO TUC (IVA INC)]]*Tabla1[[#This Row],[Q Bolsas Equivalentes 50kg]]</f>
        <v>24104992.712328766</v>
      </c>
      <c r="AP231" s="847">
        <v>2.9000000000000001E-2</v>
      </c>
      <c r="AQ231" s="846">
        <v>-74.5</v>
      </c>
      <c r="AR231" s="828"/>
      <c r="AS231" s="849" t="s">
        <v>610</v>
      </c>
      <c r="AT231" s="923">
        <f>+Tabla1[[#This Row],[VENTA TOTAL $ (IVA INC) ]]-(SUM(Tabla1[[#This Row],[PENDIENTE DE ENTREGA]:[VALORES COBRADOS]]))</f>
        <v>0</v>
      </c>
      <c r="AU231" s="850">
        <f>VLOOKUP(Tabla1[[#This Row],[FECHA OC]],'TIPO DE CAMBIO'!A:B,2,TRUE)</f>
        <v>1358.5219999999999</v>
      </c>
      <c r="AV231" s="850">
        <f>+Tabla1[[#This Row],[SUBTOTAL]]/Tabla1[[#This Row],[TIPO DE CAMBIO]]</f>
        <v>14600.213131477925</v>
      </c>
      <c r="AW231" s="851"/>
      <c r="AX231" s="850">
        <f>IFERROR(Tabla1[[#This Row],[VENTA TOTAL USD A PLAZO EN CLIENTE  (SIN IVA)]]*(1+Tabla1[[#This Row],[% IVA ]]),"")</f>
        <v>14600.213131477925</v>
      </c>
      <c r="AY231" s="850">
        <f>+Tabla1[[#This Row],[VENTA TOTAL USD A PLAZO EN CLIENTE  (SIN IVA)]]/Tabla1[[#This Row],[KGS]]*1000</f>
        <v>365.00532828694816</v>
      </c>
      <c r="AZ231" s="850">
        <f>-Tabla1[[#This Row],[COSTO FLETE $ POR BOLSA 5O KG (SIN IVA)]]*20/Tabla1[[#This Row],[TIPO DE CAMBIO]]</f>
        <v>1.096780177280898</v>
      </c>
      <c r="BA231" s="850">
        <f>+Tabla1[[#This Row],[GASTOS FINANCIEROS $ BOLSA 50 KG (IVA INC)]]*20/Tabla1[[#This Row],[TIPO DE CAMBIO]]</f>
        <v>1.9299781734997137</v>
      </c>
      <c r="BB231" s="850">
        <f>+Tabla1[[#This Row],[PRECIO POR TN USD EN CLIENTE A PLAZO (SIN IVA)]]+Tabla1[[#This Row],[COSTO USD FLETE /TN (SIN IVA)]]+Tabla1[[#This Row],[COSTO FINANCIERO USD POR BOLSA 50KG (IVA INC)]]</f>
        <v>368.03208663772875</v>
      </c>
      <c r="BC231" s="828">
        <v>4</v>
      </c>
      <c r="BD231" s="944" t="s">
        <v>485</v>
      </c>
    </row>
    <row r="232" spans="1:56" ht="15.75" customHeight="1">
      <c r="A232" s="912">
        <v>46174</v>
      </c>
      <c r="B232" s="828">
        <v>1</v>
      </c>
      <c r="C232" s="792" t="s">
        <v>471</v>
      </c>
      <c r="D232" s="829">
        <f>+Tabla1[[#This Row],[FECHA Entrega]]</f>
        <v>46182</v>
      </c>
      <c r="E232" s="830">
        <v>2843</v>
      </c>
      <c r="F232" s="831" t="s">
        <v>448</v>
      </c>
      <c r="G232" s="832" t="s">
        <v>216</v>
      </c>
      <c r="H232" s="852">
        <v>46182</v>
      </c>
      <c r="I232" s="834">
        <f t="shared" si="93"/>
        <v>40000</v>
      </c>
      <c r="J232" s="835">
        <f t="shared" si="92"/>
        <v>495.86776859504135</v>
      </c>
      <c r="K232" s="836">
        <f t="shared" ref="K232:K241" si="94">+J232*I232</f>
        <v>19834710.743801653</v>
      </c>
      <c r="L23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32" s="837">
        <f t="shared" si="91"/>
        <v>24000000</v>
      </c>
      <c r="N232" s="838">
        <v>0</v>
      </c>
      <c r="O232" s="838">
        <v>0</v>
      </c>
      <c r="P232" s="838">
        <v>0</v>
      </c>
      <c r="Q232" s="839">
        <f>+Tabla1[[#This Row],[VENTA TOTAL $ (IVA INC) ]]-Tabla1[[#This Row],[PENDIENTE DE COBRO]]</f>
        <v>24000000</v>
      </c>
      <c r="R232" s="840">
        <f>+Tabla1[[#This Row],[FECHA FC]]+Tabla1[[#This Row],[PLAZO ENTREGA VALORES]]</f>
        <v>46126</v>
      </c>
      <c r="S232" s="840">
        <f>+Tabla1[[#This Row],[FECHA FC]]+Tabla1[[#This Row],[PLAZO PAGO (DIAS)]]</f>
        <v>46182</v>
      </c>
      <c r="T232" s="834">
        <f t="shared" ref="T232:T241" ca="1" si="95">+S232-$U$2</f>
        <v>1</v>
      </c>
      <c r="U232" s="831">
        <f>+Tabla1[[#This Row],[FECHA OC]]-Tabla1[[#This Row],[FECHA Entrega]]</f>
        <v>-56</v>
      </c>
      <c r="V232" s="831"/>
      <c r="W232" s="841">
        <f>+Tabla1[[#This Row],[FECHA VTO VALORES]]+7</f>
        <v>46189</v>
      </c>
      <c r="X232" s="831">
        <v>2381</v>
      </c>
      <c r="Y232" s="840">
        <v>46126</v>
      </c>
      <c r="Z232" s="842">
        <f>Tabla1[[#This Row],[KGS]]/50</f>
        <v>800</v>
      </c>
      <c r="AA23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32" s="844">
        <f>-Tabla1[[#This Row],[COSTO FLETE $ POR BOLSA 5O KG (SIN IVA)]]*1.21-Tabla1[[#This Row],[PRECIO $/ KG A PLAZO EN CLIENTE ( SIN IVA)]]*0.003*1.21*50</f>
        <v>0.14499999999999602</v>
      </c>
      <c r="AC232" s="845">
        <f>SUM(Tabla1[[#This Row],[PRECIO $ BOLSA 50 KG (IVA INC) ]]+Tabla1[[#This Row],[COSTO FLETE $ BOLSA 50 KG (IVA INC)]])</f>
        <v>30000.145</v>
      </c>
      <c r="AD232" s="844">
        <f>-Tabla1[[#This Row],[PRECIO $ BOLSA 50 KG (IVA INC) ]]*(Tabla1[[#This Row],[TASA FINANCIACION MENSUAL]]/365)*Tabla1[[#This Row],[PLAZO ENTREGA VALORES]]</f>
        <v>133.47945205479454</v>
      </c>
      <c r="AE232" s="845">
        <f>SUM(Tabla1[[#This Row],[PRECIO $ BOLSA50 KG  FOB TUCUMAN A PLAZO (IVA INC)]]+Tabla1[[#This Row],[GASTOS FINANCIEROS $ BOLSA 50 KG (IVA INC)]])</f>
        <v>30133.624452054795</v>
      </c>
      <c r="AF232" s="828" t="s">
        <v>359</v>
      </c>
      <c r="AG232" s="828" t="s">
        <v>365</v>
      </c>
      <c r="AH232" s="828" t="s">
        <v>387</v>
      </c>
      <c r="AI232" s="828" t="s">
        <v>391</v>
      </c>
      <c r="AJ23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32" s="846">
        <f>SUM(Tabla1[[#This Row],[PRECIO $ BOLSA 50KG  FOB CDO TUC (IVA INC)]]-Tabla1[[#This Row],[PRECIO REF $ BOLSA 50 KG CACTU (IVA INC)]])</f>
        <v>-5221.3755479452047</v>
      </c>
      <c r="AL232" s="847">
        <f>IFERROR(Tabla1[[#This Row],[PRECIO $ BOLSA 50KG  FOB CDO TUC (IVA INC)]]/Tabla1[[#This Row],[PRECIO REF $ BOLSA 50 KG CACTU (IVA INC)]]-1,"")</f>
        <v>-0.14768421858139458</v>
      </c>
      <c r="AM232" s="846">
        <f>+Tabla1[[#This Row],[DIF $ PRECIO NETO INDUSTRIA vs Neto TUCUMAN (IVA INC)]]*Tabla1[[#This Row],[Q Bolsas Equivalentes 50kg]]</f>
        <v>-4177100.4383561639</v>
      </c>
      <c r="AN232" s="846">
        <f>Tabla1[[#This Row],[PRECIO REF $ BOLSA 50 KG CACTU (IVA INC)]]*Tabla1[[#This Row],[Q Bolsas Equivalentes 50kg]]</f>
        <v>28284000</v>
      </c>
      <c r="AO232" s="846">
        <f>+Tabla1[[#This Row],[PRECIO $ BOLSA 50KG  FOB CDO TUC (IVA INC)]]*Tabla1[[#This Row],[Q Bolsas Equivalentes 50kg]]</f>
        <v>24106899.561643835</v>
      </c>
      <c r="AP232" s="847">
        <v>2.9000000000000001E-2</v>
      </c>
      <c r="AQ232" s="846">
        <v>-74.5</v>
      </c>
      <c r="AR232" s="828"/>
      <c r="AS232" s="849"/>
      <c r="AT232" s="923">
        <f>+Tabla1[[#This Row],[VENTA TOTAL $ (IVA INC) ]]-(SUM(Tabla1[[#This Row],[PENDIENTE DE ENTREGA]:[VALORES COBRADOS]]))</f>
        <v>0</v>
      </c>
      <c r="AU232" s="850">
        <f>VLOOKUP(Tabla1[[#This Row],[FECHA OC]],'TIPO DE CAMBIO'!A:B,2,TRUE)</f>
        <v>1358.5219999999999</v>
      </c>
      <c r="AV232" s="850">
        <f>+Tabla1[[#This Row],[SUBTOTAL]]/Tabla1[[#This Row],[TIPO DE CAMBIO]]</f>
        <v>14600.213131477925</v>
      </c>
      <c r="AW232" s="851"/>
      <c r="AX232" s="850">
        <f>IFERROR(Tabla1[[#This Row],[VENTA TOTAL USD A PLAZO EN CLIENTE  (SIN IVA)]]*(1+Tabla1[[#This Row],[% IVA ]]),"")</f>
        <v>14600.213131477925</v>
      </c>
      <c r="AY232" s="850">
        <f>+Tabla1[[#This Row],[VENTA TOTAL USD A PLAZO EN CLIENTE  (SIN IVA)]]/Tabla1[[#This Row],[KGS]]*1000</f>
        <v>365.00532828694816</v>
      </c>
      <c r="AZ232" s="850">
        <f>-Tabla1[[#This Row],[COSTO FLETE $ POR BOLSA 5O KG (SIN IVA)]]*20/Tabla1[[#This Row],[TIPO DE CAMBIO]]</f>
        <v>1.096780177280898</v>
      </c>
      <c r="BA232" s="850">
        <f>+Tabla1[[#This Row],[GASTOS FINANCIEROS $ BOLSA 50 KG (IVA INC)]]*20/Tabla1[[#This Row],[TIPO DE CAMBIO]]</f>
        <v>1.9650686857451636</v>
      </c>
      <c r="BB232" s="850">
        <f>+Tabla1[[#This Row],[PRECIO POR TN USD EN CLIENTE A PLAZO (SIN IVA)]]+Tabla1[[#This Row],[COSTO USD FLETE /TN (SIN IVA)]]+Tabla1[[#This Row],[COSTO FINANCIERO USD POR BOLSA 50KG (IVA INC)]]</f>
        <v>368.06717714997421</v>
      </c>
      <c r="BC232" s="828">
        <v>4</v>
      </c>
      <c r="BD232" s="944" t="s">
        <v>485</v>
      </c>
    </row>
    <row r="233" spans="1:56" ht="15.75" customHeight="1">
      <c r="A233" s="912">
        <v>46174</v>
      </c>
      <c r="B233" s="828">
        <v>1</v>
      </c>
      <c r="C233" s="792" t="s">
        <v>471</v>
      </c>
      <c r="D233" s="829">
        <f>+Tabla1[[#This Row],[FECHA Entrega]]</f>
        <v>46183</v>
      </c>
      <c r="E233" s="830">
        <v>2843</v>
      </c>
      <c r="F233" s="831" t="s">
        <v>448</v>
      </c>
      <c r="G233" s="832" t="s">
        <v>216</v>
      </c>
      <c r="H233" s="852">
        <v>46183</v>
      </c>
      <c r="I233" s="834">
        <f t="shared" si="93"/>
        <v>40000</v>
      </c>
      <c r="J233" s="835">
        <f t="shared" si="92"/>
        <v>495.86776859504135</v>
      </c>
      <c r="K233" s="836">
        <f t="shared" si="94"/>
        <v>19834710.743801653</v>
      </c>
      <c r="L23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33" s="837">
        <f t="shared" si="91"/>
        <v>24000000</v>
      </c>
      <c r="N233" s="838">
        <v>0</v>
      </c>
      <c r="O233" s="838">
        <v>0</v>
      </c>
      <c r="P233" s="838">
        <v>0</v>
      </c>
      <c r="Q233" s="839">
        <f>+Tabla1[[#This Row],[VENTA TOTAL $ (IVA INC) ]]-Tabla1[[#This Row],[PENDIENTE DE COBRO]]</f>
        <v>24000000</v>
      </c>
      <c r="R233" s="840">
        <f>+Tabla1[[#This Row],[FECHA FC]]+Tabla1[[#This Row],[PLAZO ENTREGA VALORES]]</f>
        <v>46126</v>
      </c>
      <c r="S233" s="840">
        <f>+Tabla1[[#This Row],[FECHA FC]]+Tabla1[[#This Row],[PLAZO PAGO (DIAS)]]</f>
        <v>46183</v>
      </c>
      <c r="T233" s="834">
        <f t="shared" ca="1" si="95"/>
        <v>2</v>
      </c>
      <c r="U233" s="831">
        <f>+Tabla1[[#This Row],[FECHA OC]]-Tabla1[[#This Row],[FECHA Entrega]]</f>
        <v>-57</v>
      </c>
      <c r="V233" s="831"/>
      <c r="W233" s="841">
        <f>+Tabla1[[#This Row],[FECHA VTO VALORES]]+7</f>
        <v>46190</v>
      </c>
      <c r="X233" s="831">
        <v>2381</v>
      </c>
      <c r="Y233" s="840">
        <v>46126</v>
      </c>
      <c r="Z233" s="842">
        <f>Tabla1[[#This Row],[KGS]]/50</f>
        <v>800</v>
      </c>
      <c r="AA23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33" s="844">
        <f>-Tabla1[[#This Row],[COSTO FLETE $ POR BOLSA 5O KG (SIN IVA)]]*1.21-Tabla1[[#This Row],[PRECIO $/ KG A PLAZO EN CLIENTE ( SIN IVA)]]*0.003*1.21*50</f>
        <v>0.14499999999999602</v>
      </c>
      <c r="AC233" s="845">
        <f>SUM(Tabla1[[#This Row],[PRECIO $ BOLSA 50 KG (IVA INC) ]]+Tabla1[[#This Row],[COSTO FLETE $ BOLSA 50 KG (IVA INC)]])</f>
        <v>30000.145</v>
      </c>
      <c r="AD233" s="844">
        <f>-Tabla1[[#This Row],[PRECIO $ BOLSA 50 KG (IVA INC) ]]*(Tabla1[[#This Row],[TASA FINANCIACION MENSUAL]]/365)*Tabla1[[#This Row],[PLAZO ENTREGA VALORES]]</f>
        <v>135.86301369863014</v>
      </c>
      <c r="AE233" s="845">
        <f>SUM(Tabla1[[#This Row],[PRECIO $ BOLSA50 KG  FOB TUCUMAN A PLAZO (IVA INC)]]+Tabla1[[#This Row],[GASTOS FINANCIEROS $ BOLSA 50 KG (IVA INC)]])</f>
        <v>30136.008013698629</v>
      </c>
      <c r="AF233" s="828" t="s">
        <v>359</v>
      </c>
      <c r="AG233" s="828" t="s">
        <v>365</v>
      </c>
      <c r="AH233" s="828" t="s">
        <v>387</v>
      </c>
      <c r="AI233" s="828" t="s">
        <v>391</v>
      </c>
      <c r="AJ23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33" s="846">
        <f>SUM(Tabla1[[#This Row],[PRECIO $ BOLSA 50KG  FOB CDO TUC (IVA INC)]]-Tabla1[[#This Row],[PRECIO REF $ BOLSA 50 KG CACTU (IVA INC)]])</f>
        <v>-5218.9919863013711</v>
      </c>
      <c r="AL233" s="847">
        <f>IFERROR(Tabla1[[#This Row],[PRECIO $ BOLSA 50KG  FOB CDO TUC (IVA INC)]]/Tabla1[[#This Row],[PRECIO REF $ BOLSA 50 KG CACTU (IVA INC)]]-1,"")</f>
        <v>-0.14761680063078408</v>
      </c>
      <c r="AM233" s="846">
        <f>+Tabla1[[#This Row],[DIF $ PRECIO NETO INDUSTRIA vs Neto TUCUMAN (IVA INC)]]*Tabla1[[#This Row],[Q Bolsas Equivalentes 50kg]]</f>
        <v>-4175193.5890410971</v>
      </c>
      <c r="AN233" s="846">
        <f>Tabla1[[#This Row],[PRECIO REF $ BOLSA 50 KG CACTU (IVA INC)]]*Tabla1[[#This Row],[Q Bolsas Equivalentes 50kg]]</f>
        <v>28284000</v>
      </c>
      <c r="AO233" s="846">
        <f>+Tabla1[[#This Row],[PRECIO $ BOLSA 50KG  FOB CDO TUC (IVA INC)]]*Tabla1[[#This Row],[Q Bolsas Equivalentes 50kg]]</f>
        <v>24108806.410958905</v>
      </c>
      <c r="AP233" s="847">
        <v>2.9000000000000001E-2</v>
      </c>
      <c r="AQ233" s="846">
        <v>-74.5</v>
      </c>
      <c r="AR233" s="828"/>
      <c r="AS233" s="849"/>
      <c r="AT233" s="923">
        <f>+Tabla1[[#This Row],[VENTA TOTAL $ (IVA INC) ]]-(SUM(Tabla1[[#This Row],[PENDIENTE DE ENTREGA]:[VALORES COBRADOS]]))</f>
        <v>0</v>
      </c>
      <c r="AU233" s="850">
        <f>VLOOKUP(Tabla1[[#This Row],[FECHA OC]],'TIPO DE CAMBIO'!A:B,2,TRUE)</f>
        <v>1358.5219999999999</v>
      </c>
      <c r="AV233" s="850">
        <f>+Tabla1[[#This Row],[SUBTOTAL]]/Tabla1[[#This Row],[TIPO DE CAMBIO]]</f>
        <v>14600.213131477925</v>
      </c>
      <c r="AW233" s="851"/>
      <c r="AX233" s="850">
        <f>IFERROR(Tabla1[[#This Row],[VENTA TOTAL USD A PLAZO EN CLIENTE  (SIN IVA)]]*(1+Tabla1[[#This Row],[% IVA ]]),"")</f>
        <v>14600.213131477925</v>
      </c>
      <c r="AY233" s="850">
        <f>+Tabla1[[#This Row],[VENTA TOTAL USD A PLAZO EN CLIENTE  (SIN IVA)]]/Tabla1[[#This Row],[KGS]]*1000</f>
        <v>365.00532828694816</v>
      </c>
      <c r="AZ233" s="850">
        <f>-Tabla1[[#This Row],[COSTO FLETE $ POR BOLSA 5O KG (SIN IVA)]]*20/Tabla1[[#This Row],[TIPO DE CAMBIO]]</f>
        <v>1.096780177280898</v>
      </c>
      <c r="BA233" s="850">
        <f>+Tabla1[[#This Row],[GASTOS FINANCIEROS $ BOLSA 50 KG (IVA INC)]]*20/Tabla1[[#This Row],[TIPO DE CAMBIO]]</f>
        <v>2.0001591979906124</v>
      </c>
      <c r="BB233" s="850">
        <f>+Tabla1[[#This Row],[PRECIO POR TN USD EN CLIENTE A PLAZO (SIN IVA)]]+Tabla1[[#This Row],[COSTO USD FLETE /TN (SIN IVA)]]+Tabla1[[#This Row],[COSTO FINANCIERO USD POR BOLSA 50KG (IVA INC)]]</f>
        <v>368.10226766221967</v>
      </c>
      <c r="BC233" s="828">
        <v>4</v>
      </c>
      <c r="BD233" s="944" t="s">
        <v>485</v>
      </c>
    </row>
    <row r="234" spans="1:56" ht="15.75" customHeight="1">
      <c r="A234" s="912">
        <v>46174</v>
      </c>
      <c r="B234" s="828">
        <v>1</v>
      </c>
      <c r="C234" s="792" t="s">
        <v>471</v>
      </c>
      <c r="D234" s="829">
        <f>+Tabla1[[#This Row],[FECHA Entrega]]</f>
        <v>46184</v>
      </c>
      <c r="E234" s="830">
        <v>2843</v>
      </c>
      <c r="F234" s="831" t="s">
        <v>448</v>
      </c>
      <c r="G234" s="832" t="s">
        <v>216</v>
      </c>
      <c r="H234" s="852">
        <v>46184</v>
      </c>
      <c r="I234" s="834">
        <f t="shared" si="93"/>
        <v>40000</v>
      </c>
      <c r="J234" s="835">
        <f t="shared" si="92"/>
        <v>495.86776859504135</v>
      </c>
      <c r="K234" s="836">
        <f t="shared" si="94"/>
        <v>19834710.743801653</v>
      </c>
      <c r="L23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34" s="837">
        <f t="shared" si="91"/>
        <v>24000000</v>
      </c>
      <c r="N234" s="838">
        <v>0</v>
      </c>
      <c r="O234" s="838">
        <v>0</v>
      </c>
      <c r="P234" s="838">
        <v>0</v>
      </c>
      <c r="Q234" s="839">
        <f>+Tabla1[[#This Row],[VENTA TOTAL $ (IVA INC) ]]-Tabla1[[#This Row],[PENDIENTE DE COBRO]]</f>
        <v>24000000</v>
      </c>
      <c r="R234" s="840">
        <f>+Tabla1[[#This Row],[FECHA FC]]+Tabla1[[#This Row],[PLAZO ENTREGA VALORES]]</f>
        <v>46126</v>
      </c>
      <c r="S234" s="840">
        <f>+Tabla1[[#This Row],[FECHA FC]]+Tabla1[[#This Row],[PLAZO PAGO (DIAS)]]</f>
        <v>46184</v>
      </c>
      <c r="T234" s="834">
        <f t="shared" ca="1" si="95"/>
        <v>3</v>
      </c>
      <c r="U234" s="831">
        <f>+Tabla1[[#This Row],[FECHA OC]]-Tabla1[[#This Row],[FECHA Entrega]]</f>
        <v>-58</v>
      </c>
      <c r="V234" s="831"/>
      <c r="W234" s="841">
        <f>+Tabla1[[#This Row],[FECHA VTO VALORES]]+7</f>
        <v>46191</v>
      </c>
      <c r="X234" s="831">
        <v>2381</v>
      </c>
      <c r="Y234" s="840">
        <v>46126</v>
      </c>
      <c r="Z234" s="842">
        <f>Tabla1[[#This Row],[KGS]]/50</f>
        <v>800</v>
      </c>
      <c r="AA23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34" s="844">
        <f>-Tabla1[[#This Row],[COSTO FLETE $ POR BOLSA 5O KG (SIN IVA)]]*1.21-Tabla1[[#This Row],[PRECIO $/ KG A PLAZO EN CLIENTE ( SIN IVA)]]*0.003*1.21*50</f>
        <v>0.14499999999999602</v>
      </c>
      <c r="AC234" s="845">
        <f>SUM(Tabla1[[#This Row],[PRECIO $ BOLSA 50 KG (IVA INC) ]]+Tabla1[[#This Row],[COSTO FLETE $ BOLSA 50 KG (IVA INC)]])</f>
        <v>30000.145</v>
      </c>
      <c r="AD234" s="844">
        <f>-Tabla1[[#This Row],[PRECIO $ BOLSA 50 KG (IVA INC) ]]*(Tabla1[[#This Row],[TASA FINANCIACION MENSUAL]]/365)*Tabla1[[#This Row],[PLAZO ENTREGA VALORES]]</f>
        <v>138.24657534246577</v>
      </c>
      <c r="AE234" s="845">
        <f>SUM(Tabla1[[#This Row],[PRECIO $ BOLSA50 KG  FOB TUCUMAN A PLAZO (IVA INC)]]+Tabla1[[#This Row],[GASTOS FINANCIEROS $ BOLSA 50 KG (IVA INC)]])</f>
        <v>30138.391575342466</v>
      </c>
      <c r="AF234" s="828" t="s">
        <v>359</v>
      </c>
      <c r="AG234" s="828" t="s">
        <v>365</v>
      </c>
      <c r="AH234" s="828" t="s">
        <v>387</v>
      </c>
      <c r="AI234" s="828" t="s">
        <v>391</v>
      </c>
      <c r="AJ23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34" s="846">
        <f>SUM(Tabla1[[#This Row],[PRECIO $ BOLSA 50KG  FOB CDO TUC (IVA INC)]]-Tabla1[[#This Row],[PRECIO REF $ BOLSA 50 KG CACTU (IVA INC)]])</f>
        <v>-5216.6084246575338</v>
      </c>
      <c r="AL234" s="847">
        <f>IFERROR(Tabla1[[#This Row],[PRECIO $ BOLSA 50KG  FOB CDO TUC (IVA INC)]]/Tabla1[[#This Row],[PRECIO REF $ BOLSA 50 KG CACTU (IVA INC)]]-1,"")</f>
        <v>-0.14754938268017348</v>
      </c>
      <c r="AM234" s="846">
        <f>+Tabla1[[#This Row],[DIF $ PRECIO NETO INDUSTRIA vs Neto TUCUMAN (IVA INC)]]*Tabla1[[#This Row],[Q Bolsas Equivalentes 50kg]]</f>
        <v>-4173286.739726027</v>
      </c>
      <c r="AN234" s="846">
        <f>Tabla1[[#This Row],[PRECIO REF $ BOLSA 50 KG CACTU (IVA INC)]]*Tabla1[[#This Row],[Q Bolsas Equivalentes 50kg]]</f>
        <v>28284000</v>
      </c>
      <c r="AO234" s="846">
        <f>+Tabla1[[#This Row],[PRECIO $ BOLSA 50KG  FOB CDO TUC (IVA INC)]]*Tabla1[[#This Row],[Q Bolsas Equivalentes 50kg]]</f>
        <v>24110713.260273974</v>
      </c>
      <c r="AP234" s="847">
        <v>2.9000000000000001E-2</v>
      </c>
      <c r="AQ234" s="846">
        <v>-74.5</v>
      </c>
      <c r="AR234" s="828"/>
      <c r="AS234" s="849"/>
      <c r="AT234" s="923">
        <f>+Tabla1[[#This Row],[VENTA TOTAL $ (IVA INC) ]]-(SUM(Tabla1[[#This Row],[PENDIENTE DE ENTREGA]:[VALORES COBRADOS]]))</f>
        <v>0</v>
      </c>
      <c r="AU234" s="850">
        <f>VLOOKUP(Tabla1[[#This Row],[FECHA OC]],'TIPO DE CAMBIO'!A:B,2,TRUE)</f>
        <v>1358.5219999999999</v>
      </c>
      <c r="AV234" s="850">
        <f>+Tabla1[[#This Row],[SUBTOTAL]]/Tabla1[[#This Row],[TIPO DE CAMBIO]]</f>
        <v>14600.213131477925</v>
      </c>
      <c r="AW234" s="851"/>
      <c r="AX234" s="850">
        <f>IFERROR(Tabla1[[#This Row],[VENTA TOTAL USD A PLAZO EN CLIENTE  (SIN IVA)]]*(1+Tabla1[[#This Row],[% IVA ]]),"")</f>
        <v>14600.213131477925</v>
      </c>
      <c r="AY234" s="850">
        <f>+Tabla1[[#This Row],[VENTA TOTAL USD A PLAZO EN CLIENTE  (SIN IVA)]]/Tabla1[[#This Row],[KGS]]*1000</f>
        <v>365.00532828694816</v>
      </c>
      <c r="AZ234" s="850">
        <f>-Tabla1[[#This Row],[COSTO FLETE $ POR BOLSA 5O KG (SIN IVA)]]*20/Tabla1[[#This Row],[TIPO DE CAMBIO]]</f>
        <v>1.096780177280898</v>
      </c>
      <c r="BA234" s="850">
        <f>+Tabla1[[#This Row],[GASTOS FINANCIEROS $ BOLSA 50 KG (IVA INC)]]*20/Tabla1[[#This Row],[TIPO DE CAMBIO]]</f>
        <v>2.0352497102360623</v>
      </c>
      <c r="BB234" s="850">
        <f>+Tabla1[[#This Row],[PRECIO POR TN USD EN CLIENTE A PLAZO (SIN IVA)]]+Tabla1[[#This Row],[COSTO USD FLETE /TN (SIN IVA)]]+Tabla1[[#This Row],[COSTO FINANCIERO USD POR BOLSA 50KG (IVA INC)]]</f>
        <v>368.13735817446513</v>
      </c>
      <c r="BC234" s="828">
        <v>4</v>
      </c>
      <c r="BD234" s="944" t="s">
        <v>485</v>
      </c>
    </row>
    <row r="235" spans="1:56" ht="15.75" customHeight="1">
      <c r="A235" s="912">
        <v>46174</v>
      </c>
      <c r="B235" s="828">
        <v>1</v>
      </c>
      <c r="C235" s="792" t="s">
        <v>471</v>
      </c>
      <c r="D235" s="829">
        <f>+Tabla1[[#This Row],[FECHA Entrega]]</f>
        <v>46185</v>
      </c>
      <c r="E235" s="830">
        <v>2843</v>
      </c>
      <c r="F235" s="831" t="s">
        <v>448</v>
      </c>
      <c r="G235" s="832" t="s">
        <v>216</v>
      </c>
      <c r="H235" s="852">
        <v>46185</v>
      </c>
      <c r="I235" s="834">
        <f t="shared" si="93"/>
        <v>40000</v>
      </c>
      <c r="J235" s="835">
        <f t="shared" si="92"/>
        <v>495.86776859504135</v>
      </c>
      <c r="K235" s="836">
        <f t="shared" si="94"/>
        <v>19834710.743801653</v>
      </c>
      <c r="L23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35" s="837">
        <f t="shared" si="91"/>
        <v>24000000</v>
      </c>
      <c r="N235" s="838">
        <v>0</v>
      </c>
      <c r="O235" s="838">
        <v>0</v>
      </c>
      <c r="P235" s="838">
        <v>0</v>
      </c>
      <c r="Q235" s="839">
        <f>+Tabla1[[#This Row],[VENTA TOTAL $ (IVA INC) ]]-Tabla1[[#This Row],[PENDIENTE DE COBRO]]</f>
        <v>24000000</v>
      </c>
      <c r="R235" s="840">
        <f>+Tabla1[[#This Row],[FECHA FC]]+Tabla1[[#This Row],[PLAZO ENTREGA VALORES]]</f>
        <v>46126</v>
      </c>
      <c r="S235" s="840">
        <f>+Tabla1[[#This Row],[FECHA FC]]+Tabla1[[#This Row],[PLAZO PAGO (DIAS)]]</f>
        <v>46185</v>
      </c>
      <c r="T235" s="834">
        <f t="shared" ca="1" si="95"/>
        <v>4</v>
      </c>
      <c r="U235" s="831">
        <f>+Tabla1[[#This Row],[FECHA OC]]-Tabla1[[#This Row],[FECHA Entrega]]</f>
        <v>-59</v>
      </c>
      <c r="V235" s="831"/>
      <c r="W235" s="841">
        <f>+Tabla1[[#This Row],[FECHA VTO VALORES]]+7</f>
        <v>46192</v>
      </c>
      <c r="X235" s="831">
        <v>2381</v>
      </c>
      <c r="Y235" s="840">
        <v>46126</v>
      </c>
      <c r="Z235" s="842">
        <f>Tabla1[[#This Row],[KGS]]/50</f>
        <v>800</v>
      </c>
      <c r="AA23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35" s="844">
        <f>-Tabla1[[#This Row],[COSTO FLETE $ POR BOLSA 5O KG (SIN IVA)]]*1.21-Tabla1[[#This Row],[PRECIO $/ KG A PLAZO EN CLIENTE ( SIN IVA)]]*0.003*1.21*50</f>
        <v>0.14499999999999602</v>
      </c>
      <c r="AC235" s="845">
        <f>SUM(Tabla1[[#This Row],[PRECIO $ BOLSA 50 KG (IVA INC) ]]+Tabla1[[#This Row],[COSTO FLETE $ BOLSA 50 KG (IVA INC)]])</f>
        <v>30000.145</v>
      </c>
      <c r="AD235" s="844">
        <f>-Tabla1[[#This Row],[PRECIO $ BOLSA 50 KG (IVA INC) ]]*(Tabla1[[#This Row],[TASA FINANCIACION MENSUAL]]/365)*Tabla1[[#This Row],[PLAZO ENTREGA VALORES]]</f>
        <v>140.63013698630138</v>
      </c>
      <c r="AE235" s="845">
        <f>SUM(Tabla1[[#This Row],[PRECIO $ BOLSA50 KG  FOB TUCUMAN A PLAZO (IVA INC)]]+Tabla1[[#This Row],[GASTOS FINANCIEROS $ BOLSA 50 KG (IVA INC)]])</f>
        <v>30140.775136986304</v>
      </c>
      <c r="AF235" s="828" t="s">
        <v>359</v>
      </c>
      <c r="AG235" s="828" t="s">
        <v>365</v>
      </c>
      <c r="AH235" s="828" t="s">
        <v>387</v>
      </c>
      <c r="AI235" s="828" t="s">
        <v>391</v>
      </c>
      <c r="AJ23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35" s="846">
        <f>SUM(Tabla1[[#This Row],[PRECIO $ BOLSA 50KG  FOB CDO TUC (IVA INC)]]-Tabla1[[#This Row],[PRECIO REF $ BOLSA 50 KG CACTU (IVA INC)]])</f>
        <v>-5214.2248630136964</v>
      </c>
      <c r="AL235" s="847">
        <f>IFERROR(Tabla1[[#This Row],[PRECIO $ BOLSA 50KG  FOB CDO TUC (IVA INC)]]/Tabla1[[#This Row],[PRECIO REF $ BOLSA 50 KG CACTU (IVA INC)]]-1,"")</f>
        <v>-0.14748196472956288</v>
      </c>
      <c r="AM235" s="846">
        <f>+Tabla1[[#This Row],[DIF $ PRECIO NETO INDUSTRIA vs Neto TUCUMAN (IVA INC)]]*Tabla1[[#This Row],[Q Bolsas Equivalentes 50kg]]</f>
        <v>-4171379.8904109569</v>
      </c>
      <c r="AN235" s="846">
        <f>Tabla1[[#This Row],[PRECIO REF $ BOLSA 50 KG CACTU (IVA INC)]]*Tabla1[[#This Row],[Q Bolsas Equivalentes 50kg]]</f>
        <v>28284000</v>
      </c>
      <c r="AO235" s="846">
        <f>+Tabla1[[#This Row],[PRECIO $ BOLSA 50KG  FOB CDO TUC (IVA INC)]]*Tabla1[[#This Row],[Q Bolsas Equivalentes 50kg]]</f>
        <v>24112620.109589044</v>
      </c>
      <c r="AP235" s="847">
        <v>2.9000000000000001E-2</v>
      </c>
      <c r="AQ235" s="846">
        <v>-74.5</v>
      </c>
      <c r="AR235" s="828"/>
      <c r="AS235" s="849"/>
      <c r="AT235" s="923">
        <f>+Tabla1[[#This Row],[VENTA TOTAL $ (IVA INC) ]]-(SUM(Tabla1[[#This Row],[PENDIENTE DE ENTREGA]:[VALORES COBRADOS]]))</f>
        <v>0</v>
      </c>
      <c r="AU235" s="850">
        <f>VLOOKUP(Tabla1[[#This Row],[FECHA OC]],'TIPO DE CAMBIO'!A:B,2,TRUE)</f>
        <v>1358.5219999999999</v>
      </c>
      <c r="AV235" s="850">
        <f>+Tabla1[[#This Row],[SUBTOTAL]]/Tabla1[[#This Row],[TIPO DE CAMBIO]]</f>
        <v>14600.213131477925</v>
      </c>
      <c r="AW235" s="851"/>
      <c r="AX235" s="850">
        <f>IFERROR(Tabla1[[#This Row],[VENTA TOTAL USD A PLAZO EN CLIENTE  (SIN IVA)]]*(1+Tabla1[[#This Row],[% IVA ]]),"")</f>
        <v>14600.213131477925</v>
      </c>
      <c r="AY235" s="850">
        <f>+Tabla1[[#This Row],[VENTA TOTAL USD A PLAZO EN CLIENTE  (SIN IVA)]]/Tabla1[[#This Row],[KGS]]*1000</f>
        <v>365.00532828694816</v>
      </c>
      <c r="AZ235" s="850">
        <f>-Tabla1[[#This Row],[COSTO FLETE $ POR BOLSA 5O KG (SIN IVA)]]*20/Tabla1[[#This Row],[TIPO DE CAMBIO]]</f>
        <v>1.096780177280898</v>
      </c>
      <c r="BA235" s="850">
        <f>+Tabla1[[#This Row],[GASTOS FINANCIEROS $ BOLSA 50 KG (IVA INC)]]*20/Tabla1[[#This Row],[TIPO DE CAMBIO]]</f>
        <v>2.0703402224815113</v>
      </c>
      <c r="BB235" s="850">
        <f>+Tabla1[[#This Row],[PRECIO POR TN USD EN CLIENTE A PLAZO (SIN IVA)]]+Tabla1[[#This Row],[COSTO USD FLETE /TN (SIN IVA)]]+Tabla1[[#This Row],[COSTO FINANCIERO USD POR BOLSA 50KG (IVA INC)]]</f>
        <v>368.17244868671054</v>
      </c>
      <c r="BC235" s="828">
        <v>4</v>
      </c>
      <c r="BD235" s="944" t="s">
        <v>485</v>
      </c>
    </row>
    <row r="236" spans="1:56" ht="15.75" customHeight="1">
      <c r="A236" s="912">
        <v>46174</v>
      </c>
      <c r="B236" s="828">
        <v>1</v>
      </c>
      <c r="C236" s="792" t="s">
        <v>471</v>
      </c>
      <c r="D236" s="829">
        <f>+Tabla1[[#This Row],[FECHA Entrega]]</f>
        <v>46186</v>
      </c>
      <c r="E236" s="830">
        <v>2843</v>
      </c>
      <c r="F236" s="831" t="s">
        <v>448</v>
      </c>
      <c r="G236" s="832" t="s">
        <v>216</v>
      </c>
      <c r="H236" s="852">
        <v>46186</v>
      </c>
      <c r="I236" s="834">
        <f t="shared" si="93"/>
        <v>40000</v>
      </c>
      <c r="J236" s="835">
        <f t="shared" si="92"/>
        <v>495.86776859504135</v>
      </c>
      <c r="K236" s="836">
        <f t="shared" si="94"/>
        <v>19834710.743801653</v>
      </c>
      <c r="L23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36" s="837">
        <f t="shared" si="91"/>
        <v>24000000</v>
      </c>
      <c r="N236" s="838">
        <v>0</v>
      </c>
      <c r="O236" s="838">
        <v>0</v>
      </c>
      <c r="P236" s="838">
        <v>0</v>
      </c>
      <c r="Q236" s="839">
        <f>+Tabla1[[#This Row],[VENTA TOTAL $ (IVA INC) ]]-Tabla1[[#This Row],[PENDIENTE DE COBRO]]</f>
        <v>24000000</v>
      </c>
      <c r="R236" s="840">
        <f>+Tabla1[[#This Row],[FECHA FC]]+Tabla1[[#This Row],[PLAZO ENTREGA VALORES]]</f>
        <v>46126</v>
      </c>
      <c r="S236" s="840">
        <f>+Tabla1[[#This Row],[FECHA FC]]+Tabla1[[#This Row],[PLAZO PAGO (DIAS)]]</f>
        <v>46186</v>
      </c>
      <c r="T236" s="834">
        <f t="shared" ca="1" si="95"/>
        <v>5</v>
      </c>
      <c r="U236" s="831">
        <f>+Tabla1[[#This Row],[FECHA OC]]-Tabla1[[#This Row],[FECHA Entrega]]</f>
        <v>-60</v>
      </c>
      <c r="V236" s="831"/>
      <c r="W236" s="841">
        <f>+Tabla1[[#This Row],[FECHA VTO VALORES]]+7</f>
        <v>46193</v>
      </c>
      <c r="X236" s="831">
        <v>2381</v>
      </c>
      <c r="Y236" s="840">
        <v>46126</v>
      </c>
      <c r="Z236" s="842">
        <f>Tabla1[[#This Row],[KGS]]/50</f>
        <v>800</v>
      </c>
      <c r="AA23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36" s="844">
        <f>-Tabla1[[#This Row],[COSTO FLETE $ POR BOLSA 5O KG (SIN IVA)]]*1.21-Tabla1[[#This Row],[PRECIO $/ KG A PLAZO EN CLIENTE ( SIN IVA)]]*0.003*1.21*50</f>
        <v>0.14499999999999602</v>
      </c>
      <c r="AC236" s="845">
        <f>SUM(Tabla1[[#This Row],[PRECIO $ BOLSA 50 KG (IVA INC) ]]+Tabla1[[#This Row],[COSTO FLETE $ BOLSA 50 KG (IVA INC)]])</f>
        <v>30000.145</v>
      </c>
      <c r="AD236" s="844">
        <f>-Tabla1[[#This Row],[PRECIO $ BOLSA 50 KG (IVA INC) ]]*(Tabla1[[#This Row],[TASA FINANCIACION MENSUAL]]/365)*Tabla1[[#This Row],[PLAZO ENTREGA VALORES]]</f>
        <v>143.01369863013699</v>
      </c>
      <c r="AE236" s="845">
        <f>SUM(Tabla1[[#This Row],[PRECIO $ BOLSA50 KG  FOB TUCUMAN A PLAZO (IVA INC)]]+Tabla1[[#This Row],[GASTOS FINANCIEROS $ BOLSA 50 KG (IVA INC)]])</f>
        <v>30143.158698630137</v>
      </c>
      <c r="AF236" s="828" t="s">
        <v>359</v>
      </c>
      <c r="AG236" s="828" t="s">
        <v>365</v>
      </c>
      <c r="AH236" s="828" t="s">
        <v>387</v>
      </c>
      <c r="AI236" s="828" t="s">
        <v>391</v>
      </c>
      <c r="AJ23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36" s="846">
        <f>SUM(Tabla1[[#This Row],[PRECIO $ BOLSA 50KG  FOB CDO TUC (IVA INC)]]-Tabla1[[#This Row],[PRECIO REF $ BOLSA 50 KG CACTU (IVA INC)]])</f>
        <v>-5211.8413013698628</v>
      </c>
      <c r="AL236" s="847">
        <f>IFERROR(Tabla1[[#This Row],[PRECIO $ BOLSA 50KG  FOB CDO TUC (IVA INC)]]/Tabla1[[#This Row],[PRECIO REF $ BOLSA 50 KG CACTU (IVA INC)]]-1,"")</f>
        <v>-0.14741454677895238</v>
      </c>
      <c r="AM236" s="846">
        <f>+Tabla1[[#This Row],[DIF $ PRECIO NETO INDUSTRIA vs Neto TUCUMAN (IVA INC)]]*Tabla1[[#This Row],[Q Bolsas Equivalentes 50kg]]</f>
        <v>-4169473.0410958901</v>
      </c>
      <c r="AN236" s="846">
        <f>Tabla1[[#This Row],[PRECIO REF $ BOLSA 50 KG CACTU (IVA INC)]]*Tabla1[[#This Row],[Q Bolsas Equivalentes 50kg]]</f>
        <v>28284000</v>
      </c>
      <c r="AO236" s="846">
        <f>+Tabla1[[#This Row],[PRECIO $ BOLSA 50KG  FOB CDO TUC (IVA INC)]]*Tabla1[[#This Row],[Q Bolsas Equivalentes 50kg]]</f>
        <v>24114526.95890411</v>
      </c>
      <c r="AP236" s="847">
        <v>2.9000000000000001E-2</v>
      </c>
      <c r="AQ236" s="846">
        <v>-74.5</v>
      </c>
      <c r="AR236" s="828"/>
      <c r="AS236" s="849"/>
      <c r="AT236" s="923">
        <f>+Tabla1[[#This Row],[VENTA TOTAL $ (IVA INC) ]]-(SUM(Tabla1[[#This Row],[PENDIENTE DE ENTREGA]:[VALORES COBRADOS]]))</f>
        <v>0</v>
      </c>
      <c r="AU236" s="850">
        <f>VLOOKUP(Tabla1[[#This Row],[FECHA OC]],'TIPO DE CAMBIO'!A:B,2,TRUE)</f>
        <v>1358.5219999999999</v>
      </c>
      <c r="AV236" s="850">
        <f>+Tabla1[[#This Row],[SUBTOTAL]]/Tabla1[[#This Row],[TIPO DE CAMBIO]]</f>
        <v>14600.213131477925</v>
      </c>
      <c r="AW236" s="851"/>
      <c r="AX236" s="850">
        <f>IFERROR(Tabla1[[#This Row],[VENTA TOTAL USD A PLAZO EN CLIENTE  (SIN IVA)]]*(1+Tabla1[[#This Row],[% IVA ]]),"")</f>
        <v>14600.213131477925</v>
      </c>
      <c r="AY236" s="850">
        <f>+Tabla1[[#This Row],[VENTA TOTAL USD A PLAZO EN CLIENTE  (SIN IVA)]]/Tabla1[[#This Row],[KGS]]*1000</f>
        <v>365.00532828694816</v>
      </c>
      <c r="AZ236" s="850">
        <f>-Tabla1[[#This Row],[COSTO FLETE $ POR BOLSA 5O KG (SIN IVA)]]*20/Tabla1[[#This Row],[TIPO DE CAMBIO]]</f>
        <v>1.096780177280898</v>
      </c>
      <c r="BA236" s="850">
        <f>+Tabla1[[#This Row],[GASTOS FINANCIEROS $ BOLSA 50 KG (IVA INC)]]*20/Tabla1[[#This Row],[TIPO DE CAMBIO]]</f>
        <v>2.1054307347269607</v>
      </c>
      <c r="BB236" s="850">
        <f>+Tabla1[[#This Row],[PRECIO POR TN USD EN CLIENTE A PLAZO (SIN IVA)]]+Tabla1[[#This Row],[COSTO USD FLETE /TN (SIN IVA)]]+Tabla1[[#This Row],[COSTO FINANCIERO USD POR BOLSA 50KG (IVA INC)]]</f>
        <v>368.207539198956</v>
      </c>
      <c r="BC236" s="828">
        <v>4</v>
      </c>
      <c r="BD236" s="944" t="s">
        <v>485</v>
      </c>
    </row>
    <row r="237" spans="1:56" ht="15.75" customHeight="1">
      <c r="A237" s="912">
        <v>46174</v>
      </c>
      <c r="B237" s="828">
        <v>1</v>
      </c>
      <c r="C237" s="792" t="s">
        <v>471</v>
      </c>
      <c r="D237" s="829">
        <f>+Tabla1[[#This Row],[FECHA Entrega]]</f>
        <v>46187</v>
      </c>
      <c r="E237" s="830">
        <v>2843</v>
      </c>
      <c r="F237" s="831" t="s">
        <v>448</v>
      </c>
      <c r="G237" s="832" t="s">
        <v>216</v>
      </c>
      <c r="H237" s="852">
        <v>46187</v>
      </c>
      <c r="I237" s="834">
        <f t="shared" si="93"/>
        <v>40000</v>
      </c>
      <c r="J237" s="835">
        <f t="shared" si="92"/>
        <v>495.86776859504135</v>
      </c>
      <c r="K237" s="836">
        <f t="shared" si="94"/>
        <v>19834710.743801653</v>
      </c>
      <c r="L23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37" s="837">
        <f t="shared" si="91"/>
        <v>24000000</v>
      </c>
      <c r="N237" s="838">
        <v>0</v>
      </c>
      <c r="O237" s="838">
        <v>0</v>
      </c>
      <c r="P237" s="838">
        <v>0</v>
      </c>
      <c r="Q237" s="839">
        <f>+Tabla1[[#This Row],[VENTA TOTAL $ (IVA INC) ]]-Tabla1[[#This Row],[PENDIENTE DE COBRO]]</f>
        <v>24000000</v>
      </c>
      <c r="R237" s="840">
        <f>+Tabla1[[#This Row],[FECHA FC]]+Tabla1[[#This Row],[PLAZO ENTREGA VALORES]]</f>
        <v>46126</v>
      </c>
      <c r="S237" s="840">
        <f>+Tabla1[[#This Row],[FECHA FC]]+Tabla1[[#This Row],[PLAZO PAGO (DIAS)]]</f>
        <v>46187</v>
      </c>
      <c r="T237" s="834">
        <f t="shared" ca="1" si="95"/>
        <v>6</v>
      </c>
      <c r="U237" s="831">
        <f>+Tabla1[[#This Row],[FECHA OC]]-Tabla1[[#This Row],[FECHA Entrega]]</f>
        <v>-61</v>
      </c>
      <c r="V237" s="831"/>
      <c r="W237" s="841">
        <f>+Tabla1[[#This Row],[FECHA VTO VALORES]]+7</f>
        <v>46194</v>
      </c>
      <c r="X237" s="831">
        <v>2381</v>
      </c>
      <c r="Y237" s="840">
        <v>46126</v>
      </c>
      <c r="Z237" s="842">
        <f>Tabla1[[#This Row],[KGS]]/50</f>
        <v>800</v>
      </c>
      <c r="AA23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37" s="844">
        <f>-Tabla1[[#This Row],[COSTO FLETE $ POR BOLSA 5O KG (SIN IVA)]]*1.21-Tabla1[[#This Row],[PRECIO $/ KG A PLAZO EN CLIENTE ( SIN IVA)]]*0.003*1.21*50</f>
        <v>0.14499999999999602</v>
      </c>
      <c r="AC237" s="845">
        <f>SUM(Tabla1[[#This Row],[PRECIO $ BOLSA 50 KG (IVA INC) ]]+Tabla1[[#This Row],[COSTO FLETE $ BOLSA 50 KG (IVA INC)]])</f>
        <v>30000.145</v>
      </c>
      <c r="AD237" s="844">
        <f>-Tabla1[[#This Row],[PRECIO $ BOLSA 50 KG (IVA INC) ]]*(Tabla1[[#This Row],[TASA FINANCIACION MENSUAL]]/365)*Tabla1[[#This Row],[PLAZO ENTREGA VALORES]]</f>
        <v>145.39726027397262</v>
      </c>
      <c r="AE237" s="845">
        <f>SUM(Tabla1[[#This Row],[PRECIO $ BOLSA50 KG  FOB TUCUMAN A PLAZO (IVA INC)]]+Tabla1[[#This Row],[GASTOS FINANCIEROS $ BOLSA 50 KG (IVA INC)]])</f>
        <v>30145.542260273975</v>
      </c>
      <c r="AF237" s="828" t="s">
        <v>359</v>
      </c>
      <c r="AG237" s="828" t="s">
        <v>365</v>
      </c>
      <c r="AH237" s="828" t="s">
        <v>387</v>
      </c>
      <c r="AI237" s="828" t="s">
        <v>391</v>
      </c>
      <c r="AJ23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37" s="846">
        <f>SUM(Tabla1[[#This Row],[PRECIO $ BOLSA 50KG  FOB CDO TUC (IVA INC)]]-Tabla1[[#This Row],[PRECIO REF $ BOLSA 50 KG CACTU (IVA INC)]])</f>
        <v>-5209.4577397260255</v>
      </c>
      <c r="AL237" s="847">
        <f>IFERROR(Tabla1[[#This Row],[PRECIO $ BOLSA 50KG  FOB CDO TUC (IVA INC)]]/Tabla1[[#This Row],[PRECIO REF $ BOLSA 50 KG CACTU (IVA INC)]]-1,"")</f>
        <v>-0.14734712882834178</v>
      </c>
      <c r="AM237" s="846">
        <f>+Tabla1[[#This Row],[DIF $ PRECIO NETO INDUSTRIA vs Neto TUCUMAN (IVA INC)]]*Tabla1[[#This Row],[Q Bolsas Equivalentes 50kg]]</f>
        <v>-4167566.1917808205</v>
      </c>
      <c r="AN237" s="846">
        <f>Tabla1[[#This Row],[PRECIO REF $ BOLSA 50 KG CACTU (IVA INC)]]*Tabla1[[#This Row],[Q Bolsas Equivalentes 50kg]]</f>
        <v>28284000</v>
      </c>
      <c r="AO237" s="846">
        <f>+Tabla1[[#This Row],[PRECIO $ BOLSA 50KG  FOB CDO TUC (IVA INC)]]*Tabla1[[#This Row],[Q Bolsas Equivalentes 50kg]]</f>
        <v>24116433.80821918</v>
      </c>
      <c r="AP237" s="847">
        <v>2.9000000000000001E-2</v>
      </c>
      <c r="AQ237" s="846">
        <v>-74.5</v>
      </c>
      <c r="AR237" s="828"/>
      <c r="AS237" s="849"/>
      <c r="AT237" s="923">
        <f>+Tabla1[[#This Row],[VENTA TOTAL $ (IVA INC) ]]-(SUM(Tabla1[[#This Row],[PENDIENTE DE ENTREGA]:[VALORES COBRADOS]]))</f>
        <v>0</v>
      </c>
      <c r="AU237" s="850">
        <f>VLOOKUP(Tabla1[[#This Row],[FECHA OC]],'TIPO DE CAMBIO'!A:B,2,TRUE)</f>
        <v>1358.5219999999999</v>
      </c>
      <c r="AV237" s="850">
        <f>+Tabla1[[#This Row],[SUBTOTAL]]/Tabla1[[#This Row],[TIPO DE CAMBIO]]</f>
        <v>14600.213131477925</v>
      </c>
      <c r="AW237" s="851"/>
      <c r="AX237" s="850">
        <f>IFERROR(Tabla1[[#This Row],[VENTA TOTAL USD A PLAZO EN CLIENTE  (SIN IVA)]]*(1+Tabla1[[#This Row],[% IVA ]]),"")</f>
        <v>14600.213131477925</v>
      </c>
      <c r="AY237" s="850">
        <f>+Tabla1[[#This Row],[VENTA TOTAL USD A PLAZO EN CLIENTE  (SIN IVA)]]/Tabla1[[#This Row],[KGS]]*1000</f>
        <v>365.00532828694816</v>
      </c>
      <c r="AZ237" s="850">
        <f>-Tabla1[[#This Row],[COSTO FLETE $ POR BOLSA 5O KG (SIN IVA)]]*20/Tabla1[[#This Row],[TIPO DE CAMBIO]]</f>
        <v>1.096780177280898</v>
      </c>
      <c r="BA237" s="850">
        <f>+Tabla1[[#This Row],[GASTOS FINANCIEROS $ BOLSA 50 KG (IVA INC)]]*20/Tabla1[[#This Row],[TIPO DE CAMBIO]]</f>
        <v>2.1405212469724102</v>
      </c>
      <c r="BB237" s="850">
        <f>+Tabla1[[#This Row],[PRECIO POR TN USD EN CLIENTE A PLAZO (SIN IVA)]]+Tabla1[[#This Row],[COSTO USD FLETE /TN (SIN IVA)]]+Tabla1[[#This Row],[COSTO FINANCIERO USD POR BOLSA 50KG (IVA INC)]]</f>
        <v>368.24262971120146</v>
      </c>
      <c r="BC237" s="828">
        <v>4</v>
      </c>
      <c r="BD237" s="944" t="s">
        <v>485</v>
      </c>
    </row>
    <row r="238" spans="1:56" ht="15.75" customHeight="1">
      <c r="A238" s="912">
        <v>46174</v>
      </c>
      <c r="B238" s="828">
        <v>1</v>
      </c>
      <c r="C238" s="792" t="s">
        <v>471</v>
      </c>
      <c r="D238" s="829">
        <f>+Tabla1[[#This Row],[FECHA Entrega]]</f>
        <v>46188</v>
      </c>
      <c r="E238" s="830">
        <v>2843</v>
      </c>
      <c r="F238" s="831" t="s">
        <v>448</v>
      </c>
      <c r="G238" s="832" t="s">
        <v>216</v>
      </c>
      <c r="H238" s="852">
        <v>46188</v>
      </c>
      <c r="I238" s="834">
        <f t="shared" si="93"/>
        <v>40000</v>
      </c>
      <c r="J238" s="835">
        <f t="shared" si="92"/>
        <v>495.86776859504135</v>
      </c>
      <c r="K238" s="836">
        <f t="shared" si="94"/>
        <v>19834710.743801653</v>
      </c>
      <c r="L23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38" s="837">
        <f t="shared" si="91"/>
        <v>24000000</v>
      </c>
      <c r="N238" s="838">
        <v>0</v>
      </c>
      <c r="O238" s="838">
        <v>0</v>
      </c>
      <c r="P238" s="838">
        <v>0</v>
      </c>
      <c r="Q238" s="839">
        <f>+Tabla1[[#This Row],[VENTA TOTAL $ (IVA INC) ]]-Tabla1[[#This Row],[PENDIENTE DE COBRO]]</f>
        <v>24000000</v>
      </c>
      <c r="R238" s="840">
        <f>+Tabla1[[#This Row],[FECHA FC]]+Tabla1[[#This Row],[PLAZO ENTREGA VALORES]]</f>
        <v>46126</v>
      </c>
      <c r="S238" s="840">
        <f>+Tabla1[[#This Row],[FECHA FC]]+Tabla1[[#This Row],[PLAZO PAGO (DIAS)]]</f>
        <v>46188</v>
      </c>
      <c r="T238" s="834">
        <f t="shared" ca="1" si="95"/>
        <v>7</v>
      </c>
      <c r="U238" s="831">
        <f>+Tabla1[[#This Row],[FECHA OC]]-Tabla1[[#This Row],[FECHA Entrega]]</f>
        <v>-62</v>
      </c>
      <c r="V238" s="831"/>
      <c r="W238" s="841">
        <f>+Tabla1[[#This Row],[FECHA VTO VALORES]]+7</f>
        <v>46195</v>
      </c>
      <c r="X238" s="831">
        <v>2381</v>
      </c>
      <c r="Y238" s="840">
        <v>46126</v>
      </c>
      <c r="Z238" s="842">
        <f>Tabla1[[#This Row],[KGS]]/50</f>
        <v>800</v>
      </c>
      <c r="AA23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38" s="844">
        <f>-Tabla1[[#This Row],[COSTO FLETE $ POR BOLSA 5O KG (SIN IVA)]]*1.21-Tabla1[[#This Row],[PRECIO $/ KG A PLAZO EN CLIENTE ( SIN IVA)]]*0.003*1.21*50</f>
        <v>0.14499999999999602</v>
      </c>
      <c r="AC238" s="845">
        <f>SUM(Tabla1[[#This Row],[PRECIO $ BOLSA 50 KG (IVA INC) ]]+Tabla1[[#This Row],[COSTO FLETE $ BOLSA 50 KG (IVA INC)]])</f>
        <v>30000.145</v>
      </c>
      <c r="AD238" s="844">
        <f>-Tabla1[[#This Row],[PRECIO $ BOLSA 50 KG (IVA INC) ]]*(Tabla1[[#This Row],[TASA FINANCIACION MENSUAL]]/365)*Tabla1[[#This Row],[PLAZO ENTREGA VALORES]]</f>
        <v>147.78082191780823</v>
      </c>
      <c r="AE238" s="845">
        <f>SUM(Tabla1[[#This Row],[PRECIO $ BOLSA50 KG  FOB TUCUMAN A PLAZO (IVA INC)]]+Tabla1[[#This Row],[GASTOS FINANCIEROS $ BOLSA 50 KG (IVA INC)]])</f>
        <v>30147.925821917808</v>
      </c>
      <c r="AF238" s="828" t="s">
        <v>359</v>
      </c>
      <c r="AG238" s="828" t="s">
        <v>365</v>
      </c>
      <c r="AH238" s="828" t="s">
        <v>387</v>
      </c>
      <c r="AI238" s="828" t="s">
        <v>391</v>
      </c>
      <c r="AJ23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38" s="846">
        <f>SUM(Tabla1[[#This Row],[PRECIO $ BOLSA 50KG  FOB CDO TUC (IVA INC)]]-Tabla1[[#This Row],[PRECIO REF $ BOLSA 50 KG CACTU (IVA INC)]])</f>
        <v>-5207.0741780821918</v>
      </c>
      <c r="AL238" s="847">
        <f>IFERROR(Tabla1[[#This Row],[PRECIO $ BOLSA 50KG  FOB CDO TUC (IVA INC)]]/Tabla1[[#This Row],[PRECIO REF $ BOLSA 50 KG CACTU (IVA INC)]]-1,"")</f>
        <v>-0.1472797108777314</v>
      </c>
      <c r="AM238" s="846">
        <f>+Tabla1[[#This Row],[DIF $ PRECIO NETO INDUSTRIA vs Neto TUCUMAN (IVA INC)]]*Tabla1[[#This Row],[Q Bolsas Equivalentes 50kg]]</f>
        <v>-4165659.3424657537</v>
      </c>
      <c r="AN238" s="846">
        <f>Tabla1[[#This Row],[PRECIO REF $ BOLSA 50 KG CACTU (IVA INC)]]*Tabla1[[#This Row],[Q Bolsas Equivalentes 50kg]]</f>
        <v>28284000</v>
      </c>
      <c r="AO238" s="846">
        <f>+Tabla1[[#This Row],[PRECIO $ BOLSA 50KG  FOB CDO TUC (IVA INC)]]*Tabla1[[#This Row],[Q Bolsas Equivalentes 50kg]]</f>
        <v>24118340.657534245</v>
      </c>
      <c r="AP238" s="847">
        <v>2.9000000000000001E-2</v>
      </c>
      <c r="AQ238" s="846">
        <v>-74.5</v>
      </c>
      <c r="AR238" s="828"/>
      <c r="AS238" s="849"/>
      <c r="AT238" s="923">
        <f>+Tabla1[[#This Row],[VENTA TOTAL $ (IVA INC) ]]-(SUM(Tabla1[[#This Row],[PENDIENTE DE ENTREGA]:[VALORES COBRADOS]]))</f>
        <v>0</v>
      </c>
      <c r="AU238" s="850">
        <f>VLOOKUP(Tabla1[[#This Row],[FECHA OC]],'TIPO DE CAMBIO'!A:B,2,TRUE)</f>
        <v>1358.5219999999999</v>
      </c>
      <c r="AV238" s="850">
        <f>+Tabla1[[#This Row],[SUBTOTAL]]/Tabla1[[#This Row],[TIPO DE CAMBIO]]</f>
        <v>14600.213131477925</v>
      </c>
      <c r="AW238" s="851"/>
      <c r="AX238" s="850">
        <f>IFERROR(Tabla1[[#This Row],[VENTA TOTAL USD A PLAZO EN CLIENTE  (SIN IVA)]]*(1+Tabla1[[#This Row],[% IVA ]]),"")</f>
        <v>14600.213131477925</v>
      </c>
      <c r="AY238" s="850">
        <f>+Tabla1[[#This Row],[VENTA TOTAL USD A PLAZO EN CLIENTE  (SIN IVA)]]/Tabla1[[#This Row],[KGS]]*1000</f>
        <v>365.00532828694816</v>
      </c>
      <c r="AZ238" s="850">
        <f>-Tabla1[[#This Row],[COSTO FLETE $ POR BOLSA 5O KG (SIN IVA)]]*20/Tabla1[[#This Row],[TIPO DE CAMBIO]]</f>
        <v>1.096780177280898</v>
      </c>
      <c r="BA238" s="850">
        <f>+Tabla1[[#This Row],[GASTOS FINANCIEROS $ BOLSA 50 KG (IVA INC)]]*20/Tabla1[[#This Row],[TIPO DE CAMBIO]]</f>
        <v>2.1756117592178592</v>
      </c>
      <c r="BB238" s="850">
        <f>+Tabla1[[#This Row],[PRECIO POR TN USD EN CLIENTE A PLAZO (SIN IVA)]]+Tabla1[[#This Row],[COSTO USD FLETE /TN (SIN IVA)]]+Tabla1[[#This Row],[COSTO FINANCIERO USD POR BOLSA 50KG (IVA INC)]]</f>
        <v>368.27772022344692</v>
      </c>
      <c r="BC238" s="828">
        <v>4</v>
      </c>
      <c r="BD238" s="944" t="s">
        <v>485</v>
      </c>
    </row>
    <row r="239" spans="1:56" ht="15.75" customHeight="1">
      <c r="A239" s="912">
        <v>46174</v>
      </c>
      <c r="B239" s="828">
        <v>1</v>
      </c>
      <c r="C239" s="792" t="s">
        <v>471</v>
      </c>
      <c r="D239" s="829">
        <f>+Tabla1[[#This Row],[FECHA Entrega]]</f>
        <v>46189</v>
      </c>
      <c r="E239" s="830">
        <v>2843</v>
      </c>
      <c r="F239" s="831" t="s">
        <v>448</v>
      </c>
      <c r="G239" s="832" t="s">
        <v>216</v>
      </c>
      <c r="H239" s="852">
        <v>46189</v>
      </c>
      <c r="I239" s="834">
        <f t="shared" si="93"/>
        <v>40000</v>
      </c>
      <c r="J239" s="835">
        <f t="shared" si="92"/>
        <v>495.86776859504135</v>
      </c>
      <c r="K239" s="836">
        <f t="shared" si="94"/>
        <v>19834710.743801653</v>
      </c>
      <c r="L23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39" s="837">
        <f t="shared" si="91"/>
        <v>24000000</v>
      </c>
      <c r="N239" s="838">
        <v>0</v>
      </c>
      <c r="O239" s="838">
        <v>0</v>
      </c>
      <c r="P239" s="838">
        <v>0</v>
      </c>
      <c r="Q239" s="839">
        <f>+Tabla1[[#This Row],[VENTA TOTAL $ (IVA INC) ]]-Tabla1[[#This Row],[PENDIENTE DE COBRO]]</f>
        <v>24000000</v>
      </c>
      <c r="R239" s="840">
        <f>+Tabla1[[#This Row],[FECHA FC]]+Tabla1[[#This Row],[PLAZO ENTREGA VALORES]]</f>
        <v>46126</v>
      </c>
      <c r="S239" s="840">
        <f>+Tabla1[[#This Row],[FECHA FC]]+Tabla1[[#This Row],[PLAZO PAGO (DIAS)]]</f>
        <v>46189</v>
      </c>
      <c r="T239" s="834">
        <f t="shared" ca="1" si="95"/>
        <v>8</v>
      </c>
      <c r="U239" s="831">
        <f>+Tabla1[[#This Row],[FECHA OC]]-Tabla1[[#This Row],[FECHA Entrega]]</f>
        <v>-63</v>
      </c>
      <c r="V239" s="831"/>
      <c r="W239" s="841">
        <f>+Tabla1[[#This Row],[FECHA VTO VALORES]]+7</f>
        <v>46196</v>
      </c>
      <c r="X239" s="831">
        <v>2381</v>
      </c>
      <c r="Y239" s="840">
        <v>46126</v>
      </c>
      <c r="Z239" s="842">
        <f>Tabla1[[#This Row],[KGS]]/50</f>
        <v>800</v>
      </c>
      <c r="AA23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39" s="844">
        <f>-Tabla1[[#This Row],[COSTO FLETE $ POR BOLSA 5O KG (SIN IVA)]]*1.21-Tabla1[[#This Row],[PRECIO $/ KG A PLAZO EN CLIENTE ( SIN IVA)]]*0.003*1.21*50</f>
        <v>0.14499999999999602</v>
      </c>
      <c r="AC239" s="845">
        <f>SUM(Tabla1[[#This Row],[PRECIO $ BOLSA 50 KG (IVA INC) ]]+Tabla1[[#This Row],[COSTO FLETE $ BOLSA 50 KG (IVA INC)]])</f>
        <v>30000.145</v>
      </c>
      <c r="AD239" s="844">
        <f>-Tabla1[[#This Row],[PRECIO $ BOLSA 50 KG (IVA INC) ]]*(Tabla1[[#This Row],[TASA FINANCIACION MENSUAL]]/365)*Tabla1[[#This Row],[PLAZO ENTREGA VALORES]]</f>
        <v>150.16438356164386</v>
      </c>
      <c r="AE239" s="845">
        <f>SUM(Tabla1[[#This Row],[PRECIO $ BOLSA50 KG  FOB TUCUMAN A PLAZO (IVA INC)]]+Tabla1[[#This Row],[GASTOS FINANCIEROS $ BOLSA 50 KG (IVA INC)]])</f>
        <v>30150.309383561646</v>
      </c>
      <c r="AF239" s="828" t="s">
        <v>359</v>
      </c>
      <c r="AG239" s="828" t="s">
        <v>365</v>
      </c>
      <c r="AH239" s="828" t="s">
        <v>387</v>
      </c>
      <c r="AI239" s="828" t="s">
        <v>391</v>
      </c>
      <c r="AJ23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39" s="846">
        <f>SUM(Tabla1[[#This Row],[PRECIO $ BOLSA 50KG  FOB CDO TUC (IVA INC)]]-Tabla1[[#This Row],[PRECIO REF $ BOLSA 50 KG CACTU (IVA INC)]])</f>
        <v>-5204.6906164383545</v>
      </c>
      <c r="AL239" s="847">
        <f>IFERROR(Tabla1[[#This Row],[PRECIO $ BOLSA 50KG  FOB CDO TUC (IVA INC)]]/Tabla1[[#This Row],[PRECIO REF $ BOLSA 50 KG CACTU (IVA INC)]]-1,"")</f>
        <v>-0.14721229292712079</v>
      </c>
      <c r="AM239" s="846">
        <f>+Tabla1[[#This Row],[DIF $ PRECIO NETO INDUSTRIA vs Neto TUCUMAN (IVA INC)]]*Tabla1[[#This Row],[Q Bolsas Equivalentes 50kg]]</f>
        <v>-4163752.4931506836</v>
      </c>
      <c r="AN239" s="846">
        <f>Tabla1[[#This Row],[PRECIO REF $ BOLSA 50 KG CACTU (IVA INC)]]*Tabla1[[#This Row],[Q Bolsas Equivalentes 50kg]]</f>
        <v>28284000</v>
      </c>
      <c r="AO239" s="846">
        <f>+Tabla1[[#This Row],[PRECIO $ BOLSA 50KG  FOB CDO TUC (IVA INC)]]*Tabla1[[#This Row],[Q Bolsas Equivalentes 50kg]]</f>
        <v>24120247.506849315</v>
      </c>
      <c r="AP239" s="847">
        <v>2.9000000000000001E-2</v>
      </c>
      <c r="AQ239" s="846">
        <v>-74.5</v>
      </c>
      <c r="AR239" s="828"/>
      <c r="AS239" s="849"/>
      <c r="AT239" s="923">
        <f>+Tabla1[[#This Row],[VENTA TOTAL $ (IVA INC) ]]-(SUM(Tabla1[[#This Row],[PENDIENTE DE ENTREGA]:[VALORES COBRADOS]]))</f>
        <v>0</v>
      </c>
      <c r="AU239" s="850">
        <f>VLOOKUP(Tabla1[[#This Row],[FECHA OC]],'TIPO DE CAMBIO'!A:B,2,TRUE)</f>
        <v>1358.5219999999999</v>
      </c>
      <c r="AV239" s="850">
        <f>+Tabla1[[#This Row],[SUBTOTAL]]/Tabla1[[#This Row],[TIPO DE CAMBIO]]</f>
        <v>14600.213131477925</v>
      </c>
      <c r="AW239" s="851"/>
      <c r="AX239" s="850">
        <f>IFERROR(Tabla1[[#This Row],[VENTA TOTAL USD A PLAZO EN CLIENTE  (SIN IVA)]]*(1+Tabla1[[#This Row],[% IVA ]]),"")</f>
        <v>14600.213131477925</v>
      </c>
      <c r="AY239" s="850">
        <f>+Tabla1[[#This Row],[VENTA TOTAL USD A PLAZO EN CLIENTE  (SIN IVA)]]/Tabla1[[#This Row],[KGS]]*1000</f>
        <v>365.00532828694816</v>
      </c>
      <c r="AZ239" s="850">
        <f>-Tabla1[[#This Row],[COSTO FLETE $ POR BOLSA 5O KG (SIN IVA)]]*20/Tabla1[[#This Row],[TIPO DE CAMBIO]]</f>
        <v>1.096780177280898</v>
      </c>
      <c r="BA239" s="850">
        <f>+Tabla1[[#This Row],[GASTOS FINANCIEROS $ BOLSA 50 KG (IVA INC)]]*20/Tabla1[[#This Row],[TIPO DE CAMBIO]]</f>
        <v>2.2107022714633087</v>
      </c>
      <c r="BB239" s="850">
        <f>+Tabla1[[#This Row],[PRECIO POR TN USD EN CLIENTE A PLAZO (SIN IVA)]]+Tabla1[[#This Row],[COSTO USD FLETE /TN (SIN IVA)]]+Tabla1[[#This Row],[COSTO FINANCIERO USD POR BOLSA 50KG (IVA INC)]]</f>
        <v>368.31281073569238</v>
      </c>
      <c r="BC239" s="828">
        <v>4</v>
      </c>
      <c r="BD239" s="944" t="s">
        <v>485</v>
      </c>
    </row>
    <row r="240" spans="1:56" ht="15.75" customHeight="1">
      <c r="A240" s="912">
        <v>46174</v>
      </c>
      <c r="B240" s="828">
        <v>1</v>
      </c>
      <c r="C240" s="792" t="s">
        <v>471</v>
      </c>
      <c r="D240" s="829">
        <f>+Tabla1[[#This Row],[FECHA Entrega]]</f>
        <v>46190</v>
      </c>
      <c r="E240" s="830">
        <v>2843</v>
      </c>
      <c r="F240" s="831" t="s">
        <v>448</v>
      </c>
      <c r="G240" s="832" t="s">
        <v>216</v>
      </c>
      <c r="H240" s="852">
        <v>46190</v>
      </c>
      <c r="I240" s="834">
        <f t="shared" si="93"/>
        <v>40000</v>
      </c>
      <c r="J240" s="835">
        <f t="shared" si="92"/>
        <v>495.86776859504135</v>
      </c>
      <c r="K240" s="836">
        <f t="shared" si="94"/>
        <v>19834710.743801653</v>
      </c>
      <c r="L24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40" s="837">
        <f t="shared" si="91"/>
        <v>24000000</v>
      </c>
      <c r="N240" s="838">
        <v>0</v>
      </c>
      <c r="O240" s="838">
        <v>0</v>
      </c>
      <c r="P240" s="838">
        <v>0</v>
      </c>
      <c r="Q240" s="839">
        <f>+Tabla1[[#This Row],[VENTA TOTAL $ (IVA INC) ]]-Tabla1[[#This Row],[PENDIENTE DE COBRO]]</f>
        <v>24000000</v>
      </c>
      <c r="R240" s="840">
        <f>+Tabla1[[#This Row],[FECHA FC]]+Tabla1[[#This Row],[PLAZO ENTREGA VALORES]]</f>
        <v>46126</v>
      </c>
      <c r="S240" s="840">
        <f>+Tabla1[[#This Row],[FECHA FC]]+Tabla1[[#This Row],[PLAZO PAGO (DIAS)]]</f>
        <v>46190</v>
      </c>
      <c r="T240" s="834">
        <f t="shared" ca="1" si="95"/>
        <v>9</v>
      </c>
      <c r="U240" s="831">
        <f>+Tabla1[[#This Row],[FECHA OC]]-Tabla1[[#This Row],[FECHA Entrega]]</f>
        <v>-64</v>
      </c>
      <c r="V240" s="831"/>
      <c r="W240" s="841">
        <f>+Tabla1[[#This Row],[FECHA VTO VALORES]]+7</f>
        <v>46197</v>
      </c>
      <c r="X240" s="831">
        <v>2381</v>
      </c>
      <c r="Y240" s="840">
        <v>46126</v>
      </c>
      <c r="Z240" s="842">
        <f>Tabla1[[#This Row],[KGS]]/50</f>
        <v>800</v>
      </c>
      <c r="AA24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40" s="844">
        <f>-Tabla1[[#This Row],[COSTO FLETE $ POR BOLSA 5O KG (SIN IVA)]]*1.21-Tabla1[[#This Row],[PRECIO $/ KG A PLAZO EN CLIENTE ( SIN IVA)]]*0.003*1.21*50</f>
        <v>0.14499999999999602</v>
      </c>
      <c r="AC240" s="845">
        <f>SUM(Tabla1[[#This Row],[PRECIO $ BOLSA 50 KG (IVA INC) ]]+Tabla1[[#This Row],[COSTO FLETE $ BOLSA 50 KG (IVA INC)]])</f>
        <v>30000.145</v>
      </c>
      <c r="AD240" s="844">
        <f>-Tabla1[[#This Row],[PRECIO $ BOLSA 50 KG (IVA INC) ]]*(Tabla1[[#This Row],[TASA FINANCIACION MENSUAL]]/365)*Tabla1[[#This Row],[PLAZO ENTREGA VALORES]]</f>
        <v>152.54794520547946</v>
      </c>
      <c r="AE240" s="845">
        <f>SUM(Tabla1[[#This Row],[PRECIO $ BOLSA50 KG  FOB TUCUMAN A PLAZO (IVA INC)]]+Tabla1[[#This Row],[GASTOS FINANCIEROS $ BOLSA 50 KG (IVA INC)]])</f>
        <v>30152.692945205479</v>
      </c>
      <c r="AF240" s="828" t="s">
        <v>359</v>
      </c>
      <c r="AG240" s="828" t="s">
        <v>365</v>
      </c>
      <c r="AH240" s="828" t="s">
        <v>387</v>
      </c>
      <c r="AI240" s="828" t="s">
        <v>391</v>
      </c>
      <c r="AJ24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40" s="846">
        <f>SUM(Tabla1[[#This Row],[PRECIO $ BOLSA 50KG  FOB CDO TUC (IVA INC)]]-Tabla1[[#This Row],[PRECIO REF $ BOLSA 50 KG CACTU (IVA INC)]])</f>
        <v>-5202.3070547945208</v>
      </c>
      <c r="AL240" s="847">
        <f>IFERROR(Tabla1[[#This Row],[PRECIO $ BOLSA 50KG  FOB CDO TUC (IVA INC)]]/Tabla1[[#This Row],[PRECIO REF $ BOLSA 50 KG CACTU (IVA INC)]]-1,"")</f>
        <v>-0.1471448749765103</v>
      </c>
      <c r="AM240" s="846">
        <f>+Tabla1[[#This Row],[DIF $ PRECIO NETO INDUSTRIA vs Neto TUCUMAN (IVA INC)]]*Tabla1[[#This Row],[Q Bolsas Equivalentes 50kg]]</f>
        <v>-4161845.6438356168</v>
      </c>
      <c r="AN240" s="846">
        <f>Tabla1[[#This Row],[PRECIO REF $ BOLSA 50 KG CACTU (IVA INC)]]*Tabla1[[#This Row],[Q Bolsas Equivalentes 50kg]]</f>
        <v>28284000</v>
      </c>
      <c r="AO240" s="846">
        <f>+Tabla1[[#This Row],[PRECIO $ BOLSA 50KG  FOB CDO TUC (IVA INC)]]*Tabla1[[#This Row],[Q Bolsas Equivalentes 50kg]]</f>
        <v>24122154.356164385</v>
      </c>
      <c r="AP240" s="847">
        <v>2.9000000000000001E-2</v>
      </c>
      <c r="AQ240" s="846">
        <v>-74.5</v>
      </c>
      <c r="AR240" s="828"/>
      <c r="AS240" s="849"/>
      <c r="AT240" s="923">
        <f>+Tabla1[[#This Row],[VENTA TOTAL $ (IVA INC) ]]-(SUM(Tabla1[[#This Row],[PENDIENTE DE ENTREGA]:[VALORES COBRADOS]]))</f>
        <v>0</v>
      </c>
      <c r="AU240" s="850">
        <f>VLOOKUP(Tabla1[[#This Row],[FECHA OC]],'TIPO DE CAMBIO'!A:B,2,TRUE)</f>
        <v>1358.5219999999999</v>
      </c>
      <c r="AV240" s="850">
        <f>+Tabla1[[#This Row],[SUBTOTAL]]/Tabla1[[#This Row],[TIPO DE CAMBIO]]</f>
        <v>14600.213131477925</v>
      </c>
      <c r="AW240" s="851"/>
      <c r="AX240" s="850">
        <f>IFERROR(Tabla1[[#This Row],[VENTA TOTAL USD A PLAZO EN CLIENTE  (SIN IVA)]]*(1+Tabla1[[#This Row],[% IVA ]]),"")</f>
        <v>14600.213131477925</v>
      </c>
      <c r="AY240" s="850">
        <f>+Tabla1[[#This Row],[VENTA TOTAL USD A PLAZO EN CLIENTE  (SIN IVA)]]/Tabla1[[#This Row],[KGS]]*1000</f>
        <v>365.00532828694816</v>
      </c>
      <c r="AZ240" s="850">
        <f>-Tabla1[[#This Row],[COSTO FLETE $ POR BOLSA 5O KG (SIN IVA)]]*20/Tabla1[[#This Row],[TIPO DE CAMBIO]]</f>
        <v>1.096780177280898</v>
      </c>
      <c r="BA240" s="850">
        <f>+Tabla1[[#This Row],[GASTOS FINANCIEROS $ BOLSA 50 KG (IVA INC)]]*20/Tabla1[[#This Row],[TIPO DE CAMBIO]]</f>
        <v>2.2457927837087581</v>
      </c>
      <c r="BB240" s="850">
        <f>+Tabla1[[#This Row],[PRECIO POR TN USD EN CLIENTE A PLAZO (SIN IVA)]]+Tabla1[[#This Row],[COSTO USD FLETE /TN (SIN IVA)]]+Tabla1[[#This Row],[COSTO FINANCIERO USD POR BOLSA 50KG (IVA INC)]]</f>
        <v>368.34790124793778</v>
      </c>
      <c r="BC240" s="828">
        <v>4</v>
      </c>
      <c r="BD240" s="944" t="s">
        <v>485</v>
      </c>
    </row>
    <row r="241" spans="1:56" ht="15.75" customHeight="1">
      <c r="A241" s="912">
        <v>46174</v>
      </c>
      <c r="B241" s="828">
        <v>1</v>
      </c>
      <c r="C241" s="792" t="s">
        <v>471</v>
      </c>
      <c r="D241" s="829">
        <f>+Tabla1[[#This Row],[FECHA Entrega]]</f>
        <v>46191</v>
      </c>
      <c r="E241" s="830">
        <v>2843</v>
      </c>
      <c r="F241" s="831" t="s">
        <v>448</v>
      </c>
      <c r="G241" s="832" t="s">
        <v>216</v>
      </c>
      <c r="H241" s="852">
        <v>46191</v>
      </c>
      <c r="I241" s="834">
        <f t="shared" si="93"/>
        <v>40000</v>
      </c>
      <c r="J241" s="835">
        <f t="shared" si="92"/>
        <v>495.86776859504135</v>
      </c>
      <c r="K241" s="836">
        <f t="shared" si="94"/>
        <v>19834710.743801653</v>
      </c>
      <c r="L24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41" s="837">
        <f t="shared" si="91"/>
        <v>24000000</v>
      </c>
      <c r="N241" s="838">
        <v>0</v>
      </c>
      <c r="O241" s="838">
        <v>0</v>
      </c>
      <c r="P241" s="838">
        <v>0</v>
      </c>
      <c r="Q241" s="839">
        <f>+Tabla1[[#This Row],[VENTA TOTAL $ (IVA INC) ]]-Tabla1[[#This Row],[PENDIENTE DE COBRO]]</f>
        <v>24000000</v>
      </c>
      <c r="R241" s="840">
        <f>+Tabla1[[#This Row],[FECHA FC]]+Tabla1[[#This Row],[PLAZO ENTREGA VALORES]]</f>
        <v>46126</v>
      </c>
      <c r="S241" s="840">
        <f>+Tabla1[[#This Row],[FECHA FC]]+Tabla1[[#This Row],[PLAZO PAGO (DIAS)]]</f>
        <v>46191</v>
      </c>
      <c r="T241" s="834">
        <f t="shared" ca="1" si="95"/>
        <v>10</v>
      </c>
      <c r="U241" s="831">
        <f>+Tabla1[[#This Row],[FECHA OC]]-Tabla1[[#This Row],[FECHA Entrega]]</f>
        <v>-65</v>
      </c>
      <c r="V241" s="831"/>
      <c r="W241" s="841">
        <f>+Tabla1[[#This Row],[FECHA VTO VALORES]]+7</f>
        <v>46198</v>
      </c>
      <c r="X241" s="831">
        <v>2381</v>
      </c>
      <c r="Y241" s="840">
        <v>46126</v>
      </c>
      <c r="Z241" s="842">
        <f>Tabla1[[#This Row],[KGS]]/50</f>
        <v>800</v>
      </c>
      <c r="AA24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41" s="844">
        <f>-Tabla1[[#This Row],[COSTO FLETE $ POR BOLSA 5O KG (SIN IVA)]]*1.21-Tabla1[[#This Row],[PRECIO $/ KG A PLAZO EN CLIENTE ( SIN IVA)]]*0.003*1.21*50</f>
        <v>0.14499999999999602</v>
      </c>
      <c r="AC241" s="845">
        <f>SUM(Tabla1[[#This Row],[PRECIO $ BOLSA 50 KG (IVA INC) ]]+Tabla1[[#This Row],[COSTO FLETE $ BOLSA 50 KG (IVA INC)]])</f>
        <v>30000.145</v>
      </c>
      <c r="AD241" s="844">
        <f>-Tabla1[[#This Row],[PRECIO $ BOLSA 50 KG (IVA INC) ]]*(Tabla1[[#This Row],[TASA FINANCIACION MENSUAL]]/365)*Tabla1[[#This Row],[PLAZO ENTREGA VALORES]]</f>
        <v>154.93150684931507</v>
      </c>
      <c r="AE241" s="845">
        <f>SUM(Tabla1[[#This Row],[PRECIO $ BOLSA50 KG  FOB TUCUMAN A PLAZO (IVA INC)]]+Tabla1[[#This Row],[GASTOS FINANCIEROS $ BOLSA 50 KG (IVA INC)]])</f>
        <v>30155.076506849317</v>
      </c>
      <c r="AF241" s="828" t="s">
        <v>359</v>
      </c>
      <c r="AG241" s="828" t="s">
        <v>365</v>
      </c>
      <c r="AH241" s="828" t="s">
        <v>387</v>
      </c>
      <c r="AI241" s="828" t="s">
        <v>391</v>
      </c>
      <c r="AJ24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41" s="846">
        <f>SUM(Tabla1[[#This Row],[PRECIO $ BOLSA 50KG  FOB CDO TUC (IVA INC)]]-Tabla1[[#This Row],[PRECIO REF $ BOLSA 50 KG CACTU (IVA INC)]])</f>
        <v>-5199.9234931506835</v>
      </c>
      <c r="AL241" s="847">
        <f>IFERROR(Tabla1[[#This Row],[PRECIO $ BOLSA 50KG  FOB CDO TUC (IVA INC)]]/Tabla1[[#This Row],[PRECIO REF $ BOLSA 50 KG CACTU (IVA INC)]]-1,"")</f>
        <v>-0.14707745702589969</v>
      </c>
      <c r="AM241" s="846">
        <f>+Tabla1[[#This Row],[DIF $ PRECIO NETO INDUSTRIA vs Neto TUCUMAN (IVA INC)]]*Tabla1[[#This Row],[Q Bolsas Equivalentes 50kg]]</f>
        <v>-4159938.7945205467</v>
      </c>
      <c r="AN241" s="846">
        <f>Tabla1[[#This Row],[PRECIO REF $ BOLSA 50 KG CACTU (IVA INC)]]*Tabla1[[#This Row],[Q Bolsas Equivalentes 50kg]]</f>
        <v>28284000</v>
      </c>
      <c r="AO241" s="846">
        <f>+Tabla1[[#This Row],[PRECIO $ BOLSA 50KG  FOB CDO TUC (IVA INC)]]*Tabla1[[#This Row],[Q Bolsas Equivalentes 50kg]]</f>
        <v>24124061.205479454</v>
      </c>
      <c r="AP241" s="847">
        <v>2.9000000000000001E-2</v>
      </c>
      <c r="AQ241" s="846">
        <v>-74.5</v>
      </c>
      <c r="AR241" s="828"/>
      <c r="AS241" s="849"/>
      <c r="AT241" s="923">
        <f>+Tabla1[[#This Row],[VENTA TOTAL $ (IVA INC) ]]-(SUM(Tabla1[[#This Row],[PENDIENTE DE ENTREGA]:[VALORES COBRADOS]]))</f>
        <v>0</v>
      </c>
      <c r="AU241" s="850">
        <f>VLOOKUP(Tabla1[[#This Row],[FECHA OC]],'TIPO DE CAMBIO'!A:B,2,TRUE)</f>
        <v>1358.5219999999999</v>
      </c>
      <c r="AV241" s="850">
        <f>+Tabla1[[#This Row],[SUBTOTAL]]/Tabla1[[#This Row],[TIPO DE CAMBIO]]</f>
        <v>14600.213131477925</v>
      </c>
      <c r="AW241" s="851"/>
      <c r="AX241" s="850">
        <f>IFERROR(Tabla1[[#This Row],[VENTA TOTAL USD A PLAZO EN CLIENTE  (SIN IVA)]]*(1+Tabla1[[#This Row],[% IVA ]]),"")</f>
        <v>14600.213131477925</v>
      </c>
      <c r="AY241" s="850">
        <f>+Tabla1[[#This Row],[VENTA TOTAL USD A PLAZO EN CLIENTE  (SIN IVA)]]/Tabla1[[#This Row],[KGS]]*1000</f>
        <v>365.00532828694816</v>
      </c>
      <c r="AZ241" s="850">
        <f>-Tabla1[[#This Row],[COSTO FLETE $ POR BOLSA 5O KG (SIN IVA)]]*20/Tabla1[[#This Row],[TIPO DE CAMBIO]]</f>
        <v>1.096780177280898</v>
      </c>
      <c r="BA241" s="850">
        <f>+Tabla1[[#This Row],[GASTOS FINANCIEROS $ BOLSA 50 KG (IVA INC)]]*20/Tabla1[[#This Row],[TIPO DE CAMBIO]]</f>
        <v>2.2808832959542071</v>
      </c>
      <c r="BB241" s="850">
        <f>+Tabla1[[#This Row],[PRECIO POR TN USD EN CLIENTE A PLAZO (SIN IVA)]]+Tabla1[[#This Row],[COSTO USD FLETE /TN (SIN IVA)]]+Tabla1[[#This Row],[COSTO FINANCIERO USD POR BOLSA 50KG (IVA INC)]]</f>
        <v>368.38299176018324</v>
      </c>
      <c r="BC241" s="828">
        <v>4</v>
      </c>
      <c r="BD241" s="944" t="s">
        <v>485</v>
      </c>
    </row>
    <row r="242" spans="1:56" ht="15.75" customHeight="1">
      <c r="A242" s="912">
        <v>46174</v>
      </c>
      <c r="B242" s="828">
        <v>1</v>
      </c>
      <c r="C242" s="792" t="s">
        <v>471</v>
      </c>
      <c r="D242" s="829">
        <f>+Tabla1[[#This Row],[FECHA Entrega]]</f>
        <v>46192</v>
      </c>
      <c r="E242" s="830">
        <v>2843</v>
      </c>
      <c r="F242" s="831" t="s">
        <v>448</v>
      </c>
      <c r="G242" s="832" t="s">
        <v>216</v>
      </c>
      <c r="H242" s="852">
        <v>46192</v>
      </c>
      <c r="I242" s="834">
        <f t="shared" si="93"/>
        <v>40000</v>
      </c>
      <c r="J242" s="835">
        <f t="shared" si="92"/>
        <v>495.86776859504135</v>
      </c>
      <c r="K242" s="836">
        <f t="shared" ref="K242:K265" si="96">+J242*I242</f>
        <v>19834710.743801653</v>
      </c>
      <c r="L24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42" s="837">
        <f t="shared" si="91"/>
        <v>24000000</v>
      </c>
      <c r="N242" s="838">
        <v>0</v>
      </c>
      <c r="O242" s="838">
        <v>0</v>
      </c>
      <c r="P242" s="838">
        <v>0</v>
      </c>
      <c r="Q242" s="839">
        <f>+Tabla1[[#This Row],[VENTA TOTAL $ (IVA INC) ]]-Tabla1[[#This Row],[PENDIENTE DE COBRO]]</f>
        <v>24000000</v>
      </c>
      <c r="R242" s="840">
        <f>+Tabla1[[#This Row],[FECHA FC]]+Tabla1[[#This Row],[PLAZO ENTREGA VALORES]]</f>
        <v>46126</v>
      </c>
      <c r="S242" s="840">
        <f>+Tabla1[[#This Row],[FECHA FC]]+Tabla1[[#This Row],[PLAZO PAGO (DIAS)]]</f>
        <v>46192</v>
      </c>
      <c r="T242" s="834">
        <f t="shared" ref="T242:T265" ca="1" si="97">+S242-$U$2</f>
        <v>11</v>
      </c>
      <c r="U242" s="831">
        <f>+Tabla1[[#This Row],[FECHA OC]]-Tabla1[[#This Row],[FECHA Entrega]]</f>
        <v>-66</v>
      </c>
      <c r="V242" s="831"/>
      <c r="W242" s="841">
        <f>+Tabla1[[#This Row],[FECHA VTO VALORES]]+7</f>
        <v>46199</v>
      </c>
      <c r="X242" s="831">
        <v>2381</v>
      </c>
      <c r="Y242" s="840">
        <v>46126</v>
      </c>
      <c r="Z242" s="842">
        <f>Tabla1[[#This Row],[KGS]]/50</f>
        <v>800</v>
      </c>
      <c r="AA24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42" s="844">
        <f>-Tabla1[[#This Row],[COSTO FLETE $ POR BOLSA 5O KG (SIN IVA)]]*1.21-Tabla1[[#This Row],[PRECIO $/ KG A PLAZO EN CLIENTE ( SIN IVA)]]*0.003*1.21*50</f>
        <v>0.14499999999999602</v>
      </c>
      <c r="AC242" s="845">
        <f>SUM(Tabla1[[#This Row],[PRECIO $ BOLSA 50 KG (IVA INC) ]]+Tabla1[[#This Row],[COSTO FLETE $ BOLSA 50 KG (IVA INC)]])</f>
        <v>30000.145</v>
      </c>
      <c r="AD242" s="844">
        <f>-Tabla1[[#This Row],[PRECIO $ BOLSA 50 KG (IVA INC) ]]*(Tabla1[[#This Row],[TASA FINANCIACION MENSUAL]]/365)*Tabla1[[#This Row],[PLAZO ENTREGA VALORES]]</f>
        <v>157.3150684931507</v>
      </c>
      <c r="AE242" s="845">
        <f>SUM(Tabla1[[#This Row],[PRECIO $ BOLSA50 KG  FOB TUCUMAN A PLAZO (IVA INC)]]+Tabla1[[#This Row],[GASTOS FINANCIEROS $ BOLSA 50 KG (IVA INC)]])</f>
        <v>30157.46006849315</v>
      </c>
      <c r="AF242" s="828" t="s">
        <v>359</v>
      </c>
      <c r="AG242" s="828" t="s">
        <v>365</v>
      </c>
      <c r="AH242" s="828" t="s">
        <v>387</v>
      </c>
      <c r="AI242" s="828" t="s">
        <v>391</v>
      </c>
      <c r="AJ24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42" s="846">
        <f>SUM(Tabla1[[#This Row],[PRECIO $ BOLSA 50KG  FOB CDO TUC (IVA INC)]]-Tabla1[[#This Row],[PRECIO REF $ BOLSA 50 KG CACTU (IVA INC)]])</f>
        <v>-5197.5399315068498</v>
      </c>
      <c r="AL242" s="847">
        <f>IFERROR(Tabla1[[#This Row],[PRECIO $ BOLSA 50KG  FOB CDO TUC (IVA INC)]]/Tabla1[[#This Row],[PRECIO REF $ BOLSA 50 KG CACTU (IVA INC)]]-1,"")</f>
        <v>-0.1470100390752892</v>
      </c>
      <c r="AM242" s="846">
        <f>+Tabla1[[#This Row],[DIF $ PRECIO NETO INDUSTRIA vs Neto TUCUMAN (IVA INC)]]*Tabla1[[#This Row],[Q Bolsas Equivalentes 50kg]]</f>
        <v>-4158031.9452054799</v>
      </c>
      <c r="AN242" s="846">
        <f>Tabla1[[#This Row],[PRECIO REF $ BOLSA 50 KG CACTU (IVA INC)]]*Tabla1[[#This Row],[Q Bolsas Equivalentes 50kg]]</f>
        <v>28284000</v>
      </c>
      <c r="AO242" s="846">
        <f>+Tabla1[[#This Row],[PRECIO $ BOLSA 50KG  FOB CDO TUC (IVA INC)]]*Tabla1[[#This Row],[Q Bolsas Equivalentes 50kg]]</f>
        <v>24125968.05479452</v>
      </c>
      <c r="AP242" s="847">
        <v>2.9000000000000001E-2</v>
      </c>
      <c r="AQ242" s="846">
        <v>-74.5</v>
      </c>
      <c r="AR242" s="828"/>
      <c r="AS242" s="849"/>
      <c r="AT242" s="923">
        <f>+Tabla1[[#This Row],[VENTA TOTAL $ (IVA INC) ]]-(SUM(Tabla1[[#This Row],[PENDIENTE DE ENTREGA]:[VALORES COBRADOS]]))</f>
        <v>0</v>
      </c>
      <c r="AU242" s="850">
        <f>VLOOKUP(Tabla1[[#This Row],[FECHA OC]],'TIPO DE CAMBIO'!A:B,2,TRUE)</f>
        <v>1358.5219999999999</v>
      </c>
      <c r="AV242" s="850">
        <f>+Tabla1[[#This Row],[SUBTOTAL]]/Tabla1[[#This Row],[TIPO DE CAMBIO]]</f>
        <v>14600.213131477925</v>
      </c>
      <c r="AW242" s="851"/>
      <c r="AX242" s="850">
        <f>IFERROR(Tabla1[[#This Row],[VENTA TOTAL USD A PLAZO EN CLIENTE  (SIN IVA)]]*(1+Tabla1[[#This Row],[% IVA ]]),"")</f>
        <v>14600.213131477925</v>
      </c>
      <c r="AY242" s="850">
        <f>+Tabla1[[#This Row],[VENTA TOTAL USD A PLAZO EN CLIENTE  (SIN IVA)]]/Tabla1[[#This Row],[KGS]]*1000</f>
        <v>365.00532828694816</v>
      </c>
      <c r="AZ242" s="850">
        <f>-Tabla1[[#This Row],[COSTO FLETE $ POR BOLSA 5O KG (SIN IVA)]]*20/Tabla1[[#This Row],[TIPO DE CAMBIO]]</f>
        <v>1.096780177280898</v>
      </c>
      <c r="BA242" s="850">
        <f>+Tabla1[[#This Row],[GASTOS FINANCIEROS $ BOLSA 50 KG (IVA INC)]]*20/Tabla1[[#This Row],[TIPO DE CAMBIO]]</f>
        <v>2.3159738081996566</v>
      </c>
      <c r="BB242" s="850">
        <f>+Tabla1[[#This Row],[PRECIO POR TN USD EN CLIENTE A PLAZO (SIN IVA)]]+Tabla1[[#This Row],[COSTO USD FLETE /TN (SIN IVA)]]+Tabla1[[#This Row],[COSTO FINANCIERO USD POR BOLSA 50KG (IVA INC)]]</f>
        <v>368.41808227242871</v>
      </c>
      <c r="BC242" s="828">
        <v>4</v>
      </c>
      <c r="BD242" s="944" t="s">
        <v>485</v>
      </c>
    </row>
    <row r="243" spans="1:56" ht="15.75" customHeight="1">
      <c r="A243" s="912">
        <v>46174</v>
      </c>
      <c r="B243" s="828">
        <v>1</v>
      </c>
      <c r="C243" s="792" t="s">
        <v>471</v>
      </c>
      <c r="D243" s="829">
        <f>+Tabla1[[#This Row],[FECHA Entrega]]</f>
        <v>46193</v>
      </c>
      <c r="E243" s="830">
        <v>2843</v>
      </c>
      <c r="F243" s="831" t="s">
        <v>448</v>
      </c>
      <c r="G243" s="832" t="s">
        <v>216</v>
      </c>
      <c r="H243" s="852">
        <v>46193</v>
      </c>
      <c r="I243" s="834">
        <f t="shared" si="93"/>
        <v>40000</v>
      </c>
      <c r="J243" s="835">
        <f t="shared" si="92"/>
        <v>495.86776859504135</v>
      </c>
      <c r="K243" s="836">
        <f t="shared" si="96"/>
        <v>19834710.743801653</v>
      </c>
      <c r="L24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43" s="837">
        <f t="shared" si="91"/>
        <v>24000000</v>
      </c>
      <c r="N243" s="838">
        <v>0</v>
      </c>
      <c r="O243" s="838">
        <v>0</v>
      </c>
      <c r="P243" s="838">
        <v>0</v>
      </c>
      <c r="Q243" s="839">
        <f>+Tabla1[[#This Row],[VENTA TOTAL $ (IVA INC) ]]-Tabla1[[#This Row],[PENDIENTE DE COBRO]]</f>
        <v>24000000</v>
      </c>
      <c r="R243" s="840">
        <f>+Tabla1[[#This Row],[FECHA FC]]+Tabla1[[#This Row],[PLAZO ENTREGA VALORES]]</f>
        <v>46126</v>
      </c>
      <c r="S243" s="840">
        <f>+Tabla1[[#This Row],[FECHA FC]]+Tabla1[[#This Row],[PLAZO PAGO (DIAS)]]</f>
        <v>46193</v>
      </c>
      <c r="T243" s="834">
        <f t="shared" ca="1" si="97"/>
        <v>12</v>
      </c>
      <c r="U243" s="831">
        <f>+Tabla1[[#This Row],[FECHA OC]]-Tabla1[[#This Row],[FECHA Entrega]]</f>
        <v>-67</v>
      </c>
      <c r="V243" s="831"/>
      <c r="W243" s="841">
        <f>+Tabla1[[#This Row],[FECHA VTO VALORES]]+7</f>
        <v>46200</v>
      </c>
      <c r="X243" s="831">
        <v>2381</v>
      </c>
      <c r="Y243" s="840">
        <v>46126</v>
      </c>
      <c r="Z243" s="842">
        <f>Tabla1[[#This Row],[KGS]]/50</f>
        <v>800</v>
      </c>
      <c r="AA24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43" s="844">
        <f>-Tabla1[[#This Row],[COSTO FLETE $ POR BOLSA 5O KG (SIN IVA)]]*1.21-Tabla1[[#This Row],[PRECIO $/ KG A PLAZO EN CLIENTE ( SIN IVA)]]*0.003*1.21*50</f>
        <v>0.14499999999999602</v>
      </c>
      <c r="AC243" s="845">
        <f>SUM(Tabla1[[#This Row],[PRECIO $ BOLSA 50 KG (IVA INC) ]]+Tabla1[[#This Row],[COSTO FLETE $ BOLSA 50 KG (IVA INC)]])</f>
        <v>30000.145</v>
      </c>
      <c r="AD243" s="844">
        <f>-Tabla1[[#This Row],[PRECIO $ BOLSA 50 KG (IVA INC) ]]*(Tabla1[[#This Row],[TASA FINANCIACION MENSUAL]]/365)*Tabla1[[#This Row],[PLAZO ENTREGA VALORES]]</f>
        <v>159.69863013698631</v>
      </c>
      <c r="AE243" s="845">
        <f>SUM(Tabla1[[#This Row],[PRECIO $ BOLSA50 KG  FOB TUCUMAN A PLAZO (IVA INC)]]+Tabla1[[#This Row],[GASTOS FINANCIEROS $ BOLSA 50 KG (IVA INC)]])</f>
        <v>30159.843630136987</v>
      </c>
      <c r="AF243" s="828" t="s">
        <v>359</v>
      </c>
      <c r="AG243" s="828" t="s">
        <v>365</v>
      </c>
      <c r="AH243" s="828" t="s">
        <v>387</v>
      </c>
      <c r="AI243" s="828" t="s">
        <v>391</v>
      </c>
      <c r="AJ24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43" s="846">
        <f>SUM(Tabla1[[#This Row],[PRECIO $ BOLSA 50KG  FOB CDO TUC (IVA INC)]]-Tabla1[[#This Row],[PRECIO REF $ BOLSA 50 KG CACTU (IVA INC)]])</f>
        <v>-5195.1563698630125</v>
      </c>
      <c r="AL243" s="847">
        <f>IFERROR(Tabla1[[#This Row],[PRECIO $ BOLSA 50KG  FOB CDO TUC (IVA INC)]]/Tabla1[[#This Row],[PRECIO REF $ BOLSA 50 KG CACTU (IVA INC)]]-1,"")</f>
        <v>-0.1469426211246786</v>
      </c>
      <c r="AM243" s="846">
        <f>+Tabla1[[#This Row],[DIF $ PRECIO NETO INDUSTRIA vs Neto TUCUMAN (IVA INC)]]*Tabla1[[#This Row],[Q Bolsas Equivalentes 50kg]]</f>
        <v>-4156125.0958904102</v>
      </c>
      <c r="AN243" s="846">
        <f>Tabla1[[#This Row],[PRECIO REF $ BOLSA 50 KG CACTU (IVA INC)]]*Tabla1[[#This Row],[Q Bolsas Equivalentes 50kg]]</f>
        <v>28284000</v>
      </c>
      <c r="AO243" s="846">
        <f>+Tabla1[[#This Row],[PRECIO $ BOLSA 50KG  FOB CDO TUC (IVA INC)]]*Tabla1[[#This Row],[Q Bolsas Equivalentes 50kg]]</f>
        <v>24127874.90410959</v>
      </c>
      <c r="AP243" s="847">
        <v>2.9000000000000001E-2</v>
      </c>
      <c r="AQ243" s="846">
        <v>-74.5</v>
      </c>
      <c r="AR243" s="828"/>
      <c r="AS243" s="849"/>
      <c r="AT243" s="923">
        <f>+Tabla1[[#This Row],[VENTA TOTAL $ (IVA INC) ]]-(SUM(Tabla1[[#This Row],[PENDIENTE DE ENTREGA]:[VALORES COBRADOS]]))</f>
        <v>0</v>
      </c>
      <c r="AU243" s="850">
        <f>VLOOKUP(Tabla1[[#This Row],[FECHA OC]],'TIPO DE CAMBIO'!A:B,2,TRUE)</f>
        <v>1358.5219999999999</v>
      </c>
      <c r="AV243" s="850">
        <f>+Tabla1[[#This Row],[SUBTOTAL]]/Tabla1[[#This Row],[TIPO DE CAMBIO]]</f>
        <v>14600.213131477925</v>
      </c>
      <c r="AW243" s="851"/>
      <c r="AX243" s="850">
        <f>IFERROR(Tabla1[[#This Row],[VENTA TOTAL USD A PLAZO EN CLIENTE  (SIN IVA)]]*(1+Tabla1[[#This Row],[% IVA ]]),"")</f>
        <v>14600.213131477925</v>
      </c>
      <c r="AY243" s="850">
        <f>+Tabla1[[#This Row],[VENTA TOTAL USD A PLAZO EN CLIENTE  (SIN IVA)]]/Tabla1[[#This Row],[KGS]]*1000</f>
        <v>365.00532828694816</v>
      </c>
      <c r="AZ243" s="850">
        <f>-Tabla1[[#This Row],[COSTO FLETE $ POR BOLSA 5O KG (SIN IVA)]]*20/Tabla1[[#This Row],[TIPO DE CAMBIO]]</f>
        <v>1.096780177280898</v>
      </c>
      <c r="BA243" s="850">
        <f>+Tabla1[[#This Row],[GASTOS FINANCIEROS $ BOLSA 50 KG (IVA INC)]]*20/Tabla1[[#This Row],[TIPO DE CAMBIO]]</f>
        <v>2.351064320445106</v>
      </c>
      <c r="BB243" s="850">
        <f>+Tabla1[[#This Row],[PRECIO POR TN USD EN CLIENTE A PLAZO (SIN IVA)]]+Tabla1[[#This Row],[COSTO USD FLETE /TN (SIN IVA)]]+Tabla1[[#This Row],[COSTO FINANCIERO USD POR BOLSA 50KG (IVA INC)]]</f>
        <v>368.45317278467417</v>
      </c>
      <c r="BC243" s="828">
        <v>4</v>
      </c>
      <c r="BD243" s="944" t="s">
        <v>485</v>
      </c>
    </row>
    <row r="244" spans="1:56" ht="15.75" customHeight="1">
      <c r="A244" s="912">
        <v>46174</v>
      </c>
      <c r="B244" s="828">
        <v>1</v>
      </c>
      <c r="C244" s="792" t="s">
        <v>471</v>
      </c>
      <c r="D244" s="829">
        <f>+Tabla1[[#This Row],[FECHA Entrega]]</f>
        <v>46194</v>
      </c>
      <c r="E244" s="830">
        <v>2843</v>
      </c>
      <c r="F244" s="831" t="s">
        <v>448</v>
      </c>
      <c r="G244" s="832" t="s">
        <v>216</v>
      </c>
      <c r="H244" s="852">
        <v>46194</v>
      </c>
      <c r="I244" s="834">
        <f t="shared" si="93"/>
        <v>40000</v>
      </c>
      <c r="J244" s="835">
        <f t="shared" si="92"/>
        <v>495.86776859504135</v>
      </c>
      <c r="K244" s="836">
        <f t="shared" si="96"/>
        <v>19834710.743801653</v>
      </c>
      <c r="L24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44" s="837">
        <f t="shared" si="91"/>
        <v>24000000</v>
      </c>
      <c r="N244" s="838">
        <v>0</v>
      </c>
      <c r="O244" s="838">
        <v>0</v>
      </c>
      <c r="P244" s="838">
        <v>0</v>
      </c>
      <c r="Q244" s="839">
        <f>+Tabla1[[#This Row],[VENTA TOTAL $ (IVA INC) ]]-Tabla1[[#This Row],[PENDIENTE DE COBRO]]</f>
        <v>24000000</v>
      </c>
      <c r="R244" s="840">
        <f>+Tabla1[[#This Row],[FECHA FC]]+Tabla1[[#This Row],[PLAZO ENTREGA VALORES]]</f>
        <v>46126</v>
      </c>
      <c r="S244" s="840">
        <f>+Tabla1[[#This Row],[FECHA FC]]+Tabla1[[#This Row],[PLAZO PAGO (DIAS)]]</f>
        <v>46194</v>
      </c>
      <c r="T244" s="834">
        <f t="shared" ca="1" si="97"/>
        <v>13</v>
      </c>
      <c r="U244" s="831">
        <f>+Tabla1[[#This Row],[FECHA OC]]-Tabla1[[#This Row],[FECHA Entrega]]</f>
        <v>-68</v>
      </c>
      <c r="V244" s="831"/>
      <c r="W244" s="841">
        <f>+Tabla1[[#This Row],[FECHA VTO VALORES]]+7</f>
        <v>46201</v>
      </c>
      <c r="X244" s="831">
        <v>2381</v>
      </c>
      <c r="Y244" s="840">
        <v>46126</v>
      </c>
      <c r="Z244" s="842">
        <f>Tabla1[[#This Row],[KGS]]/50</f>
        <v>800</v>
      </c>
      <c r="AA24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44" s="844">
        <f>-Tabla1[[#This Row],[COSTO FLETE $ POR BOLSA 5O KG (SIN IVA)]]*1.21-Tabla1[[#This Row],[PRECIO $/ KG A PLAZO EN CLIENTE ( SIN IVA)]]*0.003*1.21*50</f>
        <v>0.14499999999999602</v>
      </c>
      <c r="AC244" s="845">
        <f>SUM(Tabla1[[#This Row],[PRECIO $ BOLSA 50 KG (IVA INC) ]]+Tabla1[[#This Row],[COSTO FLETE $ BOLSA 50 KG (IVA INC)]])</f>
        <v>30000.145</v>
      </c>
      <c r="AD244" s="844">
        <f>-Tabla1[[#This Row],[PRECIO $ BOLSA 50 KG (IVA INC) ]]*(Tabla1[[#This Row],[TASA FINANCIACION MENSUAL]]/365)*Tabla1[[#This Row],[PLAZO ENTREGA VALORES]]</f>
        <v>162.08219178082194</v>
      </c>
      <c r="AE244" s="845">
        <f>SUM(Tabla1[[#This Row],[PRECIO $ BOLSA50 KG  FOB TUCUMAN A PLAZO (IVA INC)]]+Tabla1[[#This Row],[GASTOS FINANCIEROS $ BOLSA 50 KG (IVA INC)]])</f>
        <v>30162.227191780821</v>
      </c>
      <c r="AF244" s="828" t="s">
        <v>359</v>
      </c>
      <c r="AG244" s="828" t="s">
        <v>365</v>
      </c>
      <c r="AH244" s="828" t="s">
        <v>387</v>
      </c>
      <c r="AI244" s="828" t="s">
        <v>391</v>
      </c>
      <c r="AJ24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44" s="846">
        <f>SUM(Tabla1[[#This Row],[PRECIO $ BOLSA 50KG  FOB CDO TUC (IVA INC)]]-Tabla1[[#This Row],[PRECIO REF $ BOLSA 50 KG CACTU (IVA INC)]])</f>
        <v>-5192.7728082191788</v>
      </c>
      <c r="AL244" s="847">
        <f>IFERROR(Tabla1[[#This Row],[PRECIO $ BOLSA 50KG  FOB CDO TUC (IVA INC)]]/Tabla1[[#This Row],[PRECIO REF $ BOLSA 50 KG CACTU (IVA INC)]]-1,"")</f>
        <v>-0.1468752031740681</v>
      </c>
      <c r="AM244" s="846">
        <f>+Tabla1[[#This Row],[DIF $ PRECIO NETO INDUSTRIA vs Neto TUCUMAN (IVA INC)]]*Tabla1[[#This Row],[Q Bolsas Equivalentes 50kg]]</f>
        <v>-4154218.246575343</v>
      </c>
      <c r="AN244" s="846">
        <f>Tabla1[[#This Row],[PRECIO REF $ BOLSA 50 KG CACTU (IVA INC)]]*Tabla1[[#This Row],[Q Bolsas Equivalentes 50kg]]</f>
        <v>28284000</v>
      </c>
      <c r="AO244" s="846">
        <f>+Tabla1[[#This Row],[PRECIO $ BOLSA 50KG  FOB CDO TUC (IVA INC)]]*Tabla1[[#This Row],[Q Bolsas Equivalentes 50kg]]</f>
        <v>24129781.753424656</v>
      </c>
      <c r="AP244" s="847">
        <v>2.9000000000000001E-2</v>
      </c>
      <c r="AQ244" s="846">
        <v>-74.5</v>
      </c>
      <c r="AR244" s="828"/>
      <c r="AS244" s="849"/>
      <c r="AT244" s="923">
        <f>+Tabla1[[#This Row],[VENTA TOTAL $ (IVA INC) ]]-(SUM(Tabla1[[#This Row],[PENDIENTE DE ENTREGA]:[VALORES COBRADOS]]))</f>
        <v>0</v>
      </c>
      <c r="AU244" s="850">
        <f>VLOOKUP(Tabla1[[#This Row],[FECHA OC]],'TIPO DE CAMBIO'!A:B,2,TRUE)</f>
        <v>1358.5219999999999</v>
      </c>
      <c r="AV244" s="850">
        <f>+Tabla1[[#This Row],[SUBTOTAL]]/Tabla1[[#This Row],[TIPO DE CAMBIO]]</f>
        <v>14600.213131477925</v>
      </c>
      <c r="AW244" s="851"/>
      <c r="AX244" s="850">
        <f>IFERROR(Tabla1[[#This Row],[VENTA TOTAL USD A PLAZO EN CLIENTE  (SIN IVA)]]*(1+Tabla1[[#This Row],[% IVA ]]),"")</f>
        <v>14600.213131477925</v>
      </c>
      <c r="AY244" s="850">
        <f>+Tabla1[[#This Row],[VENTA TOTAL USD A PLAZO EN CLIENTE  (SIN IVA)]]/Tabla1[[#This Row],[KGS]]*1000</f>
        <v>365.00532828694816</v>
      </c>
      <c r="AZ244" s="850">
        <f>-Tabla1[[#This Row],[COSTO FLETE $ POR BOLSA 5O KG (SIN IVA)]]*20/Tabla1[[#This Row],[TIPO DE CAMBIO]]</f>
        <v>1.096780177280898</v>
      </c>
      <c r="BA244" s="850">
        <f>+Tabla1[[#This Row],[GASTOS FINANCIEROS $ BOLSA 50 KG (IVA INC)]]*20/Tabla1[[#This Row],[TIPO DE CAMBIO]]</f>
        <v>2.3861548326905559</v>
      </c>
      <c r="BB244" s="850">
        <f>+Tabla1[[#This Row],[PRECIO POR TN USD EN CLIENTE A PLAZO (SIN IVA)]]+Tabla1[[#This Row],[COSTO USD FLETE /TN (SIN IVA)]]+Tabla1[[#This Row],[COSTO FINANCIERO USD POR BOLSA 50KG (IVA INC)]]</f>
        <v>368.48826329691963</v>
      </c>
      <c r="BC244" s="828">
        <v>4</v>
      </c>
      <c r="BD244" s="944" t="s">
        <v>485</v>
      </c>
    </row>
    <row r="245" spans="1:56" ht="15.75" customHeight="1">
      <c r="A245" s="912">
        <v>46174</v>
      </c>
      <c r="B245" s="828">
        <v>1</v>
      </c>
      <c r="C245" s="792" t="s">
        <v>471</v>
      </c>
      <c r="D245" s="829">
        <f>+Tabla1[[#This Row],[FECHA Entrega]]</f>
        <v>46195</v>
      </c>
      <c r="E245" s="830">
        <v>2843</v>
      </c>
      <c r="F245" s="831" t="s">
        <v>448</v>
      </c>
      <c r="G245" s="832" t="s">
        <v>216</v>
      </c>
      <c r="H245" s="852">
        <v>46195</v>
      </c>
      <c r="I245" s="834">
        <f t="shared" si="93"/>
        <v>40000</v>
      </c>
      <c r="J245" s="835">
        <f t="shared" si="92"/>
        <v>495.86776859504135</v>
      </c>
      <c r="K245" s="836">
        <f t="shared" si="96"/>
        <v>19834710.743801653</v>
      </c>
      <c r="L24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45" s="837">
        <f t="shared" si="91"/>
        <v>24000000</v>
      </c>
      <c r="N245" s="838">
        <v>0</v>
      </c>
      <c r="O245" s="838">
        <v>0</v>
      </c>
      <c r="P245" s="838">
        <v>0</v>
      </c>
      <c r="Q245" s="839">
        <f>+Tabla1[[#This Row],[VENTA TOTAL $ (IVA INC) ]]-Tabla1[[#This Row],[PENDIENTE DE COBRO]]</f>
        <v>24000000</v>
      </c>
      <c r="R245" s="840">
        <f>+Tabla1[[#This Row],[FECHA FC]]+Tabla1[[#This Row],[PLAZO ENTREGA VALORES]]</f>
        <v>46126</v>
      </c>
      <c r="S245" s="840">
        <f>+Tabla1[[#This Row],[FECHA FC]]+Tabla1[[#This Row],[PLAZO PAGO (DIAS)]]</f>
        <v>46195</v>
      </c>
      <c r="T245" s="834">
        <f t="shared" ca="1" si="97"/>
        <v>14</v>
      </c>
      <c r="U245" s="831">
        <f>+Tabla1[[#This Row],[FECHA OC]]-Tabla1[[#This Row],[FECHA Entrega]]</f>
        <v>-69</v>
      </c>
      <c r="V245" s="831"/>
      <c r="W245" s="841">
        <f>+Tabla1[[#This Row],[FECHA VTO VALORES]]+7</f>
        <v>46202</v>
      </c>
      <c r="X245" s="831">
        <v>2381</v>
      </c>
      <c r="Y245" s="840">
        <v>46126</v>
      </c>
      <c r="Z245" s="842">
        <f>Tabla1[[#This Row],[KGS]]/50</f>
        <v>800</v>
      </c>
      <c r="AA24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45" s="844">
        <f>-Tabla1[[#This Row],[COSTO FLETE $ POR BOLSA 5O KG (SIN IVA)]]*1.21-Tabla1[[#This Row],[PRECIO $/ KG A PLAZO EN CLIENTE ( SIN IVA)]]*0.003*1.21*50</f>
        <v>0.14499999999999602</v>
      </c>
      <c r="AC245" s="845">
        <f>SUM(Tabla1[[#This Row],[PRECIO $ BOLSA 50 KG (IVA INC) ]]+Tabla1[[#This Row],[COSTO FLETE $ BOLSA 50 KG (IVA INC)]])</f>
        <v>30000.145</v>
      </c>
      <c r="AD245" s="844">
        <f>-Tabla1[[#This Row],[PRECIO $ BOLSA 50 KG (IVA INC) ]]*(Tabla1[[#This Row],[TASA FINANCIACION MENSUAL]]/365)*Tabla1[[#This Row],[PLAZO ENTREGA VALORES]]</f>
        <v>164.46575342465755</v>
      </c>
      <c r="AE245" s="845">
        <f>SUM(Tabla1[[#This Row],[PRECIO $ BOLSA50 KG  FOB TUCUMAN A PLAZO (IVA INC)]]+Tabla1[[#This Row],[GASTOS FINANCIEROS $ BOLSA 50 KG (IVA INC)]])</f>
        <v>30164.610753424658</v>
      </c>
      <c r="AF245" s="828" t="s">
        <v>359</v>
      </c>
      <c r="AG245" s="828" t="s">
        <v>365</v>
      </c>
      <c r="AH245" s="828" t="s">
        <v>387</v>
      </c>
      <c r="AI245" s="828" t="s">
        <v>391</v>
      </c>
      <c r="AJ24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45" s="846">
        <f>SUM(Tabla1[[#This Row],[PRECIO $ BOLSA 50KG  FOB CDO TUC (IVA INC)]]-Tabla1[[#This Row],[PRECIO REF $ BOLSA 50 KG CACTU (IVA INC)]])</f>
        <v>-5190.3892465753415</v>
      </c>
      <c r="AL245" s="847">
        <f>IFERROR(Tabla1[[#This Row],[PRECIO $ BOLSA 50KG  FOB CDO TUC (IVA INC)]]/Tabla1[[#This Row],[PRECIO REF $ BOLSA 50 KG CACTU (IVA INC)]]-1,"")</f>
        <v>-0.1468077852234575</v>
      </c>
      <c r="AM245" s="846">
        <f>+Tabla1[[#This Row],[DIF $ PRECIO NETO INDUSTRIA vs Neto TUCUMAN (IVA INC)]]*Tabla1[[#This Row],[Q Bolsas Equivalentes 50kg]]</f>
        <v>-4152311.3972602733</v>
      </c>
      <c r="AN245" s="846">
        <f>Tabla1[[#This Row],[PRECIO REF $ BOLSA 50 KG CACTU (IVA INC)]]*Tabla1[[#This Row],[Q Bolsas Equivalentes 50kg]]</f>
        <v>28284000</v>
      </c>
      <c r="AO245" s="846">
        <f>+Tabla1[[#This Row],[PRECIO $ BOLSA 50KG  FOB CDO TUC (IVA INC)]]*Tabla1[[#This Row],[Q Bolsas Equivalentes 50kg]]</f>
        <v>24131688.602739725</v>
      </c>
      <c r="AP245" s="847">
        <v>2.9000000000000001E-2</v>
      </c>
      <c r="AQ245" s="846">
        <v>-74.5</v>
      </c>
      <c r="AR245" s="828"/>
      <c r="AS245" s="849"/>
      <c r="AT245" s="923">
        <f>+Tabla1[[#This Row],[VENTA TOTAL $ (IVA INC) ]]-(SUM(Tabla1[[#This Row],[PENDIENTE DE ENTREGA]:[VALORES COBRADOS]]))</f>
        <v>0</v>
      </c>
      <c r="AU245" s="850">
        <f>VLOOKUP(Tabla1[[#This Row],[FECHA OC]],'TIPO DE CAMBIO'!A:B,2,TRUE)</f>
        <v>1358.5219999999999</v>
      </c>
      <c r="AV245" s="850">
        <f>+Tabla1[[#This Row],[SUBTOTAL]]/Tabla1[[#This Row],[TIPO DE CAMBIO]]</f>
        <v>14600.213131477925</v>
      </c>
      <c r="AW245" s="851"/>
      <c r="AX245" s="850">
        <f>IFERROR(Tabla1[[#This Row],[VENTA TOTAL USD A PLAZO EN CLIENTE  (SIN IVA)]]*(1+Tabla1[[#This Row],[% IVA ]]),"")</f>
        <v>14600.213131477925</v>
      </c>
      <c r="AY245" s="850">
        <f>+Tabla1[[#This Row],[VENTA TOTAL USD A PLAZO EN CLIENTE  (SIN IVA)]]/Tabla1[[#This Row],[KGS]]*1000</f>
        <v>365.00532828694816</v>
      </c>
      <c r="AZ245" s="850">
        <f>-Tabla1[[#This Row],[COSTO FLETE $ POR BOLSA 5O KG (SIN IVA)]]*20/Tabla1[[#This Row],[TIPO DE CAMBIO]]</f>
        <v>1.096780177280898</v>
      </c>
      <c r="BA245" s="850">
        <f>+Tabla1[[#This Row],[GASTOS FINANCIEROS $ BOLSA 50 KG (IVA INC)]]*20/Tabla1[[#This Row],[TIPO DE CAMBIO]]</f>
        <v>2.421245344936005</v>
      </c>
      <c r="BB245" s="850">
        <f>+Tabla1[[#This Row],[PRECIO POR TN USD EN CLIENTE A PLAZO (SIN IVA)]]+Tabla1[[#This Row],[COSTO USD FLETE /TN (SIN IVA)]]+Tabla1[[#This Row],[COSTO FINANCIERO USD POR BOLSA 50KG (IVA INC)]]</f>
        <v>368.52335380916503</v>
      </c>
      <c r="BC245" s="828">
        <v>4</v>
      </c>
      <c r="BD245" s="944" t="s">
        <v>485</v>
      </c>
    </row>
    <row r="246" spans="1:56" ht="15.75" customHeight="1">
      <c r="A246" s="912">
        <v>46174</v>
      </c>
      <c r="B246" s="828">
        <v>1</v>
      </c>
      <c r="C246" s="792" t="s">
        <v>471</v>
      </c>
      <c r="D246" s="829">
        <f>+Tabla1[[#This Row],[FECHA Entrega]]</f>
        <v>46196</v>
      </c>
      <c r="E246" s="830">
        <v>2843</v>
      </c>
      <c r="F246" s="831" t="s">
        <v>448</v>
      </c>
      <c r="G246" s="832" t="s">
        <v>216</v>
      </c>
      <c r="H246" s="852">
        <v>46196</v>
      </c>
      <c r="I246" s="834">
        <f t="shared" si="93"/>
        <v>40000</v>
      </c>
      <c r="J246" s="835">
        <f t="shared" si="92"/>
        <v>495.86776859504135</v>
      </c>
      <c r="K246" s="836">
        <f t="shared" si="96"/>
        <v>19834710.743801653</v>
      </c>
      <c r="L24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46" s="837">
        <f t="shared" si="91"/>
        <v>24000000</v>
      </c>
      <c r="N246" s="838">
        <v>0</v>
      </c>
      <c r="O246" s="838">
        <v>0</v>
      </c>
      <c r="P246" s="838">
        <v>0</v>
      </c>
      <c r="Q246" s="839">
        <f>+Tabla1[[#This Row],[VENTA TOTAL $ (IVA INC) ]]-Tabla1[[#This Row],[PENDIENTE DE COBRO]]</f>
        <v>24000000</v>
      </c>
      <c r="R246" s="840">
        <f>+Tabla1[[#This Row],[FECHA FC]]+Tabla1[[#This Row],[PLAZO ENTREGA VALORES]]</f>
        <v>46126</v>
      </c>
      <c r="S246" s="840">
        <f>+Tabla1[[#This Row],[FECHA FC]]+Tabla1[[#This Row],[PLAZO PAGO (DIAS)]]</f>
        <v>46196</v>
      </c>
      <c r="T246" s="834">
        <f t="shared" ca="1" si="97"/>
        <v>15</v>
      </c>
      <c r="U246" s="831">
        <f>+Tabla1[[#This Row],[FECHA OC]]-Tabla1[[#This Row],[FECHA Entrega]]</f>
        <v>-70</v>
      </c>
      <c r="V246" s="831"/>
      <c r="W246" s="841">
        <f>+Tabla1[[#This Row],[FECHA VTO VALORES]]+7</f>
        <v>46203</v>
      </c>
      <c r="X246" s="831">
        <v>2381</v>
      </c>
      <c r="Y246" s="840">
        <v>46126</v>
      </c>
      <c r="Z246" s="842">
        <f>Tabla1[[#This Row],[KGS]]/50</f>
        <v>800</v>
      </c>
      <c r="AA24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46" s="844">
        <f>-Tabla1[[#This Row],[COSTO FLETE $ POR BOLSA 5O KG (SIN IVA)]]*1.21-Tabla1[[#This Row],[PRECIO $/ KG A PLAZO EN CLIENTE ( SIN IVA)]]*0.003*1.21*50</f>
        <v>0.14499999999999602</v>
      </c>
      <c r="AC246" s="845">
        <f>SUM(Tabla1[[#This Row],[PRECIO $ BOLSA 50 KG (IVA INC) ]]+Tabla1[[#This Row],[COSTO FLETE $ BOLSA 50 KG (IVA INC)]])</f>
        <v>30000.145</v>
      </c>
      <c r="AD246" s="844">
        <f>-Tabla1[[#This Row],[PRECIO $ BOLSA 50 KG (IVA INC) ]]*(Tabla1[[#This Row],[TASA FINANCIACION MENSUAL]]/365)*Tabla1[[#This Row],[PLAZO ENTREGA VALORES]]</f>
        <v>166.84931506849315</v>
      </c>
      <c r="AE246" s="845">
        <f>SUM(Tabla1[[#This Row],[PRECIO $ BOLSA50 KG  FOB TUCUMAN A PLAZO (IVA INC)]]+Tabla1[[#This Row],[GASTOS FINANCIEROS $ BOLSA 50 KG (IVA INC)]])</f>
        <v>30166.994315068492</v>
      </c>
      <c r="AF246" s="828" t="s">
        <v>359</v>
      </c>
      <c r="AG246" s="828" t="s">
        <v>365</v>
      </c>
      <c r="AH246" s="828" t="s">
        <v>387</v>
      </c>
      <c r="AI246" s="828" t="s">
        <v>391</v>
      </c>
      <c r="AJ24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46" s="846">
        <f>SUM(Tabla1[[#This Row],[PRECIO $ BOLSA 50KG  FOB CDO TUC (IVA INC)]]-Tabla1[[#This Row],[PRECIO REF $ BOLSA 50 KG CACTU (IVA INC)]])</f>
        <v>-5188.0056849315079</v>
      </c>
      <c r="AL246" s="847">
        <f>IFERROR(Tabla1[[#This Row],[PRECIO $ BOLSA 50KG  FOB CDO TUC (IVA INC)]]/Tabla1[[#This Row],[PRECIO REF $ BOLSA 50 KG CACTU (IVA INC)]]-1,"")</f>
        <v>-0.14674036727284712</v>
      </c>
      <c r="AM246" s="846">
        <f>+Tabla1[[#This Row],[DIF $ PRECIO NETO INDUSTRIA vs Neto TUCUMAN (IVA INC)]]*Tabla1[[#This Row],[Q Bolsas Equivalentes 50kg]]</f>
        <v>-4150404.5479452061</v>
      </c>
      <c r="AN246" s="846">
        <f>Tabla1[[#This Row],[PRECIO REF $ BOLSA 50 KG CACTU (IVA INC)]]*Tabla1[[#This Row],[Q Bolsas Equivalentes 50kg]]</f>
        <v>28284000</v>
      </c>
      <c r="AO246" s="846">
        <f>+Tabla1[[#This Row],[PRECIO $ BOLSA 50KG  FOB CDO TUC (IVA INC)]]*Tabla1[[#This Row],[Q Bolsas Equivalentes 50kg]]</f>
        <v>24133595.452054795</v>
      </c>
      <c r="AP246" s="847">
        <v>2.9000000000000001E-2</v>
      </c>
      <c r="AQ246" s="846">
        <v>-74.5</v>
      </c>
      <c r="AR246" s="828"/>
      <c r="AS246" s="849"/>
      <c r="AT246" s="923">
        <f>+Tabla1[[#This Row],[VENTA TOTAL $ (IVA INC) ]]-(SUM(Tabla1[[#This Row],[PENDIENTE DE ENTREGA]:[VALORES COBRADOS]]))</f>
        <v>0</v>
      </c>
      <c r="AU246" s="850">
        <f>VLOOKUP(Tabla1[[#This Row],[FECHA OC]],'TIPO DE CAMBIO'!A:B,2,TRUE)</f>
        <v>1358.5219999999999</v>
      </c>
      <c r="AV246" s="850">
        <f>+Tabla1[[#This Row],[SUBTOTAL]]/Tabla1[[#This Row],[TIPO DE CAMBIO]]</f>
        <v>14600.213131477925</v>
      </c>
      <c r="AW246" s="851"/>
      <c r="AX246" s="850">
        <f>IFERROR(Tabla1[[#This Row],[VENTA TOTAL USD A PLAZO EN CLIENTE  (SIN IVA)]]*(1+Tabla1[[#This Row],[% IVA ]]),"")</f>
        <v>14600.213131477925</v>
      </c>
      <c r="AY246" s="850">
        <f>+Tabla1[[#This Row],[VENTA TOTAL USD A PLAZO EN CLIENTE  (SIN IVA)]]/Tabla1[[#This Row],[KGS]]*1000</f>
        <v>365.00532828694816</v>
      </c>
      <c r="AZ246" s="850">
        <f>-Tabla1[[#This Row],[COSTO FLETE $ POR BOLSA 5O KG (SIN IVA)]]*20/Tabla1[[#This Row],[TIPO DE CAMBIO]]</f>
        <v>1.096780177280898</v>
      </c>
      <c r="BA246" s="850">
        <f>+Tabla1[[#This Row],[GASTOS FINANCIEROS $ BOLSA 50 KG (IVA INC)]]*20/Tabla1[[#This Row],[TIPO DE CAMBIO]]</f>
        <v>2.456335857181454</v>
      </c>
      <c r="BB246" s="850">
        <f>+Tabla1[[#This Row],[PRECIO POR TN USD EN CLIENTE A PLAZO (SIN IVA)]]+Tabla1[[#This Row],[COSTO USD FLETE /TN (SIN IVA)]]+Tabla1[[#This Row],[COSTO FINANCIERO USD POR BOLSA 50KG (IVA INC)]]</f>
        <v>368.55844432141049</v>
      </c>
      <c r="BC246" s="828">
        <v>4</v>
      </c>
      <c r="BD246" s="944" t="s">
        <v>485</v>
      </c>
    </row>
    <row r="247" spans="1:56" ht="15.75" customHeight="1">
      <c r="A247" s="912">
        <v>46174</v>
      </c>
      <c r="B247" s="828">
        <v>1</v>
      </c>
      <c r="C247" s="792" t="s">
        <v>471</v>
      </c>
      <c r="D247" s="829">
        <f>+Tabla1[[#This Row],[FECHA Entrega]]</f>
        <v>46197</v>
      </c>
      <c r="E247" s="830">
        <v>2843</v>
      </c>
      <c r="F247" s="831" t="s">
        <v>448</v>
      </c>
      <c r="G247" s="832" t="s">
        <v>216</v>
      </c>
      <c r="H247" s="852">
        <v>46197</v>
      </c>
      <c r="I247" s="834">
        <f t="shared" si="93"/>
        <v>40000</v>
      </c>
      <c r="J247" s="835">
        <f t="shared" si="92"/>
        <v>495.86776859504135</v>
      </c>
      <c r="K247" s="836">
        <f t="shared" si="96"/>
        <v>19834710.743801653</v>
      </c>
      <c r="L24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47" s="837">
        <f t="shared" si="91"/>
        <v>24000000</v>
      </c>
      <c r="N247" s="838">
        <v>0</v>
      </c>
      <c r="O247" s="838">
        <v>0</v>
      </c>
      <c r="P247" s="838">
        <v>0</v>
      </c>
      <c r="Q247" s="839">
        <f>+Tabla1[[#This Row],[VENTA TOTAL $ (IVA INC) ]]-Tabla1[[#This Row],[PENDIENTE DE COBRO]]</f>
        <v>24000000</v>
      </c>
      <c r="R247" s="840">
        <f>+Tabla1[[#This Row],[FECHA FC]]+Tabla1[[#This Row],[PLAZO ENTREGA VALORES]]</f>
        <v>46126</v>
      </c>
      <c r="S247" s="840">
        <f>+Tabla1[[#This Row],[FECHA FC]]+Tabla1[[#This Row],[PLAZO PAGO (DIAS)]]</f>
        <v>46197</v>
      </c>
      <c r="T247" s="834">
        <f t="shared" ca="1" si="97"/>
        <v>16</v>
      </c>
      <c r="U247" s="831">
        <f>+Tabla1[[#This Row],[FECHA OC]]-Tabla1[[#This Row],[FECHA Entrega]]</f>
        <v>-71</v>
      </c>
      <c r="V247" s="831"/>
      <c r="W247" s="841">
        <f>+Tabla1[[#This Row],[FECHA VTO VALORES]]+7</f>
        <v>46204</v>
      </c>
      <c r="X247" s="831">
        <v>2381</v>
      </c>
      <c r="Y247" s="840">
        <v>46126</v>
      </c>
      <c r="Z247" s="842">
        <f>Tabla1[[#This Row],[KGS]]/50</f>
        <v>800</v>
      </c>
      <c r="AA24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47" s="844">
        <f>-Tabla1[[#This Row],[COSTO FLETE $ POR BOLSA 5O KG (SIN IVA)]]*1.21-Tabla1[[#This Row],[PRECIO $/ KG A PLAZO EN CLIENTE ( SIN IVA)]]*0.003*1.21*50</f>
        <v>0.14499999999999602</v>
      </c>
      <c r="AC247" s="845">
        <f>SUM(Tabla1[[#This Row],[PRECIO $ BOLSA 50 KG (IVA INC) ]]+Tabla1[[#This Row],[COSTO FLETE $ BOLSA 50 KG (IVA INC)]])</f>
        <v>30000.145</v>
      </c>
      <c r="AD247" s="844">
        <f>-Tabla1[[#This Row],[PRECIO $ BOLSA 50 KG (IVA INC) ]]*(Tabla1[[#This Row],[TASA FINANCIACION MENSUAL]]/365)*Tabla1[[#This Row],[PLAZO ENTREGA VALORES]]</f>
        <v>169.23287671232879</v>
      </c>
      <c r="AE247" s="845">
        <f>SUM(Tabla1[[#This Row],[PRECIO $ BOLSA50 KG  FOB TUCUMAN A PLAZO (IVA INC)]]+Tabla1[[#This Row],[GASTOS FINANCIEROS $ BOLSA 50 KG (IVA INC)]])</f>
        <v>30169.377876712329</v>
      </c>
      <c r="AF247" s="828" t="s">
        <v>359</v>
      </c>
      <c r="AG247" s="828" t="s">
        <v>365</v>
      </c>
      <c r="AH247" s="828" t="s">
        <v>387</v>
      </c>
      <c r="AI247" s="828" t="s">
        <v>391</v>
      </c>
      <c r="AJ24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47" s="846">
        <f>SUM(Tabla1[[#This Row],[PRECIO $ BOLSA 50KG  FOB CDO TUC (IVA INC)]]-Tabla1[[#This Row],[PRECIO REF $ BOLSA 50 KG CACTU (IVA INC)]])</f>
        <v>-5185.6221232876705</v>
      </c>
      <c r="AL247" s="847">
        <f>IFERROR(Tabla1[[#This Row],[PRECIO $ BOLSA 50KG  FOB CDO TUC (IVA INC)]]/Tabla1[[#This Row],[PRECIO REF $ BOLSA 50 KG CACTU (IVA INC)]]-1,"")</f>
        <v>-0.14667294932223651</v>
      </c>
      <c r="AM247" s="846">
        <f>+Tabla1[[#This Row],[DIF $ PRECIO NETO INDUSTRIA vs Neto TUCUMAN (IVA INC)]]*Tabla1[[#This Row],[Q Bolsas Equivalentes 50kg]]</f>
        <v>-4148497.6986301364</v>
      </c>
      <c r="AN247" s="846">
        <f>Tabla1[[#This Row],[PRECIO REF $ BOLSA 50 KG CACTU (IVA INC)]]*Tabla1[[#This Row],[Q Bolsas Equivalentes 50kg]]</f>
        <v>28284000</v>
      </c>
      <c r="AO247" s="846">
        <f>+Tabla1[[#This Row],[PRECIO $ BOLSA 50KG  FOB CDO TUC (IVA INC)]]*Tabla1[[#This Row],[Q Bolsas Equivalentes 50kg]]</f>
        <v>24135502.301369864</v>
      </c>
      <c r="AP247" s="847">
        <v>2.9000000000000001E-2</v>
      </c>
      <c r="AQ247" s="846">
        <v>-74.5</v>
      </c>
      <c r="AR247" s="828"/>
      <c r="AS247" s="849"/>
      <c r="AT247" s="923">
        <f>+Tabla1[[#This Row],[VENTA TOTAL $ (IVA INC) ]]-(SUM(Tabla1[[#This Row],[PENDIENTE DE ENTREGA]:[VALORES COBRADOS]]))</f>
        <v>0</v>
      </c>
      <c r="AU247" s="850">
        <f>VLOOKUP(Tabla1[[#This Row],[FECHA OC]],'TIPO DE CAMBIO'!A:B,2,TRUE)</f>
        <v>1358.5219999999999</v>
      </c>
      <c r="AV247" s="850">
        <f>+Tabla1[[#This Row],[SUBTOTAL]]/Tabla1[[#This Row],[TIPO DE CAMBIO]]</f>
        <v>14600.213131477925</v>
      </c>
      <c r="AW247" s="851"/>
      <c r="AX247" s="850">
        <f>IFERROR(Tabla1[[#This Row],[VENTA TOTAL USD A PLAZO EN CLIENTE  (SIN IVA)]]*(1+Tabla1[[#This Row],[% IVA ]]),"")</f>
        <v>14600.213131477925</v>
      </c>
      <c r="AY247" s="850">
        <f>+Tabla1[[#This Row],[VENTA TOTAL USD A PLAZO EN CLIENTE  (SIN IVA)]]/Tabla1[[#This Row],[KGS]]*1000</f>
        <v>365.00532828694816</v>
      </c>
      <c r="AZ247" s="850">
        <f>-Tabla1[[#This Row],[COSTO FLETE $ POR BOLSA 5O KG (SIN IVA)]]*20/Tabla1[[#This Row],[TIPO DE CAMBIO]]</f>
        <v>1.096780177280898</v>
      </c>
      <c r="BA247" s="850">
        <f>+Tabla1[[#This Row],[GASTOS FINANCIEROS $ BOLSA 50 KG (IVA INC)]]*20/Tabla1[[#This Row],[TIPO DE CAMBIO]]</f>
        <v>2.4914263694269034</v>
      </c>
      <c r="BB247" s="850">
        <f>+Tabla1[[#This Row],[PRECIO POR TN USD EN CLIENTE A PLAZO (SIN IVA)]]+Tabla1[[#This Row],[COSTO USD FLETE /TN (SIN IVA)]]+Tabla1[[#This Row],[COSTO FINANCIERO USD POR BOLSA 50KG (IVA INC)]]</f>
        <v>368.59353483365595</v>
      </c>
      <c r="BC247" s="828">
        <v>4</v>
      </c>
      <c r="BD247" s="944" t="s">
        <v>485</v>
      </c>
    </row>
    <row r="248" spans="1:56" ht="15.75" customHeight="1">
      <c r="A248" s="912">
        <v>46174</v>
      </c>
      <c r="B248" s="828">
        <v>1</v>
      </c>
      <c r="C248" s="792" t="s">
        <v>471</v>
      </c>
      <c r="D248" s="829">
        <f>+Tabla1[[#This Row],[FECHA Entrega]]</f>
        <v>46198</v>
      </c>
      <c r="E248" s="830">
        <v>2843</v>
      </c>
      <c r="F248" s="831" t="s">
        <v>448</v>
      </c>
      <c r="G248" s="832" t="s">
        <v>216</v>
      </c>
      <c r="H248" s="852">
        <v>46198</v>
      </c>
      <c r="I248" s="834">
        <f t="shared" si="93"/>
        <v>40000</v>
      </c>
      <c r="J248" s="835">
        <f t="shared" si="92"/>
        <v>495.86776859504135</v>
      </c>
      <c r="K248" s="836">
        <f t="shared" si="96"/>
        <v>19834710.743801653</v>
      </c>
      <c r="L24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48" s="837">
        <f t="shared" si="91"/>
        <v>24000000</v>
      </c>
      <c r="N248" s="838">
        <v>0</v>
      </c>
      <c r="O248" s="838">
        <v>0</v>
      </c>
      <c r="P248" s="838">
        <v>0</v>
      </c>
      <c r="Q248" s="839">
        <f>+Tabla1[[#This Row],[VENTA TOTAL $ (IVA INC) ]]-Tabla1[[#This Row],[PENDIENTE DE COBRO]]</f>
        <v>24000000</v>
      </c>
      <c r="R248" s="840">
        <f>+Tabla1[[#This Row],[FECHA FC]]+Tabla1[[#This Row],[PLAZO ENTREGA VALORES]]</f>
        <v>46126</v>
      </c>
      <c r="S248" s="840">
        <f>+Tabla1[[#This Row],[FECHA FC]]+Tabla1[[#This Row],[PLAZO PAGO (DIAS)]]</f>
        <v>46198</v>
      </c>
      <c r="T248" s="834">
        <f t="shared" ca="1" si="97"/>
        <v>17</v>
      </c>
      <c r="U248" s="831">
        <f>+Tabla1[[#This Row],[FECHA OC]]-Tabla1[[#This Row],[FECHA Entrega]]</f>
        <v>-72</v>
      </c>
      <c r="V248" s="831"/>
      <c r="W248" s="841">
        <f>+Tabla1[[#This Row],[FECHA VTO VALORES]]+7</f>
        <v>46205</v>
      </c>
      <c r="X248" s="831">
        <v>2381</v>
      </c>
      <c r="Y248" s="840">
        <v>46126</v>
      </c>
      <c r="Z248" s="842">
        <f>Tabla1[[#This Row],[KGS]]/50</f>
        <v>800</v>
      </c>
      <c r="AA24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48" s="844">
        <f>-Tabla1[[#This Row],[COSTO FLETE $ POR BOLSA 5O KG (SIN IVA)]]*1.21-Tabla1[[#This Row],[PRECIO $/ KG A PLAZO EN CLIENTE ( SIN IVA)]]*0.003*1.21*50</f>
        <v>0.14499999999999602</v>
      </c>
      <c r="AC248" s="845">
        <f>SUM(Tabla1[[#This Row],[PRECIO $ BOLSA 50 KG (IVA INC) ]]+Tabla1[[#This Row],[COSTO FLETE $ BOLSA 50 KG (IVA INC)]])</f>
        <v>30000.145</v>
      </c>
      <c r="AD248" s="844">
        <f>-Tabla1[[#This Row],[PRECIO $ BOLSA 50 KG (IVA INC) ]]*(Tabla1[[#This Row],[TASA FINANCIACION MENSUAL]]/365)*Tabla1[[#This Row],[PLAZO ENTREGA VALORES]]</f>
        <v>171.61643835616439</v>
      </c>
      <c r="AE248" s="845">
        <f>SUM(Tabla1[[#This Row],[PRECIO $ BOLSA50 KG  FOB TUCUMAN A PLAZO (IVA INC)]]+Tabla1[[#This Row],[GASTOS FINANCIEROS $ BOLSA 50 KG (IVA INC)]])</f>
        <v>30171.761438356163</v>
      </c>
      <c r="AF248" s="828" t="s">
        <v>359</v>
      </c>
      <c r="AG248" s="828" t="s">
        <v>365</v>
      </c>
      <c r="AH248" s="828" t="s">
        <v>387</v>
      </c>
      <c r="AI248" s="828" t="s">
        <v>391</v>
      </c>
      <c r="AJ24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48" s="846">
        <f>SUM(Tabla1[[#This Row],[PRECIO $ BOLSA 50KG  FOB CDO TUC (IVA INC)]]-Tabla1[[#This Row],[PRECIO REF $ BOLSA 50 KG CACTU (IVA INC)]])</f>
        <v>-5183.2385616438369</v>
      </c>
      <c r="AL248" s="847">
        <f>IFERROR(Tabla1[[#This Row],[PRECIO $ BOLSA 50KG  FOB CDO TUC (IVA INC)]]/Tabla1[[#This Row],[PRECIO REF $ BOLSA 50 KG CACTU (IVA INC)]]-1,"")</f>
        <v>-0.14660553137162602</v>
      </c>
      <c r="AM248" s="846">
        <f>+Tabla1[[#This Row],[DIF $ PRECIO NETO INDUSTRIA vs Neto TUCUMAN (IVA INC)]]*Tabla1[[#This Row],[Q Bolsas Equivalentes 50kg]]</f>
        <v>-4146590.8493150696</v>
      </c>
      <c r="AN248" s="846">
        <f>Tabla1[[#This Row],[PRECIO REF $ BOLSA 50 KG CACTU (IVA INC)]]*Tabla1[[#This Row],[Q Bolsas Equivalentes 50kg]]</f>
        <v>28284000</v>
      </c>
      <c r="AO248" s="846">
        <f>+Tabla1[[#This Row],[PRECIO $ BOLSA 50KG  FOB CDO TUC (IVA INC)]]*Tabla1[[#This Row],[Q Bolsas Equivalentes 50kg]]</f>
        <v>24137409.15068493</v>
      </c>
      <c r="AP248" s="847">
        <v>2.9000000000000001E-2</v>
      </c>
      <c r="AQ248" s="846">
        <v>-74.5</v>
      </c>
      <c r="AR248" s="828"/>
      <c r="AS248" s="849"/>
      <c r="AT248" s="923">
        <f>+Tabla1[[#This Row],[VENTA TOTAL $ (IVA INC) ]]-(SUM(Tabla1[[#This Row],[PENDIENTE DE ENTREGA]:[VALORES COBRADOS]]))</f>
        <v>0</v>
      </c>
      <c r="AU248" s="850">
        <f>VLOOKUP(Tabla1[[#This Row],[FECHA OC]],'TIPO DE CAMBIO'!A:B,2,TRUE)</f>
        <v>1358.5219999999999</v>
      </c>
      <c r="AV248" s="850">
        <f>+Tabla1[[#This Row],[SUBTOTAL]]/Tabla1[[#This Row],[TIPO DE CAMBIO]]</f>
        <v>14600.213131477925</v>
      </c>
      <c r="AW248" s="851"/>
      <c r="AX248" s="850">
        <f>IFERROR(Tabla1[[#This Row],[VENTA TOTAL USD A PLAZO EN CLIENTE  (SIN IVA)]]*(1+Tabla1[[#This Row],[% IVA ]]),"")</f>
        <v>14600.213131477925</v>
      </c>
      <c r="AY248" s="850">
        <f>+Tabla1[[#This Row],[VENTA TOTAL USD A PLAZO EN CLIENTE  (SIN IVA)]]/Tabla1[[#This Row],[KGS]]*1000</f>
        <v>365.00532828694816</v>
      </c>
      <c r="AZ248" s="850">
        <f>-Tabla1[[#This Row],[COSTO FLETE $ POR BOLSA 5O KG (SIN IVA)]]*20/Tabla1[[#This Row],[TIPO DE CAMBIO]]</f>
        <v>1.096780177280898</v>
      </c>
      <c r="BA248" s="850">
        <f>+Tabla1[[#This Row],[GASTOS FINANCIEROS $ BOLSA 50 KG (IVA INC)]]*20/Tabla1[[#This Row],[TIPO DE CAMBIO]]</f>
        <v>2.5265168816723529</v>
      </c>
      <c r="BB248" s="850">
        <f>+Tabla1[[#This Row],[PRECIO POR TN USD EN CLIENTE A PLAZO (SIN IVA)]]+Tabla1[[#This Row],[COSTO USD FLETE /TN (SIN IVA)]]+Tabla1[[#This Row],[COSTO FINANCIERO USD POR BOLSA 50KG (IVA INC)]]</f>
        <v>368.62862534590141</v>
      </c>
      <c r="BC248" s="828">
        <v>4</v>
      </c>
      <c r="BD248" s="944" t="s">
        <v>485</v>
      </c>
    </row>
    <row r="249" spans="1:56" ht="15.75" customHeight="1">
      <c r="A249" s="912">
        <v>46174</v>
      </c>
      <c r="B249" s="828">
        <v>1</v>
      </c>
      <c r="C249" s="792" t="s">
        <v>471</v>
      </c>
      <c r="D249" s="829">
        <f>+Tabla1[[#This Row],[FECHA Entrega]]</f>
        <v>46199</v>
      </c>
      <c r="E249" s="830">
        <v>2843</v>
      </c>
      <c r="F249" s="831" t="s">
        <v>448</v>
      </c>
      <c r="G249" s="832" t="s">
        <v>216</v>
      </c>
      <c r="H249" s="852">
        <v>46199</v>
      </c>
      <c r="I249" s="834">
        <f t="shared" si="93"/>
        <v>40000</v>
      </c>
      <c r="J249" s="835">
        <f t="shared" si="92"/>
        <v>495.86776859504135</v>
      </c>
      <c r="K249" s="836">
        <f t="shared" si="96"/>
        <v>19834710.743801653</v>
      </c>
      <c r="L24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49" s="837">
        <f t="shared" si="91"/>
        <v>24000000</v>
      </c>
      <c r="N249" s="838">
        <v>0</v>
      </c>
      <c r="O249" s="838">
        <v>0</v>
      </c>
      <c r="P249" s="838">
        <v>0</v>
      </c>
      <c r="Q249" s="839">
        <f>+Tabla1[[#This Row],[VENTA TOTAL $ (IVA INC) ]]-Tabla1[[#This Row],[PENDIENTE DE COBRO]]</f>
        <v>24000000</v>
      </c>
      <c r="R249" s="840">
        <f>+Tabla1[[#This Row],[FECHA FC]]+Tabla1[[#This Row],[PLAZO ENTREGA VALORES]]</f>
        <v>46126</v>
      </c>
      <c r="S249" s="840">
        <f>+Tabla1[[#This Row],[FECHA FC]]+Tabla1[[#This Row],[PLAZO PAGO (DIAS)]]</f>
        <v>46199</v>
      </c>
      <c r="T249" s="834">
        <f t="shared" ca="1" si="97"/>
        <v>18</v>
      </c>
      <c r="U249" s="831">
        <f>+Tabla1[[#This Row],[FECHA OC]]-Tabla1[[#This Row],[FECHA Entrega]]</f>
        <v>-73</v>
      </c>
      <c r="V249" s="831"/>
      <c r="W249" s="841">
        <f>+Tabla1[[#This Row],[FECHA VTO VALORES]]+7</f>
        <v>46206</v>
      </c>
      <c r="X249" s="831">
        <v>2381</v>
      </c>
      <c r="Y249" s="840">
        <v>46126</v>
      </c>
      <c r="Z249" s="842">
        <f>Tabla1[[#This Row],[KGS]]/50</f>
        <v>800</v>
      </c>
      <c r="AA24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49" s="844">
        <f>-Tabla1[[#This Row],[COSTO FLETE $ POR BOLSA 5O KG (SIN IVA)]]*1.21-Tabla1[[#This Row],[PRECIO $/ KG A PLAZO EN CLIENTE ( SIN IVA)]]*0.003*1.21*50</f>
        <v>0.14499999999999602</v>
      </c>
      <c r="AC249" s="845">
        <f>SUM(Tabla1[[#This Row],[PRECIO $ BOLSA 50 KG (IVA INC) ]]+Tabla1[[#This Row],[COSTO FLETE $ BOLSA 50 KG (IVA INC)]])</f>
        <v>30000.145</v>
      </c>
      <c r="AD249" s="844">
        <f>-Tabla1[[#This Row],[PRECIO $ BOLSA 50 KG (IVA INC) ]]*(Tabla1[[#This Row],[TASA FINANCIACION MENSUAL]]/365)*Tabla1[[#This Row],[PLAZO ENTREGA VALORES]]</f>
        <v>174.00000000000003</v>
      </c>
      <c r="AE249" s="845">
        <f>SUM(Tabla1[[#This Row],[PRECIO $ BOLSA50 KG  FOB TUCUMAN A PLAZO (IVA INC)]]+Tabla1[[#This Row],[GASTOS FINANCIEROS $ BOLSA 50 KG (IVA INC)]])</f>
        <v>30174.145</v>
      </c>
      <c r="AF249" s="828" t="s">
        <v>359</v>
      </c>
      <c r="AG249" s="828" t="s">
        <v>365</v>
      </c>
      <c r="AH249" s="828" t="s">
        <v>387</v>
      </c>
      <c r="AI249" s="828" t="s">
        <v>391</v>
      </c>
      <c r="AJ24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49" s="846">
        <f>SUM(Tabla1[[#This Row],[PRECIO $ BOLSA 50KG  FOB CDO TUC (IVA INC)]]-Tabla1[[#This Row],[PRECIO REF $ BOLSA 50 KG CACTU (IVA INC)]])</f>
        <v>-5180.8549999999996</v>
      </c>
      <c r="AL249" s="847">
        <f>IFERROR(Tabla1[[#This Row],[PRECIO $ BOLSA 50KG  FOB CDO TUC (IVA INC)]]/Tabla1[[#This Row],[PRECIO REF $ BOLSA 50 KG CACTU (IVA INC)]]-1,"")</f>
        <v>-0.14653811342101541</v>
      </c>
      <c r="AM249" s="846">
        <f>+Tabla1[[#This Row],[DIF $ PRECIO NETO INDUSTRIA vs Neto TUCUMAN (IVA INC)]]*Tabla1[[#This Row],[Q Bolsas Equivalentes 50kg]]</f>
        <v>-4144683.9999999995</v>
      </c>
      <c r="AN249" s="846">
        <f>Tabla1[[#This Row],[PRECIO REF $ BOLSA 50 KG CACTU (IVA INC)]]*Tabla1[[#This Row],[Q Bolsas Equivalentes 50kg]]</f>
        <v>28284000</v>
      </c>
      <c r="AO249" s="846">
        <f>+Tabla1[[#This Row],[PRECIO $ BOLSA 50KG  FOB CDO TUC (IVA INC)]]*Tabla1[[#This Row],[Q Bolsas Equivalentes 50kg]]</f>
        <v>24139316</v>
      </c>
      <c r="AP249" s="847">
        <v>2.9000000000000001E-2</v>
      </c>
      <c r="AQ249" s="846">
        <v>-74.5</v>
      </c>
      <c r="AR249" s="828"/>
      <c r="AS249" s="849"/>
      <c r="AT249" s="923">
        <f>+Tabla1[[#This Row],[VENTA TOTAL $ (IVA INC) ]]-(SUM(Tabla1[[#This Row],[PENDIENTE DE ENTREGA]:[VALORES COBRADOS]]))</f>
        <v>0</v>
      </c>
      <c r="AU249" s="850">
        <f>VLOOKUP(Tabla1[[#This Row],[FECHA OC]],'TIPO DE CAMBIO'!A:B,2,TRUE)</f>
        <v>1358.5219999999999</v>
      </c>
      <c r="AV249" s="850">
        <f>+Tabla1[[#This Row],[SUBTOTAL]]/Tabla1[[#This Row],[TIPO DE CAMBIO]]</f>
        <v>14600.213131477925</v>
      </c>
      <c r="AW249" s="851"/>
      <c r="AX249" s="850">
        <f>IFERROR(Tabla1[[#This Row],[VENTA TOTAL USD A PLAZO EN CLIENTE  (SIN IVA)]]*(1+Tabla1[[#This Row],[% IVA ]]),"")</f>
        <v>14600.213131477925</v>
      </c>
      <c r="AY249" s="850">
        <f>+Tabla1[[#This Row],[VENTA TOTAL USD A PLAZO EN CLIENTE  (SIN IVA)]]/Tabla1[[#This Row],[KGS]]*1000</f>
        <v>365.00532828694816</v>
      </c>
      <c r="AZ249" s="850">
        <f>-Tabla1[[#This Row],[COSTO FLETE $ POR BOLSA 5O KG (SIN IVA)]]*20/Tabla1[[#This Row],[TIPO DE CAMBIO]]</f>
        <v>1.096780177280898</v>
      </c>
      <c r="BA249" s="850">
        <f>+Tabla1[[#This Row],[GASTOS FINANCIEROS $ BOLSA 50 KG (IVA INC)]]*20/Tabla1[[#This Row],[TIPO DE CAMBIO]]</f>
        <v>2.5616073939178023</v>
      </c>
      <c r="BB249" s="850">
        <f>+Tabla1[[#This Row],[PRECIO POR TN USD EN CLIENTE A PLAZO (SIN IVA)]]+Tabla1[[#This Row],[COSTO USD FLETE /TN (SIN IVA)]]+Tabla1[[#This Row],[COSTO FINANCIERO USD POR BOLSA 50KG (IVA INC)]]</f>
        <v>368.66371585814687</v>
      </c>
      <c r="BC249" s="828">
        <v>4</v>
      </c>
      <c r="BD249" s="944" t="s">
        <v>485</v>
      </c>
    </row>
    <row r="250" spans="1:56" ht="15.75" customHeight="1">
      <c r="A250" s="912">
        <v>46174</v>
      </c>
      <c r="B250" s="828">
        <v>1</v>
      </c>
      <c r="C250" s="792" t="s">
        <v>471</v>
      </c>
      <c r="D250" s="829">
        <f>+Tabla1[[#This Row],[FECHA Entrega]]</f>
        <v>46200</v>
      </c>
      <c r="E250" s="830">
        <v>2843</v>
      </c>
      <c r="F250" s="831" t="s">
        <v>448</v>
      </c>
      <c r="G250" s="832" t="s">
        <v>216</v>
      </c>
      <c r="H250" s="852">
        <v>46200</v>
      </c>
      <c r="I250" s="834">
        <f t="shared" si="93"/>
        <v>40000</v>
      </c>
      <c r="J250" s="835">
        <f t="shared" si="92"/>
        <v>495.86776859504135</v>
      </c>
      <c r="K250" s="836">
        <f t="shared" si="96"/>
        <v>19834710.743801653</v>
      </c>
      <c r="L25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50" s="837">
        <f t="shared" si="91"/>
        <v>24000000</v>
      </c>
      <c r="N250" s="838">
        <v>0</v>
      </c>
      <c r="O250" s="838">
        <v>0</v>
      </c>
      <c r="P250" s="838">
        <v>0</v>
      </c>
      <c r="Q250" s="839">
        <f>+Tabla1[[#This Row],[VENTA TOTAL $ (IVA INC) ]]-Tabla1[[#This Row],[PENDIENTE DE COBRO]]</f>
        <v>24000000</v>
      </c>
      <c r="R250" s="840">
        <f>+Tabla1[[#This Row],[FECHA FC]]+Tabla1[[#This Row],[PLAZO ENTREGA VALORES]]</f>
        <v>46126</v>
      </c>
      <c r="S250" s="840">
        <f>+Tabla1[[#This Row],[FECHA FC]]+Tabla1[[#This Row],[PLAZO PAGO (DIAS)]]</f>
        <v>46200</v>
      </c>
      <c r="T250" s="834">
        <f t="shared" ca="1" si="97"/>
        <v>19</v>
      </c>
      <c r="U250" s="831">
        <f>+Tabla1[[#This Row],[FECHA OC]]-Tabla1[[#This Row],[FECHA Entrega]]</f>
        <v>-74</v>
      </c>
      <c r="V250" s="831"/>
      <c r="W250" s="841">
        <f>+Tabla1[[#This Row],[FECHA VTO VALORES]]+7</f>
        <v>46207</v>
      </c>
      <c r="X250" s="831">
        <v>2381</v>
      </c>
      <c r="Y250" s="840">
        <v>46126</v>
      </c>
      <c r="Z250" s="842">
        <f>Tabla1[[#This Row],[KGS]]/50</f>
        <v>800</v>
      </c>
      <c r="AA25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50" s="844">
        <f>-Tabla1[[#This Row],[COSTO FLETE $ POR BOLSA 5O KG (SIN IVA)]]*1.21-Tabla1[[#This Row],[PRECIO $/ KG A PLAZO EN CLIENTE ( SIN IVA)]]*0.003*1.21*50</f>
        <v>0.14499999999999602</v>
      </c>
      <c r="AC250" s="845">
        <f>SUM(Tabla1[[#This Row],[PRECIO $ BOLSA 50 KG (IVA INC) ]]+Tabla1[[#This Row],[COSTO FLETE $ BOLSA 50 KG (IVA INC)]])</f>
        <v>30000.145</v>
      </c>
      <c r="AD250" s="844">
        <f>-Tabla1[[#This Row],[PRECIO $ BOLSA 50 KG (IVA INC) ]]*(Tabla1[[#This Row],[TASA FINANCIACION MENSUAL]]/365)*Tabla1[[#This Row],[PLAZO ENTREGA VALORES]]</f>
        <v>176.38356164383563</v>
      </c>
      <c r="AE250" s="845">
        <f>SUM(Tabla1[[#This Row],[PRECIO $ BOLSA50 KG  FOB TUCUMAN A PLAZO (IVA INC)]]+Tabla1[[#This Row],[GASTOS FINANCIEROS $ BOLSA 50 KG (IVA INC)]])</f>
        <v>30176.528561643838</v>
      </c>
      <c r="AF250" s="828" t="s">
        <v>359</v>
      </c>
      <c r="AG250" s="828" t="s">
        <v>365</v>
      </c>
      <c r="AH250" s="828" t="s">
        <v>387</v>
      </c>
      <c r="AI250" s="828" t="s">
        <v>391</v>
      </c>
      <c r="AJ25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50" s="846">
        <f>SUM(Tabla1[[#This Row],[PRECIO $ BOLSA 50KG  FOB CDO TUC (IVA INC)]]-Tabla1[[#This Row],[PRECIO REF $ BOLSA 50 KG CACTU (IVA INC)]])</f>
        <v>-5178.4714383561623</v>
      </c>
      <c r="AL250" s="847">
        <f>IFERROR(Tabla1[[#This Row],[PRECIO $ BOLSA 50KG  FOB CDO TUC (IVA INC)]]/Tabla1[[#This Row],[PRECIO REF $ BOLSA 50 KG CACTU (IVA INC)]]-1,"")</f>
        <v>-0.14647069547040481</v>
      </c>
      <c r="AM250" s="846">
        <f>+Tabla1[[#This Row],[DIF $ PRECIO NETO INDUSTRIA vs Neto TUCUMAN (IVA INC)]]*Tabla1[[#This Row],[Q Bolsas Equivalentes 50kg]]</f>
        <v>-4142777.1506849299</v>
      </c>
      <c r="AN250" s="846">
        <f>Tabla1[[#This Row],[PRECIO REF $ BOLSA 50 KG CACTU (IVA INC)]]*Tabla1[[#This Row],[Q Bolsas Equivalentes 50kg]]</f>
        <v>28284000</v>
      </c>
      <c r="AO250" s="846">
        <f>+Tabla1[[#This Row],[PRECIO $ BOLSA 50KG  FOB CDO TUC (IVA INC)]]*Tabla1[[#This Row],[Q Bolsas Equivalentes 50kg]]</f>
        <v>24141222.84931507</v>
      </c>
      <c r="AP250" s="847">
        <v>2.9000000000000001E-2</v>
      </c>
      <c r="AQ250" s="846">
        <v>-74.5</v>
      </c>
      <c r="AR250" s="828"/>
      <c r="AS250" s="849"/>
      <c r="AT250" s="923">
        <f>+Tabla1[[#This Row],[VENTA TOTAL $ (IVA INC) ]]-(SUM(Tabla1[[#This Row],[PENDIENTE DE ENTREGA]:[VALORES COBRADOS]]))</f>
        <v>0</v>
      </c>
      <c r="AU250" s="850">
        <f>VLOOKUP(Tabla1[[#This Row],[FECHA OC]],'TIPO DE CAMBIO'!A:B,2,TRUE)</f>
        <v>1358.5219999999999</v>
      </c>
      <c r="AV250" s="850">
        <f>+Tabla1[[#This Row],[SUBTOTAL]]/Tabla1[[#This Row],[TIPO DE CAMBIO]]</f>
        <v>14600.213131477925</v>
      </c>
      <c r="AW250" s="851"/>
      <c r="AX250" s="850">
        <f>IFERROR(Tabla1[[#This Row],[VENTA TOTAL USD A PLAZO EN CLIENTE  (SIN IVA)]]*(1+Tabla1[[#This Row],[% IVA ]]),"")</f>
        <v>14600.213131477925</v>
      </c>
      <c r="AY250" s="850">
        <f>+Tabla1[[#This Row],[VENTA TOTAL USD A PLAZO EN CLIENTE  (SIN IVA)]]/Tabla1[[#This Row],[KGS]]*1000</f>
        <v>365.00532828694816</v>
      </c>
      <c r="AZ250" s="850">
        <f>-Tabla1[[#This Row],[COSTO FLETE $ POR BOLSA 5O KG (SIN IVA)]]*20/Tabla1[[#This Row],[TIPO DE CAMBIO]]</f>
        <v>1.096780177280898</v>
      </c>
      <c r="BA250" s="850">
        <f>+Tabla1[[#This Row],[GASTOS FINANCIEROS $ BOLSA 50 KG (IVA INC)]]*20/Tabla1[[#This Row],[TIPO DE CAMBIO]]</f>
        <v>2.5966979061632514</v>
      </c>
      <c r="BB250" s="850">
        <f>+Tabla1[[#This Row],[PRECIO POR TN USD EN CLIENTE A PLAZO (SIN IVA)]]+Tabla1[[#This Row],[COSTO USD FLETE /TN (SIN IVA)]]+Tabla1[[#This Row],[COSTO FINANCIERO USD POR BOLSA 50KG (IVA INC)]]</f>
        <v>368.69880637039228</v>
      </c>
      <c r="BC250" s="828">
        <v>4</v>
      </c>
      <c r="BD250" s="944" t="s">
        <v>485</v>
      </c>
    </row>
    <row r="251" spans="1:56" ht="15.75" customHeight="1">
      <c r="A251" s="912">
        <v>46174</v>
      </c>
      <c r="B251" s="828">
        <v>1</v>
      </c>
      <c r="C251" s="792" t="s">
        <v>471</v>
      </c>
      <c r="D251" s="829">
        <f>+Tabla1[[#This Row],[FECHA Entrega]]</f>
        <v>46201</v>
      </c>
      <c r="E251" s="830">
        <v>2843</v>
      </c>
      <c r="F251" s="831" t="s">
        <v>448</v>
      </c>
      <c r="G251" s="832" t="s">
        <v>216</v>
      </c>
      <c r="H251" s="852">
        <v>46201</v>
      </c>
      <c r="I251" s="834">
        <f t="shared" si="93"/>
        <v>40000</v>
      </c>
      <c r="J251" s="835">
        <f t="shared" si="92"/>
        <v>495.86776859504135</v>
      </c>
      <c r="K251" s="836">
        <f t="shared" si="96"/>
        <v>19834710.743801653</v>
      </c>
      <c r="L25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51" s="837">
        <f t="shared" si="91"/>
        <v>24000000</v>
      </c>
      <c r="N251" s="838">
        <v>0</v>
      </c>
      <c r="O251" s="838">
        <v>0</v>
      </c>
      <c r="P251" s="838">
        <v>0</v>
      </c>
      <c r="Q251" s="839">
        <f>+Tabla1[[#This Row],[VENTA TOTAL $ (IVA INC) ]]-Tabla1[[#This Row],[PENDIENTE DE COBRO]]</f>
        <v>24000000</v>
      </c>
      <c r="R251" s="840">
        <f>+Tabla1[[#This Row],[FECHA FC]]+Tabla1[[#This Row],[PLAZO ENTREGA VALORES]]</f>
        <v>46126</v>
      </c>
      <c r="S251" s="840">
        <f>+Tabla1[[#This Row],[FECHA FC]]+Tabla1[[#This Row],[PLAZO PAGO (DIAS)]]</f>
        <v>46201</v>
      </c>
      <c r="T251" s="834">
        <f t="shared" ca="1" si="97"/>
        <v>20</v>
      </c>
      <c r="U251" s="831">
        <f>+Tabla1[[#This Row],[FECHA OC]]-Tabla1[[#This Row],[FECHA Entrega]]</f>
        <v>-75</v>
      </c>
      <c r="V251" s="831"/>
      <c r="W251" s="841">
        <f>+Tabla1[[#This Row],[FECHA VTO VALORES]]+7</f>
        <v>46208</v>
      </c>
      <c r="X251" s="831">
        <v>2381</v>
      </c>
      <c r="Y251" s="840">
        <v>46126</v>
      </c>
      <c r="Z251" s="842">
        <f>Tabla1[[#This Row],[KGS]]/50</f>
        <v>800</v>
      </c>
      <c r="AA25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51" s="844">
        <f>-Tabla1[[#This Row],[COSTO FLETE $ POR BOLSA 5O KG (SIN IVA)]]*1.21-Tabla1[[#This Row],[PRECIO $/ KG A PLAZO EN CLIENTE ( SIN IVA)]]*0.003*1.21*50</f>
        <v>0.14499999999999602</v>
      </c>
      <c r="AC251" s="845">
        <f>SUM(Tabla1[[#This Row],[PRECIO $ BOLSA 50 KG (IVA INC) ]]+Tabla1[[#This Row],[COSTO FLETE $ BOLSA 50 KG (IVA INC)]])</f>
        <v>30000.145</v>
      </c>
      <c r="AD251" s="844">
        <f>-Tabla1[[#This Row],[PRECIO $ BOLSA 50 KG (IVA INC) ]]*(Tabla1[[#This Row],[TASA FINANCIACION MENSUAL]]/365)*Tabla1[[#This Row],[PLAZO ENTREGA VALORES]]</f>
        <v>178.76712328767124</v>
      </c>
      <c r="AE251" s="845">
        <f>SUM(Tabla1[[#This Row],[PRECIO $ BOLSA50 KG  FOB TUCUMAN A PLAZO (IVA INC)]]+Tabla1[[#This Row],[GASTOS FINANCIEROS $ BOLSA 50 KG (IVA INC)]])</f>
        <v>30178.912123287671</v>
      </c>
      <c r="AF251" s="828" t="s">
        <v>359</v>
      </c>
      <c r="AG251" s="828" t="s">
        <v>365</v>
      </c>
      <c r="AH251" s="828" t="s">
        <v>387</v>
      </c>
      <c r="AI251" s="828" t="s">
        <v>391</v>
      </c>
      <c r="AJ25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51" s="846">
        <f>SUM(Tabla1[[#This Row],[PRECIO $ BOLSA 50KG  FOB CDO TUC (IVA INC)]]-Tabla1[[#This Row],[PRECIO REF $ BOLSA 50 KG CACTU (IVA INC)]])</f>
        <v>-5176.0878767123286</v>
      </c>
      <c r="AL251" s="847">
        <f>IFERROR(Tabla1[[#This Row],[PRECIO $ BOLSA 50KG  FOB CDO TUC (IVA INC)]]/Tabla1[[#This Row],[PRECIO REF $ BOLSA 50 KG CACTU (IVA INC)]]-1,"")</f>
        <v>-0.14640327751979432</v>
      </c>
      <c r="AM251" s="846">
        <f>+Tabla1[[#This Row],[DIF $ PRECIO NETO INDUSTRIA vs Neto TUCUMAN (IVA INC)]]*Tabla1[[#This Row],[Q Bolsas Equivalentes 50kg]]</f>
        <v>-4140870.3013698626</v>
      </c>
      <c r="AN251" s="846">
        <f>Tabla1[[#This Row],[PRECIO REF $ BOLSA 50 KG CACTU (IVA INC)]]*Tabla1[[#This Row],[Q Bolsas Equivalentes 50kg]]</f>
        <v>28284000</v>
      </c>
      <c r="AO251" s="846">
        <f>+Tabla1[[#This Row],[PRECIO $ BOLSA 50KG  FOB CDO TUC (IVA INC)]]*Tabla1[[#This Row],[Q Bolsas Equivalentes 50kg]]</f>
        <v>24143129.698630136</v>
      </c>
      <c r="AP251" s="847">
        <v>2.9000000000000001E-2</v>
      </c>
      <c r="AQ251" s="846">
        <v>-74.5</v>
      </c>
      <c r="AR251" s="828"/>
      <c r="AS251" s="849"/>
      <c r="AT251" s="923">
        <f>+Tabla1[[#This Row],[VENTA TOTAL $ (IVA INC) ]]-(SUM(Tabla1[[#This Row],[PENDIENTE DE ENTREGA]:[VALORES COBRADOS]]))</f>
        <v>0</v>
      </c>
      <c r="AU251" s="850">
        <f>VLOOKUP(Tabla1[[#This Row],[FECHA OC]],'TIPO DE CAMBIO'!A:B,2,TRUE)</f>
        <v>1358.5219999999999</v>
      </c>
      <c r="AV251" s="850">
        <f>+Tabla1[[#This Row],[SUBTOTAL]]/Tabla1[[#This Row],[TIPO DE CAMBIO]]</f>
        <v>14600.213131477925</v>
      </c>
      <c r="AW251" s="851"/>
      <c r="AX251" s="850">
        <f>IFERROR(Tabla1[[#This Row],[VENTA TOTAL USD A PLAZO EN CLIENTE  (SIN IVA)]]*(1+Tabla1[[#This Row],[% IVA ]]),"")</f>
        <v>14600.213131477925</v>
      </c>
      <c r="AY251" s="850">
        <f>+Tabla1[[#This Row],[VENTA TOTAL USD A PLAZO EN CLIENTE  (SIN IVA)]]/Tabla1[[#This Row],[KGS]]*1000</f>
        <v>365.00532828694816</v>
      </c>
      <c r="AZ251" s="850">
        <f>-Tabla1[[#This Row],[COSTO FLETE $ POR BOLSA 5O KG (SIN IVA)]]*20/Tabla1[[#This Row],[TIPO DE CAMBIO]]</f>
        <v>1.096780177280898</v>
      </c>
      <c r="BA251" s="850">
        <f>+Tabla1[[#This Row],[GASTOS FINANCIEROS $ BOLSA 50 KG (IVA INC)]]*20/Tabla1[[#This Row],[TIPO DE CAMBIO]]</f>
        <v>2.6317884184087008</v>
      </c>
      <c r="BB251" s="850">
        <f>+Tabla1[[#This Row],[PRECIO POR TN USD EN CLIENTE A PLAZO (SIN IVA)]]+Tabla1[[#This Row],[COSTO USD FLETE /TN (SIN IVA)]]+Tabla1[[#This Row],[COSTO FINANCIERO USD POR BOLSA 50KG (IVA INC)]]</f>
        <v>368.73389688263774</v>
      </c>
      <c r="BC251" s="828">
        <v>4</v>
      </c>
      <c r="BD251" s="944" t="s">
        <v>485</v>
      </c>
    </row>
    <row r="252" spans="1:56" ht="15.75" customHeight="1">
      <c r="A252" s="912">
        <v>46174</v>
      </c>
      <c r="B252" s="828">
        <v>1</v>
      </c>
      <c r="C252" s="792" t="s">
        <v>471</v>
      </c>
      <c r="D252" s="829">
        <f>+Tabla1[[#This Row],[FECHA Entrega]]</f>
        <v>46201</v>
      </c>
      <c r="E252" s="830">
        <v>2843</v>
      </c>
      <c r="F252" s="831" t="s">
        <v>448</v>
      </c>
      <c r="G252" s="832" t="s">
        <v>216</v>
      </c>
      <c r="H252" s="852">
        <v>46201</v>
      </c>
      <c r="I252" s="834">
        <f t="shared" si="93"/>
        <v>40000</v>
      </c>
      <c r="J252" s="835">
        <f t="shared" si="92"/>
        <v>495.86776859504135</v>
      </c>
      <c r="K252" s="836">
        <f t="shared" si="96"/>
        <v>19834710.743801653</v>
      </c>
      <c r="L25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252" s="837">
        <f t="shared" si="91"/>
        <v>24000000</v>
      </c>
      <c r="N252" s="838">
        <v>0</v>
      </c>
      <c r="O252" s="838">
        <v>0</v>
      </c>
      <c r="P252" s="838">
        <v>0</v>
      </c>
      <c r="Q252" s="839">
        <f>+Tabla1[[#This Row],[VENTA TOTAL $ (IVA INC) ]]-Tabla1[[#This Row],[PENDIENTE DE COBRO]]</f>
        <v>24000000</v>
      </c>
      <c r="R252" s="840">
        <f>+Tabla1[[#This Row],[FECHA FC]]+Tabla1[[#This Row],[PLAZO ENTREGA VALORES]]</f>
        <v>46126</v>
      </c>
      <c r="S252" s="840">
        <f>+Tabla1[[#This Row],[FECHA FC]]+Tabla1[[#This Row],[PLAZO PAGO (DIAS)]]</f>
        <v>46201</v>
      </c>
      <c r="T252" s="834">
        <f t="shared" ca="1" si="97"/>
        <v>20</v>
      </c>
      <c r="U252" s="831">
        <f>+Tabla1[[#This Row],[FECHA OC]]-Tabla1[[#This Row],[FECHA Entrega]]</f>
        <v>-75</v>
      </c>
      <c r="V252" s="831"/>
      <c r="W252" s="841">
        <f>+Tabla1[[#This Row],[FECHA VTO VALORES]]+7</f>
        <v>46208</v>
      </c>
      <c r="X252" s="831">
        <v>2381</v>
      </c>
      <c r="Y252" s="840">
        <v>46126</v>
      </c>
      <c r="Z252" s="842">
        <f>Tabla1[[#This Row],[KGS]]/50</f>
        <v>800</v>
      </c>
      <c r="AA25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52" s="844">
        <f>-Tabla1[[#This Row],[COSTO FLETE $ POR BOLSA 5O KG (SIN IVA)]]*1.21-Tabla1[[#This Row],[PRECIO $/ KG A PLAZO EN CLIENTE ( SIN IVA)]]*0.003*1.21*50</f>
        <v>0.14499999999999602</v>
      </c>
      <c r="AC252" s="845">
        <f>SUM(Tabla1[[#This Row],[PRECIO $ BOLSA 50 KG (IVA INC) ]]+Tabla1[[#This Row],[COSTO FLETE $ BOLSA 50 KG (IVA INC)]])</f>
        <v>30000.145</v>
      </c>
      <c r="AD252" s="844">
        <f>-Tabla1[[#This Row],[PRECIO $ BOLSA 50 KG (IVA INC) ]]*(Tabla1[[#This Row],[TASA FINANCIACION MENSUAL]]/365)*Tabla1[[#This Row],[PLAZO ENTREGA VALORES]]</f>
        <v>178.76712328767124</v>
      </c>
      <c r="AE252" s="845">
        <f>SUM(Tabla1[[#This Row],[PRECIO $ BOLSA50 KG  FOB TUCUMAN A PLAZO (IVA INC)]]+Tabla1[[#This Row],[GASTOS FINANCIEROS $ BOLSA 50 KG (IVA INC)]])</f>
        <v>30178.912123287671</v>
      </c>
      <c r="AF252" s="828" t="s">
        <v>359</v>
      </c>
      <c r="AG252" s="828" t="s">
        <v>365</v>
      </c>
      <c r="AH252" s="828" t="s">
        <v>387</v>
      </c>
      <c r="AI252" s="828" t="s">
        <v>391</v>
      </c>
      <c r="AJ25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252" s="846">
        <f>SUM(Tabla1[[#This Row],[PRECIO $ BOLSA 50KG  FOB CDO TUC (IVA INC)]]-Tabla1[[#This Row],[PRECIO REF $ BOLSA 50 KG CACTU (IVA INC)]])</f>
        <v>-5176.0878767123286</v>
      </c>
      <c r="AL252" s="847">
        <f>IFERROR(Tabla1[[#This Row],[PRECIO $ BOLSA 50KG  FOB CDO TUC (IVA INC)]]/Tabla1[[#This Row],[PRECIO REF $ BOLSA 50 KG CACTU (IVA INC)]]-1,"")</f>
        <v>-0.14640327751979432</v>
      </c>
      <c r="AM252" s="846">
        <f>+Tabla1[[#This Row],[DIF $ PRECIO NETO INDUSTRIA vs Neto TUCUMAN (IVA INC)]]*Tabla1[[#This Row],[Q Bolsas Equivalentes 50kg]]</f>
        <v>-4140870.3013698626</v>
      </c>
      <c r="AN252" s="846">
        <f>Tabla1[[#This Row],[PRECIO REF $ BOLSA 50 KG CACTU (IVA INC)]]*Tabla1[[#This Row],[Q Bolsas Equivalentes 50kg]]</f>
        <v>28284000</v>
      </c>
      <c r="AO252" s="846">
        <f>+Tabla1[[#This Row],[PRECIO $ BOLSA 50KG  FOB CDO TUC (IVA INC)]]*Tabla1[[#This Row],[Q Bolsas Equivalentes 50kg]]</f>
        <v>24143129.698630136</v>
      </c>
      <c r="AP252" s="847">
        <v>2.9000000000000001E-2</v>
      </c>
      <c r="AQ252" s="846">
        <v>-74.5</v>
      </c>
      <c r="AR252" s="828"/>
      <c r="AS252" s="849"/>
      <c r="AT252" s="923">
        <f>+Tabla1[[#This Row],[VENTA TOTAL $ (IVA INC) ]]-(SUM(Tabla1[[#This Row],[PENDIENTE DE ENTREGA]:[VALORES COBRADOS]]))</f>
        <v>0</v>
      </c>
      <c r="AU252" s="850">
        <f>VLOOKUP(Tabla1[[#This Row],[FECHA OC]],'TIPO DE CAMBIO'!A:B,2,TRUE)</f>
        <v>1358.5219999999999</v>
      </c>
      <c r="AV252" s="850">
        <f>+Tabla1[[#This Row],[SUBTOTAL]]/Tabla1[[#This Row],[TIPO DE CAMBIO]]</f>
        <v>14600.213131477925</v>
      </c>
      <c r="AW252" s="851"/>
      <c r="AX252" s="850">
        <f>IFERROR(Tabla1[[#This Row],[VENTA TOTAL USD A PLAZO EN CLIENTE  (SIN IVA)]]*(1+Tabla1[[#This Row],[% IVA ]]),"")</f>
        <v>14600.213131477925</v>
      </c>
      <c r="AY252" s="850">
        <f>+Tabla1[[#This Row],[VENTA TOTAL USD A PLAZO EN CLIENTE  (SIN IVA)]]/Tabla1[[#This Row],[KGS]]*1000</f>
        <v>365.00532828694816</v>
      </c>
      <c r="AZ252" s="850">
        <f>-Tabla1[[#This Row],[COSTO FLETE $ POR BOLSA 5O KG (SIN IVA)]]*20/Tabla1[[#This Row],[TIPO DE CAMBIO]]</f>
        <v>1.096780177280898</v>
      </c>
      <c r="BA252" s="850">
        <f>+Tabla1[[#This Row],[GASTOS FINANCIEROS $ BOLSA 50 KG (IVA INC)]]*20/Tabla1[[#This Row],[TIPO DE CAMBIO]]</f>
        <v>2.6317884184087008</v>
      </c>
      <c r="BB252" s="850">
        <f>+Tabla1[[#This Row],[PRECIO POR TN USD EN CLIENTE A PLAZO (SIN IVA)]]+Tabla1[[#This Row],[COSTO USD FLETE /TN (SIN IVA)]]+Tabla1[[#This Row],[COSTO FINANCIERO USD POR BOLSA 50KG (IVA INC)]]</f>
        <v>368.73389688263774</v>
      </c>
      <c r="BC252" s="828">
        <v>4</v>
      </c>
      <c r="BD252" s="944" t="s">
        <v>485</v>
      </c>
    </row>
    <row r="253" spans="1:56" ht="15.75" customHeight="1">
      <c r="A253" s="912">
        <v>46174</v>
      </c>
      <c r="B253" s="828">
        <v>1</v>
      </c>
      <c r="C253" s="792" t="s">
        <v>420</v>
      </c>
      <c r="D253" s="829">
        <f>+Tabla1[[#This Row],[FECHA Entrega]]</f>
        <v>46185</v>
      </c>
      <c r="E253" s="830"/>
      <c r="F253" s="831" t="s">
        <v>448</v>
      </c>
      <c r="G253" s="832" t="s">
        <v>216</v>
      </c>
      <c r="H253" s="852">
        <v>46185</v>
      </c>
      <c r="I253" s="834">
        <v>27500</v>
      </c>
      <c r="J253" s="835">
        <v>745</v>
      </c>
      <c r="K253" s="836">
        <f t="shared" ref="K253:K261" si="98">+J253*I253</f>
        <v>20487500</v>
      </c>
      <c r="L25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4302375</v>
      </c>
      <c r="M253" s="837">
        <f t="shared" ref="M253:M261" si="99">SUM(K253:L253)</f>
        <v>24789875</v>
      </c>
      <c r="N253" s="838">
        <f>+Tabla1[[#This Row],[VENTA TOTAL $ (IVA INC) ]]</f>
        <v>24789875</v>
      </c>
      <c r="O253" s="838">
        <v>0</v>
      </c>
      <c r="P253" s="838">
        <v>0</v>
      </c>
      <c r="Q253" s="839">
        <f ca="1">+Tabla1[[#This Row],[VENTA TOTAL $ (IVA INC) ]]-Tabla1[[#This Row],[PENDIENTE DE ENTREGA]]-Tabla1[[#This Row],[PENDIENTE DE COBRO]]+Tabla1[[#This Row],[VALORES COBRADOS]]</f>
        <v>0</v>
      </c>
      <c r="R253" s="840">
        <f>+Tabla1[[#This Row],[FECHA FC]]+Tabla1[[#This Row],[PLAZO ENTREGA VALORES]]</f>
        <v>46170</v>
      </c>
      <c r="S253" s="840">
        <f>+Tabla1[[#This Row],[FECHA FC]]+Tabla1[[#This Row],[PLAZO PAGO (DIAS)]]</f>
        <v>46215</v>
      </c>
      <c r="T253" s="834">
        <f t="shared" ref="T253:T261" ca="1" si="100">+S253-$U$2</f>
        <v>34</v>
      </c>
      <c r="U253" s="831">
        <v>-15</v>
      </c>
      <c r="V253" s="831"/>
      <c r="W253" s="841">
        <f>+Tabla1[[#This Row],[FECHA VTO VALORES]]+7</f>
        <v>46222</v>
      </c>
      <c r="X253" s="831">
        <v>6396</v>
      </c>
      <c r="Y253" s="840">
        <v>46178</v>
      </c>
      <c r="Z253" s="842">
        <f>Tabla1[[#This Row],[KGS]]/50</f>
        <v>550</v>
      </c>
      <c r="AA25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45072.5</v>
      </c>
      <c r="AB253" s="844">
        <f>-Tabla1[[#This Row],[COSTO FLETE $ POR BOLSA 5O KG (SIN IVA)]]*1.21-Tabla1[[#This Row],[PRECIO $/ KG A PLAZO EN CLIENTE ( SIN IVA)]]*0.003*1.21*50</f>
        <v>-5277.7174999999997</v>
      </c>
      <c r="AC253" s="845">
        <f>SUM(Tabla1[[#This Row],[PRECIO $ BOLSA 50 KG (IVA INC) ]]+Tabla1[[#This Row],[COSTO FLETE $ BOLSA 50 KG (IVA INC)]])</f>
        <v>39794.782500000001</v>
      </c>
      <c r="AD253" s="844">
        <f>-Tabla1[[#This Row],[PRECIO $ BOLSA 50 KG (IVA INC) ]]*(Tabla1[[#This Row],[TASA FINANCIACION MENSUAL]]/365)*Tabla1[[#This Row],[PLAZO ENTREGA VALORES]]</f>
        <v>55.568835616438356</v>
      </c>
      <c r="AE253" s="845">
        <f>SUM(Tabla1[[#This Row],[PRECIO $ BOLSA50 KG  FOB TUCUMAN A PLAZO (IVA INC)]]+Tabla1[[#This Row],[GASTOS FINANCIEROS $ BOLSA 50 KG (IVA INC)]])</f>
        <v>39850.35133561644</v>
      </c>
      <c r="AF253" s="828" t="s">
        <v>393</v>
      </c>
      <c r="AG253" s="828" t="s">
        <v>368</v>
      </c>
      <c r="AH253" s="828" t="s">
        <v>386</v>
      </c>
      <c r="AI253" s="828" t="s">
        <v>258</v>
      </c>
      <c r="AJ25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253" s="846">
        <f>SUM(Tabla1[[#This Row],[PRECIO $ BOLSA 50KG  FOB CDO TUC (IVA INC)]]-Tabla1[[#This Row],[PRECIO REF $ BOLSA 50 KG CACTU (IVA INC)]])</f>
        <v>2735.3513356164403</v>
      </c>
      <c r="AL253" s="847">
        <f>IFERROR(Tabla1[[#This Row],[PRECIO $ BOLSA 50KG  FOB CDO TUC (IVA INC)]]/Tabla1[[#This Row],[PRECIO REF $ BOLSA 50 KG CACTU (IVA INC)]]-1,"")</f>
        <v>7.3699348932141806E-2</v>
      </c>
      <c r="AM253" s="846">
        <f>+Tabla1[[#This Row],[DIF $ PRECIO NETO INDUSTRIA vs Neto TUCUMAN (IVA INC)]]*Tabla1[[#This Row],[Q Bolsas Equivalentes 50kg]]</f>
        <v>1504443.2345890421</v>
      </c>
      <c r="AN253" s="846">
        <f>Tabla1[[#This Row],[PRECIO REF $ BOLSA 50 KG CACTU (IVA INC)]]*Tabla1[[#This Row],[Q Bolsas Equivalentes 50kg]]</f>
        <v>20413250</v>
      </c>
      <c r="AO253" s="846">
        <f>+Tabla1[[#This Row],[PRECIO $ BOLSA 50KG  FOB CDO TUC (IVA INC)]]*Tabla1[[#This Row],[Q Bolsas Equivalentes 50kg]]</f>
        <v>21917693.234589044</v>
      </c>
      <c r="AP253" s="847">
        <v>0.03</v>
      </c>
      <c r="AQ253" s="846">
        <f>85000/20</f>
        <v>4250</v>
      </c>
      <c r="AR253" s="828">
        <v>30</v>
      </c>
      <c r="AS253" s="849"/>
      <c r="AT253" s="923">
        <f ca="1">+Tabla1[[#This Row],[VENTA TOTAL $ (IVA INC) ]]-(SUM(Tabla1[[#This Row],[PENDIENTE DE ENTREGA]:[VALORES COBRADOS]]))</f>
        <v>-20440000</v>
      </c>
      <c r="AU253" s="850">
        <f>VLOOKUP(Tabla1[[#This Row],[FECHA OC]],'TIPO DE CAMBIO'!A:B,2,TRUE)</f>
        <v>1442.4148</v>
      </c>
      <c r="AV253" s="850">
        <f>+Tabla1[[#This Row],[SUBTOTAL]]/Tabla1[[#This Row],[TIPO DE CAMBIO]]</f>
        <v>14203.611887509751</v>
      </c>
      <c r="AW253" s="851"/>
      <c r="AX253" s="850">
        <f>IFERROR(Tabla1[[#This Row],[VENTA TOTAL USD A PLAZO EN CLIENTE  (SIN IVA)]]*(1+Tabla1[[#This Row],[% IVA ]]),"")</f>
        <v>14203.611887509751</v>
      </c>
      <c r="AY253" s="850">
        <f>+Tabla1[[#This Row],[VENTA TOTAL USD A PLAZO EN CLIENTE  (SIN IVA)]]/Tabla1[[#This Row],[KGS]]*1000</f>
        <v>516.49497772762732</v>
      </c>
      <c r="AZ253" s="850">
        <f>-Tabla1[[#This Row],[COSTO FLETE $ POR BOLSA 5O KG (SIN IVA)]]*20/Tabla1[[#This Row],[TIPO DE CAMBIO]]</f>
        <v>-58.928957190400432</v>
      </c>
      <c r="BA253" s="850">
        <f>+Tabla1[[#This Row],[GASTOS FINANCIEROS $ BOLSA 50 KG (IVA INC)]]*20/Tabla1[[#This Row],[TIPO DE CAMBIO]]</f>
        <v>0.77049730239093994</v>
      </c>
      <c r="BB253" s="850">
        <f>+Tabla1[[#This Row],[PRECIO POR TN USD EN CLIENTE A PLAZO (SIN IVA)]]+Tabla1[[#This Row],[COSTO USD FLETE /TN (SIN IVA)]]+Tabla1[[#This Row],[COSTO FINANCIERO USD POR BOLSA 50KG (IVA INC)]]</f>
        <v>458.33651783961784</v>
      </c>
      <c r="BC253" s="848">
        <v>2</v>
      </c>
      <c r="BD253" s="944"/>
    </row>
    <row r="254" spans="1:56" ht="15.75" customHeight="1">
      <c r="A254" s="912">
        <v>46174</v>
      </c>
      <c r="B254" s="828">
        <v>1</v>
      </c>
      <c r="C254" s="792" t="s">
        <v>541</v>
      </c>
      <c r="D254" s="829">
        <f>+Tabla1[[#This Row],[FECHA Entrega]]</f>
        <v>46192</v>
      </c>
      <c r="E254" s="830"/>
      <c r="F254" s="831" t="s">
        <v>448</v>
      </c>
      <c r="G254" s="832" t="s">
        <v>216</v>
      </c>
      <c r="H254" s="852">
        <v>46192</v>
      </c>
      <c r="I254" s="834">
        <v>28000</v>
      </c>
      <c r="J254" s="835">
        <v>740</v>
      </c>
      <c r="K254" s="836">
        <f t="shared" si="98"/>
        <v>20720000</v>
      </c>
      <c r="L25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4351200</v>
      </c>
      <c r="M254" s="837">
        <f t="shared" si="99"/>
        <v>25071200</v>
      </c>
      <c r="N254" s="838">
        <f>+Tabla1[[#This Row],[VENTA TOTAL $ (IVA INC) ]]</f>
        <v>25071200</v>
      </c>
      <c r="O254" s="838">
        <v>0</v>
      </c>
      <c r="P254" s="838">
        <v>0</v>
      </c>
      <c r="Q254" s="839">
        <f ca="1">+Tabla1[[#This Row],[VENTA TOTAL $ (IVA INC) ]]-Tabla1[[#This Row],[PENDIENTE DE ENTREGA]]-Tabla1[[#This Row],[PENDIENTE DE COBRO]]+Tabla1[[#This Row],[VALORES COBRADOS]]</f>
        <v>0</v>
      </c>
      <c r="R254" s="840">
        <f>+Tabla1[[#This Row],[FECHA FC]]+Tabla1[[#This Row],[PLAZO ENTREGA VALORES]]</f>
        <v>46177</v>
      </c>
      <c r="S254" s="840">
        <f>+Tabla1[[#This Row],[FECHA FC]]+Tabla1[[#This Row],[PLAZO PAGO (DIAS)]]</f>
        <v>46222</v>
      </c>
      <c r="T254" s="834">
        <f t="shared" ca="1" si="100"/>
        <v>41</v>
      </c>
      <c r="U254" s="831">
        <v>-15</v>
      </c>
      <c r="V254" s="831"/>
      <c r="W254" s="841">
        <f>+Tabla1[[#This Row],[FECHA VTO VALORES]]+7</f>
        <v>46229</v>
      </c>
      <c r="X254" s="831" t="s">
        <v>543</v>
      </c>
      <c r="Y254" s="840">
        <v>46177</v>
      </c>
      <c r="Z254" s="842">
        <f>Tabla1[[#This Row],[KGS]]/50</f>
        <v>560</v>
      </c>
      <c r="AA25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44770</v>
      </c>
      <c r="AB254" s="844">
        <f>-Tabla1[[#This Row],[COSTO FLETE $ POR BOLSA 5O KG (SIN IVA)]]*1.21-Tabla1[[#This Row],[PRECIO $/ KG A PLAZO EN CLIENTE ( SIN IVA)]]*0.003*1.21*50</f>
        <v>-4066.81</v>
      </c>
      <c r="AC254" s="845">
        <f>SUM(Tabla1[[#This Row],[PRECIO $ BOLSA 50 KG (IVA INC) ]]+Tabla1[[#This Row],[COSTO FLETE $ BOLSA 50 KG (IVA INC)]])</f>
        <v>40703.19</v>
      </c>
      <c r="AD254" s="844">
        <f>-Tabla1[[#This Row],[PRECIO $ BOLSA 50 KG (IVA INC) ]]*(Tabla1[[#This Row],[TASA FINANCIACION MENSUAL]]/365)*Tabla1[[#This Row],[PLAZO ENTREGA VALORES]]</f>
        <v>55.19589041095891</v>
      </c>
      <c r="AE254" s="845">
        <f>SUM(Tabla1[[#This Row],[PRECIO $ BOLSA50 KG  FOB TUCUMAN A PLAZO (IVA INC)]]+Tabla1[[#This Row],[GASTOS FINANCIEROS $ BOLSA 50 KG (IVA INC)]])</f>
        <v>40758.385890410958</v>
      </c>
      <c r="AF254" s="828" t="s">
        <v>359</v>
      </c>
      <c r="AG254" s="828" t="s">
        <v>542</v>
      </c>
      <c r="AH254" s="828" t="s">
        <v>390</v>
      </c>
      <c r="AI254" s="828" t="s">
        <v>258</v>
      </c>
      <c r="AJ25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254" s="846">
        <f>SUM(Tabla1[[#This Row],[PRECIO $ BOLSA 50KG  FOB CDO TUC (IVA INC)]]-Tabla1[[#This Row],[PRECIO REF $ BOLSA 50 KG CACTU (IVA INC)]])</f>
        <v>3643.3858904109584</v>
      </c>
      <c r="AL254" s="847">
        <f>IFERROR(Tabla1[[#This Row],[PRECIO $ BOLSA 50KG  FOB CDO TUC (IVA INC)]]/Tabla1[[#This Row],[PRECIO REF $ BOLSA 50 KG CACTU (IVA INC)]]-1,"")</f>
        <v>9.8164782174618326E-2</v>
      </c>
      <c r="AM254" s="846">
        <f>+Tabla1[[#This Row],[DIF $ PRECIO NETO INDUSTRIA vs Neto TUCUMAN (IVA INC)]]*Tabla1[[#This Row],[Q Bolsas Equivalentes 50kg]]</f>
        <v>2040296.0986301368</v>
      </c>
      <c r="AN254" s="846">
        <f>Tabla1[[#This Row],[PRECIO REF $ BOLSA 50 KG CACTU (IVA INC)]]*Tabla1[[#This Row],[Q Bolsas Equivalentes 50kg]]</f>
        <v>20784400</v>
      </c>
      <c r="AO254" s="846">
        <f>+Tabla1[[#This Row],[PRECIO $ BOLSA 50KG  FOB CDO TUC (IVA INC)]]*Tabla1[[#This Row],[Q Bolsas Equivalentes 50kg]]</f>
        <v>22824696.098630138</v>
      </c>
      <c r="AP254" s="847">
        <v>0.03</v>
      </c>
      <c r="AQ254" s="846">
        <f t="shared" ref="AQ254" si="101">65000/20</f>
        <v>3250</v>
      </c>
      <c r="AR254" s="828">
        <v>30</v>
      </c>
      <c r="AS254" s="849"/>
      <c r="AT254" s="923">
        <f ca="1">+Tabla1[[#This Row],[VENTA TOTAL $ (IVA INC) ]]-(SUM(Tabla1[[#This Row],[PENDIENTE DE ENTREGA]:[VALORES COBRADOS]]))</f>
        <v>-20440000</v>
      </c>
      <c r="AU254" s="850">
        <f>VLOOKUP(Tabla1[[#This Row],[FECHA OC]],'TIPO DE CAMBIO'!A:B,2,TRUE)</f>
        <v>1438.8159000000001</v>
      </c>
      <c r="AV254" s="850">
        <f>+Tabla1[[#This Row],[SUBTOTAL]]/Tabla1[[#This Row],[TIPO DE CAMBIO]]</f>
        <v>14400.73048956437</v>
      </c>
      <c r="AW254" s="851"/>
      <c r="AX254" s="850">
        <f>IFERROR(Tabla1[[#This Row],[VENTA TOTAL USD A PLAZO EN CLIENTE  (SIN IVA)]]*(1+Tabla1[[#This Row],[% IVA ]]),"")</f>
        <v>14400.73048956437</v>
      </c>
      <c r="AY254" s="850">
        <f>+Tabla1[[#This Row],[VENTA TOTAL USD A PLAZO EN CLIENTE  (SIN IVA)]]/Tabla1[[#This Row],[KGS]]*1000</f>
        <v>514.31180319872749</v>
      </c>
      <c r="AZ254" s="850">
        <f>-Tabla1[[#This Row],[COSTO FLETE $ POR BOLSA 5O KG (SIN IVA)]]*20/Tabla1[[#This Row],[TIPO DE CAMBIO]]</f>
        <v>-45.176036767455791</v>
      </c>
      <c r="BA254" s="850">
        <f>+Tabla1[[#This Row],[GASTOS FINANCIEROS $ BOLSA 50 KG (IVA INC)]]*20/Tabla1[[#This Row],[TIPO DE CAMBIO]]</f>
        <v>0.76724048449782778</v>
      </c>
      <c r="BB254" s="850">
        <f>+Tabla1[[#This Row],[PRECIO POR TN USD EN CLIENTE A PLAZO (SIN IVA)]]+Tabla1[[#This Row],[COSTO USD FLETE /TN (SIN IVA)]]+Tabla1[[#This Row],[COSTO FINANCIERO USD POR BOLSA 50KG (IVA INC)]]</f>
        <v>469.90300691576954</v>
      </c>
      <c r="BC254" s="848">
        <v>2</v>
      </c>
      <c r="BD254" s="944"/>
    </row>
    <row r="255" spans="1:56" ht="15.75" customHeight="1">
      <c r="A255" s="912">
        <v>46174</v>
      </c>
      <c r="B255" s="828">
        <v>1</v>
      </c>
      <c r="C255" s="792" t="s">
        <v>559</v>
      </c>
      <c r="D255" s="829">
        <f>+Tabla1[[#This Row],[FECHA Entrega]]</f>
        <v>46180</v>
      </c>
      <c r="E255" s="830"/>
      <c r="F255" s="831" t="s">
        <v>468</v>
      </c>
      <c r="G255" s="832" t="s">
        <v>216</v>
      </c>
      <c r="H255" s="852">
        <v>46180</v>
      </c>
      <c r="I255" s="834">
        <f t="shared" ref="I255:I260" si="102">600*50</f>
        <v>30000</v>
      </c>
      <c r="J255" s="835">
        <f t="shared" ref="J255:J263" si="103">600/1.21</f>
        <v>495.86776859504135</v>
      </c>
      <c r="K255" s="836">
        <f t="shared" si="98"/>
        <v>14876033.05785124</v>
      </c>
      <c r="L25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3123966.9421487604</v>
      </c>
      <c r="M255" s="837">
        <f t="shared" si="99"/>
        <v>18000000</v>
      </c>
      <c r="N255" s="838">
        <v>0</v>
      </c>
      <c r="O255" s="838">
        <v>0</v>
      </c>
      <c r="P255" s="838">
        <v>0</v>
      </c>
      <c r="Q255" s="839">
        <f>+Tabla1[[#This Row],[VENTA TOTAL $ (IVA INC) ]]</f>
        <v>18000000</v>
      </c>
      <c r="R255" s="840">
        <f>+Tabla1[[#This Row],[FECHA FC]]+Tabla1[[#This Row],[PLAZO ENTREGA VALORES]]</f>
        <v>46173</v>
      </c>
      <c r="S255" s="840">
        <f>+Tabla1[[#This Row],[FECHA FC]]+Tabla1[[#This Row],[PLAZO PAGO (DIAS)]]</f>
        <v>46187</v>
      </c>
      <c r="T255" s="834">
        <f t="shared" ca="1" si="100"/>
        <v>6</v>
      </c>
      <c r="U255" s="831">
        <v>-7</v>
      </c>
      <c r="V255" s="831"/>
      <c r="W255" s="841">
        <f t="shared" ref="W255:W261" si="104">+S255+7</f>
        <v>46194</v>
      </c>
      <c r="X255" s="831" t="s">
        <v>565</v>
      </c>
      <c r="Y255" s="840">
        <v>46177</v>
      </c>
      <c r="Z255" s="842">
        <f>Tabla1[[#This Row],[KGS]]/50</f>
        <v>600</v>
      </c>
      <c r="AA25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55" s="844">
        <f>-Tabla1[[#This Row],[COSTO FLETE $ POR BOLSA 5O KG (SIN IVA)]]*1.21-Tabla1[[#This Row],[PRECIO $/ KG A PLAZO EN CLIENTE ( SIN IVA)]]*0.003*1.21*50</f>
        <v>0.14499999999999602</v>
      </c>
      <c r="AC255" s="845">
        <f>SUM(Tabla1[[#This Row],[PRECIO $ BOLSA 50 KG (IVA INC) ]]+Tabla1[[#This Row],[COSTO FLETE $ BOLSA 50 KG (IVA INC)]])</f>
        <v>30000.145</v>
      </c>
      <c r="AD255" s="844">
        <f>-Tabla1[[#This Row],[PRECIO $ BOLSA 50 KG (IVA INC) ]]*(Tabla1[[#This Row],[TASA FINANCIACION MENSUAL]]/365)*Tabla1[[#This Row],[PLAZO ENTREGA VALORES]]</f>
        <v>16.684931506849317</v>
      </c>
      <c r="AE255" s="845">
        <f>SUM(Tabla1[[#This Row],[PRECIO $ BOLSA50 KG  FOB TUCUMAN A PLAZO (IVA INC)]]+Tabla1[[#This Row],[GASTOS FINANCIEROS $ BOLSA 50 KG (IVA INC)]])</f>
        <v>30016.829931506851</v>
      </c>
      <c r="AF255" s="828" t="s">
        <v>359</v>
      </c>
      <c r="AG255" s="828" t="s">
        <v>365</v>
      </c>
      <c r="AH255" s="828" t="s">
        <v>387</v>
      </c>
      <c r="AI255" s="828" t="s">
        <v>258</v>
      </c>
      <c r="AJ25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255" s="846">
        <f>SUM(Tabla1[[#This Row],[PRECIO $ BOLSA 50KG  FOB CDO TUC (IVA INC)]]-Tabla1[[#This Row],[PRECIO REF $ BOLSA 50 KG CACTU (IVA INC)]])</f>
        <v>-7098.1700684931493</v>
      </c>
      <c r="AL255" s="847">
        <f>IFERROR(Tabla1[[#This Row],[PRECIO $ BOLSA 50KG  FOB CDO TUC (IVA INC)]]/Tabla1[[#This Row],[PRECIO REF $ BOLSA 50 KG CACTU (IVA INC)]]-1,"")</f>
        <v>-0.19124801477820685</v>
      </c>
      <c r="AM255" s="846">
        <f>+Tabla1[[#This Row],[DIF $ PRECIO NETO INDUSTRIA vs Neto TUCUMAN (IVA INC)]]*Tabla1[[#This Row],[Q Bolsas Equivalentes 50kg]]</f>
        <v>-4258902.0410958892</v>
      </c>
      <c r="AN255" s="846">
        <f>Tabla1[[#This Row],[PRECIO REF $ BOLSA 50 KG CACTU (IVA INC)]]*Tabla1[[#This Row],[Q Bolsas Equivalentes 50kg]]</f>
        <v>22269000</v>
      </c>
      <c r="AO255" s="846">
        <f>+Tabla1[[#This Row],[PRECIO $ BOLSA 50KG  FOB CDO TUC (IVA INC)]]*Tabla1[[#This Row],[Q Bolsas Equivalentes 50kg]]</f>
        <v>18010097.95890411</v>
      </c>
      <c r="AP255" s="847">
        <v>2.9000000000000001E-2</v>
      </c>
      <c r="AQ255" s="846">
        <v>-74.5</v>
      </c>
      <c r="AR255" s="828">
        <v>7</v>
      </c>
      <c r="AS255" s="849"/>
      <c r="AT255" s="923">
        <f>+Tabla1[[#This Row],[VENTA TOTAL $ (IVA INC) ]]-(SUM(Tabla1[[#This Row],[PENDIENTE DE ENTREGA]:[VALORES COBRADOS]]))</f>
        <v>0</v>
      </c>
      <c r="AU255" s="850">
        <f>VLOOKUP(Tabla1[[#This Row],[FECHA OC]],'TIPO DE CAMBIO'!A:B,2,TRUE)</f>
        <v>1438.8159000000001</v>
      </c>
      <c r="AV255" s="850">
        <f>+Tabla1[[#This Row],[SUBTOTAL]]/Tabla1[[#This Row],[TIPO DE CAMBIO]]</f>
        <v>10339.080251928854</v>
      </c>
      <c r="AW255" s="851"/>
      <c r="AX255" s="850">
        <f>IFERROR(Tabla1[[#This Row],[VENTA TOTAL USD A PLAZO EN CLIENTE  (SIN IVA)]]*(1+Tabla1[[#This Row],[% IVA ]]),"")</f>
        <v>10339.080251928854</v>
      </c>
      <c r="AY255" s="850">
        <f>+Tabla1[[#This Row],[VENTA TOTAL USD A PLAZO EN CLIENTE  (SIN IVA)]]/Tabla1[[#This Row],[KGS]]*1000</f>
        <v>344.63600839762847</v>
      </c>
      <c r="AZ255" s="850">
        <f>-Tabla1[[#This Row],[COSTO FLETE $ POR BOLSA 5O KG (SIN IVA)]]*20/Tabla1[[#This Row],[TIPO DE CAMBIO]]</f>
        <v>1.0355737659001405</v>
      </c>
      <c r="BA255" s="850">
        <f>+Tabla1[[#This Row],[GASTOS FINANCIEROS $ BOLSA 50 KG (IVA INC)]]*20/Tabla1[[#This Row],[TIPO DE CAMBIO]]</f>
        <v>0.2319258705279712</v>
      </c>
      <c r="BB255" s="850">
        <f>+Tabla1[[#This Row],[PRECIO POR TN USD EN CLIENTE A PLAZO (SIN IVA)]]+Tabla1[[#This Row],[COSTO USD FLETE /TN (SIN IVA)]]+Tabla1[[#This Row],[COSTO FINANCIERO USD POR BOLSA 50KG (IVA INC)]]</f>
        <v>345.90350803405659</v>
      </c>
      <c r="BC255" s="828">
        <v>4</v>
      </c>
      <c r="BD255" s="944"/>
    </row>
    <row r="256" spans="1:56" ht="15.75" customHeight="1">
      <c r="A256" s="912">
        <v>46174</v>
      </c>
      <c r="B256" s="828">
        <v>1</v>
      </c>
      <c r="C256" s="792" t="s">
        <v>559</v>
      </c>
      <c r="D256" s="829">
        <f>+Tabla1[[#This Row],[FECHA Entrega]]</f>
        <v>46182</v>
      </c>
      <c r="E256" s="830"/>
      <c r="F256" s="831" t="s">
        <v>468</v>
      </c>
      <c r="G256" s="832" t="s">
        <v>216</v>
      </c>
      <c r="H256" s="852">
        <v>46182</v>
      </c>
      <c r="I256" s="834">
        <f t="shared" si="102"/>
        <v>30000</v>
      </c>
      <c r="J256" s="835">
        <f t="shared" si="103"/>
        <v>495.86776859504135</v>
      </c>
      <c r="K256" s="836">
        <f t="shared" si="98"/>
        <v>14876033.05785124</v>
      </c>
      <c r="L25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3123966.9421487604</v>
      </c>
      <c r="M256" s="837">
        <f t="shared" si="99"/>
        <v>18000000</v>
      </c>
      <c r="N256" s="838">
        <v>0</v>
      </c>
      <c r="O256" s="838">
        <v>0</v>
      </c>
      <c r="P256" s="838">
        <v>0</v>
      </c>
      <c r="Q256" s="839">
        <f>+Tabla1[[#This Row],[VENTA TOTAL $ (IVA INC) ]]</f>
        <v>18000000</v>
      </c>
      <c r="R256" s="840">
        <f>+Tabla1[[#This Row],[FECHA FC]]+Tabla1[[#This Row],[PLAZO ENTREGA VALORES]]</f>
        <v>46175</v>
      </c>
      <c r="S256" s="840">
        <f>+Tabla1[[#This Row],[FECHA FC]]+Tabla1[[#This Row],[PLAZO PAGO (DIAS)]]</f>
        <v>46189</v>
      </c>
      <c r="T256" s="834">
        <f t="shared" ca="1" si="100"/>
        <v>8</v>
      </c>
      <c r="U256" s="831">
        <v>-7</v>
      </c>
      <c r="V256" s="831"/>
      <c r="W256" s="841">
        <f t="shared" si="104"/>
        <v>46196</v>
      </c>
      <c r="X256" s="831" t="s">
        <v>565</v>
      </c>
      <c r="Y256" s="840">
        <v>46177</v>
      </c>
      <c r="Z256" s="842">
        <f>Tabla1[[#This Row],[KGS]]/50</f>
        <v>600</v>
      </c>
      <c r="AA25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56" s="844">
        <f>-Tabla1[[#This Row],[COSTO FLETE $ POR BOLSA 5O KG (SIN IVA)]]*1.21-Tabla1[[#This Row],[PRECIO $/ KG A PLAZO EN CLIENTE ( SIN IVA)]]*0.003*1.21*50</f>
        <v>0.14499999999999602</v>
      </c>
      <c r="AC256" s="845">
        <f>SUM(Tabla1[[#This Row],[PRECIO $ BOLSA 50 KG (IVA INC) ]]+Tabla1[[#This Row],[COSTO FLETE $ BOLSA 50 KG (IVA INC)]])</f>
        <v>30000.145</v>
      </c>
      <c r="AD256" s="844">
        <f>-Tabla1[[#This Row],[PRECIO $ BOLSA 50 KG (IVA INC) ]]*(Tabla1[[#This Row],[TASA FINANCIACION MENSUAL]]/365)*Tabla1[[#This Row],[PLAZO ENTREGA VALORES]]</f>
        <v>16.684931506849317</v>
      </c>
      <c r="AE256" s="845">
        <f>SUM(Tabla1[[#This Row],[PRECIO $ BOLSA50 KG  FOB TUCUMAN A PLAZO (IVA INC)]]+Tabla1[[#This Row],[GASTOS FINANCIEROS $ BOLSA 50 KG (IVA INC)]])</f>
        <v>30016.829931506851</v>
      </c>
      <c r="AF256" s="828" t="s">
        <v>359</v>
      </c>
      <c r="AG256" s="828" t="s">
        <v>365</v>
      </c>
      <c r="AH256" s="828" t="s">
        <v>387</v>
      </c>
      <c r="AI256" s="828" t="s">
        <v>258</v>
      </c>
      <c r="AJ25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256" s="846">
        <f>SUM(Tabla1[[#This Row],[PRECIO $ BOLSA 50KG  FOB CDO TUC (IVA INC)]]-Tabla1[[#This Row],[PRECIO REF $ BOLSA 50 KG CACTU (IVA INC)]])</f>
        <v>-7098.1700684931493</v>
      </c>
      <c r="AL256" s="847">
        <f>IFERROR(Tabla1[[#This Row],[PRECIO $ BOLSA 50KG  FOB CDO TUC (IVA INC)]]/Tabla1[[#This Row],[PRECIO REF $ BOLSA 50 KG CACTU (IVA INC)]]-1,"")</f>
        <v>-0.19124801477820685</v>
      </c>
      <c r="AM256" s="846">
        <f>+Tabla1[[#This Row],[DIF $ PRECIO NETO INDUSTRIA vs Neto TUCUMAN (IVA INC)]]*Tabla1[[#This Row],[Q Bolsas Equivalentes 50kg]]</f>
        <v>-4258902.0410958892</v>
      </c>
      <c r="AN256" s="846">
        <f>Tabla1[[#This Row],[PRECIO REF $ BOLSA 50 KG CACTU (IVA INC)]]*Tabla1[[#This Row],[Q Bolsas Equivalentes 50kg]]</f>
        <v>22269000</v>
      </c>
      <c r="AO256" s="846">
        <f>+Tabla1[[#This Row],[PRECIO $ BOLSA 50KG  FOB CDO TUC (IVA INC)]]*Tabla1[[#This Row],[Q Bolsas Equivalentes 50kg]]</f>
        <v>18010097.95890411</v>
      </c>
      <c r="AP256" s="847">
        <v>2.9000000000000001E-2</v>
      </c>
      <c r="AQ256" s="846">
        <v>-74.5</v>
      </c>
      <c r="AR256" s="828">
        <v>7</v>
      </c>
      <c r="AS256" s="849"/>
      <c r="AT256" s="923">
        <f>+Tabla1[[#This Row],[VENTA TOTAL $ (IVA INC) ]]-(SUM(Tabla1[[#This Row],[PENDIENTE DE ENTREGA]:[VALORES COBRADOS]]))</f>
        <v>0</v>
      </c>
      <c r="AU256" s="850">
        <f>VLOOKUP(Tabla1[[#This Row],[FECHA OC]],'TIPO DE CAMBIO'!A:B,2,TRUE)</f>
        <v>1438.8159000000001</v>
      </c>
      <c r="AV256" s="850">
        <f>+Tabla1[[#This Row],[SUBTOTAL]]/Tabla1[[#This Row],[TIPO DE CAMBIO]]</f>
        <v>10339.080251928854</v>
      </c>
      <c r="AW256" s="851"/>
      <c r="AX256" s="850">
        <f>IFERROR(Tabla1[[#This Row],[VENTA TOTAL USD A PLAZO EN CLIENTE  (SIN IVA)]]*(1+Tabla1[[#This Row],[% IVA ]]),"")</f>
        <v>10339.080251928854</v>
      </c>
      <c r="AY256" s="850">
        <f>+Tabla1[[#This Row],[VENTA TOTAL USD A PLAZO EN CLIENTE  (SIN IVA)]]/Tabla1[[#This Row],[KGS]]*1000</f>
        <v>344.63600839762847</v>
      </c>
      <c r="AZ256" s="850">
        <f>-Tabla1[[#This Row],[COSTO FLETE $ POR BOLSA 5O KG (SIN IVA)]]*20/Tabla1[[#This Row],[TIPO DE CAMBIO]]</f>
        <v>1.0355737659001405</v>
      </c>
      <c r="BA256" s="850">
        <f>+Tabla1[[#This Row],[GASTOS FINANCIEROS $ BOLSA 50 KG (IVA INC)]]*20/Tabla1[[#This Row],[TIPO DE CAMBIO]]</f>
        <v>0.2319258705279712</v>
      </c>
      <c r="BB256" s="850">
        <f>+Tabla1[[#This Row],[PRECIO POR TN USD EN CLIENTE A PLAZO (SIN IVA)]]+Tabla1[[#This Row],[COSTO USD FLETE /TN (SIN IVA)]]+Tabla1[[#This Row],[COSTO FINANCIERO USD POR BOLSA 50KG (IVA INC)]]</f>
        <v>345.90350803405659</v>
      </c>
      <c r="BC256" s="828">
        <v>4</v>
      </c>
      <c r="BD256" s="944"/>
    </row>
    <row r="257" spans="1:56" ht="15.75" customHeight="1">
      <c r="A257" s="912">
        <v>46174</v>
      </c>
      <c r="B257" s="828">
        <v>1</v>
      </c>
      <c r="C257" s="792" t="s">
        <v>559</v>
      </c>
      <c r="D257" s="829">
        <f>+Tabla1[[#This Row],[FECHA Entrega]]</f>
        <v>46183</v>
      </c>
      <c r="E257" s="830"/>
      <c r="F257" s="831" t="s">
        <v>468</v>
      </c>
      <c r="G257" s="832" t="s">
        <v>216</v>
      </c>
      <c r="H257" s="852">
        <v>46183</v>
      </c>
      <c r="I257" s="834">
        <f t="shared" si="102"/>
        <v>30000</v>
      </c>
      <c r="J257" s="835">
        <f t="shared" si="103"/>
        <v>495.86776859504135</v>
      </c>
      <c r="K257" s="836">
        <f t="shared" ref="K257" si="105">+J257*I257</f>
        <v>14876033.05785124</v>
      </c>
      <c r="L25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3123966.9421487604</v>
      </c>
      <c r="M257" s="837">
        <f t="shared" ref="M257" si="106">SUM(K257:L257)</f>
        <v>18000000</v>
      </c>
      <c r="N257" s="838">
        <v>0</v>
      </c>
      <c r="O257" s="838">
        <v>0</v>
      </c>
      <c r="P257" s="838">
        <v>0</v>
      </c>
      <c r="Q257" s="839">
        <f>+Tabla1[[#This Row],[VENTA TOTAL $ (IVA INC) ]]</f>
        <v>18000000</v>
      </c>
      <c r="R257" s="840">
        <f>+Tabla1[[#This Row],[FECHA FC]]+Tabla1[[#This Row],[PLAZO ENTREGA VALORES]]</f>
        <v>46176</v>
      </c>
      <c r="S257" s="840">
        <f>+Tabla1[[#This Row],[FECHA FC]]+Tabla1[[#This Row],[PLAZO PAGO (DIAS)]]</f>
        <v>46190</v>
      </c>
      <c r="T257" s="834">
        <f t="shared" ref="T257" ca="1" si="107">+S257-$U$2</f>
        <v>9</v>
      </c>
      <c r="U257" s="831">
        <v>-7</v>
      </c>
      <c r="V257" s="831"/>
      <c r="W257" s="841">
        <f t="shared" ref="W257" si="108">+S257+7</f>
        <v>46197</v>
      </c>
      <c r="X257" s="831" t="s">
        <v>565</v>
      </c>
      <c r="Y257" s="840">
        <v>46177</v>
      </c>
      <c r="Z257" s="842">
        <f>Tabla1[[#This Row],[KGS]]/50</f>
        <v>600</v>
      </c>
      <c r="AA25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57" s="844">
        <f>-Tabla1[[#This Row],[COSTO FLETE $ POR BOLSA 5O KG (SIN IVA)]]*1.21-Tabla1[[#This Row],[PRECIO $/ KG A PLAZO EN CLIENTE ( SIN IVA)]]*0.003*1.21*50</f>
        <v>0.14499999999999602</v>
      </c>
      <c r="AC257" s="845">
        <f>SUM(Tabla1[[#This Row],[PRECIO $ BOLSA 50 KG (IVA INC) ]]+Tabla1[[#This Row],[COSTO FLETE $ BOLSA 50 KG (IVA INC)]])</f>
        <v>30000.145</v>
      </c>
      <c r="AD257" s="844">
        <f>-Tabla1[[#This Row],[PRECIO $ BOLSA 50 KG (IVA INC) ]]*(Tabla1[[#This Row],[TASA FINANCIACION MENSUAL]]/365)*Tabla1[[#This Row],[PLAZO ENTREGA VALORES]]</f>
        <v>16.684931506849317</v>
      </c>
      <c r="AE257" s="845">
        <f>SUM(Tabla1[[#This Row],[PRECIO $ BOLSA50 KG  FOB TUCUMAN A PLAZO (IVA INC)]]+Tabla1[[#This Row],[GASTOS FINANCIEROS $ BOLSA 50 KG (IVA INC)]])</f>
        <v>30016.829931506851</v>
      </c>
      <c r="AF257" s="828" t="s">
        <v>359</v>
      </c>
      <c r="AG257" s="828" t="s">
        <v>365</v>
      </c>
      <c r="AH257" s="828" t="s">
        <v>387</v>
      </c>
      <c r="AI257" s="828" t="s">
        <v>258</v>
      </c>
      <c r="AJ25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257" s="846">
        <f>SUM(Tabla1[[#This Row],[PRECIO $ BOLSA 50KG  FOB CDO TUC (IVA INC)]]-Tabla1[[#This Row],[PRECIO REF $ BOLSA 50 KG CACTU (IVA INC)]])</f>
        <v>-7098.1700684931493</v>
      </c>
      <c r="AL257" s="847">
        <f>IFERROR(Tabla1[[#This Row],[PRECIO $ BOLSA 50KG  FOB CDO TUC (IVA INC)]]/Tabla1[[#This Row],[PRECIO REF $ BOLSA 50 KG CACTU (IVA INC)]]-1,"")</f>
        <v>-0.19124801477820685</v>
      </c>
      <c r="AM257" s="846">
        <f>+Tabla1[[#This Row],[DIF $ PRECIO NETO INDUSTRIA vs Neto TUCUMAN (IVA INC)]]*Tabla1[[#This Row],[Q Bolsas Equivalentes 50kg]]</f>
        <v>-4258902.0410958892</v>
      </c>
      <c r="AN257" s="846">
        <f>Tabla1[[#This Row],[PRECIO REF $ BOLSA 50 KG CACTU (IVA INC)]]*Tabla1[[#This Row],[Q Bolsas Equivalentes 50kg]]</f>
        <v>22269000</v>
      </c>
      <c r="AO257" s="846">
        <f>+Tabla1[[#This Row],[PRECIO $ BOLSA 50KG  FOB CDO TUC (IVA INC)]]*Tabla1[[#This Row],[Q Bolsas Equivalentes 50kg]]</f>
        <v>18010097.95890411</v>
      </c>
      <c r="AP257" s="847">
        <v>2.9000000000000001E-2</v>
      </c>
      <c r="AQ257" s="846">
        <v>-74.5</v>
      </c>
      <c r="AR257" s="828">
        <v>7</v>
      </c>
      <c r="AS257" s="849"/>
      <c r="AT257" s="923">
        <f>+Tabla1[[#This Row],[VENTA TOTAL $ (IVA INC) ]]-(SUM(Tabla1[[#This Row],[PENDIENTE DE ENTREGA]:[VALORES COBRADOS]]))</f>
        <v>0</v>
      </c>
      <c r="AU257" s="850">
        <f>VLOOKUP(Tabla1[[#This Row],[FECHA OC]],'TIPO DE CAMBIO'!A:B,2,TRUE)</f>
        <v>1438.8159000000001</v>
      </c>
      <c r="AV257" s="850">
        <f>+Tabla1[[#This Row],[SUBTOTAL]]/Tabla1[[#This Row],[TIPO DE CAMBIO]]</f>
        <v>10339.080251928854</v>
      </c>
      <c r="AW257" s="851"/>
      <c r="AX257" s="850">
        <f>IFERROR(Tabla1[[#This Row],[VENTA TOTAL USD A PLAZO EN CLIENTE  (SIN IVA)]]*(1+Tabla1[[#This Row],[% IVA ]]),"")</f>
        <v>10339.080251928854</v>
      </c>
      <c r="AY257" s="850">
        <f>+Tabla1[[#This Row],[VENTA TOTAL USD A PLAZO EN CLIENTE  (SIN IVA)]]/Tabla1[[#This Row],[KGS]]*1000</f>
        <v>344.63600839762847</v>
      </c>
      <c r="AZ257" s="850">
        <f>-Tabla1[[#This Row],[COSTO FLETE $ POR BOLSA 5O KG (SIN IVA)]]*20/Tabla1[[#This Row],[TIPO DE CAMBIO]]</f>
        <v>1.0355737659001405</v>
      </c>
      <c r="BA257" s="850">
        <f>+Tabla1[[#This Row],[GASTOS FINANCIEROS $ BOLSA 50 KG (IVA INC)]]*20/Tabla1[[#This Row],[TIPO DE CAMBIO]]</f>
        <v>0.2319258705279712</v>
      </c>
      <c r="BB257" s="850">
        <f>+Tabla1[[#This Row],[PRECIO POR TN USD EN CLIENTE A PLAZO (SIN IVA)]]+Tabla1[[#This Row],[COSTO USD FLETE /TN (SIN IVA)]]+Tabla1[[#This Row],[COSTO FINANCIERO USD POR BOLSA 50KG (IVA INC)]]</f>
        <v>345.90350803405659</v>
      </c>
      <c r="BC257" s="828">
        <v>4</v>
      </c>
      <c r="BD257" s="944"/>
    </row>
    <row r="258" spans="1:56" ht="15.75" customHeight="1">
      <c r="A258" s="912">
        <v>46174</v>
      </c>
      <c r="B258" s="828">
        <v>1</v>
      </c>
      <c r="C258" s="792" t="s">
        <v>566</v>
      </c>
      <c r="D258" s="829">
        <f>+Tabla1[[#This Row],[FECHA Entrega]]</f>
        <v>46181</v>
      </c>
      <c r="E258" s="830"/>
      <c r="F258" s="831" t="s">
        <v>468</v>
      </c>
      <c r="G258" s="832" t="s">
        <v>216</v>
      </c>
      <c r="H258" s="852">
        <v>46181</v>
      </c>
      <c r="I258" s="943">
        <f>640*50</f>
        <v>32000</v>
      </c>
      <c r="J258" s="835">
        <f t="shared" si="103"/>
        <v>495.86776859504135</v>
      </c>
      <c r="K258" s="836">
        <f t="shared" si="98"/>
        <v>15867768.595041323</v>
      </c>
      <c r="L25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3332231.4049586779</v>
      </c>
      <c r="M258" s="837">
        <f t="shared" si="99"/>
        <v>19200000</v>
      </c>
      <c r="N258" s="838">
        <v>0</v>
      </c>
      <c r="O258" s="838">
        <v>0</v>
      </c>
      <c r="P258" s="838">
        <v>0</v>
      </c>
      <c r="Q258" s="839">
        <f>+Tabla1[[#This Row],[VENTA TOTAL $ (IVA INC) ]]</f>
        <v>19200000</v>
      </c>
      <c r="R258" s="840">
        <f>+Tabla1[[#This Row],[FECHA FC]]+Tabla1[[#This Row],[PLAZO ENTREGA VALORES]]</f>
        <v>46174</v>
      </c>
      <c r="S258" s="840">
        <f>+Tabla1[[#This Row],[FECHA FC]]+Tabla1[[#This Row],[PLAZO PAGO (DIAS)]]</f>
        <v>46196</v>
      </c>
      <c r="T258" s="834">
        <f t="shared" ca="1" si="100"/>
        <v>15</v>
      </c>
      <c r="U258" s="831">
        <v>-7</v>
      </c>
      <c r="V258" s="831"/>
      <c r="W258" s="841">
        <f t="shared" si="104"/>
        <v>46203</v>
      </c>
      <c r="X258" s="831" t="s">
        <v>549</v>
      </c>
      <c r="Y258" s="840">
        <v>46177</v>
      </c>
      <c r="Z258" s="842">
        <f>Tabla1[[#This Row],[KGS]]/50</f>
        <v>640</v>
      </c>
      <c r="AA25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58" s="844">
        <f>-Tabla1[[#This Row],[COSTO FLETE $ POR BOLSA 5O KG (SIN IVA)]]*1.21-Tabla1[[#This Row],[PRECIO $/ KG A PLAZO EN CLIENTE ( SIN IVA)]]*0.003*1.21*50</f>
        <v>0.14499999999999602</v>
      </c>
      <c r="AC258" s="845">
        <f>SUM(Tabla1[[#This Row],[PRECIO $ BOLSA 50 KG (IVA INC) ]]+Tabla1[[#This Row],[COSTO FLETE $ BOLSA 50 KG (IVA INC)]])</f>
        <v>30000.145</v>
      </c>
      <c r="AD258" s="844">
        <f>-Tabla1[[#This Row],[PRECIO $ BOLSA 50 KG (IVA INC) ]]*(Tabla1[[#This Row],[TASA FINANCIACION MENSUAL]]/365)*Tabla1[[#This Row],[PLAZO ENTREGA VALORES]]</f>
        <v>16.684931506849317</v>
      </c>
      <c r="AE258" s="845">
        <f>SUM(Tabla1[[#This Row],[PRECIO $ BOLSA50 KG  FOB TUCUMAN A PLAZO (IVA INC)]]+Tabla1[[#This Row],[GASTOS FINANCIEROS $ BOLSA 50 KG (IVA INC)]])</f>
        <v>30016.829931506851</v>
      </c>
      <c r="AF258" s="828" t="s">
        <v>359</v>
      </c>
      <c r="AG258" s="828" t="s">
        <v>365</v>
      </c>
      <c r="AH258" s="828" t="s">
        <v>387</v>
      </c>
      <c r="AI258" s="828" t="s">
        <v>391</v>
      </c>
      <c r="AJ25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258" s="846">
        <f>SUM(Tabla1[[#This Row],[PRECIO $ BOLSA 50KG  FOB CDO TUC (IVA INC)]]-Tabla1[[#This Row],[PRECIO REF $ BOLSA 50 KG CACTU (IVA INC)]])</f>
        <v>-7098.1700684931493</v>
      </c>
      <c r="AL258" s="847">
        <f>IFERROR(Tabla1[[#This Row],[PRECIO $ BOLSA 50KG  FOB CDO TUC (IVA INC)]]/Tabla1[[#This Row],[PRECIO REF $ BOLSA 50 KG CACTU (IVA INC)]]-1,"")</f>
        <v>-0.19124801477820685</v>
      </c>
      <c r="AM258" s="846">
        <f>+Tabla1[[#This Row],[DIF $ PRECIO NETO INDUSTRIA vs Neto TUCUMAN (IVA INC)]]*Tabla1[[#This Row],[Q Bolsas Equivalentes 50kg]]</f>
        <v>-4542828.8438356156</v>
      </c>
      <c r="AN258" s="846">
        <f>Tabla1[[#This Row],[PRECIO REF $ BOLSA 50 KG CACTU (IVA INC)]]*Tabla1[[#This Row],[Q Bolsas Equivalentes 50kg]]</f>
        <v>23753600</v>
      </c>
      <c r="AO258" s="846">
        <f>+Tabla1[[#This Row],[PRECIO $ BOLSA 50KG  FOB CDO TUC (IVA INC)]]*Tabla1[[#This Row],[Q Bolsas Equivalentes 50kg]]</f>
        <v>19210771.156164385</v>
      </c>
      <c r="AP258" s="847">
        <v>2.9000000000000001E-2</v>
      </c>
      <c r="AQ258" s="846">
        <v>-74.5</v>
      </c>
      <c r="AR258" s="828">
        <v>15</v>
      </c>
      <c r="AS258" s="849"/>
      <c r="AT258" s="923">
        <f>+Tabla1[[#This Row],[VENTA TOTAL $ (IVA INC) ]]-(SUM(Tabla1[[#This Row],[PENDIENTE DE ENTREGA]:[VALORES COBRADOS]]))</f>
        <v>0</v>
      </c>
      <c r="AU258" s="850">
        <f>VLOOKUP(Tabla1[[#This Row],[FECHA OC]],'TIPO DE CAMBIO'!A:B,2,TRUE)</f>
        <v>1438.8159000000001</v>
      </c>
      <c r="AV258" s="850">
        <f>+Tabla1[[#This Row],[SUBTOTAL]]/Tabla1[[#This Row],[TIPO DE CAMBIO]]</f>
        <v>11028.352268724111</v>
      </c>
      <c r="AW258" s="851"/>
      <c r="AX258" s="850">
        <f>IFERROR(Tabla1[[#This Row],[VENTA TOTAL USD A PLAZO EN CLIENTE  (SIN IVA)]]*(1+Tabla1[[#This Row],[% IVA ]]),"")</f>
        <v>11028.352268724111</v>
      </c>
      <c r="AY258" s="850">
        <f>+Tabla1[[#This Row],[VENTA TOTAL USD A PLAZO EN CLIENTE  (SIN IVA)]]/Tabla1[[#This Row],[KGS]]*1000</f>
        <v>344.63600839762847</v>
      </c>
      <c r="AZ258" s="850">
        <f>-Tabla1[[#This Row],[COSTO FLETE $ POR BOLSA 5O KG (SIN IVA)]]*20/Tabla1[[#This Row],[TIPO DE CAMBIO]]</f>
        <v>1.0355737659001405</v>
      </c>
      <c r="BA258" s="850">
        <f>+Tabla1[[#This Row],[GASTOS FINANCIEROS $ BOLSA 50 KG (IVA INC)]]*20/Tabla1[[#This Row],[TIPO DE CAMBIO]]</f>
        <v>0.2319258705279712</v>
      </c>
      <c r="BB258" s="850">
        <f>+Tabla1[[#This Row],[PRECIO POR TN USD EN CLIENTE A PLAZO (SIN IVA)]]+Tabla1[[#This Row],[COSTO USD FLETE /TN (SIN IVA)]]+Tabla1[[#This Row],[COSTO FINANCIERO USD POR BOLSA 50KG (IVA INC)]]</f>
        <v>345.90350803405659</v>
      </c>
      <c r="BC258" s="828">
        <v>4</v>
      </c>
      <c r="BD258" s="944" t="s">
        <v>547</v>
      </c>
    </row>
    <row r="259" spans="1:56" ht="15.75" customHeight="1">
      <c r="A259" s="912">
        <v>46174</v>
      </c>
      <c r="B259" s="828">
        <v>1</v>
      </c>
      <c r="C259" s="792" t="s">
        <v>566</v>
      </c>
      <c r="D259" s="829">
        <f>+Tabla1[[#This Row],[FECHA Entrega]]</f>
        <v>46183</v>
      </c>
      <c r="E259" s="830"/>
      <c r="F259" s="831" t="s">
        <v>468</v>
      </c>
      <c r="G259" s="832" t="s">
        <v>216</v>
      </c>
      <c r="H259" s="852">
        <v>46183</v>
      </c>
      <c r="I259" s="943">
        <f>473*50</f>
        <v>23650</v>
      </c>
      <c r="J259" s="835">
        <f t="shared" si="103"/>
        <v>495.86776859504135</v>
      </c>
      <c r="K259" s="836">
        <f t="shared" ref="K259" si="109">+J259*I259</f>
        <v>11727272.727272728</v>
      </c>
      <c r="L25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2462727.2727272729</v>
      </c>
      <c r="M259" s="837">
        <f t="shared" ref="M259" si="110">SUM(K259:L259)</f>
        <v>14190000.000000002</v>
      </c>
      <c r="N259" s="838">
        <v>0</v>
      </c>
      <c r="O259" s="838">
        <v>0</v>
      </c>
      <c r="P259" s="838">
        <v>0</v>
      </c>
      <c r="Q259" s="839">
        <f>+Tabla1[[#This Row],[VENTA TOTAL $ (IVA INC) ]]</f>
        <v>14190000.000000002</v>
      </c>
      <c r="R259" s="840">
        <f>+Tabla1[[#This Row],[FECHA FC]]+Tabla1[[#This Row],[PLAZO ENTREGA VALORES]]</f>
        <v>46176</v>
      </c>
      <c r="S259" s="840">
        <f>+Tabla1[[#This Row],[FECHA FC]]+Tabla1[[#This Row],[PLAZO PAGO (DIAS)]]</f>
        <v>46198</v>
      </c>
      <c r="T259" s="834">
        <f t="shared" ref="T259" ca="1" si="111">+S259-$U$2</f>
        <v>17</v>
      </c>
      <c r="U259" s="831">
        <v>-7</v>
      </c>
      <c r="V259" s="831"/>
      <c r="W259" s="841">
        <f t="shared" ref="W259" si="112">+S259+7</f>
        <v>46205</v>
      </c>
      <c r="X259" s="831" t="s">
        <v>549</v>
      </c>
      <c r="Y259" s="840">
        <v>46177</v>
      </c>
      <c r="Z259" s="842">
        <f>Tabla1[[#This Row],[KGS]]/50</f>
        <v>473</v>
      </c>
      <c r="AA25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59" s="844">
        <f>-Tabla1[[#This Row],[COSTO FLETE $ POR BOLSA 5O KG (SIN IVA)]]*1.21-Tabla1[[#This Row],[PRECIO $/ KG A PLAZO EN CLIENTE ( SIN IVA)]]*0.003*1.21*50</f>
        <v>0.14499999999999602</v>
      </c>
      <c r="AC259" s="845">
        <f>SUM(Tabla1[[#This Row],[PRECIO $ BOLSA 50 KG (IVA INC) ]]+Tabla1[[#This Row],[COSTO FLETE $ BOLSA 50 KG (IVA INC)]])</f>
        <v>30000.145</v>
      </c>
      <c r="AD259" s="844">
        <f>-Tabla1[[#This Row],[PRECIO $ BOLSA 50 KG (IVA INC) ]]*(Tabla1[[#This Row],[TASA FINANCIACION MENSUAL]]/365)*Tabla1[[#This Row],[PLAZO ENTREGA VALORES]]</f>
        <v>16.684931506849317</v>
      </c>
      <c r="AE259" s="845">
        <f>SUM(Tabla1[[#This Row],[PRECIO $ BOLSA50 KG  FOB TUCUMAN A PLAZO (IVA INC)]]+Tabla1[[#This Row],[GASTOS FINANCIEROS $ BOLSA 50 KG (IVA INC)]])</f>
        <v>30016.829931506851</v>
      </c>
      <c r="AF259" s="828" t="s">
        <v>359</v>
      </c>
      <c r="AG259" s="828" t="s">
        <v>365</v>
      </c>
      <c r="AH259" s="828" t="s">
        <v>387</v>
      </c>
      <c r="AI259" s="828" t="s">
        <v>391</v>
      </c>
      <c r="AJ25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259" s="846">
        <f>SUM(Tabla1[[#This Row],[PRECIO $ BOLSA 50KG  FOB CDO TUC (IVA INC)]]-Tabla1[[#This Row],[PRECIO REF $ BOLSA 50 KG CACTU (IVA INC)]])</f>
        <v>-7098.1700684931493</v>
      </c>
      <c r="AL259" s="847">
        <f>IFERROR(Tabla1[[#This Row],[PRECIO $ BOLSA 50KG  FOB CDO TUC (IVA INC)]]/Tabla1[[#This Row],[PRECIO REF $ BOLSA 50 KG CACTU (IVA INC)]]-1,"")</f>
        <v>-0.19124801477820685</v>
      </c>
      <c r="AM259" s="846">
        <f>+Tabla1[[#This Row],[DIF $ PRECIO NETO INDUSTRIA vs Neto TUCUMAN (IVA INC)]]*Tabla1[[#This Row],[Q Bolsas Equivalentes 50kg]]</f>
        <v>-3357434.4423972596</v>
      </c>
      <c r="AN259" s="846">
        <f>Tabla1[[#This Row],[PRECIO REF $ BOLSA 50 KG CACTU (IVA INC)]]*Tabla1[[#This Row],[Q Bolsas Equivalentes 50kg]]</f>
        <v>17555395</v>
      </c>
      <c r="AO259" s="846">
        <f>+Tabla1[[#This Row],[PRECIO $ BOLSA 50KG  FOB CDO TUC (IVA INC)]]*Tabla1[[#This Row],[Q Bolsas Equivalentes 50kg]]</f>
        <v>14197960.557602741</v>
      </c>
      <c r="AP259" s="847">
        <v>2.9000000000000001E-2</v>
      </c>
      <c r="AQ259" s="846">
        <v>-74.5</v>
      </c>
      <c r="AR259" s="828">
        <v>15</v>
      </c>
      <c r="AS259" s="849"/>
      <c r="AT259" s="923">
        <f>+Tabla1[[#This Row],[VENTA TOTAL $ (IVA INC) ]]-(SUM(Tabla1[[#This Row],[PENDIENTE DE ENTREGA]:[VALORES COBRADOS]]))</f>
        <v>0</v>
      </c>
      <c r="AU259" s="850">
        <f>VLOOKUP(Tabla1[[#This Row],[FECHA OC]],'TIPO DE CAMBIO'!A:B,2,TRUE)</f>
        <v>1438.8159000000001</v>
      </c>
      <c r="AV259" s="850">
        <f>+Tabla1[[#This Row],[SUBTOTAL]]/Tabla1[[#This Row],[TIPO DE CAMBIO]]</f>
        <v>8150.6415986039128</v>
      </c>
      <c r="AW259" s="851"/>
      <c r="AX259" s="850">
        <f>IFERROR(Tabla1[[#This Row],[VENTA TOTAL USD A PLAZO EN CLIENTE  (SIN IVA)]]*(1+Tabla1[[#This Row],[% IVA ]]),"")</f>
        <v>8150.6415986039128</v>
      </c>
      <c r="AY259" s="850">
        <f>+Tabla1[[#This Row],[VENTA TOTAL USD A PLAZO EN CLIENTE  (SIN IVA)]]/Tabla1[[#This Row],[KGS]]*1000</f>
        <v>344.63600839762842</v>
      </c>
      <c r="AZ259" s="850">
        <f>-Tabla1[[#This Row],[COSTO FLETE $ POR BOLSA 5O KG (SIN IVA)]]*20/Tabla1[[#This Row],[TIPO DE CAMBIO]]</f>
        <v>1.0355737659001405</v>
      </c>
      <c r="BA259" s="850">
        <f>+Tabla1[[#This Row],[GASTOS FINANCIEROS $ BOLSA 50 KG (IVA INC)]]*20/Tabla1[[#This Row],[TIPO DE CAMBIO]]</f>
        <v>0.2319258705279712</v>
      </c>
      <c r="BB259" s="850">
        <f>+Tabla1[[#This Row],[PRECIO POR TN USD EN CLIENTE A PLAZO (SIN IVA)]]+Tabla1[[#This Row],[COSTO USD FLETE /TN (SIN IVA)]]+Tabla1[[#This Row],[COSTO FINANCIERO USD POR BOLSA 50KG (IVA INC)]]</f>
        <v>345.90350803405653</v>
      </c>
      <c r="BC259" s="828">
        <v>4</v>
      </c>
      <c r="BD259" s="944" t="s">
        <v>547</v>
      </c>
    </row>
    <row r="260" spans="1:56" ht="15.75" customHeight="1">
      <c r="A260" s="912">
        <v>46174</v>
      </c>
      <c r="B260" s="828">
        <v>1</v>
      </c>
      <c r="C260" s="792" t="s">
        <v>592</v>
      </c>
      <c r="D260" s="829">
        <f>+Tabla1[[#This Row],[FECHA Entrega]]</f>
        <v>46175</v>
      </c>
      <c r="E260" s="830">
        <v>2857</v>
      </c>
      <c r="F260" s="831" t="s">
        <v>468</v>
      </c>
      <c r="G260" s="832" t="s">
        <v>357</v>
      </c>
      <c r="H260" s="852">
        <v>46175</v>
      </c>
      <c r="I260" s="943">
        <f t="shared" si="102"/>
        <v>30000</v>
      </c>
      <c r="J260" s="835">
        <f t="shared" si="103"/>
        <v>495.86776859504135</v>
      </c>
      <c r="K260" s="836">
        <f t="shared" si="98"/>
        <v>14876033.05785124</v>
      </c>
      <c r="L26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3123966.9421487604</v>
      </c>
      <c r="M260" s="837">
        <f t="shared" si="99"/>
        <v>18000000</v>
      </c>
      <c r="N260" s="838">
        <v>0</v>
      </c>
      <c r="O260" s="838">
        <v>0</v>
      </c>
      <c r="P260" s="838">
        <v>0</v>
      </c>
      <c r="Q260" s="839">
        <f>+Tabla1[[#This Row],[VENTA TOTAL $ (IVA INC) ]]</f>
        <v>18000000</v>
      </c>
      <c r="R260" s="840">
        <f>+Tabla1[[#This Row],[FECHA FC]]+Tabla1[[#This Row],[PLAZO ENTREGA VALORES]]</f>
        <v>46168</v>
      </c>
      <c r="S260" s="840">
        <f>+Tabla1[[#This Row],[FECHA FC]]+Tabla1[[#This Row],[PLAZO PAGO (DIAS)]]</f>
        <v>46190</v>
      </c>
      <c r="T260" s="834">
        <f t="shared" ca="1" si="100"/>
        <v>9</v>
      </c>
      <c r="U260" s="831">
        <v>-7</v>
      </c>
      <c r="V260" s="831"/>
      <c r="W260" s="841">
        <f t="shared" si="104"/>
        <v>46197</v>
      </c>
      <c r="X260" s="831" t="s">
        <v>549</v>
      </c>
      <c r="Y260" s="840">
        <v>46177</v>
      </c>
      <c r="Z260" s="842">
        <f>Tabla1[[#This Row],[KGS]]/50</f>
        <v>600</v>
      </c>
      <c r="AA26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60" s="844">
        <f>-Tabla1[[#This Row],[COSTO FLETE $ POR BOLSA 5O KG (SIN IVA)]]*1.21-Tabla1[[#This Row],[PRECIO $/ KG A PLAZO EN CLIENTE ( SIN IVA)]]*0.003*1.21*50</f>
        <v>0.14499999999999602</v>
      </c>
      <c r="AC260" s="845">
        <f>SUM(Tabla1[[#This Row],[PRECIO $ BOLSA 50 KG (IVA INC) ]]+Tabla1[[#This Row],[COSTO FLETE $ BOLSA 50 KG (IVA INC)]])</f>
        <v>30000.145</v>
      </c>
      <c r="AD260" s="844">
        <f>-Tabla1[[#This Row],[PRECIO $ BOLSA 50 KG (IVA INC) ]]*(Tabla1[[#This Row],[TASA FINANCIACION MENSUAL]]/365)*Tabla1[[#This Row],[PLAZO ENTREGA VALORES]]</f>
        <v>16.684931506849317</v>
      </c>
      <c r="AE260" s="845">
        <f>SUM(Tabla1[[#This Row],[PRECIO $ BOLSA50 KG  FOB TUCUMAN A PLAZO (IVA INC)]]+Tabla1[[#This Row],[GASTOS FINANCIEROS $ BOLSA 50 KG (IVA INC)]])</f>
        <v>30016.829931506851</v>
      </c>
      <c r="AF260" s="828" t="s">
        <v>359</v>
      </c>
      <c r="AG260" s="828" t="s">
        <v>365</v>
      </c>
      <c r="AH260" s="828" t="s">
        <v>387</v>
      </c>
      <c r="AI260" s="828" t="s">
        <v>391</v>
      </c>
      <c r="AJ26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260" s="846">
        <f>SUM(Tabla1[[#This Row],[PRECIO $ BOLSA 50KG  FOB CDO TUC (IVA INC)]]-Tabla1[[#This Row],[PRECIO REF $ BOLSA 50 KG CACTU (IVA INC)]])</f>
        <v>-7098.1700684931493</v>
      </c>
      <c r="AL260" s="847">
        <f>IFERROR(Tabla1[[#This Row],[PRECIO $ BOLSA 50KG  FOB CDO TUC (IVA INC)]]/Tabla1[[#This Row],[PRECIO REF $ BOLSA 50 KG CACTU (IVA INC)]]-1,"")</f>
        <v>-0.19124801477820685</v>
      </c>
      <c r="AM260" s="846">
        <f>+Tabla1[[#This Row],[DIF $ PRECIO NETO INDUSTRIA vs Neto TUCUMAN (IVA INC)]]*Tabla1[[#This Row],[Q Bolsas Equivalentes 50kg]]</f>
        <v>-4258902.0410958892</v>
      </c>
      <c r="AN260" s="846">
        <f>Tabla1[[#This Row],[PRECIO REF $ BOLSA 50 KG CACTU (IVA INC)]]*Tabla1[[#This Row],[Q Bolsas Equivalentes 50kg]]</f>
        <v>22269000</v>
      </c>
      <c r="AO260" s="846">
        <f>+Tabla1[[#This Row],[PRECIO $ BOLSA 50KG  FOB CDO TUC (IVA INC)]]*Tabla1[[#This Row],[Q Bolsas Equivalentes 50kg]]</f>
        <v>18010097.95890411</v>
      </c>
      <c r="AP260" s="847">
        <v>2.9000000000000001E-2</v>
      </c>
      <c r="AQ260" s="846">
        <v>-74.5</v>
      </c>
      <c r="AR260" s="828">
        <v>15</v>
      </c>
      <c r="AS260" s="849" t="s">
        <v>595</v>
      </c>
      <c r="AT260" s="923">
        <f>+Tabla1[[#This Row],[VENTA TOTAL $ (IVA INC) ]]-(SUM(Tabla1[[#This Row],[PENDIENTE DE ENTREGA]:[VALORES COBRADOS]]))</f>
        <v>0</v>
      </c>
      <c r="AU260" s="850">
        <f>VLOOKUP(Tabla1[[#This Row],[FECHA OC]],'TIPO DE CAMBIO'!A:B,2,TRUE)</f>
        <v>1438.8159000000001</v>
      </c>
      <c r="AV260" s="850">
        <f>+Tabla1[[#This Row],[SUBTOTAL]]/Tabla1[[#This Row],[TIPO DE CAMBIO]]</f>
        <v>10339.080251928854</v>
      </c>
      <c r="AW260" s="851"/>
      <c r="AX260" s="850">
        <f>IFERROR(Tabla1[[#This Row],[VENTA TOTAL USD A PLAZO EN CLIENTE  (SIN IVA)]]*(1+Tabla1[[#This Row],[% IVA ]]),"")</f>
        <v>10339.080251928854</v>
      </c>
      <c r="AY260" s="850">
        <f>+Tabla1[[#This Row],[VENTA TOTAL USD A PLAZO EN CLIENTE  (SIN IVA)]]/Tabla1[[#This Row],[KGS]]*1000</f>
        <v>344.63600839762847</v>
      </c>
      <c r="AZ260" s="850">
        <f>-Tabla1[[#This Row],[COSTO FLETE $ POR BOLSA 5O KG (SIN IVA)]]*20/Tabla1[[#This Row],[TIPO DE CAMBIO]]</f>
        <v>1.0355737659001405</v>
      </c>
      <c r="BA260" s="850">
        <f>+Tabla1[[#This Row],[GASTOS FINANCIEROS $ BOLSA 50 KG (IVA INC)]]*20/Tabla1[[#This Row],[TIPO DE CAMBIO]]</f>
        <v>0.2319258705279712</v>
      </c>
      <c r="BB260" s="850">
        <f>+Tabla1[[#This Row],[PRECIO POR TN USD EN CLIENTE A PLAZO (SIN IVA)]]+Tabla1[[#This Row],[COSTO USD FLETE /TN (SIN IVA)]]+Tabla1[[#This Row],[COSTO FINANCIERO USD POR BOLSA 50KG (IVA INC)]]</f>
        <v>345.90350803405659</v>
      </c>
      <c r="BC260" s="828">
        <v>4</v>
      </c>
      <c r="BD260" s="944" t="s">
        <v>547</v>
      </c>
    </row>
    <row r="261" spans="1:56" ht="15.75" customHeight="1">
      <c r="A261" s="912">
        <v>46174</v>
      </c>
      <c r="B261" s="828">
        <v>1</v>
      </c>
      <c r="C261" s="792" t="s">
        <v>592</v>
      </c>
      <c r="D261" s="829">
        <f>+Tabla1[[#This Row],[FECHA Entrega]]</f>
        <v>46175</v>
      </c>
      <c r="E261" s="830">
        <v>2857</v>
      </c>
      <c r="F261" s="831" t="s">
        <v>468</v>
      </c>
      <c r="G261" s="832" t="s">
        <v>357</v>
      </c>
      <c r="H261" s="852">
        <v>46175</v>
      </c>
      <c r="I261" s="943">
        <f>+(1134-600)*50</f>
        <v>26700</v>
      </c>
      <c r="J261" s="835">
        <f>29000/50/1.21</f>
        <v>479.3388429752066</v>
      </c>
      <c r="K261" s="836">
        <f t="shared" si="98"/>
        <v>12798347.107438017</v>
      </c>
      <c r="L26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2687652.8925619833</v>
      </c>
      <c r="M261" s="837">
        <f t="shared" si="99"/>
        <v>15486000</v>
      </c>
      <c r="N261" s="838">
        <v>0</v>
      </c>
      <c r="O261" s="838">
        <v>0</v>
      </c>
      <c r="P261" s="838">
        <v>0</v>
      </c>
      <c r="Q261" s="839">
        <f>+Tabla1[[#This Row],[VENTA TOTAL $ (IVA INC) ]]</f>
        <v>15486000</v>
      </c>
      <c r="R261" s="840">
        <f>+Tabla1[[#This Row],[FECHA FC]]+Tabla1[[#This Row],[PLAZO ENTREGA VALORES]]</f>
        <v>46168</v>
      </c>
      <c r="S261" s="840">
        <f>+Tabla1[[#This Row],[FECHA FC]]+Tabla1[[#This Row],[PLAZO PAGO (DIAS)]]</f>
        <v>46190</v>
      </c>
      <c r="T261" s="834">
        <f t="shared" ca="1" si="100"/>
        <v>9</v>
      </c>
      <c r="U261" s="831">
        <v>-7</v>
      </c>
      <c r="V261" s="831"/>
      <c r="W261" s="841">
        <f t="shared" si="104"/>
        <v>46197</v>
      </c>
      <c r="X261" s="831" t="s">
        <v>549</v>
      </c>
      <c r="Y261" s="840">
        <v>46177</v>
      </c>
      <c r="Z261" s="842">
        <f>Tabla1[[#This Row],[KGS]]/50</f>
        <v>534</v>
      </c>
      <c r="AA26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28999.999999999996</v>
      </c>
      <c r="AB261" s="844">
        <f>-Tabla1[[#This Row],[COSTO FLETE $ POR BOLSA 5O KG (SIN IVA)]]*1.21-Tabla1[[#This Row],[PRECIO $/ KG A PLAZO EN CLIENTE ( SIN IVA)]]*0.003*1.21*50</f>
        <v>0.12000000000000455</v>
      </c>
      <c r="AC261" s="845">
        <f>SUM(Tabla1[[#This Row],[PRECIO $ BOLSA 50 KG (IVA INC) ]]+Tabla1[[#This Row],[COSTO FLETE $ BOLSA 50 KG (IVA INC)]])</f>
        <v>29000.119999999995</v>
      </c>
      <c r="AD261" s="844">
        <f>-Tabla1[[#This Row],[PRECIO $ BOLSA 50 KG (IVA INC) ]]*(Tabla1[[#This Row],[TASA FINANCIACION MENSUAL]]/365)*Tabla1[[#This Row],[PLAZO ENTREGA VALORES]]</f>
        <v>16.128767123287666</v>
      </c>
      <c r="AE261" s="845">
        <f>SUM(Tabla1[[#This Row],[PRECIO $ BOLSA50 KG  FOB TUCUMAN A PLAZO (IVA INC)]]+Tabla1[[#This Row],[GASTOS FINANCIEROS $ BOLSA 50 KG (IVA INC)]])</f>
        <v>29016.248767123285</v>
      </c>
      <c r="AF261" s="828" t="s">
        <v>359</v>
      </c>
      <c r="AG261" s="828" t="s">
        <v>365</v>
      </c>
      <c r="AH261" s="828" t="s">
        <v>387</v>
      </c>
      <c r="AI261" s="828" t="s">
        <v>391</v>
      </c>
      <c r="AJ26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261" s="846">
        <f>SUM(Tabla1[[#This Row],[PRECIO $ BOLSA 50KG  FOB CDO TUC (IVA INC)]]-Tabla1[[#This Row],[PRECIO REF $ BOLSA 50 KG CACTU (IVA INC)]])</f>
        <v>-8098.7512328767152</v>
      </c>
      <c r="AL261" s="847">
        <f>IFERROR(Tabla1[[#This Row],[PRECIO $ BOLSA 50KG  FOB CDO TUC (IVA INC)]]/Tabla1[[#This Row],[PRECIO REF $ BOLSA 50 KG CACTU (IVA INC)]]-1,"")</f>
        <v>-0.21820695764183529</v>
      </c>
      <c r="AM261" s="846">
        <f>+Tabla1[[#This Row],[DIF $ PRECIO NETO INDUSTRIA vs Neto TUCUMAN (IVA INC)]]*Tabla1[[#This Row],[Q Bolsas Equivalentes 50kg]]</f>
        <v>-4324733.1583561655</v>
      </c>
      <c r="AN261" s="846">
        <f>Tabla1[[#This Row],[PRECIO REF $ BOLSA 50 KG CACTU (IVA INC)]]*Tabla1[[#This Row],[Q Bolsas Equivalentes 50kg]]</f>
        <v>19819410</v>
      </c>
      <c r="AO261" s="846">
        <f>+Tabla1[[#This Row],[PRECIO $ BOLSA 50KG  FOB CDO TUC (IVA INC)]]*Tabla1[[#This Row],[Q Bolsas Equivalentes 50kg]]</f>
        <v>15494676.841643834</v>
      </c>
      <c r="AP261" s="847">
        <v>2.9000000000000001E-2</v>
      </c>
      <c r="AQ261" s="846">
        <v>-72</v>
      </c>
      <c r="AR261" s="828">
        <v>15</v>
      </c>
      <c r="AS261" s="849" t="s">
        <v>596</v>
      </c>
      <c r="AT261" s="923">
        <f>+Tabla1[[#This Row],[VENTA TOTAL $ (IVA INC) ]]-(SUM(Tabla1[[#This Row],[PENDIENTE DE ENTREGA]:[VALORES COBRADOS]]))</f>
        <v>0</v>
      </c>
      <c r="AU261" s="850">
        <f>VLOOKUP(Tabla1[[#This Row],[FECHA OC]],'TIPO DE CAMBIO'!A:B,2,TRUE)</f>
        <v>1438.8159000000001</v>
      </c>
      <c r="AV261" s="850">
        <f>+Tabla1[[#This Row],[SUBTOTAL]]/Tabla1[[#This Row],[TIPO DE CAMBIO]]</f>
        <v>8895.05537674279</v>
      </c>
      <c r="AW261" s="851"/>
      <c r="AX261" s="850">
        <f>IFERROR(Tabla1[[#This Row],[VENTA TOTAL USD A PLAZO EN CLIENTE  (SIN IVA)]]*(1+Tabla1[[#This Row],[% IVA ]]),"")</f>
        <v>8895.05537674279</v>
      </c>
      <c r="AY261" s="850">
        <f>+Tabla1[[#This Row],[VENTA TOTAL USD A PLAZO EN CLIENTE  (SIN IVA)]]/Tabla1[[#This Row],[KGS]]*1000</f>
        <v>333.14814145104083</v>
      </c>
      <c r="AZ261" s="850">
        <f>-Tabla1[[#This Row],[COSTO FLETE $ POR BOLSA 5O KG (SIN IVA)]]*20/Tabla1[[#This Row],[TIPO DE CAMBIO]]</f>
        <v>1.0008229683867129</v>
      </c>
      <c r="BA261" s="850">
        <f>+Tabla1[[#This Row],[GASTOS FINANCIEROS $ BOLSA 50 KG (IVA INC)]]*20/Tabla1[[#This Row],[TIPO DE CAMBIO]]</f>
        <v>0.22419500817703872</v>
      </c>
      <c r="BB261" s="850">
        <f>+Tabla1[[#This Row],[PRECIO POR TN USD EN CLIENTE A PLAZO (SIN IVA)]]+Tabla1[[#This Row],[COSTO USD FLETE /TN (SIN IVA)]]+Tabla1[[#This Row],[COSTO FINANCIERO USD POR BOLSA 50KG (IVA INC)]]</f>
        <v>334.37315942760461</v>
      </c>
      <c r="BC261" s="828">
        <v>4</v>
      </c>
      <c r="BD261" s="944" t="s">
        <v>547</v>
      </c>
    </row>
    <row r="262" spans="1:56" ht="15.75" customHeight="1">
      <c r="A262" s="912">
        <v>46174</v>
      </c>
      <c r="B262" s="828">
        <v>1</v>
      </c>
      <c r="C262" s="792" t="s">
        <v>592</v>
      </c>
      <c r="D262" s="829">
        <f>+Tabla1[[#This Row],[FECHA Entrega]]</f>
        <v>46182</v>
      </c>
      <c r="E262" s="830"/>
      <c r="F262" s="831" t="s">
        <v>468</v>
      </c>
      <c r="G262" s="832" t="s">
        <v>216</v>
      </c>
      <c r="H262" s="852">
        <v>46182</v>
      </c>
      <c r="I262" s="943">
        <f>1086*50</f>
        <v>54300</v>
      </c>
      <c r="J262" s="835">
        <f>29000/50/1.21</f>
        <v>479.3388429752066</v>
      </c>
      <c r="K262" s="836">
        <f t="shared" ref="K262:K264" si="113">+J262*I262</f>
        <v>26028099.17355372</v>
      </c>
      <c r="L26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5465900.8264462808</v>
      </c>
      <c r="M262" s="837">
        <f t="shared" ref="M262:M264" si="114">SUM(K262:L262)</f>
        <v>31494000</v>
      </c>
      <c r="N262" s="838">
        <v>0</v>
      </c>
      <c r="O262" s="838">
        <v>0</v>
      </c>
      <c r="P262" s="838">
        <v>0</v>
      </c>
      <c r="Q262" s="839">
        <f>+Tabla1[[#This Row],[VENTA TOTAL $ (IVA INC) ]]</f>
        <v>31494000</v>
      </c>
      <c r="R262" s="840">
        <f>+Tabla1[[#This Row],[FECHA FC]]+Tabla1[[#This Row],[PLAZO ENTREGA VALORES]]</f>
        <v>46175</v>
      </c>
      <c r="S262" s="840">
        <f>+Tabla1[[#This Row],[FECHA FC]]+Tabla1[[#This Row],[PLAZO PAGO (DIAS)]]</f>
        <v>46197</v>
      </c>
      <c r="T262" s="834">
        <f t="shared" ref="T262:T264" ca="1" si="115">+S262-$U$2</f>
        <v>16</v>
      </c>
      <c r="U262" s="831">
        <v>-7</v>
      </c>
      <c r="V262" s="831"/>
      <c r="W262" s="841">
        <f t="shared" ref="W262:W264" si="116">+S262+7</f>
        <v>46204</v>
      </c>
      <c r="X262" s="831" t="s">
        <v>549</v>
      </c>
      <c r="Y262" s="840">
        <v>46177</v>
      </c>
      <c r="Z262" s="842">
        <f>Tabla1[[#This Row],[KGS]]/50</f>
        <v>1086</v>
      </c>
      <c r="AA26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28999.999999999996</v>
      </c>
      <c r="AB262" s="844">
        <f>-Tabla1[[#This Row],[COSTO FLETE $ POR BOLSA 5O KG (SIN IVA)]]*1.21-Tabla1[[#This Row],[PRECIO $/ KG A PLAZO EN CLIENTE ( SIN IVA)]]*0.003*1.21*50</f>
        <v>0.12000000000000455</v>
      </c>
      <c r="AC262" s="845">
        <f>SUM(Tabla1[[#This Row],[PRECIO $ BOLSA 50 KG (IVA INC) ]]+Tabla1[[#This Row],[COSTO FLETE $ BOLSA 50 KG (IVA INC)]])</f>
        <v>29000.119999999995</v>
      </c>
      <c r="AD262" s="844">
        <f>-Tabla1[[#This Row],[PRECIO $ BOLSA 50 KG (IVA INC) ]]*(Tabla1[[#This Row],[TASA FINANCIACION MENSUAL]]/365)*Tabla1[[#This Row],[PLAZO ENTREGA VALORES]]</f>
        <v>16.128767123287666</v>
      </c>
      <c r="AE262" s="845">
        <f>SUM(Tabla1[[#This Row],[PRECIO $ BOLSA50 KG  FOB TUCUMAN A PLAZO (IVA INC)]]+Tabla1[[#This Row],[GASTOS FINANCIEROS $ BOLSA 50 KG (IVA INC)]])</f>
        <v>29016.248767123285</v>
      </c>
      <c r="AF262" s="828" t="s">
        <v>359</v>
      </c>
      <c r="AG262" s="828" t="s">
        <v>365</v>
      </c>
      <c r="AH262" s="828" t="s">
        <v>387</v>
      </c>
      <c r="AI262" s="828" t="s">
        <v>391</v>
      </c>
      <c r="AJ26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262" s="846">
        <f>SUM(Tabla1[[#This Row],[PRECIO $ BOLSA 50KG  FOB CDO TUC (IVA INC)]]-Tabla1[[#This Row],[PRECIO REF $ BOLSA 50 KG CACTU (IVA INC)]])</f>
        <v>-8098.7512328767152</v>
      </c>
      <c r="AL262" s="847">
        <f>IFERROR(Tabla1[[#This Row],[PRECIO $ BOLSA 50KG  FOB CDO TUC (IVA INC)]]/Tabla1[[#This Row],[PRECIO REF $ BOLSA 50 KG CACTU (IVA INC)]]-1,"")</f>
        <v>-0.21820695764183529</v>
      </c>
      <c r="AM262" s="846">
        <f>+Tabla1[[#This Row],[DIF $ PRECIO NETO INDUSTRIA vs Neto TUCUMAN (IVA INC)]]*Tabla1[[#This Row],[Q Bolsas Equivalentes 50kg]]</f>
        <v>-8795243.8389041126</v>
      </c>
      <c r="AN262" s="846">
        <f>Tabla1[[#This Row],[PRECIO REF $ BOLSA 50 KG CACTU (IVA INC)]]*Tabla1[[#This Row],[Q Bolsas Equivalentes 50kg]]</f>
        <v>40306890</v>
      </c>
      <c r="AO262" s="846">
        <f>+Tabla1[[#This Row],[PRECIO $ BOLSA 50KG  FOB CDO TUC (IVA INC)]]*Tabla1[[#This Row],[Q Bolsas Equivalentes 50kg]]</f>
        <v>31511646.161095887</v>
      </c>
      <c r="AP262" s="847">
        <v>2.9000000000000001E-2</v>
      </c>
      <c r="AQ262" s="846">
        <v>-72</v>
      </c>
      <c r="AR262" s="828">
        <v>15</v>
      </c>
      <c r="AS262" s="849"/>
      <c r="AT262" s="923">
        <f>+Tabla1[[#This Row],[VENTA TOTAL $ (IVA INC) ]]-(SUM(Tabla1[[#This Row],[PENDIENTE DE ENTREGA]:[VALORES COBRADOS]]))</f>
        <v>0</v>
      </c>
      <c r="AU262" s="850">
        <f>VLOOKUP(Tabla1[[#This Row],[FECHA OC]],'TIPO DE CAMBIO'!A:B,2,TRUE)</f>
        <v>1438.8159000000001</v>
      </c>
      <c r="AV262" s="850">
        <f>+Tabla1[[#This Row],[SUBTOTAL]]/Tabla1[[#This Row],[TIPO DE CAMBIO]]</f>
        <v>18089.944080791516</v>
      </c>
      <c r="AW262" s="851"/>
      <c r="AX262" s="850">
        <f>IFERROR(Tabla1[[#This Row],[VENTA TOTAL USD A PLAZO EN CLIENTE  (SIN IVA)]]*(1+Tabla1[[#This Row],[% IVA ]]),"")</f>
        <v>18089.944080791516</v>
      </c>
      <c r="AY262" s="850">
        <f>+Tabla1[[#This Row],[VENTA TOTAL USD A PLAZO EN CLIENTE  (SIN IVA)]]/Tabla1[[#This Row],[KGS]]*1000</f>
        <v>333.14814145104083</v>
      </c>
      <c r="AZ262" s="850">
        <f>-Tabla1[[#This Row],[COSTO FLETE $ POR BOLSA 5O KG (SIN IVA)]]*20/Tabla1[[#This Row],[TIPO DE CAMBIO]]</f>
        <v>1.0008229683867129</v>
      </c>
      <c r="BA262" s="850">
        <f>+Tabla1[[#This Row],[GASTOS FINANCIEROS $ BOLSA 50 KG (IVA INC)]]*20/Tabla1[[#This Row],[TIPO DE CAMBIO]]</f>
        <v>0.22419500817703872</v>
      </c>
      <c r="BB262" s="850">
        <f>+Tabla1[[#This Row],[PRECIO POR TN USD EN CLIENTE A PLAZO (SIN IVA)]]+Tabla1[[#This Row],[COSTO USD FLETE /TN (SIN IVA)]]+Tabla1[[#This Row],[COSTO FINANCIERO USD POR BOLSA 50KG (IVA INC)]]</f>
        <v>334.37315942760461</v>
      </c>
      <c r="BC262" s="828">
        <v>4</v>
      </c>
      <c r="BD262" s="944" t="s">
        <v>547</v>
      </c>
    </row>
    <row r="263" spans="1:56" ht="15.75" customHeight="1">
      <c r="A263" s="912">
        <v>46174</v>
      </c>
      <c r="B263" s="828">
        <v>1</v>
      </c>
      <c r="C263" s="792" t="s">
        <v>531</v>
      </c>
      <c r="D263" s="829">
        <f>+Tabla1[[#This Row],[FECHA Entrega]]</f>
        <v>46182</v>
      </c>
      <c r="E263" s="830"/>
      <c r="F263" s="831" t="s">
        <v>468</v>
      </c>
      <c r="G263" s="832" t="s">
        <v>216</v>
      </c>
      <c r="H263" s="852">
        <v>46182</v>
      </c>
      <c r="I263" s="943">
        <f>263*50</f>
        <v>13150</v>
      </c>
      <c r="J263" s="835">
        <f t="shared" si="103"/>
        <v>495.86776859504135</v>
      </c>
      <c r="K263" s="836">
        <f t="shared" si="113"/>
        <v>6520661.1570247943</v>
      </c>
      <c r="L26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1369338.8429752067</v>
      </c>
      <c r="M263" s="837">
        <f t="shared" si="114"/>
        <v>7890000.0000000009</v>
      </c>
      <c r="N263" s="838">
        <v>0</v>
      </c>
      <c r="O263" s="838">
        <v>0</v>
      </c>
      <c r="P263" s="838">
        <v>0</v>
      </c>
      <c r="Q263" s="839">
        <f>+Tabla1[[#This Row],[VENTA TOTAL $ (IVA INC) ]]</f>
        <v>7890000.0000000009</v>
      </c>
      <c r="R263" s="840">
        <f>+Tabla1[[#This Row],[FECHA FC]]+Tabla1[[#This Row],[PLAZO ENTREGA VALORES]]</f>
        <v>46175</v>
      </c>
      <c r="S263" s="840">
        <f>+Tabla1[[#This Row],[FECHA FC]]+Tabla1[[#This Row],[PLAZO PAGO (DIAS)]]</f>
        <v>46197</v>
      </c>
      <c r="T263" s="834">
        <f t="shared" ca="1" si="115"/>
        <v>16</v>
      </c>
      <c r="U263" s="831">
        <v>-7</v>
      </c>
      <c r="V263" s="831"/>
      <c r="W263" s="841">
        <f t="shared" si="116"/>
        <v>46204</v>
      </c>
      <c r="X263" s="831" t="s">
        <v>549</v>
      </c>
      <c r="Y263" s="840">
        <v>46177</v>
      </c>
      <c r="Z263" s="842">
        <f>Tabla1[[#This Row],[KGS]]/50</f>
        <v>263</v>
      </c>
      <c r="AA26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63" s="844">
        <f>-Tabla1[[#This Row],[COSTO FLETE $ POR BOLSA 5O KG (SIN IVA)]]*1.21-Tabla1[[#This Row],[PRECIO $/ KG A PLAZO EN CLIENTE ( SIN IVA)]]*0.003*1.21*50</f>
        <v>0.14499999999999602</v>
      </c>
      <c r="AC263" s="845">
        <f>SUM(Tabla1[[#This Row],[PRECIO $ BOLSA 50 KG (IVA INC) ]]+Tabla1[[#This Row],[COSTO FLETE $ BOLSA 50 KG (IVA INC)]])</f>
        <v>30000.145</v>
      </c>
      <c r="AD263" s="844">
        <f>-Tabla1[[#This Row],[PRECIO $ BOLSA 50 KG (IVA INC) ]]*(Tabla1[[#This Row],[TASA FINANCIACION MENSUAL]]/365)*Tabla1[[#This Row],[PLAZO ENTREGA VALORES]]</f>
        <v>16.684931506849317</v>
      </c>
      <c r="AE263" s="845">
        <f>SUM(Tabla1[[#This Row],[PRECIO $ BOLSA50 KG  FOB TUCUMAN A PLAZO (IVA INC)]]+Tabla1[[#This Row],[GASTOS FINANCIEROS $ BOLSA 50 KG (IVA INC)]])</f>
        <v>30016.829931506851</v>
      </c>
      <c r="AF263" s="828" t="s">
        <v>359</v>
      </c>
      <c r="AG263" s="828" t="s">
        <v>365</v>
      </c>
      <c r="AH263" s="828" t="s">
        <v>387</v>
      </c>
      <c r="AI263" s="828" t="s">
        <v>391</v>
      </c>
      <c r="AJ26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263" s="846">
        <f>SUM(Tabla1[[#This Row],[PRECIO $ BOLSA 50KG  FOB CDO TUC (IVA INC)]]-Tabla1[[#This Row],[PRECIO REF $ BOLSA 50 KG CACTU (IVA INC)]])</f>
        <v>-7098.1700684931493</v>
      </c>
      <c r="AL263" s="847">
        <f>IFERROR(Tabla1[[#This Row],[PRECIO $ BOLSA 50KG  FOB CDO TUC (IVA INC)]]/Tabla1[[#This Row],[PRECIO REF $ BOLSA 50 KG CACTU (IVA INC)]]-1,"")</f>
        <v>-0.19124801477820685</v>
      </c>
      <c r="AM263" s="846">
        <f>+Tabla1[[#This Row],[DIF $ PRECIO NETO INDUSTRIA vs Neto TUCUMAN (IVA INC)]]*Tabla1[[#This Row],[Q Bolsas Equivalentes 50kg]]</f>
        <v>-1866818.7280136982</v>
      </c>
      <c r="AN263" s="846">
        <f>Tabla1[[#This Row],[PRECIO REF $ BOLSA 50 KG CACTU (IVA INC)]]*Tabla1[[#This Row],[Q Bolsas Equivalentes 50kg]]</f>
        <v>9761245</v>
      </c>
      <c r="AO263" s="846">
        <f>+Tabla1[[#This Row],[PRECIO $ BOLSA 50KG  FOB CDO TUC (IVA INC)]]*Tabla1[[#This Row],[Q Bolsas Equivalentes 50kg]]</f>
        <v>7894426.271986302</v>
      </c>
      <c r="AP263" s="847">
        <v>2.9000000000000001E-2</v>
      </c>
      <c r="AQ263" s="846">
        <v>-74.5</v>
      </c>
      <c r="AR263" s="828">
        <v>15</v>
      </c>
      <c r="AS263" s="849"/>
      <c r="AT263" s="923">
        <f>+Tabla1[[#This Row],[VENTA TOTAL $ (IVA INC) ]]-(SUM(Tabla1[[#This Row],[PENDIENTE DE ENTREGA]:[VALORES COBRADOS]]))</f>
        <v>0</v>
      </c>
      <c r="AU263" s="850">
        <f>VLOOKUP(Tabla1[[#This Row],[FECHA OC]],'TIPO DE CAMBIO'!A:B,2,TRUE)</f>
        <v>1438.8159000000001</v>
      </c>
      <c r="AV263" s="850">
        <f>+Tabla1[[#This Row],[SUBTOTAL]]/Tabla1[[#This Row],[TIPO DE CAMBIO]]</f>
        <v>4531.9635104288145</v>
      </c>
      <c r="AW263" s="851"/>
      <c r="AX263" s="850">
        <f>IFERROR(Tabla1[[#This Row],[VENTA TOTAL USD A PLAZO EN CLIENTE  (SIN IVA)]]*(1+Tabla1[[#This Row],[% IVA ]]),"")</f>
        <v>4531.9635104288145</v>
      </c>
      <c r="AY263" s="850">
        <f>+Tabla1[[#This Row],[VENTA TOTAL USD A PLAZO EN CLIENTE  (SIN IVA)]]/Tabla1[[#This Row],[KGS]]*1000</f>
        <v>344.63600839762847</v>
      </c>
      <c r="AZ263" s="850">
        <f>-Tabla1[[#This Row],[COSTO FLETE $ POR BOLSA 5O KG (SIN IVA)]]*20/Tabla1[[#This Row],[TIPO DE CAMBIO]]</f>
        <v>1.0355737659001405</v>
      </c>
      <c r="BA263" s="850">
        <f>+Tabla1[[#This Row],[GASTOS FINANCIEROS $ BOLSA 50 KG (IVA INC)]]*20/Tabla1[[#This Row],[TIPO DE CAMBIO]]</f>
        <v>0.2319258705279712</v>
      </c>
      <c r="BB263" s="850">
        <f>+Tabla1[[#This Row],[PRECIO POR TN USD EN CLIENTE A PLAZO (SIN IVA)]]+Tabla1[[#This Row],[COSTO USD FLETE /TN (SIN IVA)]]+Tabla1[[#This Row],[COSTO FINANCIERO USD POR BOLSA 50KG (IVA INC)]]</f>
        <v>345.90350803405659</v>
      </c>
      <c r="BC263" s="828">
        <v>4</v>
      </c>
      <c r="BD263" s="944" t="s">
        <v>547</v>
      </c>
    </row>
    <row r="264" spans="1:56" ht="15.75" customHeight="1">
      <c r="A264" s="912">
        <v>46174</v>
      </c>
      <c r="B264" s="828">
        <v>1</v>
      </c>
      <c r="C264" s="792" t="s">
        <v>530</v>
      </c>
      <c r="D264" s="829">
        <f>+Tabla1[[#This Row],[FECHA Entrega]]</f>
        <v>46185</v>
      </c>
      <c r="E264" s="830"/>
      <c r="F264" s="831" t="s">
        <v>468</v>
      </c>
      <c r="G264" s="832" t="s">
        <v>216</v>
      </c>
      <c r="H264" s="852">
        <v>46185</v>
      </c>
      <c r="I264" s="943">
        <f>473*50</f>
        <v>23650</v>
      </c>
      <c r="J264" s="835">
        <f>600/1.21</f>
        <v>495.86776859504135</v>
      </c>
      <c r="K264" s="836">
        <f t="shared" si="113"/>
        <v>11727272.727272728</v>
      </c>
      <c r="L26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2462727.2727272729</v>
      </c>
      <c r="M264" s="837">
        <f t="shared" si="114"/>
        <v>14190000.000000002</v>
      </c>
      <c r="N264" s="838">
        <v>0</v>
      </c>
      <c r="O264" s="838">
        <v>0</v>
      </c>
      <c r="P264" s="838">
        <v>0</v>
      </c>
      <c r="Q264" s="839">
        <f>+Tabla1[[#This Row],[VENTA TOTAL $ (IVA INC) ]]-Tabla1[[#This Row],[PENDIENTE DE COBRO]]</f>
        <v>14190000.000000002</v>
      </c>
      <c r="R264" s="840">
        <f>+Tabla1[[#This Row],[FECHA FC]]+Tabla1[[#This Row],[PLAZO ENTREGA VALORES]]</f>
        <v>46175</v>
      </c>
      <c r="S264" s="840">
        <f>+Tabla1[[#This Row],[FECHA FC]]+Tabla1[[#This Row],[PLAZO PAGO (DIAS)]]</f>
        <v>46185</v>
      </c>
      <c r="T264" s="834">
        <f t="shared" ca="1" si="115"/>
        <v>4</v>
      </c>
      <c r="U264" s="831">
        <v>-10</v>
      </c>
      <c r="V264" s="831"/>
      <c r="W264" s="841">
        <f t="shared" si="116"/>
        <v>46192</v>
      </c>
      <c r="X264" s="831" t="s">
        <v>549</v>
      </c>
      <c r="Y264" s="840">
        <v>46177</v>
      </c>
      <c r="Z264" s="842">
        <f>Tabla1[[#This Row],[KGS]]/50</f>
        <v>473</v>
      </c>
      <c r="AA26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264" s="844">
        <f>-Tabla1[[#This Row],[COSTO FLETE $ POR BOLSA 5O KG (SIN IVA)]]*1.21-Tabla1[[#This Row],[PRECIO $/ KG A PLAZO EN CLIENTE ( SIN IVA)]]*0.003*1.21*50</f>
        <v>-0.46000000000000796</v>
      </c>
      <c r="AC264" s="845">
        <f>SUM(Tabla1[[#This Row],[PRECIO $ BOLSA 50 KG (IVA INC) ]]+Tabla1[[#This Row],[COSTO FLETE $ BOLSA 50 KG (IVA INC)]])</f>
        <v>29999.54</v>
      </c>
      <c r="AD264" s="844">
        <f>-Tabla1[[#This Row],[PRECIO $ BOLSA 50 KG (IVA INC) ]]*(Tabla1[[#This Row],[TASA FINANCIACION MENSUAL]]/365)*Tabla1[[#This Row],[PLAZO ENTREGA VALORES]]</f>
        <v>23.835616438356166</v>
      </c>
      <c r="AE264" s="845">
        <f>SUM(Tabla1[[#This Row],[PRECIO $ BOLSA50 KG  FOB TUCUMAN A PLAZO (IVA INC)]]+Tabla1[[#This Row],[GASTOS FINANCIEROS $ BOLSA 50 KG (IVA INC)]])</f>
        <v>30023.375616438356</v>
      </c>
      <c r="AF264" s="828" t="s">
        <v>359</v>
      </c>
      <c r="AG264" s="828" t="s">
        <v>365</v>
      </c>
      <c r="AH264" s="828" t="s">
        <v>387</v>
      </c>
      <c r="AI264" s="828" t="s">
        <v>391</v>
      </c>
      <c r="AJ26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37115</v>
      </c>
      <c r="AK264" s="846">
        <f>SUM(Tabla1[[#This Row],[PRECIO $ BOLSA 50KG  FOB CDO TUC (IVA INC)]]-Tabla1[[#This Row],[PRECIO REF $ BOLSA 50 KG CACTU (IVA INC)]])</f>
        <v>-7091.6243835616442</v>
      </c>
      <c r="AL264" s="847">
        <f>IFERROR(Tabla1[[#This Row],[PRECIO $ BOLSA 50KG  FOB CDO TUC (IVA INC)]]/Tabla1[[#This Row],[PRECIO REF $ BOLSA 50 KG CACTU (IVA INC)]]-1,"")</f>
        <v>-0.19107165252759384</v>
      </c>
      <c r="AM264" s="846">
        <f>+Tabla1[[#This Row],[DIF $ PRECIO NETO INDUSTRIA vs Neto TUCUMAN (IVA INC)]]*Tabla1[[#This Row],[Q Bolsas Equivalentes 50kg]]</f>
        <v>-3354338.3334246576</v>
      </c>
      <c r="AN264" s="846">
        <f>Tabla1[[#This Row],[PRECIO REF $ BOLSA 50 KG CACTU (IVA INC)]]*Tabla1[[#This Row],[Q Bolsas Equivalentes 50kg]]</f>
        <v>17555395</v>
      </c>
      <c r="AO264" s="846">
        <f>+Tabla1[[#This Row],[PRECIO $ BOLSA 50KG  FOB CDO TUC (IVA INC)]]*Tabla1[[#This Row],[Q Bolsas Equivalentes 50kg]]</f>
        <v>14201056.666575342</v>
      </c>
      <c r="AP264" s="847">
        <v>2.9000000000000001E-2</v>
      </c>
      <c r="AQ264" s="846">
        <v>-74</v>
      </c>
      <c r="AR264" s="828">
        <v>0</v>
      </c>
      <c r="AS264" s="849"/>
      <c r="AT264" s="923">
        <f>+Tabla1[[#This Row],[VENTA TOTAL $ (IVA INC) ]]-(SUM(Tabla1[[#This Row],[PENDIENTE DE ENTREGA]:[VALORES COBRADOS]]))</f>
        <v>0</v>
      </c>
      <c r="AU264" s="850">
        <f>VLOOKUP(Tabla1[[#This Row],[FECHA OC]],'TIPO DE CAMBIO'!A:B,2,TRUE)</f>
        <v>1438.8159000000001</v>
      </c>
      <c r="AV264" s="850">
        <f>+Tabla1[[#This Row],[SUBTOTAL]]/Tabla1[[#This Row],[TIPO DE CAMBIO]]</f>
        <v>8150.6415986039128</v>
      </c>
      <c r="AW264" s="851"/>
      <c r="AX264" s="850">
        <f>IFERROR(Tabla1[[#This Row],[VENTA TOTAL USD A PLAZO EN CLIENTE  (SIN IVA)]]*(1+Tabla1[[#This Row],[% IVA ]]),"")</f>
        <v>8150.6415986039128</v>
      </c>
      <c r="AY264" s="850">
        <f>+Tabla1[[#This Row],[VENTA TOTAL USD A PLAZO EN CLIENTE  (SIN IVA)]]/Tabla1[[#This Row],[KGS]]*1000</f>
        <v>344.63600839762842</v>
      </c>
      <c r="AZ264" s="850">
        <f>-Tabla1[[#This Row],[COSTO FLETE $ POR BOLSA 5O KG (SIN IVA)]]*20/Tabla1[[#This Row],[TIPO DE CAMBIO]]</f>
        <v>1.028623606397455</v>
      </c>
      <c r="BA264" s="850">
        <f>+Tabla1[[#This Row],[GASTOS FINANCIEROS $ BOLSA 50 KG (IVA INC)]]*20/Tabla1[[#This Row],[TIPO DE CAMBIO]]</f>
        <v>0.33132267218281597</v>
      </c>
      <c r="BB264" s="850">
        <f>+Tabla1[[#This Row],[PRECIO POR TN USD EN CLIENTE A PLAZO (SIN IVA)]]+Tabla1[[#This Row],[COSTO USD FLETE /TN (SIN IVA)]]+Tabla1[[#This Row],[COSTO FINANCIERO USD POR BOLSA 50KG (IVA INC)]]</f>
        <v>345.99595467620867</v>
      </c>
      <c r="BC264" s="828">
        <v>4</v>
      </c>
      <c r="BD264" s="944" t="s">
        <v>547</v>
      </c>
    </row>
    <row r="265" spans="1:56" ht="15.75" customHeight="1">
      <c r="A265" s="912">
        <v>46174</v>
      </c>
      <c r="B265" s="828">
        <v>1</v>
      </c>
      <c r="C265" s="792" t="s">
        <v>410</v>
      </c>
      <c r="D265" s="829">
        <f>+Tabla1[[#This Row],[FECHA Entrega]]</f>
        <v>46185</v>
      </c>
      <c r="E265" s="830"/>
      <c r="F265" s="831" t="s">
        <v>448</v>
      </c>
      <c r="G265" s="832" t="s">
        <v>216</v>
      </c>
      <c r="H265" s="852">
        <v>46185</v>
      </c>
      <c r="I265" s="834">
        <v>28000</v>
      </c>
      <c r="J265" s="835">
        <v>730</v>
      </c>
      <c r="K265" s="836">
        <f t="shared" si="96"/>
        <v>20440000</v>
      </c>
      <c r="L26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4292400</v>
      </c>
      <c r="M265" s="837">
        <f t="shared" si="91"/>
        <v>24732400</v>
      </c>
      <c r="N265" s="838">
        <f>+Tabla1[[#This Row],[VENTA TOTAL $ (IVA INC) ]]</f>
        <v>24732400</v>
      </c>
      <c r="O265" s="838">
        <v>0</v>
      </c>
      <c r="P265" s="838">
        <v>0</v>
      </c>
      <c r="Q265" s="839">
        <f ca="1">+Tabla1[[#This Row],[VENTA TOTAL $ (IVA INC) ]]-Tabla1[[#This Row],[PENDIENTE DE ENTREGA]]-Tabla1[[#This Row],[PENDIENTE DE COBRO]]+Tabla1[[#This Row],[VALORES COBRADOS]]</f>
        <v>0</v>
      </c>
      <c r="R265" s="840">
        <f>+Tabla1[[#This Row],[FECHA FC]]+Tabla1[[#This Row],[PLAZO ENTREGA VALORES]]</f>
        <v>46185</v>
      </c>
      <c r="S265" s="840">
        <f>+Tabla1[[#This Row],[FECHA FC]]+Tabla1[[#This Row],[PLAZO PAGO (DIAS)]]</f>
        <v>46230</v>
      </c>
      <c r="T265" s="834">
        <f t="shared" ca="1" si="97"/>
        <v>49</v>
      </c>
      <c r="U265" s="831"/>
      <c r="V265" s="831"/>
      <c r="W265" s="841">
        <f>+Tabla1[[#This Row],[FECHA VTO VALORES]]+7</f>
        <v>46237</v>
      </c>
      <c r="X265" s="831"/>
      <c r="Y265" s="840">
        <v>46162</v>
      </c>
      <c r="Z265" s="842">
        <f>Tabla1[[#This Row],[KGS]]/50</f>
        <v>560</v>
      </c>
      <c r="AA26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44165</v>
      </c>
      <c r="AB265" s="844">
        <f>-Tabla1[[#This Row],[COSTO FLETE $ POR BOLSA 5O KG (SIN IVA)]]*1.21-Tabla1[[#This Row],[PRECIO $/ KG A PLAZO EN CLIENTE ( SIN IVA)]]*0.003*1.21*50</f>
        <v>-4064.9949999999999</v>
      </c>
      <c r="AC265" s="845">
        <f>SUM(Tabla1[[#This Row],[PRECIO $ BOLSA 50 KG (IVA INC) ]]+Tabla1[[#This Row],[COSTO FLETE $ BOLSA 50 KG (IVA INC)]])</f>
        <v>40100.004999999997</v>
      </c>
      <c r="AD265" s="844">
        <f>-Tabla1[[#This Row],[PRECIO $ BOLSA 50 KG (IVA INC) ]]*(Tabla1[[#This Row],[TASA FINANCIACION MENSUAL]]/365)*Tabla1[[#This Row],[PLAZO ENTREGA VALORES]]</f>
        <v>0</v>
      </c>
      <c r="AE265" s="845">
        <f>SUM(Tabla1[[#This Row],[PRECIO $ BOLSA50 KG  FOB TUCUMAN A PLAZO (IVA INC)]]+Tabla1[[#This Row],[GASTOS FINANCIEROS $ BOLSA 50 KG (IVA INC)]])</f>
        <v>40100.004999999997</v>
      </c>
      <c r="AF265" s="828" t="s">
        <v>360</v>
      </c>
      <c r="AG265" s="828" t="s">
        <v>362</v>
      </c>
      <c r="AH265" s="828" t="s">
        <v>386</v>
      </c>
      <c r="AI265" s="828" t="s">
        <v>258</v>
      </c>
      <c r="AJ26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37109</v>
      </c>
      <c r="AK265" s="846">
        <f>SUM(Tabla1[[#This Row],[PRECIO $ BOLSA 50KG  FOB CDO TUC (IVA INC)]]-Tabla1[[#This Row],[PRECIO REF $ BOLSA 50 KG CACTU (IVA INC)]])</f>
        <v>2991.0049999999974</v>
      </c>
      <c r="AL265" s="847">
        <f>IFERROR(Tabla1[[#This Row],[PRECIO $ BOLSA 50KG  FOB CDO TUC (IVA INC)]]/Tabla1[[#This Row],[PRECIO REF $ BOLSA 50 KG CACTU (IVA INC)]]-1,"")</f>
        <v>8.060052817375829E-2</v>
      </c>
      <c r="AM265" s="846">
        <f>+Tabla1[[#This Row],[DIF $ PRECIO NETO INDUSTRIA vs Neto TUCUMAN (IVA INC)]]*Tabla1[[#This Row],[Q Bolsas Equivalentes 50kg]]</f>
        <v>1674962.7999999984</v>
      </c>
      <c r="AN265" s="846">
        <f>Tabla1[[#This Row],[PRECIO REF $ BOLSA 50 KG CACTU (IVA INC)]]*Tabla1[[#This Row],[Q Bolsas Equivalentes 50kg]]</f>
        <v>20781040</v>
      </c>
      <c r="AO265" s="846">
        <f>+Tabla1[[#This Row],[PRECIO $ BOLSA 50KG  FOB CDO TUC (IVA INC)]]*Tabla1[[#This Row],[Q Bolsas Equivalentes 50kg]]</f>
        <v>22456002.799999997</v>
      </c>
      <c r="AP265" s="847">
        <v>0.03</v>
      </c>
      <c r="AQ265" s="846">
        <f>65000/20</f>
        <v>3250</v>
      </c>
      <c r="AR265" s="828">
        <v>45</v>
      </c>
      <c r="AS265" s="849"/>
      <c r="AT265" s="923">
        <f ca="1">+Tabla1[[#This Row],[VENTA TOTAL $ (IVA INC) ]]-(SUM(Tabla1[[#This Row],[PENDIENTE DE ENTREGA]:[VALORES COBRADOS]]))</f>
        <v>-20440000</v>
      </c>
      <c r="AU265" s="850">
        <f>VLOOKUP(Tabla1[[#This Row],[FECHA OC]],'TIPO DE CAMBIO'!A:B,2,TRUE)</f>
        <v>1398.8345999999999</v>
      </c>
      <c r="AV265" s="850">
        <f>+Tabla1[[#This Row],[SUBTOTAL]]/Tabla1[[#This Row],[TIPO DE CAMBIO]]</f>
        <v>14612.163582456426</v>
      </c>
      <c r="AW265" s="851"/>
      <c r="AX265" s="850">
        <f>IFERROR(Tabla1[[#This Row],[VENTA TOTAL USD A PLAZO EN CLIENTE  (SIN IVA)]]*(1+Tabla1[[#This Row],[% IVA ]]),"")</f>
        <v>14612.163582456426</v>
      </c>
      <c r="AY265" s="850">
        <f>+Tabla1[[#This Row],[VENTA TOTAL USD A PLAZO EN CLIENTE  (SIN IVA)]]/Tabla1[[#This Row],[KGS]]*1000</f>
        <v>521.86298508772938</v>
      </c>
      <c r="AZ265" s="850">
        <f>-Tabla1[[#This Row],[COSTO FLETE $ POR BOLSA 5O KG (SIN IVA)]]*20/Tabla1[[#This Row],[TIPO DE CAMBIO]]</f>
        <v>-46.467252096852626</v>
      </c>
      <c r="BA265" s="850">
        <f>+Tabla1[[#This Row],[GASTOS FINANCIEROS $ BOLSA 50 KG (IVA INC)]]*20/Tabla1[[#This Row],[TIPO DE CAMBIO]]</f>
        <v>0</v>
      </c>
      <c r="BB265" s="850">
        <f>+Tabla1[[#This Row],[PRECIO POR TN USD EN CLIENTE A PLAZO (SIN IVA)]]+Tabla1[[#This Row],[COSTO USD FLETE /TN (SIN IVA)]]+Tabla1[[#This Row],[COSTO FINANCIERO USD POR BOLSA 50KG (IVA INC)]]</f>
        <v>475.39573299087675</v>
      </c>
      <c r="BC265" s="848">
        <v>2</v>
      </c>
      <c r="BD265" s="944"/>
    </row>
    <row r="266" spans="1:56" ht="15.75" customHeight="1">
      <c r="A266" s="912">
        <v>46204</v>
      </c>
      <c r="B266" s="828">
        <v>1</v>
      </c>
      <c r="C266" s="792" t="s">
        <v>406</v>
      </c>
      <c r="D266" s="829">
        <f>+Tabla1[[#This Row],[FECHA Entrega]]</f>
        <v>46204</v>
      </c>
      <c r="E266" s="830">
        <v>700000869</v>
      </c>
      <c r="F266" s="831" t="s">
        <v>358</v>
      </c>
      <c r="G266" s="832" t="s">
        <v>216</v>
      </c>
      <c r="H266" s="852">
        <v>46204</v>
      </c>
      <c r="I266" s="834">
        <f t="shared" ref="I266:I326" si="117">700*50</f>
        <v>35000</v>
      </c>
      <c r="J266" s="835">
        <f>0.315*Tabla1[[#This Row],[TIPO DE CAMBIO]]</f>
        <v>455.58481499999999</v>
      </c>
      <c r="K266" s="836">
        <f t="shared" ref="K266:K318" si="118">+J266*I266</f>
        <v>15945468.525</v>
      </c>
      <c r="L26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66" s="837">
        <f t="shared" si="91"/>
        <v>19294016.91525</v>
      </c>
      <c r="N266" s="838"/>
      <c r="O266" s="838">
        <v>0</v>
      </c>
      <c r="P266" s="838">
        <v>0</v>
      </c>
      <c r="Q266" s="839">
        <f>+Tabla1[[#This Row],[VENTA TOTAL $ (IVA INC) ]]-Tabla1[[#This Row],[PENDIENTE DE COBRO]]</f>
        <v>19294016.91525</v>
      </c>
      <c r="R266" s="840">
        <f>+Tabla1[[#This Row],[FECHA FC]]+Tabla1[[#This Row],[PLAZO ENTREGA VALORES]]</f>
        <v>46051</v>
      </c>
      <c r="S266" s="840">
        <f>+Tabla1[[#This Row],[FECHA FC]]+Tabla1[[#This Row],[PLAZO PAGO (DIAS)]]</f>
        <v>46204</v>
      </c>
      <c r="T266" s="834">
        <f t="shared" ref="T266:T314" ca="1" si="119">+S266-$U$2</f>
        <v>23</v>
      </c>
      <c r="U266" s="831">
        <f>+Tabla1[[#This Row],[FECHA OC]]-Tabla1[[#This Row],[FECHA Entrega]]</f>
        <v>-153</v>
      </c>
      <c r="V266" s="831"/>
      <c r="W266" s="841">
        <f>+Tabla1[[#This Row],[FECHA VTO VALORES]]+7</f>
        <v>46211</v>
      </c>
      <c r="X266" s="831" t="s">
        <v>489</v>
      </c>
      <c r="Y266" s="840">
        <v>46051</v>
      </c>
      <c r="Z266" s="842">
        <f>Tabla1[[#This Row],[KGS]]/50</f>
        <v>700</v>
      </c>
      <c r="AA26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66" s="844">
        <f>-Tabla1[[#This Row],[COSTO FLETE $ POR BOLSA 5O KG (SIN IVA)]]*1.21-Tabla1[[#This Row],[PRECIO $/ KG A PLAZO EN CLIENTE ( SIN IVA)]]*0.003*1.21*50</f>
        <v>-0.40864392249999071</v>
      </c>
      <c r="AC266" s="845">
        <f>SUM(Tabla1[[#This Row],[PRECIO $ BOLSA 50 KG (IVA INC) ]]+Tabla1[[#This Row],[COSTO FLETE $ BOLSA 50 KG (IVA INC)]])</f>
        <v>27562.4726635775</v>
      </c>
      <c r="AD266" s="844">
        <f>-Tabla1[[#This Row],[PRECIO $ BOLSA 50 KG (IVA INC) ]]*(Tabla1[[#This Row],[TASA FINANCIACION MENSUAL]]/365)*Tabla1[[#This Row],[PLAZO ENTREGA VALORES]]</f>
        <v>335.05891605856851</v>
      </c>
      <c r="AE266" s="845">
        <f>SUM(Tabla1[[#This Row],[PRECIO $ BOLSA50 KG  FOB TUCUMAN A PLAZO (IVA INC)]]+Tabla1[[#This Row],[GASTOS FINANCIEROS $ BOLSA 50 KG (IVA INC)]])</f>
        <v>27897.53157963607</v>
      </c>
      <c r="AF266" s="828" t="s">
        <v>476</v>
      </c>
      <c r="AG266" s="828" t="s">
        <v>365</v>
      </c>
      <c r="AH266" s="828" t="s">
        <v>387</v>
      </c>
      <c r="AI266" s="828" t="s">
        <v>261</v>
      </c>
      <c r="AJ26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66" s="846">
        <f>SUM(Tabla1[[#This Row],[PRECIO $ BOLSA 50KG  FOB CDO TUC (IVA INC)]]-Tabla1[[#This Row],[PRECIO REF $ BOLSA 50 KG CACTU (IVA INC)]])</f>
        <v>-4617.4684203639299</v>
      </c>
      <c r="AL266" s="847">
        <f>IFERROR(Tabla1[[#This Row],[PRECIO $ BOLSA 50KG  FOB CDO TUC (IVA INC)]]/Tabla1[[#This Row],[PRECIO REF $ BOLSA 50 KG CACTU (IVA INC)]]-1,"")</f>
        <v>-0.14201040813052224</v>
      </c>
      <c r="AM266" s="846">
        <f>+Tabla1[[#This Row],[DIF $ PRECIO NETO INDUSTRIA vs Neto TUCUMAN (IVA INC)]]*Tabla1[[#This Row],[Q Bolsas Equivalentes 50kg]]</f>
        <v>-3232227.894254751</v>
      </c>
      <c r="AN266" s="846">
        <f>Tabla1[[#This Row],[PRECIO REF $ BOLSA 50 KG CACTU (IVA INC)]]*Tabla1[[#This Row],[Q Bolsas Equivalentes 50kg]]</f>
        <v>22760500</v>
      </c>
      <c r="AO266" s="846">
        <f>+Tabla1[[#This Row],[PRECIO $ BOLSA 50KG  FOB CDO TUC (IVA INC)]]*Tabla1[[#This Row],[Q Bolsas Equivalentes 50kg]]</f>
        <v>19528272.105745248</v>
      </c>
      <c r="AP266" s="847">
        <v>2.9000000000000001E-2</v>
      </c>
      <c r="AQ266" s="846">
        <v>-68</v>
      </c>
      <c r="AR266" s="848"/>
      <c r="AS266" s="849"/>
      <c r="AT266" s="923">
        <f>+Tabla1[[#This Row],[VENTA TOTAL $ (IVA INC) ]]-(SUM(Tabla1[[#This Row],[PENDIENTE DE ENTREGA]:[VALORES COBRADOS]]))</f>
        <v>0</v>
      </c>
      <c r="AU266" s="850">
        <f>VLOOKUP(Tabla1[[#This Row],[FECHA OC]],'TIPO DE CAMBIO'!A:B,2,TRUE)</f>
        <v>1446.3009999999999</v>
      </c>
      <c r="AV266" s="850">
        <f>+Tabla1[[#This Row],[SUBTOTAL]]/Tabla1[[#This Row],[TIPO DE CAMBIO]]</f>
        <v>11025</v>
      </c>
      <c r="AW266" s="851"/>
      <c r="AX266" s="850">
        <f>IFERROR(Tabla1[[#This Row],[VENTA TOTAL USD A PLAZO EN CLIENTE  (SIN IVA)]]*(1+Tabla1[[#This Row],[% IVA ]]),"")</f>
        <v>11025</v>
      </c>
      <c r="AY266" s="850">
        <f>+Tabla1[[#This Row],[VENTA TOTAL USD A PLAZO EN CLIENTE  (SIN IVA)]]/Tabla1[[#This Row],[KGS]]*1000</f>
        <v>315</v>
      </c>
      <c r="AZ266" s="850">
        <v>0</v>
      </c>
      <c r="BA266" s="850">
        <f>+Tabla1[[#This Row],[GASTOS FINANCIEROS $ BOLSA 50 KG (IVA INC)]]*20/Tabla1[[#This Row],[TIPO DE CAMBIO]]</f>
        <v>4.6333220547945206</v>
      </c>
      <c r="BB266" s="850">
        <f>+Tabla1[[#This Row],[PRECIO POR TN USD EN CLIENTE A PLAZO (SIN IVA)]]+Tabla1[[#This Row],[COSTO USD FLETE /TN (SIN IVA)]]+Tabla1[[#This Row],[COSTO FINANCIERO USD POR BOLSA 50KG (IVA INC)]]</f>
        <v>319.63332205479452</v>
      </c>
      <c r="BC266" s="848">
        <v>5</v>
      </c>
      <c r="BD266" s="944"/>
    </row>
    <row r="267" spans="1:56" ht="15.75" customHeight="1">
      <c r="A267" s="912">
        <v>46204</v>
      </c>
      <c r="B267" s="828">
        <v>1</v>
      </c>
      <c r="C267" s="792" t="s">
        <v>406</v>
      </c>
      <c r="D267" s="829">
        <f>+Tabla1[[#This Row],[FECHA Entrega]]</f>
        <v>46205</v>
      </c>
      <c r="E267" s="830">
        <v>700000869</v>
      </c>
      <c r="F267" s="831" t="s">
        <v>358</v>
      </c>
      <c r="G267" s="832" t="s">
        <v>216</v>
      </c>
      <c r="H267" s="852">
        <v>46205</v>
      </c>
      <c r="I267" s="834">
        <f t="shared" si="117"/>
        <v>35000</v>
      </c>
      <c r="J267" s="835">
        <f>0.315*Tabla1[[#This Row],[TIPO DE CAMBIO]]</f>
        <v>455.58481499999999</v>
      </c>
      <c r="K267" s="836">
        <f t="shared" si="118"/>
        <v>15945468.525</v>
      </c>
      <c r="L26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67" s="837">
        <f t="shared" si="91"/>
        <v>19294016.91525</v>
      </c>
      <c r="N267" s="838"/>
      <c r="O267" s="838">
        <v>0</v>
      </c>
      <c r="P267" s="838">
        <v>0</v>
      </c>
      <c r="Q267" s="839">
        <f>+Tabla1[[#This Row],[VENTA TOTAL $ (IVA INC) ]]-Tabla1[[#This Row],[PENDIENTE DE COBRO]]</f>
        <v>19294016.91525</v>
      </c>
      <c r="R267" s="840">
        <f>+Tabla1[[#This Row],[FECHA FC]]+Tabla1[[#This Row],[PLAZO ENTREGA VALORES]]</f>
        <v>46051</v>
      </c>
      <c r="S267" s="840">
        <f>+Tabla1[[#This Row],[FECHA FC]]+Tabla1[[#This Row],[PLAZO PAGO (DIAS)]]</f>
        <v>46205</v>
      </c>
      <c r="T267" s="834">
        <f t="shared" ca="1" si="119"/>
        <v>24</v>
      </c>
      <c r="U267" s="831">
        <f>+Tabla1[[#This Row],[FECHA OC]]-Tabla1[[#This Row],[FECHA Entrega]]</f>
        <v>-154</v>
      </c>
      <c r="V267" s="831"/>
      <c r="W267" s="841">
        <f>+Tabla1[[#This Row],[FECHA VTO VALORES]]+7</f>
        <v>46212</v>
      </c>
      <c r="X267" s="831" t="s">
        <v>489</v>
      </c>
      <c r="Y267" s="840">
        <v>46051</v>
      </c>
      <c r="Z267" s="842">
        <f>Tabla1[[#This Row],[KGS]]/50</f>
        <v>700</v>
      </c>
      <c r="AA26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67" s="844">
        <f>-Tabla1[[#This Row],[COSTO FLETE $ POR BOLSA 5O KG (SIN IVA)]]*1.21-Tabla1[[#This Row],[PRECIO $/ KG A PLAZO EN CLIENTE ( SIN IVA)]]*0.003*1.21*50</f>
        <v>-0.40864392249999071</v>
      </c>
      <c r="AC267" s="845">
        <f>SUM(Tabla1[[#This Row],[PRECIO $ BOLSA 50 KG (IVA INC) ]]+Tabla1[[#This Row],[COSTO FLETE $ BOLSA 50 KG (IVA INC)]])</f>
        <v>27562.4726635775</v>
      </c>
      <c r="AD267" s="844">
        <f>-Tabla1[[#This Row],[PRECIO $ BOLSA 50 KG (IVA INC) ]]*(Tabla1[[#This Row],[TASA FINANCIACION MENSUAL]]/365)*Tabla1[[#This Row],[PLAZO ENTREGA VALORES]]</f>
        <v>337.24884361450688</v>
      </c>
      <c r="AE267" s="845">
        <f>SUM(Tabla1[[#This Row],[PRECIO $ BOLSA50 KG  FOB TUCUMAN A PLAZO (IVA INC)]]+Tabla1[[#This Row],[GASTOS FINANCIEROS $ BOLSA 50 KG (IVA INC)]])</f>
        <v>27899.721507192007</v>
      </c>
      <c r="AF267" s="828" t="s">
        <v>476</v>
      </c>
      <c r="AG267" s="828" t="s">
        <v>365</v>
      </c>
      <c r="AH267" s="828" t="s">
        <v>387</v>
      </c>
      <c r="AI267" s="828" t="s">
        <v>261</v>
      </c>
      <c r="AJ26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67" s="846">
        <f>SUM(Tabla1[[#This Row],[PRECIO $ BOLSA 50KG  FOB CDO TUC (IVA INC)]]-Tabla1[[#This Row],[PRECIO REF $ BOLSA 50 KG CACTU (IVA INC)]])</f>
        <v>-4615.2784928079927</v>
      </c>
      <c r="AL267" s="847">
        <f>IFERROR(Tabla1[[#This Row],[PRECIO $ BOLSA 50KG  FOB CDO TUC (IVA INC)]]/Tabla1[[#This Row],[PRECIO REF $ BOLSA 50 KG CACTU (IVA INC)]]-1,"")</f>
        <v>-0.14194305682940156</v>
      </c>
      <c r="AM267" s="846">
        <f>+Tabla1[[#This Row],[DIF $ PRECIO NETO INDUSTRIA vs Neto TUCUMAN (IVA INC)]]*Tabla1[[#This Row],[Q Bolsas Equivalentes 50kg]]</f>
        <v>-3230694.9449655949</v>
      </c>
      <c r="AN267" s="846">
        <f>Tabla1[[#This Row],[PRECIO REF $ BOLSA 50 KG CACTU (IVA INC)]]*Tabla1[[#This Row],[Q Bolsas Equivalentes 50kg]]</f>
        <v>22760500</v>
      </c>
      <c r="AO267" s="846">
        <f>+Tabla1[[#This Row],[PRECIO $ BOLSA 50KG  FOB CDO TUC (IVA INC)]]*Tabla1[[#This Row],[Q Bolsas Equivalentes 50kg]]</f>
        <v>19529805.055034406</v>
      </c>
      <c r="AP267" s="847">
        <v>2.9000000000000001E-2</v>
      </c>
      <c r="AQ267" s="846">
        <v>-68</v>
      </c>
      <c r="AR267" s="848"/>
      <c r="AS267" s="849"/>
      <c r="AT267" s="923">
        <f>+Tabla1[[#This Row],[VENTA TOTAL $ (IVA INC) ]]-(SUM(Tabla1[[#This Row],[PENDIENTE DE ENTREGA]:[VALORES COBRADOS]]))</f>
        <v>0</v>
      </c>
      <c r="AU267" s="850">
        <f>VLOOKUP(Tabla1[[#This Row],[FECHA OC]],'TIPO DE CAMBIO'!A:B,2,TRUE)</f>
        <v>1446.3009999999999</v>
      </c>
      <c r="AV267" s="850">
        <f>+Tabla1[[#This Row],[SUBTOTAL]]/Tabla1[[#This Row],[TIPO DE CAMBIO]]</f>
        <v>11025</v>
      </c>
      <c r="AW267" s="851"/>
      <c r="AX267" s="850">
        <f>IFERROR(Tabla1[[#This Row],[VENTA TOTAL USD A PLAZO EN CLIENTE  (SIN IVA)]]*(1+Tabla1[[#This Row],[% IVA ]]),"")</f>
        <v>11025</v>
      </c>
      <c r="AY267" s="850">
        <f>+Tabla1[[#This Row],[VENTA TOTAL USD A PLAZO EN CLIENTE  (SIN IVA)]]/Tabla1[[#This Row],[KGS]]*1000</f>
        <v>315</v>
      </c>
      <c r="AZ267" s="850">
        <v>0</v>
      </c>
      <c r="BA267" s="850">
        <f>+Tabla1[[#This Row],[GASTOS FINANCIEROS $ BOLSA 50 KG (IVA INC)]]*20/Tabla1[[#This Row],[TIPO DE CAMBIO]]</f>
        <v>4.6636052054794526</v>
      </c>
      <c r="BB267" s="850">
        <f>+Tabla1[[#This Row],[PRECIO POR TN USD EN CLIENTE A PLAZO (SIN IVA)]]+Tabla1[[#This Row],[COSTO USD FLETE /TN (SIN IVA)]]+Tabla1[[#This Row],[COSTO FINANCIERO USD POR BOLSA 50KG (IVA INC)]]</f>
        <v>319.66360520547943</v>
      </c>
      <c r="BC267" s="848">
        <v>5</v>
      </c>
      <c r="BD267" s="944"/>
    </row>
    <row r="268" spans="1:56" ht="15.75" customHeight="1">
      <c r="A268" s="912">
        <v>46204</v>
      </c>
      <c r="B268" s="828">
        <v>1</v>
      </c>
      <c r="C268" s="792" t="s">
        <v>406</v>
      </c>
      <c r="D268" s="829">
        <f>+Tabla1[[#This Row],[FECHA Entrega]]</f>
        <v>46205</v>
      </c>
      <c r="E268" s="830">
        <v>700000869</v>
      </c>
      <c r="F268" s="831" t="s">
        <v>358</v>
      </c>
      <c r="G268" s="832" t="s">
        <v>216</v>
      </c>
      <c r="H268" s="852">
        <v>46205</v>
      </c>
      <c r="I268" s="834">
        <f t="shared" si="117"/>
        <v>35000</v>
      </c>
      <c r="J268" s="835">
        <f>0.315*Tabla1[[#This Row],[TIPO DE CAMBIO]]</f>
        <v>455.58481499999999</v>
      </c>
      <c r="K268" s="836">
        <f t="shared" si="118"/>
        <v>15945468.525</v>
      </c>
      <c r="L26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68" s="837">
        <f t="shared" si="91"/>
        <v>19294016.91525</v>
      </c>
      <c r="N268" s="838"/>
      <c r="O268" s="838">
        <v>0</v>
      </c>
      <c r="P268" s="838">
        <v>0</v>
      </c>
      <c r="Q268" s="839">
        <f>+Tabla1[[#This Row],[VENTA TOTAL $ (IVA INC) ]]-Tabla1[[#This Row],[PENDIENTE DE COBRO]]</f>
        <v>19294016.91525</v>
      </c>
      <c r="R268" s="840">
        <f>+Tabla1[[#This Row],[FECHA FC]]+Tabla1[[#This Row],[PLAZO ENTREGA VALORES]]</f>
        <v>46051</v>
      </c>
      <c r="S268" s="840">
        <f>+Tabla1[[#This Row],[FECHA FC]]+Tabla1[[#This Row],[PLAZO PAGO (DIAS)]]</f>
        <v>46205</v>
      </c>
      <c r="T268" s="834">
        <f t="shared" ca="1" si="119"/>
        <v>24</v>
      </c>
      <c r="U268" s="831">
        <f>+Tabla1[[#This Row],[FECHA OC]]-Tabla1[[#This Row],[FECHA Entrega]]</f>
        <v>-154</v>
      </c>
      <c r="V268" s="831"/>
      <c r="W268" s="841">
        <f>+Tabla1[[#This Row],[FECHA VTO VALORES]]+7</f>
        <v>46212</v>
      </c>
      <c r="X268" s="831" t="s">
        <v>489</v>
      </c>
      <c r="Y268" s="840">
        <v>46051</v>
      </c>
      <c r="Z268" s="842">
        <f>Tabla1[[#This Row],[KGS]]/50</f>
        <v>700</v>
      </c>
      <c r="AA26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68" s="844">
        <f>-Tabla1[[#This Row],[COSTO FLETE $ POR BOLSA 5O KG (SIN IVA)]]*1.21-Tabla1[[#This Row],[PRECIO $/ KG A PLAZO EN CLIENTE ( SIN IVA)]]*0.003*1.21*50</f>
        <v>-0.40864392249999071</v>
      </c>
      <c r="AC268" s="845">
        <f>SUM(Tabla1[[#This Row],[PRECIO $ BOLSA 50 KG (IVA INC) ]]+Tabla1[[#This Row],[COSTO FLETE $ BOLSA 50 KG (IVA INC)]])</f>
        <v>27562.4726635775</v>
      </c>
      <c r="AD268" s="844">
        <f>-Tabla1[[#This Row],[PRECIO $ BOLSA 50 KG (IVA INC) ]]*(Tabla1[[#This Row],[TASA FINANCIACION MENSUAL]]/365)*Tabla1[[#This Row],[PLAZO ENTREGA VALORES]]</f>
        <v>337.24884361450688</v>
      </c>
      <c r="AE268" s="845">
        <f>SUM(Tabla1[[#This Row],[PRECIO $ BOLSA50 KG  FOB TUCUMAN A PLAZO (IVA INC)]]+Tabla1[[#This Row],[GASTOS FINANCIEROS $ BOLSA 50 KG (IVA INC)]])</f>
        <v>27899.721507192007</v>
      </c>
      <c r="AF268" s="828" t="s">
        <v>476</v>
      </c>
      <c r="AG268" s="828" t="s">
        <v>365</v>
      </c>
      <c r="AH268" s="828" t="s">
        <v>387</v>
      </c>
      <c r="AI268" s="828" t="s">
        <v>261</v>
      </c>
      <c r="AJ26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68" s="846">
        <f>SUM(Tabla1[[#This Row],[PRECIO $ BOLSA 50KG  FOB CDO TUC (IVA INC)]]-Tabla1[[#This Row],[PRECIO REF $ BOLSA 50 KG CACTU (IVA INC)]])</f>
        <v>-4615.2784928079927</v>
      </c>
      <c r="AL268" s="847">
        <f>IFERROR(Tabla1[[#This Row],[PRECIO $ BOLSA 50KG  FOB CDO TUC (IVA INC)]]/Tabla1[[#This Row],[PRECIO REF $ BOLSA 50 KG CACTU (IVA INC)]]-1,"")</f>
        <v>-0.14194305682940156</v>
      </c>
      <c r="AM268" s="846">
        <f>+Tabla1[[#This Row],[DIF $ PRECIO NETO INDUSTRIA vs Neto TUCUMAN (IVA INC)]]*Tabla1[[#This Row],[Q Bolsas Equivalentes 50kg]]</f>
        <v>-3230694.9449655949</v>
      </c>
      <c r="AN268" s="846">
        <f>Tabla1[[#This Row],[PRECIO REF $ BOLSA 50 KG CACTU (IVA INC)]]*Tabla1[[#This Row],[Q Bolsas Equivalentes 50kg]]</f>
        <v>22760500</v>
      </c>
      <c r="AO268" s="846">
        <f>+Tabla1[[#This Row],[PRECIO $ BOLSA 50KG  FOB CDO TUC (IVA INC)]]*Tabla1[[#This Row],[Q Bolsas Equivalentes 50kg]]</f>
        <v>19529805.055034406</v>
      </c>
      <c r="AP268" s="847">
        <v>2.9000000000000001E-2</v>
      </c>
      <c r="AQ268" s="846">
        <v>-68</v>
      </c>
      <c r="AR268" s="848"/>
      <c r="AS268" s="849"/>
      <c r="AT268" s="923">
        <f>+Tabla1[[#This Row],[VENTA TOTAL $ (IVA INC) ]]-(SUM(Tabla1[[#This Row],[PENDIENTE DE ENTREGA]:[VALORES COBRADOS]]))</f>
        <v>0</v>
      </c>
      <c r="AU268" s="850">
        <f>VLOOKUP(Tabla1[[#This Row],[FECHA OC]],'TIPO DE CAMBIO'!A:B,2,TRUE)</f>
        <v>1446.3009999999999</v>
      </c>
      <c r="AV268" s="850">
        <f>+Tabla1[[#This Row],[SUBTOTAL]]/Tabla1[[#This Row],[TIPO DE CAMBIO]]</f>
        <v>11025</v>
      </c>
      <c r="AW268" s="851"/>
      <c r="AX268" s="850">
        <f>IFERROR(Tabla1[[#This Row],[VENTA TOTAL USD A PLAZO EN CLIENTE  (SIN IVA)]]*(1+Tabla1[[#This Row],[% IVA ]]),"")</f>
        <v>11025</v>
      </c>
      <c r="AY268" s="850">
        <f>+Tabla1[[#This Row],[VENTA TOTAL USD A PLAZO EN CLIENTE  (SIN IVA)]]/Tabla1[[#This Row],[KGS]]*1000</f>
        <v>315</v>
      </c>
      <c r="AZ268" s="850">
        <v>0</v>
      </c>
      <c r="BA268" s="850">
        <f>+Tabla1[[#This Row],[GASTOS FINANCIEROS $ BOLSA 50 KG (IVA INC)]]*20/Tabla1[[#This Row],[TIPO DE CAMBIO]]</f>
        <v>4.6636052054794526</v>
      </c>
      <c r="BB268" s="850">
        <f>+Tabla1[[#This Row],[PRECIO POR TN USD EN CLIENTE A PLAZO (SIN IVA)]]+Tabla1[[#This Row],[COSTO USD FLETE /TN (SIN IVA)]]+Tabla1[[#This Row],[COSTO FINANCIERO USD POR BOLSA 50KG (IVA INC)]]</f>
        <v>319.66360520547943</v>
      </c>
      <c r="BC268" s="848">
        <v>5</v>
      </c>
      <c r="BD268" s="944"/>
    </row>
    <row r="269" spans="1:56" ht="15.75" customHeight="1">
      <c r="A269" s="912">
        <v>46204</v>
      </c>
      <c r="B269" s="828">
        <v>1</v>
      </c>
      <c r="C269" s="792" t="s">
        <v>406</v>
      </c>
      <c r="D269" s="829">
        <f>+Tabla1[[#This Row],[FECHA Entrega]]</f>
        <v>46206</v>
      </c>
      <c r="E269" s="830">
        <v>700000869</v>
      </c>
      <c r="F269" s="831" t="s">
        <v>358</v>
      </c>
      <c r="G269" s="832" t="s">
        <v>216</v>
      </c>
      <c r="H269" s="852">
        <v>46206</v>
      </c>
      <c r="I269" s="834">
        <f t="shared" si="117"/>
        <v>35000</v>
      </c>
      <c r="J269" s="835">
        <f>0.315*Tabla1[[#This Row],[TIPO DE CAMBIO]]</f>
        <v>455.58481499999999</v>
      </c>
      <c r="K269" s="836">
        <f t="shared" si="118"/>
        <v>15945468.525</v>
      </c>
      <c r="L26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69" s="837">
        <f t="shared" si="91"/>
        <v>19294016.91525</v>
      </c>
      <c r="N269" s="838"/>
      <c r="O269" s="838">
        <v>0</v>
      </c>
      <c r="P269" s="838">
        <v>0</v>
      </c>
      <c r="Q269" s="839">
        <f>+Tabla1[[#This Row],[VENTA TOTAL $ (IVA INC) ]]-Tabla1[[#This Row],[PENDIENTE DE COBRO]]</f>
        <v>19294016.91525</v>
      </c>
      <c r="R269" s="840">
        <f>+Tabla1[[#This Row],[FECHA FC]]+Tabla1[[#This Row],[PLAZO ENTREGA VALORES]]</f>
        <v>46051</v>
      </c>
      <c r="S269" s="840">
        <f>+Tabla1[[#This Row],[FECHA FC]]+Tabla1[[#This Row],[PLAZO PAGO (DIAS)]]</f>
        <v>46206</v>
      </c>
      <c r="T269" s="834">
        <f t="shared" ca="1" si="119"/>
        <v>25</v>
      </c>
      <c r="U269" s="831">
        <f>+Tabla1[[#This Row],[FECHA OC]]-Tabla1[[#This Row],[FECHA Entrega]]</f>
        <v>-155</v>
      </c>
      <c r="V269" s="831"/>
      <c r="W269" s="841">
        <f>+Tabla1[[#This Row],[FECHA VTO VALORES]]+7</f>
        <v>46213</v>
      </c>
      <c r="X269" s="831" t="s">
        <v>489</v>
      </c>
      <c r="Y269" s="840">
        <v>46051</v>
      </c>
      <c r="Z269" s="842">
        <f>Tabla1[[#This Row],[KGS]]/50</f>
        <v>700</v>
      </c>
      <c r="AA26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69" s="844">
        <f>-Tabla1[[#This Row],[COSTO FLETE $ POR BOLSA 5O KG (SIN IVA)]]*1.21-Tabla1[[#This Row],[PRECIO $/ KG A PLAZO EN CLIENTE ( SIN IVA)]]*0.003*1.21*50</f>
        <v>-0.40864392249999071</v>
      </c>
      <c r="AC269" s="845">
        <f>SUM(Tabla1[[#This Row],[PRECIO $ BOLSA 50 KG (IVA INC) ]]+Tabla1[[#This Row],[COSTO FLETE $ BOLSA 50 KG (IVA INC)]])</f>
        <v>27562.4726635775</v>
      </c>
      <c r="AD269" s="844">
        <f>-Tabla1[[#This Row],[PRECIO $ BOLSA 50 KG (IVA INC) ]]*(Tabla1[[#This Row],[TASA FINANCIACION MENSUAL]]/365)*Tabla1[[#This Row],[PLAZO ENTREGA VALORES]]</f>
        <v>339.43877117044519</v>
      </c>
      <c r="AE269" s="845">
        <f>SUM(Tabla1[[#This Row],[PRECIO $ BOLSA50 KG  FOB TUCUMAN A PLAZO (IVA INC)]]+Tabla1[[#This Row],[GASTOS FINANCIEROS $ BOLSA 50 KG (IVA INC)]])</f>
        <v>27901.911434747944</v>
      </c>
      <c r="AF269" s="828" t="s">
        <v>476</v>
      </c>
      <c r="AG269" s="828" t="s">
        <v>365</v>
      </c>
      <c r="AH269" s="828" t="s">
        <v>387</v>
      </c>
      <c r="AI269" s="828" t="s">
        <v>261</v>
      </c>
      <c r="AJ26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69" s="846">
        <f>SUM(Tabla1[[#This Row],[PRECIO $ BOLSA 50KG  FOB CDO TUC (IVA INC)]]-Tabla1[[#This Row],[PRECIO REF $ BOLSA 50 KG CACTU (IVA INC)]])</f>
        <v>-4613.0885652520556</v>
      </c>
      <c r="AL269" s="847">
        <f>IFERROR(Tabla1[[#This Row],[PRECIO $ BOLSA 50KG  FOB CDO TUC (IVA INC)]]/Tabla1[[#This Row],[PRECIO REF $ BOLSA 50 KG CACTU (IVA INC)]]-1,"")</f>
        <v>-0.14187570552828099</v>
      </c>
      <c r="AM269" s="846">
        <f>+Tabla1[[#This Row],[DIF $ PRECIO NETO INDUSTRIA vs Neto TUCUMAN (IVA INC)]]*Tabla1[[#This Row],[Q Bolsas Equivalentes 50kg]]</f>
        <v>-3229161.9956764388</v>
      </c>
      <c r="AN269" s="846">
        <f>Tabla1[[#This Row],[PRECIO REF $ BOLSA 50 KG CACTU (IVA INC)]]*Tabla1[[#This Row],[Q Bolsas Equivalentes 50kg]]</f>
        <v>22760500</v>
      </c>
      <c r="AO269" s="846">
        <f>+Tabla1[[#This Row],[PRECIO $ BOLSA 50KG  FOB CDO TUC (IVA INC)]]*Tabla1[[#This Row],[Q Bolsas Equivalentes 50kg]]</f>
        <v>19531338.004323561</v>
      </c>
      <c r="AP269" s="847">
        <v>2.9000000000000001E-2</v>
      </c>
      <c r="AQ269" s="846">
        <v>-68</v>
      </c>
      <c r="AR269" s="848"/>
      <c r="AS269" s="849"/>
      <c r="AT269" s="923">
        <f>+Tabla1[[#This Row],[VENTA TOTAL $ (IVA INC) ]]-(SUM(Tabla1[[#This Row],[PENDIENTE DE ENTREGA]:[VALORES COBRADOS]]))</f>
        <v>0</v>
      </c>
      <c r="AU269" s="850">
        <f>VLOOKUP(Tabla1[[#This Row],[FECHA OC]],'TIPO DE CAMBIO'!A:B,2,TRUE)</f>
        <v>1446.3009999999999</v>
      </c>
      <c r="AV269" s="850">
        <f>+Tabla1[[#This Row],[SUBTOTAL]]/Tabla1[[#This Row],[TIPO DE CAMBIO]]</f>
        <v>11025</v>
      </c>
      <c r="AW269" s="851"/>
      <c r="AX269" s="850">
        <f>IFERROR(Tabla1[[#This Row],[VENTA TOTAL USD A PLAZO EN CLIENTE  (SIN IVA)]]*(1+Tabla1[[#This Row],[% IVA ]]),"")</f>
        <v>11025</v>
      </c>
      <c r="AY269" s="850">
        <f>+Tabla1[[#This Row],[VENTA TOTAL USD A PLAZO EN CLIENTE  (SIN IVA)]]/Tabla1[[#This Row],[KGS]]*1000</f>
        <v>315</v>
      </c>
      <c r="AZ269" s="850">
        <v>0</v>
      </c>
      <c r="BA269" s="850">
        <f>+Tabla1[[#This Row],[GASTOS FINANCIEROS $ BOLSA 50 KG (IVA INC)]]*20/Tabla1[[#This Row],[TIPO DE CAMBIO]]</f>
        <v>4.6938883561643836</v>
      </c>
      <c r="BB269" s="850">
        <f>+Tabla1[[#This Row],[PRECIO POR TN USD EN CLIENTE A PLAZO (SIN IVA)]]+Tabla1[[#This Row],[COSTO USD FLETE /TN (SIN IVA)]]+Tabla1[[#This Row],[COSTO FINANCIERO USD POR BOLSA 50KG (IVA INC)]]</f>
        <v>319.69388835616439</v>
      </c>
      <c r="BC269" s="848">
        <v>5</v>
      </c>
      <c r="BD269" s="944"/>
    </row>
    <row r="270" spans="1:56" ht="15.75" customHeight="1">
      <c r="A270" s="912">
        <v>46204</v>
      </c>
      <c r="B270" s="828">
        <v>1</v>
      </c>
      <c r="C270" s="792" t="s">
        <v>406</v>
      </c>
      <c r="D270" s="829">
        <f>+Tabla1[[#This Row],[FECHA Entrega]]</f>
        <v>46206</v>
      </c>
      <c r="E270" s="830">
        <v>700000869</v>
      </c>
      <c r="F270" s="831" t="s">
        <v>358</v>
      </c>
      <c r="G270" s="832" t="s">
        <v>216</v>
      </c>
      <c r="H270" s="852">
        <v>46206</v>
      </c>
      <c r="I270" s="834">
        <f t="shared" si="117"/>
        <v>35000</v>
      </c>
      <c r="J270" s="835">
        <f>0.315*Tabla1[[#This Row],[TIPO DE CAMBIO]]</f>
        <v>455.58481499999999</v>
      </c>
      <c r="K270" s="836">
        <f t="shared" si="118"/>
        <v>15945468.525</v>
      </c>
      <c r="L27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70" s="837">
        <f t="shared" si="91"/>
        <v>19294016.91525</v>
      </c>
      <c r="N270" s="838"/>
      <c r="O270" s="838">
        <v>0</v>
      </c>
      <c r="P270" s="838">
        <v>0</v>
      </c>
      <c r="Q270" s="839">
        <f>+Tabla1[[#This Row],[VENTA TOTAL $ (IVA INC) ]]-Tabla1[[#This Row],[PENDIENTE DE COBRO]]</f>
        <v>19294016.91525</v>
      </c>
      <c r="R270" s="840">
        <f>+Tabla1[[#This Row],[FECHA FC]]+Tabla1[[#This Row],[PLAZO ENTREGA VALORES]]</f>
        <v>46051</v>
      </c>
      <c r="S270" s="840">
        <f>+Tabla1[[#This Row],[FECHA FC]]+Tabla1[[#This Row],[PLAZO PAGO (DIAS)]]</f>
        <v>46206</v>
      </c>
      <c r="T270" s="834">
        <f t="shared" ca="1" si="119"/>
        <v>25</v>
      </c>
      <c r="U270" s="831">
        <f>+Tabla1[[#This Row],[FECHA OC]]-Tabla1[[#This Row],[FECHA Entrega]]</f>
        <v>-155</v>
      </c>
      <c r="V270" s="831"/>
      <c r="W270" s="841">
        <f>+Tabla1[[#This Row],[FECHA VTO VALORES]]+7</f>
        <v>46213</v>
      </c>
      <c r="X270" s="831" t="s">
        <v>489</v>
      </c>
      <c r="Y270" s="840">
        <v>46051</v>
      </c>
      <c r="Z270" s="842">
        <f>Tabla1[[#This Row],[KGS]]/50</f>
        <v>700</v>
      </c>
      <c r="AA27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70" s="844">
        <f>-Tabla1[[#This Row],[COSTO FLETE $ POR BOLSA 5O KG (SIN IVA)]]*1.21-Tabla1[[#This Row],[PRECIO $/ KG A PLAZO EN CLIENTE ( SIN IVA)]]*0.003*1.21*50</f>
        <v>-0.40864392249999071</v>
      </c>
      <c r="AC270" s="845">
        <f>SUM(Tabla1[[#This Row],[PRECIO $ BOLSA 50 KG (IVA INC) ]]+Tabla1[[#This Row],[COSTO FLETE $ BOLSA 50 KG (IVA INC)]])</f>
        <v>27562.4726635775</v>
      </c>
      <c r="AD270" s="844">
        <f>-Tabla1[[#This Row],[PRECIO $ BOLSA 50 KG (IVA INC) ]]*(Tabla1[[#This Row],[TASA FINANCIACION MENSUAL]]/365)*Tabla1[[#This Row],[PLAZO ENTREGA VALORES]]</f>
        <v>339.43877117044519</v>
      </c>
      <c r="AE270" s="845">
        <f>SUM(Tabla1[[#This Row],[PRECIO $ BOLSA50 KG  FOB TUCUMAN A PLAZO (IVA INC)]]+Tabla1[[#This Row],[GASTOS FINANCIEROS $ BOLSA 50 KG (IVA INC)]])</f>
        <v>27901.911434747944</v>
      </c>
      <c r="AF270" s="828" t="s">
        <v>476</v>
      </c>
      <c r="AG270" s="828" t="s">
        <v>365</v>
      </c>
      <c r="AH270" s="828" t="s">
        <v>387</v>
      </c>
      <c r="AI270" s="828" t="s">
        <v>261</v>
      </c>
      <c r="AJ27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70" s="846">
        <f>SUM(Tabla1[[#This Row],[PRECIO $ BOLSA 50KG  FOB CDO TUC (IVA INC)]]-Tabla1[[#This Row],[PRECIO REF $ BOLSA 50 KG CACTU (IVA INC)]])</f>
        <v>-4613.0885652520556</v>
      </c>
      <c r="AL270" s="847">
        <f>IFERROR(Tabla1[[#This Row],[PRECIO $ BOLSA 50KG  FOB CDO TUC (IVA INC)]]/Tabla1[[#This Row],[PRECIO REF $ BOLSA 50 KG CACTU (IVA INC)]]-1,"")</f>
        <v>-0.14187570552828099</v>
      </c>
      <c r="AM270" s="846">
        <f>+Tabla1[[#This Row],[DIF $ PRECIO NETO INDUSTRIA vs Neto TUCUMAN (IVA INC)]]*Tabla1[[#This Row],[Q Bolsas Equivalentes 50kg]]</f>
        <v>-3229161.9956764388</v>
      </c>
      <c r="AN270" s="846">
        <f>Tabla1[[#This Row],[PRECIO REF $ BOLSA 50 KG CACTU (IVA INC)]]*Tabla1[[#This Row],[Q Bolsas Equivalentes 50kg]]</f>
        <v>22760500</v>
      </c>
      <c r="AO270" s="846">
        <f>+Tabla1[[#This Row],[PRECIO $ BOLSA 50KG  FOB CDO TUC (IVA INC)]]*Tabla1[[#This Row],[Q Bolsas Equivalentes 50kg]]</f>
        <v>19531338.004323561</v>
      </c>
      <c r="AP270" s="847">
        <v>2.9000000000000001E-2</v>
      </c>
      <c r="AQ270" s="846">
        <v>-68</v>
      </c>
      <c r="AR270" s="848"/>
      <c r="AS270" s="849"/>
      <c r="AT270" s="923">
        <f>+Tabla1[[#This Row],[VENTA TOTAL $ (IVA INC) ]]-(SUM(Tabla1[[#This Row],[PENDIENTE DE ENTREGA]:[VALORES COBRADOS]]))</f>
        <v>0</v>
      </c>
      <c r="AU270" s="850">
        <f>VLOOKUP(Tabla1[[#This Row],[FECHA OC]],'TIPO DE CAMBIO'!A:B,2,TRUE)</f>
        <v>1446.3009999999999</v>
      </c>
      <c r="AV270" s="850">
        <f>+Tabla1[[#This Row],[SUBTOTAL]]/Tabla1[[#This Row],[TIPO DE CAMBIO]]</f>
        <v>11025</v>
      </c>
      <c r="AW270" s="851"/>
      <c r="AX270" s="850">
        <f>IFERROR(Tabla1[[#This Row],[VENTA TOTAL USD A PLAZO EN CLIENTE  (SIN IVA)]]*(1+Tabla1[[#This Row],[% IVA ]]),"")</f>
        <v>11025</v>
      </c>
      <c r="AY270" s="850">
        <f>+Tabla1[[#This Row],[VENTA TOTAL USD A PLAZO EN CLIENTE  (SIN IVA)]]/Tabla1[[#This Row],[KGS]]*1000</f>
        <v>315</v>
      </c>
      <c r="AZ270" s="850">
        <v>0</v>
      </c>
      <c r="BA270" s="850">
        <f>+Tabla1[[#This Row],[GASTOS FINANCIEROS $ BOLSA 50 KG (IVA INC)]]*20/Tabla1[[#This Row],[TIPO DE CAMBIO]]</f>
        <v>4.6938883561643836</v>
      </c>
      <c r="BB270" s="850">
        <f>+Tabla1[[#This Row],[PRECIO POR TN USD EN CLIENTE A PLAZO (SIN IVA)]]+Tabla1[[#This Row],[COSTO USD FLETE /TN (SIN IVA)]]+Tabla1[[#This Row],[COSTO FINANCIERO USD POR BOLSA 50KG (IVA INC)]]</f>
        <v>319.69388835616439</v>
      </c>
      <c r="BC270" s="848">
        <v>5</v>
      </c>
      <c r="BD270" s="944"/>
    </row>
    <row r="271" spans="1:56" ht="15.75" customHeight="1">
      <c r="A271" s="912">
        <v>46204</v>
      </c>
      <c r="B271" s="828">
        <v>1</v>
      </c>
      <c r="C271" s="792" t="s">
        <v>406</v>
      </c>
      <c r="D271" s="829">
        <f>+Tabla1[[#This Row],[FECHA Entrega]]</f>
        <v>46207</v>
      </c>
      <c r="E271" s="830">
        <v>700000869</v>
      </c>
      <c r="F271" s="831" t="s">
        <v>358</v>
      </c>
      <c r="G271" s="832" t="s">
        <v>216</v>
      </c>
      <c r="H271" s="852">
        <v>46207</v>
      </c>
      <c r="I271" s="834">
        <f t="shared" si="117"/>
        <v>35000</v>
      </c>
      <c r="J271" s="835">
        <f>0.315*Tabla1[[#This Row],[TIPO DE CAMBIO]]</f>
        <v>455.58481499999999</v>
      </c>
      <c r="K271" s="836">
        <f t="shared" si="118"/>
        <v>15945468.525</v>
      </c>
      <c r="L27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71" s="837">
        <f t="shared" si="91"/>
        <v>19294016.91525</v>
      </c>
      <c r="N271" s="838"/>
      <c r="O271" s="838">
        <v>0</v>
      </c>
      <c r="P271" s="838">
        <v>0</v>
      </c>
      <c r="Q271" s="839">
        <f>+Tabla1[[#This Row],[VENTA TOTAL $ (IVA INC) ]]-Tabla1[[#This Row],[PENDIENTE DE COBRO]]</f>
        <v>19294016.91525</v>
      </c>
      <c r="R271" s="840">
        <f>+Tabla1[[#This Row],[FECHA FC]]+Tabla1[[#This Row],[PLAZO ENTREGA VALORES]]</f>
        <v>46051</v>
      </c>
      <c r="S271" s="840">
        <f>+Tabla1[[#This Row],[FECHA FC]]+Tabla1[[#This Row],[PLAZO PAGO (DIAS)]]</f>
        <v>46207</v>
      </c>
      <c r="T271" s="834">
        <f t="shared" ca="1" si="119"/>
        <v>26</v>
      </c>
      <c r="U271" s="831">
        <f>+Tabla1[[#This Row],[FECHA OC]]-Tabla1[[#This Row],[FECHA Entrega]]</f>
        <v>-156</v>
      </c>
      <c r="V271" s="831"/>
      <c r="W271" s="841">
        <f>+Tabla1[[#This Row],[FECHA VTO VALORES]]+7</f>
        <v>46214</v>
      </c>
      <c r="X271" s="831" t="s">
        <v>489</v>
      </c>
      <c r="Y271" s="840">
        <v>46051</v>
      </c>
      <c r="Z271" s="842">
        <f>Tabla1[[#This Row],[KGS]]/50</f>
        <v>700</v>
      </c>
      <c r="AA27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71" s="844">
        <f>-Tabla1[[#This Row],[COSTO FLETE $ POR BOLSA 5O KG (SIN IVA)]]*1.21-Tabla1[[#This Row],[PRECIO $/ KG A PLAZO EN CLIENTE ( SIN IVA)]]*0.003*1.21*50</f>
        <v>-0.40864392249999071</v>
      </c>
      <c r="AC271" s="845">
        <f>SUM(Tabla1[[#This Row],[PRECIO $ BOLSA 50 KG (IVA INC) ]]+Tabla1[[#This Row],[COSTO FLETE $ BOLSA 50 KG (IVA INC)]])</f>
        <v>27562.4726635775</v>
      </c>
      <c r="AD271" s="844">
        <f>-Tabla1[[#This Row],[PRECIO $ BOLSA 50 KG (IVA INC) ]]*(Tabla1[[#This Row],[TASA FINANCIACION MENSUAL]]/365)*Tabla1[[#This Row],[PLAZO ENTREGA VALORES]]</f>
        <v>341.62869872638356</v>
      </c>
      <c r="AE271" s="845">
        <f>SUM(Tabla1[[#This Row],[PRECIO $ BOLSA50 KG  FOB TUCUMAN A PLAZO (IVA INC)]]+Tabla1[[#This Row],[GASTOS FINANCIEROS $ BOLSA 50 KG (IVA INC)]])</f>
        <v>27904.101362303885</v>
      </c>
      <c r="AF271" s="828" t="s">
        <v>476</v>
      </c>
      <c r="AG271" s="828" t="s">
        <v>365</v>
      </c>
      <c r="AH271" s="828" t="s">
        <v>387</v>
      </c>
      <c r="AI271" s="828" t="s">
        <v>261</v>
      </c>
      <c r="AJ27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71" s="846">
        <f>SUM(Tabla1[[#This Row],[PRECIO $ BOLSA 50KG  FOB CDO TUC (IVA INC)]]-Tabla1[[#This Row],[PRECIO REF $ BOLSA 50 KG CACTU (IVA INC)]])</f>
        <v>-4610.8986376961147</v>
      </c>
      <c r="AL271" s="847">
        <f>IFERROR(Tabla1[[#This Row],[PRECIO $ BOLSA 50KG  FOB CDO TUC (IVA INC)]]/Tabla1[[#This Row],[PRECIO REF $ BOLSA 50 KG CACTU (IVA INC)]]-1,"")</f>
        <v>-0.1418083542271602</v>
      </c>
      <c r="AM271" s="846">
        <f>+Tabla1[[#This Row],[DIF $ PRECIO NETO INDUSTRIA vs Neto TUCUMAN (IVA INC)]]*Tabla1[[#This Row],[Q Bolsas Equivalentes 50kg]]</f>
        <v>-3227629.0463872803</v>
      </c>
      <c r="AN271" s="846">
        <f>Tabla1[[#This Row],[PRECIO REF $ BOLSA 50 KG CACTU (IVA INC)]]*Tabla1[[#This Row],[Q Bolsas Equivalentes 50kg]]</f>
        <v>22760500</v>
      </c>
      <c r="AO271" s="846">
        <f>+Tabla1[[#This Row],[PRECIO $ BOLSA 50KG  FOB CDO TUC (IVA INC)]]*Tabla1[[#This Row],[Q Bolsas Equivalentes 50kg]]</f>
        <v>19532870.953612719</v>
      </c>
      <c r="AP271" s="847">
        <v>2.9000000000000001E-2</v>
      </c>
      <c r="AQ271" s="846">
        <v>-68</v>
      </c>
      <c r="AR271" s="848"/>
      <c r="AS271" s="849"/>
      <c r="AT271" s="923">
        <f>+Tabla1[[#This Row],[VENTA TOTAL $ (IVA INC) ]]-(SUM(Tabla1[[#This Row],[PENDIENTE DE ENTREGA]:[VALORES COBRADOS]]))</f>
        <v>0</v>
      </c>
      <c r="AU271" s="850">
        <f>VLOOKUP(Tabla1[[#This Row],[FECHA OC]],'TIPO DE CAMBIO'!A:B,2,TRUE)</f>
        <v>1446.3009999999999</v>
      </c>
      <c r="AV271" s="850">
        <f>+Tabla1[[#This Row],[SUBTOTAL]]/Tabla1[[#This Row],[TIPO DE CAMBIO]]</f>
        <v>11025</v>
      </c>
      <c r="AW271" s="851"/>
      <c r="AX271" s="850">
        <f>IFERROR(Tabla1[[#This Row],[VENTA TOTAL USD A PLAZO EN CLIENTE  (SIN IVA)]]*(1+Tabla1[[#This Row],[% IVA ]]),"")</f>
        <v>11025</v>
      </c>
      <c r="AY271" s="850">
        <f>+Tabla1[[#This Row],[VENTA TOTAL USD A PLAZO EN CLIENTE  (SIN IVA)]]/Tabla1[[#This Row],[KGS]]*1000</f>
        <v>315</v>
      </c>
      <c r="AZ271" s="850">
        <v>0</v>
      </c>
      <c r="BA271" s="850">
        <f>+Tabla1[[#This Row],[GASTOS FINANCIEROS $ BOLSA 50 KG (IVA INC)]]*20/Tabla1[[#This Row],[TIPO DE CAMBIO]]</f>
        <v>4.7241715068493155</v>
      </c>
      <c r="BB271" s="850">
        <f>+Tabla1[[#This Row],[PRECIO POR TN USD EN CLIENTE A PLAZO (SIN IVA)]]+Tabla1[[#This Row],[COSTO USD FLETE /TN (SIN IVA)]]+Tabla1[[#This Row],[COSTO FINANCIERO USD POR BOLSA 50KG (IVA INC)]]</f>
        <v>319.7241715068493</v>
      </c>
      <c r="BC271" s="848">
        <v>5</v>
      </c>
      <c r="BD271" s="944"/>
    </row>
    <row r="272" spans="1:56" ht="15.75" customHeight="1">
      <c r="A272" s="912">
        <v>46204</v>
      </c>
      <c r="B272" s="828">
        <v>1</v>
      </c>
      <c r="C272" s="792" t="s">
        <v>406</v>
      </c>
      <c r="D272" s="829">
        <f>+Tabla1[[#This Row],[FECHA Entrega]]</f>
        <v>46207</v>
      </c>
      <c r="E272" s="830">
        <v>700000869</v>
      </c>
      <c r="F272" s="831" t="s">
        <v>358</v>
      </c>
      <c r="G272" s="832" t="s">
        <v>216</v>
      </c>
      <c r="H272" s="852">
        <v>46207</v>
      </c>
      <c r="I272" s="834">
        <f t="shared" si="117"/>
        <v>35000</v>
      </c>
      <c r="J272" s="835">
        <f>0.315*Tabla1[[#This Row],[TIPO DE CAMBIO]]</f>
        <v>455.58481499999999</v>
      </c>
      <c r="K272" s="836">
        <f t="shared" si="118"/>
        <v>15945468.525</v>
      </c>
      <c r="L27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72" s="837">
        <f t="shared" si="91"/>
        <v>19294016.91525</v>
      </c>
      <c r="N272" s="838"/>
      <c r="O272" s="838">
        <v>0</v>
      </c>
      <c r="P272" s="838">
        <v>0</v>
      </c>
      <c r="Q272" s="839">
        <f>+Tabla1[[#This Row],[VENTA TOTAL $ (IVA INC) ]]-Tabla1[[#This Row],[PENDIENTE DE COBRO]]</f>
        <v>19294016.91525</v>
      </c>
      <c r="R272" s="840">
        <f>+Tabla1[[#This Row],[FECHA FC]]+Tabla1[[#This Row],[PLAZO ENTREGA VALORES]]</f>
        <v>46051</v>
      </c>
      <c r="S272" s="840">
        <f>+Tabla1[[#This Row],[FECHA FC]]+Tabla1[[#This Row],[PLAZO PAGO (DIAS)]]</f>
        <v>46207</v>
      </c>
      <c r="T272" s="834">
        <f t="shared" ca="1" si="119"/>
        <v>26</v>
      </c>
      <c r="U272" s="831">
        <f>+Tabla1[[#This Row],[FECHA OC]]-Tabla1[[#This Row],[FECHA Entrega]]</f>
        <v>-156</v>
      </c>
      <c r="V272" s="831"/>
      <c r="W272" s="841">
        <f>+Tabla1[[#This Row],[FECHA VTO VALORES]]+7</f>
        <v>46214</v>
      </c>
      <c r="X272" s="831" t="s">
        <v>489</v>
      </c>
      <c r="Y272" s="840">
        <v>46051</v>
      </c>
      <c r="Z272" s="842">
        <f>Tabla1[[#This Row],[KGS]]/50</f>
        <v>700</v>
      </c>
      <c r="AA27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72" s="844">
        <f>-Tabla1[[#This Row],[COSTO FLETE $ POR BOLSA 5O KG (SIN IVA)]]*1.21-Tabla1[[#This Row],[PRECIO $/ KG A PLAZO EN CLIENTE ( SIN IVA)]]*0.003*1.21*50</f>
        <v>-0.40864392249999071</v>
      </c>
      <c r="AC272" s="845">
        <f>SUM(Tabla1[[#This Row],[PRECIO $ BOLSA 50 KG (IVA INC) ]]+Tabla1[[#This Row],[COSTO FLETE $ BOLSA 50 KG (IVA INC)]])</f>
        <v>27562.4726635775</v>
      </c>
      <c r="AD272" s="844">
        <f>-Tabla1[[#This Row],[PRECIO $ BOLSA 50 KG (IVA INC) ]]*(Tabla1[[#This Row],[TASA FINANCIACION MENSUAL]]/365)*Tabla1[[#This Row],[PLAZO ENTREGA VALORES]]</f>
        <v>341.62869872638356</v>
      </c>
      <c r="AE272" s="845">
        <f>SUM(Tabla1[[#This Row],[PRECIO $ BOLSA50 KG  FOB TUCUMAN A PLAZO (IVA INC)]]+Tabla1[[#This Row],[GASTOS FINANCIEROS $ BOLSA 50 KG (IVA INC)]])</f>
        <v>27904.101362303885</v>
      </c>
      <c r="AF272" s="828" t="s">
        <v>476</v>
      </c>
      <c r="AG272" s="828" t="s">
        <v>365</v>
      </c>
      <c r="AH272" s="828" t="s">
        <v>387</v>
      </c>
      <c r="AI272" s="828" t="s">
        <v>261</v>
      </c>
      <c r="AJ27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72" s="846">
        <f>SUM(Tabla1[[#This Row],[PRECIO $ BOLSA 50KG  FOB CDO TUC (IVA INC)]]-Tabla1[[#This Row],[PRECIO REF $ BOLSA 50 KG CACTU (IVA INC)]])</f>
        <v>-4610.8986376961147</v>
      </c>
      <c r="AL272" s="847">
        <f>IFERROR(Tabla1[[#This Row],[PRECIO $ BOLSA 50KG  FOB CDO TUC (IVA INC)]]/Tabla1[[#This Row],[PRECIO REF $ BOLSA 50 KG CACTU (IVA INC)]]-1,"")</f>
        <v>-0.1418083542271602</v>
      </c>
      <c r="AM272" s="846">
        <f>+Tabla1[[#This Row],[DIF $ PRECIO NETO INDUSTRIA vs Neto TUCUMAN (IVA INC)]]*Tabla1[[#This Row],[Q Bolsas Equivalentes 50kg]]</f>
        <v>-3227629.0463872803</v>
      </c>
      <c r="AN272" s="846">
        <f>Tabla1[[#This Row],[PRECIO REF $ BOLSA 50 KG CACTU (IVA INC)]]*Tabla1[[#This Row],[Q Bolsas Equivalentes 50kg]]</f>
        <v>22760500</v>
      </c>
      <c r="AO272" s="846">
        <f>+Tabla1[[#This Row],[PRECIO $ BOLSA 50KG  FOB CDO TUC (IVA INC)]]*Tabla1[[#This Row],[Q Bolsas Equivalentes 50kg]]</f>
        <v>19532870.953612719</v>
      </c>
      <c r="AP272" s="847">
        <v>2.9000000000000001E-2</v>
      </c>
      <c r="AQ272" s="846">
        <v>-68</v>
      </c>
      <c r="AR272" s="848"/>
      <c r="AS272" s="849"/>
      <c r="AT272" s="923">
        <f>+Tabla1[[#This Row],[VENTA TOTAL $ (IVA INC) ]]-(SUM(Tabla1[[#This Row],[PENDIENTE DE ENTREGA]:[VALORES COBRADOS]]))</f>
        <v>0</v>
      </c>
      <c r="AU272" s="850">
        <f>VLOOKUP(Tabla1[[#This Row],[FECHA OC]],'TIPO DE CAMBIO'!A:B,2,TRUE)</f>
        <v>1446.3009999999999</v>
      </c>
      <c r="AV272" s="850">
        <f>+Tabla1[[#This Row],[SUBTOTAL]]/Tabla1[[#This Row],[TIPO DE CAMBIO]]</f>
        <v>11025</v>
      </c>
      <c r="AW272" s="851"/>
      <c r="AX272" s="850">
        <f>IFERROR(Tabla1[[#This Row],[VENTA TOTAL USD A PLAZO EN CLIENTE  (SIN IVA)]]*(1+Tabla1[[#This Row],[% IVA ]]),"")</f>
        <v>11025</v>
      </c>
      <c r="AY272" s="850">
        <f>+Tabla1[[#This Row],[VENTA TOTAL USD A PLAZO EN CLIENTE  (SIN IVA)]]/Tabla1[[#This Row],[KGS]]*1000</f>
        <v>315</v>
      </c>
      <c r="AZ272" s="850">
        <v>0</v>
      </c>
      <c r="BA272" s="850">
        <f>+Tabla1[[#This Row],[GASTOS FINANCIEROS $ BOLSA 50 KG (IVA INC)]]*20/Tabla1[[#This Row],[TIPO DE CAMBIO]]</f>
        <v>4.7241715068493155</v>
      </c>
      <c r="BB272" s="850">
        <f>+Tabla1[[#This Row],[PRECIO POR TN USD EN CLIENTE A PLAZO (SIN IVA)]]+Tabla1[[#This Row],[COSTO USD FLETE /TN (SIN IVA)]]+Tabla1[[#This Row],[COSTO FINANCIERO USD POR BOLSA 50KG (IVA INC)]]</f>
        <v>319.7241715068493</v>
      </c>
      <c r="BC272" s="848">
        <v>5</v>
      </c>
      <c r="BD272" s="944"/>
    </row>
    <row r="273" spans="1:56" ht="15.75" customHeight="1">
      <c r="A273" s="912">
        <v>46204</v>
      </c>
      <c r="B273" s="828">
        <v>1</v>
      </c>
      <c r="C273" s="792" t="s">
        <v>406</v>
      </c>
      <c r="D273" s="829">
        <f>+Tabla1[[#This Row],[FECHA Entrega]]</f>
        <v>46207</v>
      </c>
      <c r="E273" s="830">
        <v>700000869</v>
      </c>
      <c r="F273" s="831" t="s">
        <v>358</v>
      </c>
      <c r="G273" s="832" t="s">
        <v>216</v>
      </c>
      <c r="H273" s="852">
        <v>46207</v>
      </c>
      <c r="I273" s="834">
        <f t="shared" si="117"/>
        <v>35000</v>
      </c>
      <c r="J273" s="835">
        <f>0.315*Tabla1[[#This Row],[TIPO DE CAMBIO]]</f>
        <v>455.58481499999999</v>
      </c>
      <c r="K273" s="836">
        <f t="shared" si="118"/>
        <v>15945468.525</v>
      </c>
      <c r="L27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73" s="837">
        <f t="shared" si="91"/>
        <v>19294016.91525</v>
      </c>
      <c r="N273" s="838"/>
      <c r="O273" s="838">
        <v>0</v>
      </c>
      <c r="P273" s="838">
        <v>0</v>
      </c>
      <c r="Q273" s="839">
        <f>+Tabla1[[#This Row],[VENTA TOTAL $ (IVA INC) ]]-Tabla1[[#This Row],[PENDIENTE DE COBRO]]</f>
        <v>19294016.91525</v>
      </c>
      <c r="R273" s="840">
        <f>+Tabla1[[#This Row],[FECHA FC]]+Tabla1[[#This Row],[PLAZO ENTREGA VALORES]]</f>
        <v>46051</v>
      </c>
      <c r="S273" s="840">
        <f>+Tabla1[[#This Row],[FECHA FC]]+Tabla1[[#This Row],[PLAZO PAGO (DIAS)]]</f>
        <v>46207</v>
      </c>
      <c r="T273" s="834">
        <f t="shared" ca="1" si="119"/>
        <v>26</v>
      </c>
      <c r="U273" s="831">
        <f>+Tabla1[[#This Row],[FECHA OC]]-Tabla1[[#This Row],[FECHA Entrega]]</f>
        <v>-156</v>
      </c>
      <c r="V273" s="831"/>
      <c r="W273" s="841">
        <f>+Tabla1[[#This Row],[FECHA VTO VALORES]]+7</f>
        <v>46214</v>
      </c>
      <c r="X273" s="831" t="s">
        <v>489</v>
      </c>
      <c r="Y273" s="840">
        <v>46051</v>
      </c>
      <c r="Z273" s="842">
        <f>Tabla1[[#This Row],[KGS]]/50</f>
        <v>700</v>
      </c>
      <c r="AA27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73" s="844">
        <f>-Tabla1[[#This Row],[COSTO FLETE $ POR BOLSA 5O KG (SIN IVA)]]*1.21-Tabla1[[#This Row],[PRECIO $/ KG A PLAZO EN CLIENTE ( SIN IVA)]]*0.003*1.21*50</f>
        <v>-0.40864392249999071</v>
      </c>
      <c r="AC273" s="845">
        <f>SUM(Tabla1[[#This Row],[PRECIO $ BOLSA 50 KG (IVA INC) ]]+Tabla1[[#This Row],[COSTO FLETE $ BOLSA 50 KG (IVA INC)]])</f>
        <v>27562.4726635775</v>
      </c>
      <c r="AD273" s="844">
        <f>-Tabla1[[#This Row],[PRECIO $ BOLSA 50 KG (IVA INC) ]]*(Tabla1[[#This Row],[TASA FINANCIACION MENSUAL]]/365)*Tabla1[[#This Row],[PLAZO ENTREGA VALORES]]</f>
        <v>341.62869872638356</v>
      </c>
      <c r="AE273" s="845">
        <f>SUM(Tabla1[[#This Row],[PRECIO $ BOLSA50 KG  FOB TUCUMAN A PLAZO (IVA INC)]]+Tabla1[[#This Row],[GASTOS FINANCIEROS $ BOLSA 50 KG (IVA INC)]])</f>
        <v>27904.101362303885</v>
      </c>
      <c r="AF273" s="828" t="s">
        <v>476</v>
      </c>
      <c r="AG273" s="828" t="s">
        <v>365</v>
      </c>
      <c r="AH273" s="828" t="s">
        <v>387</v>
      </c>
      <c r="AI273" s="828" t="s">
        <v>261</v>
      </c>
      <c r="AJ27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73" s="846">
        <f>SUM(Tabla1[[#This Row],[PRECIO $ BOLSA 50KG  FOB CDO TUC (IVA INC)]]-Tabla1[[#This Row],[PRECIO REF $ BOLSA 50 KG CACTU (IVA INC)]])</f>
        <v>-4610.8986376961147</v>
      </c>
      <c r="AL273" s="847">
        <f>IFERROR(Tabla1[[#This Row],[PRECIO $ BOLSA 50KG  FOB CDO TUC (IVA INC)]]/Tabla1[[#This Row],[PRECIO REF $ BOLSA 50 KG CACTU (IVA INC)]]-1,"")</f>
        <v>-0.1418083542271602</v>
      </c>
      <c r="AM273" s="846">
        <f>+Tabla1[[#This Row],[DIF $ PRECIO NETO INDUSTRIA vs Neto TUCUMAN (IVA INC)]]*Tabla1[[#This Row],[Q Bolsas Equivalentes 50kg]]</f>
        <v>-3227629.0463872803</v>
      </c>
      <c r="AN273" s="846">
        <f>Tabla1[[#This Row],[PRECIO REF $ BOLSA 50 KG CACTU (IVA INC)]]*Tabla1[[#This Row],[Q Bolsas Equivalentes 50kg]]</f>
        <v>22760500</v>
      </c>
      <c r="AO273" s="846">
        <f>+Tabla1[[#This Row],[PRECIO $ BOLSA 50KG  FOB CDO TUC (IVA INC)]]*Tabla1[[#This Row],[Q Bolsas Equivalentes 50kg]]</f>
        <v>19532870.953612719</v>
      </c>
      <c r="AP273" s="847">
        <v>2.9000000000000001E-2</v>
      </c>
      <c r="AQ273" s="846">
        <v>-68</v>
      </c>
      <c r="AR273" s="848"/>
      <c r="AS273" s="849"/>
      <c r="AT273" s="923">
        <f>+Tabla1[[#This Row],[VENTA TOTAL $ (IVA INC) ]]-(SUM(Tabla1[[#This Row],[PENDIENTE DE ENTREGA]:[VALORES COBRADOS]]))</f>
        <v>0</v>
      </c>
      <c r="AU273" s="850">
        <f>VLOOKUP(Tabla1[[#This Row],[FECHA OC]],'TIPO DE CAMBIO'!A:B,2,TRUE)</f>
        <v>1446.3009999999999</v>
      </c>
      <c r="AV273" s="850">
        <f>+Tabla1[[#This Row],[SUBTOTAL]]/Tabla1[[#This Row],[TIPO DE CAMBIO]]</f>
        <v>11025</v>
      </c>
      <c r="AW273" s="851"/>
      <c r="AX273" s="850">
        <f>IFERROR(Tabla1[[#This Row],[VENTA TOTAL USD A PLAZO EN CLIENTE  (SIN IVA)]]*(1+Tabla1[[#This Row],[% IVA ]]),"")</f>
        <v>11025</v>
      </c>
      <c r="AY273" s="850">
        <f>+Tabla1[[#This Row],[VENTA TOTAL USD A PLAZO EN CLIENTE  (SIN IVA)]]/Tabla1[[#This Row],[KGS]]*1000</f>
        <v>315</v>
      </c>
      <c r="AZ273" s="850">
        <v>0</v>
      </c>
      <c r="BA273" s="850">
        <f>+Tabla1[[#This Row],[GASTOS FINANCIEROS $ BOLSA 50 KG (IVA INC)]]*20/Tabla1[[#This Row],[TIPO DE CAMBIO]]</f>
        <v>4.7241715068493155</v>
      </c>
      <c r="BB273" s="850">
        <f>+Tabla1[[#This Row],[PRECIO POR TN USD EN CLIENTE A PLAZO (SIN IVA)]]+Tabla1[[#This Row],[COSTO USD FLETE /TN (SIN IVA)]]+Tabla1[[#This Row],[COSTO FINANCIERO USD POR BOLSA 50KG (IVA INC)]]</f>
        <v>319.7241715068493</v>
      </c>
      <c r="BC273" s="848">
        <v>5</v>
      </c>
      <c r="BD273" s="944"/>
    </row>
    <row r="274" spans="1:56" ht="15.75" customHeight="1">
      <c r="A274" s="912">
        <v>46204</v>
      </c>
      <c r="B274" s="828">
        <v>1</v>
      </c>
      <c r="C274" s="792" t="s">
        <v>406</v>
      </c>
      <c r="D274" s="829">
        <f>+Tabla1[[#This Row],[FECHA Entrega]]</f>
        <v>46207</v>
      </c>
      <c r="E274" s="830">
        <v>700000869</v>
      </c>
      <c r="F274" s="831" t="s">
        <v>358</v>
      </c>
      <c r="G274" s="832" t="s">
        <v>216</v>
      </c>
      <c r="H274" s="852">
        <v>46207</v>
      </c>
      <c r="I274" s="834">
        <f t="shared" si="117"/>
        <v>35000</v>
      </c>
      <c r="J274" s="835">
        <f>0.315*Tabla1[[#This Row],[TIPO DE CAMBIO]]</f>
        <v>455.58481499999999</v>
      </c>
      <c r="K274" s="836">
        <f t="shared" si="118"/>
        <v>15945468.525</v>
      </c>
      <c r="L27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74" s="837">
        <f t="shared" si="91"/>
        <v>19294016.91525</v>
      </c>
      <c r="N274" s="838"/>
      <c r="O274" s="838">
        <v>0</v>
      </c>
      <c r="P274" s="838">
        <v>0</v>
      </c>
      <c r="Q274" s="839">
        <f>+Tabla1[[#This Row],[VENTA TOTAL $ (IVA INC) ]]-Tabla1[[#This Row],[PENDIENTE DE COBRO]]</f>
        <v>19294016.91525</v>
      </c>
      <c r="R274" s="840">
        <f>+Tabla1[[#This Row],[FECHA FC]]+Tabla1[[#This Row],[PLAZO ENTREGA VALORES]]</f>
        <v>46051</v>
      </c>
      <c r="S274" s="840">
        <f>+Tabla1[[#This Row],[FECHA FC]]+Tabla1[[#This Row],[PLAZO PAGO (DIAS)]]</f>
        <v>46207</v>
      </c>
      <c r="T274" s="834">
        <f t="shared" ca="1" si="119"/>
        <v>26</v>
      </c>
      <c r="U274" s="831">
        <f>+Tabla1[[#This Row],[FECHA OC]]-Tabla1[[#This Row],[FECHA Entrega]]</f>
        <v>-156</v>
      </c>
      <c r="V274" s="831"/>
      <c r="W274" s="841">
        <f>+Tabla1[[#This Row],[FECHA VTO VALORES]]+7</f>
        <v>46214</v>
      </c>
      <c r="X274" s="831" t="s">
        <v>489</v>
      </c>
      <c r="Y274" s="840">
        <v>46051</v>
      </c>
      <c r="Z274" s="842">
        <f>Tabla1[[#This Row],[KGS]]/50</f>
        <v>700</v>
      </c>
      <c r="AA27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74" s="844">
        <f>-Tabla1[[#This Row],[COSTO FLETE $ POR BOLSA 5O KG (SIN IVA)]]*1.21-Tabla1[[#This Row],[PRECIO $/ KG A PLAZO EN CLIENTE ( SIN IVA)]]*0.003*1.21*50</f>
        <v>-0.40864392249999071</v>
      </c>
      <c r="AC274" s="845">
        <f>SUM(Tabla1[[#This Row],[PRECIO $ BOLSA 50 KG (IVA INC) ]]+Tabla1[[#This Row],[COSTO FLETE $ BOLSA 50 KG (IVA INC)]])</f>
        <v>27562.4726635775</v>
      </c>
      <c r="AD274" s="844">
        <f>-Tabla1[[#This Row],[PRECIO $ BOLSA 50 KG (IVA INC) ]]*(Tabla1[[#This Row],[TASA FINANCIACION MENSUAL]]/365)*Tabla1[[#This Row],[PLAZO ENTREGA VALORES]]</f>
        <v>341.62869872638356</v>
      </c>
      <c r="AE274" s="845">
        <f>SUM(Tabla1[[#This Row],[PRECIO $ BOLSA50 KG  FOB TUCUMAN A PLAZO (IVA INC)]]+Tabla1[[#This Row],[GASTOS FINANCIEROS $ BOLSA 50 KG (IVA INC)]])</f>
        <v>27904.101362303885</v>
      </c>
      <c r="AF274" s="828" t="s">
        <v>476</v>
      </c>
      <c r="AG274" s="828" t="s">
        <v>365</v>
      </c>
      <c r="AH274" s="828" t="s">
        <v>387</v>
      </c>
      <c r="AI274" s="828" t="s">
        <v>261</v>
      </c>
      <c r="AJ27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74" s="846">
        <f>SUM(Tabla1[[#This Row],[PRECIO $ BOLSA 50KG  FOB CDO TUC (IVA INC)]]-Tabla1[[#This Row],[PRECIO REF $ BOLSA 50 KG CACTU (IVA INC)]])</f>
        <v>-4610.8986376961147</v>
      </c>
      <c r="AL274" s="847">
        <f>IFERROR(Tabla1[[#This Row],[PRECIO $ BOLSA 50KG  FOB CDO TUC (IVA INC)]]/Tabla1[[#This Row],[PRECIO REF $ BOLSA 50 KG CACTU (IVA INC)]]-1,"")</f>
        <v>-0.1418083542271602</v>
      </c>
      <c r="AM274" s="846">
        <f>+Tabla1[[#This Row],[DIF $ PRECIO NETO INDUSTRIA vs Neto TUCUMAN (IVA INC)]]*Tabla1[[#This Row],[Q Bolsas Equivalentes 50kg]]</f>
        <v>-3227629.0463872803</v>
      </c>
      <c r="AN274" s="846">
        <f>Tabla1[[#This Row],[PRECIO REF $ BOLSA 50 KG CACTU (IVA INC)]]*Tabla1[[#This Row],[Q Bolsas Equivalentes 50kg]]</f>
        <v>22760500</v>
      </c>
      <c r="AO274" s="846">
        <f>+Tabla1[[#This Row],[PRECIO $ BOLSA 50KG  FOB CDO TUC (IVA INC)]]*Tabla1[[#This Row],[Q Bolsas Equivalentes 50kg]]</f>
        <v>19532870.953612719</v>
      </c>
      <c r="AP274" s="847">
        <v>2.9000000000000001E-2</v>
      </c>
      <c r="AQ274" s="846">
        <v>-68</v>
      </c>
      <c r="AR274" s="848"/>
      <c r="AS274" s="849"/>
      <c r="AT274" s="923">
        <f>+Tabla1[[#This Row],[VENTA TOTAL $ (IVA INC) ]]-(SUM(Tabla1[[#This Row],[PENDIENTE DE ENTREGA]:[VALORES COBRADOS]]))</f>
        <v>0</v>
      </c>
      <c r="AU274" s="850">
        <f>VLOOKUP(Tabla1[[#This Row],[FECHA OC]],'TIPO DE CAMBIO'!A:B,2,TRUE)</f>
        <v>1446.3009999999999</v>
      </c>
      <c r="AV274" s="850">
        <f>+Tabla1[[#This Row],[SUBTOTAL]]/Tabla1[[#This Row],[TIPO DE CAMBIO]]</f>
        <v>11025</v>
      </c>
      <c r="AW274" s="851"/>
      <c r="AX274" s="850">
        <f>IFERROR(Tabla1[[#This Row],[VENTA TOTAL USD A PLAZO EN CLIENTE  (SIN IVA)]]*(1+Tabla1[[#This Row],[% IVA ]]),"")</f>
        <v>11025</v>
      </c>
      <c r="AY274" s="850">
        <f>+Tabla1[[#This Row],[VENTA TOTAL USD A PLAZO EN CLIENTE  (SIN IVA)]]/Tabla1[[#This Row],[KGS]]*1000</f>
        <v>315</v>
      </c>
      <c r="AZ274" s="850">
        <v>0</v>
      </c>
      <c r="BA274" s="850">
        <f>+Tabla1[[#This Row],[GASTOS FINANCIEROS $ BOLSA 50 KG (IVA INC)]]*20/Tabla1[[#This Row],[TIPO DE CAMBIO]]</f>
        <v>4.7241715068493155</v>
      </c>
      <c r="BB274" s="850">
        <f>+Tabla1[[#This Row],[PRECIO POR TN USD EN CLIENTE A PLAZO (SIN IVA)]]+Tabla1[[#This Row],[COSTO USD FLETE /TN (SIN IVA)]]+Tabla1[[#This Row],[COSTO FINANCIERO USD POR BOLSA 50KG (IVA INC)]]</f>
        <v>319.7241715068493</v>
      </c>
      <c r="BC274" s="848">
        <v>5</v>
      </c>
      <c r="BD274" s="944"/>
    </row>
    <row r="275" spans="1:56" ht="15.75" customHeight="1">
      <c r="A275" s="912">
        <v>46204</v>
      </c>
      <c r="B275" s="828">
        <v>1</v>
      </c>
      <c r="C275" s="792" t="s">
        <v>406</v>
      </c>
      <c r="D275" s="829">
        <f>+Tabla1[[#This Row],[FECHA Entrega]]</f>
        <v>46208</v>
      </c>
      <c r="E275" s="830">
        <v>700000869</v>
      </c>
      <c r="F275" s="831" t="s">
        <v>358</v>
      </c>
      <c r="G275" s="832" t="s">
        <v>216</v>
      </c>
      <c r="H275" s="852">
        <v>46208</v>
      </c>
      <c r="I275" s="834">
        <f t="shared" si="117"/>
        <v>35000</v>
      </c>
      <c r="J275" s="835">
        <f>0.315*Tabla1[[#This Row],[TIPO DE CAMBIO]]</f>
        <v>455.58481499999999</v>
      </c>
      <c r="K275" s="836">
        <f t="shared" si="118"/>
        <v>15945468.525</v>
      </c>
      <c r="L27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75" s="837">
        <f t="shared" si="91"/>
        <v>19294016.91525</v>
      </c>
      <c r="N275" s="838"/>
      <c r="O275" s="838">
        <v>0</v>
      </c>
      <c r="P275" s="838">
        <v>0</v>
      </c>
      <c r="Q275" s="839">
        <f>+Tabla1[[#This Row],[VENTA TOTAL $ (IVA INC) ]]-Tabla1[[#This Row],[PENDIENTE DE COBRO]]</f>
        <v>19294016.91525</v>
      </c>
      <c r="R275" s="840">
        <f>+Tabla1[[#This Row],[FECHA FC]]+Tabla1[[#This Row],[PLAZO ENTREGA VALORES]]</f>
        <v>46051</v>
      </c>
      <c r="S275" s="840">
        <f>+Tabla1[[#This Row],[FECHA FC]]+Tabla1[[#This Row],[PLAZO PAGO (DIAS)]]</f>
        <v>46208</v>
      </c>
      <c r="T275" s="834">
        <f t="shared" ca="1" si="119"/>
        <v>27</v>
      </c>
      <c r="U275" s="831">
        <f>+Tabla1[[#This Row],[FECHA OC]]-Tabla1[[#This Row],[FECHA Entrega]]</f>
        <v>-157</v>
      </c>
      <c r="V275" s="831"/>
      <c r="W275" s="841">
        <f>+Tabla1[[#This Row],[FECHA VTO VALORES]]+7</f>
        <v>46215</v>
      </c>
      <c r="X275" s="831" t="s">
        <v>489</v>
      </c>
      <c r="Y275" s="840">
        <v>46051</v>
      </c>
      <c r="Z275" s="842">
        <f>Tabla1[[#This Row],[KGS]]/50</f>
        <v>700</v>
      </c>
      <c r="AA27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75" s="844">
        <f>-Tabla1[[#This Row],[COSTO FLETE $ POR BOLSA 5O KG (SIN IVA)]]*1.21-Tabla1[[#This Row],[PRECIO $/ KG A PLAZO EN CLIENTE ( SIN IVA)]]*0.003*1.21*50</f>
        <v>-0.40864392249999071</v>
      </c>
      <c r="AC275" s="845">
        <f>SUM(Tabla1[[#This Row],[PRECIO $ BOLSA 50 KG (IVA INC) ]]+Tabla1[[#This Row],[COSTO FLETE $ BOLSA 50 KG (IVA INC)]])</f>
        <v>27562.4726635775</v>
      </c>
      <c r="AD275" s="844">
        <f>-Tabla1[[#This Row],[PRECIO $ BOLSA 50 KG (IVA INC) ]]*(Tabla1[[#This Row],[TASA FINANCIACION MENSUAL]]/365)*Tabla1[[#This Row],[PLAZO ENTREGA VALORES]]</f>
        <v>343.81862628232193</v>
      </c>
      <c r="AE275" s="845">
        <f>SUM(Tabla1[[#This Row],[PRECIO $ BOLSA50 KG  FOB TUCUMAN A PLAZO (IVA INC)]]+Tabla1[[#This Row],[GASTOS FINANCIEROS $ BOLSA 50 KG (IVA INC)]])</f>
        <v>27906.291289859822</v>
      </c>
      <c r="AF275" s="828" t="s">
        <v>476</v>
      </c>
      <c r="AG275" s="828" t="s">
        <v>365</v>
      </c>
      <c r="AH275" s="828" t="s">
        <v>387</v>
      </c>
      <c r="AI275" s="828" t="s">
        <v>261</v>
      </c>
      <c r="AJ27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75" s="846">
        <f>SUM(Tabla1[[#This Row],[PRECIO $ BOLSA 50KG  FOB CDO TUC (IVA INC)]]-Tabla1[[#This Row],[PRECIO REF $ BOLSA 50 KG CACTU (IVA INC)]])</f>
        <v>-4608.7087101401776</v>
      </c>
      <c r="AL275" s="847">
        <f>IFERROR(Tabla1[[#This Row],[PRECIO $ BOLSA 50KG  FOB CDO TUC (IVA INC)]]/Tabla1[[#This Row],[PRECIO REF $ BOLSA 50 KG CACTU (IVA INC)]]-1,"")</f>
        <v>-0.14174100292603964</v>
      </c>
      <c r="AM275" s="846">
        <f>+Tabla1[[#This Row],[DIF $ PRECIO NETO INDUSTRIA vs Neto TUCUMAN (IVA INC)]]*Tabla1[[#This Row],[Q Bolsas Equivalentes 50kg]]</f>
        <v>-3226096.0970981242</v>
      </c>
      <c r="AN275" s="846">
        <f>Tabla1[[#This Row],[PRECIO REF $ BOLSA 50 KG CACTU (IVA INC)]]*Tabla1[[#This Row],[Q Bolsas Equivalentes 50kg]]</f>
        <v>22760500</v>
      </c>
      <c r="AO275" s="846">
        <f>+Tabla1[[#This Row],[PRECIO $ BOLSA 50KG  FOB CDO TUC (IVA INC)]]*Tabla1[[#This Row],[Q Bolsas Equivalentes 50kg]]</f>
        <v>19534403.902901877</v>
      </c>
      <c r="AP275" s="847">
        <v>2.9000000000000001E-2</v>
      </c>
      <c r="AQ275" s="846">
        <v>-68</v>
      </c>
      <c r="AR275" s="848"/>
      <c r="AS275" s="849"/>
      <c r="AT275" s="923">
        <f>+Tabla1[[#This Row],[VENTA TOTAL $ (IVA INC) ]]-(SUM(Tabla1[[#This Row],[PENDIENTE DE ENTREGA]:[VALORES COBRADOS]]))</f>
        <v>0</v>
      </c>
      <c r="AU275" s="850">
        <f>VLOOKUP(Tabla1[[#This Row],[FECHA OC]],'TIPO DE CAMBIO'!A:B,2,TRUE)</f>
        <v>1446.3009999999999</v>
      </c>
      <c r="AV275" s="850">
        <f>+Tabla1[[#This Row],[SUBTOTAL]]/Tabla1[[#This Row],[TIPO DE CAMBIO]]</f>
        <v>11025</v>
      </c>
      <c r="AW275" s="851"/>
      <c r="AX275" s="850">
        <f>IFERROR(Tabla1[[#This Row],[VENTA TOTAL USD A PLAZO EN CLIENTE  (SIN IVA)]]*(1+Tabla1[[#This Row],[% IVA ]]),"")</f>
        <v>11025</v>
      </c>
      <c r="AY275" s="850">
        <f>+Tabla1[[#This Row],[VENTA TOTAL USD A PLAZO EN CLIENTE  (SIN IVA)]]/Tabla1[[#This Row],[KGS]]*1000</f>
        <v>315</v>
      </c>
      <c r="AZ275" s="850">
        <v>0</v>
      </c>
      <c r="BA275" s="850">
        <f>+Tabla1[[#This Row],[GASTOS FINANCIEROS $ BOLSA 50 KG (IVA INC)]]*20/Tabla1[[#This Row],[TIPO DE CAMBIO]]</f>
        <v>4.7544546575342466</v>
      </c>
      <c r="BB275" s="850">
        <f>+Tabla1[[#This Row],[PRECIO POR TN USD EN CLIENTE A PLAZO (SIN IVA)]]+Tabla1[[#This Row],[COSTO USD FLETE /TN (SIN IVA)]]+Tabla1[[#This Row],[COSTO FINANCIERO USD POR BOLSA 50KG (IVA INC)]]</f>
        <v>319.75445465753427</v>
      </c>
      <c r="BC275" s="848">
        <v>5</v>
      </c>
      <c r="BD275" s="944"/>
    </row>
    <row r="276" spans="1:56" ht="15.75" customHeight="1">
      <c r="A276" s="912">
        <v>46204</v>
      </c>
      <c r="B276" s="828">
        <v>1</v>
      </c>
      <c r="C276" s="792" t="s">
        <v>406</v>
      </c>
      <c r="D276" s="829">
        <f>+Tabla1[[#This Row],[FECHA Entrega]]</f>
        <v>46208</v>
      </c>
      <c r="E276" s="830">
        <v>700000869</v>
      </c>
      <c r="F276" s="831" t="s">
        <v>358</v>
      </c>
      <c r="G276" s="832" t="s">
        <v>216</v>
      </c>
      <c r="H276" s="852">
        <v>46208</v>
      </c>
      <c r="I276" s="834">
        <f t="shared" si="117"/>
        <v>35000</v>
      </c>
      <c r="J276" s="835">
        <f>0.315*Tabla1[[#This Row],[TIPO DE CAMBIO]]</f>
        <v>455.58481499999999</v>
      </c>
      <c r="K276" s="836">
        <f t="shared" si="118"/>
        <v>15945468.525</v>
      </c>
      <c r="L27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76" s="837">
        <f t="shared" si="91"/>
        <v>19294016.91525</v>
      </c>
      <c r="N276" s="838"/>
      <c r="O276" s="838">
        <v>0</v>
      </c>
      <c r="P276" s="838">
        <v>0</v>
      </c>
      <c r="Q276" s="839">
        <f>+Tabla1[[#This Row],[VENTA TOTAL $ (IVA INC) ]]-Tabla1[[#This Row],[PENDIENTE DE COBRO]]</f>
        <v>19294016.91525</v>
      </c>
      <c r="R276" s="840">
        <f>+Tabla1[[#This Row],[FECHA FC]]+Tabla1[[#This Row],[PLAZO ENTREGA VALORES]]</f>
        <v>46051</v>
      </c>
      <c r="S276" s="840">
        <f>+Tabla1[[#This Row],[FECHA FC]]+Tabla1[[#This Row],[PLAZO PAGO (DIAS)]]</f>
        <v>46208</v>
      </c>
      <c r="T276" s="834">
        <f t="shared" ca="1" si="119"/>
        <v>27</v>
      </c>
      <c r="U276" s="831">
        <f>+Tabla1[[#This Row],[FECHA OC]]-Tabla1[[#This Row],[FECHA Entrega]]</f>
        <v>-157</v>
      </c>
      <c r="V276" s="831"/>
      <c r="W276" s="841">
        <f>+Tabla1[[#This Row],[FECHA VTO VALORES]]+7</f>
        <v>46215</v>
      </c>
      <c r="X276" s="831" t="s">
        <v>489</v>
      </c>
      <c r="Y276" s="840">
        <v>46051</v>
      </c>
      <c r="Z276" s="842">
        <f>Tabla1[[#This Row],[KGS]]/50</f>
        <v>700</v>
      </c>
      <c r="AA27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76" s="844">
        <f>-Tabla1[[#This Row],[COSTO FLETE $ POR BOLSA 5O KG (SIN IVA)]]*1.21-Tabla1[[#This Row],[PRECIO $/ KG A PLAZO EN CLIENTE ( SIN IVA)]]*0.003*1.21*50</f>
        <v>-0.40864392249999071</v>
      </c>
      <c r="AC276" s="845">
        <f>SUM(Tabla1[[#This Row],[PRECIO $ BOLSA 50 KG (IVA INC) ]]+Tabla1[[#This Row],[COSTO FLETE $ BOLSA 50 KG (IVA INC)]])</f>
        <v>27562.4726635775</v>
      </c>
      <c r="AD276" s="844">
        <f>-Tabla1[[#This Row],[PRECIO $ BOLSA 50 KG (IVA INC) ]]*(Tabla1[[#This Row],[TASA FINANCIACION MENSUAL]]/365)*Tabla1[[#This Row],[PLAZO ENTREGA VALORES]]</f>
        <v>343.81862628232193</v>
      </c>
      <c r="AE276" s="845">
        <f>SUM(Tabla1[[#This Row],[PRECIO $ BOLSA50 KG  FOB TUCUMAN A PLAZO (IVA INC)]]+Tabla1[[#This Row],[GASTOS FINANCIEROS $ BOLSA 50 KG (IVA INC)]])</f>
        <v>27906.291289859822</v>
      </c>
      <c r="AF276" s="828" t="s">
        <v>476</v>
      </c>
      <c r="AG276" s="828" t="s">
        <v>365</v>
      </c>
      <c r="AH276" s="828" t="s">
        <v>387</v>
      </c>
      <c r="AI276" s="828" t="s">
        <v>261</v>
      </c>
      <c r="AJ27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76" s="846">
        <f>SUM(Tabla1[[#This Row],[PRECIO $ BOLSA 50KG  FOB CDO TUC (IVA INC)]]-Tabla1[[#This Row],[PRECIO REF $ BOLSA 50 KG CACTU (IVA INC)]])</f>
        <v>-4608.7087101401776</v>
      </c>
      <c r="AL276" s="847">
        <f>IFERROR(Tabla1[[#This Row],[PRECIO $ BOLSA 50KG  FOB CDO TUC (IVA INC)]]/Tabla1[[#This Row],[PRECIO REF $ BOLSA 50 KG CACTU (IVA INC)]]-1,"")</f>
        <v>-0.14174100292603964</v>
      </c>
      <c r="AM276" s="846">
        <f>+Tabla1[[#This Row],[DIF $ PRECIO NETO INDUSTRIA vs Neto TUCUMAN (IVA INC)]]*Tabla1[[#This Row],[Q Bolsas Equivalentes 50kg]]</f>
        <v>-3226096.0970981242</v>
      </c>
      <c r="AN276" s="846">
        <f>Tabla1[[#This Row],[PRECIO REF $ BOLSA 50 KG CACTU (IVA INC)]]*Tabla1[[#This Row],[Q Bolsas Equivalentes 50kg]]</f>
        <v>22760500</v>
      </c>
      <c r="AO276" s="846">
        <f>+Tabla1[[#This Row],[PRECIO $ BOLSA 50KG  FOB CDO TUC (IVA INC)]]*Tabla1[[#This Row],[Q Bolsas Equivalentes 50kg]]</f>
        <v>19534403.902901877</v>
      </c>
      <c r="AP276" s="847">
        <v>2.9000000000000001E-2</v>
      </c>
      <c r="AQ276" s="846">
        <v>-68</v>
      </c>
      <c r="AR276" s="848"/>
      <c r="AS276" s="849"/>
      <c r="AT276" s="923">
        <f>+Tabla1[[#This Row],[VENTA TOTAL $ (IVA INC) ]]-(SUM(Tabla1[[#This Row],[PENDIENTE DE ENTREGA]:[VALORES COBRADOS]]))</f>
        <v>0</v>
      </c>
      <c r="AU276" s="850">
        <f>VLOOKUP(Tabla1[[#This Row],[FECHA OC]],'TIPO DE CAMBIO'!A:B,2,TRUE)</f>
        <v>1446.3009999999999</v>
      </c>
      <c r="AV276" s="850">
        <f>+Tabla1[[#This Row],[SUBTOTAL]]/Tabla1[[#This Row],[TIPO DE CAMBIO]]</f>
        <v>11025</v>
      </c>
      <c r="AW276" s="851"/>
      <c r="AX276" s="850">
        <f>IFERROR(Tabla1[[#This Row],[VENTA TOTAL USD A PLAZO EN CLIENTE  (SIN IVA)]]*(1+Tabla1[[#This Row],[% IVA ]]),"")</f>
        <v>11025</v>
      </c>
      <c r="AY276" s="850">
        <f>+Tabla1[[#This Row],[VENTA TOTAL USD A PLAZO EN CLIENTE  (SIN IVA)]]/Tabla1[[#This Row],[KGS]]*1000</f>
        <v>315</v>
      </c>
      <c r="AZ276" s="850">
        <v>0</v>
      </c>
      <c r="BA276" s="850">
        <f>+Tabla1[[#This Row],[GASTOS FINANCIEROS $ BOLSA 50 KG (IVA INC)]]*20/Tabla1[[#This Row],[TIPO DE CAMBIO]]</f>
        <v>4.7544546575342466</v>
      </c>
      <c r="BB276" s="850">
        <f>+Tabla1[[#This Row],[PRECIO POR TN USD EN CLIENTE A PLAZO (SIN IVA)]]+Tabla1[[#This Row],[COSTO USD FLETE /TN (SIN IVA)]]+Tabla1[[#This Row],[COSTO FINANCIERO USD POR BOLSA 50KG (IVA INC)]]</f>
        <v>319.75445465753427</v>
      </c>
      <c r="BC276" s="848">
        <v>5</v>
      </c>
      <c r="BD276" s="944"/>
    </row>
    <row r="277" spans="1:56" ht="15.75" customHeight="1">
      <c r="A277" s="912">
        <v>46204</v>
      </c>
      <c r="B277" s="828">
        <v>1</v>
      </c>
      <c r="C277" s="792" t="s">
        <v>406</v>
      </c>
      <c r="D277" s="829">
        <f>+Tabla1[[#This Row],[FECHA Entrega]]</f>
        <v>46209</v>
      </c>
      <c r="E277" s="830">
        <v>700000869</v>
      </c>
      <c r="F277" s="831" t="s">
        <v>358</v>
      </c>
      <c r="G277" s="832" t="s">
        <v>216</v>
      </c>
      <c r="H277" s="852">
        <v>46209</v>
      </c>
      <c r="I277" s="834">
        <f t="shared" si="117"/>
        <v>35000</v>
      </c>
      <c r="J277" s="835">
        <f>0.315*Tabla1[[#This Row],[TIPO DE CAMBIO]]</f>
        <v>455.58481499999999</v>
      </c>
      <c r="K277" s="836">
        <f t="shared" si="118"/>
        <v>15945468.525</v>
      </c>
      <c r="L27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77" s="837">
        <f t="shared" si="91"/>
        <v>19294016.91525</v>
      </c>
      <c r="N277" s="838"/>
      <c r="O277" s="838">
        <v>0</v>
      </c>
      <c r="P277" s="838">
        <v>0</v>
      </c>
      <c r="Q277" s="839">
        <f>+Tabla1[[#This Row],[VENTA TOTAL $ (IVA INC) ]]-Tabla1[[#This Row],[PENDIENTE DE COBRO]]</f>
        <v>19294016.91525</v>
      </c>
      <c r="R277" s="840">
        <f>+Tabla1[[#This Row],[FECHA FC]]+Tabla1[[#This Row],[PLAZO ENTREGA VALORES]]</f>
        <v>46051</v>
      </c>
      <c r="S277" s="840">
        <f>+Tabla1[[#This Row],[FECHA FC]]+Tabla1[[#This Row],[PLAZO PAGO (DIAS)]]</f>
        <v>46209</v>
      </c>
      <c r="T277" s="834">
        <f t="shared" ca="1" si="119"/>
        <v>28</v>
      </c>
      <c r="U277" s="831">
        <f>+Tabla1[[#This Row],[FECHA OC]]-Tabla1[[#This Row],[FECHA Entrega]]</f>
        <v>-158</v>
      </c>
      <c r="V277" s="831"/>
      <c r="W277" s="841">
        <f>+Tabla1[[#This Row],[FECHA VTO VALORES]]+7</f>
        <v>46216</v>
      </c>
      <c r="X277" s="831" t="s">
        <v>489</v>
      </c>
      <c r="Y277" s="840">
        <v>46051</v>
      </c>
      <c r="Z277" s="842">
        <f>Tabla1[[#This Row],[KGS]]/50</f>
        <v>700</v>
      </c>
      <c r="AA27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77" s="844">
        <f>-Tabla1[[#This Row],[COSTO FLETE $ POR BOLSA 5O KG (SIN IVA)]]*1.21-Tabla1[[#This Row],[PRECIO $/ KG A PLAZO EN CLIENTE ( SIN IVA)]]*0.003*1.21*50</f>
        <v>-0.40864392249999071</v>
      </c>
      <c r="AC277" s="845">
        <f>SUM(Tabla1[[#This Row],[PRECIO $ BOLSA 50 KG (IVA INC) ]]+Tabla1[[#This Row],[COSTO FLETE $ BOLSA 50 KG (IVA INC)]])</f>
        <v>27562.4726635775</v>
      </c>
      <c r="AD277" s="844">
        <f>-Tabla1[[#This Row],[PRECIO $ BOLSA 50 KG (IVA INC) ]]*(Tabla1[[#This Row],[TASA FINANCIACION MENSUAL]]/365)*Tabla1[[#This Row],[PLAZO ENTREGA VALORES]]</f>
        <v>346.0085538382603</v>
      </c>
      <c r="AE277" s="845">
        <f>SUM(Tabla1[[#This Row],[PRECIO $ BOLSA50 KG  FOB TUCUMAN A PLAZO (IVA INC)]]+Tabla1[[#This Row],[GASTOS FINANCIEROS $ BOLSA 50 KG (IVA INC)]])</f>
        <v>27908.48121741576</v>
      </c>
      <c r="AF277" s="828" t="s">
        <v>476</v>
      </c>
      <c r="AG277" s="828" t="s">
        <v>365</v>
      </c>
      <c r="AH277" s="828" t="s">
        <v>387</v>
      </c>
      <c r="AI277" s="828" t="s">
        <v>261</v>
      </c>
      <c r="AJ27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77" s="846">
        <f>SUM(Tabla1[[#This Row],[PRECIO $ BOLSA 50KG  FOB CDO TUC (IVA INC)]]-Tabla1[[#This Row],[PRECIO REF $ BOLSA 50 KG CACTU (IVA INC)]])</f>
        <v>-4606.5187825842404</v>
      </c>
      <c r="AL277" s="847">
        <f>IFERROR(Tabla1[[#This Row],[PRECIO $ BOLSA 50KG  FOB CDO TUC (IVA INC)]]/Tabla1[[#This Row],[PRECIO REF $ BOLSA 50 KG CACTU (IVA INC)]]-1,"")</f>
        <v>-0.14167365162491896</v>
      </c>
      <c r="AM277" s="846">
        <f>+Tabla1[[#This Row],[DIF $ PRECIO NETO INDUSTRIA vs Neto TUCUMAN (IVA INC)]]*Tabla1[[#This Row],[Q Bolsas Equivalentes 50kg]]</f>
        <v>-3224563.1478089681</v>
      </c>
      <c r="AN277" s="846">
        <f>Tabla1[[#This Row],[PRECIO REF $ BOLSA 50 KG CACTU (IVA INC)]]*Tabla1[[#This Row],[Q Bolsas Equivalentes 50kg]]</f>
        <v>22760500</v>
      </c>
      <c r="AO277" s="846">
        <f>+Tabla1[[#This Row],[PRECIO $ BOLSA 50KG  FOB CDO TUC (IVA INC)]]*Tabla1[[#This Row],[Q Bolsas Equivalentes 50kg]]</f>
        <v>19535936.852191031</v>
      </c>
      <c r="AP277" s="847">
        <v>2.9000000000000001E-2</v>
      </c>
      <c r="AQ277" s="846">
        <v>-68</v>
      </c>
      <c r="AR277" s="848"/>
      <c r="AS277" s="849"/>
      <c r="AT277" s="923">
        <f>+Tabla1[[#This Row],[VENTA TOTAL $ (IVA INC) ]]-(SUM(Tabla1[[#This Row],[PENDIENTE DE ENTREGA]:[VALORES COBRADOS]]))</f>
        <v>0</v>
      </c>
      <c r="AU277" s="850">
        <f>VLOOKUP(Tabla1[[#This Row],[FECHA OC]],'TIPO DE CAMBIO'!A:B,2,TRUE)</f>
        <v>1446.3009999999999</v>
      </c>
      <c r="AV277" s="850">
        <f>+Tabla1[[#This Row],[SUBTOTAL]]/Tabla1[[#This Row],[TIPO DE CAMBIO]]</f>
        <v>11025</v>
      </c>
      <c r="AW277" s="851"/>
      <c r="AX277" s="850">
        <f>IFERROR(Tabla1[[#This Row],[VENTA TOTAL USD A PLAZO EN CLIENTE  (SIN IVA)]]*(1+Tabla1[[#This Row],[% IVA ]]),"")</f>
        <v>11025</v>
      </c>
      <c r="AY277" s="850">
        <f>+Tabla1[[#This Row],[VENTA TOTAL USD A PLAZO EN CLIENTE  (SIN IVA)]]/Tabla1[[#This Row],[KGS]]*1000</f>
        <v>315</v>
      </c>
      <c r="AZ277" s="850">
        <v>0</v>
      </c>
      <c r="BA277" s="850">
        <f>+Tabla1[[#This Row],[GASTOS FINANCIEROS $ BOLSA 50 KG (IVA INC)]]*20/Tabla1[[#This Row],[TIPO DE CAMBIO]]</f>
        <v>4.7847378082191785</v>
      </c>
      <c r="BB277" s="850">
        <f>+Tabla1[[#This Row],[PRECIO POR TN USD EN CLIENTE A PLAZO (SIN IVA)]]+Tabla1[[#This Row],[COSTO USD FLETE /TN (SIN IVA)]]+Tabla1[[#This Row],[COSTO FINANCIERO USD POR BOLSA 50KG (IVA INC)]]</f>
        <v>319.78473780821918</v>
      </c>
      <c r="BC277" s="848">
        <v>5</v>
      </c>
      <c r="BD277" s="944"/>
    </row>
    <row r="278" spans="1:56" ht="15.75" customHeight="1">
      <c r="A278" s="912">
        <v>46204</v>
      </c>
      <c r="B278" s="828">
        <v>1</v>
      </c>
      <c r="C278" s="792" t="s">
        <v>406</v>
      </c>
      <c r="D278" s="829">
        <f>+Tabla1[[#This Row],[FECHA Entrega]]</f>
        <v>46209</v>
      </c>
      <c r="E278" s="830">
        <v>700000869</v>
      </c>
      <c r="F278" s="831" t="s">
        <v>358</v>
      </c>
      <c r="G278" s="832" t="s">
        <v>216</v>
      </c>
      <c r="H278" s="852">
        <v>46209</v>
      </c>
      <c r="I278" s="834">
        <f t="shared" si="117"/>
        <v>35000</v>
      </c>
      <c r="J278" s="835">
        <f>0.315*Tabla1[[#This Row],[TIPO DE CAMBIO]]</f>
        <v>455.58481499999999</v>
      </c>
      <c r="K278" s="836">
        <f t="shared" si="118"/>
        <v>15945468.525</v>
      </c>
      <c r="L27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78" s="837">
        <f t="shared" si="91"/>
        <v>19294016.91525</v>
      </c>
      <c r="N278" s="838"/>
      <c r="O278" s="838">
        <v>0</v>
      </c>
      <c r="P278" s="838">
        <v>0</v>
      </c>
      <c r="Q278" s="839">
        <f>+Tabla1[[#This Row],[VENTA TOTAL $ (IVA INC) ]]-Tabla1[[#This Row],[PENDIENTE DE COBRO]]</f>
        <v>19294016.91525</v>
      </c>
      <c r="R278" s="840">
        <f>+Tabla1[[#This Row],[FECHA FC]]+Tabla1[[#This Row],[PLAZO ENTREGA VALORES]]</f>
        <v>46051</v>
      </c>
      <c r="S278" s="840">
        <f>+Tabla1[[#This Row],[FECHA FC]]+Tabla1[[#This Row],[PLAZO PAGO (DIAS)]]</f>
        <v>46209</v>
      </c>
      <c r="T278" s="834">
        <f t="shared" ca="1" si="119"/>
        <v>28</v>
      </c>
      <c r="U278" s="831">
        <f>+Tabla1[[#This Row],[FECHA OC]]-Tabla1[[#This Row],[FECHA Entrega]]</f>
        <v>-158</v>
      </c>
      <c r="V278" s="831"/>
      <c r="W278" s="841">
        <f>+Tabla1[[#This Row],[FECHA VTO VALORES]]+7</f>
        <v>46216</v>
      </c>
      <c r="X278" s="831" t="s">
        <v>489</v>
      </c>
      <c r="Y278" s="840">
        <v>46051</v>
      </c>
      <c r="Z278" s="842">
        <f>Tabla1[[#This Row],[KGS]]/50</f>
        <v>700</v>
      </c>
      <c r="AA27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78" s="844">
        <f>-Tabla1[[#This Row],[COSTO FLETE $ POR BOLSA 5O KG (SIN IVA)]]*1.21-Tabla1[[#This Row],[PRECIO $/ KG A PLAZO EN CLIENTE ( SIN IVA)]]*0.003*1.21*50</f>
        <v>-0.40864392249999071</v>
      </c>
      <c r="AC278" s="845">
        <f>SUM(Tabla1[[#This Row],[PRECIO $ BOLSA 50 KG (IVA INC) ]]+Tabla1[[#This Row],[COSTO FLETE $ BOLSA 50 KG (IVA INC)]])</f>
        <v>27562.4726635775</v>
      </c>
      <c r="AD278" s="844">
        <f>-Tabla1[[#This Row],[PRECIO $ BOLSA 50 KG (IVA INC) ]]*(Tabla1[[#This Row],[TASA FINANCIACION MENSUAL]]/365)*Tabla1[[#This Row],[PLAZO ENTREGA VALORES]]</f>
        <v>346.0085538382603</v>
      </c>
      <c r="AE278" s="845">
        <f>SUM(Tabla1[[#This Row],[PRECIO $ BOLSA50 KG  FOB TUCUMAN A PLAZO (IVA INC)]]+Tabla1[[#This Row],[GASTOS FINANCIEROS $ BOLSA 50 KG (IVA INC)]])</f>
        <v>27908.48121741576</v>
      </c>
      <c r="AF278" s="828" t="s">
        <v>476</v>
      </c>
      <c r="AG278" s="828" t="s">
        <v>365</v>
      </c>
      <c r="AH278" s="828" t="s">
        <v>387</v>
      </c>
      <c r="AI278" s="828" t="s">
        <v>261</v>
      </c>
      <c r="AJ27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78" s="846">
        <f>SUM(Tabla1[[#This Row],[PRECIO $ BOLSA 50KG  FOB CDO TUC (IVA INC)]]-Tabla1[[#This Row],[PRECIO REF $ BOLSA 50 KG CACTU (IVA INC)]])</f>
        <v>-4606.5187825842404</v>
      </c>
      <c r="AL278" s="847">
        <f>IFERROR(Tabla1[[#This Row],[PRECIO $ BOLSA 50KG  FOB CDO TUC (IVA INC)]]/Tabla1[[#This Row],[PRECIO REF $ BOLSA 50 KG CACTU (IVA INC)]]-1,"")</f>
        <v>-0.14167365162491896</v>
      </c>
      <c r="AM278" s="846">
        <f>+Tabla1[[#This Row],[DIF $ PRECIO NETO INDUSTRIA vs Neto TUCUMAN (IVA INC)]]*Tabla1[[#This Row],[Q Bolsas Equivalentes 50kg]]</f>
        <v>-3224563.1478089681</v>
      </c>
      <c r="AN278" s="846">
        <f>Tabla1[[#This Row],[PRECIO REF $ BOLSA 50 KG CACTU (IVA INC)]]*Tabla1[[#This Row],[Q Bolsas Equivalentes 50kg]]</f>
        <v>22760500</v>
      </c>
      <c r="AO278" s="846">
        <f>+Tabla1[[#This Row],[PRECIO $ BOLSA 50KG  FOB CDO TUC (IVA INC)]]*Tabla1[[#This Row],[Q Bolsas Equivalentes 50kg]]</f>
        <v>19535936.852191031</v>
      </c>
      <c r="AP278" s="847">
        <v>2.9000000000000001E-2</v>
      </c>
      <c r="AQ278" s="846">
        <v>-68</v>
      </c>
      <c r="AR278" s="848"/>
      <c r="AS278" s="849"/>
      <c r="AT278" s="923">
        <f>+Tabla1[[#This Row],[VENTA TOTAL $ (IVA INC) ]]-(SUM(Tabla1[[#This Row],[PENDIENTE DE ENTREGA]:[VALORES COBRADOS]]))</f>
        <v>0</v>
      </c>
      <c r="AU278" s="850">
        <f>VLOOKUP(Tabla1[[#This Row],[FECHA OC]],'TIPO DE CAMBIO'!A:B,2,TRUE)</f>
        <v>1446.3009999999999</v>
      </c>
      <c r="AV278" s="850">
        <f>+Tabla1[[#This Row],[SUBTOTAL]]/Tabla1[[#This Row],[TIPO DE CAMBIO]]</f>
        <v>11025</v>
      </c>
      <c r="AW278" s="851"/>
      <c r="AX278" s="850">
        <f>IFERROR(Tabla1[[#This Row],[VENTA TOTAL USD A PLAZO EN CLIENTE  (SIN IVA)]]*(1+Tabla1[[#This Row],[% IVA ]]),"")</f>
        <v>11025</v>
      </c>
      <c r="AY278" s="850">
        <f>+Tabla1[[#This Row],[VENTA TOTAL USD A PLAZO EN CLIENTE  (SIN IVA)]]/Tabla1[[#This Row],[KGS]]*1000</f>
        <v>315</v>
      </c>
      <c r="AZ278" s="850">
        <v>0</v>
      </c>
      <c r="BA278" s="850">
        <f>+Tabla1[[#This Row],[GASTOS FINANCIEROS $ BOLSA 50 KG (IVA INC)]]*20/Tabla1[[#This Row],[TIPO DE CAMBIO]]</f>
        <v>4.7847378082191785</v>
      </c>
      <c r="BB278" s="850">
        <f>+Tabla1[[#This Row],[PRECIO POR TN USD EN CLIENTE A PLAZO (SIN IVA)]]+Tabla1[[#This Row],[COSTO USD FLETE /TN (SIN IVA)]]+Tabla1[[#This Row],[COSTO FINANCIERO USD POR BOLSA 50KG (IVA INC)]]</f>
        <v>319.78473780821918</v>
      </c>
      <c r="BC278" s="848">
        <v>5</v>
      </c>
      <c r="BD278" s="944"/>
    </row>
    <row r="279" spans="1:56" ht="15.75" customHeight="1">
      <c r="A279" s="912">
        <v>46204</v>
      </c>
      <c r="B279" s="828">
        <v>1</v>
      </c>
      <c r="C279" s="792" t="s">
        <v>406</v>
      </c>
      <c r="D279" s="829">
        <f>+Tabla1[[#This Row],[FECHA Entrega]]</f>
        <v>46210</v>
      </c>
      <c r="E279" s="830">
        <v>700000869</v>
      </c>
      <c r="F279" s="831" t="s">
        <v>358</v>
      </c>
      <c r="G279" s="832" t="s">
        <v>216</v>
      </c>
      <c r="H279" s="852">
        <v>46210</v>
      </c>
      <c r="I279" s="834">
        <f t="shared" si="117"/>
        <v>35000</v>
      </c>
      <c r="J279" s="835">
        <f>0.315*Tabla1[[#This Row],[TIPO DE CAMBIO]]</f>
        <v>455.58481499999999</v>
      </c>
      <c r="K279" s="836">
        <f t="shared" si="118"/>
        <v>15945468.525</v>
      </c>
      <c r="L27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79" s="837">
        <f t="shared" si="91"/>
        <v>19294016.91525</v>
      </c>
      <c r="N279" s="838"/>
      <c r="O279" s="838">
        <v>0</v>
      </c>
      <c r="P279" s="838">
        <v>0</v>
      </c>
      <c r="Q279" s="839">
        <f>+Tabla1[[#This Row],[VENTA TOTAL $ (IVA INC) ]]-Tabla1[[#This Row],[PENDIENTE DE COBRO]]</f>
        <v>19294016.91525</v>
      </c>
      <c r="R279" s="840">
        <f>+Tabla1[[#This Row],[FECHA FC]]+Tabla1[[#This Row],[PLAZO ENTREGA VALORES]]</f>
        <v>46051</v>
      </c>
      <c r="S279" s="840">
        <f>+Tabla1[[#This Row],[FECHA FC]]+Tabla1[[#This Row],[PLAZO PAGO (DIAS)]]</f>
        <v>46210</v>
      </c>
      <c r="T279" s="834">
        <f t="shared" ca="1" si="119"/>
        <v>29</v>
      </c>
      <c r="U279" s="831">
        <f>+Tabla1[[#This Row],[FECHA OC]]-Tabla1[[#This Row],[FECHA Entrega]]</f>
        <v>-159</v>
      </c>
      <c r="V279" s="831"/>
      <c r="W279" s="841">
        <f>+Tabla1[[#This Row],[FECHA VTO VALORES]]+7</f>
        <v>46217</v>
      </c>
      <c r="X279" s="831" t="s">
        <v>489</v>
      </c>
      <c r="Y279" s="840">
        <v>46051</v>
      </c>
      <c r="Z279" s="842">
        <f>Tabla1[[#This Row],[KGS]]/50</f>
        <v>700</v>
      </c>
      <c r="AA27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79" s="844">
        <f>-Tabla1[[#This Row],[COSTO FLETE $ POR BOLSA 5O KG (SIN IVA)]]*1.21-Tabla1[[#This Row],[PRECIO $/ KG A PLAZO EN CLIENTE ( SIN IVA)]]*0.003*1.21*50</f>
        <v>-0.40864392249999071</v>
      </c>
      <c r="AC279" s="845">
        <f>SUM(Tabla1[[#This Row],[PRECIO $ BOLSA 50 KG (IVA INC) ]]+Tabla1[[#This Row],[COSTO FLETE $ BOLSA 50 KG (IVA INC)]])</f>
        <v>27562.4726635775</v>
      </c>
      <c r="AD279" s="844">
        <f>-Tabla1[[#This Row],[PRECIO $ BOLSA 50 KG (IVA INC) ]]*(Tabla1[[#This Row],[TASA FINANCIACION MENSUAL]]/365)*Tabla1[[#This Row],[PLAZO ENTREGA VALORES]]</f>
        <v>348.19848139419861</v>
      </c>
      <c r="AE279" s="845">
        <f>SUM(Tabla1[[#This Row],[PRECIO $ BOLSA50 KG  FOB TUCUMAN A PLAZO (IVA INC)]]+Tabla1[[#This Row],[GASTOS FINANCIEROS $ BOLSA 50 KG (IVA INC)]])</f>
        <v>27910.6711449717</v>
      </c>
      <c r="AF279" s="828" t="s">
        <v>476</v>
      </c>
      <c r="AG279" s="828" t="s">
        <v>365</v>
      </c>
      <c r="AH279" s="828" t="s">
        <v>387</v>
      </c>
      <c r="AI279" s="828" t="s">
        <v>261</v>
      </c>
      <c r="AJ27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79" s="846">
        <f>SUM(Tabla1[[#This Row],[PRECIO $ BOLSA 50KG  FOB CDO TUC (IVA INC)]]-Tabla1[[#This Row],[PRECIO REF $ BOLSA 50 KG CACTU (IVA INC)]])</f>
        <v>-4604.3288550282996</v>
      </c>
      <c r="AL279" s="847">
        <f>IFERROR(Tabla1[[#This Row],[PRECIO $ BOLSA 50KG  FOB CDO TUC (IVA INC)]]/Tabla1[[#This Row],[PRECIO REF $ BOLSA 50 KG CACTU (IVA INC)]]-1,"")</f>
        <v>-0.14160630032379828</v>
      </c>
      <c r="AM279" s="846">
        <f>+Tabla1[[#This Row],[DIF $ PRECIO NETO INDUSTRIA vs Neto TUCUMAN (IVA INC)]]*Tabla1[[#This Row],[Q Bolsas Equivalentes 50kg]]</f>
        <v>-3223030.1985198096</v>
      </c>
      <c r="AN279" s="846">
        <f>Tabla1[[#This Row],[PRECIO REF $ BOLSA 50 KG CACTU (IVA INC)]]*Tabla1[[#This Row],[Q Bolsas Equivalentes 50kg]]</f>
        <v>22760500</v>
      </c>
      <c r="AO279" s="846">
        <f>+Tabla1[[#This Row],[PRECIO $ BOLSA 50KG  FOB CDO TUC (IVA INC)]]*Tabla1[[#This Row],[Q Bolsas Equivalentes 50kg]]</f>
        <v>19537469.801480189</v>
      </c>
      <c r="AP279" s="847">
        <v>2.9000000000000001E-2</v>
      </c>
      <c r="AQ279" s="846">
        <v>-68</v>
      </c>
      <c r="AR279" s="848"/>
      <c r="AS279" s="849"/>
      <c r="AT279" s="923">
        <f>+Tabla1[[#This Row],[VENTA TOTAL $ (IVA INC) ]]-(SUM(Tabla1[[#This Row],[PENDIENTE DE ENTREGA]:[VALORES COBRADOS]]))</f>
        <v>0</v>
      </c>
      <c r="AU279" s="850">
        <f>VLOOKUP(Tabla1[[#This Row],[FECHA OC]],'TIPO DE CAMBIO'!A:B,2,TRUE)</f>
        <v>1446.3009999999999</v>
      </c>
      <c r="AV279" s="850">
        <f>+Tabla1[[#This Row],[SUBTOTAL]]/Tabla1[[#This Row],[TIPO DE CAMBIO]]</f>
        <v>11025</v>
      </c>
      <c r="AW279" s="851"/>
      <c r="AX279" s="850">
        <f>IFERROR(Tabla1[[#This Row],[VENTA TOTAL USD A PLAZO EN CLIENTE  (SIN IVA)]]*(1+Tabla1[[#This Row],[% IVA ]]),"")</f>
        <v>11025</v>
      </c>
      <c r="AY279" s="850">
        <f>+Tabla1[[#This Row],[VENTA TOTAL USD A PLAZO EN CLIENTE  (SIN IVA)]]/Tabla1[[#This Row],[KGS]]*1000</f>
        <v>315</v>
      </c>
      <c r="AZ279" s="850">
        <v>0</v>
      </c>
      <c r="BA279" s="850">
        <f>+Tabla1[[#This Row],[GASTOS FINANCIEROS $ BOLSA 50 KG (IVA INC)]]*20/Tabla1[[#This Row],[TIPO DE CAMBIO]]</f>
        <v>4.8150209589041095</v>
      </c>
      <c r="BB279" s="850">
        <f>+Tabla1[[#This Row],[PRECIO POR TN USD EN CLIENTE A PLAZO (SIN IVA)]]+Tabla1[[#This Row],[COSTO USD FLETE /TN (SIN IVA)]]+Tabla1[[#This Row],[COSTO FINANCIERO USD POR BOLSA 50KG (IVA INC)]]</f>
        <v>319.81502095890409</v>
      </c>
      <c r="BC279" s="848">
        <v>5</v>
      </c>
      <c r="BD279" s="944"/>
    </row>
    <row r="280" spans="1:56" ht="15.75" customHeight="1">
      <c r="A280" s="912">
        <v>46204</v>
      </c>
      <c r="B280" s="828">
        <v>1</v>
      </c>
      <c r="C280" s="792" t="s">
        <v>406</v>
      </c>
      <c r="D280" s="829">
        <f>+Tabla1[[#This Row],[FECHA Entrega]]</f>
        <v>46210</v>
      </c>
      <c r="E280" s="830">
        <v>700000869</v>
      </c>
      <c r="F280" s="831" t="s">
        <v>358</v>
      </c>
      <c r="G280" s="832" t="s">
        <v>216</v>
      </c>
      <c r="H280" s="852">
        <v>46210</v>
      </c>
      <c r="I280" s="834">
        <f t="shared" si="117"/>
        <v>35000</v>
      </c>
      <c r="J280" s="835">
        <f>0.315*Tabla1[[#This Row],[TIPO DE CAMBIO]]</f>
        <v>455.58481499999999</v>
      </c>
      <c r="K280" s="836">
        <f t="shared" si="118"/>
        <v>15945468.525</v>
      </c>
      <c r="L28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80" s="837">
        <f t="shared" si="91"/>
        <v>19294016.91525</v>
      </c>
      <c r="N280" s="838"/>
      <c r="O280" s="838">
        <v>0</v>
      </c>
      <c r="P280" s="838">
        <v>0</v>
      </c>
      <c r="Q280" s="839">
        <f>+Tabla1[[#This Row],[VENTA TOTAL $ (IVA INC) ]]-Tabla1[[#This Row],[PENDIENTE DE COBRO]]</f>
        <v>19294016.91525</v>
      </c>
      <c r="R280" s="840">
        <f>+Tabla1[[#This Row],[FECHA FC]]+Tabla1[[#This Row],[PLAZO ENTREGA VALORES]]</f>
        <v>46051</v>
      </c>
      <c r="S280" s="840">
        <f>+Tabla1[[#This Row],[FECHA FC]]+Tabla1[[#This Row],[PLAZO PAGO (DIAS)]]</f>
        <v>46210</v>
      </c>
      <c r="T280" s="834">
        <f t="shared" ca="1" si="119"/>
        <v>29</v>
      </c>
      <c r="U280" s="831">
        <f>+Tabla1[[#This Row],[FECHA OC]]-Tabla1[[#This Row],[FECHA Entrega]]</f>
        <v>-159</v>
      </c>
      <c r="V280" s="831"/>
      <c r="W280" s="841">
        <f>+Tabla1[[#This Row],[FECHA VTO VALORES]]+7</f>
        <v>46217</v>
      </c>
      <c r="X280" s="831" t="s">
        <v>489</v>
      </c>
      <c r="Y280" s="840">
        <v>46051</v>
      </c>
      <c r="Z280" s="842">
        <f>Tabla1[[#This Row],[KGS]]/50</f>
        <v>700</v>
      </c>
      <c r="AA28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80" s="844">
        <f>-Tabla1[[#This Row],[COSTO FLETE $ POR BOLSA 5O KG (SIN IVA)]]*1.21-Tabla1[[#This Row],[PRECIO $/ KG A PLAZO EN CLIENTE ( SIN IVA)]]*0.003*1.21*50</f>
        <v>-0.40864392249999071</v>
      </c>
      <c r="AC280" s="845">
        <f>SUM(Tabla1[[#This Row],[PRECIO $ BOLSA 50 KG (IVA INC) ]]+Tabla1[[#This Row],[COSTO FLETE $ BOLSA 50 KG (IVA INC)]])</f>
        <v>27562.4726635775</v>
      </c>
      <c r="AD280" s="844">
        <f>-Tabla1[[#This Row],[PRECIO $ BOLSA 50 KG (IVA INC) ]]*(Tabla1[[#This Row],[TASA FINANCIACION MENSUAL]]/365)*Tabla1[[#This Row],[PLAZO ENTREGA VALORES]]</f>
        <v>348.19848139419861</v>
      </c>
      <c r="AE280" s="845">
        <f>SUM(Tabla1[[#This Row],[PRECIO $ BOLSA50 KG  FOB TUCUMAN A PLAZO (IVA INC)]]+Tabla1[[#This Row],[GASTOS FINANCIEROS $ BOLSA 50 KG (IVA INC)]])</f>
        <v>27910.6711449717</v>
      </c>
      <c r="AF280" s="828" t="s">
        <v>476</v>
      </c>
      <c r="AG280" s="828" t="s">
        <v>365</v>
      </c>
      <c r="AH280" s="828" t="s">
        <v>387</v>
      </c>
      <c r="AI280" s="828" t="s">
        <v>261</v>
      </c>
      <c r="AJ28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80" s="846">
        <f>SUM(Tabla1[[#This Row],[PRECIO $ BOLSA 50KG  FOB CDO TUC (IVA INC)]]-Tabla1[[#This Row],[PRECIO REF $ BOLSA 50 KG CACTU (IVA INC)]])</f>
        <v>-4604.3288550282996</v>
      </c>
      <c r="AL280" s="847">
        <f>IFERROR(Tabla1[[#This Row],[PRECIO $ BOLSA 50KG  FOB CDO TUC (IVA INC)]]/Tabla1[[#This Row],[PRECIO REF $ BOLSA 50 KG CACTU (IVA INC)]]-1,"")</f>
        <v>-0.14160630032379828</v>
      </c>
      <c r="AM280" s="846">
        <f>+Tabla1[[#This Row],[DIF $ PRECIO NETO INDUSTRIA vs Neto TUCUMAN (IVA INC)]]*Tabla1[[#This Row],[Q Bolsas Equivalentes 50kg]]</f>
        <v>-3223030.1985198096</v>
      </c>
      <c r="AN280" s="846">
        <f>Tabla1[[#This Row],[PRECIO REF $ BOLSA 50 KG CACTU (IVA INC)]]*Tabla1[[#This Row],[Q Bolsas Equivalentes 50kg]]</f>
        <v>22760500</v>
      </c>
      <c r="AO280" s="846">
        <f>+Tabla1[[#This Row],[PRECIO $ BOLSA 50KG  FOB CDO TUC (IVA INC)]]*Tabla1[[#This Row],[Q Bolsas Equivalentes 50kg]]</f>
        <v>19537469.801480189</v>
      </c>
      <c r="AP280" s="847">
        <v>2.9000000000000001E-2</v>
      </c>
      <c r="AQ280" s="846">
        <v>-68</v>
      </c>
      <c r="AR280" s="848"/>
      <c r="AS280" s="849"/>
      <c r="AT280" s="923">
        <f>+Tabla1[[#This Row],[VENTA TOTAL $ (IVA INC) ]]-(SUM(Tabla1[[#This Row],[PENDIENTE DE ENTREGA]:[VALORES COBRADOS]]))</f>
        <v>0</v>
      </c>
      <c r="AU280" s="850">
        <f>VLOOKUP(Tabla1[[#This Row],[FECHA OC]],'TIPO DE CAMBIO'!A:B,2,TRUE)</f>
        <v>1446.3009999999999</v>
      </c>
      <c r="AV280" s="850">
        <f>+Tabla1[[#This Row],[SUBTOTAL]]/Tabla1[[#This Row],[TIPO DE CAMBIO]]</f>
        <v>11025</v>
      </c>
      <c r="AW280" s="851"/>
      <c r="AX280" s="850">
        <f>IFERROR(Tabla1[[#This Row],[VENTA TOTAL USD A PLAZO EN CLIENTE  (SIN IVA)]]*(1+Tabla1[[#This Row],[% IVA ]]),"")</f>
        <v>11025</v>
      </c>
      <c r="AY280" s="850">
        <f>+Tabla1[[#This Row],[VENTA TOTAL USD A PLAZO EN CLIENTE  (SIN IVA)]]/Tabla1[[#This Row],[KGS]]*1000</f>
        <v>315</v>
      </c>
      <c r="AZ280" s="850">
        <v>0</v>
      </c>
      <c r="BA280" s="850">
        <f>+Tabla1[[#This Row],[GASTOS FINANCIEROS $ BOLSA 50 KG (IVA INC)]]*20/Tabla1[[#This Row],[TIPO DE CAMBIO]]</f>
        <v>4.8150209589041095</v>
      </c>
      <c r="BB280" s="850">
        <f>+Tabla1[[#This Row],[PRECIO POR TN USD EN CLIENTE A PLAZO (SIN IVA)]]+Tabla1[[#This Row],[COSTO USD FLETE /TN (SIN IVA)]]+Tabla1[[#This Row],[COSTO FINANCIERO USD POR BOLSA 50KG (IVA INC)]]</f>
        <v>319.81502095890409</v>
      </c>
      <c r="BC280" s="848">
        <v>5</v>
      </c>
      <c r="BD280" s="944"/>
    </row>
    <row r="281" spans="1:56" ht="15.75" customHeight="1">
      <c r="A281" s="912">
        <v>46204</v>
      </c>
      <c r="B281" s="828">
        <v>1</v>
      </c>
      <c r="C281" s="792" t="s">
        <v>406</v>
      </c>
      <c r="D281" s="829">
        <f>+Tabla1[[#This Row],[FECHA Entrega]]</f>
        <v>46210</v>
      </c>
      <c r="E281" s="830">
        <v>700000869</v>
      </c>
      <c r="F281" s="831" t="s">
        <v>358</v>
      </c>
      <c r="G281" s="832" t="s">
        <v>216</v>
      </c>
      <c r="H281" s="852">
        <v>46210</v>
      </c>
      <c r="I281" s="834">
        <f t="shared" si="117"/>
        <v>35000</v>
      </c>
      <c r="J281" s="835">
        <f>0.315*Tabla1[[#This Row],[TIPO DE CAMBIO]]</f>
        <v>455.58481499999999</v>
      </c>
      <c r="K281" s="836">
        <f t="shared" si="118"/>
        <v>15945468.525</v>
      </c>
      <c r="L28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81" s="837">
        <f t="shared" si="91"/>
        <v>19294016.91525</v>
      </c>
      <c r="N281" s="838"/>
      <c r="O281" s="838">
        <v>0</v>
      </c>
      <c r="P281" s="838">
        <v>0</v>
      </c>
      <c r="Q281" s="839">
        <f>+Tabla1[[#This Row],[VENTA TOTAL $ (IVA INC) ]]-Tabla1[[#This Row],[PENDIENTE DE COBRO]]</f>
        <v>19294016.91525</v>
      </c>
      <c r="R281" s="840">
        <f>+Tabla1[[#This Row],[FECHA FC]]+Tabla1[[#This Row],[PLAZO ENTREGA VALORES]]</f>
        <v>46051</v>
      </c>
      <c r="S281" s="840">
        <f>+Tabla1[[#This Row],[FECHA FC]]+Tabla1[[#This Row],[PLAZO PAGO (DIAS)]]</f>
        <v>46210</v>
      </c>
      <c r="T281" s="834">
        <f t="shared" ca="1" si="119"/>
        <v>29</v>
      </c>
      <c r="U281" s="831">
        <f>+Tabla1[[#This Row],[FECHA OC]]-Tabla1[[#This Row],[FECHA Entrega]]</f>
        <v>-159</v>
      </c>
      <c r="V281" s="831"/>
      <c r="W281" s="841">
        <f>+Tabla1[[#This Row],[FECHA VTO VALORES]]+7</f>
        <v>46217</v>
      </c>
      <c r="X281" s="831" t="s">
        <v>489</v>
      </c>
      <c r="Y281" s="840">
        <v>46051</v>
      </c>
      <c r="Z281" s="842">
        <f>Tabla1[[#This Row],[KGS]]/50</f>
        <v>700</v>
      </c>
      <c r="AA28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81" s="844">
        <f>-Tabla1[[#This Row],[COSTO FLETE $ POR BOLSA 5O KG (SIN IVA)]]*1.21-Tabla1[[#This Row],[PRECIO $/ KG A PLAZO EN CLIENTE ( SIN IVA)]]*0.003*1.21*50</f>
        <v>-0.40864392249999071</v>
      </c>
      <c r="AC281" s="845">
        <f>SUM(Tabla1[[#This Row],[PRECIO $ BOLSA 50 KG (IVA INC) ]]+Tabla1[[#This Row],[COSTO FLETE $ BOLSA 50 KG (IVA INC)]])</f>
        <v>27562.4726635775</v>
      </c>
      <c r="AD281" s="844">
        <f>-Tabla1[[#This Row],[PRECIO $ BOLSA 50 KG (IVA INC) ]]*(Tabla1[[#This Row],[TASA FINANCIACION MENSUAL]]/365)*Tabla1[[#This Row],[PLAZO ENTREGA VALORES]]</f>
        <v>348.19848139419861</v>
      </c>
      <c r="AE281" s="845">
        <f>SUM(Tabla1[[#This Row],[PRECIO $ BOLSA50 KG  FOB TUCUMAN A PLAZO (IVA INC)]]+Tabla1[[#This Row],[GASTOS FINANCIEROS $ BOLSA 50 KG (IVA INC)]])</f>
        <v>27910.6711449717</v>
      </c>
      <c r="AF281" s="828" t="s">
        <v>476</v>
      </c>
      <c r="AG281" s="828" t="s">
        <v>365</v>
      </c>
      <c r="AH281" s="828" t="s">
        <v>387</v>
      </c>
      <c r="AI281" s="828" t="s">
        <v>261</v>
      </c>
      <c r="AJ28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81" s="846">
        <f>SUM(Tabla1[[#This Row],[PRECIO $ BOLSA 50KG  FOB CDO TUC (IVA INC)]]-Tabla1[[#This Row],[PRECIO REF $ BOLSA 50 KG CACTU (IVA INC)]])</f>
        <v>-4604.3288550282996</v>
      </c>
      <c r="AL281" s="847">
        <f>IFERROR(Tabla1[[#This Row],[PRECIO $ BOLSA 50KG  FOB CDO TUC (IVA INC)]]/Tabla1[[#This Row],[PRECIO REF $ BOLSA 50 KG CACTU (IVA INC)]]-1,"")</f>
        <v>-0.14160630032379828</v>
      </c>
      <c r="AM281" s="846">
        <f>+Tabla1[[#This Row],[DIF $ PRECIO NETO INDUSTRIA vs Neto TUCUMAN (IVA INC)]]*Tabla1[[#This Row],[Q Bolsas Equivalentes 50kg]]</f>
        <v>-3223030.1985198096</v>
      </c>
      <c r="AN281" s="846">
        <f>Tabla1[[#This Row],[PRECIO REF $ BOLSA 50 KG CACTU (IVA INC)]]*Tabla1[[#This Row],[Q Bolsas Equivalentes 50kg]]</f>
        <v>22760500</v>
      </c>
      <c r="AO281" s="846">
        <f>+Tabla1[[#This Row],[PRECIO $ BOLSA 50KG  FOB CDO TUC (IVA INC)]]*Tabla1[[#This Row],[Q Bolsas Equivalentes 50kg]]</f>
        <v>19537469.801480189</v>
      </c>
      <c r="AP281" s="847">
        <v>2.9000000000000001E-2</v>
      </c>
      <c r="AQ281" s="846">
        <v>-68</v>
      </c>
      <c r="AR281" s="848"/>
      <c r="AS281" s="849"/>
      <c r="AT281" s="923">
        <f>+Tabla1[[#This Row],[VENTA TOTAL $ (IVA INC) ]]-(SUM(Tabla1[[#This Row],[PENDIENTE DE ENTREGA]:[VALORES COBRADOS]]))</f>
        <v>0</v>
      </c>
      <c r="AU281" s="850">
        <f>VLOOKUP(Tabla1[[#This Row],[FECHA OC]],'TIPO DE CAMBIO'!A:B,2,TRUE)</f>
        <v>1446.3009999999999</v>
      </c>
      <c r="AV281" s="850">
        <f>+Tabla1[[#This Row],[SUBTOTAL]]/Tabla1[[#This Row],[TIPO DE CAMBIO]]</f>
        <v>11025</v>
      </c>
      <c r="AW281" s="851"/>
      <c r="AX281" s="850">
        <f>IFERROR(Tabla1[[#This Row],[VENTA TOTAL USD A PLAZO EN CLIENTE  (SIN IVA)]]*(1+Tabla1[[#This Row],[% IVA ]]),"")</f>
        <v>11025</v>
      </c>
      <c r="AY281" s="850">
        <f>+Tabla1[[#This Row],[VENTA TOTAL USD A PLAZO EN CLIENTE  (SIN IVA)]]/Tabla1[[#This Row],[KGS]]*1000</f>
        <v>315</v>
      </c>
      <c r="AZ281" s="850">
        <v>0</v>
      </c>
      <c r="BA281" s="850">
        <f>+Tabla1[[#This Row],[GASTOS FINANCIEROS $ BOLSA 50 KG (IVA INC)]]*20/Tabla1[[#This Row],[TIPO DE CAMBIO]]</f>
        <v>4.8150209589041095</v>
      </c>
      <c r="BB281" s="850">
        <f>+Tabla1[[#This Row],[PRECIO POR TN USD EN CLIENTE A PLAZO (SIN IVA)]]+Tabla1[[#This Row],[COSTO USD FLETE /TN (SIN IVA)]]+Tabla1[[#This Row],[COSTO FINANCIERO USD POR BOLSA 50KG (IVA INC)]]</f>
        <v>319.81502095890409</v>
      </c>
      <c r="BC281" s="848">
        <v>5</v>
      </c>
      <c r="BD281" s="944"/>
    </row>
    <row r="282" spans="1:56" ht="15.75" customHeight="1">
      <c r="A282" s="912">
        <v>46204</v>
      </c>
      <c r="B282" s="828">
        <v>1</v>
      </c>
      <c r="C282" s="792" t="s">
        <v>406</v>
      </c>
      <c r="D282" s="829">
        <f>+Tabla1[[#This Row],[FECHA Entrega]]</f>
        <v>46210</v>
      </c>
      <c r="E282" s="830">
        <v>700000869</v>
      </c>
      <c r="F282" s="831" t="s">
        <v>358</v>
      </c>
      <c r="G282" s="832" t="s">
        <v>216</v>
      </c>
      <c r="H282" s="852">
        <v>46210</v>
      </c>
      <c r="I282" s="834">
        <f t="shared" si="117"/>
        <v>35000</v>
      </c>
      <c r="J282" s="835">
        <f>0.315*Tabla1[[#This Row],[TIPO DE CAMBIO]]</f>
        <v>455.58481499999999</v>
      </c>
      <c r="K282" s="836">
        <f t="shared" si="118"/>
        <v>15945468.525</v>
      </c>
      <c r="L28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82" s="837">
        <f t="shared" si="91"/>
        <v>19294016.91525</v>
      </c>
      <c r="N282" s="838"/>
      <c r="O282" s="838">
        <v>0</v>
      </c>
      <c r="P282" s="838">
        <v>0</v>
      </c>
      <c r="Q282" s="839">
        <f>+Tabla1[[#This Row],[VENTA TOTAL $ (IVA INC) ]]-Tabla1[[#This Row],[PENDIENTE DE COBRO]]</f>
        <v>19294016.91525</v>
      </c>
      <c r="R282" s="840">
        <f>+Tabla1[[#This Row],[FECHA FC]]+Tabla1[[#This Row],[PLAZO ENTREGA VALORES]]</f>
        <v>46051</v>
      </c>
      <c r="S282" s="840">
        <f>+Tabla1[[#This Row],[FECHA FC]]+Tabla1[[#This Row],[PLAZO PAGO (DIAS)]]</f>
        <v>46210</v>
      </c>
      <c r="T282" s="834">
        <f t="shared" ca="1" si="119"/>
        <v>29</v>
      </c>
      <c r="U282" s="831">
        <f>+Tabla1[[#This Row],[FECHA OC]]-Tabla1[[#This Row],[FECHA Entrega]]</f>
        <v>-159</v>
      </c>
      <c r="V282" s="831"/>
      <c r="W282" s="841">
        <f>+Tabla1[[#This Row],[FECHA VTO VALORES]]+7</f>
        <v>46217</v>
      </c>
      <c r="X282" s="831" t="s">
        <v>489</v>
      </c>
      <c r="Y282" s="840">
        <v>46051</v>
      </c>
      <c r="Z282" s="842">
        <f>Tabla1[[#This Row],[KGS]]/50</f>
        <v>700</v>
      </c>
      <c r="AA28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82" s="844">
        <f>-Tabla1[[#This Row],[COSTO FLETE $ POR BOLSA 5O KG (SIN IVA)]]*1.21-Tabla1[[#This Row],[PRECIO $/ KG A PLAZO EN CLIENTE ( SIN IVA)]]*0.003*1.21*50</f>
        <v>-0.40864392249999071</v>
      </c>
      <c r="AC282" s="845">
        <f>SUM(Tabla1[[#This Row],[PRECIO $ BOLSA 50 KG (IVA INC) ]]+Tabla1[[#This Row],[COSTO FLETE $ BOLSA 50 KG (IVA INC)]])</f>
        <v>27562.4726635775</v>
      </c>
      <c r="AD282" s="844">
        <f>-Tabla1[[#This Row],[PRECIO $ BOLSA 50 KG (IVA INC) ]]*(Tabla1[[#This Row],[TASA FINANCIACION MENSUAL]]/365)*Tabla1[[#This Row],[PLAZO ENTREGA VALORES]]</f>
        <v>348.19848139419861</v>
      </c>
      <c r="AE282" s="845">
        <f>SUM(Tabla1[[#This Row],[PRECIO $ BOLSA50 KG  FOB TUCUMAN A PLAZO (IVA INC)]]+Tabla1[[#This Row],[GASTOS FINANCIEROS $ BOLSA 50 KG (IVA INC)]])</f>
        <v>27910.6711449717</v>
      </c>
      <c r="AF282" s="828" t="s">
        <v>476</v>
      </c>
      <c r="AG282" s="828" t="s">
        <v>365</v>
      </c>
      <c r="AH282" s="828" t="s">
        <v>387</v>
      </c>
      <c r="AI282" s="828" t="s">
        <v>261</v>
      </c>
      <c r="AJ28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82" s="846">
        <f>SUM(Tabla1[[#This Row],[PRECIO $ BOLSA 50KG  FOB CDO TUC (IVA INC)]]-Tabla1[[#This Row],[PRECIO REF $ BOLSA 50 KG CACTU (IVA INC)]])</f>
        <v>-4604.3288550282996</v>
      </c>
      <c r="AL282" s="847">
        <f>IFERROR(Tabla1[[#This Row],[PRECIO $ BOLSA 50KG  FOB CDO TUC (IVA INC)]]/Tabla1[[#This Row],[PRECIO REF $ BOLSA 50 KG CACTU (IVA INC)]]-1,"")</f>
        <v>-0.14160630032379828</v>
      </c>
      <c r="AM282" s="846">
        <f>+Tabla1[[#This Row],[DIF $ PRECIO NETO INDUSTRIA vs Neto TUCUMAN (IVA INC)]]*Tabla1[[#This Row],[Q Bolsas Equivalentes 50kg]]</f>
        <v>-3223030.1985198096</v>
      </c>
      <c r="AN282" s="846">
        <f>Tabla1[[#This Row],[PRECIO REF $ BOLSA 50 KG CACTU (IVA INC)]]*Tabla1[[#This Row],[Q Bolsas Equivalentes 50kg]]</f>
        <v>22760500</v>
      </c>
      <c r="AO282" s="846">
        <f>+Tabla1[[#This Row],[PRECIO $ BOLSA 50KG  FOB CDO TUC (IVA INC)]]*Tabla1[[#This Row],[Q Bolsas Equivalentes 50kg]]</f>
        <v>19537469.801480189</v>
      </c>
      <c r="AP282" s="847">
        <v>2.9000000000000001E-2</v>
      </c>
      <c r="AQ282" s="846">
        <v>-68</v>
      </c>
      <c r="AR282" s="848"/>
      <c r="AS282" s="849"/>
      <c r="AT282" s="923">
        <f>+Tabla1[[#This Row],[VENTA TOTAL $ (IVA INC) ]]-(SUM(Tabla1[[#This Row],[PENDIENTE DE ENTREGA]:[VALORES COBRADOS]]))</f>
        <v>0</v>
      </c>
      <c r="AU282" s="850">
        <f>VLOOKUP(Tabla1[[#This Row],[FECHA OC]],'TIPO DE CAMBIO'!A:B,2,TRUE)</f>
        <v>1446.3009999999999</v>
      </c>
      <c r="AV282" s="850">
        <f>+Tabla1[[#This Row],[SUBTOTAL]]/Tabla1[[#This Row],[TIPO DE CAMBIO]]</f>
        <v>11025</v>
      </c>
      <c r="AW282" s="851"/>
      <c r="AX282" s="850">
        <f>IFERROR(Tabla1[[#This Row],[VENTA TOTAL USD A PLAZO EN CLIENTE  (SIN IVA)]]*(1+Tabla1[[#This Row],[% IVA ]]),"")</f>
        <v>11025</v>
      </c>
      <c r="AY282" s="850">
        <f>+Tabla1[[#This Row],[VENTA TOTAL USD A PLAZO EN CLIENTE  (SIN IVA)]]/Tabla1[[#This Row],[KGS]]*1000</f>
        <v>315</v>
      </c>
      <c r="AZ282" s="850">
        <v>0</v>
      </c>
      <c r="BA282" s="850">
        <f>+Tabla1[[#This Row],[GASTOS FINANCIEROS $ BOLSA 50 KG (IVA INC)]]*20/Tabla1[[#This Row],[TIPO DE CAMBIO]]</f>
        <v>4.8150209589041095</v>
      </c>
      <c r="BB282" s="850">
        <f>+Tabla1[[#This Row],[PRECIO POR TN USD EN CLIENTE A PLAZO (SIN IVA)]]+Tabla1[[#This Row],[COSTO USD FLETE /TN (SIN IVA)]]+Tabla1[[#This Row],[COSTO FINANCIERO USD POR BOLSA 50KG (IVA INC)]]</f>
        <v>319.81502095890409</v>
      </c>
      <c r="BC282" s="848">
        <v>5</v>
      </c>
      <c r="BD282" s="944"/>
    </row>
    <row r="283" spans="1:56" ht="15.75" customHeight="1">
      <c r="A283" s="912">
        <v>46204</v>
      </c>
      <c r="B283" s="828">
        <v>1</v>
      </c>
      <c r="C283" s="792" t="s">
        <v>406</v>
      </c>
      <c r="D283" s="829">
        <f>+Tabla1[[#This Row],[FECHA Entrega]]</f>
        <v>46211</v>
      </c>
      <c r="E283" s="830">
        <v>700000869</v>
      </c>
      <c r="F283" s="831" t="s">
        <v>358</v>
      </c>
      <c r="G283" s="832" t="s">
        <v>216</v>
      </c>
      <c r="H283" s="852">
        <v>46211</v>
      </c>
      <c r="I283" s="834">
        <f t="shared" si="117"/>
        <v>35000</v>
      </c>
      <c r="J283" s="835">
        <f>0.315*Tabla1[[#This Row],[TIPO DE CAMBIO]]</f>
        <v>455.58481499999999</v>
      </c>
      <c r="K283" s="836">
        <f t="shared" si="118"/>
        <v>15945468.525</v>
      </c>
      <c r="L28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83" s="837">
        <f t="shared" si="91"/>
        <v>19294016.91525</v>
      </c>
      <c r="N283" s="838"/>
      <c r="O283" s="838">
        <v>0</v>
      </c>
      <c r="P283" s="838">
        <v>0</v>
      </c>
      <c r="Q283" s="839">
        <f>+Tabla1[[#This Row],[VENTA TOTAL $ (IVA INC) ]]-Tabla1[[#This Row],[PENDIENTE DE COBRO]]</f>
        <v>19294016.91525</v>
      </c>
      <c r="R283" s="840">
        <f>+Tabla1[[#This Row],[FECHA FC]]+Tabla1[[#This Row],[PLAZO ENTREGA VALORES]]</f>
        <v>46051</v>
      </c>
      <c r="S283" s="840">
        <f>+Tabla1[[#This Row],[FECHA FC]]+Tabla1[[#This Row],[PLAZO PAGO (DIAS)]]</f>
        <v>46211</v>
      </c>
      <c r="T283" s="834">
        <f t="shared" ca="1" si="119"/>
        <v>30</v>
      </c>
      <c r="U283" s="831">
        <f>+Tabla1[[#This Row],[FECHA OC]]-Tabla1[[#This Row],[FECHA Entrega]]</f>
        <v>-160</v>
      </c>
      <c r="V283" s="831"/>
      <c r="W283" s="841">
        <f>+Tabla1[[#This Row],[FECHA VTO VALORES]]+7</f>
        <v>46218</v>
      </c>
      <c r="X283" s="831" t="s">
        <v>489</v>
      </c>
      <c r="Y283" s="840">
        <v>46051</v>
      </c>
      <c r="Z283" s="842">
        <f>Tabla1[[#This Row],[KGS]]/50</f>
        <v>700</v>
      </c>
      <c r="AA28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83" s="844">
        <f>-Tabla1[[#This Row],[COSTO FLETE $ POR BOLSA 5O KG (SIN IVA)]]*1.21-Tabla1[[#This Row],[PRECIO $/ KG A PLAZO EN CLIENTE ( SIN IVA)]]*0.003*1.21*50</f>
        <v>-0.40864392249999071</v>
      </c>
      <c r="AC283" s="845">
        <f>SUM(Tabla1[[#This Row],[PRECIO $ BOLSA 50 KG (IVA INC) ]]+Tabla1[[#This Row],[COSTO FLETE $ BOLSA 50 KG (IVA INC)]])</f>
        <v>27562.4726635775</v>
      </c>
      <c r="AD283" s="844">
        <f>-Tabla1[[#This Row],[PRECIO $ BOLSA 50 KG (IVA INC) ]]*(Tabla1[[#This Row],[TASA FINANCIACION MENSUAL]]/365)*Tabla1[[#This Row],[PLAZO ENTREGA VALORES]]</f>
        <v>350.38840895013698</v>
      </c>
      <c r="AE283" s="845">
        <f>SUM(Tabla1[[#This Row],[PRECIO $ BOLSA50 KG  FOB TUCUMAN A PLAZO (IVA INC)]]+Tabla1[[#This Row],[GASTOS FINANCIEROS $ BOLSA 50 KG (IVA INC)]])</f>
        <v>27912.861072527638</v>
      </c>
      <c r="AF283" s="828" t="s">
        <v>476</v>
      </c>
      <c r="AG283" s="828" t="s">
        <v>365</v>
      </c>
      <c r="AH283" s="828" t="s">
        <v>387</v>
      </c>
      <c r="AI283" s="828" t="s">
        <v>261</v>
      </c>
      <c r="AJ28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83" s="846">
        <f>SUM(Tabla1[[#This Row],[PRECIO $ BOLSA 50KG  FOB CDO TUC (IVA INC)]]-Tabla1[[#This Row],[PRECIO REF $ BOLSA 50 KG CACTU (IVA INC)]])</f>
        <v>-4602.1389274723624</v>
      </c>
      <c r="AL283" s="847">
        <f>IFERROR(Tabla1[[#This Row],[PRECIO $ BOLSA 50KG  FOB CDO TUC (IVA INC)]]/Tabla1[[#This Row],[PRECIO REF $ BOLSA 50 KG CACTU (IVA INC)]]-1,"")</f>
        <v>-0.14153894902267761</v>
      </c>
      <c r="AM283" s="846">
        <f>+Tabla1[[#This Row],[DIF $ PRECIO NETO INDUSTRIA vs Neto TUCUMAN (IVA INC)]]*Tabla1[[#This Row],[Q Bolsas Equivalentes 50kg]]</f>
        <v>-3221497.2492306535</v>
      </c>
      <c r="AN283" s="846">
        <f>Tabla1[[#This Row],[PRECIO REF $ BOLSA 50 KG CACTU (IVA INC)]]*Tabla1[[#This Row],[Q Bolsas Equivalentes 50kg]]</f>
        <v>22760500</v>
      </c>
      <c r="AO283" s="846">
        <f>+Tabla1[[#This Row],[PRECIO $ BOLSA 50KG  FOB CDO TUC (IVA INC)]]*Tabla1[[#This Row],[Q Bolsas Equivalentes 50kg]]</f>
        <v>19539002.750769347</v>
      </c>
      <c r="AP283" s="847">
        <v>2.9000000000000001E-2</v>
      </c>
      <c r="AQ283" s="846">
        <v>-68</v>
      </c>
      <c r="AR283" s="848"/>
      <c r="AS283" s="849"/>
      <c r="AT283" s="923">
        <f>+Tabla1[[#This Row],[VENTA TOTAL $ (IVA INC) ]]-(SUM(Tabla1[[#This Row],[PENDIENTE DE ENTREGA]:[VALORES COBRADOS]]))</f>
        <v>0</v>
      </c>
      <c r="AU283" s="850">
        <f>VLOOKUP(Tabla1[[#This Row],[FECHA OC]],'TIPO DE CAMBIO'!A:B,2,TRUE)</f>
        <v>1446.3009999999999</v>
      </c>
      <c r="AV283" s="850">
        <f>+Tabla1[[#This Row],[SUBTOTAL]]/Tabla1[[#This Row],[TIPO DE CAMBIO]]</f>
        <v>11025</v>
      </c>
      <c r="AW283" s="851"/>
      <c r="AX283" s="850">
        <f>IFERROR(Tabla1[[#This Row],[VENTA TOTAL USD A PLAZO EN CLIENTE  (SIN IVA)]]*(1+Tabla1[[#This Row],[% IVA ]]),"")</f>
        <v>11025</v>
      </c>
      <c r="AY283" s="850">
        <f>+Tabla1[[#This Row],[VENTA TOTAL USD A PLAZO EN CLIENTE  (SIN IVA)]]/Tabla1[[#This Row],[KGS]]*1000</f>
        <v>315</v>
      </c>
      <c r="AZ283" s="850">
        <v>0</v>
      </c>
      <c r="BA283" s="850">
        <f>+Tabla1[[#This Row],[GASTOS FINANCIEROS $ BOLSA 50 KG (IVA INC)]]*20/Tabla1[[#This Row],[TIPO DE CAMBIO]]</f>
        <v>4.8453041095890415</v>
      </c>
      <c r="BB283" s="850">
        <f>+Tabla1[[#This Row],[PRECIO POR TN USD EN CLIENTE A PLAZO (SIN IVA)]]+Tabla1[[#This Row],[COSTO USD FLETE /TN (SIN IVA)]]+Tabla1[[#This Row],[COSTO FINANCIERO USD POR BOLSA 50KG (IVA INC)]]</f>
        <v>319.84530410958905</v>
      </c>
      <c r="BC283" s="848">
        <v>5</v>
      </c>
      <c r="BD283" s="944"/>
    </row>
    <row r="284" spans="1:56" ht="15.75" customHeight="1">
      <c r="A284" s="912">
        <v>46204</v>
      </c>
      <c r="B284" s="828">
        <v>1</v>
      </c>
      <c r="C284" s="792" t="s">
        <v>406</v>
      </c>
      <c r="D284" s="829">
        <f>+Tabla1[[#This Row],[FECHA Entrega]]</f>
        <v>46211</v>
      </c>
      <c r="E284" s="830">
        <v>700000869</v>
      </c>
      <c r="F284" s="831" t="s">
        <v>358</v>
      </c>
      <c r="G284" s="832" t="s">
        <v>216</v>
      </c>
      <c r="H284" s="852">
        <v>46211</v>
      </c>
      <c r="I284" s="834">
        <f t="shared" si="117"/>
        <v>35000</v>
      </c>
      <c r="J284" s="835">
        <f>0.315*Tabla1[[#This Row],[TIPO DE CAMBIO]]</f>
        <v>455.58481499999999</v>
      </c>
      <c r="K284" s="836">
        <f t="shared" si="118"/>
        <v>15945468.525</v>
      </c>
      <c r="L28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84" s="837">
        <f t="shared" si="91"/>
        <v>19294016.91525</v>
      </c>
      <c r="N284" s="838"/>
      <c r="O284" s="838">
        <v>0</v>
      </c>
      <c r="P284" s="838">
        <v>0</v>
      </c>
      <c r="Q284" s="839">
        <f>+Tabla1[[#This Row],[VENTA TOTAL $ (IVA INC) ]]-Tabla1[[#This Row],[PENDIENTE DE COBRO]]</f>
        <v>19294016.91525</v>
      </c>
      <c r="R284" s="840">
        <f>+Tabla1[[#This Row],[FECHA FC]]+Tabla1[[#This Row],[PLAZO ENTREGA VALORES]]</f>
        <v>46051</v>
      </c>
      <c r="S284" s="840">
        <f>+Tabla1[[#This Row],[FECHA FC]]+Tabla1[[#This Row],[PLAZO PAGO (DIAS)]]</f>
        <v>46211</v>
      </c>
      <c r="T284" s="834">
        <f t="shared" ca="1" si="119"/>
        <v>30</v>
      </c>
      <c r="U284" s="831">
        <f>+Tabla1[[#This Row],[FECHA OC]]-Tabla1[[#This Row],[FECHA Entrega]]</f>
        <v>-160</v>
      </c>
      <c r="V284" s="831"/>
      <c r="W284" s="841">
        <f>+Tabla1[[#This Row],[FECHA VTO VALORES]]+7</f>
        <v>46218</v>
      </c>
      <c r="X284" s="831" t="s">
        <v>489</v>
      </c>
      <c r="Y284" s="840">
        <v>46051</v>
      </c>
      <c r="Z284" s="842">
        <f>Tabla1[[#This Row],[KGS]]/50</f>
        <v>700</v>
      </c>
      <c r="AA28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84" s="844">
        <f>-Tabla1[[#This Row],[COSTO FLETE $ POR BOLSA 5O KG (SIN IVA)]]*1.21-Tabla1[[#This Row],[PRECIO $/ KG A PLAZO EN CLIENTE ( SIN IVA)]]*0.003*1.21*50</f>
        <v>-0.40864392249999071</v>
      </c>
      <c r="AC284" s="845">
        <f>SUM(Tabla1[[#This Row],[PRECIO $ BOLSA 50 KG (IVA INC) ]]+Tabla1[[#This Row],[COSTO FLETE $ BOLSA 50 KG (IVA INC)]])</f>
        <v>27562.4726635775</v>
      </c>
      <c r="AD284" s="844">
        <f>-Tabla1[[#This Row],[PRECIO $ BOLSA 50 KG (IVA INC) ]]*(Tabla1[[#This Row],[TASA FINANCIACION MENSUAL]]/365)*Tabla1[[#This Row],[PLAZO ENTREGA VALORES]]</f>
        <v>350.38840895013698</v>
      </c>
      <c r="AE284" s="845">
        <f>SUM(Tabla1[[#This Row],[PRECIO $ BOLSA50 KG  FOB TUCUMAN A PLAZO (IVA INC)]]+Tabla1[[#This Row],[GASTOS FINANCIEROS $ BOLSA 50 KG (IVA INC)]])</f>
        <v>27912.861072527638</v>
      </c>
      <c r="AF284" s="828" t="s">
        <v>476</v>
      </c>
      <c r="AG284" s="828" t="s">
        <v>365</v>
      </c>
      <c r="AH284" s="828" t="s">
        <v>387</v>
      </c>
      <c r="AI284" s="828" t="s">
        <v>261</v>
      </c>
      <c r="AJ28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84" s="846">
        <f>SUM(Tabla1[[#This Row],[PRECIO $ BOLSA 50KG  FOB CDO TUC (IVA INC)]]-Tabla1[[#This Row],[PRECIO REF $ BOLSA 50 KG CACTU (IVA INC)]])</f>
        <v>-4602.1389274723624</v>
      </c>
      <c r="AL284" s="847">
        <f>IFERROR(Tabla1[[#This Row],[PRECIO $ BOLSA 50KG  FOB CDO TUC (IVA INC)]]/Tabla1[[#This Row],[PRECIO REF $ BOLSA 50 KG CACTU (IVA INC)]]-1,"")</f>
        <v>-0.14153894902267761</v>
      </c>
      <c r="AM284" s="846">
        <f>+Tabla1[[#This Row],[DIF $ PRECIO NETO INDUSTRIA vs Neto TUCUMAN (IVA INC)]]*Tabla1[[#This Row],[Q Bolsas Equivalentes 50kg]]</f>
        <v>-3221497.2492306535</v>
      </c>
      <c r="AN284" s="846">
        <f>Tabla1[[#This Row],[PRECIO REF $ BOLSA 50 KG CACTU (IVA INC)]]*Tabla1[[#This Row],[Q Bolsas Equivalentes 50kg]]</f>
        <v>22760500</v>
      </c>
      <c r="AO284" s="846">
        <f>+Tabla1[[#This Row],[PRECIO $ BOLSA 50KG  FOB CDO TUC (IVA INC)]]*Tabla1[[#This Row],[Q Bolsas Equivalentes 50kg]]</f>
        <v>19539002.750769347</v>
      </c>
      <c r="AP284" s="847">
        <v>2.9000000000000001E-2</v>
      </c>
      <c r="AQ284" s="846">
        <v>-68</v>
      </c>
      <c r="AR284" s="848"/>
      <c r="AS284" s="849"/>
      <c r="AT284" s="923">
        <f>+Tabla1[[#This Row],[VENTA TOTAL $ (IVA INC) ]]-(SUM(Tabla1[[#This Row],[PENDIENTE DE ENTREGA]:[VALORES COBRADOS]]))</f>
        <v>0</v>
      </c>
      <c r="AU284" s="850">
        <f>VLOOKUP(Tabla1[[#This Row],[FECHA OC]],'TIPO DE CAMBIO'!A:B,2,TRUE)</f>
        <v>1446.3009999999999</v>
      </c>
      <c r="AV284" s="850">
        <f>+Tabla1[[#This Row],[SUBTOTAL]]/Tabla1[[#This Row],[TIPO DE CAMBIO]]</f>
        <v>11025</v>
      </c>
      <c r="AW284" s="851"/>
      <c r="AX284" s="850">
        <f>IFERROR(Tabla1[[#This Row],[VENTA TOTAL USD A PLAZO EN CLIENTE  (SIN IVA)]]*(1+Tabla1[[#This Row],[% IVA ]]),"")</f>
        <v>11025</v>
      </c>
      <c r="AY284" s="850">
        <f>+Tabla1[[#This Row],[VENTA TOTAL USD A PLAZO EN CLIENTE  (SIN IVA)]]/Tabla1[[#This Row],[KGS]]*1000</f>
        <v>315</v>
      </c>
      <c r="AZ284" s="850">
        <v>0</v>
      </c>
      <c r="BA284" s="850">
        <f>+Tabla1[[#This Row],[GASTOS FINANCIEROS $ BOLSA 50 KG (IVA INC)]]*20/Tabla1[[#This Row],[TIPO DE CAMBIO]]</f>
        <v>4.8453041095890415</v>
      </c>
      <c r="BB284" s="850">
        <f>+Tabla1[[#This Row],[PRECIO POR TN USD EN CLIENTE A PLAZO (SIN IVA)]]+Tabla1[[#This Row],[COSTO USD FLETE /TN (SIN IVA)]]+Tabla1[[#This Row],[COSTO FINANCIERO USD POR BOLSA 50KG (IVA INC)]]</f>
        <v>319.84530410958905</v>
      </c>
      <c r="BC284" s="848">
        <v>5</v>
      </c>
      <c r="BD284" s="944"/>
    </row>
    <row r="285" spans="1:56" ht="15.75" customHeight="1">
      <c r="A285" s="912">
        <v>46204</v>
      </c>
      <c r="B285" s="828">
        <v>1</v>
      </c>
      <c r="C285" s="792" t="s">
        <v>406</v>
      </c>
      <c r="D285" s="829">
        <f>+Tabla1[[#This Row],[FECHA Entrega]]</f>
        <v>46211</v>
      </c>
      <c r="E285" s="830">
        <v>700000869</v>
      </c>
      <c r="F285" s="831" t="s">
        <v>358</v>
      </c>
      <c r="G285" s="832" t="s">
        <v>216</v>
      </c>
      <c r="H285" s="852">
        <v>46211</v>
      </c>
      <c r="I285" s="834">
        <f t="shared" si="117"/>
        <v>35000</v>
      </c>
      <c r="J285" s="835">
        <f>0.315*Tabla1[[#This Row],[TIPO DE CAMBIO]]</f>
        <v>455.58481499999999</v>
      </c>
      <c r="K285" s="836">
        <f t="shared" si="118"/>
        <v>15945468.525</v>
      </c>
      <c r="L28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85" s="837">
        <f t="shared" si="91"/>
        <v>19294016.91525</v>
      </c>
      <c r="N285" s="838"/>
      <c r="O285" s="838">
        <v>0</v>
      </c>
      <c r="P285" s="838">
        <v>0</v>
      </c>
      <c r="Q285" s="839">
        <f>+Tabla1[[#This Row],[VENTA TOTAL $ (IVA INC) ]]-Tabla1[[#This Row],[PENDIENTE DE COBRO]]</f>
        <v>19294016.91525</v>
      </c>
      <c r="R285" s="840">
        <f>+Tabla1[[#This Row],[FECHA FC]]+Tabla1[[#This Row],[PLAZO ENTREGA VALORES]]</f>
        <v>46051</v>
      </c>
      <c r="S285" s="840">
        <f>+Tabla1[[#This Row],[FECHA FC]]+Tabla1[[#This Row],[PLAZO PAGO (DIAS)]]</f>
        <v>46211</v>
      </c>
      <c r="T285" s="834">
        <f t="shared" ca="1" si="119"/>
        <v>30</v>
      </c>
      <c r="U285" s="831">
        <f>+Tabla1[[#This Row],[FECHA OC]]-Tabla1[[#This Row],[FECHA Entrega]]</f>
        <v>-160</v>
      </c>
      <c r="V285" s="831"/>
      <c r="W285" s="841">
        <f>+Tabla1[[#This Row],[FECHA VTO VALORES]]+7</f>
        <v>46218</v>
      </c>
      <c r="X285" s="831" t="s">
        <v>489</v>
      </c>
      <c r="Y285" s="840">
        <v>46051</v>
      </c>
      <c r="Z285" s="842">
        <f>Tabla1[[#This Row],[KGS]]/50</f>
        <v>700</v>
      </c>
      <c r="AA28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85" s="844">
        <f>-Tabla1[[#This Row],[COSTO FLETE $ POR BOLSA 5O KG (SIN IVA)]]*1.21-Tabla1[[#This Row],[PRECIO $/ KG A PLAZO EN CLIENTE ( SIN IVA)]]*0.003*1.21*50</f>
        <v>-0.40864392249999071</v>
      </c>
      <c r="AC285" s="845">
        <f>SUM(Tabla1[[#This Row],[PRECIO $ BOLSA 50 KG (IVA INC) ]]+Tabla1[[#This Row],[COSTO FLETE $ BOLSA 50 KG (IVA INC)]])</f>
        <v>27562.4726635775</v>
      </c>
      <c r="AD285" s="844">
        <f>-Tabla1[[#This Row],[PRECIO $ BOLSA 50 KG (IVA INC) ]]*(Tabla1[[#This Row],[TASA FINANCIACION MENSUAL]]/365)*Tabla1[[#This Row],[PLAZO ENTREGA VALORES]]</f>
        <v>350.38840895013698</v>
      </c>
      <c r="AE285" s="845">
        <f>SUM(Tabla1[[#This Row],[PRECIO $ BOLSA50 KG  FOB TUCUMAN A PLAZO (IVA INC)]]+Tabla1[[#This Row],[GASTOS FINANCIEROS $ BOLSA 50 KG (IVA INC)]])</f>
        <v>27912.861072527638</v>
      </c>
      <c r="AF285" s="828" t="s">
        <v>476</v>
      </c>
      <c r="AG285" s="828" t="s">
        <v>365</v>
      </c>
      <c r="AH285" s="828" t="s">
        <v>387</v>
      </c>
      <c r="AI285" s="828" t="s">
        <v>261</v>
      </c>
      <c r="AJ28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85" s="846">
        <f>SUM(Tabla1[[#This Row],[PRECIO $ BOLSA 50KG  FOB CDO TUC (IVA INC)]]-Tabla1[[#This Row],[PRECIO REF $ BOLSA 50 KG CACTU (IVA INC)]])</f>
        <v>-4602.1389274723624</v>
      </c>
      <c r="AL285" s="847">
        <f>IFERROR(Tabla1[[#This Row],[PRECIO $ BOLSA 50KG  FOB CDO TUC (IVA INC)]]/Tabla1[[#This Row],[PRECIO REF $ BOLSA 50 KG CACTU (IVA INC)]]-1,"")</f>
        <v>-0.14153894902267761</v>
      </c>
      <c r="AM285" s="846">
        <f>+Tabla1[[#This Row],[DIF $ PRECIO NETO INDUSTRIA vs Neto TUCUMAN (IVA INC)]]*Tabla1[[#This Row],[Q Bolsas Equivalentes 50kg]]</f>
        <v>-3221497.2492306535</v>
      </c>
      <c r="AN285" s="846">
        <f>Tabla1[[#This Row],[PRECIO REF $ BOLSA 50 KG CACTU (IVA INC)]]*Tabla1[[#This Row],[Q Bolsas Equivalentes 50kg]]</f>
        <v>22760500</v>
      </c>
      <c r="AO285" s="846">
        <f>+Tabla1[[#This Row],[PRECIO $ BOLSA 50KG  FOB CDO TUC (IVA INC)]]*Tabla1[[#This Row],[Q Bolsas Equivalentes 50kg]]</f>
        <v>19539002.750769347</v>
      </c>
      <c r="AP285" s="847">
        <v>2.9000000000000001E-2</v>
      </c>
      <c r="AQ285" s="846">
        <v>-68</v>
      </c>
      <c r="AR285" s="848"/>
      <c r="AS285" s="849"/>
      <c r="AT285" s="923">
        <f>+Tabla1[[#This Row],[VENTA TOTAL $ (IVA INC) ]]-(SUM(Tabla1[[#This Row],[PENDIENTE DE ENTREGA]:[VALORES COBRADOS]]))</f>
        <v>0</v>
      </c>
      <c r="AU285" s="850">
        <f>VLOOKUP(Tabla1[[#This Row],[FECHA OC]],'TIPO DE CAMBIO'!A:B,2,TRUE)</f>
        <v>1446.3009999999999</v>
      </c>
      <c r="AV285" s="850">
        <f>+Tabla1[[#This Row],[SUBTOTAL]]/Tabla1[[#This Row],[TIPO DE CAMBIO]]</f>
        <v>11025</v>
      </c>
      <c r="AW285" s="851"/>
      <c r="AX285" s="850">
        <f>IFERROR(Tabla1[[#This Row],[VENTA TOTAL USD A PLAZO EN CLIENTE  (SIN IVA)]]*(1+Tabla1[[#This Row],[% IVA ]]),"")</f>
        <v>11025</v>
      </c>
      <c r="AY285" s="850">
        <f>+Tabla1[[#This Row],[VENTA TOTAL USD A PLAZO EN CLIENTE  (SIN IVA)]]/Tabla1[[#This Row],[KGS]]*1000</f>
        <v>315</v>
      </c>
      <c r="AZ285" s="850">
        <v>0</v>
      </c>
      <c r="BA285" s="850">
        <f>+Tabla1[[#This Row],[GASTOS FINANCIEROS $ BOLSA 50 KG (IVA INC)]]*20/Tabla1[[#This Row],[TIPO DE CAMBIO]]</f>
        <v>4.8453041095890415</v>
      </c>
      <c r="BB285" s="850">
        <f>+Tabla1[[#This Row],[PRECIO POR TN USD EN CLIENTE A PLAZO (SIN IVA)]]+Tabla1[[#This Row],[COSTO USD FLETE /TN (SIN IVA)]]+Tabla1[[#This Row],[COSTO FINANCIERO USD POR BOLSA 50KG (IVA INC)]]</f>
        <v>319.84530410958905</v>
      </c>
      <c r="BC285" s="848">
        <v>5</v>
      </c>
      <c r="BD285" s="944"/>
    </row>
    <row r="286" spans="1:56" ht="15.75" customHeight="1">
      <c r="A286" s="912">
        <v>46204</v>
      </c>
      <c r="B286" s="828">
        <v>1</v>
      </c>
      <c r="C286" s="792" t="s">
        <v>406</v>
      </c>
      <c r="D286" s="829">
        <f>+Tabla1[[#This Row],[FECHA Entrega]]</f>
        <v>46211</v>
      </c>
      <c r="E286" s="830">
        <v>700000869</v>
      </c>
      <c r="F286" s="831" t="s">
        <v>358</v>
      </c>
      <c r="G286" s="832" t="s">
        <v>216</v>
      </c>
      <c r="H286" s="852">
        <v>46211</v>
      </c>
      <c r="I286" s="834">
        <f t="shared" si="117"/>
        <v>35000</v>
      </c>
      <c r="J286" s="835">
        <f>0.315*Tabla1[[#This Row],[TIPO DE CAMBIO]]</f>
        <v>455.58481499999999</v>
      </c>
      <c r="K286" s="836">
        <f t="shared" si="118"/>
        <v>15945468.525</v>
      </c>
      <c r="L28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86" s="837">
        <f t="shared" si="91"/>
        <v>19294016.91525</v>
      </c>
      <c r="N286" s="838"/>
      <c r="O286" s="838">
        <v>0</v>
      </c>
      <c r="P286" s="838">
        <v>0</v>
      </c>
      <c r="Q286" s="839">
        <f>+Tabla1[[#This Row],[VENTA TOTAL $ (IVA INC) ]]-Tabla1[[#This Row],[PENDIENTE DE COBRO]]</f>
        <v>19294016.91525</v>
      </c>
      <c r="R286" s="840">
        <f>+Tabla1[[#This Row],[FECHA FC]]+Tabla1[[#This Row],[PLAZO ENTREGA VALORES]]</f>
        <v>46051</v>
      </c>
      <c r="S286" s="840">
        <f>+Tabla1[[#This Row],[FECHA FC]]+Tabla1[[#This Row],[PLAZO PAGO (DIAS)]]</f>
        <v>46211</v>
      </c>
      <c r="T286" s="834">
        <f t="shared" ca="1" si="119"/>
        <v>30</v>
      </c>
      <c r="U286" s="831">
        <f>+Tabla1[[#This Row],[FECHA OC]]-Tabla1[[#This Row],[FECHA Entrega]]</f>
        <v>-160</v>
      </c>
      <c r="V286" s="831"/>
      <c r="W286" s="841">
        <f>+Tabla1[[#This Row],[FECHA VTO VALORES]]+7</f>
        <v>46218</v>
      </c>
      <c r="X286" s="831" t="s">
        <v>489</v>
      </c>
      <c r="Y286" s="840">
        <v>46051</v>
      </c>
      <c r="Z286" s="842">
        <f>Tabla1[[#This Row],[KGS]]/50</f>
        <v>700</v>
      </c>
      <c r="AA28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86" s="844">
        <f>-Tabla1[[#This Row],[COSTO FLETE $ POR BOLSA 5O KG (SIN IVA)]]*1.21-Tabla1[[#This Row],[PRECIO $/ KG A PLAZO EN CLIENTE ( SIN IVA)]]*0.003*1.21*50</f>
        <v>-0.40864392249999071</v>
      </c>
      <c r="AC286" s="845">
        <f>SUM(Tabla1[[#This Row],[PRECIO $ BOLSA 50 KG (IVA INC) ]]+Tabla1[[#This Row],[COSTO FLETE $ BOLSA 50 KG (IVA INC)]])</f>
        <v>27562.4726635775</v>
      </c>
      <c r="AD286" s="844">
        <f>-Tabla1[[#This Row],[PRECIO $ BOLSA 50 KG (IVA INC) ]]*(Tabla1[[#This Row],[TASA FINANCIACION MENSUAL]]/365)*Tabla1[[#This Row],[PLAZO ENTREGA VALORES]]</f>
        <v>350.38840895013698</v>
      </c>
      <c r="AE286" s="845">
        <f>SUM(Tabla1[[#This Row],[PRECIO $ BOLSA50 KG  FOB TUCUMAN A PLAZO (IVA INC)]]+Tabla1[[#This Row],[GASTOS FINANCIEROS $ BOLSA 50 KG (IVA INC)]])</f>
        <v>27912.861072527638</v>
      </c>
      <c r="AF286" s="828" t="s">
        <v>476</v>
      </c>
      <c r="AG286" s="828" t="s">
        <v>365</v>
      </c>
      <c r="AH286" s="828" t="s">
        <v>387</v>
      </c>
      <c r="AI286" s="828" t="s">
        <v>261</v>
      </c>
      <c r="AJ28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86" s="846">
        <f>SUM(Tabla1[[#This Row],[PRECIO $ BOLSA 50KG  FOB CDO TUC (IVA INC)]]-Tabla1[[#This Row],[PRECIO REF $ BOLSA 50 KG CACTU (IVA INC)]])</f>
        <v>-4602.1389274723624</v>
      </c>
      <c r="AL286" s="847">
        <f>IFERROR(Tabla1[[#This Row],[PRECIO $ BOLSA 50KG  FOB CDO TUC (IVA INC)]]/Tabla1[[#This Row],[PRECIO REF $ BOLSA 50 KG CACTU (IVA INC)]]-1,"")</f>
        <v>-0.14153894902267761</v>
      </c>
      <c r="AM286" s="846">
        <f>+Tabla1[[#This Row],[DIF $ PRECIO NETO INDUSTRIA vs Neto TUCUMAN (IVA INC)]]*Tabla1[[#This Row],[Q Bolsas Equivalentes 50kg]]</f>
        <v>-3221497.2492306535</v>
      </c>
      <c r="AN286" s="846">
        <f>Tabla1[[#This Row],[PRECIO REF $ BOLSA 50 KG CACTU (IVA INC)]]*Tabla1[[#This Row],[Q Bolsas Equivalentes 50kg]]</f>
        <v>22760500</v>
      </c>
      <c r="AO286" s="846">
        <f>+Tabla1[[#This Row],[PRECIO $ BOLSA 50KG  FOB CDO TUC (IVA INC)]]*Tabla1[[#This Row],[Q Bolsas Equivalentes 50kg]]</f>
        <v>19539002.750769347</v>
      </c>
      <c r="AP286" s="847">
        <v>2.9000000000000001E-2</v>
      </c>
      <c r="AQ286" s="846">
        <v>-68</v>
      </c>
      <c r="AR286" s="848"/>
      <c r="AS286" s="849"/>
      <c r="AT286" s="923">
        <f>+Tabla1[[#This Row],[VENTA TOTAL $ (IVA INC) ]]-(SUM(Tabla1[[#This Row],[PENDIENTE DE ENTREGA]:[VALORES COBRADOS]]))</f>
        <v>0</v>
      </c>
      <c r="AU286" s="850">
        <f>VLOOKUP(Tabla1[[#This Row],[FECHA OC]],'TIPO DE CAMBIO'!A:B,2,TRUE)</f>
        <v>1446.3009999999999</v>
      </c>
      <c r="AV286" s="850">
        <f>+Tabla1[[#This Row],[SUBTOTAL]]/Tabla1[[#This Row],[TIPO DE CAMBIO]]</f>
        <v>11025</v>
      </c>
      <c r="AW286" s="851"/>
      <c r="AX286" s="850">
        <f>IFERROR(Tabla1[[#This Row],[VENTA TOTAL USD A PLAZO EN CLIENTE  (SIN IVA)]]*(1+Tabla1[[#This Row],[% IVA ]]),"")</f>
        <v>11025</v>
      </c>
      <c r="AY286" s="850">
        <f>+Tabla1[[#This Row],[VENTA TOTAL USD A PLAZO EN CLIENTE  (SIN IVA)]]/Tabla1[[#This Row],[KGS]]*1000</f>
        <v>315</v>
      </c>
      <c r="AZ286" s="850">
        <v>0</v>
      </c>
      <c r="BA286" s="850">
        <f>+Tabla1[[#This Row],[GASTOS FINANCIEROS $ BOLSA 50 KG (IVA INC)]]*20/Tabla1[[#This Row],[TIPO DE CAMBIO]]</f>
        <v>4.8453041095890415</v>
      </c>
      <c r="BB286" s="850">
        <f>+Tabla1[[#This Row],[PRECIO POR TN USD EN CLIENTE A PLAZO (SIN IVA)]]+Tabla1[[#This Row],[COSTO USD FLETE /TN (SIN IVA)]]+Tabla1[[#This Row],[COSTO FINANCIERO USD POR BOLSA 50KG (IVA INC)]]</f>
        <v>319.84530410958905</v>
      </c>
      <c r="BC286" s="848">
        <v>5</v>
      </c>
      <c r="BD286" s="944"/>
    </row>
    <row r="287" spans="1:56" ht="15.75" customHeight="1">
      <c r="A287" s="912">
        <v>46204</v>
      </c>
      <c r="B287" s="828">
        <v>1</v>
      </c>
      <c r="C287" s="792" t="s">
        <v>406</v>
      </c>
      <c r="D287" s="829">
        <f>+Tabla1[[#This Row],[FECHA Entrega]]</f>
        <v>46213</v>
      </c>
      <c r="E287" s="830">
        <v>700000869</v>
      </c>
      <c r="F287" s="831" t="s">
        <v>358</v>
      </c>
      <c r="G287" s="832" t="s">
        <v>216</v>
      </c>
      <c r="H287" s="852">
        <v>46213</v>
      </c>
      <c r="I287" s="834">
        <f t="shared" si="117"/>
        <v>35000</v>
      </c>
      <c r="J287" s="835">
        <f>0.315*Tabla1[[#This Row],[TIPO DE CAMBIO]]</f>
        <v>455.58481499999999</v>
      </c>
      <c r="K287" s="836">
        <f t="shared" si="118"/>
        <v>15945468.525</v>
      </c>
      <c r="L28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87" s="837">
        <f t="shared" si="91"/>
        <v>19294016.91525</v>
      </c>
      <c r="N287" s="838"/>
      <c r="O287" s="838">
        <v>0</v>
      </c>
      <c r="P287" s="838">
        <v>0</v>
      </c>
      <c r="Q287" s="839">
        <f>+Tabla1[[#This Row],[VENTA TOTAL $ (IVA INC) ]]-Tabla1[[#This Row],[PENDIENTE DE COBRO]]</f>
        <v>19294016.91525</v>
      </c>
      <c r="R287" s="840">
        <f>+Tabla1[[#This Row],[FECHA FC]]+Tabla1[[#This Row],[PLAZO ENTREGA VALORES]]</f>
        <v>46051</v>
      </c>
      <c r="S287" s="840">
        <f>+Tabla1[[#This Row],[FECHA FC]]+Tabla1[[#This Row],[PLAZO PAGO (DIAS)]]</f>
        <v>46213</v>
      </c>
      <c r="T287" s="834">
        <f t="shared" ca="1" si="119"/>
        <v>32</v>
      </c>
      <c r="U287" s="831">
        <f>+Tabla1[[#This Row],[FECHA OC]]-Tabla1[[#This Row],[FECHA Entrega]]</f>
        <v>-162</v>
      </c>
      <c r="V287" s="831"/>
      <c r="W287" s="841">
        <f>+Tabla1[[#This Row],[FECHA VTO VALORES]]+7</f>
        <v>46220</v>
      </c>
      <c r="X287" s="831" t="s">
        <v>489</v>
      </c>
      <c r="Y287" s="840">
        <v>46051</v>
      </c>
      <c r="Z287" s="842">
        <f>Tabla1[[#This Row],[KGS]]/50</f>
        <v>700</v>
      </c>
      <c r="AA28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87" s="844">
        <f>-Tabla1[[#This Row],[COSTO FLETE $ POR BOLSA 5O KG (SIN IVA)]]*1.21-Tabla1[[#This Row],[PRECIO $/ KG A PLAZO EN CLIENTE ( SIN IVA)]]*0.003*1.21*50</f>
        <v>-0.40864392249999071</v>
      </c>
      <c r="AC287" s="845">
        <f>SUM(Tabla1[[#This Row],[PRECIO $ BOLSA 50 KG (IVA INC) ]]+Tabla1[[#This Row],[COSTO FLETE $ BOLSA 50 KG (IVA INC)]])</f>
        <v>27562.4726635775</v>
      </c>
      <c r="AD287" s="844">
        <f>-Tabla1[[#This Row],[PRECIO $ BOLSA 50 KG (IVA INC) ]]*(Tabla1[[#This Row],[TASA FINANCIACION MENSUAL]]/365)*Tabla1[[#This Row],[PLAZO ENTREGA VALORES]]</f>
        <v>354.76826406201371</v>
      </c>
      <c r="AE287" s="845">
        <f>SUM(Tabla1[[#This Row],[PRECIO $ BOLSA50 KG  FOB TUCUMAN A PLAZO (IVA INC)]]+Tabla1[[#This Row],[GASTOS FINANCIEROS $ BOLSA 50 KG (IVA INC)]])</f>
        <v>27917.240927639516</v>
      </c>
      <c r="AF287" s="828" t="s">
        <v>476</v>
      </c>
      <c r="AG287" s="828" t="s">
        <v>365</v>
      </c>
      <c r="AH287" s="828" t="s">
        <v>387</v>
      </c>
      <c r="AI287" s="828" t="s">
        <v>261</v>
      </c>
      <c r="AJ28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87" s="846">
        <f>SUM(Tabla1[[#This Row],[PRECIO $ BOLSA 50KG  FOB CDO TUC (IVA INC)]]-Tabla1[[#This Row],[PRECIO REF $ BOLSA 50 KG CACTU (IVA INC)]])</f>
        <v>-4597.7590723604844</v>
      </c>
      <c r="AL287" s="847">
        <f>IFERROR(Tabla1[[#This Row],[PRECIO $ BOLSA 50KG  FOB CDO TUC (IVA INC)]]/Tabla1[[#This Row],[PRECIO REF $ BOLSA 50 KG CACTU (IVA INC)]]-1,"")</f>
        <v>-0.14140424642043625</v>
      </c>
      <c r="AM287" s="846">
        <f>+Tabla1[[#This Row],[DIF $ PRECIO NETO INDUSTRIA vs Neto TUCUMAN (IVA INC)]]*Tabla1[[#This Row],[Q Bolsas Equivalentes 50kg]]</f>
        <v>-3218431.3506523389</v>
      </c>
      <c r="AN287" s="846">
        <f>Tabla1[[#This Row],[PRECIO REF $ BOLSA 50 KG CACTU (IVA INC)]]*Tabla1[[#This Row],[Q Bolsas Equivalentes 50kg]]</f>
        <v>22760500</v>
      </c>
      <c r="AO287" s="846">
        <f>+Tabla1[[#This Row],[PRECIO $ BOLSA 50KG  FOB CDO TUC (IVA INC)]]*Tabla1[[#This Row],[Q Bolsas Equivalentes 50kg]]</f>
        <v>19542068.649347659</v>
      </c>
      <c r="AP287" s="847">
        <v>2.9000000000000001E-2</v>
      </c>
      <c r="AQ287" s="846">
        <v>-68</v>
      </c>
      <c r="AR287" s="848"/>
      <c r="AS287" s="849"/>
      <c r="AT287" s="923">
        <f>+Tabla1[[#This Row],[VENTA TOTAL $ (IVA INC) ]]-(SUM(Tabla1[[#This Row],[PENDIENTE DE ENTREGA]:[VALORES COBRADOS]]))</f>
        <v>0</v>
      </c>
      <c r="AU287" s="850">
        <f>VLOOKUP(Tabla1[[#This Row],[FECHA OC]],'TIPO DE CAMBIO'!A:B,2,TRUE)</f>
        <v>1446.3009999999999</v>
      </c>
      <c r="AV287" s="850">
        <f>+Tabla1[[#This Row],[SUBTOTAL]]/Tabla1[[#This Row],[TIPO DE CAMBIO]]</f>
        <v>11025</v>
      </c>
      <c r="AW287" s="851"/>
      <c r="AX287" s="850">
        <f>IFERROR(Tabla1[[#This Row],[VENTA TOTAL USD A PLAZO EN CLIENTE  (SIN IVA)]]*(1+Tabla1[[#This Row],[% IVA ]]),"")</f>
        <v>11025</v>
      </c>
      <c r="AY287" s="850">
        <f>+Tabla1[[#This Row],[VENTA TOTAL USD A PLAZO EN CLIENTE  (SIN IVA)]]/Tabla1[[#This Row],[KGS]]*1000</f>
        <v>315</v>
      </c>
      <c r="AZ287" s="850">
        <v>0</v>
      </c>
      <c r="BA287" s="850">
        <f>+Tabla1[[#This Row],[GASTOS FINANCIEROS $ BOLSA 50 KG (IVA INC)]]*20/Tabla1[[#This Row],[TIPO DE CAMBIO]]</f>
        <v>4.9058704109589044</v>
      </c>
      <c r="BB287" s="850">
        <f>+Tabla1[[#This Row],[PRECIO POR TN USD EN CLIENTE A PLAZO (SIN IVA)]]+Tabla1[[#This Row],[COSTO USD FLETE /TN (SIN IVA)]]+Tabla1[[#This Row],[COSTO FINANCIERO USD POR BOLSA 50KG (IVA INC)]]</f>
        <v>319.90587041095893</v>
      </c>
      <c r="BC287" s="848">
        <v>5</v>
      </c>
      <c r="BD287" s="944"/>
    </row>
    <row r="288" spans="1:56" ht="15.75" customHeight="1">
      <c r="A288" s="912">
        <v>46204</v>
      </c>
      <c r="B288" s="828">
        <v>1</v>
      </c>
      <c r="C288" s="792" t="s">
        <v>406</v>
      </c>
      <c r="D288" s="829">
        <f>+Tabla1[[#This Row],[FECHA Entrega]]</f>
        <v>46213</v>
      </c>
      <c r="E288" s="830">
        <v>700000869</v>
      </c>
      <c r="F288" s="831" t="s">
        <v>358</v>
      </c>
      <c r="G288" s="832" t="s">
        <v>216</v>
      </c>
      <c r="H288" s="852">
        <v>46213</v>
      </c>
      <c r="I288" s="834">
        <f t="shared" si="117"/>
        <v>35000</v>
      </c>
      <c r="J288" s="835">
        <f>0.315*Tabla1[[#This Row],[TIPO DE CAMBIO]]</f>
        <v>455.58481499999999</v>
      </c>
      <c r="K288" s="836">
        <f t="shared" si="118"/>
        <v>15945468.525</v>
      </c>
      <c r="L28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88" s="837">
        <f t="shared" si="91"/>
        <v>19294016.91525</v>
      </c>
      <c r="N288" s="838"/>
      <c r="O288" s="838">
        <v>0</v>
      </c>
      <c r="P288" s="838">
        <v>0</v>
      </c>
      <c r="Q288" s="839">
        <f>+Tabla1[[#This Row],[VENTA TOTAL $ (IVA INC) ]]-Tabla1[[#This Row],[PENDIENTE DE COBRO]]</f>
        <v>19294016.91525</v>
      </c>
      <c r="R288" s="840">
        <f>+Tabla1[[#This Row],[FECHA FC]]+Tabla1[[#This Row],[PLAZO ENTREGA VALORES]]</f>
        <v>46051</v>
      </c>
      <c r="S288" s="840">
        <f>+Tabla1[[#This Row],[FECHA FC]]+Tabla1[[#This Row],[PLAZO PAGO (DIAS)]]</f>
        <v>46213</v>
      </c>
      <c r="T288" s="834">
        <f t="shared" ca="1" si="119"/>
        <v>32</v>
      </c>
      <c r="U288" s="831">
        <f>+Tabla1[[#This Row],[FECHA OC]]-Tabla1[[#This Row],[FECHA Entrega]]</f>
        <v>-162</v>
      </c>
      <c r="V288" s="831"/>
      <c r="W288" s="841">
        <f>+Tabla1[[#This Row],[FECHA VTO VALORES]]+7</f>
        <v>46220</v>
      </c>
      <c r="X288" s="831" t="s">
        <v>489</v>
      </c>
      <c r="Y288" s="840">
        <v>46051</v>
      </c>
      <c r="Z288" s="842">
        <f>Tabla1[[#This Row],[KGS]]/50</f>
        <v>700</v>
      </c>
      <c r="AA28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88" s="844">
        <f>-Tabla1[[#This Row],[COSTO FLETE $ POR BOLSA 5O KG (SIN IVA)]]*1.21-Tabla1[[#This Row],[PRECIO $/ KG A PLAZO EN CLIENTE ( SIN IVA)]]*0.003*1.21*50</f>
        <v>-0.40864392249999071</v>
      </c>
      <c r="AC288" s="845">
        <f>SUM(Tabla1[[#This Row],[PRECIO $ BOLSA 50 KG (IVA INC) ]]+Tabla1[[#This Row],[COSTO FLETE $ BOLSA 50 KG (IVA INC)]])</f>
        <v>27562.4726635775</v>
      </c>
      <c r="AD288" s="844">
        <f>-Tabla1[[#This Row],[PRECIO $ BOLSA 50 KG (IVA INC) ]]*(Tabla1[[#This Row],[TASA FINANCIACION MENSUAL]]/365)*Tabla1[[#This Row],[PLAZO ENTREGA VALORES]]</f>
        <v>354.76826406201371</v>
      </c>
      <c r="AE288" s="845">
        <f>SUM(Tabla1[[#This Row],[PRECIO $ BOLSA50 KG  FOB TUCUMAN A PLAZO (IVA INC)]]+Tabla1[[#This Row],[GASTOS FINANCIEROS $ BOLSA 50 KG (IVA INC)]])</f>
        <v>27917.240927639516</v>
      </c>
      <c r="AF288" s="828" t="s">
        <v>476</v>
      </c>
      <c r="AG288" s="828" t="s">
        <v>365</v>
      </c>
      <c r="AH288" s="828" t="s">
        <v>387</v>
      </c>
      <c r="AI288" s="828" t="s">
        <v>261</v>
      </c>
      <c r="AJ28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88" s="846">
        <f>SUM(Tabla1[[#This Row],[PRECIO $ BOLSA 50KG  FOB CDO TUC (IVA INC)]]-Tabla1[[#This Row],[PRECIO REF $ BOLSA 50 KG CACTU (IVA INC)]])</f>
        <v>-4597.7590723604844</v>
      </c>
      <c r="AL288" s="847">
        <f>IFERROR(Tabla1[[#This Row],[PRECIO $ BOLSA 50KG  FOB CDO TUC (IVA INC)]]/Tabla1[[#This Row],[PRECIO REF $ BOLSA 50 KG CACTU (IVA INC)]]-1,"")</f>
        <v>-0.14140424642043625</v>
      </c>
      <c r="AM288" s="846">
        <f>+Tabla1[[#This Row],[DIF $ PRECIO NETO INDUSTRIA vs Neto TUCUMAN (IVA INC)]]*Tabla1[[#This Row],[Q Bolsas Equivalentes 50kg]]</f>
        <v>-3218431.3506523389</v>
      </c>
      <c r="AN288" s="846">
        <f>Tabla1[[#This Row],[PRECIO REF $ BOLSA 50 KG CACTU (IVA INC)]]*Tabla1[[#This Row],[Q Bolsas Equivalentes 50kg]]</f>
        <v>22760500</v>
      </c>
      <c r="AO288" s="846">
        <f>+Tabla1[[#This Row],[PRECIO $ BOLSA 50KG  FOB CDO TUC (IVA INC)]]*Tabla1[[#This Row],[Q Bolsas Equivalentes 50kg]]</f>
        <v>19542068.649347659</v>
      </c>
      <c r="AP288" s="847">
        <v>2.9000000000000001E-2</v>
      </c>
      <c r="AQ288" s="846">
        <v>-68</v>
      </c>
      <c r="AR288" s="848"/>
      <c r="AS288" s="849"/>
      <c r="AT288" s="923">
        <f>+Tabla1[[#This Row],[VENTA TOTAL $ (IVA INC) ]]-(SUM(Tabla1[[#This Row],[PENDIENTE DE ENTREGA]:[VALORES COBRADOS]]))</f>
        <v>0</v>
      </c>
      <c r="AU288" s="850">
        <f>VLOOKUP(Tabla1[[#This Row],[FECHA OC]],'TIPO DE CAMBIO'!A:B,2,TRUE)</f>
        <v>1446.3009999999999</v>
      </c>
      <c r="AV288" s="850">
        <f>+Tabla1[[#This Row],[SUBTOTAL]]/Tabla1[[#This Row],[TIPO DE CAMBIO]]</f>
        <v>11025</v>
      </c>
      <c r="AW288" s="851"/>
      <c r="AX288" s="850">
        <f>IFERROR(Tabla1[[#This Row],[VENTA TOTAL USD A PLAZO EN CLIENTE  (SIN IVA)]]*(1+Tabla1[[#This Row],[% IVA ]]),"")</f>
        <v>11025</v>
      </c>
      <c r="AY288" s="850">
        <f>+Tabla1[[#This Row],[VENTA TOTAL USD A PLAZO EN CLIENTE  (SIN IVA)]]/Tabla1[[#This Row],[KGS]]*1000</f>
        <v>315</v>
      </c>
      <c r="AZ288" s="850">
        <v>0</v>
      </c>
      <c r="BA288" s="850">
        <f>+Tabla1[[#This Row],[GASTOS FINANCIEROS $ BOLSA 50 KG (IVA INC)]]*20/Tabla1[[#This Row],[TIPO DE CAMBIO]]</f>
        <v>4.9058704109589044</v>
      </c>
      <c r="BB288" s="850">
        <f>+Tabla1[[#This Row],[PRECIO POR TN USD EN CLIENTE A PLAZO (SIN IVA)]]+Tabla1[[#This Row],[COSTO USD FLETE /TN (SIN IVA)]]+Tabla1[[#This Row],[COSTO FINANCIERO USD POR BOLSA 50KG (IVA INC)]]</f>
        <v>319.90587041095893</v>
      </c>
      <c r="BC288" s="848">
        <v>5</v>
      </c>
      <c r="BD288" s="944"/>
    </row>
    <row r="289" spans="1:56" ht="15.75" customHeight="1">
      <c r="A289" s="912">
        <v>46204</v>
      </c>
      <c r="B289" s="828">
        <v>1</v>
      </c>
      <c r="C289" s="792" t="s">
        <v>406</v>
      </c>
      <c r="D289" s="829">
        <f>+Tabla1[[#This Row],[FECHA Entrega]]</f>
        <v>46213</v>
      </c>
      <c r="E289" s="830">
        <v>700000869</v>
      </c>
      <c r="F289" s="831" t="s">
        <v>358</v>
      </c>
      <c r="G289" s="832" t="s">
        <v>216</v>
      </c>
      <c r="H289" s="852">
        <v>46213</v>
      </c>
      <c r="I289" s="834">
        <f t="shared" si="117"/>
        <v>35000</v>
      </c>
      <c r="J289" s="835">
        <f>0.315*Tabla1[[#This Row],[TIPO DE CAMBIO]]</f>
        <v>455.58481499999999</v>
      </c>
      <c r="K289" s="836">
        <f t="shared" si="118"/>
        <v>15945468.525</v>
      </c>
      <c r="L28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89" s="837">
        <f t="shared" ref="M289:M352" si="120">SUM(K289:L289)</f>
        <v>19294016.91525</v>
      </c>
      <c r="N289" s="838"/>
      <c r="O289" s="838">
        <v>0</v>
      </c>
      <c r="P289" s="838">
        <v>0</v>
      </c>
      <c r="Q289" s="839">
        <f>+Tabla1[[#This Row],[VENTA TOTAL $ (IVA INC) ]]-Tabla1[[#This Row],[PENDIENTE DE COBRO]]</f>
        <v>19294016.91525</v>
      </c>
      <c r="R289" s="840">
        <f>+Tabla1[[#This Row],[FECHA FC]]+Tabla1[[#This Row],[PLAZO ENTREGA VALORES]]</f>
        <v>46051</v>
      </c>
      <c r="S289" s="840">
        <f>+Tabla1[[#This Row],[FECHA FC]]+Tabla1[[#This Row],[PLAZO PAGO (DIAS)]]</f>
        <v>46213</v>
      </c>
      <c r="T289" s="834">
        <f t="shared" ca="1" si="119"/>
        <v>32</v>
      </c>
      <c r="U289" s="831">
        <f>+Tabla1[[#This Row],[FECHA OC]]-Tabla1[[#This Row],[FECHA Entrega]]</f>
        <v>-162</v>
      </c>
      <c r="V289" s="831"/>
      <c r="W289" s="841">
        <f>+Tabla1[[#This Row],[FECHA VTO VALORES]]+7</f>
        <v>46220</v>
      </c>
      <c r="X289" s="831" t="s">
        <v>489</v>
      </c>
      <c r="Y289" s="840">
        <v>46051</v>
      </c>
      <c r="Z289" s="842">
        <f>Tabla1[[#This Row],[KGS]]/50</f>
        <v>700</v>
      </c>
      <c r="AA28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89" s="844">
        <f>-Tabla1[[#This Row],[COSTO FLETE $ POR BOLSA 5O KG (SIN IVA)]]*1.21-Tabla1[[#This Row],[PRECIO $/ KG A PLAZO EN CLIENTE ( SIN IVA)]]*0.003*1.21*50</f>
        <v>-0.40864392249999071</v>
      </c>
      <c r="AC289" s="845">
        <f>SUM(Tabla1[[#This Row],[PRECIO $ BOLSA 50 KG (IVA INC) ]]+Tabla1[[#This Row],[COSTO FLETE $ BOLSA 50 KG (IVA INC)]])</f>
        <v>27562.4726635775</v>
      </c>
      <c r="AD289" s="844">
        <f>-Tabla1[[#This Row],[PRECIO $ BOLSA 50 KG (IVA INC) ]]*(Tabla1[[#This Row],[TASA FINANCIACION MENSUAL]]/365)*Tabla1[[#This Row],[PLAZO ENTREGA VALORES]]</f>
        <v>354.76826406201371</v>
      </c>
      <c r="AE289" s="845">
        <f>SUM(Tabla1[[#This Row],[PRECIO $ BOLSA50 KG  FOB TUCUMAN A PLAZO (IVA INC)]]+Tabla1[[#This Row],[GASTOS FINANCIEROS $ BOLSA 50 KG (IVA INC)]])</f>
        <v>27917.240927639516</v>
      </c>
      <c r="AF289" s="828" t="s">
        <v>476</v>
      </c>
      <c r="AG289" s="828" t="s">
        <v>365</v>
      </c>
      <c r="AH289" s="828" t="s">
        <v>387</v>
      </c>
      <c r="AI289" s="828" t="s">
        <v>261</v>
      </c>
      <c r="AJ28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89" s="846">
        <f>SUM(Tabla1[[#This Row],[PRECIO $ BOLSA 50KG  FOB CDO TUC (IVA INC)]]-Tabla1[[#This Row],[PRECIO REF $ BOLSA 50 KG CACTU (IVA INC)]])</f>
        <v>-4597.7590723604844</v>
      </c>
      <c r="AL289" s="847">
        <f>IFERROR(Tabla1[[#This Row],[PRECIO $ BOLSA 50KG  FOB CDO TUC (IVA INC)]]/Tabla1[[#This Row],[PRECIO REF $ BOLSA 50 KG CACTU (IVA INC)]]-1,"")</f>
        <v>-0.14140424642043625</v>
      </c>
      <c r="AM289" s="846">
        <f>+Tabla1[[#This Row],[DIF $ PRECIO NETO INDUSTRIA vs Neto TUCUMAN (IVA INC)]]*Tabla1[[#This Row],[Q Bolsas Equivalentes 50kg]]</f>
        <v>-3218431.3506523389</v>
      </c>
      <c r="AN289" s="846">
        <f>Tabla1[[#This Row],[PRECIO REF $ BOLSA 50 KG CACTU (IVA INC)]]*Tabla1[[#This Row],[Q Bolsas Equivalentes 50kg]]</f>
        <v>22760500</v>
      </c>
      <c r="AO289" s="846">
        <f>+Tabla1[[#This Row],[PRECIO $ BOLSA 50KG  FOB CDO TUC (IVA INC)]]*Tabla1[[#This Row],[Q Bolsas Equivalentes 50kg]]</f>
        <v>19542068.649347659</v>
      </c>
      <c r="AP289" s="847">
        <v>2.9000000000000001E-2</v>
      </c>
      <c r="AQ289" s="846">
        <v>-68</v>
      </c>
      <c r="AR289" s="848"/>
      <c r="AS289" s="849"/>
      <c r="AT289" s="923">
        <f>+Tabla1[[#This Row],[VENTA TOTAL $ (IVA INC) ]]-(SUM(Tabla1[[#This Row],[PENDIENTE DE ENTREGA]:[VALORES COBRADOS]]))</f>
        <v>0</v>
      </c>
      <c r="AU289" s="850">
        <f>VLOOKUP(Tabla1[[#This Row],[FECHA OC]],'TIPO DE CAMBIO'!A:B,2,TRUE)</f>
        <v>1446.3009999999999</v>
      </c>
      <c r="AV289" s="850">
        <f>+Tabla1[[#This Row],[SUBTOTAL]]/Tabla1[[#This Row],[TIPO DE CAMBIO]]</f>
        <v>11025</v>
      </c>
      <c r="AW289" s="851"/>
      <c r="AX289" s="850">
        <f>IFERROR(Tabla1[[#This Row],[VENTA TOTAL USD A PLAZO EN CLIENTE  (SIN IVA)]]*(1+Tabla1[[#This Row],[% IVA ]]),"")</f>
        <v>11025</v>
      </c>
      <c r="AY289" s="850">
        <f>+Tabla1[[#This Row],[VENTA TOTAL USD A PLAZO EN CLIENTE  (SIN IVA)]]/Tabla1[[#This Row],[KGS]]*1000</f>
        <v>315</v>
      </c>
      <c r="AZ289" s="850">
        <v>0</v>
      </c>
      <c r="BA289" s="850">
        <f>+Tabla1[[#This Row],[GASTOS FINANCIEROS $ BOLSA 50 KG (IVA INC)]]*20/Tabla1[[#This Row],[TIPO DE CAMBIO]]</f>
        <v>4.9058704109589044</v>
      </c>
      <c r="BB289" s="850">
        <f>+Tabla1[[#This Row],[PRECIO POR TN USD EN CLIENTE A PLAZO (SIN IVA)]]+Tabla1[[#This Row],[COSTO USD FLETE /TN (SIN IVA)]]+Tabla1[[#This Row],[COSTO FINANCIERO USD POR BOLSA 50KG (IVA INC)]]</f>
        <v>319.90587041095893</v>
      </c>
      <c r="BC289" s="848">
        <v>5</v>
      </c>
      <c r="BD289" s="944"/>
    </row>
    <row r="290" spans="1:56" ht="15.75" customHeight="1">
      <c r="A290" s="912">
        <v>46204</v>
      </c>
      <c r="B290" s="828">
        <v>1</v>
      </c>
      <c r="C290" s="792" t="s">
        <v>406</v>
      </c>
      <c r="D290" s="829">
        <f>+Tabla1[[#This Row],[FECHA Entrega]]</f>
        <v>46213</v>
      </c>
      <c r="E290" s="830">
        <v>700000869</v>
      </c>
      <c r="F290" s="831" t="s">
        <v>358</v>
      </c>
      <c r="G290" s="832" t="s">
        <v>216</v>
      </c>
      <c r="H290" s="852">
        <v>46213</v>
      </c>
      <c r="I290" s="834">
        <f t="shared" si="117"/>
        <v>35000</v>
      </c>
      <c r="J290" s="835">
        <f>0.315*Tabla1[[#This Row],[TIPO DE CAMBIO]]</f>
        <v>455.58481499999999</v>
      </c>
      <c r="K290" s="836">
        <f t="shared" si="118"/>
        <v>15945468.525</v>
      </c>
      <c r="L29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90" s="837">
        <f t="shared" si="120"/>
        <v>19294016.91525</v>
      </c>
      <c r="N290" s="838"/>
      <c r="O290" s="838">
        <v>0</v>
      </c>
      <c r="P290" s="838">
        <v>0</v>
      </c>
      <c r="Q290" s="839">
        <f>+Tabla1[[#This Row],[VENTA TOTAL $ (IVA INC) ]]-Tabla1[[#This Row],[PENDIENTE DE COBRO]]</f>
        <v>19294016.91525</v>
      </c>
      <c r="R290" s="840">
        <f>+Tabla1[[#This Row],[FECHA FC]]+Tabla1[[#This Row],[PLAZO ENTREGA VALORES]]</f>
        <v>46051</v>
      </c>
      <c r="S290" s="840">
        <f>+Tabla1[[#This Row],[FECHA FC]]+Tabla1[[#This Row],[PLAZO PAGO (DIAS)]]</f>
        <v>46213</v>
      </c>
      <c r="T290" s="834">
        <f t="shared" ca="1" si="119"/>
        <v>32</v>
      </c>
      <c r="U290" s="831">
        <f>+Tabla1[[#This Row],[FECHA OC]]-Tabla1[[#This Row],[FECHA Entrega]]</f>
        <v>-162</v>
      </c>
      <c r="V290" s="831"/>
      <c r="W290" s="841">
        <f>+Tabla1[[#This Row],[FECHA VTO VALORES]]+7</f>
        <v>46220</v>
      </c>
      <c r="X290" s="831" t="s">
        <v>489</v>
      </c>
      <c r="Y290" s="840">
        <v>46051</v>
      </c>
      <c r="Z290" s="842">
        <f>Tabla1[[#This Row],[KGS]]/50</f>
        <v>700</v>
      </c>
      <c r="AA29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90" s="844">
        <f>-Tabla1[[#This Row],[COSTO FLETE $ POR BOLSA 5O KG (SIN IVA)]]*1.21-Tabla1[[#This Row],[PRECIO $/ KG A PLAZO EN CLIENTE ( SIN IVA)]]*0.003*1.21*50</f>
        <v>-0.40864392249999071</v>
      </c>
      <c r="AC290" s="845">
        <f>SUM(Tabla1[[#This Row],[PRECIO $ BOLSA 50 KG (IVA INC) ]]+Tabla1[[#This Row],[COSTO FLETE $ BOLSA 50 KG (IVA INC)]])</f>
        <v>27562.4726635775</v>
      </c>
      <c r="AD290" s="844">
        <f>-Tabla1[[#This Row],[PRECIO $ BOLSA 50 KG (IVA INC) ]]*(Tabla1[[#This Row],[TASA FINANCIACION MENSUAL]]/365)*Tabla1[[#This Row],[PLAZO ENTREGA VALORES]]</f>
        <v>354.76826406201371</v>
      </c>
      <c r="AE290" s="845">
        <f>SUM(Tabla1[[#This Row],[PRECIO $ BOLSA50 KG  FOB TUCUMAN A PLAZO (IVA INC)]]+Tabla1[[#This Row],[GASTOS FINANCIEROS $ BOLSA 50 KG (IVA INC)]])</f>
        <v>27917.240927639516</v>
      </c>
      <c r="AF290" s="828" t="s">
        <v>476</v>
      </c>
      <c r="AG290" s="828" t="s">
        <v>365</v>
      </c>
      <c r="AH290" s="828" t="s">
        <v>387</v>
      </c>
      <c r="AI290" s="828" t="s">
        <v>261</v>
      </c>
      <c r="AJ29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90" s="846">
        <f>SUM(Tabla1[[#This Row],[PRECIO $ BOLSA 50KG  FOB CDO TUC (IVA INC)]]-Tabla1[[#This Row],[PRECIO REF $ BOLSA 50 KG CACTU (IVA INC)]])</f>
        <v>-4597.7590723604844</v>
      </c>
      <c r="AL290" s="847">
        <f>IFERROR(Tabla1[[#This Row],[PRECIO $ BOLSA 50KG  FOB CDO TUC (IVA INC)]]/Tabla1[[#This Row],[PRECIO REF $ BOLSA 50 KG CACTU (IVA INC)]]-1,"")</f>
        <v>-0.14140424642043625</v>
      </c>
      <c r="AM290" s="846">
        <f>+Tabla1[[#This Row],[DIF $ PRECIO NETO INDUSTRIA vs Neto TUCUMAN (IVA INC)]]*Tabla1[[#This Row],[Q Bolsas Equivalentes 50kg]]</f>
        <v>-3218431.3506523389</v>
      </c>
      <c r="AN290" s="846">
        <f>Tabla1[[#This Row],[PRECIO REF $ BOLSA 50 KG CACTU (IVA INC)]]*Tabla1[[#This Row],[Q Bolsas Equivalentes 50kg]]</f>
        <v>22760500</v>
      </c>
      <c r="AO290" s="846">
        <f>+Tabla1[[#This Row],[PRECIO $ BOLSA 50KG  FOB CDO TUC (IVA INC)]]*Tabla1[[#This Row],[Q Bolsas Equivalentes 50kg]]</f>
        <v>19542068.649347659</v>
      </c>
      <c r="AP290" s="847">
        <v>2.9000000000000001E-2</v>
      </c>
      <c r="AQ290" s="846">
        <v>-68</v>
      </c>
      <c r="AR290" s="848"/>
      <c r="AS290" s="849"/>
      <c r="AT290" s="923">
        <f>+Tabla1[[#This Row],[VENTA TOTAL $ (IVA INC) ]]-(SUM(Tabla1[[#This Row],[PENDIENTE DE ENTREGA]:[VALORES COBRADOS]]))</f>
        <v>0</v>
      </c>
      <c r="AU290" s="850">
        <f>VLOOKUP(Tabla1[[#This Row],[FECHA OC]],'TIPO DE CAMBIO'!A:B,2,TRUE)</f>
        <v>1446.3009999999999</v>
      </c>
      <c r="AV290" s="850">
        <f>+Tabla1[[#This Row],[SUBTOTAL]]/Tabla1[[#This Row],[TIPO DE CAMBIO]]</f>
        <v>11025</v>
      </c>
      <c r="AW290" s="851"/>
      <c r="AX290" s="850">
        <f>IFERROR(Tabla1[[#This Row],[VENTA TOTAL USD A PLAZO EN CLIENTE  (SIN IVA)]]*(1+Tabla1[[#This Row],[% IVA ]]),"")</f>
        <v>11025</v>
      </c>
      <c r="AY290" s="850">
        <f>+Tabla1[[#This Row],[VENTA TOTAL USD A PLAZO EN CLIENTE  (SIN IVA)]]/Tabla1[[#This Row],[KGS]]*1000</f>
        <v>315</v>
      </c>
      <c r="AZ290" s="850">
        <v>0</v>
      </c>
      <c r="BA290" s="850">
        <f>+Tabla1[[#This Row],[GASTOS FINANCIEROS $ BOLSA 50 KG (IVA INC)]]*20/Tabla1[[#This Row],[TIPO DE CAMBIO]]</f>
        <v>4.9058704109589044</v>
      </c>
      <c r="BB290" s="850">
        <f>+Tabla1[[#This Row],[PRECIO POR TN USD EN CLIENTE A PLAZO (SIN IVA)]]+Tabla1[[#This Row],[COSTO USD FLETE /TN (SIN IVA)]]+Tabla1[[#This Row],[COSTO FINANCIERO USD POR BOLSA 50KG (IVA INC)]]</f>
        <v>319.90587041095893</v>
      </c>
      <c r="BC290" s="848">
        <v>5</v>
      </c>
      <c r="BD290" s="944"/>
    </row>
    <row r="291" spans="1:56" ht="15.75" customHeight="1">
      <c r="A291" s="912">
        <v>46204</v>
      </c>
      <c r="B291" s="828">
        <v>1</v>
      </c>
      <c r="C291" s="792" t="s">
        <v>406</v>
      </c>
      <c r="D291" s="829">
        <f>+Tabla1[[#This Row],[FECHA Entrega]]</f>
        <v>46214</v>
      </c>
      <c r="E291" s="830">
        <v>700000869</v>
      </c>
      <c r="F291" s="831" t="s">
        <v>358</v>
      </c>
      <c r="G291" s="832" t="s">
        <v>216</v>
      </c>
      <c r="H291" s="852">
        <v>46214</v>
      </c>
      <c r="I291" s="834">
        <f t="shared" si="117"/>
        <v>35000</v>
      </c>
      <c r="J291" s="835">
        <f>0.315*Tabla1[[#This Row],[TIPO DE CAMBIO]]</f>
        <v>455.58481499999999</v>
      </c>
      <c r="K291" s="836">
        <f t="shared" si="118"/>
        <v>15945468.525</v>
      </c>
      <c r="L29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91" s="837">
        <f t="shared" si="120"/>
        <v>19294016.91525</v>
      </c>
      <c r="N291" s="838"/>
      <c r="O291" s="838">
        <v>0</v>
      </c>
      <c r="P291" s="838">
        <v>0</v>
      </c>
      <c r="Q291" s="839">
        <f>+Tabla1[[#This Row],[VENTA TOTAL $ (IVA INC) ]]-Tabla1[[#This Row],[PENDIENTE DE COBRO]]</f>
        <v>19294016.91525</v>
      </c>
      <c r="R291" s="840">
        <f>+Tabla1[[#This Row],[FECHA FC]]+Tabla1[[#This Row],[PLAZO ENTREGA VALORES]]</f>
        <v>46051</v>
      </c>
      <c r="S291" s="840">
        <f>+Tabla1[[#This Row],[FECHA FC]]+Tabla1[[#This Row],[PLAZO PAGO (DIAS)]]</f>
        <v>46214</v>
      </c>
      <c r="T291" s="834">
        <f t="shared" ca="1" si="119"/>
        <v>33</v>
      </c>
      <c r="U291" s="831">
        <f>+Tabla1[[#This Row],[FECHA OC]]-Tabla1[[#This Row],[FECHA Entrega]]</f>
        <v>-163</v>
      </c>
      <c r="V291" s="831"/>
      <c r="W291" s="841">
        <f>+Tabla1[[#This Row],[FECHA VTO VALORES]]+7</f>
        <v>46221</v>
      </c>
      <c r="X291" s="831" t="s">
        <v>489</v>
      </c>
      <c r="Y291" s="840">
        <v>46051</v>
      </c>
      <c r="Z291" s="842">
        <f>Tabla1[[#This Row],[KGS]]/50</f>
        <v>700</v>
      </c>
      <c r="AA29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91" s="844">
        <f>-Tabla1[[#This Row],[COSTO FLETE $ POR BOLSA 5O KG (SIN IVA)]]*1.21-Tabla1[[#This Row],[PRECIO $/ KG A PLAZO EN CLIENTE ( SIN IVA)]]*0.003*1.21*50</f>
        <v>-0.40864392249999071</v>
      </c>
      <c r="AC291" s="845">
        <f>SUM(Tabla1[[#This Row],[PRECIO $ BOLSA 50 KG (IVA INC) ]]+Tabla1[[#This Row],[COSTO FLETE $ BOLSA 50 KG (IVA INC)]])</f>
        <v>27562.4726635775</v>
      </c>
      <c r="AD291" s="844">
        <f>-Tabla1[[#This Row],[PRECIO $ BOLSA 50 KG (IVA INC) ]]*(Tabla1[[#This Row],[TASA FINANCIACION MENSUAL]]/365)*Tabla1[[#This Row],[PLAZO ENTREGA VALORES]]</f>
        <v>356.95819161795208</v>
      </c>
      <c r="AE291" s="845">
        <f>SUM(Tabla1[[#This Row],[PRECIO $ BOLSA50 KG  FOB TUCUMAN A PLAZO (IVA INC)]]+Tabla1[[#This Row],[GASTOS FINANCIEROS $ BOLSA 50 KG (IVA INC)]])</f>
        <v>27919.430855195453</v>
      </c>
      <c r="AF291" s="828" t="s">
        <v>476</v>
      </c>
      <c r="AG291" s="828" t="s">
        <v>365</v>
      </c>
      <c r="AH291" s="828" t="s">
        <v>387</v>
      </c>
      <c r="AI291" s="828" t="s">
        <v>261</v>
      </c>
      <c r="AJ29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91" s="846">
        <f>SUM(Tabla1[[#This Row],[PRECIO $ BOLSA 50KG  FOB CDO TUC (IVA INC)]]-Tabla1[[#This Row],[PRECIO REF $ BOLSA 50 KG CACTU (IVA INC)]])</f>
        <v>-4595.5691448045472</v>
      </c>
      <c r="AL291" s="847">
        <f>IFERROR(Tabla1[[#This Row],[PRECIO $ BOLSA 50KG  FOB CDO TUC (IVA INC)]]/Tabla1[[#This Row],[PRECIO REF $ BOLSA 50 KG CACTU (IVA INC)]]-1,"")</f>
        <v>-0.14133689511931558</v>
      </c>
      <c r="AM291" s="846">
        <f>+Tabla1[[#This Row],[DIF $ PRECIO NETO INDUSTRIA vs Neto TUCUMAN (IVA INC)]]*Tabla1[[#This Row],[Q Bolsas Equivalentes 50kg]]</f>
        <v>-3216898.4013631833</v>
      </c>
      <c r="AN291" s="846">
        <f>Tabla1[[#This Row],[PRECIO REF $ BOLSA 50 KG CACTU (IVA INC)]]*Tabla1[[#This Row],[Q Bolsas Equivalentes 50kg]]</f>
        <v>22760500</v>
      </c>
      <c r="AO291" s="846">
        <f>+Tabla1[[#This Row],[PRECIO $ BOLSA 50KG  FOB CDO TUC (IVA INC)]]*Tabla1[[#This Row],[Q Bolsas Equivalentes 50kg]]</f>
        <v>19543601.598636817</v>
      </c>
      <c r="AP291" s="847">
        <v>2.9000000000000001E-2</v>
      </c>
      <c r="AQ291" s="846">
        <v>-68</v>
      </c>
      <c r="AR291" s="848"/>
      <c r="AS291" s="849"/>
      <c r="AT291" s="923">
        <f>+Tabla1[[#This Row],[VENTA TOTAL $ (IVA INC) ]]-(SUM(Tabla1[[#This Row],[PENDIENTE DE ENTREGA]:[VALORES COBRADOS]]))</f>
        <v>0</v>
      </c>
      <c r="AU291" s="850">
        <f>VLOOKUP(Tabla1[[#This Row],[FECHA OC]],'TIPO DE CAMBIO'!A:B,2,TRUE)</f>
        <v>1446.3009999999999</v>
      </c>
      <c r="AV291" s="850">
        <f>+Tabla1[[#This Row],[SUBTOTAL]]/Tabla1[[#This Row],[TIPO DE CAMBIO]]</f>
        <v>11025</v>
      </c>
      <c r="AW291" s="851"/>
      <c r="AX291" s="850">
        <f>IFERROR(Tabla1[[#This Row],[VENTA TOTAL USD A PLAZO EN CLIENTE  (SIN IVA)]]*(1+Tabla1[[#This Row],[% IVA ]]),"")</f>
        <v>11025</v>
      </c>
      <c r="AY291" s="850">
        <f>+Tabla1[[#This Row],[VENTA TOTAL USD A PLAZO EN CLIENTE  (SIN IVA)]]/Tabla1[[#This Row],[KGS]]*1000</f>
        <v>315</v>
      </c>
      <c r="AZ291" s="850">
        <v>0</v>
      </c>
      <c r="BA291" s="850">
        <f>+Tabla1[[#This Row],[GASTOS FINANCIEROS $ BOLSA 50 KG (IVA INC)]]*20/Tabla1[[#This Row],[TIPO DE CAMBIO]]</f>
        <v>4.9361535616438363</v>
      </c>
      <c r="BB291" s="850">
        <f>+Tabla1[[#This Row],[PRECIO POR TN USD EN CLIENTE A PLAZO (SIN IVA)]]+Tabla1[[#This Row],[COSTO USD FLETE /TN (SIN IVA)]]+Tabla1[[#This Row],[COSTO FINANCIERO USD POR BOLSA 50KG (IVA INC)]]</f>
        <v>319.93615356164383</v>
      </c>
      <c r="BC291" s="848">
        <v>5</v>
      </c>
      <c r="BD291" s="944"/>
    </row>
    <row r="292" spans="1:56" ht="15.75" customHeight="1">
      <c r="A292" s="912">
        <v>46204</v>
      </c>
      <c r="B292" s="828">
        <v>1</v>
      </c>
      <c r="C292" s="792" t="s">
        <v>406</v>
      </c>
      <c r="D292" s="829">
        <f>+Tabla1[[#This Row],[FECHA Entrega]]</f>
        <v>46214</v>
      </c>
      <c r="E292" s="830">
        <v>700000869</v>
      </c>
      <c r="F292" s="831" t="s">
        <v>358</v>
      </c>
      <c r="G292" s="832" t="s">
        <v>216</v>
      </c>
      <c r="H292" s="852">
        <v>46214</v>
      </c>
      <c r="I292" s="834">
        <f t="shared" si="117"/>
        <v>35000</v>
      </c>
      <c r="J292" s="835">
        <f>0.315*Tabla1[[#This Row],[TIPO DE CAMBIO]]</f>
        <v>455.58481499999999</v>
      </c>
      <c r="K292" s="836">
        <f t="shared" si="118"/>
        <v>15945468.525</v>
      </c>
      <c r="L29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92" s="837">
        <f t="shared" si="120"/>
        <v>19294016.91525</v>
      </c>
      <c r="N292" s="838"/>
      <c r="O292" s="838">
        <v>0</v>
      </c>
      <c r="P292" s="838">
        <v>0</v>
      </c>
      <c r="Q292" s="839">
        <f>+Tabla1[[#This Row],[VENTA TOTAL $ (IVA INC) ]]-Tabla1[[#This Row],[PENDIENTE DE COBRO]]</f>
        <v>19294016.91525</v>
      </c>
      <c r="R292" s="840">
        <f>+Tabla1[[#This Row],[FECHA FC]]+Tabla1[[#This Row],[PLAZO ENTREGA VALORES]]</f>
        <v>46051</v>
      </c>
      <c r="S292" s="840">
        <f>+Tabla1[[#This Row],[FECHA FC]]+Tabla1[[#This Row],[PLAZO PAGO (DIAS)]]</f>
        <v>46214</v>
      </c>
      <c r="T292" s="834">
        <f t="shared" ca="1" si="119"/>
        <v>33</v>
      </c>
      <c r="U292" s="831">
        <f>+Tabla1[[#This Row],[FECHA OC]]-Tabla1[[#This Row],[FECHA Entrega]]</f>
        <v>-163</v>
      </c>
      <c r="V292" s="831"/>
      <c r="W292" s="841">
        <f>+Tabla1[[#This Row],[FECHA VTO VALORES]]+7</f>
        <v>46221</v>
      </c>
      <c r="X292" s="831" t="s">
        <v>489</v>
      </c>
      <c r="Y292" s="840">
        <v>46051</v>
      </c>
      <c r="Z292" s="842">
        <f>Tabla1[[#This Row],[KGS]]/50</f>
        <v>700</v>
      </c>
      <c r="AA29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92" s="844">
        <f>-Tabla1[[#This Row],[COSTO FLETE $ POR BOLSA 5O KG (SIN IVA)]]*1.21-Tabla1[[#This Row],[PRECIO $/ KG A PLAZO EN CLIENTE ( SIN IVA)]]*0.003*1.21*50</f>
        <v>-0.40864392249999071</v>
      </c>
      <c r="AC292" s="845">
        <f>SUM(Tabla1[[#This Row],[PRECIO $ BOLSA 50 KG (IVA INC) ]]+Tabla1[[#This Row],[COSTO FLETE $ BOLSA 50 KG (IVA INC)]])</f>
        <v>27562.4726635775</v>
      </c>
      <c r="AD292" s="844">
        <f>-Tabla1[[#This Row],[PRECIO $ BOLSA 50 KG (IVA INC) ]]*(Tabla1[[#This Row],[TASA FINANCIACION MENSUAL]]/365)*Tabla1[[#This Row],[PLAZO ENTREGA VALORES]]</f>
        <v>356.95819161795208</v>
      </c>
      <c r="AE292" s="845">
        <f>SUM(Tabla1[[#This Row],[PRECIO $ BOLSA50 KG  FOB TUCUMAN A PLAZO (IVA INC)]]+Tabla1[[#This Row],[GASTOS FINANCIEROS $ BOLSA 50 KG (IVA INC)]])</f>
        <v>27919.430855195453</v>
      </c>
      <c r="AF292" s="828" t="s">
        <v>476</v>
      </c>
      <c r="AG292" s="828" t="s">
        <v>365</v>
      </c>
      <c r="AH292" s="828" t="s">
        <v>387</v>
      </c>
      <c r="AI292" s="828" t="s">
        <v>261</v>
      </c>
      <c r="AJ29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92" s="846">
        <f>SUM(Tabla1[[#This Row],[PRECIO $ BOLSA 50KG  FOB CDO TUC (IVA INC)]]-Tabla1[[#This Row],[PRECIO REF $ BOLSA 50 KG CACTU (IVA INC)]])</f>
        <v>-4595.5691448045472</v>
      </c>
      <c r="AL292" s="847">
        <f>IFERROR(Tabla1[[#This Row],[PRECIO $ BOLSA 50KG  FOB CDO TUC (IVA INC)]]/Tabla1[[#This Row],[PRECIO REF $ BOLSA 50 KG CACTU (IVA INC)]]-1,"")</f>
        <v>-0.14133689511931558</v>
      </c>
      <c r="AM292" s="846">
        <f>+Tabla1[[#This Row],[DIF $ PRECIO NETO INDUSTRIA vs Neto TUCUMAN (IVA INC)]]*Tabla1[[#This Row],[Q Bolsas Equivalentes 50kg]]</f>
        <v>-3216898.4013631833</v>
      </c>
      <c r="AN292" s="846">
        <f>Tabla1[[#This Row],[PRECIO REF $ BOLSA 50 KG CACTU (IVA INC)]]*Tabla1[[#This Row],[Q Bolsas Equivalentes 50kg]]</f>
        <v>22760500</v>
      </c>
      <c r="AO292" s="846">
        <f>+Tabla1[[#This Row],[PRECIO $ BOLSA 50KG  FOB CDO TUC (IVA INC)]]*Tabla1[[#This Row],[Q Bolsas Equivalentes 50kg]]</f>
        <v>19543601.598636817</v>
      </c>
      <c r="AP292" s="847">
        <v>2.9000000000000001E-2</v>
      </c>
      <c r="AQ292" s="846">
        <v>-68</v>
      </c>
      <c r="AR292" s="848"/>
      <c r="AS292" s="849"/>
      <c r="AT292" s="923">
        <f>+Tabla1[[#This Row],[VENTA TOTAL $ (IVA INC) ]]-(SUM(Tabla1[[#This Row],[PENDIENTE DE ENTREGA]:[VALORES COBRADOS]]))</f>
        <v>0</v>
      </c>
      <c r="AU292" s="850">
        <f>VLOOKUP(Tabla1[[#This Row],[FECHA OC]],'TIPO DE CAMBIO'!A:B,2,TRUE)</f>
        <v>1446.3009999999999</v>
      </c>
      <c r="AV292" s="850">
        <f>+Tabla1[[#This Row],[SUBTOTAL]]/Tabla1[[#This Row],[TIPO DE CAMBIO]]</f>
        <v>11025</v>
      </c>
      <c r="AW292" s="851"/>
      <c r="AX292" s="850">
        <f>IFERROR(Tabla1[[#This Row],[VENTA TOTAL USD A PLAZO EN CLIENTE  (SIN IVA)]]*(1+Tabla1[[#This Row],[% IVA ]]),"")</f>
        <v>11025</v>
      </c>
      <c r="AY292" s="850">
        <f>+Tabla1[[#This Row],[VENTA TOTAL USD A PLAZO EN CLIENTE  (SIN IVA)]]/Tabla1[[#This Row],[KGS]]*1000</f>
        <v>315</v>
      </c>
      <c r="AZ292" s="850">
        <v>0</v>
      </c>
      <c r="BA292" s="850">
        <f>+Tabla1[[#This Row],[GASTOS FINANCIEROS $ BOLSA 50 KG (IVA INC)]]*20/Tabla1[[#This Row],[TIPO DE CAMBIO]]</f>
        <v>4.9361535616438363</v>
      </c>
      <c r="BB292" s="850">
        <f>+Tabla1[[#This Row],[PRECIO POR TN USD EN CLIENTE A PLAZO (SIN IVA)]]+Tabla1[[#This Row],[COSTO USD FLETE /TN (SIN IVA)]]+Tabla1[[#This Row],[COSTO FINANCIERO USD POR BOLSA 50KG (IVA INC)]]</f>
        <v>319.93615356164383</v>
      </c>
      <c r="BC292" s="848">
        <v>5</v>
      </c>
      <c r="BD292" s="944"/>
    </row>
    <row r="293" spans="1:56" ht="15.75" customHeight="1">
      <c r="A293" s="912">
        <v>46204</v>
      </c>
      <c r="B293" s="828">
        <v>1</v>
      </c>
      <c r="C293" s="792" t="s">
        <v>406</v>
      </c>
      <c r="D293" s="829">
        <f>+Tabla1[[#This Row],[FECHA Entrega]]</f>
        <v>46214</v>
      </c>
      <c r="E293" s="830">
        <v>700000869</v>
      </c>
      <c r="F293" s="831" t="s">
        <v>358</v>
      </c>
      <c r="G293" s="832" t="s">
        <v>216</v>
      </c>
      <c r="H293" s="852">
        <v>46214</v>
      </c>
      <c r="I293" s="834">
        <f t="shared" si="117"/>
        <v>35000</v>
      </c>
      <c r="J293" s="835">
        <f>0.315*Tabla1[[#This Row],[TIPO DE CAMBIO]]</f>
        <v>455.58481499999999</v>
      </c>
      <c r="K293" s="836">
        <f t="shared" si="118"/>
        <v>15945468.525</v>
      </c>
      <c r="L29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93" s="837">
        <f t="shared" si="120"/>
        <v>19294016.91525</v>
      </c>
      <c r="N293" s="838"/>
      <c r="O293" s="838">
        <v>0</v>
      </c>
      <c r="P293" s="838">
        <v>0</v>
      </c>
      <c r="Q293" s="839">
        <f>+Tabla1[[#This Row],[VENTA TOTAL $ (IVA INC) ]]-Tabla1[[#This Row],[PENDIENTE DE COBRO]]</f>
        <v>19294016.91525</v>
      </c>
      <c r="R293" s="840">
        <f>+Tabla1[[#This Row],[FECHA FC]]+Tabla1[[#This Row],[PLAZO ENTREGA VALORES]]</f>
        <v>46051</v>
      </c>
      <c r="S293" s="840">
        <f>+Tabla1[[#This Row],[FECHA FC]]+Tabla1[[#This Row],[PLAZO PAGO (DIAS)]]</f>
        <v>46214</v>
      </c>
      <c r="T293" s="834">
        <f t="shared" ca="1" si="119"/>
        <v>33</v>
      </c>
      <c r="U293" s="831">
        <f>+Tabla1[[#This Row],[FECHA OC]]-Tabla1[[#This Row],[FECHA Entrega]]</f>
        <v>-163</v>
      </c>
      <c r="V293" s="831"/>
      <c r="W293" s="841">
        <f>+Tabla1[[#This Row],[FECHA VTO VALORES]]+7</f>
        <v>46221</v>
      </c>
      <c r="X293" s="831" t="s">
        <v>489</v>
      </c>
      <c r="Y293" s="840">
        <v>46051</v>
      </c>
      <c r="Z293" s="842">
        <f>Tabla1[[#This Row],[KGS]]/50</f>
        <v>700</v>
      </c>
      <c r="AA29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93" s="844">
        <f>-Tabla1[[#This Row],[COSTO FLETE $ POR BOLSA 5O KG (SIN IVA)]]*1.21-Tabla1[[#This Row],[PRECIO $/ KG A PLAZO EN CLIENTE ( SIN IVA)]]*0.003*1.21*50</f>
        <v>-0.40864392249999071</v>
      </c>
      <c r="AC293" s="845">
        <f>SUM(Tabla1[[#This Row],[PRECIO $ BOLSA 50 KG (IVA INC) ]]+Tabla1[[#This Row],[COSTO FLETE $ BOLSA 50 KG (IVA INC)]])</f>
        <v>27562.4726635775</v>
      </c>
      <c r="AD293" s="844">
        <f>-Tabla1[[#This Row],[PRECIO $ BOLSA 50 KG (IVA INC) ]]*(Tabla1[[#This Row],[TASA FINANCIACION MENSUAL]]/365)*Tabla1[[#This Row],[PLAZO ENTREGA VALORES]]</f>
        <v>356.95819161795208</v>
      </c>
      <c r="AE293" s="845">
        <f>SUM(Tabla1[[#This Row],[PRECIO $ BOLSA50 KG  FOB TUCUMAN A PLAZO (IVA INC)]]+Tabla1[[#This Row],[GASTOS FINANCIEROS $ BOLSA 50 KG (IVA INC)]])</f>
        <v>27919.430855195453</v>
      </c>
      <c r="AF293" s="828" t="s">
        <v>476</v>
      </c>
      <c r="AG293" s="828" t="s">
        <v>365</v>
      </c>
      <c r="AH293" s="828" t="s">
        <v>387</v>
      </c>
      <c r="AI293" s="828" t="s">
        <v>261</v>
      </c>
      <c r="AJ29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93" s="846">
        <f>SUM(Tabla1[[#This Row],[PRECIO $ BOLSA 50KG  FOB CDO TUC (IVA INC)]]-Tabla1[[#This Row],[PRECIO REF $ BOLSA 50 KG CACTU (IVA INC)]])</f>
        <v>-4595.5691448045472</v>
      </c>
      <c r="AL293" s="847">
        <f>IFERROR(Tabla1[[#This Row],[PRECIO $ BOLSA 50KG  FOB CDO TUC (IVA INC)]]/Tabla1[[#This Row],[PRECIO REF $ BOLSA 50 KG CACTU (IVA INC)]]-1,"")</f>
        <v>-0.14133689511931558</v>
      </c>
      <c r="AM293" s="846">
        <f>+Tabla1[[#This Row],[DIF $ PRECIO NETO INDUSTRIA vs Neto TUCUMAN (IVA INC)]]*Tabla1[[#This Row],[Q Bolsas Equivalentes 50kg]]</f>
        <v>-3216898.4013631833</v>
      </c>
      <c r="AN293" s="846">
        <f>Tabla1[[#This Row],[PRECIO REF $ BOLSA 50 KG CACTU (IVA INC)]]*Tabla1[[#This Row],[Q Bolsas Equivalentes 50kg]]</f>
        <v>22760500</v>
      </c>
      <c r="AO293" s="846">
        <f>+Tabla1[[#This Row],[PRECIO $ BOLSA 50KG  FOB CDO TUC (IVA INC)]]*Tabla1[[#This Row],[Q Bolsas Equivalentes 50kg]]</f>
        <v>19543601.598636817</v>
      </c>
      <c r="AP293" s="847">
        <v>2.9000000000000001E-2</v>
      </c>
      <c r="AQ293" s="846">
        <v>-68</v>
      </c>
      <c r="AR293" s="848"/>
      <c r="AS293" s="849"/>
      <c r="AT293" s="923">
        <f>+Tabla1[[#This Row],[VENTA TOTAL $ (IVA INC) ]]-(SUM(Tabla1[[#This Row],[PENDIENTE DE ENTREGA]:[VALORES COBRADOS]]))</f>
        <v>0</v>
      </c>
      <c r="AU293" s="850">
        <f>VLOOKUP(Tabla1[[#This Row],[FECHA OC]],'TIPO DE CAMBIO'!A:B,2,TRUE)</f>
        <v>1446.3009999999999</v>
      </c>
      <c r="AV293" s="850">
        <f>+Tabla1[[#This Row],[SUBTOTAL]]/Tabla1[[#This Row],[TIPO DE CAMBIO]]</f>
        <v>11025</v>
      </c>
      <c r="AW293" s="851"/>
      <c r="AX293" s="850">
        <f>IFERROR(Tabla1[[#This Row],[VENTA TOTAL USD A PLAZO EN CLIENTE  (SIN IVA)]]*(1+Tabla1[[#This Row],[% IVA ]]),"")</f>
        <v>11025</v>
      </c>
      <c r="AY293" s="850">
        <f>+Tabla1[[#This Row],[VENTA TOTAL USD A PLAZO EN CLIENTE  (SIN IVA)]]/Tabla1[[#This Row],[KGS]]*1000</f>
        <v>315</v>
      </c>
      <c r="AZ293" s="850">
        <v>0</v>
      </c>
      <c r="BA293" s="850">
        <f>+Tabla1[[#This Row],[GASTOS FINANCIEROS $ BOLSA 50 KG (IVA INC)]]*20/Tabla1[[#This Row],[TIPO DE CAMBIO]]</f>
        <v>4.9361535616438363</v>
      </c>
      <c r="BB293" s="850">
        <f>+Tabla1[[#This Row],[PRECIO POR TN USD EN CLIENTE A PLAZO (SIN IVA)]]+Tabla1[[#This Row],[COSTO USD FLETE /TN (SIN IVA)]]+Tabla1[[#This Row],[COSTO FINANCIERO USD POR BOLSA 50KG (IVA INC)]]</f>
        <v>319.93615356164383</v>
      </c>
      <c r="BC293" s="848">
        <v>5</v>
      </c>
      <c r="BD293" s="944"/>
    </row>
    <row r="294" spans="1:56" ht="15.75" customHeight="1">
      <c r="A294" s="912">
        <v>46204</v>
      </c>
      <c r="B294" s="828">
        <v>1</v>
      </c>
      <c r="C294" s="792" t="s">
        <v>406</v>
      </c>
      <c r="D294" s="829">
        <f>+Tabla1[[#This Row],[FECHA Entrega]]</f>
        <v>46215</v>
      </c>
      <c r="E294" s="830">
        <v>700000869</v>
      </c>
      <c r="F294" s="831" t="s">
        <v>358</v>
      </c>
      <c r="G294" s="832" t="s">
        <v>216</v>
      </c>
      <c r="H294" s="852">
        <v>46215</v>
      </c>
      <c r="I294" s="834">
        <f t="shared" si="117"/>
        <v>35000</v>
      </c>
      <c r="J294" s="835">
        <f>0.315*Tabla1[[#This Row],[TIPO DE CAMBIO]]</f>
        <v>455.58481499999999</v>
      </c>
      <c r="K294" s="836">
        <f t="shared" si="118"/>
        <v>15945468.525</v>
      </c>
      <c r="L29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94" s="837">
        <f t="shared" si="120"/>
        <v>19294016.91525</v>
      </c>
      <c r="N294" s="838"/>
      <c r="O294" s="838">
        <v>0</v>
      </c>
      <c r="P294" s="838">
        <v>0</v>
      </c>
      <c r="Q294" s="839">
        <f>+Tabla1[[#This Row],[VENTA TOTAL $ (IVA INC) ]]-Tabla1[[#This Row],[PENDIENTE DE COBRO]]</f>
        <v>19294016.91525</v>
      </c>
      <c r="R294" s="840">
        <f>+Tabla1[[#This Row],[FECHA FC]]+Tabla1[[#This Row],[PLAZO ENTREGA VALORES]]</f>
        <v>46051</v>
      </c>
      <c r="S294" s="840">
        <f>+Tabla1[[#This Row],[FECHA FC]]+Tabla1[[#This Row],[PLAZO PAGO (DIAS)]]</f>
        <v>46215</v>
      </c>
      <c r="T294" s="834">
        <f t="shared" ca="1" si="119"/>
        <v>34</v>
      </c>
      <c r="U294" s="831">
        <f>+Tabla1[[#This Row],[FECHA OC]]-Tabla1[[#This Row],[FECHA Entrega]]</f>
        <v>-164</v>
      </c>
      <c r="V294" s="831"/>
      <c r="W294" s="841">
        <f>+Tabla1[[#This Row],[FECHA VTO VALORES]]+7</f>
        <v>46222</v>
      </c>
      <c r="X294" s="831" t="s">
        <v>489</v>
      </c>
      <c r="Y294" s="840">
        <v>46051</v>
      </c>
      <c r="Z294" s="842">
        <f>Tabla1[[#This Row],[KGS]]/50</f>
        <v>700</v>
      </c>
      <c r="AA29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94" s="844">
        <f>-Tabla1[[#This Row],[COSTO FLETE $ POR BOLSA 5O KG (SIN IVA)]]*1.21-Tabla1[[#This Row],[PRECIO $/ KG A PLAZO EN CLIENTE ( SIN IVA)]]*0.003*1.21*50</f>
        <v>-0.40864392249999071</v>
      </c>
      <c r="AC294" s="845">
        <f>SUM(Tabla1[[#This Row],[PRECIO $ BOLSA 50 KG (IVA INC) ]]+Tabla1[[#This Row],[COSTO FLETE $ BOLSA 50 KG (IVA INC)]])</f>
        <v>27562.4726635775</v>
      </c>
      <c r="AD294" s="844">
        <f>-Tabla1[[#This Row],[PRECIO $ BOLSA 50 KG (IVA INC) ]]*(Tabla1[[#This Row],[TASA FINANCIACION MENSUAL]]/365)*Tabla1[[#This Row],[PLAZO ENTREGA VALORES]]</f>
        <v>359.14811917389039</v>
      </c>
      <c r="AE294" s="845">
        <f>SUM(Tabla1[[#This Row],[PRECIO $ BOLSA50 KG  FOB TUCUMAN A PLAZO (IVA INC)]]+Tabla1[[#This Row],[GASTOS FINANCIEROS $ BOLSA 50 KG (IVA INC)]])</f>
        <v>27921.62078275139</v>
      </c>
      <c r="AF294" s="828" t="s">
        <v>476</v>
      </c>
      <c r="AG294" s="828" t="s">
        <v>365</v>
      </c>
      <c r="AH294" s="828" t="s">
        <v>387</v>
      </c>
      <c r="AI294" s="828" t="s">
        <v>261</v>
      </c>
      <c r="AJ29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94" s="846">
        <f>SUM(Tabla1[[#This Row],[PRECIO $ BOLSA 50KG  FOB CDO TUC (IVA INC)]]-Tabla1[[#This Row],[PRECIO REF $ BOLSA 50 KG CACTU (IVA INC)]])</f>
        <v>-4593.3792172486101</v>
      </c>
      <c r="AL294" s="847">
        <f>IFERROR(Tabla1[[#This Row],[PRECIO $ BOLSA 50KG  FOB CDO TUC (IVA INC)]]/Tabla1[[#This Row],[PRECIO REF $ BOLSA 50 KG CACTU (IVA INC)]]-1,"")</f>
        <v>-0.14126954381819501</v>
      </c>
      <c r="AM294" s="846">
        <f>+Tabla1[[#This Row],[DIF $ PRECIO NETO INDUSTRIA vs Neto TUCUMAN (IVA INC)]]*Tabla1[[#This Row],[Q Bolsas Equivalentes 50kg]]</f>
        <v>-3215365.4520740272</v>
      </c>
      <c r="AN294" s="846">
        <f>Tabla1[[#This Row],[PRECIO REF $ BOLSA 50 KG CACTU (IVA INC)]]*Tabla1[[#This Row],[Q Bolsas Equivalentes 50kg]]</f>
        <v>22760500</v>
      </c>
      <c r="AO294" s="846">
        <f>+Tabla1[[#This Row],[PRECIO $ BOLSA 50KG  FOB CDO TUC (IVA INC)]]*Tabla1[[#This Row],[Q Bolsas Equivalentes 50kg]]</f>
        <v>19545134.547925971</v>
      </c>
      <c r="AP294" s="847">
        <v>2.9000000000000001E-2</v>
      </c>
      <c r="AQ294" s="846">
        <v>-68</v>
      </c>
      <c r="AR294" s="848"/>
      <c r="AS294" s="849"/>
      <c r="AT294" s="923">
        <f>+Tabla1[[#This Row],[VENTA TOTAL $ (IVA INC) ]]-(SUM(Tabla1[[#This Row],[PENDIENTE DE ENTREGA]:[VALORES COBRADOS]]))</f>
        <v>0</v>
      </c>
      <c r="AU294" s="850">
        <f>VLOOKUP(Tabla1[[#This Row],[FECHA OC]],'TIPO DE CAMBIO'!A:B,2,TRUE)</f>
        <v>1446.3009999999999</v>
      </c>
      <c r="AV294" s="850">
        <f>+Tabla1[[#This Row],[SUBTOTAL]]/Tabla1[[#This Row],[TIPO DE CAMBIO]]</f>
        <v>11025</v>
      </c>
      <c r="AW294" s="851"/>
      <c r="AX294" s="850">
        <f>IFERROR(Tabla1[[#This Row],[VENTA TOTAL USD A PLAZO EN CLIENTE  (SIN IVA)]]*(1+Tabla1[[#This Row],[% IVA ]]),"")</f>
        <v>11025</v>
      </c>
      <c r="AY294" s="850">
        <f>+Tabla1[[#This Row],[VENTA TOTAL USD A PLAZO EN CLIENTE  (SIN IVA)]]/Tabla1[[#This Row],[KGS]]*1000</f>
        <v>315</v>
      </c>
      <c r="AZ294" s="850">
        <v>0</v>
      </c>
      <c r="BA294" s="850">
        <f>+Tabla1[[#This Row],[GASTOS FINANCIEROS $ BOLSA 50 KG (IVA INC)]]*20/Tabla1[[#This Row],[TIPO DE CAMBIO]]</f>
        <v>4.9664367123287674</v>
      </c>
      <c r="BB294" s="850">
        <f>+Tabla1[[#This Row],[PRECIO POR TN USD EN CLIENTE A PLAZO (SIN IVA)]]+Tabla1[[#This Row],[COSTO USD FLETE /TN (SIN IVA)]]+Tabla1[[#This Row],[COSTO FINANCIERO USD POR BOLSA 50KG (IVA INC)]]</f>
        <v>319.96643671232874</v>
      </c>
      <c r="BC294" s="848">
        <v>5</v>
      </c>
      <c r="BD294" s="944"/>
    </row>
    <row r="295" spans="1:56" ht="15.75" customHeight="1">
      <c r="A295" s="912">
        <v>46204</v>
      </c>
      <c r="B295" s="828">
        <v>1</v>
      </c>
      <c r="C295" s="792" t="s">
        <v>406</v>
      </c>
      <c r="D295" s="829">
        <f>+Tabla1[[#This Row],[FECHA Entrega]]</f>
        <v>46215</v>
      </c>
      <c r="E295" s="830">
        <v>700000869</v>
      </c>
      <c r="F295" s="831" t="s">
        <v>358</v>
      </c>
      <c r="G295" s="832" t="s">
        <v>216</v>
      </c>
      <c r="H295" s="852">
        <v>46215</v>
      </c>
      <c r="I295" s="834">
        <f t="shared" si="117"/>
        <v>35000</v>
      </c>
      <c r="J295" s="835">
        <f>0.315*Tabla1[[#This Row],[TIPO DE CAMBIO]]</f>
        <v>455.58481499999999</v>
      </c>
      <c r="K295" s="836">
        <f t="shared" si="118"/>
        <v>15945468.525</v>
      </c>
      <c r="L29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95" s="837">
        <f t="shared" si="120"/>
        <v>19294016.91525</v>
      </c>
      <c r="N295" s="838"/>
      <c r="O295" s="838">
        <v>0</v>
      </c>
      <c r="P295" s="838">
        <v>0</v>
      </c>
      <c r="Q295" s="839">
        <f>+Tabla1[[#This Row],[VENTA TOTAL $ (IVA INC) ]]-Tabla1[[#This Row],[PENDIENTE DE COBRO]]</f>
        <v>19294016.91525</v>
      </c>
      <c r="R295" s="840">
        <f>+Tabla1[[#This Row],[FECHA FC]]+Tabla1[[#This Row],[PLAZO ENTREGA VALORES]]</f>
        <v>46051</v>
      </c>
      <c r="S295" s="840">
        <f>+Tabla1[[#This Row],[FECHA FC]]+Tabla1[[#This Row],[PLAZO PAGO (DIAS)]]</f>
        <v>46215</v>
      </c>
      <c r="T295" s="834">
        <f t="shared" ca="1" si="119"/>
        <v>34</v>
      </c>
      <c r="U295" s="831">
        <f>+Tabla1[[#This Row],[FECHA OC]]-Tabla1[[#This Row],[FECHA Entrega]]</f>
        <v>-164</v>
      </c>
      <c r="V295" s="831"/>
      <c r="W295" s="841">
        <f>+Tabla1[[#This Row],[FECHA VTO VALORES]]+7</f>
        <v>46222</v>
      </c>
      <c r="X295" s="831" t="s">
        <v>489</v>
      </c>
      <c r="Y295" s="840">
        <v>46051</v>
      </c>
      <c r="Z295" s="842">
        <f>Tabla1[[#This Row],[KGS]]/50</f>
        <v>700</v>
      </c>
      <c r="AA29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95" s="844">
        <f>-Tabla1[[#This Row],[COSTO FLETE $ POR BOLSA 5O KG (SIN IVA)]]*1.21-Tabla1[[#This Row],[PRECIO $/ KG A PLAZO EN CLIENTE ( SIN IVA)]]*0.003*1.21*50</f>
        <v>-0.40864392249999071</v>
      </c>
      <c r="AC295" s="845">
        <f>SUM(Tabla1[[#This Row],[PRECIO $ BOLSA 50 KG (IVA INC) ]]+Tabla1[[#This Row],[COSTO FLETE $ BOLSA 50 KG (IVA INC)]])</f>
        <v>27562.4726635775</v>
      </c>
      <c r="AD295" s="844">
        <f>-Tabla1[[#This Row],[PRECIO $ BOLSA 50 KG (IVA INC) ]]*(Tabla1[[#This Row],[TASA FINANCIACION MENSUAL]]/365)*Tabla1[[#This Row],[PLAZO ENTREGA VALORES]]</f>
        <v>359.14811917389039</v>
      </c>
      <c r="AE295" s="845">
        <f>SUM(Tabla1[[#This Row],[PRECIO $ BOLSA50 KG  FOB TUCUMAN A PLAZO (IVA INC)]]+Tabla1[[#This Row],[GASTOS FINANCIEROS $ BOLSA 50 KG (IVA INC)]])</f>
        <v>27921.62078275139</v>
      </c>
      <c r="AF295" s="828" t="s">
        <v>476</v>
      </c>
      <c r="AG295" s="828" t="s">
        <v>365</v>
      </c>
      <c r="AH295" s="828" t="s">
        <v>387</v>
      </c>
      <c r="AI295" s="828" t="s">
        <v>261</v>
      </c>
      <c r="AJ29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95" s="846">
        <f>SUM(Tabla1[[#This Row],[PRECIO $ BOLSA 50KG  FOB CDO TUC (IVA INC)]]-Tabla1[[#This Row],[PRECIO REF $ BOLSA 50 KG CACTU (IVA INC)]])</f>
        <v>-4593.3792172486101</v>
      </c>
      <c r="AL295" s="847">
        <f>IFERROR(Tabla1[[#This Row],[PRECIO $ BOLSA 50KG  FOB CDO TUC (IVA INC)]]/Tabla1[[#This Row],[PRECIO REF $ BOLSA 50 KG CACTU (IVA INC)]]-1,"")</f>
        <v>-0.14126954381819501</v>
      </c>
      <c r="AM295" s="846">
        <f>+Tabla1[[#This Row],[DIF $ PRECIO NETO INDUSTRIA vs Neto TUCUMAN (IVA INC)]]*Tabla1[[#This Row],[Q Bolsas Equivalentes 50kg]]</f>
        <v>-3215365.4520740272</v>
      </c>
      <c r="AN295" s="846">
        <f>Tabla1[[#This Row],[PRECIO REF $ BOLSA 50 KG CACTU (IVA INC)]]*Tabla1[[#This Row],[Q Bolsas Equivalentes 50kg]]</f>
        <v>22760500</v>
      </c>
      <c r="AO295" s="846">
        <f>+Tabla1[[#This Row],[PRECIO $ BOLSA 50KG  FOB CDO TUC (IVA INC)]]*Tabla1[[#This Row],[Q Bolsas Equivalentes 50kg]]</f>
        <v>19545134.547925971</v>
      </c>
      <c r="AP295" s="847">
        <v>2.9000000000000001E-2</v>
      </c>
      <c r="AQ295" s="846">
        <v>-68</v>
      </c>
      <c r="AR295" s="848"/>
      <c r="AS295" s="849"/>
      <c r="AT295" s="923">
        <f>+Tabla1[[#This Row],[VENTA TOTAL $ (IVA INC) ]]-(SUM(Tabla1[[#This Row],[PENDIENTE DE ENTREGA]:[VALORES COBRADOS]]))</f>
        <v>0</v>
      </c>
      <c r="AU295" s="850">
        <f>VLOOKUP(Tabla1[[#This Row],[FECHA OC]],'TIPO DE CAMBIO'!A:B,2,TRUE)</f>
        <v>1446.3009999999999</v>
      </c>
      <c r="AV295" s="850">
        <f>+Tabla1[[#This Row],[SUBTOTAL]]/Tabla1[[#This Row],[TIPO DE CAMBIO]]</f>
        <v>11025</v>
      </c>
      <c r="AW295" s="851"/>
      <c r="AX295" s="850">
        <f>IFERROR(Tabla1[[#This Row],[VENTA TOTAL USD A PLAZO EN CLIENTE  (SIN IVA)]]*(1+Tabla1[[#This Row],[% IVA ]]),"")</f>
        <v>11025</v>
      </c>
      <c r="AY295" s="850">
        <f>+Tabla1[[#This Row],[VENTA TOTAL USD A PLAZO EN CLIENTE  (SIN IVA)]]/Tabla1[[#This Row],[KGS]]*1000</f>
        <v>315</v>
      </c>
      <c r="AZ295" s="850">
        <v>0</v>
      </c>
      <c r="BA295" s="850">
        <f>+Tabla1[[#This Row],[GASTOS FINANCIEROS $ BOLSA 50 KG (IVA INC)]]*20/Tabla1[[#This Row],[TIPO DE CAMBIO]]</f>
        <v>4.9664367123287674</v>
      </c>
      <c r="BB295" s="850">
        <f>+Tabla1[[#This Row],[PRECIO POR TN USD EN CLIENTE A PLAZO (SIN IVA)]]+Tabla1[[#This Row],[COSTO USD FLETE /TN (SIN IVA)]]+Tabla1[[#This Row],[COSTO FINANCIERO USD POR BOLSA 50KG (IVA INC)]]</f>
        <v>319.96643671232874</v>
      </c>
      <c r="BC295" s="848">
        <v>5</v>
      </c>
      <c r="BD295" s="944"/>
    </row>
    <row r="296" spans="1:56" ht="15.75" customHeight="1">
      <c r="A296" s="912">
        <v>46204</v>
      </c>
      <c r="B296" s="828">
        <v>1</v>
      </c>
      <c r="C296" s="792" t="s">
        <v>406</v>
      </c>
      <c r="D296" s="829">
        <f>+Tabla1[[#This Row],[FECHA Entrega]]</f>
        <v>46215</v>
      </c>
      <c r="E296" s="830">
        <v>700000869</v>
      </c>
      <c r="F296" s="831" t="s">
        <v>358</v>
      </c>
      <c r="G296" s="832" t="s">
        <v>216</v>
      </c>
      <c r="H296" s="852">
        <v>46215</v>
      </c>
      <c r="I296" s="834">
        <f t="shared" si="117"/>
        <v>35000</v>
      </c>
      <c r="J296" s="835">
        <f>0.315*Tabla1[[#This Row],[TIPO DE CAMBIO]]</f>
        <v>455.58481499999999</v>
      </c>
      <c r="K296" s="836">
        <f t="shared" si="118"/>
        <v>15945468.525</v>
      </c>
      <c r="L29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96" s="837">
        <f t="shared" si="120"/>
        <v>19294016.91525</v>
      </c>
      <c r="N296" s="838"/>
      <c r="O296" s="838">
        <v>0</v>
      </c>
      <c r="P296" s="838">
        <v>0</v>
      </c>
      <c r="Q296" s="839">
        <f>+Tabla1[[#This Row],[VENTA TOTAL $ (IVA INC) ]]-Tabla1[[#This Row],[PENDIENTE DE COBRO]]</f>
        <v>19294016.91525</v>
      </c>
      <c r="R296" s="840">
        <f>+Tabla1[[#This Row],[FECHA FC]]+Tabla1[[#This Row],[PLAZO ENTREGA VALORES]]</f>
        <v>46051</v>
      </c>
      <c r="S296" s="840">
        <f>+Tabla1[[#This Row],[FECHA FC]]+Tabla1[[#This Row],[PLAZO PAGO (DIAS)]]</f>
        <v>46215</v>
      </c>
      <c r="T296" s="834">
        <f t="shared" ca="1" si="119"/>
        <v>34</v>
      </c>
      <c r="U296" s="831">
        <f>+Tabla1[[#This Row],[FECHA OC]]-Tabla1[[#This Row],[FECHA Entrega]]</f>
        <v>-164</v>
      </c>
      <c r="V296" s="831"/>
      <c r="W296" s="841">
        <f>+Tabla1[[#This Row],[FECHA VTO VALORES]]+7</f>
        <v>46222</v>
      </c>
      <c r="X296" s="831" t="s">
        <v>489</v>
      </c>
      <c r="Y296" s="840">
        <v>46051</v>
      </c>
      <c r="Z296" s="842">
        <f>Tabla1[[#This Row],[KGS]]/50</f>
        <v>700</v>
      </c>
      <c r="AA29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96" s="844">
        <f>-Tabla1[[#This Row],[COSTO FLETE $ POR BOLSA 5O KG (SIN IVA)]]*1.21-Tabla1[[#This Row],[PRECIO $/ KG A PLAZO EN CLIENTE ( SIN IVA)]]*0.003*1.21*50</f>
        <v>-0.40864392249999071</v>
      </c>
      <c r="AC296" s="845">
        <f>SUM(Tabla1[[#This Row],[PRECIO $ BOLSA 50 KG (IVA INC) ]]+Tabla1[[#This Row],[COSTO FLETE $ BOLSA 50 KG (IVA INC)]])</f>
        <v>27562.4726635775</v>
      </c>
      <c r="AD296" s="844">
        <f>-Tabla1[[#This Row],[PRECIO $ BOLSA 50 KG (IVA INC) ]]*(Tabla1[[#This Row],[TASA FINANCIACION MENSUAL]]/365)*Tabla1[[#This Row],[PLAZO ENTREGA VALORES]]</f>
        <v>359.14811917389039</v>
      </c>
      <c r="AE296" s="845">
        <f>SUM(Tabla1[[#This Row],[PRECIO $ BOLSA50 KG  FOB TUCUMAN A PLAZO (IVA INC)]]+Tabla1[[#This Row],[GASTOS FINANCIEROS $ BOLSA 50 KG (IVA INC)]])</f>
        <v>27921.62078275139</v>
      </c>
      <c r="AF296" s="828" t="s">
        <v>476</v>
      </c>
      <c r="AG296" s="828" t="s">
        <v>365</v>
      </c>
      <c r="AH296" s="828" t="s">
        <v>387</v>
      </c>
      <c r="AI296" s="828" t="s">
        <v>261</v>
      </c>
      <c r="AJ29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96" s="846">
        <f>SUM(Tabla1[[#This Row],[PRECIO $ BOLSA 50KG  FOB CDO TUC (IVA INC)]]-Tabla1[[#This Row],[PRECIO REF $ BOLSA 50 KG CACTU (IVA INC)]])</f>
        <v>-4593.3792172486101</v>
      </c>
      <c r="AL296" s="847">
        <f>IFERROR(Tabla1[[#This Row],[PRECIO $ BOLSA 50KG  FOB CDO TUC (IVA INC)]]/Tabla1[[#This Row],[PRECIO REF $ BOLSA 50 KG CACTU (IVA INC)]]-1,"")</f>
        <v>-0.14126954381819501</v>
      </c>
      <c r="AM296" s="846">
        <f>+Tabla1[[#This Row],[DIF $ PRECIO NETO INDUSTRIA vs Neto TUCUMAN (IVA INC)]]*Tabla1[[#This Row],[Q Bolsas Equivalentes 50kg]]</f>
        <v>-3215365.4520740272</v>
      </c>
      <c r="AN296" s="846">
        <f>Tabla1[[#This Row],[PRECIO REF $ BOLSA 50 KG CACTU (IVA INC)]]*Tabla1[[#This Row],[Q Bolsas Equivalentes 50kg]]</f>
        <v>22760500</v>
      </c>
      <c r="AO296" s="846">
        <f>+Tabla1[[#This Row],[PRECIO $ BOLSA 50KG  FOB CDO TUC (IVA INC)]]*Tabla1[[#This Row],[Q Bolsas Equivalentes 50kg]]</f>
        <v>19545134.547925971</v>
      </c>
      <c r="AP296" s="847">
        <v>2.9000000000000001E-2</v>
      </c>
      <c r="AQ296" s="846">
        <v>-68</v>
      </c>
      <c r="AR296" s="848"/>
      <c r="AS296" s="849"/>
      <c r="AT296" s="923">
        <f>+Tabla1[[#This Row],[VENTA TOTAL $ (IVA INC) ]]-(SUM(Tabla1[[#This Row],[PENDIENTE DE ENTREGA]:[VALORES COBRADOS]]))</f>
        <v>0</v>
      </c>
      <c r="AU296" s="850">
        <f>VLOOKUP(Tabla1[[#This Row],[FECHA OC]],'TIPO DE CAMBIO'!A:B,2,TRUE)</f>
        <v>1446.3009999999999</v>
      </c>
      <c r="AV296" s="850">
        <f>+Tabla1[[#This Row],[SUBTOTAL]]/Tabla1[[#This Row],[TIPO DE CAMBIO]]</f>
        <v>11025</v>
      </c>
      <c r="AW296" s="851"/>
      <c r="AX296" s="850">
        <f>IFERROR(Tabla1[[#This Row],[VENTA TOTAL USD A PLAZO EN CLIENTE  (SIN IVA)]]*(1+Tabla1[[#This Row],[% IVA ]]),"")</f>
        <v>11025</v>
      </c>
      <c r="AY296" s="850">
        <f>+Tabla1[[#This Row],[VENTA TOTAL USD A PLAZO EN CLIENTE  (SIN IVA)]]/Tabla1[[#This Row],[KGS]]*1000</f>
        <v>315</v>
      </c>
      <c r="AZ296" s="850">
        <v>0</v>
      </c>
      <c r="BA296" s="850">
        <f>+Tabla1[[#This Row],[GASTOS FINANCIEROS $ BOLSA 50 KG (IVA INC)]]*20/Tabla1[[#This Row],[TIPO DE CAMBIO]]</f>
        <v>4.9664367123287674</v>
      </c>
      <c r="BB296" s="850">
        <f>+Tabla1[[#This Row],[PRECIO POR TN USD EN CLIENTE A PLAZO (SIN IVA)]]+Tabla1[[#This Row],[COSTO USD FLETE /TN (SIN IVA)]]+Tabla1[[#This Row],[COSTO FINANCIERO USD POR BOLSA 50KG (IVA INC)]]</f>
        <v>319.96643671232874</v>
      </c>
      <c r="BC296" s="848">
        <v>5</v>
      </c>
      <c r="BD296" s="944"/>
    </row>
    <row r="297" spans="1:56" ht="15.75" customHeight="1">
      <c r="A297" s="912">
        <v>46204</v>
      </c>
      <c r="B297" s="828">
        <v>1</v>
      </c>
      <c r="C297" s="792" t="s">
        <v>406</v>
      </c>
      <c r="D297" s="829">
        <f>+Tabla1[[#This Row],[FECHA Entrega]]</f>
        <v>46216</v>
      </c>
      <c r="E297" s="830">
        <v>700000869</v>
      </c>
      <c r="F297" s="831" t="s">
        <v>358</v>
      </c>
      <c r="G297" s="832" t="s">
        <v>216</v>
      </c>
      <c r="H297" s="852">
        <v>46216</v>
      </c>
      <c r="I297" s="834">
        <f t="shared" si="117"/>
        <v>35000</v>
      </c>
      <c r="J297" s="835">
        <f>0.315*Tabla1[[#This Row],[TIPO DE CAMBIO]]</f>
        <v>455.58481499999999</v>
      </c>
      <c r="K297" s="836">
        <f t="shared" si="118"/>
        <v>15945468.525</v>
      </c>
      <c r="L29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97" s="837">
        <f t="shared" si="120"/>
        <v>19294016.91525</v>
      </c>
      <c r="N297" s="838"/>
      <c r="O297" s="838">
        <v>0</v>
      </c>
      <c r="P297" s="838">
        <v>0</v>
      </c>
      <c r="Q297" s="839">
        <f>+Tabla1[[#This Row],[VENTA TOTAL $ (IVA INC) ]]-Tabla1[[#This Row],[PENDIENTE DE COBRO]]</f>
        <v>19294016.91525</v>
      </c>
      <c r="R297" s="840">
        <f>+Tabla1[[#This Row],[FECHA FC]]+Tabla1[[#This Row],[PLAZO ENTREGA VALORES]]</f>
        <v>46051</v>
      </c>
      <c r="S297" s="840">
        <f>+Tabla1[[#This Row],[FECHA FC]]+Tabla1[[#This Row],[PLAZO PAGO (DIAS)]]</f>
        <v>46216</v>
      </c>
      <c r="T297" s="834">
        <f t="shared" ca="1" si="119"/>
        <v>35</v>
      </c>
      <c r="U297" s="831">
        <f>+Tabla1[[#This Row],[FECHA OC]]-Tabla1[[#This Row],[FECHA Entrega]]</f>
        <v>-165</v>
      </c>
      <c r="V297" s="831"/>
      <c r="W297" s="841">
        <f>+Tabla1[[#This Row],[FECHA VTO VALORES]]+7</f>
        <v>46223</v>
      </c>
      <c r="X297" s="831" t="s">
        <v>489</v>
      </c>
      <c r="Y297" s="840">
        <v>46051</v>
      </c>
      <c r="Z297" s="842">
        <f>Tabla1[[#This Row],[KGS]]/50</f>
        <v>700</v>
      </c>
      <c r="AA29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97" s="844">
        <f>-Tabla1[[#This Row],[COSTO FLETE $ POR BOLSA 5O KG (SIN IVA)]]*1.21-Tabla1[[#This Row],[PRECIO $/ KG A PLAZO EN CLIENTE ( SIN IVA)]]*0.003*1.21*50</f>
        <v>-0.40864392249999071</v>
      </c>
      <c r="AC297" s="845">
        <f>SUM(Tabla1[[#This Row],[PRECIO $ BOLSA 50 KG (IVA INC) ]]+Tabla1[[#This Row],[COSTO FLETE $ BOLSA 50 KG (IVA INC)]])</f>
        <v>27562.4726635775</v>
      </c>
      <c r="AD297" s="844">
        <f>-Tabla1[[#This Row],[PRECIO $ BOLSA 50 KG (IVA INC) ]]*(Tabla1[[#This Row],[TASA FINANCIACION MENSUAL]]/365)*Tabla1[[#This Row],[PLAZO ENTREGA VALORES]]</f>
        <v>361.33804672982876</v>
      </c>
      <c r="AE297" s="845">
        <f>SUM(Tabla1[[#This Row],[PRECIO $ BOLSA50 KG  FOB TUCUMAN A PLAZO (IVA INC)]]+Tabla1[[#This Row],[GASTOS FINANCIEROS $ BOLSA 50 KG (IVA INC)]])</f>
        <v>27923.810710307331</v>
      </c>
      <c r="AF297" s="828" t="s">
        <v>476</v>
      </c>
      <c r="AG297" s="828" t="s">
        <v>365</v>
      </c>
      <c r="AH297" s="828" t="s">
        <v>387</v>
      </c>
      <c r="AI297" s="828" t="s">
        <v>261</v>
      </c>
      <c r="AJ29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97" s="846">
        <f>SUM(Tabla1[[#This Row],[PRECIO $ BOLSA 50KG  FOB CDO TUC (IVA INC)]]-Tabla1[[#This Row],[PRECIO REF $ BOLSA 50 KG CACTU (IVA INC)]])</f>
        <v>-4591.1892896926693</v>
      </c>
      <c r="AL297" s="847">
        <f>IFERROR(Tabla1[[#This Row],[PRECIO $ BOLSA 50KG  FOB CDO TUC (IVA INC)]]/Tabla1[[#This Row],[PRECIO REF $ BOLSA 50 KG CACTU (IVA INC)]]-1,"")</f>
        <v>-0.14120219251707422</v>
      </c>
      <c r="AM297" s="846">
        <f>+Tabla1[[#This Row],[DIF $ PRECIO NETO INDUSTRIA vs Neto TUCUMAN (IVA INC)]]*Tabla1[[#This Row],[Q Bolsas Equivalentes 50kg]]</f>
        <v>-3213832.5027848687</v>
      </c>
      <c r="AN297" s="846">
        <f>Tabla1[[#This Row],[PRECIO REF $ BOLSA 50 KG CACTU (IVA INC)]]*Tabla1[[#This Row],[Q Bolsas Equivalentes 50kg]]</f>
        <v>22760500</v>
      </c>
      <c r="AO297" s="846">
        <f>+Tabla1[[#This Row],[PRECIO $ BOLSA 50KG  FOB CDO TUC (IVA INC)]]*Tabla1[[#This Row],[Q Bolsas Equivalentes 50kg]]</f>
        <v>19546667.497215133</v>
      </c>
      <c r="AP297" s="847">
        <v>2.9000000000000001E-2</v>
      </c>
      <c r="AQ297" s="846">
        <v>-68</v>
      </c>
      <c r="AR297" s="848"/>
      <c r="AS297" s="849"/>
      <c r="AT297" s="923">
        <f>+Tabla1[[#This Row],[VENTA TOTAL $ (IVA INC) ]]-(SUM(Tabla1[[#This Row],[PENDIENTE DE ENTREGA]:[VALORES COBRADOS]]))</f>
        <v>0</v>
      </c>
      <c r="AU297" s="850">
        <f>VLOOKUP(Tabla1[[#This Row],[FECHA OC]],'TIPO DE CAMBIO'!A:B,2,TRUE)</f>
        <v>1446.3009999999999</v>
      </c>
      <c r="AV297" s="850">
        <f>+Tabla1[[#This Row],[SUBTOTAL]]/Tabla1[[#This Row],[TIPO DE CAMBIO]]</f>
        <v>11025</v>
      </c>
      <c r="AW297" s="851"/>
      <c r="AX297" s="850">
        <f>IFERROR(Tabla1[[#This Row],[VENTA TOTAL USD A PLAZO EN CLIENTE  (SIN IVA)]]*(1+Tabla1[[#This Row],[% IVA ]]),"")</f>
        <v>11025</v>
      </c>
      <c r="AY297" s="850">
        <f>+Tabla1[[#This Row],[VENTA TOTAL USD A PLAZO EN CLIENTE  (SIN IVA)]]/Tabla1[[#This Row],[KGS]]*1000</f>
        <v>315</v>
      </c>
      <c r="AZ297" s="850">
        <v>0</v>
      </c>
      <c r="BA297" s="850">
        <f>+Tabla1[[#This Row],[GASTOS FINANCIEROS $ BOLSA 50 KG (IVA INC)]]*20/Tabla1[[#This Row],[TIPO DE CAMBIO]]</f>
        <v>4.9967198630136993</v>
      </c>
      <c r="BB297" s="850">
        <f>+Tabla1[[#This Row],[PRECIO POR TN USD EN CLIENTE A PLAZO (SIN IVA)]]+Tabla1[[#This Row],[COSTO USD FLETE /TN (SIN IVA)]]+Tabla1[[#This Row],[COSTO FINANCIERO USD POR BOLSA 50KG (IVA INC)]]</f>
        <v>319.99671986301371</v>
      </c>
      <c r="BC297" s="848">
        <v>5</v>
      </c>
      <c r="BD297" s="944"/>
    </row>
    <row r="298" spans="1:56" ht="15.75" customHeight="1">
      <c r="A298" s="912">
        <v>46204</v>
      </c>
      <c r="B298" s="828">
        <v>1</v>
      </c>
      <c r="C298" s="792" t="s">
        <v>406</v>
      </c>
      <c r="D298" s="829">
        <f>+Tabla1[[#This Row],[FECHA Entrega]]</f>
        <v>46216</v>
      </c>
      <c r="E298" s="830">
        <v>700000869</v>
      </c>
      <c r="F298" s="831" t="s">
        <v>358</v>
      </c>
      <c r="G298" s="832" t="s">
        <v>216</v>
      </c>
      <c r="H298" s="852">
        <v>46216</v>
      </c>
      <c r="I298" s="834">
        <f t="shared" si="117"/>
        <v>35000</v>
      </c>
      <c r="J298" s="835">
        <f>0.315*Tabla1[[#This Row],[TIPO DE CAMBIO]]</f>
        <v>455.58481499999999</v>
      </c>
      <c r="K298" s="836">
        <f t="shared" si="118"/>
        <v>15945468.525</v>
      </c>
      <c r="L29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98" s="837">
        <f t="shared" si="120"/>
        <v>19294016.91525</v>
      </c>
      <c r="N298" s="838"/>
      <c r="O298" s="838">
        <v>0</v>
      </c>
      <c r="P298" s="838">
        <v>0</v>
      </c>
      <c r="Q298" s="839">
        <f>+Tabla1[[#This Row],[VENTA TOTAL $ (IVA INC) ]]-Tabla1[[#This Row],[PENDIENTE DE COBRO]]</f>
        <v>19294016.91525</v>
      </c>
      <c r="R298" s="840">
        <f>+Tabla1[[#This Row],[FECHA FC]]+Tabla1[[#This Row],[PLAZO ENTREGA VALORES]]</f>
        <v>46051</v>
      </c>
      <c r="S298" s="840">
        <f>+Tabla1[[#This Row],[FECHA FC]]+Tabla1[[#This Row],[PLAZO PAGO (DIAS)]]</f>
        <v>46216</v>
      </c>
      <c r="T298" s="834">
        <f t="shared" ca="1" si="119"/>
        <v>35</v>
      </c>
      <c r="U298" s="831">
        <f>+Tabla1[[#This Row],[FECHA OC]]-Tabla1[[#This Row],[FECHA Entrega]]</f>
        <v>-165</v>
      </c>
      <c r="V298" s="831"/>
      <c r="W298" s="841">
        <f>+Tabla1[[#This Row],[FECHA VTO VALORES]]+7</f>
        <v>46223</v>
      </c>
      <c r="X298" s="831" t="s">
        <v>489</v>
      </c>
      <c r="Y298" s="840">
        <v>46051</v>
      </c>
      <c r="Z298" s="842">
        <f>Tabla1[[#This Row],[KGS]]/50</f>
        <v>700</v>
      </c>
      <c r="AA29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98" s="844">
        <f>-Tabla1[[#This Row],[COSTO FLETE $ POR BOLSA 5O KG (SIN IVA)]]*1.21-Tabla1[[#This Row],[PRECIO $/ KG A PLAZO EN CLIENTE ( SIN IVA)]]*0.003*1.21*50</f>
        <v>-0.40864392249999071</v>
      </c>
      <c r="AC298" s="845">
        <f>SUM(Tabla1[[#This Row],[PRECIO $ BOLSA 50 KG (IVA INC) ]]+Tabla1[[#This Row],[COSTO FLETE $ BOLSA 50 KG (IVA INC)]])</f>
        <v>27562.4726635775</v>
      </c>
      <c r="AD298" s="844">
        <f>-Tabla1[[#This Row],[PRECIO $ BOLSA 50 KG (IVA INC) ]]*(Tabla1[[#This Row],[TASA FINANCIACION MENSUAL]]/365)*Tabla1[[#This Row],[PLAZO ENTREGA VALORES]]</f>
        <v>361.33804672982876</v>
      </c>
      <c r="AE298" s="845">
        <f>SUM(Tabla1[[#This Row],[PRECIO $ BOLSA50 KG  FOB TUCUMAN A PLAZO (IVA INC)]]+Tabla1[[#This Row],[GASTOS FINANCIEROS $ BOLSA 50 KG (IVA INC)]])</f>
        <v>27923.810710307331</v>
      </c>
      <c r="AF298" s="828" t="s">
        <v>476</v>
      </c>
      <c r="AG298" s="828" t="s">
        <v>365</v>
      </c>
      <c r="AH298" s="828" t="s">
        <v>387</v>
      </c>
      <c r="AI298" s="828" t="s">
        <v>261</v>
      </c>
      <c r="AJ29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98" s="846">
        <f>SUM(Tabla1[[#This Row],[PRECIO $ BOLSA 50KG  FOB CDO TUC (IVA INC)]]-Tabla1[[#This Row],[PRECIO REF $ BOLSA 50 KG CACTU (IVA INC)]])</f>
        <v>-4591.1892896926693</v>
      </c>
      <c r="AL298" s="847">
        <f>IFERROR(Tabla1[[#This Row],[PRECIO $ BOLSA 50KG  FOB CDO TUC (IVA INC)]]/Tabla1[[#This Row],[PRECIO REF $ BOLSA 50 KG CACTU (IVA INC)]]-1,"")</f>
        <v>-0.14120219251707422</v>
      </c>
      <c r="AM298" s="846">
        <f>+Tabla1[[#This Row],[DIF $ PRECIO NETO INDUSTRIA vs Neto TUCUMAN (IVA INC)]]*Tabla1[[#This Row],[Q Bolsas Equivalentes 50kg]]</f>
        <v>-3213832.5027848687</v>
      </c>
      <c r="AN298" s="846">
        <f>Tabla1[[#This Row],[PRECIO REF $ BOLSA 50 KG CACTU (IVA INC)]]*Tabla1[[#This Row],[Q Bolsas Equivalentes 50kg]]</f>
        <v>22760500</v>
      </c>
      <c r="AO298" s="846">
        <f>+Tabla1[[#This Row],[PRECIO $ BOLSA 50KG  FOB CDO TUC (IVA INC)]]*Tabla1[[#This Row],[Q Bolsas Equivalentes 50kg]]</f>
        <v>19546667.497215133</v>
      </c>
      <c r="AP298" s="847">
        <v>2.9000000000000001E-2</v>
      </c>
      <c r="AQ298" s="846">
        <v>-68</v>
      </c>
      <c r="AR298" s="848"/>
      <c r="AS298" s="849"/>
      <c r="AT298" s="923">
        <f>+Tabla1[[#This Row],[VENTA TOTAL $ (IVA INC) ]]-(SUM(Tabla1[[#This Row],[PENDIENTE DE ENTREGA]:[VALORES COBRADOS]]))</f>
        <v>0</v>
      </c>
      <c r="AU298" s="850">
        <f>VLOOKUP(Tabla1[[#This Row],[FECHA OC]],'TIPO DE CAMBIO'!A:B,2,TRUE)</f>
        <v>1446.3009999999999</v>
      </c>
      <c r="AV298" s="850">
        <f>+Tabla1[[#This Row],[SUBTOTAL]]/Tabla1[[#This Row],[TIPO DE CAMBIO]]</f>
        <v>11025</v>
      </c>
      <c r="AW298" s="851"/>
      <c r="AX298" s="850">
        <f>IFERROR(Tabla1[[#This Row],[VENTA TOTAL USD A PLAZO EN CLIENTE  (SIN IVA)]]*(1+Tabla1[[#This Row],[% IVA ]]),"")</f>
        <v>11025</v>
      </c>
      <c r="AY298" s="850">
        <f>+Tabla1[[#This Row],[VENTA TOTAL USD A PLAZO EN CLIENTE  (SIN IVA)]]/Tabla1[[#This Row],[KGS]]*1000</f>
        <v>315</v>
      </c>
      <c r="AZ298" s="850">
        <v>0</v>
      </c>
      <c r="BA298" s="850">
        <f>+Tabla1[[#This Row],[GASTOS FINANCIEROS $ BOLSA 50 KG (IVA INC)]]*20/Tabla1[[#This Row],[TIPO DE CAMBIO]]</f>
        <v>4.9967198630136993</v>
      </c>
      <c r="BB298" s="850">
        <f>+Tabla1[[#This Row],[PRECIO POR TN USD EN CLIENTE A PLAZO (SIN IVA)]]+Tabla1[[#This Row],[COSTO USD FLETE /TN (SIN IVA)]]+Tabla1[[#This Row],[COSTO FINANCIERO USD POR BOLSA 50KG (IVA INC)]]</f>
        <v>319.99671986301371</v>
      </c>
      <c r="BC298" s="848">
        <v>5</v>
      </c>
      <c r="BD298" s="944"/>
    </row>
    <row r="299" spans="1:56" ht="15.75" customHeight="1">
      <c r="A299" s="912">
        <v>46204</v>
      </c>
      <c r="B299" s="828">
        <v>1</v>
      </c>
      <c r="C299" s="792" t="s">
        <v>406</v>
      </c>
      <c r="D299" s="829">
        <f>+Tabla1[[#This Row],[FECHA Entrega]]</f>
        <v>46216</v>
      </c>
      <c r="E299" s="830">
        <v>700000869</v>
      </c>
      <c r="F299" s="831" t="s">
        <v>358</v>
      </c>
      <c r="G299" s="832" t="s">
        <v>216</v>
      </c>
      <c r="H299" s="852">
        <v>46216</v>
      </c>
      <c r="I299" s="834">
        <f t="shared" si="117"/>
        <v>35000</v>
      </c>
      <c r="J299" s="835">
        <f>0.315*Tabla1[[#This Row],[TIPO DE CAMBIO]]</f>
        <v>455.58481499999999</v>
      </c>
      <c r="K299" s="836">
        <f t="shared" si="118"/>
        <v>15945468.525</v>
      </c>
      <c r="L29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299" s="837">
        <f t="shared" si="120"/>
        <v>19294016.91525</v>
      </c>
      <c r="N299" s="838"/>
      <c r="O299" s="838">
        <v>0</v>
      </c>
      <c r="P299" s="838">
        <v>0</v>
      </c>
      <c r="Q299" s="839">
        <f>+Tabla1[[#This Row],[VENTA TOTAL $ (IVA INC) ]]-Tabla1[[#This Row],[PENDIENTE DE COBRO]]</f>
        <v>19294016.91525</v>
      </c>
      <c r="R299" s="840">
        <f>+Tabla1[[#This Row],[FECHA FC]]+Tabla1[[#This Row],[PLAZO ENTREGA VALORES]]</f>
        <v>46051</v>
      </c>
      <c r="S299" s="840">
        <f>+Tabla1[[#This Row],[FECHA FC]]+Tabla1[[#This Row],[PLAZO PAGO (DIAS)]]</f>
        <v>46216</v>
      </c>
      <c r="T299" s="834">
        <f t="shared" ca="1" si="119"/>
        <v>35</v>
      </c>
      <c r="U299" s="831">
        <f>+Tabla1[[#This Row],[FECHA OC]]-Tabla1[[#This Row],[FECHA Entrega]]</f>
        <v>-165</v>
      </c>
      <c r="V299" s="831"/>
      <c r="W299" s="841">
        <f>+Tabla1[[#This Row],[FECHA VTO VALORES]]+7</f>
        <v>46223</v>
      </c>
      <c r="X299" s="831" t="s">
        <v>489</v>
      </c>
      <c r="Y299" s="840">
        <v>46051</v>
      </c>
      <c r="Z299" s="842">
        <f>Tabla1[[#This Row],[KGS]]/50</f>
        <v>700</v>
      </c>
      <c r="AA29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299" s="844">
        <f>-Tabla1[[#This Row],[COSTO FLETE $ POR BOLSA 5O KG (SIN IVA)]]*1.21-Tabla1[[#This Row],[PRECIO $/ KG A PLAZO EN CLIENTE ( SIN IVA)]]*0.003*1.21*50</f>
        <v>-0.40864392249999071</v>
      </c>
      <c r="AC299" s="845">
        <f>SUM(Tabla1[[#This Row],[PRECIO $ BOLSA 50 KG (IVA INC) ]]+Tabla1[[#This Row],[COSTO FLETE $ BOLSA 50 KG (IVA INC)]])</f>
        <v>27562.4726635775</v>
      </c>
      <c r="AD299" s="844">
        <f>-Tabla1[[#This Row],[PRECIO $ BOLSA 50 KG (IVA INC) ]]*(Tabla1[[#This Row],[TASA FINANCIACION MENSUAL]]/365)*Tabla1[[#This Row],[PLAZO ENTREGA VALORES]]</f>
        <v>361.33804672982876</v>
      </c>
      <c r="AE299" s="845">
        <f>SUM(Tabla1[[#This Row],[PRECIO $ BOLSA50 KG  FOB TUCUMAN A PLAZO (IVA INC)]]+Tabla1[[#This Row],[GASTOS FINANCIEROS $ BOLSA 50 KG (IVA INC)]])</f>
        <v>27923.810710307331</v>
      </c>
      <c r="AF299" s="828" t="s">
        <v>476</v>
      </c>
      <c r="AG299" s="828" t="s">
        <v>365</v>
      </c>
      <c r="AH299" s="828" t="s">
        <v>387</v>
      </c>
      <c r="AI299" s="828" t="s">
        <v>261</v>
      </c>
      <c r="AJ29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299" s="846">
        <f>SUM(Tabla1[[#This Row],[PRECIO $ BOLSA 50KG  FOB CDO TUC (IVA INC)]]-Tabla1[[#This Row],[PRECIO REF $ BOLSA 50 KG CACTU (IVA INC)]])</f>
        <v>-4591.1892896926693</v>
      </c>
      <c r="AL299" s="847">
        <f>IFERROR(Tabla1[[#This Row],[PRECIO $ BOLSA 50KG  FOB CDO TUC (IVA INC)]]/Tabla1[[#This Row],[PRECIO REF $ BOLSA 50 KG CACTU (IVA INC)]]-1,"")</f>
        <v>-0.14120219251707422</v>
      </c>
      <c r="AM299" s="846">
        <f>+Tabla1[[#This Row],[DIF $ PRECIO NETO INDUSTRIA vs Neto TUCUMAN (IVA INC)]]*Tabla1[[#This Row],[Q Bolsas Equivalentes 50kg]]</f>
        <v>-3213832.5027848687</v>
      </c>
      <c r="AN299" s="846">
        <f>Tabla1[[#This Row],[PRECIO REF $ BOLSA 50 KG CACTU (IVA INC)]]*Tabla1[[#This Row],[Q Bolsas Equivalentes 50kg]]</f>
        <v>22760500</v>
      </c>
      <c r="AO299" s="846">
        <f>+Tabla1[[#This Row],[PRECIO $ BOLSA 50KG  FOB CDO TUC (IVA INC)]]*Tabla1[[#This Row],[Q Bolsas Equivalentes 50kg]]</f>
        <v>19546667.497215133</v>
      </c>
      <c r="AP299" s="847">
        <v>2.9000000000000001E-2</v>
      </c>
      <c r="AQ299" s="846">
        <v>-68</v>
      </c>
      <c r="AR299" s="848"/>
      <c r="AS299" s="849"/>
      <c r="AT299" s="923">
        <f>+Tabla1[[#This Row],[VENTA TOTAL $ (IVA INC) ]]-(SUM(Tabla1[[#This Row],[PENDIENTE DE ENTREGA]:[VALORES COBRADOS]]))</f>
        <v>0</v>
      </c>
      <c r="AU299" s="850">
        <f>VLOOKUP(Tabla1[[#This Row],[FECHA OC]],'TIPO DE CAMBIO'!A:B,2,TRUE)</f>
        <v>1446.3009999999999</v>
      </c>
      <c r="AV299" s="850">
        <f>+Tabla1[[#This Row],[SUBTOTAL]]/Tabla1[[#This Row],[TIPO DE CAMBIO]]</f>
        <v>11025</v>
      </c>
      <c r="AW299" s="851"/>
      <c r="AX299" s="850">
        <f>IFERROR(Tabla1[[#This Row],[VENTA TOTAL USD A PLAZO EN CLIENTE  (SIN IVA)]]*(1+Tabla1[[#This Row],[% IVA ]]),"")</f>
        <v>11025</v>
      </c>
      <c r="AY299" s="850">
        <f>+Tabla1[[#This Row],[VENTA TOTAL USD A PLAZO EN CLIENTE  (SIN IVA)]]/Tabla1[[#This Row],[KGS]]*1000</f>
        <v>315</v>
      </c>
      <c r="AZ299" s="850">
        <v>0</v>
      </c>
      <c r="BA299" s="850">
        <f>+Tabla1[[#This Row],[GASTOS FINANCIEROS $ BOLSA 50 KG (IVA INC)]]*20/Tabla1[[#This Row],[TIPO DE CAMBIO]]</f>
        <v>4.9967198630136993</v>
      </c>
      <c r="BB299" s="850">
        <f>+Tabla1[[#This Row],[PRECIO POR TN USD EN CLIENTE A PLAZO (SIN IVA)]]+Tabla1[[#This Row],[COSTO USD FLETE /TN (SIN IVA)]]+Tabla1[[#This Row],[COSTO FINANCIERO USD POR BOLSA 50KG (IVA INC)]]</f>
        <v>319.99671986301371</v>
      </c>
      <c r="BC299" s="848">
        <v>5</v>
      </c>
      <c r="BD299" s="944"/>
    </row>
    <row r="300" spans="1:56" ht="15.75" customHeight="1">
      <c r="A300" s="912">
        <v>46204</v>
      </c>
      <c r="B300" s="828">
        <v>1</v>
      </c>
      <c r="C300" s="792" t="s">
        <v>406</v>
      </c>
      <c r="D300" s="829">
        <f>+Tabla1[[#This Row],[FECHA Entrega]]</f>
        <v>46216</v>
      </c>
      <c r="E300" s="830">
        <v>700000869</v>
      </c>
      <c r="F300" s="831" t="s">
        <v>358</v>
      </c>
      <c r="G300" s="832" t="s">
        <v>216</v>
      </c>
      <c r="H300" s="852">
        <v>46216</v>
      </c>
      <c r="I300" s="834">
        <f t="shared" si="117"/>
        <v>35000</v>
      </c>
      <c r="J300" s="835">
        <f>0.315*Tabla1[[#This Row],[TIPO DE CAMBIO]]</f>
        <v>455.58481499999999</v>
      </c>
      <c r="K300" s="836">
        <f t="shared" si="118"/>
        <v>15945468.525</v>
      </c>
      <c r="L30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00" s="837">
        <f t="shared" si="120"/>
        <v>19294016.91525</v>
      </c>
      <c r="N300" s="838"/>
      <c r="O300" s="838">
        <v>0</v>
      </c>
      <c r="P300" s="838">
        <v>0</v>
      </c>
      <c r="Q300" s="839">
        <f>+Tabla1[[#This Row],[VENTA TOTAL $ (IVA INC) ]]-Tabla1[[#This Row],[PENDIENTE DE COBRO]]</f>
        <v>19294016.91525</v>
      </c>
      <c r="R300" s="840">
        <f>+Tabla1[[#This Row],[FECHA FC]]+Tabla1[[#This Row],[PLAZO ENTREGA VALORES]]</f>
        <v>46051</v>
      </c>
      <c r="S300" s="840">
        <f>+Tabla1[[#This Row],[FECHA FC]]+Tabla1[[#This Row],[PLAZO PAGO (DIAS)]]</f>
        <v>46216</v>
      </c>
      <c r="T300" s="834">
        <f t="shared" ca="1" si="119"/>
        <v>35</v>
      </c>
      <c r="U300" s="831">
        <f>+Tabla1[[#This Row],[FECHA OC]]-Tabla1[[#This Row],[FECHA Entrega]]</f>
        <v>-165</v>
      </c>
      <c r="V300" s="831"/>
      <c r="W300" s="841">
        <f>+Tabla1[[#This Row],[FECHA VTO VALORES]]+7</f>
        <v>46223</v>
      </c>
      <c r="X300" s="831" t="s">
        <v>489</v>
      </c>
      <c r="Y300" s="840">
        <v>46051</v>
      </c>
      <c r="Z300" s="842">
        <f>Tabla1[[#This Row],[KGS]]/50</f>
        <v>700</v>
      </c>
      <c r="AA30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00" s="844">
        <f>-Tabla1[[#This Row],[COSTO FLETE $ POR BOLSA 5O KG (SIN IVA)]]*1.21-Tabla1[[#This Row],[PRECIO $/ KG A PLAZO EN CLIENTE ( SIN IVA)]]*0.003*1.21*50</f>
        <v>-0.40864392249999071</v>
      </c>
      <c r="AC300" s="845">
        <f>SUM(Tabla1[[#This Row],[PRECIO $ BOLSA 50 KG (IVA INC) ]]+Tabla1[[#This Row],[COSTO FLETE $ BOLSA 50 KG (IVA INC)]])</f>
        <v>27562.4726635775</v>
      </c>
      <c r="AD300" s="844">
        <f>-Tabla1[[#This Row],[PRECIO $ BOLSA 50 KG (IVA INC) ]]*(Tabla1[[#This Row],[TASA FINANCIACION MENSUAL]]/365)*Tabla1[[#This Row],[PLAZO ENTREGA VALORES]]</f>
        <v>361.33804672982876</v>
      </c>
      <c r="AE300" s="845">
        <f>SUM(Tabla1[[#This Row],[PRECIO $ BOLSA50 KG  FOB TUCUMAN A PLAZO (IVA INC)]]+Tabla1[[#This Row],[GASTOS FINANCIEROS $ BOLSA 50 KG (IVA INC)]])</f>
        <v>27923.810710307331</v>
      </c>
      <c r="AF300" s="828" t="s">
        <v>476</v>
      </c>
      <c r="AG300" s="828" t="s">
        <v>365</v>
      </c>
      <c r="AH300" s="828" t="s">
        <v>387</v>
      </c>
      <c r="AI300" s="828" t="s">
        <v>261</v>
      </c>
      <c r="AJ30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00" s="846">
        <f>SUM(Tabla1[[#This Row],[PRECIO $ BOLSA 50KG  FOB CDO TUC (IVA INC)]]-Tabla1[[#This Row],[PRECIO REF $ BOLSA 50 KG CACTU (IVA INC)]])</f>
        <v>-4591.1892896926693</v>
      </c>
      <c r="AL300" s="847">
        <f>IFERROR(Tabla1[[#This Row],[PRECIO $ BOLSA 50KG  FOB CDO TUC (IVA INC)]]/Tabla1[[#This Row],[PRECIO REF $ BOLSA 50 KG CACTU (IVA INC)]]-1,"")</f>
        <v>-0.14120219251707422</v>
      </c>
      <c r="AM300" s="846">
        <f>+Tabla1[[#This Row],[DIF $ PRECIO NETO INDUSTRIA vs Neto TUCUMAN (IVA INC)]]*Tabla1[[#This Row],[Q Bolsas Equivalentes 50kg]]</f>
        <v>-3213832.5027848687</v>
      </c>
      <c r="AN300" s="846">
        <f>Tabla1[[#This Row],[PRECIO REF $ BOLSA 50 KG CACTU (IVA INC)]]*Tabla1[[#This Row],[Q Bolsas Equivalentes 50kg]]</f>
        <v>22760500</v>
      </c>
      <c r="AO300" s="846">
        <f>+Tabla1[[#This Row],[PRECIO $ BOLSA 50KG  FOB CDO TUC (IVA INC)]]*Tabla1[[#This Row],[Q Bolsas Equivalentes 50kg]]</f>
        <v>19546667.497215133</v>
      </c>
      <c r="AP300" s="847">
        <v>2.9000000000000001E-2</v>
      </c>
      <c r="AQ300" s="846">
        <v>-68</v>
      </c>
      <c r="AR300" s="848"/>
      <c r="AS300" s="849"/>
      <c r="AT300" s="923">
        <f>+Tabla1[[#This Row],[VENTA TOTAL $ (IVA INC) ]]-(SUM(Tabla1[[#This Row],[PENDIENTE DE ENTREGA]:[VALORES COBRADOS]]))</f>
        <v>0</v>
      </c>
      <c r="AU300" s="850">
        <f>VLOOKUP(Tabla1[[#This Row],[FECHA OC]],'TIPO DE CAMBIO'!A:B,2,TRUE)</f>
        <v>1446.3009999999999</v>
      </c>
      <c r="AV300" s="850">
        <f>+Tabla1[[#This Row],[SUBTOTAL]]/Tabla1[[#This Row],[TIPO DE CAMBIO]]</f>
        <v>11025</v>
      </c>
      <c r="AW300" s="851"/>
      <c r="AX300" s="850">
        <f>IFERROR(Tabla1[[#This Row],[VENTA TOTAL USD A PLAZO EN CLIENTE  (SIN IVA)]]*(1+Tabla1[[#This Row],[% IVA ]]),"")</f>
        <v>11025</v>
      </c>
      <c r="AY300" s="850">
        <f>+Tabla1[[#This Row],[VENTA TOTAL USD A PLAZO EN CLIENTE  (SIN IVA)]]/Tabla1[[#This Row],[KGS]]*1000</f>
        <v>315</v>
      </c>
      <c r="AZ300" s="850">
        <v>0</v>
      </c>
      <c r="BA300" s="850">
        <f>+Tabla1[[#This Row],[GASTOS FINANCIEROS $ BOLSA 50 KG (IVA INC)]]*20/Tabla1[[#This Row],[TIPO DE CAMBIO]]</f>
        <v>4.9967198630136993</v>
      </c>
      <c r="BB300" s="850">
        <f>+Tabla1[[#This Row],[PRECIO POR TN USD EN CLIENTE A PLAZO (SIN IVA)]]+Tabla1[[#This Row],[COSTO USD FLETE /TN (SIN IVA)]]+Tabla1[[#This Row],[COSTO FINANCIERO USD POR BOLSA 50KG (IVA INC)]]</f>
        <v>319.99671986301371</v>
      </c>
      <c r="BC300" s="848">
        <v>5</v>
      </c>
      <c r="BD300" s="944"/>
    </row>
    <row r="301" spans="1:56" ht="15.75" customHeight="1">
      <c r="A301" s="912">
        <v>46204</v>
      </c>
      <c r="B301" s="828">
        <v>1</v>
      </c>
      <c r="C301" s="792" t="s">
        <v>406</v>
      </c>
      <c r="D301" s="829">
        <f>+Tabla1[[#This Row],[FECHA Entrega]]</f>
        <v>46217</v>
      </c>
      <c r="E301" s="830">
        <v>700000869</v>
      </c>
      <c r="F301" s="831" t="s">
        <v>358</v>
      </c>
      <c r="G301" s="832" t="s">
        <v>216</v>
      </c>
      <c r="H301" s="852">
        <v>46217</v>
      </c>
      <c r="I301" s="834">
        <f t="shared" si="117"/>
        <v>35000</v>
      </c>
      <c r="J301" s="835">
        <f>0.315*Tabla1[[#This Row],[TIPO DE CAMBIO]]</f>
        <v>455.58481499999999</v>
      </c>
      <c r="K301" s="836">
        <f t="shared" si="118"/>
        <v>15945468.525</v>
      </c>
      <c r="L30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01" s="837">
        <f t="shared" si="120"/>
        <v>19294016.91525</v>
      </c>
      <c r="N301" s="838"/>
      <c r="O301" s="838">
        <v>0</v>
      </c>
      <c r="P301" s="838">
        <v>0</v>
      </c>
      <c r="Q301" s="839">
        <f>+Tabla1[[#This Row],[VENTA TOTAL $ (IVA INC) ]]-Tabla1[[#This Row],[PENDIENTE DE COBRO]]</f>
        <v>19294016.91525</v>
      </c>
      <c r="R301" s="840">
        <f>+Tabla1[[#This Row],[FECHA FC]]+Tabla1[[#This Row],[PLAZO ENTREGA VALORES]]</f>
        <v>46051</v>
      </c>
      <c r="S301" s="840">
        <f>+Tabla1[[#This Row],[FECHA FC]]+Tabla1[[#This Row],[PLAZO PAGO (DIAS)]]</f>
        <v>46217</v>
      </c>
      <c r="T301" s="834">
        <f t="shared" ca="1" si="119"/>
        <v>36</v>
      </c>
      <c r="U301" s="831">
        <f>+Tabla1[[#This Row],[FECHA OC]]-Tabla1[[#This Row],[FECHA Entrega]]</f>
        <v>-166</v>
      </c>
      <c r="V301" s="831"/>
      <c r="W301" s="841">
        <f>+Tabla1[[#This Row],[FECHA VTO VALORES]]+7</f>
        <v>46224</v>
      </c>
      <c r="X301" s="831" t="s">
        <v>489</v>
      </c>
      <c r="Y301" s="840">
        <v>46051</v>
      </c>
      <c r="Z301" s="842">
        <f>Tabla1[[#This Row],[KGS]]/50</f>
        <v>700</v>
      </c>
      <c r="AA30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01" s="844">
        <f>-Tabla1[[#This Row],[COSTO FLETE $ POR BOLSA 5O KG (SIN IVA)]]*1.21-Tabla1[[#This Row],[PRECIO $/ KG A PLAZO EN CLIENTE ( SIN IVA)]]*0.003*1.21*50</f>
        <v>-0.40864392249999071</v>
      </c>
      <c r="AC301" s="845">
        <f>SUM(Tabla1[[#This Row],[PRECIO $ BOLSA 50 KG (IVA INC) ]]+Tabla1[[#This Row],[COSTO FLETE $ BOLSA 50 KG (IVA INC)]])</f>
        <v>27562.4726635775</v>
      </c>
      <c r="AD301" s="844">
        <f>-Tabla1[[#This Row],[PRECIO $ BOLSA 50 KG (IVA INC) ]]*(Tabla1[[#This Row],[TASA FINANCIACION MENSUAL]]/365)*Tabla1[[#This Row],[PLAZO ENTREGA VALORES]]</f>
        <v>363.52797428576713</v>
      </c>
      <c r="AE301" s="845">
        <f>SUM(Tabla1[[#This Row],[PRECIO $ BOLSA50 KG  FOB TUCUMAN A PLAZO (IVA INC)]]+Tabla1[[#This Row],[GASTOS FINANCIEROS $ BOLSA 50 KG (IVA INC)]])</f>
        <v>27926.000637863268</v>
      </c>
      <c r="AF301" s="828" t="s">
        <v>476</v>
      </c>
      <c r="AG301" s="828" t="s">
        <v>365</v>
      </c>
      <c r="AH301" s="828" t="s">
        <v>387</v>
      </c>
      <c r="AI301" s="828" t="s">
        <v>261</v>
      </c>
      <c r="AJ30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01" s="846">
        <f>SUM(Tabla1[[#This Row],[PRECIO $ BOLSA 50KG  FOB CDO TUC (IVA INC)]]-Tabla1[[#This Row],[PRECIO REF $ BOLSA 50 KG CACTU (IVA INC)]])</f>
        <v>-4588.9993621367321</v>
      </c>
      <c r="AL301" s="847">
        <f>IFERROR(Tabla1[[#This Row],[PRECIO $ BOLSA 50KG  FOB CDO TUC (IVA INC)]]/Tabla1[[#This Row],[PRECIO REF $ BOLSA 50 KG CACTU (IVA INC)]]-1,"")</f>
        <v>-0.14113484121595365</v>
      </c>
      <c r="AM301" s="846">
        <f>+Tabla1[[#This Row],[DIF $ PRECIO NETO INDUSTRIA vs Neto TUCUMAN (IVA INC)]]*Tabla1[[#This Row],[Q Bolsas Equivalentes 50kg]]</f>
        <v>-3212299.5534957126</v>
      </c>
      <c r="AN301" s="846">
        <f>Tabla1[[#This Row],[PRECIO REF $ BOLSA 50 KG CACTU (IVA INC)]]*Tabla1[[#This Row],[Q Bolsas Equivalentes 50kg]]</f>
        <v>22760500</v>
      </c>
      <c r="AO301" s="846">
        <f>+Tabla1[[#This Row],[PRECIO $ BOLSA 50KG  FOB CDO TUC (IVA INC)]]*Tabla1[[#This Row],[Q Bolsas Equivalentes 50kg]]</f>
        <v>19548200.446504287</v>
      </c>
      <c r="AP301" s="847">
        <v>2.9000000000000001E-2</v>
      </c>
      <c r="AQ301" s="846">
        <v>-68</v>
      </c>
      <c r="AR301" s="848"/>
      <c r="AS301" s="849"/>
      <c r="AT301" s="923">
        <f>+Tabla1[[#This Row],[VENTA TOTAL $ (IVA INC) ]]-(SUM(Tabla1[[#This Row],[PENDIENTE DE ENTREGA]:[VALORES COBRADOS]]))</f>
        <v>0</v>
      </c>
      <c r="AU301" s="850">
        <f>VLOOKUP(Tabla1[[#This Row],[FECHA OC]],'TIPO DE CAMBIO'!A:B,2,TRUE)</f>
        <v>1446.3009999999999</v>
      </c>
      <c r="AV301" s="850">
        <f>+Tabla1[[#This Row],[SUBTOTAL]]/Tabla1[[#This Row],[TIPO DE CAMBIO]]</f>
        <v>11025</v>
      </c>
      <c r="AW301" s="851"/>
      <c r="AX301" s="850">
        <f>IFERROR(Tabla1[[#This Row],[VENTA TOTAL USD A PLAZO EN CLIENTE  (SIN IVA)]]*(1+Tabla1[[#This Row],[% IVA ]]),"")</f>
        <v>11025</v>
      </c>
      <c r="AY301" s="850">
        <f>+Tabla1[[#This Row],[VENTA TOTAL USD A PLAZO EN CLIENTE  (SIN IVA)]]/Tabla1[[#This Row],[KGS]]*1000</f>
        <v>315</v>
      </c>
      <c r="AZ301" s="850">
        <v>0</v>
      </c>
      <c r="BA301" s="850">
        <f>+Tabla1[[#This Row],[GASTOS FINANCIEROS $ BOLSA 50 KG (IVA INC)]]*20/Tabla1[[#This Row],[TIPO DE CAMBIO]]</f>
        <v>5.0270030136986303</v>
      </c>
      <c r="BB301" s="850">
        <f>+Tabla1[[#This Row],[PRECIO POR TN USD EN CLIENTE A PLAZO (SIN IVA)]]+Tabla1[[#This Row],[COSTO USD FLETE /TN (SIN IVA)]]+Tabla1[[#This Row],[COSTO FINANCIERO USD POR BOLSA 50KG (IVA INC)]]</f>
        <v>320.02700301369862</v>
      </c>
      <c r="BC301" s="848">
        <v>5</v>
      </c>
      <c r="BD301" s="944"/>
    </row>
    <row r="302" spans="1:56" ht="15.75" customHeight="1">
      <c r="A302" s="912">
        <v>46204</v>
      </c>
      <c r="B302" s="828">
        <v>1</v>
      </c>
      <c r="C302" s="792" t="s">
        <v>406</v>
      </c>
      <c r="D302" s="829">
        <f>+Tabla1[[#This Row],[FECHA Entrega]]</f>
        <v>46217</v>
      </c>
      <c r="E302" s="830">
        <v>700000869</v>
      </c>
      <c r="F302" s="831" t="s">
        <v>358</v>
      </c>
      <c r="G302" s="832" t="s">
        <v>216</v>
      </c>
      <c r="H302" s="852">
        <v>46217</v>
      </c>
      <c r="I302" s="834">
        <f t="shared" si="117"/>
        <v>35000</v>
      </c>
      <c r="J302" s="835">
        <f>0.315*Tabla1[[#This Row],[TIPO DE CAMBIO]]</f>
        <v>455.58481499999999</v>
      </c>
      <c r="K302" s="836">
        <f t="shared" si="118"/>
        <v>15945468.525</v>
      </c>
      <c r="L30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02" s="837">
        <f t="shared" si="120"/>
        <v>19294016.91525</v>
      </c>
      <c r="N302" s="838"/>
      <c r="O302" s="838">
        <v>0</v>
      </c>
      <c r="P302" s="838">
        <v>0</v>
      </c>
      <c r="Q302" s="839">
        <f>+Tabla1[[#This Row],[VENTA TOTAL $ (IVA INC) ]]-Tabla1[[#This Row],[PENDIENTE DE COBRO]]</f>
        <v>19294016.91525</v>
      </c>
      <c r="R302" s="840">
        <f>+Tabla1[[#This Row],[FECHA FC]]+Tabla1[[#This Row],[PLAZO ENTREGA VALORES]]</f>
        <v>46051</v>
      </c>
      <c r="S302" s="840">
        <f>+Tabla1[[#This Row],[FECHA FC]]+Tabla1[[#This Row],[PLAZO PAGO (DIAS)]]</f>
        <v>46217</v>
      </c>
      <c r="T302" s="834">
        <f t="shared" ca="1" si="119"/>
        <v>36</v>
      </c>
      <c r="U302" s="831">
        <f>+Tabla1[[#This Row],[FECHA OC]]-Tabla1[[#This Row],[FECHA Entrega]]</f>
        <v>-166</v>
      </c>
      <c r="V302" s="831"/>
      <c r="W302" s="841">
        <f>+Tabla1[[#This Row],[FECHA VTO VALORES]]+7</f>
        <v>46224</v>
      </c>
      <c r="X302" s="831" t="s">
        <v>489</v>
      </c>
      <c r="Y302" s="840">
        <v>46051</v>
      </c>
      <c r="Z302" s="842">
        <f>Tabla1[[#This Row],[KGS]]/50</f>
        <v>700</v>
      </c>
      <c r="AA30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02" s="844">
        <f>-Tabla1[[#This Row],[COSTO FLETE $ POR BOLSA 5O KG (SIN IVA)]]*1.21-Tabla1[[#This Row],[PRECIO $/ KG A PLAZO EN CLIENTE ( SIN IVA)]]*0.003*1.21*50</f>
        <v>-0.40864392249999071</v>
      </c>
      <c r="AC302" s="845">
        <f>SUM(Tabla1[[#This Row],[PRECIO $ BOLSA 50 KG (IVA INC) ]]+Tabla1[[#This Row],[COSTO FLETE $ BOLSA 50 KG (IVA INC)]])</f>
        <v>27562.4726635775</v>
      </c>
      <c r="AD302" s="844">
        <f>-Tabla1[[#This Row],[PRECIO $ BOLSA 50 KG (IVA INC) ]]*(Tabla1[[#This Row],[TASA FINANCIACION MENSUAL]]/365)*Tabla1[[#This Row],[PLAZO ENTREGA VALORES]]</f>
        <v>363.52797428576713</v>
      </c>
      <c r="AE302" s="845">
        <f>SUM(Tabla1[[#This Row],[PRECIO $ BOLSA50 KG  FOB TUCUMAN A PLAZO (IVA INC)]]+Tabla1[[#This Row],[GASTOS FINANCIEROS $ BOLSA 50 KG (IVA INC)]])</f>
        <v>27926.000637863268</v>
      </c>
      <c r="AF302" s="828" t="s">
        <v>476</v>
      </c>
      <c r="AG302" s="828" t="s">
        <v>365</v>
      </c>
      <c r="AH302" s="828" t="s">
        <v>387</v>
      </c>
      <c r="AI302" s="828" t="s">
        <v>261</v>
      </c>
      <c r="AJ30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02" s="846">
        <f>SUM(Tabla1[[#This Row],[PRECIO $ BOLSA 50KG  FOB CDO TUC (IVA INC)]]-Tabla1[[#This Row],[PRECIO REF $ BOLSA 50 KG CACTU (IVA INC)]])</f>
        <v>-4588.9993621367321</v>
      </c>
      <c r="AL302" s="847">
        <f>IFERROR(Tabla1[[#This Row],[PRECIO $ BOLSA 50KG  FOB CDO TUC (IVA INC)]]/Tabla1[[#This Row],[PRECIO REF $ BOLSA 50 KG CACTU (IVA INC)]]-1,"")</f>
        <v>-0.14113484121595365</v>
      </c>
      <c r="AM302" s="846">
        <f>+Tabla1[[#This Row],[DIF $ PRECIO NETO INDUSTRIA vs Neto TUCUMAN (IVA INC)]]*Tabla1[[#This Row],[Q Bolsas Equivalentes 50kg]]</f>
        <v>-3212299.5534957126</v>
      </c>
      <c r="AN302" s="846">
        <f>Tabla1[[#This Row],[PRECIO REF $ BOLSA 50 KG CACTU (IVA INC)]]*Tabla1[[#This Row],[Q Bolsas Equivalentes 50kg]]</f>
        <v>22760500</v>
      </c>
      <c r="AO302" s="846">
        <f>+Tabla1[[#This Row],[PRECIO $ BOLSA 50KG  FOB CDO TUC (IVA INC)]]*Tabla1[[#This Row],[Q Bolsas Equivalentes 50kg]]</f>
        <v>19548200.446504287</v>
      </c>
      <c r="AP302" s="847">
        <v>2.9000000000000001E-2</v>
      </c>
      <c r="AQ302" s="846">
        <v>-68</v>
      </c>
      <c r="AR302" s="848"/>
      <c r="AS302" s="849"/>
      <c r="AT302" s="923">
        <f>+Tabla1[[#This Row],[VENTA TOTAL $ (IVA INC) ]]-(SUM(Tabla1[[#This Row],[PENDIENTE DE ENTREGA]:[VALORES COBRADOS]]))</f>
        <v>0</v>
      </c>
      <c r="AU302" s="850">
        <f>VLOOKUP(Tabla1[[#This Row],[FECHA OC]],'TIPO DE CAMBIO'!A:B,2,TRUE)</f>
        <v>1446.3009999999999</v>
      </c>
      <c r="AV302" s="850">
        <f>+Tabla1[[#This Row],[SUBTOTAL]]/Tabla1[[#This Row],[TIPO DE CAMBIO]]</f>
        <v>11025</v>
      </c>
      <c r="AW302" s="851"/>
      <c r="AX302" s="850">
        <f>IFERROR(Tabla1[[#This Row],[VENTA TOTAL USD A PLAZO EN CLIENTE  (SIN IVA)]]*(1+Tabla1[[#This Row],[% IVA ]]),"")</f>
        <v>11025</v>
      </c>
      <c r="AY302" s="850">
        <f>+Tabla1[[#This Row],[VENTA TOTAL USD A PLAZO EN CLIENTE  (SIN IVA)]]/Tabla1[[#This Row],[KGS]]*1000</f>
        <v>315</v>
      </c>
      <c r="AZ302" s="850">
        <v>0</v>
      </c>
      <c r="BA302" s="850">
        <f>+Tabla1[[#This Row],[GASTOS FINANCIEROS $ BOLSA 50 KG (IVA INC)]]*20/Tabla1[[#This Row],[TIPO DE CAMBIO]]</f>
        <v>5.0270030136986303</v>
      </c>
      <c r="BB302" s="850">
        <f>+Tabla1[[#This Row],[PRECIO POR TN USD EN CLIENTE A PLAZO (SIN IVA)]]+Tabla1[[#This Row],[COSTO USD FLETE /TN (SIN IVA)]]+Tabla1[[#This Row],[COSTO FINANCIERO USD POR BOLSA 50KG (IVA INC)]]</f>
        <v>320.02700301369862</v>
      </c>
      <c r="BC302" s="848">
        <v>5</v>
      </c>
      <c r="BD302" s="944"/>
    </row>
    <row r="303" spans="1:56" ht="15.75" customHeight="1">
      <c r="A303" s="912">
        <v>46204</v>
      </c>
      <c r="B303" s="828">
        <v>1</v>
      </c>
      <c r="C303" s="792" t="s">
        <v>406</v>
      </c>
      <c r="D303" s="829">
        <f>+Tabla1[[#This Row],[FECHA Entrega]]</f>
        <v>46217</v>
      </c>
      <c r="E303" s="830">
        <v>700000869</v>
      </c>
      <c r="F303" s="831" t="s">
        <v>358</v>
      </c>
      <c r="G303" s="832" t="s">
        <v>216</v>
      </c>
      <c r="H303" s="852">
        <v>46217</v>
      </c>
      <c r="I303" s="834">
        <f t="shared" si="117"/>
        <v>35000</v>
      </c>
      <c r="J303" s="835">
        <f>0.315*Tabla1[[#This Row],[TIPO DE CAMBIO]]</f>
        <v>455.58481499999999</v>
      </c>
      <c r="K303" s="836">
        <f t="shared" si="118"/>
        <v>15945468.525</v>
      </c>
      <c r="L30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03" s="837">
        <f t="shared" si="120"/>
        <v>19294016.91525</v>
      </c>
      <c r="N303" s="838"/>
      <c r="O303" s="838">
        <v>0</v>
      </c>
      <c r="P303" s="838">
        <v>0</v>
      </c>
      <c r="Q303" s="839">
        <f>+Tabla1[[#This Row],[VENTA TOTAL $ (IVA INC) ]]-Tabla1[[#This Row],[PENDIENTE DE COBRO]]</f>
        <v>19294016.91525</v>
      </c>
      <c r="R303" s="840">
        <f>+Tabla1[[#This Row],[FECHA FC]]+Tabla1[[#This Row],[PLAZO ENTREGA VALORES]]</f>
        <v>46051</v>
      </c>
      <c r="S303" s="840">
        <f>+Tabla1[[#This Row],[FECHA FC]]+Tabla1[[#This Row],[PLAZO PAGO (DIAS)]]</f>
        <v>46217</v>
      </c>
      <c r="T303" s="834">
        <f t="shared" ca="1" si="119"/>
        <v>36</v>
      </c>
      <c r="U303" s="831">
        <f>+Tabla1[[#This Row],[FECHA OC]]-Tabla1[[#This Row],[FECHA Entrega]]</f>
        <v>-166</v>
      </c>
      <c r="V303" s="831"/>
      <c r="W303" s="841">
        <f>+Tabla1[[#This Row],[FECHA VTO VALORES]]+7</f>
        <v>46224</v>
      </c>
      <c r="X303" s="831" t="s">
        <v>489</v>
      </c>
      <c r="Y303" s="840">
        <v>46051</v>
      </c>
      <c r="Z303" s="842">
        <f>Tabla1[[#This Row],[KGS]]/50</f>
        <v>700</v>
      </c>
      <c r="AA30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03" s="844">
        <f>-Tabla1[[#This Row],[COSTO FLETE $ POR BOLSA 5O KG (SIN IVA)]]*1.21-Tabla1[[#This Row],[PRECIO $/ KG A PLAZO EN CLIENTE ( SIN IVA)]]*0.003*1.21*50</f>
        <v>-0.40864392249999071</v>
      </c>
      <c r="AC303" s="845">
        <f>SUM(Tabla1[[#This Row],[PRECIO $ BOLSA 50 KG (IVA INC) ]]+Tabla1[[#This Row],[COSTO FLETE $ BOLSA 50 KG (IVA INC)]])</f>
        <v>27562.4726635775</v>
      </c>
      <c r="AD303" s="844">
        <f>-Tabla1[[#This Row],[PRECIO $ BOLSA 50 KG (IVA INC) ]]*(Tabla1[[#This Row],[TASA FINANCIACION MENSUAL]]/365)*Tabla1[[#This Row],[PLAZO ENTREGA VALORES]]</f>
        <v>363.52797428576713</v>
      </c>
      <c r="AE303" s="845">
        <f>SUM(Tabla1[[#This Row],[PRECIO $ BOLSA50 KG  FOB TUCUMAN A PLAZO (IVA INC)]]+Tabla1[[#This Row],[GASTOS FINANCIEROS $ BOLSA 50 KG (IVA INC)]])</f>
        <v>27926.000637863268</v>
      </c>
      <c r="AF303" s="828" t="s">
        <v>476</v>
      </c>
      <c r="AG303" s="828" t="s">
        <v>365</v>
      </c>
      <c r="AH303" s="828" t="s">
        <v>387</v>
      </c>
      <c r="AI303" s="828" t="s">
        <v>261</v>
      </c>
      <c r="AJ30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03" s="846">
        <f>SUM(Tabla1[[#This Row],[PRECIO $ BOLSA 50KG  FOB CDO TUC (IVA INC)]]-Tabla1[[#This Row],[PRECIO REF $ BOLSA 50 KG CACTU (IVA INC)]])</f>
        <v>-4588.9993621367321</v>
      </c>
      <c r="AL303" s="847">
        <f>IFERROR(Tabla1[[#This Row],[PRECIO $ BOLSA 50KG  FOB CDO TUC (IVA INC)]]/Tabla1[[#This Row],[PRECIO REF $ BOLSA 50 KG CACTU (IVA INC)]]-1,"")</f>
        <v>-0.14113484121595365</v>
      </c>
      <c r="AM303" s="846">
        <f>+Tabla1[[#This Row],[DIF $ PRECIO NETO INDUSTRIA vs Neto TUCUMAN (IVA INC)]]*Tabla1[[#This Row],[Q Bolsas Equivalentes 50kg]]</f>
        <v>-3212299.5534957126</v>
      </c>
      <c r="AN303" s="846">
        <f>Tabla1[[#This Row],[PRECIO REF $ BOLSA 50 KG CACTU (IVA INC)]]*Tabla1[[#This Row],[Q Bolsas Equivalentes 50kg]]</f>
        <v>22760500</v>
      </c>
      <c r="AO303" s="846">
        <f>+Tabla1[[#This Row],[PRECIO $ BOLSA 50KG  FOB CDO TUC (IVA INC)]]*Tabla1[[#This Row],[Q Bolsas Equivalentes 50kg]]</f>
        <v>19548200.446504287</v>
      </c>
      <c r="AP303" s="847">
        <v>2.9000000000000001E-2</v>
      </c>
      <c r="AQ303" s="846">
        <v>-68</v>
      </c>
      <c r="AR303" s="848"/>
      <c r="AS303" s="849"/>
      <c r="AT303" s="923">
        <f>+Tabla1[[#This Row],[VENTA TOTAL $ (IVA INC) ]]-(SUM(Tabla1[[#This Row],[PENDIENTE DE ENTREGA]:[VALORES COBRADOS]]))</f>
        <v>0</v>
      </c>
      <c r="AU303" s="850">
        <f>VLOOKUP(Tabla1[[#This Row],[FECHA OC]],'TIPO DE CAMBIO'!A:B,2,TRUE)</f>
        <v>1446.3009999999999</v>
      </c>
      <c r="AV303" s="850">
        <f>+Tabla1[[#This Row],[SUBTOTAL]]/Tabla1[[#This Row],[TIPO DE CAMBIO]]</f>
        <v>11025</v>
      </c>
      <c r="AW303" s="851"/>
      <c r="AX303" s="850">
        <f>IFERROR(Tabla1[[#This Row],[VENTA TOTAL USD A PLAZO EN CLIENTE  (SIN IVA)]]*(1+Tabla1[[#This Row],[% IVA ]]),"")</f>
        <v>11025</v>
      </c>
      <c r="AY303" s="850">
        <f>+Tabla1[[#This Row],[VENTA TOTAL USD A PLAZO EN CLIENTE  (SIN IVA)]]/Tabla1[[#This Row],[KGS]]*1000</f>
        <v>315</v>
      </c>
      <c r="AZ303" s="850">
        <v>0</v>
      </c>
      <c r="BA303" s="850">
        <f>+Tabla1[[#This Row],[GASTOS FINANCIEROS $ BOLSA 50 KG (IVA INC)]]*20/Tabla1[[#This Row],[TIPO DE CAMBIO]]</f>
        <v>5.0270030136986303</v>
      </c>
      <c r="BB303" s="850">
        <f>+Tabla1[[#This Row],[PRECIO POR TN USD EN CLIENTE A PLAZO (SIN IVA)]]+Tabla1[[#This Row],[COSTO USD FLETE /TN (SIN IVA)]]+Tabla1[[#This Row],[COSTO FINANCIERO USD POR BOLSA 50KG (IVA INC)]]</f>
        <v>320.02700301369862</v>
      </c>
      <c r="BC303" s="848">
        <v>5</v>
      </c>
      <c r="BD303" s="944"/>
    </row>
    <row r="304" spans="1:56" ht="15.75" customHeight="1">
      <c r="A304" s="912">
        <v>46204</v>
      </c>
      <c r="B304" s="828">
        <v>1</v>
      </c>
      <c r="C304" s="792" t="s">
        <v>406</v>
      </c>
      <c r="D304" s="829">
        <f>+Tabla1[[#This Row],[FECHA Entrega]]</f>
        <v>46217</v>
      </c>
      <c r="E304" s="830">
        <v>700000869</v>
      </c>
      <c r="F304" s="831" t="s">
        <v>358</v>
      </c>
      <c r="G304" s="832" t="s">
        <v>216</v>
      </c>
      <c r="H304" s="852">
        <v>46217</v>
      </c>
      <c r="I304" s="834">
        <f t="shared" si="117"/>
        <v>35000</v>
      </c>
      <c r="J304" s="835">
        <f>0.315*Tabla1[[#This Row],[TIPO DE CAMBIO]]</f>
        <v>455.58481499999999</v>
      </c>
      <c r="K304" s="836">
        <f t="shared" si="118"/>
        <v>15945468.525</v>
      </c>
      <c r="L30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04" s="837">
        <f t="shared" si="120"/>
        <v>19294016.91525</v>
      </c>
      <c r="N304" s="838"/>
      <c r="O304" s="838">
        <v>0</v>
      </c>
      <c r="P304" s="838">
        <v>0</v>
      </c>
      <c r="Q304" s="839">
        <f>+Tabla1[[#This Row],[VENTA TOTAL $ (IVA INC) ]]-Tabla1[[#This Row],[PENDIENTE DE COBRO]]</f>
        <v>19294016.91525</v>
      </c>
      <c r="R304" s="840">
        <f>+Tabla1[[#This Row],[FECHA FC]]+Tabla1[[#This Row],[PLAZO ENTREGA VALORES]]</f>
        <v>46051</v>
      </c>
      <c r="S304" s="840">
        <f>+Tabla1[[#This Row],[FECHA FC]]+Tabla1[[#This Row],[PLAZO PAGO (DIAS)]]</f>
        <v>46217</v>
      </c>
      <c r="T304" s="834">
        <f t="shared" ca="1" si="119"/>
        <v>36</v>
      </c>
      <c r="U304" s="831">
        <f>+Tabla1[[#This Row],[FECHA OC]]-Tabla1[[#This Row],[FECHA Entrega]]</f>
        <v>-166</v>
      </c>
      <c r="V304" s="831"/>
      <c r="W304" s="841">
        <f>+Tabla1[[#This Row],[FECHA VTO VALORES]]+7</f>
        <v>46224</v>
      </c>
      <c r="X304" s="831" t="s">
        <v>489</v>
      </c>
      <c r="Y304" s="840">
        <v>46051</v>
      </c>
      <c r="Z304" s="842">
        <f>Tabla1[[#This Row],[KGS]]/50</f>
        <v>700</v>
      </c>
      <c r="AA30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04" s="844">
        <f>-Tabla1[[#This Row],[COSTO FLETE $ POR BOLSA 5O KG (SIN IVA)]]*1.21-Tabla1[[#This Row],[PRECIO $/ KG A PLAZO EN CLIENTE ( SIN IVA)]]*0.003*1.21*50</f>
        <v>-0.40864392249999071</v>
      </c>
      <c r="AC304" s="845">
        <f>SUM(Tabla1[[#This Row],[PRECIO $ BOLSA 50 KG (IVA INC) ]]+Tabla1[[#This Row],[COSTO FLETE $ BOLSA 50 KG (IVA INC)]])</f>
        <v>27562.4726635775</v>
      </c>
      <c r="AD304" s="844">
        <f>-Tabla1[[#This Row],[PRECIO $ BOLSA 50 KG (IVA INC) ]]*(Tabla1[[#This Row],[TASA FINANCIACION MENSUAL]]/365)*Tabla1[[#This Row],[PLAZO ENTREGA VALORES]]</f>
        <v>363.52797428576713</v>
      </c>
      <c r="AE304" s="845">
        <f>SUM(Tabla1[[#This Row],[PRECIO $ BOLSA50 KG  FOB TUCUMAN A PLAZO (IVA INC)]]+Tabla1[[#This Row],[GASTOS FINANCIEROS $ BOLSA 50 KG (IVA INC)]])</f>
        <v>27926.000637863268</v>
      </c>
      <c r="AF304" s="828" t="s">
        <v>476</v>
      </c>
      <c r="AG304" s="828" t="s">
        <v>365</v>
      </c>
      <c r="AH304" s="828" t="s">
        <v>387</v>
      </c>
      <c r="AI304" s="828" t="s">
        <v>261</v>
      </c>
      <c r="AJ30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04" s="846">
        <f>SUM(Tabla1[[#This Row],[PRECIO $ BOLSA 50KG  FOB CDO TUC (IVA INC)]]-Tabla1[[#This Row],[PRECIO REF $ BOLSA 50 KG CACTU (IVA INC)]])</f>
        <v>-4588.9993621367321</v>
      </c>
      <c r="AL304" s="847">
        <f>IFERROR(Tabla1[[#This Row],[PRECIO $ BOLSA 50KG  FOB CDO TUC (IVA INC)]]/Tabla1[[#This Row],[PRECIO REF $ BOLSA 50 KG CACTU (IVA INC)]]-1,"")</f>
        <v>-0.14113484121595365</v>
      </c>
      <c r="AM304" s="846">
        <f>+Tabla1[[#This Row],[DIF $ PRECIO NETO INDUSTRIA vs Neto TUCUMAN (IVA INC)]]*Tabla1[[#This Row],[Q Bolsas Equivalentes 50kg]]</f>
        <v>-3212299.5534957126</v>
      </c>
      <c r="AN304" s="846">
        <f>Tabla1[[#This Row],[PRECIO REF $ BOLSA 50 KG CACTU (IVA INC)]]*Tabla1[[#This Row],[Q Bolsas Equivalentes 50kg]]</f>
        <v>22760500</v>
      </c>
      <c r="AO304" s="846">
        <f>+Tabla1[[#This Row],[PRECIO $ BOLSA 50KG  FOB CDO TUC (IVA INC)]]*Tabla1[[#This Row],[Q Bolsas Equivalentes 50kg]]</f>
        <v>19548200.446504287</v>
      </c>
      <c r="AP304" s="847">
        <v>2.9000000000000001E-2</v>
      </c>
      <c r="AQ304" s="846">
        <v>-68</v>
      </c>
      <c r="AR304" s="848"/>
      <c r="AS304" s="849"/>
      <c r="AT304" s="923">
        <f>+Tabla1[[#This Row],[VENTA TOTAL $ (IVA INC) ]]-(SUM(Tabla1[[#This Row],[PENDIENTE DE ENTREGA]:[VALORES COBRADOS]]))</f>
        <v>0</v>
      </c>
      <c r="AU304" s="850">
        <f>VLOOKUP(Tabla1[[#This Row],[FECHA OC]],'TIPO DE CAMBIO'!A:B,2,TRUE)</f>
        <v>1446.3009999999999</v>
      </c>
      <c r="AV304" s="850">
        <f>+Tabla1[[#This Row],[SUBTOTAL]]/Tabla1[[#This Row],[TIPO DE CAMBIO]]</f>
        <v>11025</v>
      </c>
      <c r="AW304" s="851"/>
      <c r="AX304" s="850">
        <f>IFERROR(Tabla1[[#This Row],[VENTA TOTAL USD A PLAZO EN CLIENTE  (SIN IVA)]]*(1+Tabla1[[#This Row],[% IVA ]]),"")</f>
        <v>11025</v>
      </c>
      <c r="AY304" s="850">
        <f>+Tabla1[[#This Row],[VENTA TOTAL USD A PLAZO EN CLIENTE  (SIN IVA)]]/Tabla1[[#This Row],[KGS]]*1000</f>
        <v>315</v>
      </c>
      <c r="AZ304" s="850">
        <v>0</v>
      </c>
      <c r="BA304" s="850">
        <f>+Tabla1[[#This Row],[GASTOS FINANCIEROS $ BOLSA 50 KG (IVA INC)]]*20/Tabla1[[#This Row],[TIPO DE CAMBIO]]</f>
        <v>5.0270030136986303</v>
      </c>
      <c r="BB304" s="850">
        <f>+Tabla1[[#This Row],[PRECIO POR TN USD EN CLIENTE A PLAZO (SIN IVA)]]+Tabla1[[#This Row],[COSTO USD FLETE /TN (SIN IVA)]]+Tabla1[[#This Row],[COSTO FINANCIERO USD POR BOLSA 50KG (IVA INC)]]</f>
        <v>320.02700301369862</v>
      </c>
      <c r="BC304" s="848">
        <v>5</v>
      </c>
      <c r="BD304" s="944"/>
    </row>
    <row r="305" spans="1:56" ht="15.75" customHeight="1">
      <c r="A305" s="912">
        <v>46204</v>
      </c>
      <c r="B305" s="828">
        <v>1</v>
      </c>
      <c r="C305" s="792" t="s">
        <v>406</v>
      </c>
      <c r="D305" s="829">
        <f>+Tabla1[[#This Row],[FECHA Entrega]]</f>
        <v>46218</v>
      </c>
      <c r="E305" s="830">
        <v>700000869</v>
      </c>
      <c r="F305" s="831" t="s">
        <v>358</v>
      </c>
      <c r="G305" s="832" t="s">
        <v>216</v>
      </c>
      <c r="H305" s="852">
        <v>46218</v>
      </c>
      <c r="I305" s="834">
        <f t="shared" si="117"/>
        <v>35000</v>
      </c>
      <c r="J305" s="835">
        <f>0.315*Tabla1[[#This Row],[TIPO DE CAMBIO]]</f>
        <v>455.58481499999999</v>
      </c>
      <c r="K305" s="836">
        <f t="shared" si="118"/>
        <v>15945468.525</v>
      </c>
      <c r="L30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05" s="837">
        <f t="shared" si="120"/>
        <v>19294016.91525</v>
      </c>
      <c r="N305" s="838"/>
      <c r="O305" s="838">
        <v>0</v>
      </c>
      <c r="P305" s="838">
        <v>0</v>
      </c>
      <c r="Q305" s="839">
        <f>+Tabla1[[#This Row],[VENTA TOTAL $ (IVA INC) ]]-Tabla1[[#This Row],[PENDIENTE DE COBRO]]</f>
        <v>19294016.91525</v>
      </c>
      <c r="R305" s="840">
        <f>+Tabla1[[#This Row],[FECHA FC]]+Tabla1[[#This Row],[PLAZO ENTREGA VALORES]]</f>
        <v>46051</v>
      </c>
      <c r="S305" s="840">
        <f>+Tabla1[[#This Row],[FECHA FC]]+Tabla1[[#This Row],[PLAZO PAGO (DIAS)]]</f>
        <v>46218</v>
      </c>
      <c r="T305" s="834">
        <f t="shared" ca="1" si="119"/>
        <v>37</v>
      </c>
      <c r="U305" s="831">
        <f>+Tabla1[[#This Row],[FECHA OC]]-Tabla1[[#This Row],[FECHA Entrega]]</f>
        <v>-167</v>
      </c>
      <c r="V305" s="831"/>
      <c r="W305" s="841">
        <f>+Tabla1[[#This Row],[FECHA VTO VALORES]]+7</f>
        <v>46225</v>
      </c>
      <c r="X305" s="831" t="s">
        <v>489</v>
      </c>
      <c r="Y305" s="840">
        <v>46051</v>
      </c>
      <c r="Z305" s="842">
        <f>Tabla1[[#This Row],[KGS]]/50</f>
        <v>700</v>
      </c>
      <c r="AA30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05" s="844">
        <f>-Tabla1[[#This Row],[COSTO FLETE $ POR BOLSA 5O KG (SIN IVA)]]*1.21-Tabla1[[#This Row],[PRECIO $/ KG A PLAZO EN CLIENTE ( SIN IVA)]]*0.003*1.21*50</f>
        <v>-0.40864392249999071</v>
      </c>
      <c r="AC305" s="845">
        <f>SUM(Tabla1[[#This Row],[PRECIO $ BOLSA 50 KG (IVA INC) ]]+Tabla1[[#This Row],[COSTO FLETE $ BOLSA 50 KG (IVA INC)]])</f>
        <v>27562.4726635775</v>
      </c>
      <c r="AD305" s="844">
        <f>-Tabla1[[#This Row],[PRECIO $ BOLSA 50 KG (IVA INC) ]]*(Tabla1[[#This Row],[TASA FINANCIACION MENSUAL]]/365)*Tabla1[[#This Row],[PLAZO ENTREGA VALORES]]</f>
        <v>365.7179018417055</v>
      </c>
      <c r="AE305" s="845">
        <f>SUM(Tabla1[[#This Row],[PRECIO $ BOLSA50 KG  FOB TUCUMAN A PLAZO (IVA INC)]]+Tabla1[[#This Row],[GASTOS FINANCIEROS $ BOLSA 50 KG (IVA INC)]])</f>
        <v>27928.190565419205</v>
      </c>
      <c r="AF305" s="828" t="s">
        <v>476</v>
      </c>
      <c r="AG305" s="828" t="s">
        <v>365</v>
      </c>
      <c r="AH305" s="828" t="s">
        <v>387</v>
      </c>
      <c r="AI305" s="828" t="s">
        <v>261</v>
      </c>
      <c r="AJ30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05" s="846">
        <f>SUM(Tabla1[[#This Row],[PRECIO $ BOLSA 50KG  FOB CDO TUC (IVA INC)]]-Tabla1[[#This Row],[PRECIO REF $ BOLSA 50 KG CACTU (IVA INC)]])</f>
        <v>-4586.8094345807949</v>
      </c>
      <c r="AL305" s="847">
        <f>IFERROR(Tabla1[[#This Row],[PRECIO $ BOLSA 50KG  FOB CDO TUC (IVA INC)]]/Tabla1[[#This Row],[PRECIO REF $ BOLSA 50 KG CACTU (IVA INC)]]-1,"")</f>
        <v>-0.14106748991483298</v>
      </c>
      <c r="AM305" s="846">
        <f>+Tabla1[[#This Row],[DIF $ PRECIO NETO INDUSTRIA vs Neto TUCUMAN (IVA INC)]]*Tabla1[[#This Row],[Q Bolsas Equivalentes 50kg]]</f>
        <v>-3210766.6042065565</v>
      </c>
      <c r="AN305" s="846">
        <f>Tabla1[[#This Row],[PRECIO REF $ BOLSA 50 KG CACTU (IVA INC)]]*Tabla1[[#This Row],[Q Bolsas Equivalentes 50kg]]</f>
        <v>22760500</v>
      </c>
      <c r="AO305" s="846">
        <f>+Tabla1[[#This Row],[PRECIO $ BOLSA 50KG  FOB CDO TUC (IVA INC)]]*Tabla1[[#This Row],[Q Bolsas Equivalentes 50kg]]</f>
        <v>19549733.395793445</v>
      </c>
      <c r="AP305" s="847">
        <v>2.9000000000000001E-2</v>
      </c>
      <c r="AQ305" s="846">
        <v>-68</v>
      </c>
      <c r="AR305" s="848"/>
      <c r="AS305" s="849"/>
      <c r="AT305" s="923">
        <f>+Tabla1[[#This Row],[VENTA TOTAL $ (IVA INC) ]]-(SUM(Tabla1[[#This Row],[PENDIENTE DE ENTREGA]:[VALORES COBRADOS]]))</f>
        <v>0</v>
      </c>
      <c r="AU305" s="850">
        <f>VLOOKUP(Tabla1[[#This Row],[FECHA OC]],'TIPO DE CAMBIO'!A:B,2,TRUE)</f>
        <v>1446.3009999999999</v>
      </c>
      <c r="AV305" s="850">
        <f>+Tabla1[[#This Row],[SUBTOTAL]]/Tabla1[[#This Row],[TIPO DE CAMBIO]]</f>
        <v>11025</v>
      </c>
      <c r="AW305" s="851"/>
      <c r="AX305" s="850">
        <f>IFERROR(Tabla1[[#This Row],[VENTA TOTAL USD A PLAZO EN CLIENTE  (SIN IVA)]]*(1+Tabla1[[#This Row],[% IVA ]]),"")</f>
        <v>11025</v>
      </c>
      <c r="AY305" s="850">
        <f>+Tabla1[[#This Row],[VENTA TOTAL USD A PLAZO EN CLIENTE  (SIN IVA)]]/Tabla1[[#This Row],[KGS]]*1000</f>
        <v>315</v>
      </c>
      <c r="AZ305" s="850">
        <v>0</v>
      </c>
      <c r="BA305" s="850">
        <f>+Tabla1[[#This Row],[GASTOS FINANCIEROS $ BOLSA 50 KG (IVA INC)]]*20/Tabla1[[#This Row],[TIPO DE CAMBIO]]</f>
        <v>5.0572861643835623</v>
      </c>
      <c r="BB305" s="850">
        <f>+Tabla1[[#This Row],[PRECIO POR TN USD EN CLIENTE A PLAZO (SIN IVA)]]+Tabla1[[#This Row],[COSTO USD FLETE /TN (SIN IVA)]]+Tabla1[[#This Row],[COSTO FINANCIERO USD POR BOLSA 50KG (IVA INC)]]</f>
        <v>320.05728616438358</v>
      </c>
      <c r="BC305" s="848">
        <v>5</v>
      </c>
      <c r="BD305" s="944"/>
    </row>
    <row r="306" spans="1:56" ht="15.75" customHeight="1">
      <c r="A306" s="912">
        <v>46204</v>
      </c>
      <c r="B306" s="828">
        <v>1</v>
      </c>
      <c r="C306" s="792" t="s">
        <v>406</v>
      </c>
      <c r="D306" s="829">
        <f>+Tabla1[[#This Row],[FECHA Entrega]]</f>
        <v>46218</v>
      </c>
      <c r="E306" s="830">
        <v>700000869</v>
      </c>
      <c r="F306" s="831" t="s">
        <v>358</v>
      </c>
      <c r="G306" s="832" t="s">
        <v>216</v>
      </c>
      <c r="H306" s="852">
        <v>46218</v>
      </c>
      <c r="I306" s="834">
        <f t="shared" si="117"/>
        <v>35000</v>
      </c>
      <c r="J306" s="835">
        <f>0.315*Tabla1[[#This Row],[TIPO DE CAMBIO]]</f>
        <v>455.58481499999999</v>
      </c>
      <c r="K306" s="836">
        <f t="shared" si="118"/>
        <v>15945468.525</v>
      </c>
      <c r="L30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06" s="837">
        <f t="shared" si="120"/>
        <v>19294016.91525</v>
      </c>
      <c r="N306" s="838"/>
      <c r="O306" s="838">
        <v>0</v>
      </c>
      <c r="P306" s="838">
        <v>0</v>
      </c>
      <c r="Q306" s="839">
        <f>+Tabla1[[#This Row],[VENTA TOTAL $ (IVA INC) ]]-Tabla1[[#This Row],[PENDIENTE DE COBRO]]</f>
        <v>19294016.91525</v>
      </c>
      <c r="R306" s="840">
        <f>+Tabla1[[#This Row],[FECHA FC]]+Tabla1[[#This Row],[PLAZO ENTREGA VALORES]]</f>
        <v>46051</v>
      </c>
      <c r="S306" s="840">
        <f>+Tabla1[[#This Row],[FECHA FC]]+Tabla1[[#This Row],[PLAZO PAGO (DIAS)]]</f>
        <v>46218</v>
      </c>
      <c r="T306" s="834">
        <f t="shared" ca="1" si="119"/>
        <v>37</v>
      </c>
      <c r="U306" s="831">
        <f>+Tabla1[[#This Row],[FECHA OC]]-Tabla1[[#This Row],[FECHA Entrega]]</f>
        <v>-167</v>
      </c>
      <c r="V306" s="831"/>
      <c r="W306" s="841">
        <f>+Tabla1[[#This Row],[FECHA VTO VALORES]]+7</f>
        <v>46225</v>
      </c>
      <c r="X306" s="831" t="s">
        <v>489</v>
      </c>
      <c r="Y306" s="840">
        <v>46051</v>
      </c>
      <c r="Z306" s="842">
        <f>Tabla1[[#This Row],[KGS]]/50</f>
        <v>700</v>
      </c>
      <c r="AA30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06" s="844">
        <f>-Tabla1[[#This Row],[COSTO FLETE $ POR BOLSA 5O KG (SIN IVA)]]*1.21-Tabla1[[#This Row],[PRECIO $/ KG A PLAZO EN CLIENTE ( SIN IVA)]]*0.003*1.21*50</f>
        <v>-0.40864392249999071</v>
      </c>
      <c r="AC306" s="845">
        <f>SUM(Tabla1[[#This Row],[PRECIO $ BOLSA 50 KG (IVA INC) ]]+Tabla1[[#This Row],[COSTO FLETE $ BOLSA 50 KG (IVA INC)]])</f>
        <v>27562.4726635775</v>
      </c>
      <c r="AD306" s="844">
        <f>-Tabla1[[#This Row],[PRECIO $ BOLSA 50 KG (IVA INC) ]]*(Tabla1[[#This Row],[TASA FINANCIACION MENSUAL]]/365)*Tabla1[[#This Row],[PLAZO ENTREGA VALORES]]</f>
        <v>365.7179018417055</v>
      </c>
      <c r="AE306" s="845">
        <f>SUM(Tabla1[[#This Row],[PRECIO $ BOLSA50 KG  FOB TUCUMAN A PLAZO (IVA INC)]]+Tabla1[[#This Row],[GASTOS FINANCIEROS $ BOLSA 50 KG (IVA INC)]])</f>
        <v>27928.190565419205</v>
      </c>
      <c r="AF306" s="828" t="s">
        <v>476</v>
      </c>
      <c r="AG306" s="828" t="s">
        <v>365</v>
      </c>
      <c r="AH306" s="828" t="s">
        <v>387</v>
      </c>
      <c r="AI306" s="828" t="s">
        <v>261</v>
      </c>
      <c r="AJ30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06" s="846">
        <f>SUM(Tabla1[[#This Row],[PRECIO $ BOLSA 50KG  FOB CDO TUC (IVA INC)]]-Tabla1[[#This Row],[PRECIO REF $ BOLSA 50 KG CACTU (IVA INC)]])</f>
        <v>-4586.8094345807949</v>
      </c>
      <c r="AL306" s="847">
        <f>IFERROR(Tabla1[[#This Row],[PRECIO $ BOLSA 50KG  FOB CDO TUC (IVA INC)]]/Tabla1[[#This Row],[PRECIO REF $ BOLSA 50 KG CACTU (IVA INC)]]-1,"")</f>
        <v>-0.14106748991483298</v>
      </c>
      <c r="AM306" s="846">
        <f>+Tabla1[[#This Row],[DIF $ PRECIO NETO INDUSTRIA vs Neto TUCUMAN (IVA INC)]]*Tabla1[[#This Row],[Q Bolsas Equivalentes 50kg]]</f>
        <v>-3210766.6042065565</v>
      </c>
      <c r="AN306" s="846">
        <f>Tabla1[[#This Row],[PRECIO REF $ BOLSA 50 KG CACTU (IVA INC)]]*Tabla1[[#This Row],[Q Bolsas Equivalentes 50kg]]</f>
        <v>22760500</v>
      </c>
      <c r="AO306" s="846">
        <f>+Tabla1[[#This Row],[PRECIO $ BOLSA 50KG  FOB CDO TUC (IVA INC)]]*Tabla1[[#This Row],[Q Bolsas Equivalentes 50kg]]</f>
        <v>19549733.395793445</v>
      </c>
      <c r="AP306" s="847">
        <v>2.9000000000000001E-2</v>
      </c>
      <c r="AQ306" s="846">
        <v>-68</v>
      </c>
      <c r="AR306" s="848"/>
      <c r="AS306" s="849"/>
      <c r="AT306" s="923">
        <f>+Tabla1[[#This Row],[VENTA TOTAL $ (IVA INC) ]]-(SUM(Tabla1[[#This Row],[PENDIENTE DE ENTREGA]:[VALORES COBRADOS]]))</f>
        <v>0</v>
      </c>
      <c r="AU306" s="850">
        <f>VLOOKUP(Tabla1[[#This Row],[FECHA OC]],'TIPO DE CAMBIO'!A:B,2,TRUE)</f>
        <v>1446.3009999999999</v>
      </c>
      <c r="AV306" s="850">
        <f>+Tabla1[[#This Row],[SUBTOTAL]]/Tabla1[[#This Row],[TIPO DE CAMBIO]]</f>
        <v>11025</v>
      </c>
      <c r="AW306" s="851"/>
      <c r="AX306" s="850">
        <f>IFERROR(Tabla1[[#This Row],[VENTA TOTAL USD A PLAZO EN CLIENTE  (SIN IVA)]]*(1+Tabla1[[#This Row],[% IVA ]]),"")</f>
        <v>11025</v>
      </c>
      <c r="AY306" s="850">
        <f>+Tabla1[[#This Row],[VENTA TOTAL USD A PLAZO EN CLIENTE  (SIN IVA)]]/Tabla1[[#This Row],[KGS]]*1000</f>
        <v>315</v>
      </c>
      <c r="AZ306" s="850">
        <v>0</v>
      </c>
      <c r="BA306" s="850">
        <f>+Tabla1[[#This Row],[GASTOS FINANCIEROS $ BOLSA 50 KG (IVA INC)]]*20/Tabla1[[#This Row],[TIPO DE CAMBIO]]</f>
        <v>5.0572861643835623</v>
      </c>
      <c r="BB306" s="850">
        <f>+Tabla1[[#This Row],[PRECIO POR TN USD EN CLIENTE A PLAZO (SIN IVA)]]+Tabla1[[#This Row],[COSTO USD FLETE /TN (SIN IVA)]]+Tabla1[[#This Row],[COSTO FINANCIERO USD POR BOLSA 50KG (IVA INC)]]</f>
        <v>320.05728616438358</v>
      </c>
      <c r="BC306" s="848">
        <v>5</v>
      </c>
      <c r="BD306" s="944"/>
    </row>
    <row r="307" spans="1:56" ht="15.75" customHeight="1">
      <c r="A307" s="912">
        <v>46204</v>
      </c>
      <c r="B307" s="828">
        <v>1</v>
      </c>
      <c r="C307" s="792" t="s">
        <v>406</v>
      </c>
      <c r="D307" s="829">
        <f>+Tabla1[[#This Row],[FECHA Entrega]]</f>
        <v>46218</v>
      </c>
      <c r="E307" s="830">
        <v>700000869</v>
      </c>
      <c r="F307" s="831" t="s">
        <v>358</v>
      </c>
      <c r="G307" s="832" t="s">
        <v>216</v>
      </c>
      <c r="H307" s="852">
        <v>46218</v>
      </c>
      <c r="I307" s="834">
        <f t="shared" si="117"/>
        <v>35000</v>
      </c>
      <c r="J307" s="835">
        <f>0.315*Tabla1[[#This Row],[TIPO DE CAMBIO]]</f>
        <v>455.58481499999999</v>
      </c>
      <c r="K307" s="836">
        <f t="shared" si="118"/>
        <v>15945468.525</v>
      </c>
      <c r="L30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07" s="837">
        <f t="shared" si="120"/>
        <v>19294016.91525</v>
      </c>
      <c r="N307" s="838"/>
      <c r="O307" s="838">
        <v>0</v>
      </c>
      <c r="P307" s="838">
        <v>0</v>
      </c>
      <c r="Q307" s="839">
        <f>+Tabla1[[#This Row],[VENTA TOTAL $ (IVA INC) ]]-Tabla1[[#This Row],[PENDIENTE DE COBRO]]</f>
        <v>19294016.91525</v>
      </c>
      <c r="R307" s="840">
        <f>+Tabla1[[#This Row],[FECHA FC]]+Tabla1[[#This Row],[PLAZO ENTREGA VALORES]]</f>
        <v>46051</v>
      </c>
      <c r="S307" s="840">
        <f>+Tabla1[[#This Row],[FECHA FC]]+Tabla1[[#This Row],[PLAZO PAGO (DIAS)]]</f>
        <v>46218</v>
      </c>
      <c r="T307" s="834">
        <f t="shared" ca="1" si="119"/>
        <v>37</v>
      </c>
      <c r="U307" s="831">
        <f>+Tabla1[[#This Row],[FECHA OC]]-Tabla1[[#This Row],[FECHA Entrega]]</f>
        <v>-167</v>
      </c>
      <c r="V307" s="831"/>
      <c r="W307" s="841">
        <f>+Tabla1[[#This Row],[FECHA VTO VALORES]]+7</f>
        <v>46225</v>
      </c>
      <c r="X307" s="831" t="s">
        <v>489</v>
      </c>
      <c r="Y307" s="840">
        <v>46051</v>
      </c>
      <c r="Z307" s="842">
        <f>Tabla1[[#This Row],[KGS]]/50</f>
        <v>700</v>
      </c>
      <c r="AA30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07" s="844">
        <f>-Tabla1[[#This Row],[COSTO FLETE $ POR BOLSA 5O KG (SIN IVA)]]*1.21-Tabla1[[#This Row],[PRECIO $/ KG A PLAZO EN CLIENTE ( SIN IVA)]]*0.003*1.21*50</f>
        <v>-0.40864392249999071</v>
      </c>
      <c r="AC307" s="845">
        <f>SUM(Tabla1[[#This Row],[PRECIO $ BOLSA 50 KG (IVA INC) ]]+Tabla1[[#This Row],[COSTO FLETE $ BOLSA 50 KG (IVA INC)]])</f>
        <v>27562.4726635775</v>
      </c>
      <c r="AD307" s="844">
        <f>-Tabla1[[#This Row],[PRECIO $ BOLSA 50 KG (IVA INC) ]]*(Tabla1[[#This Row],[TASA FINANCIACION MENSUAL]]/365)*Tabla1[[#This Row],[PLAZO ENTREGA VALORES]]</f>
        <v>365.7179018417055</v>
      </c>
      <c r="AE307" s="845">
        <f>SUM(Tabla1[[#This Row],[PRECIO $ BOLSA50 KG  FOB TUCUMAN A PLAZO (IVA INC)]]+Tabla1[[#This Row],[GASTOS FINANCIEROS $ BOLSA 50 KG (IVA INC)]])</f>
        <v>27928.190565419205</v>
      </c>
      <c r="AF307" s="828" t="s">
        <v>476</v>
      </c>
      <c r="AG307" s="828" t="s">
        <v>365</v>
      </c>
      <c r="AH307" s="828" t="s">
        <v>387</v>
      </c>
      <c r="AI307" s="828" t="s">
        <v>261</v>
      </c>
      <c r="AJ30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07" s="846">
        <f>SUM(Tabla1[[#This Row],[PRECIO $ BOLSA 50KG  FOB CDO TUC (IVA INC)]]-Tabla1[[#This Row],[PRECIO REF $ BOLSA 50 KG CACTU (IVA INC)]])</f>
        <v>-4586.8094345807949</v>
      </c>
      <c r="AL307" s="847">
        <f>IFERROR(Tabla1[[#This Row],[PRECIO $ BOLSA 50KG  FOB CDO TUC (IVA INC)]]/Tabla1[[#This Row],[PRECIO REF $ BOLSA 50 KG CACTU (IVA INC)]]-1,"")</f>
        <v>-0.14106748991483298</v>
      </c>
      <c r="AM307" s="846">
        <f>+Tabla1[[#This Row],[DIF $ PRECIO NETO INDUSTRIA vs Neto TUCUMAN (IVA INC)]]*Tabla1[[#This Row],[Q Bolsas Equivalentes 50kg]]</f>
        <v>-3210766.6042065565</v>
      </c>
      <c r="AN307" s="846">
        <f>Tabla1[[#This Row],[PRECIO REF $ BOLSA 50 KG CACTU (IVA INC)]]*Tabla1[[#This Row],[Q Bolsas Equivalentes 50kg]]</f>
        <v>22760500</v>
      </c>
      <c r="AO307" s="846">
        <f>+Tabla1[[#This Row],[PRECIO $ BOLSA 50KG  FOB CDO TUC (IVA INC)]]*Tabla1[[#This Row],[Q Bolsas Equivalentes 50kg]]</f>
        <v>19549733.395793445</v>
      </c>
      <c r="AP307" s="847">
        <v>2.9000000000000001E-2</v>
      </c>
      <c r="AQ307" s="846">
        <v>-68</v>
      </c>
      <c r="AR307" s="848"/>
      <c r="AS307" s="849"/>
      <c r="AT307" s="923">
        <f>+Tabla1[[#This Row],[VENTA TOTAL $ (IVA INC) ]]-(SUM(Tabla1[[#This Row],[PENDIENTE DE ENTREGA]:[VALORES COBRADOS]]))</f>
        <v>0</v>
      </c>
      <c r="AU307" s="850">
        <f>VLOOKUP(Tabla1[[#This Row],[FECHA OC]],'TIPO DE CAMBIO'!A:B,2,TRUE)</f>
        <v>1446.3009999999999</v>
      </c>
      <c r="AV307" s="850">
        <f>+Tabla1[[#This Row],[SUBTOTAL]]/Tabla1[[#This Row],[TIPO DE CAMBIO]]</f>
        <v>11025</v>
      </c>
      <c r="AW307" s="851"/>
      <c r="AX307" s="850">
        <f>IFERROR(Tabla1[[#This Row],[VENTA TOTAL USD A PLAZO EN CLIENTE  (SIN IVA)]]*(1+Tabla1[[#This Row],[% IVA ]]),"")</f>
        <v>11025</v>
      </c>
      <c r="AY307" s="850">
        <f>+Tabla1[[#This Row],[VENTA TOTAL USD A PLAZO EN CLIENTE  (SIN IVA)]]/Tabla1[[#This Row],[KGS]]*1000</f>
        <v>315</v>
      </c>
      <c r="AZ307" s="850">
        <v>0</v>
      </c>
      <c r="BA307" s="850">
        <f>+Tabla1[[#This Row],[GASTOS FINANCIEROS $ BOLSA 50 KG (IVA INC)]]*20/Tabla1[[#This Row],[TIPO DE CAMBIO]]</f>
        <v>5.0572861643835623</v>
      </c>
      <c r="BB307" s="850">
        <f>+Tabla1[[#This Row],[PRECIO POR TN USD EN CLIENTE A PLAZO (SIN IVA)]]+Tabla1[[#This Row],[COSTO USD FLETE /TN (SIN IVA)]]+Tabla1[[#This Row],[COSTO FINANCIERO USD POR BOLSA 50KG (IVA INC)]]</f>
        <v>320.05728616438358</v>
      </c>
      <c r="BC307" s="848">
        <v>5</v>
      </c>
      <c r="BD307" s="944"/>
    </row>
    <row r="308" spans="1:56" ht="15.75" customHeight="1">
      <c r="A308" s="912">
        <v>46204</v>
      </c>
      <c r="B308" s="828">
        <v>1</v>
      </c>
      <c r="C308" s="792" t="s">
        <v>406</v>
      </c>
      <c r="D308" s="829">
        <f>+Tabla1[[#This Row],[FECHA Entrega]]</f>
        <v>46218</v>
      </c>
      <c r="E308" s="830">
        <v>700000869</v>
      </c>
      <c r="F308" s="831" t="s">
        <v>358</v>
      </c>
      <c r="G308" s="832" t="s">
        <v>216</v>
      </c>
      <c r="H308" s="852">
        <v>46218</v>
      </c>
      <c r="I308" s="834">
        <f t="shared" si="117"/>
        <v>35000</v>
      </c>
      <c r="J308" s="835">
        <f>0.315*Tabla1[[#This Row],[TIPO DE CAMBIO]]</f>
        <v>455.58481499999999</v>
      </c>
      <c r="K308" s="836">
        <f t="shared" si="118"/>
        <v>15945468.525</v>
      </c>
      <c r="L30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08" s="837">
        <f t="shared" si="120"/>
        <v>19294016.91525</v>
      </c>
      <c r="N308" s="838"/>
      <c r="O308" s="838">
        <v>0</v>
      </c>
      <c r="P308" s="838">
        <v>0</v>
      </c>
      <c r="Q308" s="839">
        <f>+Tabla1[[#This Row],[VENTA TOTAL $ (IVA INC) ]]-Tabla1[[#This Row],[PENDIENTE DE COBRO]]</f>
        <v>19294016.91525</v>
      </c>
      <c r="R308" s="840">
        <f>+Tabla1[[#This Row],[FECHA FC]]+Tabla1[[#This Row],[PLAZO ENTREGA VALORES]]</f>
        <v>46051</v>
      </c>
      <c r="S308" s="840">
        <f>+Tabla1[[#This Row],[FECHA FC]]+Tabla1[[#This Row],[PLAZO PAGO (DIAS)]]</f>
        <v>46218</v>
      </c>
      <c r="T308" s="834">
        <f t="shared" ca="1" si="119"/>
        <v>37</v>
      </c>
      <c r="U308" s="831">
        <f>+Tabla1[[#This Row],[FECHA OC]]-Tabla1[[#This Row],[FECHA Entrega]]</f>
        <v>-167</v>
      </c>
      <c r="V308" s="831"/>
      <c r="W308" s="841">
        <f>+Tabla1[[#This Row],[FECHA VTO VALORES]]+7</f>
        <v>46225</v>
      </c>
      <c r="X308" s="831" t="s">
        <v>489</v>
      </c>
      <c r="Y308" s="840">
        <v>46051</v>
      </c>
      <c r="Z308" s="842">
        <f>Tabla1[[#This Row],[KGS]]/50</f>
        <v>700</v>
      </c>
      <c r="AA30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08" s="844">
        <f>-Tabla1[[#This Row],[COSTO FLETE $ POR BOLSA 5O KG (SIN IVA)]]*1.21-Tabla1[[#This Row],[PRECIO $/ KG A PLAZO EN CLIENTE ( SIN IVA)]]*0.003*1.21*50</f>
        <v>-0.40864392249999071</v>
      </c>
      <c r="AC308" s="845">
        <f>SUM(Tabla1[[#This Row],[PRECIO $ BOLSA 50 KG (IVA INC) ]]+Tabla1[[#This Row],[COSTO FLETE $ BOLSA 50 KG (IVA INC)]])</f>
        <v>27562.4726635775</v>
      </c>
      <c r="AD308" s="844">
        <f>-Tabla1[[#This Row],[PRECIO $ BOLSA 50 KG (IVA INC) ]]*(Tabla1[[#This Row],[TASA FINANCIACION MENSUAL]]/365)*Tabla1[[#This Row],[PLAZO ENTREGA VALORES]]</f>
        <v>365.7179018417055</v>
      </c>
      <c r="AE308" s="845">
        <f>SUM(Tabla1[[#This Row],[PRECIO $ BOLSA50 KG  FOB TUCUMAN A PLAZO (IVA INC)]]+Tabla1[[#This Row],[GASTOS FINANCIEROS $ BOLSA 50 KG (IVA INC)]])</f>
        <v>27928.190565419205</v>
      </c>
      <c r="AF308" s="828" t="s">
        <v>476</v>
      </c>
      <c r="AG308" s="828" t="s">
        <v>365</v>
      </c>
      <c r="AH308" s="828" t="s">
        <v>387</v>
      </c>
      <c r="AI308" s="828" t="s">
        <v>261</v>
      </c>
      <c r="AJ30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08" s="846">
        <f>SUM(Tabla1[[#This Row],[PRECIO $ BOLSA 50KG  FOB CDO TUC (IVA INC)]]-Tabla1[[#This Row],[PRECIO REF $ BOLSA 50 KG CACTU (IVA INC)]])</f>
        <v>-4586.8094345807949</v>
      </c>
      <c r="AL308" s="847">
        <f>IFERROR(Tabla1[[#This Row],[PRECIO $ BOLSA 50KG  FOB CDO TUC (IVA INC)]]/Tabla1[[#This Row],[PRECIO REF $ BOLSA 50 KG CACTU (IVA INC)]]-1,"")</f>
        <v>-0.14106748991483298</v>
      </c>
      <c r="AM308" s="846">
        <f>+Tabla1[[#This Row],[DIF $ PRECIO NETO INDUSTRIA vs Neto TUCUMAN (IVA INC)]]*Tabla1[[#This Row],[Q Bolsas Equivalentes 50kg]]</f>
        <v>-3210766.6042065565</v>
      </c>
      <c r="AN308" s="846">
        <f>Tabla1[[#This Row],[PRECIO REF $ BOLSA 50 KG CACTU (IVA INC)]]*Tabla1[[#This Row],[Q Bolsas Equivalentes 50kg]]</f>
        <v>22760500</v>
      </c>
      <c r="AO308" s="846">
        <f>+Tabla1[[#This Row],[PRECIO $ BOLSA 50KG  FOB CDO TUC (IVA INC)]]*Tabla1[[#This Row],[Q Bolsas Equivalentes 50kg]]</f>
        <v>19549733.395793445</v>
      </c>
      <c r="AP308" s="847">
        <v>2.9000000000000001E-2</v>
      </c>
      <c r="AQ308" s="846">
        <v>-68</v>
      </c>
      <c r="AR308" s="848"/>
      <c r="AS308" s="849"/>
      <c r="AT308" s="923">
        <f>+Tabla1[[#This Row],[VENTA TOTAL $ (IVA INC) ]]-(SUM(Tabla1[[#This Row],[PENDIENTE DE ENTREGA]:[VALORES COBRADOS]]))</f>
        <v>0</v>
      </c>
      <c r="AU308" s="850">
        <f>VLOOKUP(Tabla1[[#This Row],[FECHA OC]],'TIPO DE CAMBIO'!A:B,2,TRUE)</f>
        <v>1446.3009999999999</v>
      </c>
      <c r="AV308" s="850">
        <f>+Tabla1[[#This Row],[SUBTOTAL]]/Tabla1[[#This Row],[TIPO DE CAMBIO]]</f>
        <v>11025</v>
      </c>
      <c r="AW308" s="851"/>
      <c r="AX308" s="850">
        <f>IFERROR(Tabla1[[#This Row],[VENTA TOTAL USD A PLAZO EN CLIENTE  (SIN IVA)]]*(1+Tabla1[[#This Row],[% IVA ]]),"")</f>
        <v>11025</v>
      </c>
      <c r="AY308" s="850">
        <f>+Tabla1[[#This Row],[VENTA TOTAL USD A PLAZO EN CLIENTE  (SIN IVA)]]/Tabla1[[#This Row],[KGS]]*1000</f>
        <v>315</v>
      </c>
      <c r="AZ308" s="850">
        <v>0</v>
      </c>
      <c r="BA308" s="850">
        <f>+Tabla1[[#This Row],[GASTOS FINANCIEROS $ BOLSA 50 KG (IVA INC)]]*20/Tabla1[[#This Row],[TIPO DE CAMBIO]]</f>
        <v>5.0572861643835623</v>
      </c>
      <c r="BB308" s="850">
        <f>+Tabla1[[#This Row],[PRECIO POR TN USD EN CLIENTE A PLAZO (SIN IVA)]]+Tabla1[[#This Row],[COSTO USD FLETE /TN (SIN IVA)]]+Tabla1[[#This Row],[COSTO FINANCIERO USD POR BOLSA 50KG (IVA INC)]]</f>
        <v>320.05728616438358</v>
      </c>
      <c r="BC308" s="848">
        <v>5</v>
      </c>
      <c r="BD308" s="944"/>
    </row>
    <row r="309" spans="1:56" ht="15.75" customHeight="1">
      <c r="A309" s="912">
        <v>46204</v>
      </c>
      <c r="B309" s="828">
        <v>1</v>
      </c>
      <c r="C309" s="792" t="s">
        <v>406</v>
      </c>
      <c r="D309" s="829">
        <f>+Tabla1[[#This Row],[FECHA Entrega]]</f>
        <v>46219</v>
      </c>
      <c r="E309" s="830">
        <v>700000869</v>
      </c>
      <c r="F309" s="831" t="s">
        <v>358</v>
      </c>
      <c r="G309" s="832" t="s">
        <v>216</v>
      </c>
      <c r="H309" s="852">
        <v>46219</v>
      </c>
      <c r="I309" s="834">
        <f t="shared" si="117"/>
        <v>35000</v>
      </c>
      <c r="J309" s="835">
        <f>0.315*Tabla1[[#This Row],[TIPO DE CAMBIO]]</f>
        <v>455.58481499999999</v>
      </c>
      <c r="K309" s="836">
        <f t="shared" si="118"/>
        <v>15945468.525</v>
      </c>
      <c r="L30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09" s="837">
        <f t="shared" si="120"/>
        <v>19294016.91525</v>
      </c>
      <c r="N309" s="838"/>
      <c r="O309" s="838">
        <v>0</v>
      </c>
      <c r="P309" s="838">
        <v>0</v>
      </c>
      <c r="Q309" s="839">
        <f>+Tabla1[[#This Row],[VENTA TOTAL $ (IVA INC) ]]-Tabla1[[#This Row],[PENDIENTE DE COBRO]]</f>
        <v>19294016.91525</v>
      </c>
      <c r="R309" s="840">
        <f>+Tabla1[[#This Row],[FECHA FC]]+Tabla1[[#This Row],[PLAZO ENTREGA VALORES]]</f>
        <v>46051</v>
      </c>
      <c r="S309" s="840">
        <f>+Tabla1[[#This Row],[FECHA FC]]+Tabla1[[#This Row],[PLAZO PAGO (DIAS)]]</f>
        <v>46219</v>
      </c>
      <c r="T309" s="834">
        <f t="shared" ca="1" si="119"/>
        <v>38</v>
      </c>
      <c r="U309" s="831">
        <f>+Tabla1[[#This Row],[FECHA OC]]-Tabla1[[#This Row],[FECHA Entrega]]</f>
        <v>-168</v>
      </c>
      <c r="V309" s="831"/>
      <c r="W309" s="841">
        <f>+Tabla1[[#This Row],[FECHA VTO VALORES]]+7</f>
        <v>46226</v>
      </c>
      <c r="X309" s="831" t="s">
        <v>489</v>
      </c>
      <c r="Y309" s="840">
        <v>46051</v>
      </c>
      <c r="Z309" s="842">
        <f>Tabla1[[#This Row],[KGS]]/50</f>
        <v>700</v>
      </c>
      <c r="AA30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09" s="844">
        <f>-Tabla1[[#This Row],[COSTO FLETE $ POR BOLSA 5O KG (SIN IVA)]]*1.21-Tabla1[[#This Row],[PRECIO $/ KG A PLAZO EN CLIENTE ( SIN IVA)]]*0.003*1.21*50</f>
        <v>-0.40864392249999071</v>
      </c>
      <c r="AC309" s="845">
        <f>SUM(Tabla1[[#This Row],[PRECIO $ BOLSA 50 KG (IVA INC) ]]+Tabla1[[#This Row],[COSTO FLETE $ BOLSA 50 KG (IVA INC)]])</f>
        <v>27562.4726635775</v>
      </c>
      <c r="AD309" s="844">
        <f>-Tabla1[[#This Row],[PRECIO $ BOLSA 50 KG (IVA INC) ]]*(Tabla1[[#This Row],[TASA FINANCIACION MENSUAL]]/365)*Tabla1[[#This Row],[PLAZO ENTREGA VALORES]]</f>
        <v>367.90782939764387</v>
      </c>
      <c r="AE309" s="845">
        <f>SUM(Tabla1[[#This Row],[PRECIO $ BOLSA50 KG  FOB TUCUMAN A PLAZO (IVA INC)]]+Tabla1[[#This Row],[GASTOS FINANCIEROS $ BOLSA 50 KG (IVA INC)]])</f>
        <v>27930.380492975146</v>
      </c>
      <c r="AF309" s="828" t="s">
        <v>476</v>
      </c>
      <c r="AG309" s="828" t="s">
        <v>365</v>
      </c>
      <c r="AH309" s="828" t="s">
        <v>387</v>
      </c>
      <c r="AI309" s="828" t="s">
        <v>261</v>
      </c>
      <c r="AJ30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09" s="846">
        <f>SUM(Tabla1[[#This Row],[PRECIO $ BOLSA 50KG  FOB CDO TUC (IVA INC)]]-Tabla1[[#This Row],[PRECIO REF $ BOLSA 50 KG CACTU (IVA INC)]])</f>
        <v>-4584.6195070248541</v>
      </c>
      <c r="AL309" s="847">
        <f>IFERROR(Tabla1[[#This Row],[PRECIO $ BOLSA 50KG  FOB CDO TUC (IVA INC)]]/Tabla1[[#This Row],[PRECIO REF $ BOLSA 50 KG CACTU (IVA INC)]]-1,"")</f>
        <v>-0.1410001386137123</v>
      </c>
      <c r="AM309" s="846">
        <f>+Tabla1[[#This Row],[DIF $ PRECIO NETO INDUSTRIA vs Neto TUCUMAN (IVA INC)]]*Tabla1[[#This Row],[Q Bolsas Equivalentes 50kg]]</f>
        <v>-3209233.654917398</v>
      </c>
      <c r="AN309" s="846">
        <f>Tabla1[[#This Row],[PRECIO REF $ BOLSA 50 KG CACTU (IVA INC)]]*Tabla1[[#This Row],[Q Bolsas Equivalentes 50kg]]</f>
        <v>22760500</v>
      </c>
      <c r="AO309" s="846">
        <f>+Tabla1[[#This Row],[PRECIO $ BOLSA 50KG  FOB CDO TUC (IVA INC)]]*Tabla1[[#This Row],[Q Bolsas Equivalentes 50kg]]</f>
        <v>19551266.345082603</v>
      </c>
      <c r="AP309" s="847">
        <v>2.9000000000000001E-2</v>
      </c>
      <c r="AQ309" s="846">
        <v>-68</v>
      </c>
      <c r="AR309" s="848"/>
      <c r="AS309" s="849"/>
      <c r="AT309" s="923">
        <f>+Tabla1[[#This Row],[VENTA TOTAL $ (IVA INC) ]]-(SUM(Tabla1[[#This Row],[PENDIENTE DE ENTREGA]:[VALORES COBRADOS]]))</f>
        <v>0</v>
      </c>
      <c r="AU309" s="850">
        <f>VLOOKUP(Tabla1[[#This Row],[FECHA OC]],'TIPO DE CAMBIO'!A:B,2,TRUE)</f>
        <v>1446.3009999999999</v>
      </c>
      <c r="AV309" s="850">
        <f>+Tabla1[[#This Row],[SUBTOTAL]]/Tabla1[[#This Row],[TIPO DE CAMBIO]]</f>
        <v>11025</v>
      </c>
      <c r="AW309" s="851"/>
      <c r="AX309" s="850">
        <f>IFERROR(Tabla1[[#This Row],[VENTA TOTAL USD A PLAZO EN CLIENTE  (SIN IVA)]]*(1+Tabla1[[#This Row],[% IVA ]]),"")</f>
        <v>11025</v>
      </c>
      <c r="AY309" s="850">
        <f>+Tabla1[[#This Row],[VENTA TOTAL USD A PLAZO EN CLIENTE  (SIN IVA)]]/Tabla1[[#This Row],[KGS]]*1000</f>
        <v>315</v>
      </c>
      <c r="AZ309" s="850">
        <v>0</v>
      </c>
      <c r="BA309" s="850">
        <f>+Tabla1[[#This Row],[GASTOS FINANCIEROS $ BOLSA 50 KG (IVA INC)]]*20/Tabla1[[#This Row],[TIPO DE CAMBIO]]</f>
        <v>5.0875693150684933</v>
      </c>
      <c r="BB309" s="850">
        <f>+Tabla1[[#This Row],[PRECIO POR TN USD EN CLIENTE A PLAZO (SIN IVA)]]+Tabla1[[#This Row],[COSTO USD FLETE /TN (SIN IVA)]]+Tabla1[[#This Row],[COSTO FINANCIERO USD POR BOLSA 50KG (IVA INC)]]</f>
        <v>320.08756931506849</v>
      </c>
      <c r="BC309" s="848">
        <v>5</v>
      </c>
      <c r="BD309" s="944"/>
    </row>
    <row r="310" spans="1:56" ht="15.75" customHeight="1">
      <c r="A310" s="912">
        <v>46204</v>
      </c>
      <c r="B310" s="828">
        <v>1</v>
      </c>
      <c r="C310" s="792" t="s">
        <v>406</v>
      </c>
      <c r="D310" s="829">
        <f>+Tabla1[[#This Row],[FECHA Entrega]]</f>
        <v>46219</v>
      </c>
      <c r="E310" s="830">
        <v>700000869</v>
      </c>
      <c r="F310" s="831" t="s">
        <v>358</v>
      </c>
      <c r="G310" s="832" t="s">
        <v>216</v>
      </c>
      <c r="H310" s="852">
        <v>46219</v>
      </c>
      <c r="I310" s="834">
        <f t="shared" si="117"/>
        <v>35000</v>
      </c>
      <c r="J310" s="835">
        <f>0.315*Tabla1[[#This Row],[TIPO DE CAMBIO]]</f>
        <v>455.58481499999999</v>
      </c>
      <c r="K310" s="836">
        <f t="shared" si="118"/>
        <v>15945468.525</v>
      </c>
      <c r="L31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10" s="837">
        <f t="shared" si="120"/>
        <v>19294016.91525</v>
      </c>
      <c r="N310" s="838"/>
      <c r="O310" s="838">
        <v>0</v>
      </c>
      <c r="P310" s="838">
        <v>0</v>
      </c>
      <c r="Q310" s="839">
        <f>+Tabla1[[#This Row],[VENTA TOTAL $ (IVA INC) ]]-Tabla1[[#This Row],[PENDIENTE DE COBRO]]</f>
        <v>19294016.91525</v>
      </c>
      <c r="R310" s="840">
        <f>+Tabla1[[#This Row],[FECHA FC]]+Tabla1[[#This Row],[PLAZO ENTREGA VALORES]]</f>
        <v>46051</v>
      </c>
      <c r="S310" s="840">
        <f>+Tabla1[[#This Row],[FECHA FC]]+Tabla1[[#This Row],[PLAZO PAGO (DIAS)]]</f>
        <v>46219</v>
      </c>
      <c r="T310" s="834">
        <f t="shared" ca="1" si="119"/>
        <v>38</v>
      </c>
      <c r="U310" s="831">
        <f>+Tabla1[[#This Row],[FECHA OC]]-Tabla1[[#This Row],[FECHA Entrega]]</f>
        <v>-168</v>
      </c>
      <c r="V310" s="831"/>
      <c r="W310" s="841">
        <f>+Tabla1[[#This Row],[FECHA VTO VALORES]]+7</f>
        <v>46226</v>
      </c>
      <c r="X310" s="831" t="s">
        <v>489</v>
      </c>
      <c r="Y310" s="840">
        <v>46051</v>
      </c>
      <c r="Z310" s="842">
        <f>Tabla1[[#This Row],[KGS]]/50</f>
        <v>700</v>
      </c>
      <c r="AA31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10" s="844">
        <f>-Tabla1[[#This Row],[COSTO FLETE $ POR BOLSA 5O KG (SIN IVA)]]*1.21-Tabla1[[#This Row],[PRECIO $/ KG A PLAZO EN CLIENTE ( SIN IVA)]]*0.003*1.21*50</f>
        <v>-0.40864392249999071</v>
      </c>
      <c r="AC310" s="845">
        <f>SUM(Tabla1[[#This Row],[PRECIO $ BOLSA 50 KG (IVA INC) ]]+Tabla1[[#This Row],[COSTO FLETE $ BOLSA 50 KG (IVA INC)]])</f>
        <v>27562.4726635775</v>
      </c>
      <c r="AD310" s="844">
        <f>-Tabla1[[#This Row],[PRECIO $ BOLSA 50 KG (IVA INC) ]]*(Tabla1[[#This Row],[TASA FINANCIACION MENSUAL]]/365)*Tabla1[[#This Row],[PLAZO ENTREGA VALORES]]</f>
        <v>367.90782939764387</v>
      </c>
      <c r="AE310" s="845">
        <f>SUM(Tabla1[[#This Row],[PRECIO $ BOLSA50 KG  FOB TUCUMAN A PLAZO (IVA INC)]]+Tabla1[[#This Row],[GASTOS FINANCIEROS $ BOLSA 50 KG (IVA INC)]])</f>
        <v>27930.380492975146</v>
      </c>
      <c r="AF310" s="828" t="s">
        <v>476</v>
      </c>
      <c r="AG310" s="828" t="s">
        <v>365</v>
      </c>
      <c r="AH310" s="828" t="s">
        <v>387</v>
      </c>
      <c r="AI310" s="828" t="s">
        <v>261</v>
      </c>
      <c r="AJ31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10" s="846">
        <f>SUM(Tabla1[[#This Row],[PRECIO $ BOLSA 50KG  FOB CDO TUC (IVA INC)]]-Tabla1[[#This Row],[PRECIO REF $ BOLSA 50 KG CACTU (IVA INC)]])</f>
        <v>-4584.6195070248541</v>
      </c>
      <c r="AL310" s="847">
        <f>IFERROR(Tabla1[[#This Row],[PRECIO $ BOLSA 50KG  FOB CDO TUC (IVA INC)]]/Tabla1[[#This Row],[PRECIO REF $ BOLSA 50 KG CACTU (IVA INC)]]-1,"")</f>
        <v>-0.1410001386137123</v>
      </c>
      <c r="AM310" s="846">
        <f>+Tabla1[[#This Row],[DIF $ PRECIO NETO INDUSTRIA vs Neto TUCUMAN (IVA INC)]]*Tabla1[[#This Row],[Q Bolsas Equivalentes 50kg]]</f>
        <v>-3209233.654917398</v>
      </c>
      <c r="AN310" s="846">
        <f>Tabla1[[#This Row],[PRECIO REF $ BOLSA 50 KG CACTU (IVA INC)]]*Tabla1[[#This Row],[Q Bolsas Equivalentes 50kg]]</f>
        <v>22760500</v>
      </c>
      <c r="AO310" s="846">
        <f>+Tabla1[[#This Row],[PRECIO $ BOLSA 50KG  FOB CDO TUC (IVA INC)]]*Tabla1[[#This Row],[Q Bolsas Equivalentes 50kg]]</f>
        <v>19551266.345082603</v>
      </c>
      <c r="AP310" s="847">
        <v>2.9000000000000001E-2</v>
      </c>
      <c r="AQ310" s="846">
        <v>-68</v>
      </c>
      <c r="AR310" s="848"/>
      <c r="AS310" s="849"/>
      <c r="AT310" s="923">
        <f>+Tabla1[[#This Row],[VENTA TOTAL $ (IVA INC) ]]-(SUM(Tabla1[[#This Row],[PENDIENTE DE ENTREGA]:[VALORES COBRADOS]]))</f>
        <v>0</v>
      </c>
      <c r="AU310" s="850">
        <f>VLOOKUP(Tabla1[[#This Row],[FECHA OC]],'TIPO DE CAMBIO'!A:B,2,TRUE)</f>
        <v>1446.3009999999999</v>
      </c>
      <c r="AV310" s="850">
        <f>+Tabla1[[#This Row],[SUBTOTAL]]/Tabla1[[#This Row],[TIPO DE CAMBIO]]</f>
        <v>11025</v>
      </c>
      <c r="AW310" s="851"/>
      <c r="AX310" s="850">
        <f>IFERROR(Tabla1[[#This Row],[VENTA TOTAL USD A PLAZO EN CLIENTE  (SIN IVA)]]*(1+Tabla1[[#This Row],[% IVA ]]),"")</f>
        <v>11025</v>
      </c>
      <c r="AY310" s="850">
        <f>+Tabla1[[#This Row],[VENTA TOTAL USD A PLAZO EN CLIENTE  (SIN IVA)]]/Tabla1[[#This Row],[KGS]]*1000</f>
        <v>315</v>
      </c>
      <c r="AZ310" s="850">
        <v>0</v>
      </c>
      <c r="BA310" s="850">
        <f>+Tabla1[[#This Row],[GASTOS FINANCIEROS $ BOLSA 50 KG (IVA INC)]]*20/Tabla1[[#This Row],[TIPO DE CAMBIO]]</f>
        <v>5.0875693150684933</v>
      </c>
      <c r="BB310" s="850">
        <f>+Tabla1[[#This Row],[PRECIO POR TN USD EN CLIENTE A PLAZO (SIN IVA)]]+Tabla1[[#This Row],[COSTO USD FLETE /TN (SIN IVA)]]+Tabla1[[#This Row],[COSTO FINANCIERO USD POR BOLSA 50KG (IVA INC)]]</f>
        <v>320.08756931506849</v>
      </c>
      <c r="BC310" s="848">
        <v>5</v>
      </c>
      <c r="BD310" s="944"/>
    </row>
    <row r="311" spans="1:56" ht="15.75" customHeight="1">
      <c r="A311" s="912">
        <v>46204</v>
      </c>
      <c r="B311" s="828">
        <v>1</v>
      </c>
      <c r="C311" s="792" t="s">
        <v>406</v>
      </c>
      <c r="D311" s="829">
        <f>+Tabla1[[#This Row],[FECHA Entrega]]</f>
        <v>46220</v>
      </c>
      <c r="E311" s="830">
        <v>700000869</v>
      </c>
      <c r="F311" s="831" t="s">
        <v>358</v>
      </c>
      <c r="G311" s="832" t="s">
        <v>216</v>
      </c>
      <c r="H311" s="852">
        <v>46220</v>
      </c>
      <c r="I311" s="834">
        <f t="shared" si="117"/>
        <v>35000</v>
      </c>
      <c r="J311" s="835">
        <f>0.315*Tabla1[[#This Row],[TIPO DE CAMBIO]]</f>
        <v>455.58481499999999</v>
      </c>
      <c r="K311" s="836">
        <f t="shared" si="118"/>
        <v>15945468.525</v>
      </c>
      <c r="L31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11" s="837">
        <f t="shared" si="120"/>
        <v>19294016.91525</v>
      </c>
      <c r="N311" s="838"/>
      <c r="O311" s="838">
        <v>0</v>
      </c>
      <c r="P311" s="838">
        <v>0</v>
      </c>
      <c r="Q311" s="839">
        <f>+Tabla1[[#This Row],[VENTA TOTAL $ (IVA INC) ]]-Tabla1[[#This Row],[PENDIENTE DE COBRO]]</f>
        <v>19294016.91525</v>
      </c>
      <c r="R311" s="840">
        <f>+Tabla1[[#This Row],[FECHA FC]]+Tabla1[[#This Row],[PLAZO ENTREGA VALORES]]</f>
        <v>46051</v>
      </c>
      <c r="S311" s="840">
        <f>+Tabla1[[#This Row],[FECHA FC]]+Tabla1[[#This Row],[PLAZO PAGO (DIAS)]]</f>
        <v>46220</v>
      </c>
      <c r="T311" s="834">
        <f t="shared" ca="1" si="119"/>
        <v>39</v>
      </c>
      <c r="U311" s="831">
        <f>+Tabla1[[#This Row],[FECHA OC]]-Tabla1[[#This Row],[FECHA Entrega]]</f>
        <v>-169</v>
      </c>
      <c r="V311" s="831"/>
      <c r="W311" s="841">
        <f>+Tabla1[[#This Row],[FECHA VTO VALORES]]+7</f>
        <v>46227</v>
      </c>
      <c r="X311" s="831" t="s">
        <v>489</v>
      </c>
      <c r="Y311" s="840">
        <v>46051</v>
      </c>
      <c r="Z311" s="842">
        <f>Tabla1[[#This Row],[KGS]]/50</f>
        <v>700</v>
      </c>
      <c r="AA31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11" s="844">
        <f>-Tabla1[[#This Row],[COSTO FLETE $ POR BOLSA 5O KG (SIN IVA)]]*1.21-Tabla1[[#This Row],[PRECIO $/ KG A PLAZO EN CLIENTE ( SIN IVA)]]*0.003*1.21*50</f>
        <v>-0.40864392249999071</v>
      </c>
      <c r="AC311" s="845">
        <f>SUM(Tabla1[[#This Row],[PRECIO $ BOLSA 50 KG (IVA INC) ]]+Tabla1[[#This Row],[COSTO FLETE $ BOLSA 50 KG (IVA INC)]])</f>
        <v>27562.4726635775</v>
      </c>
      <c r="AD311" s="844">
        <f>-Tabla1[[#This Row],[PRECIO $ BOLSA 50 KG (IVA INC) ]]*(Tabla1[[#This Row],[TASA FINANCIACION MENSUAL]]/365)*Tabla1[[#This Row],[PLAZO ENTREGA VALORES]]</f>
        <v>370.09775695358218</v>
      </c>
      <c r="AE311" s="845">
        <f>SUM(Tabla1[[#This Row],[PRECIO $ BOLSA50 KG  FOB TUCUMAN A PLAZO (IVA INC)]]+Tabla1[[#This Row],[GASTOS FINANCIEROS $ BOLSA 50 KG (IVA INC)]])</f>
        <v>27932.570420531083</v>
      </c>
      <c r="AF311" s="828" t="s">
        <v>476</v>
      </c>
      <c r="AG311" s="828" t="s">
        <v>365</v>
      </c>
      <c r="AH311" s="828" t="s">
        <v>387</v>
      </c>
      <c r="AI311" s="828" t="s">
        <v>261</v>
      </c>
      <c r="AJ31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11" s="846">
        <f>SUM(Tabla1[[#This Row],[PRECIO $ BOLSA 50KG  FOB CDO TUC (IVA INC)]]-Tabla1[[#This Row],[PRECIO REF $ BOLSA 50 KG CACTU (IVA INC)]])</f>
        <v>-4582.4295794689169</v>
      </c>
      <c r="AL311" s="847">
        <f>IFERROR(Tabla1[[#This Row],[PRECIO $ BOLSA 50KG  FOB CDO TUC (IVA INC)]]/Tabla1[[#This Row],[PRECIO REF $ BOLSA 50 KG CACTU (IVA INC)]]-1,"")</f>
        <v>-0.14093278731259162</v>
      </c>
      <c r="AM311" s="846">
        <f>+Tabla1[[#This Row],[DIF $ PRECIO NETO INDUSTRIA vs Neto TUCUMAN (IVA INC)]]*Tabla1[[#This Row],[Q Bolsas Equivalentes 50kg]]</f>
        <v>-3207700.7056282419</v>
      </c>
      <c r="AN311" s="846">
        <f>Tabla1[[#This Row],[PRECIO REF $ BOLSA 50 KG CACTU (IVA INC)]]*Tabla1[[#This Row],[Q Bolsas Equivalentes 50kg]]</f>
        <v>22760500</v>
      </c>
      <c r="AO311" s="846">
        <f>+Tabla1[[#This Row],[PRECIO $ BOLSA 50KG  FOB CDO TUC (IVA INC)]]*Tabla1[[#This Row],[Q Bolsas Equivalentes 50kg]]</f>
        <v>19552799.294371758</v>
      </c>
      <c r="AP311" s="847">
        <v>2.9000000000000001E-2</v>
      </c>
      <c r="AQ311" s="846">
        <v>-68</v>
      </c>
      <c r="AR311" s="848"/>
      <c r="AS311" s="849"/>
      <c r="AT311" s="923">
        <f>+Tabla1[[#This Row],[VENTA TOTAL $ (IVA INC) ]]-(SUM(Tabla1[[#This Row],[PENDIENTE DE ENTREGA]:[VALORES COBRADOS]]))</f>
        <v>0</v>
      </c>
      <c r="AU311" s="850">
        <f>VLOOKUP(Tabla1[[#This Row],[FECHA OC]],'TIPO DE CAMBIO'!A:B,2,TRUE)</f>
        <v>1446.3009999999999</v>
      </c>
      <c r="AV311" s="850">
        <f>+Tabla1[[#This Row],[SUBTOTAL]]/Tabla1[[#This Row],[TIPO DE CAMBIO]]</f>
        <v>11025</v>
      </c>
      <c r="AW311" s="851"/>
      <c r="AX311" s="850">
        <f>IFERROR(Tabla1[[#This Row],[VENTA TOTAL USD A PLAZO EN CLIENTE  (SIN IVA)]]*(1+Tabla1[[#This Row],[% IVA ]]),"")</f>
        <v>11025</v>
      </c>
      <c r="AY311" s="850">
        <f>+Tabla1[[#This Row],[VENTA TOTAL USD A PLAZO EN CLIENTE  (SIN IVA)]]/Tabla1[[#This Row],[KGS]]*1000</f>
        <v>315</v>
      </c>
      <c r="AZ311" s="850">
        <v>0</v>
      </c>
      <c r="BA311" s="850">
        <f>+Tabla1[[#This Row],[GASTOS FINANCIEROS $ BOLSA 50 KG (IVA INC)]]*20/Tabla1[[#This Row],[TIPO DE CAMBIO]]</f>
        <v>5.1178524657534243</v>
      </c>
      <c r="BB311" s="850">
        <f>+Tabla1[[#This Row],[PRECIO POR TN USD EN CLIENTE A PLAZO (SIN IVA)]]+Tabla1[[#This Row],[COSTO USD FLETE /TN (SIN IVA)]]+Tabla1[[#This Row],[COSTO FINANCIERO USD POR BOLSA 50KG (IVA INC)]]</f>
        <v>320.1178524657534</v>
      </c>
      <c r="BC311" s="848">
        <v>5</v>
      </c>
      <c r="BD311" s="944"/>
    </row>
    <row r="312" spans="1:56" ht="15.75" customHeight="1">
      <c r="A312" s="912">
        <v>46204</v>
      </c>
      <c r="B312" s="828">
        <v>1</v>
      </c>
      <c r="C312" s="792" t="s">
        <v>406</v>
      </c>
      <c r="D312" s="829">
        <f>+Tabla1[[#This Row],[FECHA Entrega]]</f>
        <v>46220</v>
      </c>
      <c r="E312" s="830">
        <v>700000869</v>
      </c>
      <c r="F312" s="831" t="s">
        <v>358</v>
      </c>
      <c r="G312" s="832" t="s">
        <v>216</v>
      </c>
      <c r="H312" s="852">
        <v>46220</v>
      </c>
      <c r="I312" s="834">
        <f t="shared" si="117"/>
        <v>35000</v>
      </c>
      <c r="J312" s="835">
        <f>0.315*Tabla1[[#This Row],[TIPO DE CAMBIO]]</f>
        <v>455.58481499999999</v>
      </c>
      <c r="K312" s="836">
        <f t="shared" si="118"/>
        <v>15945468.525</v>
      </c>
      <c r="L31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12" s="837">
        <f t="shared" si="120"/>
        <v>19294016.91525</v>
      </c>
      <c r="N312" s="838"/>
      <c r="O312" s="838">
        <v>0</v>
      </c>
      <c r="P312" s="838">
        <v>0</v>
      </c>
      <c r="Q312" s="839">
        <f>+Tabla1[[#This Row],[VENTA TOTAL $ (IVA INC) ]]-Tabla1[[#This Row],[PENDIENTE DE COBRO]]</f>
        <v>19294016.91525</v>
      </c>
      <c r="R312" s="840">
        <f>+Tabla1[[#This Row],[FECHA FC]]+Tabla1[[#This Row],[PLAZO ENTREGA VALORES]]</f>
        <v>46051</v>
      </c>
      <c r="S312" s="840">
        <f>+Tabla1[[#This Row],[FECHA FC]]+Tabla1[[#This Row],[PLAZO PAGO (DIAS)]]</f>
        <v>46220</v>
      </c>
      <c r="T312" s="834">
        <f t="shared" ca="1" si="119"/>
        <v>39</v>
      </c>
      <c r="U312" s="831">
        <f>+Tabla1[[#This Row],[FECHA OC]]-Tabla1[[#This Row],[FECHA Entrega]]</f>
        <v>-169</v>
      </c>
      <c r="V312" s="831"/>
      <c r="W312" s="841">
        <f>+Tabla1[[#This Row],[FECHA VTO VALORES]]+7</f>
        <v>46227</v>
      </c>
      <c r="X312" s="831" t="s">
        <v>489</v>
      </c>
      <c r="Y312" s="840">
        <v>46051</v>
      </c>
      <c r="Z312" s="842">
        <f>Tabla1[[#This Row],[KGS]]/50</f>
        <v>700</v>
      </c>
      <c r="AA31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12" s="844">
        <f>-Tabla1[[#This Row],[COSTO FLETE $ POR BOLSA 5O KG (SIN IVA)]]*1.21-Tabla1[[#This Row],[PRECIO $/ KG A PLAZO EN CLIENTE ( SIN IVA)]]*0.003*1.21*50</f>
        <v>-0.40864392249999071</v>
      </c>
      <c r="AC312" s="845">
        <f>SUM(Tabla1[[#This Row],[PRECIO $ BOLSA 50 KG (IVA INC) ]]+Tabla1[[#This Row],[COSTO FLETE $ BOLSA 50 KG (IVA INC)]])</f>
        <v>27562.4726635775</v>
      </c>
      <c r="AD312" s="844">
        <f>-Tabla1[[#This Row],[PRECIO $ BOLSA 50 KG (IVA INC) ]]*(Tabla1[[#This Row],[TASA FINANCIACION MENSUAL]]/365)*Tabla1[[#This Row],[PLAZO ENTREGA VALORES]]</f>
        <v>370.09775695358218</v>
      </c>
      <c r="AE312" s="845">
        <f>SUM(Tabla1[[#This Row],[PRECIO $ BOLSA50 KG  FOB TUCUMAN A PLAZO (IVA INC)]]+Tabla1[[#This Row],[GASTOS FINANCIEROS $ BOLSA 50 KG (IVA INC)]])</f>
        <v>27932.570420531083</v>
      </c>
      <c r="AF312" s="828" t="s">
        <v>476</v>
      </c>
      <c r="AG312" s="828" t="s">
        <v>365</v>
      </c>
      <c r="AH312" s="828" t="s">
        <v>387</v>
      </c>
      <c r="AI312" s="828" t="s">
        <v>261</v>
      </c>
      <c r="AJ31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12" s="846">
        <f>SUM(Tabla1[[#This Row],[PRECIO $ BOLSA 50KG  FOB CDO TUC (IVA INC)]]-Tabla1[[#This Row],[PRECIO REF $ BOLSA 50 KG CACTU (IVA INC)]])</f>
        <v>-4582.4295794689169</v>
      </c>
      <c r="AL312" s="847">
        <f>IFERROR(Tabla1[[#This Row],[PRECIO $ BOLSA 50KG  FOB CDO TUC (IVA INC)]]/Tabla1[[#This Row],[PRECIO REF $ BOLSA 50 KG CACTU (IVA INC)]]-1,"")</f>
        <v>-0.14093278731259162</v>
      </c>
      <c r="AM312" s="846">
        <f>+Tabla1[[#This Row],[DIF $ PRECIO NETO INDUSTRIA vs Neto TUCUMAN (IVA INC)]]*Tabla1[[#This Row],[Q Bolsas Equivalentes 50kg]]</f>
        <v>-3207700.7056282419</v>
      </c>
      <c r="AN312" s="846">
        <f>Tabla1[[#This Row],[PRECIO REF $ BOLSA 50 KG CACTU (IVA INC)]]*Tabla1[[#This Row],[Q Bolsas Equivalentes 50kg]]</f>
        <v>22760500</v>
      </c>
      <c r="AO312" s="846">
        <f>+Tabla1[[#This Row],[PRECIO $ BOLSA 50KG  FOB CDO TUC (IVA INC)]]*Tabla1[[#This Row],[Q Bolsas Equivalentes 50kg]]</f>
        <v>19552799.294371758</v>
      </c>
      <c r="AP312" s="847">
        <v>2.9000000000000001E-2</v>
      </c>
      <c r="AQ312" s="846">
        <v>-68</v>
      </c>
      <c r="AR312" s="848"/>
      <c r="AS312" s="849"/>
      <c r="AT312" s="923">
        <f>+Tabla1[[#This Row],[VENTA TOTAL $ (IVA INC) ]]-(SUM(Tabla1[[#This Row],[PENDIENTE DE ENTREGA]:[VALORES COBRADOS]]))</f>
        <v>0</v>
      </c>
      <c r="AU312" s="850">
        <f>VLOOKUP(Tabla1[[#This Row],[FECHA OC]],'TIPO DE CAMBIO'!A:B,2,TRUE)</f>
        <v>1446.3009999999999</v>
      </c>
      <c r="AV312" s="850">
        <f>+Tabla1[[#This Row],[SUBTOTAL]]/Tabla1[[#This Row],[TIPO DE CAMBIO]]</f>
        <v>11025</v>
      </c>
      <c r="AW312" s="851"/>
      <c r="AX312" s="850">
        <f>IFERROR(Tabla1[[#This Row],[VENTA TOTAL USD A PLAZO EN CLIENTE  (SIN IVA)]]*(1+Tabla1[[#This Row],[% IVA ]]),"")</f>
        <v>11025</v>
      </c>
      <c r="AY312" s="850">
        <f>+Tabla1[[#This Row],[VENTA TOTAL USD A PLAZO EN CLIENTE  (SIN IVA)]]/Tabla1[[#This Row],[KGS]]*1000</f>
        <v>315</v>
      </c>
      <c r="AZ312" s="850">
        <v>0</v>
      </c>
      <c r="BA312" s="850">
        <f>+Tabla1[[#This Row],[GASTOS FINANCIEROS $ BOLSA 50 KG (IVA INC)]]*20/Tabla1[[#This Row],[TIPO DE CAMBIO]]</f>
        <v>5.1178524657534243</v>
      </c>
      <c r="BB312" s="850">
        <f>+Tabla1[[#This Row],[PRECIO POR TN USD EN CLIENTE A PLAZO (SIN IVA)]]+Tabla1[[#This Row],[COSTO USD FLETE /TN (SIN IVA)]]+Tabla1[[#This Row],[COSTO FINANCIERO USD POR BOLSA 50KG (IVA INC)]]</f>
        <v>320.1178524657534</v>
      </c>
      <c r="BC312" s="848">
        <v>5</v>
      </c>
      <c r="BD312" s="944"/>
    </row>
    <row r="313" spans="1:56" ht="15.75" customHeight="1">
      <c r="A313" s="912">
        <v>46204</v>
      </c>
      <c r="B313" s="828">
        <v>1</v>
      </c>
      <c r="C313" s="792" t="s">
        <v>406</v>
      </c>
      <c r="D313" s="829">
        <f>+Tabla1[[#This Row],[FECHA Entrega]]</f>
        <v>46221</v>
      </c>
      <c r="E313" s="830">
        <v>700000869</v>
      </c>
      <c r="F313" s="831" t="s">
        <v>358</v>
      </c>
      <c r="G313" s="832" t="s">
        <v>216</v>
      </c>
      <c r="H313" s="852">
        <v>46221</v>
      </c>
      <c r="I313" s="834">
        <f t="shared" si="117"/>
        <v>35000</v>
      </c>
      <c r="J313" s="835">
        <f>0.315*Tabla1[[#This Row],[TIPO DE CAMBIO]]</f>
        <v>455.58481499999999</v>
      </c>
      <c r="K313" s="836">
        <f t="shared" si="118"/>
        <v>15945468.525</v>
      </c>
      <c r="L31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13" s="837">
        <f t="shared" si="120"/>
        <v>19294016.91525</v>
      </c>
      <c r="N313" s="838"/>
      <c r="O313" s="838">
        <v>0</v>
      </c>
      <c r="P313" s="838">
        <v>0</v>
      </c>
      <c r="Q313" s="839">
        <f>+Tabla1[[#This Row],[VENTA TOTAL $ (IVA INC) ]]-Tabla1[[#This Row],[PENDIENTE DE COBRO]]</f>
        <v>19294016.91525</v>
      </c>
      <c r="R313" s="840">
        <f>+Tabla1[[#This Row],[FECHA FC]]+Tabla1[[#This Row],[PLAZO ENTREGA VALORES]]</f>
        <v>46051</v>
      </c>
      <c r="S313" s="840">
        <f>+Tabla1[[#This Row],[FECHA FC]]+Tabla1[[#This Row],[PLAZO PAGO (DIAS)]]</f>
        <v>46221</v>
      </c>
      <c r="T313" s="834">
        <f t="shared" ca="1" si="119"/>
        <v>40</v>
      </c>
      <c r="U313" s="831">
        <f>+Tabla1[[#This Row],[FECHA OC]]-Tabla1[[#This Row],[FECHA Entrega]]</f>
        <v>-170</v>
      </c>
      <c r="V313" s="831"/>
      <c r="W313" s="841">
        <f>+Tabla1[[#This Row],[FECHA VTO VALORES]]+7</f>
        <v>46228</v>
      </c>
      <c r="X313" s="831" t="s">
        <v>489</v>
      </c>
      <c r="Y313" s="840">
        <v>46051</v>
      </c>
      <c r="Z313" s="842">
        <f>Tabla1[[#This Row],[KGS]]/50</f>
        <v>700</v>
      </c>
      <c r="AA31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13" s="844">
        <f>-Tabla1[[#This Row],[COSTO FLETE $ POR BOLSA 5O KG (SIN IVA)]]*1.21-Tabla1[[#This Row],[PRECIO $/ KG A PLAZO EN CLIENTE ( SIN IVA)]]*0.003*1.21*50</f>
        <v>-0.40864392249999071</v>
      </c>
      <c r="AC313" s="845">
        <f>SUM(Tabla1[[#This Row],[PRECIO $ BOLSA 50 KG (IVA INC) ]]+Tabla1[[#This Row],[COSTO FLETE $ BOLSA 50 KG (IVA INC)]])</f>
        <v>27562.4726635775</v>
      </c>
      <c r="AD313" s="844">
        <f>-Tabla1[[#This Row],[PRECIO $ BOLSA 50 KG (IVA INC) ]]*(Tabla1[[#This Row],[TASA FINANCIACION MENSUAL]]/365)*Tabla1[[#This Row],[PLAZO ENTREGA VALORES]]</f>
        <v>372.28768450952055</v>
      </c>
      <c r="AE313" s="845">
        <f>SUM(Tabla1[[#This Row],[PRECIO $ BOLSA50 KG  FOB TUCUMAN A PLAZO (IVA INC)]]+Tabla1[[#This Row],[GASTOS FINANCIEROS $ BOLSA 50 KG (IVA INC)]])</f>
        <v>27934.76034808702</v>
      </c>
      <c r="AF313" s="828" t="s">
        <v>476</v>
      </c>
      <c r="AG313" s="828" t="s">
        <v>365</v>
      </c>
      <c r="AH313" s="828" t="s">
        <v>387</v>
      </c>
      <c r="AI313" s="828" t="s">
        <v>261</v>
      </c>
      <c r="AJ31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13" s="846">
        <f>SUM(Tabla1[[#This Row],[PRECIO $ BOLSA 50KG  FOB CDO TUC (IVA INC)]]-Tabla1[[#This Row],[PRECIO REF $ BOLSA 50 KG CACTU (IVA INC)]])</f>
        <v>-4580.2396519129798</v>
      </c>
      <c r="AL313" s="847">
        <f>IFERROR(Tabla1[[#This Row],[PRECIO $ BOLSA 50KG  FOB CDO TUC (IVA INC)]]/Tabla1[[#This Row],[PRECIO REF $ BOLSA 50 KG CACTU (IVA INC)]]-1,"")</f>
        <v>-0.14086543601147106</v>
      </c>
      <c r="AM313" s="846">
        <f>+Tabla1[[#This Row],[DIF $ PRECIO NETO INDUSTRIA vs Neto TUCUMAN (IVA INC)]]*Tabla1[[#This Row],[Q Bolsas Equivalentes 50kg]]</f>
        <v>-3206167.7563390858</v>
      </c>
      <c r="AN313" s="846">
        <f>Tabla1[[#This Row],[PRECIO REF $ BOLSA 50 KG CACTU (IVA INC)]]*Tabla1[[#This Row],[Q Bolsas Equivalentes 50kg]]</f>
        <v>22760500</v>
      </c>
      <c r="AO313" s="846">
        <f>+Tabla1[[#This Row],[PRECIO $ BOLSA 50KG  FOB CDO TUC (IVA INC)]]*Tabla1[[#This Row],[Q Bolsas Equivalentes 50kg]]</f>
        <v>19554332.243660916</v>
      </c>
      <c r="AP313" s="847">
        <v>2.9000000000000001E-2</v>
      </c>
      <c r="AQ313" s="846">
        <v>-68</v>
      </c>
      <c r="AR313" s="848"/>
      <c r="AS313" s="849"/>
      <c r="AT313" s="923">
        <f>+Tabla1[[#This Row],[VENTA TOTAL $ (IVA INC) ]]-(SUM(Tabla1[[#This Row],[PENDIENTE DE ENTREGA]:[VALORES COBRADOS]]))</f>
        <v>0</v>
      </c>
      <c r="AU313" s="850">
        <f>VLOOKUP(Tabla1[[#This Row],[FECHA OC]],'TIPO DE CAMBIO'!A:B,2,TRUE)</f>
        <v>1446.3009999999999</v>
      </c>
      <c r="AV313" s="850">
        <f>+Tabla1[[#This Row],[SUBTOTAL]]/Tabla1[[#This Row],[TIPO DE CAMBIO]]</f>
        <v>11025</v>
      </c>
      <c r="AW313" s="851"/>
      <c r="AX313" s="850">
        <f>IFERROR(Tabla1[[#This Row],[VENTA TOTAL USD A PLAZO EN CLIENTE  (SIN IVA)]]*(1+Tabla1[[#This Row],[% IVA ]]),"")</f>
        <v>11025</v>
      </c>
      <c r="AY313" s="850">
        <f>+Tabla1[[#This Row],[VENTA TOTAL USD A PLAZO EN CLIENTE  (SIN IVA)]]/Tabla1[[#This Row],[KGS]]*1000</f>
        <v>315</v>
      </c>
      <c r="AZ313" s="850">
        <v>0</v>
      </c>
      <c r="BA313" s="850">
        <f>+Tabla1[[#This Row],[GASTOS FINANCIEROS $ BOLSA 50 KG (IVA INC)]]*20/Tabla1[[#This Row],[TIPO DE CAMBIO]]</f>
        <v>5.1481356164383563</v>
      </c>
      <c r="BB313" s="850">
        <f>+Tabla1[[#This Row],[PRECIO POR TN USD EN CLIENTE A PLAZO (SIN IVA)]]+Tabla1[[#This Row],[COSTO USD FLETE /TN (SIN IVA)]]+Tabla1[[#This Row],[COSTO FINANCIERO USD POR BOLSA 50KG (IVA INC)]]</f>
        <v>320.14813561643837</v>
      </c>
      <c r="BC313" s="848">
        <v>5</v>
      </c>
      <c r="BD313" s="944"/>
    </row>
    <row r="314" spans="1:56" ht="15.75" customHeight="1">
      <c r="A314" s="912">
        <v>46204</v>
      </c>
      <c r="B314" s="828">
        <v>1</v>
      </c>
      <c r="C314" s="792" t="s">
        <v>406</v>
      </c>
      <c r="D314" s="829">
        <f>+Tabla1[[#This Row],[FECHA Entrega]]</f>
        <v>46221</v>
      </c>
      <c r="E314" s="830">
        <v>700000869</v>
      </c>
      <c r="F314" s="831" t="s">
        <v>358</v>
      </c>
      <c r="G314" s="832" t="s">
        <v>216</v>
      </c>
      <c r="H314" s="852">
        <v>46221</v>
      </c>
      <c r="I314" s="834">
        <f t="shared" si="117"/>
        <v>35000</v>
      </c>
      <c r="J314" s="835">
        <f>0.315*Tabla1[[#This Row],[TIPO DE CAMBIO]]</f>
        <v>455.58481499999999</v>
      </c>
      <c r="K314" s="836">
        <f t="shared" si="118"/>
        <v>15945468.525</v>
      </c>
      <c r="L31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14" s="837">
        <f t="shared" si="120"/>
        <v>19294016.91525</v>
      </c>
      <c r="N314" s="838"/>
      <c r="O314" s="838">
        <v>0</v>
      </c>
      <c r="P314" s="838">
        <v>0</v>
      </c>
      <c r="Q314" s="839">
        <f>+Tabla1[[#This Row],[VENTA TOTAL $ (IVA INC) ]]-Tabla1[[#This Row],[PENDIENTE DE COBRO]]</f>
        <v>19294016.91525</v>
      </c>
      <c r="R314" s="840">
        <f>+Tabla1[[#This Row],[FECHA FC]]+Tabla1[[#This Row],[PLAZO ENTREGA VALORES]]</f>
        <v>46051</v>
      </c>
      <c r="S314" s="840">
        <f>+Tabla1[[#This Row],[FECHA FC]]+Tabla1[[#This Row],[PLAZO PAGO (DIAS)]]</f>
        <v>46221</v>
      </c>
      <c r="T314" s="834">
        <f t="shared" ca="1" si="119"/>
        <v>40</v>
      </c>
      <c r="U314" s="831">
        <f>+Tabla1[[#This Row],[FECHA OC]]-Tabla1[[#This Row],[FECHA Entrega]]</f>
        <v>-170</v>
      </c>
      <c r="V314" s="831"/>
      <c r="W314" s="841">
        <f>+Tabla1[[#This Row],[FECHA VTO VALORES]]+7</f>
        <v>46228</v>
      </c>
      <c r="X314" s="831" t="s">
        <v>489</v>
      </c>
      <c r="Y314" s="840">
        <v>46051</v>
      </c>
      <c r="Z314" s="842">
        <f>Tabla1[[#This Row],[KGS]]/50</f>
        <v>700</v>
      </c>
      <c r="AA31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14" s="844">
        <f>-Tabla1[[#This Row],[COSTO FLETE $ POR BOLSA 5O KG (SIN IVA)]]*1.21-Tabla1[[#This Row],[PRECIO $/ KG A PLAZO EN CLIENTE ( SIN IVA)]]*0.003*1.21*50</f>
        <v>-0.40864392249999071</v>
      </c>
      <c r="AC314" s="845">
        <f>SUM(Tabla1[[#This Row],[PRECIO $ BOLSA 50 KG (IVA INC) ]]+Tabla1[[#This Row],[COSTO FLETE $ BOLSA 50 KG (IVA INC)]])</f>
        <v>27562.4726635775</v>
      </c>
      <c r="AD314" s="844">
        <f>-Tabla1[[#This Row],[PRECIO $ BOLSA 50 KG (IVA INC) ]]*(Tabla1[[#This Row],[TASA FINANCIACION MENSUAL]]/365)*Tabla1[[#This Row],[PLAZO ENTREGA VALORES]]</f>
        <v>372.28768450952055</v>
      </c>
      <c r="AE314" s="845">
        <f>SUM(Tabla1[[#This Row],[PRECIO $ BOLSA50 KG  FOB TUCUMAN A PLAZO (IVA INC)]]+Tabla1[[#This Row],[GASTOS FINANCIEROS $ BOLSA 50 KG (IVA INC)]])</f>
        <v>27934.76034808702</v>
      </c>
      <c r="AF314" s="828" t="s">
        <v>476</v>
      </c>
      <c r="AG314" s="828" t="s">
        <v>365</v>
      </c>
      <c r="AH314" s="828" t="s">
        <v>387</v>
      </c>
      <c r="AI314" s="828" t="s">
        <v>261</v>
      </c>
      <c r="AJ31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14" s="846">
        <f>SUM(Tabla1[[#This Row],[PRECIO $ BOLSA 50KG  FOB CDO TUC (IVA INC)]]-Tabla1[[#This Row],[PRECIO REF $ BOLSA 50 KG CACTU (IVA INC)]])</f>
        <v>-4580.2396519129798</v>
      </c>
      <c r="AL314" s="847">
        <f>IFERROR(Tabla1[[#This Row],[PRECIO $ BOLSA 50KG  FOB CDO TUC (IVA INC)]]/Tabla1[[#This Row],[PRECIO REF $ BOLSA 50 KG CACTU (IVA INC)]]-1,"")</f>
        <v>-0.14086543601147106</v>
      </c>
      <c r="AM314" s="846">
        <f>+Tabla1[[#This Row],[DIF $ PRECIO NETO INDUSTRIA vs Neto TUCUMAN (IVA INC)]]*Tabla1[[#This Row],[Q Bolsas Equivalentes 50kg]]</f>
        <v>-3206167.7563390858</v>
      </c>
      <c r="AN314" s="846">
        <f>Tabla1[[#This Row],[PRECIO REF $ BOLSA 50 KG CACTU (IVA INC)]]*Tabla1[[#This Row],[Q Bolsas Equivalentes 50kg]]</f>
        <v>22760500</v>
      </c>
      <c r="AO314" s="846">
        <f>+Tabla1[[#This Row],[PRECIO $ BOLSA 50KG  FOB CDO TUC (IVA INC)]]*Tabla1[[#This Row],[Q Bolsas Equivalentes 50kg]]</f>
        <v>19554332.243660916</v>
      </c>
      <c r="AP314" s="847">
        <v>2.9000000000000001E-2</v>
      </c>
      <c r="AQ314" s="846">
        <v>-68</v>
      </c>
      <c r="AR314" s="848"/>
      <c r="AS314" s="849"/>
      <c r="AT314" s="923">
        <f>+Tabla1[[#This Row],[VENTA TOTAL $ (IVA INC) ]]-(SUM(Tabla1[[#This Row],[PENDIENTE DE ENTREGA]:[VALORES COBRADOS]]))</f>
        <v>0</v>
      </c>
      <c r="AU314" s="850">
        <f>VLOOKUP(Tabla1[[#This Row],[FECHA OC]],'TIPO DE CAMBIO'!A:B,2,TRUE)</f>
        <v>1446.3009999999999</v>
      </c>
      <c r="AV314" s="850">
        <f>+Tabla1[[#This Row],[SUBTOTAL]]/Tabla1[[#This Row],[TIPO DE CAMBIO]]</f>
        <v>11025</v>
      </c>
      <c r="AW314" s="851"/>
      <c r="AX314" s="850">
        <f>IFERROR(Tabla1[[#This Row],[VENTA TOTAL USD A PLAZO EN CLIENTE  (SIN IVA)]]*(1+Tabla1[[#This Row],[% IVA ]]),"")</f>
        <v>11025</v>
      </c>
      <c r="AY314" s="850">
        <f>+Tabla1[[#This Row],[VENTA TOTAL USD A PLAZO EN CLIENTE  (SIN IVA)]]/Tabla1[[#This Row],[KGS]]*1000</f>
        <v>315</v>
      </c>
      <c r="AZ314" s="850">
        <v>0</v>
      </c>
      <c r="BA314" s="850">
        <f>+Tabla1[[#This Row],[GASTOS FINANCIEROS $ BOLSA 50 KG (IVA INC)]]*20/Tabla1[[#This Row],[TIPO DE CAMBIO]]</f>
        <v>5.1481356164383563</v>
      </c>
      <c r="BB314" s="850">
        <f>+Tabla1[[#This Row],[PRECIO POR TN USD EN CLIENTE A PLAZO (SIN IVA)]]+Tabla1[[#This Row],[COSTO USD FLETE /TN (SIN IVA)]]+Tabla1[[#This Row],[COSTO FINANCIERO USD POR BOLSA 50KG (IVA INC)]]</f>
        <v>320.14813561643837</v>
      </c>
      <c r="BC314" s="848">
        <v>5</v>
      </c>
      <c r="BD314" s="944"/>
    </row>
    <row r="315" spans="1:56" ht="15.75" customHeight="1">
      <c r="A315" s="912">
        <v>46204</v>
      </c>
      <c r="B315" s="828">
        <v>1</v>
      </c>
      <c r="C315" s="792" t="s">
        <v>406</v>
      </c>
      <c r="D315" s="829">
        <f>+Tabla1[[#This Row],[FECHA Entrega]]</f>
        <v>46221</v>
      </c>
      <c r="E315" s="830">
        <v>700000869</v>
      </c>
      <c r="F315" s="831" t="s">
        <v>358</v>
      </c>
      <c r="G315" s="832" t="s">
        <v>216</v>
      </c>
      <c r="H315" s="852">
        <v>46221</v>
      </c>
      <c r="I315" s="834">
        <f t="shared" si="117"/>
        <v>35000</v>
      </c>
      <c r="J315" s="835">
        <f>0.315*Tabla1[[#This Row],[TIPO DE CAMBIO]]</f>
        <v>455.58481499999999</v>
      </c>
      <c r="K315" s="836">
        <f t="shared" si="118"/>
        <v>15945468.525</v>
      </c>
      <c r="L31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15" s="837">
        <f t="shared" si="120"/>
        <v>19294016.91525</v>
      </c>
      <c r="N315" s="838"/>
      <c r="O315" s="838">
        <v>0</v>
      </c>
      <c r="P315" s="838">
        <v>0</v>
      </c>
      <c r="Q315" s="839">
        <f>+Tabla1[[#This Row],[VENTA TOTAL $ (IVA INC) ]]-Tabla1[[#This Row],[PENDIENTE DE COBRO]]</f>
        <v>19294016.91525</v>
      </c>
      <c r="R315" s="840">
        <f>+Tabla1[[#This Row],[FECHA FC]]+Tabla1[[#This Row],[PLAZO ENTREGA VALORES]]</f>
        <v>46051</v>
      </c>
      <c r="S315" s="840">
        <f>+Tabla1[[#This Row],[FECHA FC]]+Tabla1[[#This Row],[PLAZO PAGO (DIAS)]]</f>
        <v>46221</v>
      </c>
      <c r="T315" s="834">
        <f t="shared" ref="T315:T330" ca="1" si="121">+S315-$U$2</f>
        <v>40</v>
      </c>
      <c r="U315" s="831">
        <f>+Tabla1[[#This Row],[FECHA OC]]-Tabla1[[#This Row],[FECHA Entrega]]</f>
        <v>-170</v>
      </c>
      <c r="V315" s="831"/>
      <c r="W315" s="841">
        <f>+Tabla1[[#This Row],[FECHA VTO VALORES]]+7</f>
        <v>46228</v>
      </c>
      <c r="X315" s="831" t="s">
        <v>489</v>
      </c>
      <c r="Y315" s="840">
        <v>46051</v>
      </c>
      <c r="Z315" s="842">
        <f>Tabla1[[#This Row],[KGS]]/50</f>
        <v>700</v>
      </c>
      <c r="AA31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15" s="844">
        <f>-Tabla1[[#This Row],[COSTO FLETE $ POR BOLSA 5O KG (SIN IVA)]]*1.21-Tabla1[[#This Row],[PRECIO $/ KG A PLAZO EN CLIENTE ( SIN IVA)]]*0.003*1.21*50</f>
        <v>-0.40864392249999071</v>
      </c>
      <c r="AC315" s="845">
        <f>SUM(Tabla1[[#This Row],[PRECIO $ BOLSA 50 KG (IVA INC) ]]+Tabla1[[#This Row],[COSTO FLETE $ BOLSA 50 KG (IVA INC)]])</f>
        <v>27562.4726635775</v>
      </c>
      <c r="AD315" s="844">
        <f>-Tabla1[[#This Row],[PRECIO $ BOLSA 50 KG (IVA INC) ]]*(Tabla1[[#This Row],[TASA FINANCIACION MENSUAL]]/365)*Tabla1[[#This Row],[PLAZO ENTREGA VALORES]]</f>
        <v>372.28768450952055</v>
      </c>
      <c r="AE315" s="845">
        <f>SUM(Tabla1[[#This Row],[PRECIO $ BOLSA50 KG  FOB TUCUMAN A PLAZO (IVA INC)]]+Tabla1[[#This Row],[GASTOS FINANCIEROS $ BOLSA 50 KG (IVA INC)]])</f>
        <v>27934.76034808702</v>
      </c>
      <c r="AF315" s="828" t="s">
        <v>476</v>
      </c>
      <c r="AG315" s="828" t="s">
        <v>365</v>
      </c>
      <c r="AH315" s="828" t="s">
        <v>387</v>
      </c>
      <c r="AI315" s="828" t="s">
        <v>261</v>
      </c>
      <c r="AJ31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15" s="846">
        <f>SUM(Tabla1[[#This Row],[PRECIO $ BOLSA 50KG  FOB CDO TUC (IVA INC)]]-Tabla1[[#This Row],[PRECIO REF $ BOLSA 50 KG CACTU (IVA INC)]])</f>
        <v>-4580.2396519129798</v>
      </c>
      <c r="AL315" s="847">
        <f>IFERROR(Tabla1[[#This Row],[PRECIO $ BOLSA 50KG  FOB CDO TUC (IVA INC)]]/Tabla1[[#This Row],[PRECIO REF $ BOLSA 50 KG CACTU (IVA INC)]]-1,"")</f>
        <v>-0.14086543601147106</v>
      </c>
      <c r="AM315" s="846">
        <f>+Tabla1[[#This Row],[DIF $ PRECIO NETO INDUSTRIA vs Neto TUCUMAN (IVA INC)]]*Tabla1[[#This Row],[Q Bolsas Equivalentes 50kg]]</f>
        <v>-3206167.7563390858</v>
      </c>
      <c r="AN315" s="846">
        <f>Tabla1[[#This Row],[PRECIO REF $ BOLSA 50 KG CACTU (IVA INC)]]*Tabla1[[#This Row],[Q Bolsas Equivalentes 50kg]]</f>
        <v>22760500</v>
      </c>
      <c r="AO315" s="846">
        <f>+Tabla1[[#This Row],[PRECIO $ BOLSA 50KG  FOB CDO TUC (IVA INC)]]*Tabla1[[#This Row],[Q Bolsas Equivalentes 50kg]]</f>
        <v>19554332.243660916</v>
      </c>
      <c r="AP315" s="847">
        <v>2.9000000000000001E-2</v>
      </c>
      <c r="AQ315" s="846">
        <v>-68</v>
      </c>
      <c r="AR315" s="848"/>
      <c r="AS315" s="849"/>
      <c r="AT315" s="923">
        <f>+Tabla1[[#This Row],[VENTA TOTAL $ (IVA INC) ]]-(SUM(Tabla1[[#This Row],[PENDIENTE DE ENTREGA]:[VALORES COBRADOS]]))</f>
        <v>0</v>
      </c>
      <c r="AU315" s="850">
        <f>VLOOKUP(Tabla1[[#This Row],[FECHA OC]],'TIPO DE CAMBIO'!A:B,2,TRUE)</f>
        <v>1446.3009999999999</v>
      </c>
      <c r="AV315" s="850">
        <f>+Tabla1[[#This Row],[SUBTOTAL]]/Tabla1[[#This Row],[TIPO DE CAMBIO]]</f>
        <v>11025</v>
      </c>
      <c r="AW315" s="851"/>
      <c r="AX315" s="850">
        <f>IFERROR(Tabla1[[#This Row],[VENTA TOTAL USD A PLAZO EN CLIENTE  (SIN IVA)]]*(1+Tabla1[[#This Row],[% IVA ]]),"")</f>
        <v>11025</v>
      </c>
      <c r="AY315" s="850">
        <f>+Tabla1[[#This Row],[VENTA TOTAL USD A PLAZO EN CLIENTE  (SIN IVA)]]/Tabla1[[#This Row],[KGS]]*1000</f>
        <v>315</v>
      </c>
      <c r="AZ315" s="850">
        <v>0</v>
      </c>
      <c r="BA315" s="850">
        <f>+Tabla1[[#This Row],[GASTOS FINANCIEROS $ BOLSA 50 KG (IVA INC)]]*20/Tabla1[[#This Row],[TIPO DE CAMBIO]]</f>
        <v>5.1481356164383563</v>
      </c>
      <c r="BB315" s="850">
        <f>+Tabla1[[#This Row],[PRECIO POR TN USD EN CLIENTE A PLAZO (SIN IVA)]]+Tabla1[[#This Row],[COSTO USD FLETE /TN (SIN IVA)]]+Tabla1[[#This Row],[COSTO FINANCIERO USD POR BOLSA 50KG (IVA INC)]]</f>
        <v>320.14813561643837</v>
      </c>
      <c r="BC315" s="848">
        <v>5</v>
      </c>
      <c r="BD315" s="944"/>
    </row>
    <row r="316" spans="1:56" ht="15.75" customHeight="1">
      <c r="A316" s="912">
        <v>46204</v>
      </c>
      <c r="B316" s="828">
        <v>1</v>
      </c>
      <c r="C316" s="792" t="s">
        <v>406</v>
      </c>
      <c r="D316" s="829">
        <f>+Tabla1[[#This Row],[FECHA Entrega]]</f>
        <v>46222</v>
      </c>
      <c r="E316" s="830">
        <v>700000869</v>
      </c>
      <c r="F316" s="831" t="s">
        <v>358</v>
      </c>
      <c r="G316" s="832" t="s">
        <v>216</v>
      </c>
      <c r="H316" s="852">
        <v>46222</v>
      </c>
      <c r="I316" s="834">
        <f t="shared" si="117"/>
        <v>35000</v>
      </c>
      <c r="J316" s="835">
        <f>0.315*Tabla1[[#This Row],[TIPO DE CAMBIO]]</f>
        <v>455.58481499999999</v>
      </c>
      <c r="K316" s="836">
        <f t="shared" si="118"/>
        <v>15945468.525</v>
      </c>
      <c r="L31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16" s="837">
        <f t="shared" si="120"/>
        <v>19294016.91525</v>
      </c>
      <c r="N316" s="838"/>
      <c r="O316" s="838">
        <v>0</v>
      </c>
      <c r="P316" s="838">
        <v>0</v>
      </c>
      <c r="Q316" s="839">
        <f>+Tabla1[[#This Row],[VENTA TOTAL $ (IVA INC) ]]-Tabla1[[#This Row],[PENDIENTE DE COBRO]]</f>
        <v>19294016.91525</v>
      </c>
      <c r="R316" s="840">
        <f>+Tabla1[[#This Row],[FECHA FC]]+Tabla1[[#This Row],[PLAZO ENTREGA VALORES]]</f>
        <v>46051</v>
      </c>
      <c r="S316" s="840">
        <f>+Tabla1[[#This Row],[FECHA FC]]+Tabla1[[#This Row],[PLAZO PAGO (DIAS)]]</f>
        <v>46222</v>
      </c>
      <c r="T316" s="834">
        <f t="shared" ca="1" si="121"/>
        <v>41</v>
      </c>
      <c r="U316" s="831">
        <f>+Tabla1[[#This Row],[FECHA OC]]-Tabla1[[#This Row],[FECHA Entrega]]</f>
        <v>-171</v>
      </c>
      <c r="V316" s="831"/>
      <c r="W316" s="841">
        <f>+Tabla1[[#This Row],[FECHA VTO VALORES]]+7</f>
        <v>46229</v>
      </c>
      <c r="X316" s="831" t="s">
        <v>489</v>
      </c>
      <c r="Y316" s="840">
        <v>46051</v>
      </c>
      <c r="Z316" s="842">
        <f>Tabla1[[#This Row],[KGS]]/50</f>
        <v>700</v>
      </c>
      <c r="AA31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16" s="844">
        <f>-Tabla1[[#This Row],[COSTO FLETE $ POR BOLSA 5O KG (SIN IVA)]]*1.21-Tabla1[[#This Row],[PRECIO $/ KG A PLAZO EN CLIENTE ( SIN IVA)]]*0.003*1.21*50</f>
        <v>-0.40864392249999071</v>
      </c>
      <c r="AC316" s="845">
        <f>SUM(Tabla1[[#This Row],[PRECIO $ BOLSA 50 KG (IVA INC) ]]+Tabla1[[#This Row],[COSTO FLETE $ BOLSA 50 KG (IVA INC)]])</f>
        <v>27562.4726635775</v>
      </c>
      <c r="AD316" s="844">
        <f>-Tabla1[[#This Row],[PRECIO $ BOLSA 50 KG (IVA INC) ]]*(Tabla1[[#This Row],[TASA FINANCIACION MENSUAL]]/365)*Tabla1[[#This Row],[PLAZO ENTREGA VALORES]]</f>
        <v>374.47761206545891</v>
      </c>
      <c r="AE316" s="845">
        <f>SUM(Tabla1[[#This Row],[PRECIO $ BOLSA50 KG  FOB TUCUMAN A PLAZO (IVA INC)]]+Tabla1[[#This Row],[GASTOS FINANCIEROS $ BOLSA 50 KG (IVA INC)]])</f>
        <v>27936.950275642961</v>
      </c>
      <c r="AF316" s="828" t="s">
        <v>476</v>
      </c>
      <c r="AG316" s="828" t="s">
        <v>365</v>
      </c>
      <c r="AH316" s="828" t="s">
        <v>387</v>
      </c>
      <c r="AI316" s="828" t="s">
        <v>261</v>
      </c>
      <c r="AJ31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16" s="846">
        <f>SUM(Tabla1[[#This Row],[PRECIO $ BOLSA 50KG  FOB CDO TUC (IVA INC)]]-Tabla1[[#This Row],[PRECIO REF $ BOLSA 50 KG CACTU (IVA INC)]])</f>
        <v>-4578.0497243570389</v>
      </c>
      <c r="AL316" s="847">
        <f>IFERROR(Tabla1[[#This Row],[PRECIO $ BOLSA 50KG  FOB CDO TUC (IVA INC)]]/Tabla1[[#This Row],[PRECIO REF $ BOLSA 50 KG CACTU (IVA INC)]]-1,"")</f>
        <v>-0.14079808471035027</v>
      </c>
      <c r="AM316" s="846">
        <f>+Tabla1[[#This Row],[DIF $ PRECIO NETO INDUSTRIA vs Neto TUCUMAN (IVA INC)]]*Tabla1[[#This Row],[Q Bolsas Equivalentes 50kg]]</f>
        <v>-3204634.8070499273</v>
      </c>
      <c r="AN316" s="846">
        <f>Tabla1[[#This Row],[PRECIO REF $ BOLSA 50 KG CACTU (IVA INC)]]*Tabla1[[#This Row],[Q Bolsas Equivalentes 50kg]]</f>
        <v>22760500</v>
      </c>
      <c r="AO316" s="846">
        <f>+Tabla1[[#This Row],[PRECIO $ BOLSA 50KG  FOB CDO TUC (IVA INC)]]*Tabla1[[#This Row],[Q Bolsas Equivalentes 50kg]]</f>
        <v>19555865.192950074</v>
      </c>
      <c r="AP316" s="847">
        <v>2.9000000000000001E-2</v>
      </c>
      <c r="AQ316" s="846">
        <v>-68</v>
      </c>
      <c r="AR316" s="848"/>
      <c r="AS316" s="849"/>
      <c r="AT316" s="923">
        <f>+Tabla1[[#This Row],[VENTA TOTAL $ (IVA INC) ]]-(SUM(Tabla1[[#This Row],[PENDIENTE DE ENTREGA]:[VALORES COBRADOS]]))</f>
        <v>0</v>
      </c>
      <c r="AU316" s="850">
        <f>VLOOKUP(Tabla1[[#This Row],[FECHA OC]],'TIPO DE CAMBIO'!A:B,2,TRUE)</f>
        <v>1446.3009999999999</v>
      </c>
      <c r="AV316" s="850">
        <f>+Tabla1[[#This Row],[SUBTOTAL]]/Tabla1[[#This Row],[TIPO DE CAMBIO]]</f>
        <v>11025</v>
      </c>
      <c r="AW316" s="851"/>
      <c r="AX316" s="850">
        <f>IFERROR(Tabla1[[#This Row],[VENTA TOTAL USD A PLAZO EN CLIENTE  (SIN IVA)]]*(1+Tabla1[[#This Row],[% IVA ]]),"")</f>
        <v>11025</v>
      </c>
      <c r="AY316" s="850">
        <f>+Tabla1[[#This Row],[VENTA TOTAL USD A PLAZO EN CLIENTE  (SIN IVA)]]/Tabla1[[#This Row],[KGS]]*1000</f>
        <v>315</v>
      </c>
      <c r="AZ316" s="850">
        <v>0</v>
      </c>
      <c r="BA316" s="850">
        <f>+Tabla1[[#This Row],[GASTOS FINANCIEROS $ BOLSA 50 KG (IVA INC)]]*20/Tabla1[[#This Row],[TIPO DE CAMBIO]]</f>
        <v>5.1784187671232882</v>
      </c>
      <c r="BB316" s="850">
        <f>+Tabla1[[#This Row],[PRECIO POR TN USD EN CLIENTE A PLAZO (SIN IVA)]]+Tabla1[[#This Row],[COSTO USD FLETE /TN (SIN IVA)]]+Tabla1[[#This Row],[COSTO FINANCIERO USD POR BOLSA 50KG (IVA INC)]]</f>
        <v>320.17841876712328</v>
      </c>
      <c r="BC316" s="848">
        <v>5</v>
      </c>
      <c r="BD316" s="944"/>
    </row>
    <row r="317" spans="1:56" ht="15.75" customHeight="1">
      <c r="A317" s="912">
        <v>46204</v>
      </c>
      <c r="B317" s="828">
        <v>1</v>
      </c>
      <c r="C317" s="792" t="s">
        <v>406</v>
      </c>
      <c r="D317" s="829">
        <f>+Tabla1[[#This Row],[FECHA Entrega]]</f>
        <v>46222</v>
      </c>
      <c r="E317" s="830">
        <v>700000869</v>
      </c>
      <c r="F317" s="831" t="s">
        <v>358</v>
      </c>
      <c r="G317" s="832" t="s">
        <v>216</v>
      </c>
      <c r="H317" s="852">
        <v>46222</v>
      </c>
      <c r="I317" s="834">
        <f t="shared" si="117"/>
        <v>35000</v>
      </c>
      <c r="J317" s="835">
        <f>0.315*Tabla1[[#This Row],[TIPO DE CAMBIO]]</f>
        <v>455.58481499999999</v>
      </c>
      <c r="K317" s="836">
        <f t="shared" si="118"/>
        <v>15945468.525</v>
      </c>
      <c r="L31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17" s="837">
        <f t="shared" si="120"/>
        <v>19294016.91525</v>
      </c>
      <c r="N317" s="838"/>
      <c r="O317" s="838">
        <v>0</v>
      </c>
      <c r="P317" s="838">
        <v>0</v>
      </c>
      <c r="Q317" s="839">
        <f>+Tabla1[[#This Row],[VENTA TOTAL $ (IVA INC) ]]-Tabla1[[#This Row],[PENDIENTE DE COBRO]]</f>
        <v>19294016.91525</v>
      </c>
      <c r="R317" s="840">
        <f>+Tabla1[[#This Row],[FECHA FC]]+Tabla1[[#This Row],[PLAZO ENTREGA VALORES]]</f>
        <v>46051</v>
      </c>
      <c r="S317" s="840">
        <f>+Tabla1[[#This Row],[FECHA FC]]+Tabla1[[#This Row],[PLAZO PAGO (DIAS)]]</f>
        <v>46222</v>
      </c>
      <c r="T317" s="834">
        <f t="shared" ca="1" si="121"/>
        <v>41</v>
      </c>
      <c r="U317" s="831">
        <f>+Tabla1[[#This Row],[FECHA OC]]-Tabla1[[#This Row],[FECHA Entrega]]</f>
        <v>-171</v>
      </c>
      <c r="V317" s="831"/>
      <c r="W317" s="841">
        <f>+Tabla1[[#This Row],[FECHA VTO VALORES]]+7</f>
        <v>46229</v>
      </c>
      <c r="X317" s="831" t="s">
        <v>489</v>
      </c>
      <c r="Y317" s="840">
        <v>46051</v>
      </c>
      <c r="Z317" s="842">
        <f>Tabla1[[#This Row],[KGS]]/50</f>
        <v>700</v>
      </c>
      <c r="AA31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17" s="844">
        <f>-Tabla1[[#This Row],[COSTO FLETE $ POR BOLSA 5O KG (SIN IVA)]]*1.21-Tabla1[[#This Row],[PRECIO $/ KG A PLAZO EN CLIENTE ( SIN IVA)]]*0.003*1.21*50</f>
        <v>-0.40864392249999071</v>
      </c>
      <c r="AC317" s="845">
        <f>SUM(Tabla1[[#This Row],[PRECIO $ BOLSA 50 KG (IVA INC) ]]+Tabla1[[#This Row],[COSTO FLETE $ BOLSA 50 KG (IVA INC)]])</f>
        <v>27562.4726635775</v>
      </c>
      <c r="AD317" s="844">
        <f>-Tabla1[[#This Row],[PRECIO $ BOLSA 50 KG (IVA INC) ]]*(Tabla1[[#This Row],[TASA FINANCIACION MENSUAL]]/365)*Tabla1[[#This Row],[PLAZO ENTREGA VALORES]]</f>
        <v>374.47761206545891</v>
      </c>
      <c r="AE317" s="845">
        <f>SUM(Tabla1[[#This Row],[PRECIO $ BOLSA50 KG  FOB TUCUMAN A PLAZO (IVA INC)]]+Tabla1[[#This Row],[GASTOS FINANCIEROS $ BOLSA 50 KG (IVA INC)]])</f>
        <v>27936.950275642961</v>
      </c>
      <c r="AF317" s="828" t="s">
        <v>476</v>
      </c>
      <c r="AG317" s="828" t="s">
        <v>365</v>
      </c>
      <c r="AH317" s="828" t="s">
        <v>387</v>
      </c>
      <c r="AI317" s="828" t="s">
        <v>261</v>
      </c>
      <c r="AJ31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17" s="846">
        <f>SUM(Tabla1[[#This Row],[PRECIO $ BOLSA 50KG  FOB CDO TUC (IVA INC)]]-Tabla1[[#This Row],[PRECIO REF $ BOLSA 50 KG CACTU (IVA INC)]])</f>
        <v>-4578.0497243570389</v>
      </c>
      <c r="AL317" s="847">
        <f>IFERROR(Tabla1[[#This Row],[PRECIO $ BOLSA 50KG  FOB CDO TUC (IVA INC)]]/Tabla1[[#This Row],[PRECIO REF $ BOLSA 50 KG CACTU (IVA INC)]]-1,"")</f>
        <v>-0.14079808471035027</v>
      </c>
      <c r="AM317" s="846">
        <f>+Tabla1[[#This Row],[DIF $ PRECIO NETO INDUSTRIA vs Neto TUCUMAN (IVA INC)]]*Tabla1[[#This Row],[Q Bolsas Equivalentes 50kg]]</f>
        <v>-3204634.8070499273</v>
      </c>
      <c r="AN317" s="846">
        <f>Tabla1[[#This Row],[PRECIO REF $ BOLSA 50 KG CACTU (IVA INC)]]*Tabla1[[#This Row],[Q Bolsas Equivalentes 50kg]]</f>
        <v>22760500</v>
      </c>
      <c r="AO317" s="846">
        <f>+Tabla1[[#This Row],[PRECIO $ BOLSA 50KG  FOB CDO TUC (IVA INC)]]*Tabla1[[#This Row],[Q Bolsas Equivalentes 50kg]]</f>
        <v>19555865.192950074</v>
      </c>
      <c r="AP317" s="847">
        <v>2.9000000000000001E-2</v>
      </c>
      <c r="AQ317" s="846">
        <v>-68</v>
      </c>
      <c r="AR317" s="848"/>
      <c r="AS317" s="849"/>
      <c r="AT317" s="923">
        <f>+Tabla1[[#This Row],[VENTA TOTAL $ (IVA INC) ]]-(SUM(Tabla1[[#This Row],[PENDIENTE DE ENTREGA]:[VALORES COBRADOS]]))</f>
        <v>0</v>
      </c>
      <c r="AU317" s="850">
        <f>VLOOKUP(Tabla1[[#This Row],[FECHA OC]],'TIPO DE CAMBIO'!A:B,2,TRUE)</f>
        <v>1446.3009999999999</v>
      </c>
      <c r="AV317" s="850">
        <f>+Tabla1[[#This Row],[SUBTOTAL]]/Tabla1[[#This Row],[TIPO DE CAMBIO]]</f>
        <v>11025</v>
      </c>
      <c r="AW317" s="851"/>
      <c r="AX317" s="850">
        <f>IFERROR(Tabla1[[#This Row],[VENTA TOTAL USD A PLAZO EN CLIENTE  (SIN IVA)]]*(1+Tabla1[[#This Row],[% IVA ]]),"")</f>
        <v>11025</v>
      </c>
      <c r="AY317" s="850">
        <f>+Tabla1[[#This Row],[VENTA TOTAL USD A PLAZO EN CLIENTE  (SIN IVA)]]/Tabla1[[#This Row],[KGS]]*1000</f>
        <v>315</v>
      </c>
      <c r="AZ317" s="850">
        <v>0</v>
      </c>
      <c r="BA317" s="850">
        <f>+Tabla1[[#This Row],[GASTOS FINANCIEROS $ BOLSA 50 KG (IVA INC)]]*20/Tabla1[[#This Row],[TIPO DE CAMBIO]]</f>
        <v>5.1784187671232882</v>
      </c>
      <c r="BB317" s="850">
        <f>+Tabla1[[#This Row],[PRECIO POR TN USD EN CLIENTE A PLAZO (SIN IVA)]]+Tabla1[[#This Row],[COSTO USD FLETE /TN (SIN IVA)]]+Tabla1[[#This Row],[COSTO FINANCIERO USD POR BOLSA 50KG (IVA INC)]]</f>
        <v>320.17841876712328</v>
      </c>
      <c r="BC317" s="848">
        <v>5</v>
      </c>
      <c r="BD317" s="944"/>
    </row>
    <row r="318" spans="1:56" ht="15.75" customHeight="1">
      <c r="A318" s="912">
        <v>46204</v>
      </c>
      <c r="B318" s="828">
        <v>1</v>
      </c>
      <c r="C318" s="792" t="s">
        <v>406</v>
      </c>
      <c r="D318" s="829">
        <f>+Tabla1[[#This Row],[FECHA Entrega]]</f>
        <v>46222</v>
      </c>
      <c r="E318" s="830">
        <v>700000869</v>
      </c>
      <c r="F318" s="831" t="s">
        <v>358</v>
      </c>
      <c r="G318" s="832" t="s">
        <v>216</v>
      </c>
      <c r="H318" s="852">
        <v>46222</v>
      </c>
      <c r="I318" s="834">
        <f t="shared" si="117"/>
        <v>35000</v>
      </c>
      <c r="J318" s="835">
        <f>0.315*Tabla1[[#This Row],[TIPO DE CAMBIO]]</f>
        <v>455.58481499999999</v>
      </c>
      <c r="K318" s="836">
        <f t="shared" si="118"/>
        <v>15945468.525</v>
      </c>
      <c r="L31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18" s="837">
        <f t="shared" si="120"/>
        <v>19294016.91525</v>
      </c>
      <c r="N318" s="838"/>
      <c r="O318" s="838">
        <v>0</v>
      </c>
      <c r="P318" s="838">
        <v>0</v>
      </c>
      <c r="Q318" s="839">
        <f>+Tabla1[[#This Row],[VENTA TOTAL $ (IVA INC) ]]-Tabla1[[#This Row],[PENDIENTE DE COBRO]]</f>
        <v>19294016.91525</v>
      </c>
      <c r="R318" s="840">
        <f>+Tabla1[[#This Row],[FECHA FC]]+Tabla1[[#This Row],[PLAZO ENTREGA VALORES]]</f>
        <v>46051</v>
      </c>
      <c r="S318" s="840">
        <f>+Tabla1[[#This Row],[FECHA FC]]+Tabla1[[#This Row],[PLAZO PAGO (DIAS)]]</f>
        <v>46222</v>
      </c>
      <c r="T318" s="834">
        <f t="shared" ca="1" si="121"/>
        <v>41</v>
      </c>
      <c r="U318" s="831">
        <f>+Tabla1[[#This Row],[FECHA OC]]-Tabla1[[#This Row],[FECHA Entrega]]</f>
        <v>-171</v>
      </c>
      <c r="V318" s="831"/>
      <c r="W318" s="841">
        <f>+Tabla1[[#This Row],[FECHA VTO VALORES]]+7</f>
        <v>46229</v>
      </c>
      <c r="X318" s="831" t="s">
        <v>489</v>
      </c>
      <c r="Y318" s="840">
        <v>46051</v>
      </c>
      <c r="Z318" s="842">
        <f>Tabla1[[#This Row],[KGS]]/50</f>
        <v>700</v>
      </c>
      <c r="AA31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18" s="844">
        <f>-Tabla1[[#This Row],[COSTO FLETE $ POR BOLSA 5O KG (SIN IVA)]]*1.21-Tabla1[[#This Row],[PRECIO $/ KG A PLAZO EN CLIENTE ( SIN IVA)]]*0.003*1.21*50</f>
        <v>-0.40864392249999071</v>
      </c>
      <c r="AC318" s="845">
        <f>SUM(Tabla1[[#This Row],[PRECIO $ BOLSA 50 KG (IVA INC) ]]+Tabla1[[#This Row],[COSTO FLETE $ BOLSA 50 KG (IVA INC)]])</f>
        <v>27562.4726635775</v>
      </c>
      <c r="AD318" s="844">
        <f>-Tabla1[[#This Row],[PRECIO $ BOLSA 50 KG (IVA INC) ]]*(Tabla1[[#This Row],[TASA FINANCIACION MENSUAL]]/365)*Tabla1[[#This Row],[PLAZO ENTREGA VALORES]]</f>
        <v>374.47761206545891</v>
      </c>
      <c r="AE318" s="845">
        <f>SUM(Tabla1[[#This Row],[PRECIO $ BOLSA50 KG  FOB TUCUMAN A PLAZO (IVA INC)]]+Tabla1[[#This Row],[GASTOS FINANCIEROS $ BOLSA 50 KG (IVA INC)]])</f>
        <v>27936.950275642961</v>
      </c>
      <c r="AF318" s="828" t="s">
        <v>476</v>
      </c>
      <c r="AG318" s="828" t="s">
        <v>365</v>
      </c>
      <c r="AH318" s="828" t="s">
        <v>387</v>
      </c>
      <c r="AI318" s="828" t="s">
        <v>261</v>
      </c>
      <c r="AJ31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18" s="846">
        <f>SUM(Tabla1[[#This Row],[PRECIO $ BOLSA 50KG  FOB CDO TUC (IVA INC)]]-Tabla1[[#This Row],[PRECIO REF $ BOLSA 50 KG CACTU (IVA INC)]])</f>
        <v>-4578.0497243570389</v>
      </c>
      <c r="AL318" s="847">
        <f>IFERROR(Tabla1[[#This Row],[PRECIO $ BOLSA 50KG  FOB CDO TUC (IVA INC)]]/Tabla1[[#This Row],[PRECIO REF $ BOLSA 50 KG CACTU (IVA INC)]]-1,"")</f>
        <v>-0.14079808471035027</v>
      </c>
      <c r="AM318" s="846">
        <f>+Tabla1[[#This Row],[DIF $ PRECIO NETO INDUSTRIA vs Neto TUCUMAN (IVA INC)]]*Tabla1[[#This Row],[Q Bolsas Equivalentes 50kg]]</f>
        <v>-3204634.8070499273</v>
      </c>
      <c r="AN318" s="846">
        <f>Tabla1[[#This Row],[PRECIO REF $ BOLSA 50 KG CACTU (IVA INC)]]*Tabla1[[#This Row],[Q Bolsas Equivalentes 50kg]]</f>
        <v>22760500</v>
      </c>
      <c r="AO318" s="846">
        <f>+Tabla1[[#This Row],[PRECIO $ BOLSA 50KG  FOB CDO TUC (IVA INC)]]*Tabla1[[#This Row],[Q Bolsas Equivalentes 50kg]]</f>
        <v>19555865.192950074</v>
      </c>
      <c r="AP318" s="847">
        <v>2.9000000000000001E-2</v>
      </c>
      <c r="AQ318" s="846">
        <v>-68</v>
      </c>
      <c r="AR318" s="848"/>
      <c r="AS318" s="849"/>
      <c r="AT318" s="923">
        <f>+Tabla1[[#This Row],[VENTA TOTAL $ (IVA INC) ]]-(SUM(Tabla1[[#This Row],[PENDIENTE DE ENTREGA]:[VALORES COBRADOS]]))</f>
        <v>0</v>
      </c>
      <c r="AU318" s="850">
        <f>VLOOKUP(Tabla1[[#This Row],[FECHA OC]],'TIPO DE CAMBIO'!A:B,2,TRUE)</f>
        <v>1446.3009999999999</v>
      </c>
      <c r="AV318" s="850">
        <f>+Tabla1[[#This Row],[SUBTOTAL]]/Tabla1[[#This Row],[TIPO DE CAMBIO]]</f>
        <v>11025</v>
      </c>
      <c r="AW318" s="851"/>
      <c r="AX318" s="850">
        <f>IFERROR(Tabla1[[#This Row],[VENTA TOTAL USD A PLAZO EN CLIENTE  (SIN IVA)]]*(1+Tabla1[[#This Row],[% IVA ]]),"")</f>
        <v>11025</v>
      </c>
      <c r="AY318" s="850">
        <f>+Tabla1[[#This Row],[VENTA TOTAL USD A PLAZO EN CLIENTE  (SIN IVA)]]/Tabla1[[#This Row],[KGS]]*1000</f>
        <v>315</v>
      </c>
      <c r="AZ318" s="850">
        <v>0</v>
      </c>
      <c r="BA318" s="850">
        <f>+Tabla1[[#This Row],[GASTOS FINANCIEROS $ BOLSA 50 KG (IVA INC)]]*20/Tabla1[[#This Row],[TIPO DE CAMBIO]]</f>
        <v>5.1784187671232882</v>
      </c>
      <c r="BB318" s="850">
        <f>+Tabla1[[#This Row],[PRECIO POR TN USD EN CLIENTE A PLAZO (SIN IVA)]]+Tabla1[[#This Row],[COSTO USD FLETE /TN (SIN IVA)]]+Tabla1[[#This Row],[COSTO FINANCIERO USD POR BOLSA 50KG (IVA INC)]]</f>
        <v>320.17841876712328</v>
      </c>
      <c r="BC318" s="848">
        <v>5</v>
      </c>
      <c r="BD318" s="944"/>
    </row>
    <row r="319" spans="1:56" ht="15.75" customHeight="1">
      <c r="A319" s="912">
        <v>46204</v>
      </c>
      <c r="B319" s="828">
        <v>1</v>
      </c>
      <c r="C319" s="792" t="s">
        <v>406</v>
      </c>
      <c r="D319" s="829">
        <f>+Tabla1[[#This Row],[FECHA Entrega]]</f>
        <v>46223</v>
      </c>
      <c r="E319" s="830">
        <v>700000869</v>
      </c>
      <c r="F319" s="831" t="s">
        <v>358</v>
      </c>
      <c r="G319" s="832" t="s">
        <v>216</v>
      </c>
      <c r="H319" s="852">
        <v>46223</v>
      </c>
      <c r="I319" s="834">
        <f t="shared" si="117"/>
        <v>35000</v>
      </c>
      <c r="J319" s="835">
        <f>0.315*Tabla1[[#This Row],[TIPO DE CAMBIO]]</f>
        <v>455.58481499999999</v>
      </c>
      <c r="K319" s="836">
        <f t="shared" ref="K319:K330" si="122">+J319*I319</f>
        <v>15945468.525</v>
      </c>
      <c r="L31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19" s="837">
        <f t="shared" si="120"/>
        <v>19294016.91525</v>
      </c>
      <c r="N319" s="838"/>
      <c r="O319" s="838">
        <v>0</v>
      </c>
      <c r="P319" s="838">
        <v>0</v>
      </c>
      <c r="Q319" s="839">
        <f>+Tabla1[[#This Row],[VENTA TOTAL $ (IVA INC) ]]-Tabla1[[#This Row],[PENDIENTE DE COBRO]]</f>
        <v>19294016.91525</v>
      </c>
      <c r="R319" s="840">
        <f>+Tabla1[[#This Row],[FECHA FC]]+Tabla1[[#This Row],[PLAZO ENTREGA VALORES]]</f>
        <v>46051</v>
      </c>
      <c r="S319" s="840">
        <f>+Tabla1[[#This Row],[FECHA FC]]+Tabla1[[#This Row],[PLAZO PAGO (DIAS)]]</f>
        <v>46223</v>
      </c>
      <c r="T319" s="834">
        <f t="shared" ca="1" si="121"/>
        <v>42</v>
      </c>
      <c r="U319" s="831">
        <f>+Tabla1[[#This Row],[FECHA OC]]-Tabla1[[#This Row],[FECHA Entrega]]</f>
        <v>-172</v>
      </c>
      <c r="V319" s="831"/>
      <c r="W319" s="841">
        <f>+Tabla1[[#This Row],[FECHA VTO VALORES]]+7</f>
        <v>46230</v>
      </c>
      <c r="X319" s="831" t="s">
        <v>489</v>
      </c>
      <c r="Y319" s="840">
        <v>46051</v>
      </c>
      <c r="Z319" s="842">
        <f>Tabla1[[#This Row],[KGS]]/50</f>
        <v>700</v>
      </c>
      <c r="AA31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19" s="844">
        <f>-Tabla1[[#This Row],[COSTO FLETE $ POR BOLSA 5O KG (SIN IVA)]]*1.21-Tabla1[[#This Row],[PRECIO $/ KG A PLAZO EN CLIENTE ( SIN IVA)]]*0.003*1.21*50</f>
        <v>-0.40864392249999071</v>
      </c>
      <c r="AC319" s="845">
        <f>SUM(Tabla1[[#This Row],[PRECIO $ BOLSA 50 KG (IVA INC) ]]+Tabla1[[#This Row],[COSTO FLETE $ BOLSA 50 KG (IVA INC)]])</f>
        <v>27562.4726635775</v>
      </c>
      <c r="AD319" s="844">
        <f>-Tabla1[[#This Row],[PRECIO $ BOLSA 50 KG (IVA INC) ]]*(Tabla1[[#This Row],[TASA FINANCIACION MENSUAL]]/365)*Tabla1[[#This Row],[PLAZO ENTREGA VALORES]]</f>
        <v>376.66753962139728</v>
      </c>
      <c r="AE319" s="845">
        <f>SUM(Tabla1[[#This Row],[PRECIO $ BOLSA50 KG  FOB TUCUMAN A PLAZO (IVA INC)]]+Tabla1[[#This Row],[GASTOS FINANCIEROS $ BOLSA 50 KG (IVA INC)]])</f>
        <v>27939.140203198898</v>
      </c>
      <c r="AF319" s="828" t="s">
        <v>476</v>
      </c>
      <c r="AG319" s="828" t="s">
        <v>365</v>
      </c>
      <c r="AH319" s="828" t="s">
        <v>387</v>
      </c>
      <c r="AI319" s="828" t="s">
        <v>261</v>
      </c>
      <c r="AJ31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19" s="846">
        <f>SUM(Tabla1[[#This Row],[PRECIO $ BOLSA 50KG  FOB CDO TUC (IVA INC)]]-Tabla1[[#This Row],[PRECIO REF $ BOLSA 50 KG CACTU (IVA INC)]])</f>
        <v>-4575.8597968011018</v>
      </c>
      <c r="AL319" s="847">
        <f>IFERROR(Tabla1[[#This Row],[PRECIO $ BOLSA 50KG  FOB CDO TUC (IVA INC)]]/Tabla1[[#This Row],[PRECIO REF $ BOLSA 50 KG CACTU (IVA INC)]]-1,"")</f>
        <v>-0.14073073340922959</v>
      </c>
      <c r="AM319" s="846">
        <f>+Tabla1[[#This Row],[DIF $ PRECIO NETO INDUSTRIA vs Neto TUCUMAN (IVA INC)]]*Tabla1[[#This Row],[Q Bolsas Equivalentes 50kg]]</f>
        <v>-3203101.8577607712</v>
      </c>
      <c r="AN319" s="846">
        <f>Tabla1[[#This Row],[PRECIO REF $ BOLSA 50 KG CACTU (IVA INC)]]*Tabla1[[#This Row],[Q Bolsas Equivalentes 50kg]]</f>
        <v>22760500</v>
      </c>
      <c r="AO319" s="846">
        <f>+Tabla1[[#This Row],[PRECIO $ BOLSA 50KG  FOB CDO TUC (IVA INC)]]*Tabla1[[#This Row],[Q Bolsas Equivalentes 50kg]]</f>
        <v>19557398.142239228</v>
      </c>
      <c r="AP319" s="847">
        <v>2.9000000000000001E-2</v>
      </c>
      <c r="AQ319" s="846">
        <v>-68</v>
      </c>
      <c r="AR319" s="848"/>
      <c r="AS319" s="849"/>
      <c r="AT319" s="923">
        <f>+Tabla1[[#This Row],[VENTA TOTAL $ (IVA INC) ]]-(SUM(Tabla1[[#This Row],[PENDIENTE DE ENTREGA]:[VALORES COBRADOS]]))</f>
        <v>0</v>
      </c>
      <c r="AU319" s="850">
        <f>VLOOKUP(Tabla1[[#This Row],[FECHA OC]],'TIPO DE CAMBIO'!A:B,2,TRUE)</f>
        <v>1446.3009999999999</v>
      </c>
      <c r="AV319" s="850">
        <f>+Tabla1[[#This Row],[SUBTOTAL]]/Tabla1[[#This Row],[TIPO DE CAMBIO]]</f>
        <v>11025</v>
      </c>
      <c r="AW319" s="851"/>
      <c r="AX319" s="850">
        <f>IFERROR(Tabla1[[#This Row],[VENTA TOTAL USD A PLAZO EN CLIENTE  (SIN IVA)]]*(1+Tabla1[[#This Row],[% IVA ]]),"")</f>
        <v>11025</v>
      </c>
      <c r="AY319" s="850">
        <f>+Tabla1[[#This Row],[VENTA TOTAL USD A PLAZO EN CLIENTE  (SIN IVA)]]/Tabla1[[#This Row],[KGS]]*1000</f>
        <v>315</v>
      </c>
      <c r="AZ319" s="850">
        <v>0</v>
      </c>
      <c r="BA319" s="850">
        <f>+Tabla1[[#This Row],[GASTOS FINANCIEROS $ BOLSA 50 KG (IVA INC)]]*20/Tabla1[[#This Row],[TIPO DE CAMBIO]]</f>
        <v>5.2087019178082201</v>
      </c>
      <c r="BB319" s="850">
        <f>+Tabla1[[#This Row],[PRECIO POR TN USD EN CLIENTE A PLAZO (SIN IVA)]]+Tabla1[[#This Row],[COSTO USD FLETE /TN (SIN IVA)]]+Tabla1[[#This Row],[COSTO FINANCIERO USD POR BOLSA 50KG (IVA INC)]]</f>
        <v>320.20870191780824</v>
      </c>
      <c r="BC319" s="848">
        <v>5</v>
      </c>
      <c r="BD319" s="944"/>
    </row>
    <row r="320" spans="1:56" ht="15.75" customHeight="1">
      <c r="A320" s="912">
        <v>46204</v>
      </c>
      <c r="B320" s="828">
        <v>1</v>
      </c>
      <c r="C320" s="792" t="s">
        <v>406</v>
      </c>
      <c r="D320" s="829">
        <f>+Tabla1[[#This Row],[FECHA Entrega]]</f>
        <v>46223</v>
      </c>
      <c r="E320" s="830">
        <v>700000869</v>
      </c>
      <c r="F320" s="831" t="s">
        <v>358</v>
      </c>
      <c r="G320" s="832" t="s">
        <v>216</v>
      </c>
      <c r="H320" s="852">
        <v>46223</v>
      </c>
      <c r="I320" s="834">
        <f t="shared" si="117"/>
        <v>35000</v>
      </c>
      <c r="J320" s="835">
        <f>0.315*Tabla1[[#This Row],[TIPO DE CAMBIO]]</f>
        <v>455.58481499999999</v>
      </c>
      <c r="K320" s="836">
        <f t="shared" si="122"/>
        <v>15945468.525</v>
      </c>
      <c r="L32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20" s="837">
        <f t="shared" si="120"/>
        <v>19294016.91525</v>
      </c>
      <c r="N320" s="838"/>
      <c r="O320" s="838">
        <v>0</v>
      </c>
      <c r="P320" s="838">
        <v>0</v>
      </c>
      <c r="Q320" s="839">
        <f>+Tabla1[[#This Row],[VENTA TOTAL $ (IVA INC) ]]-Tabla1[[#This Row],[PENDIENTE DE COBRO]]</f>
        <v>19294016.91525</v>
      </c>
      <c r="R320" s="840">
        <f>+Tabla1[[#This Row],[FECHA FC]]+Tabla1[[#This Row],[PLAZO ENTREGA VALORES]]</f>
        <v>46051</v>
      </c>
      <c r="S320" s="840">
        <f>+Tabla1[[#This Row],[FECHA FC]]+Tabla1[[#This Row],[PLAZO PAGO (DIAS)]]</f>
        <v>46223</v>
      </c>
      <c r="T320" s="834">
        <f t="shared" ca="1" si="121"/>
        <v>42</v>
      </c>
      <c r="U320" s="831">
        <f>+Tabla1[[#This Row],[FECHA OC]]-Tabla1[[#This Row],[FECHA Entrega]]</f>
        <v>-172</v>
      </c>
      <c r="V320" s="831"/>
      <c r="W320" s="841">
        <f>+Tabla1[[#This Row],[FECHA VTO VALORES]]+7</f>
        <v>46230</v>
      </c>
      <c r="X320" s="831" t="s">
        <v>489</v>
      </c>
      <c r="Y320" s="840">
        <v>46051</v>
      </c>
      <c r="Z320" s="842">
        <f>Tabla1[[#This Row],[KGS]]/50</f>
        <v>700</v>
      </c>
      <c r="AA32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20" s="844">
        <f>-Tabla1[[#This Row],[COSTO FLETE $ POR BOLSA 5O KG (SIN IVA)]]*1.21-Tabla1[[#This Row],[PRECIO $/ KG A PLAZO EN CLIENTE ( SIN IVA)]]*0.003*1.21*50</f>
        <v>-0.40864392249999071</v>
      </c>
      <c r="AC320" s="845">
        <f>SUM(Tabla1[[#This Row],[PRECIO $ BOLSA 50 KG (IVA INC) ]]+Tabla1[[#This Row],[COSTO FLETE $ BOLSA 50 KG (IVA INC)]])</f>
        <v>27562.4726635775</v>
      </c>
      <c r="AD320" s="844">
        <f>-Tabla1[[#This Row],[PRECIO $ BOLSA 50 KG (IVA INC) ]]*(Tabla1[[#This Row],[TASA FINANCIACION MENSUAL]]/365)*Tabla1[[#This Row],[PLAZO ENTREGA VALORES]]</f>
        <v>376.66753962139728</v>
      </c>
      <c r="AE320" s="845">
        <f>SUM(Tabla1[[#This Row],[PRECIO $ BOLSA50 KG  FOB TUCUMAN A PLAZO (IVA INC)]]+Tabla1[[#This Row],[GASTOS FINANCIEROS $ BOLSA 50 KG (IVA INC)]])</f>
        <v>27939.140203198898</v>
      </c>
      <c r="AF320" s="828" t="s">
        <v>476</v>
      </c>
      <c r="AG320" s="828" t="s">
        <v>365</v>
      </c>
      <c r="AH320" s="828" t="s">
        <v>387</v>
      </c>
      <c r="AI320" s="828" t="s">
        <v>261</v>
      </c>
      <c r="AJ32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20" s="846">
        <f>SUM(Tabla1[[#This Row],[PRECIO $ BOLSA 50KG  FOB CDO TUC (IVA INC)]]-Tabla1[[#This Row],[PRECIO REF $ BOLSA 50 KG CACTU (IVA INC)]])</f>
        <v>-4575.8597968011018</v>
      </c>
      <c r="AL320" s="847">
        <f>IFERROR(Tabla1[[#This Row],[PRECIO $ BOLSA 50KG  FOB CDO TUC (IVA INC)]]/Tabla1[[#This Row],[PRECIO REF $ BOLSA 50 KG CACTU (IVA INC)]]-1,"")</f>
        <v>-0.14073073340922959</v>
      </c>
      <c r="AM320" s="846">
        <f>+Tabla1[[#This Row],[DIF $ PRECIO NETO INDUSTRIA vs Neto TUCUMAN (IVA INC)]]*Tabla1[[#This Row],[Q Bolsas Equivalentes 50kg]]</f>
        <v>-3203101.8577607712</v>
      </c>
      <c r="AN320" s="846">
        <f>Tabla1[[#This Row],[PRECIO REF $ BOLSA 50 KG CACTU (IVA INC)]]*Tabla1[[#This Row],[Q Bolsas Equivalentes 50kg]]</f>
        <v>22760500</v>
      </c>
      <c r="AO320" s="846">
        <f>+Tabla1[[#This Row],[PRECIO $ BOLSA 50KG  FOB CDO TUC (IVA INC)]]*Tabla1[[#This Row],[Q Bolsas Equivalentes 50kg]]</f>
        <v>19557398.142239228</v>
      </c>
      <c r="AP320" s="847">
        <v>2.9000000000000001E-2</v>
      </c>
      <c r="AQ320" s="846">
        <v>-68</v>
      </c>
      <c r="AR320" s="848"/>
      <c r="AS320" s="849"/>
      <c r="AT320" s="923">
        <f>+Tabla1[[#This Row],[VENTA TOTAL $ (IVA INC) ]]-(SUM(Tabla1[[#This Row],[PENDIENTE DE ENTREGA]:[VALORES COBRADOS]]))</f>
        <v>0</v>
      </c>
      <c r="AU320" s="850">
        <f>VLOOKUP(Tabla1[[#This Row],[FECHA OC]],'TIPO DE CAMBIO'!A:B,2,TRUE)</f>
        <v>1446.3009999999999</v>
      </c>
      <c r="AV320" s="850">
        <f>+Tabla1[[#This Row],[SUBTOTAL]]/Tabla1[[#This Row],[TIPO DE CAMBIO]]</f>
        <v>11025</v>
      </c>
      <c r="AW320" s="851"/>
      <c r="AX320" s="850">
        <f>IFERROR(Tabla1[[#This Row],[VENTA TOTAL USD A PLAZO EN CLIENTE  (SIN IVA)]]*(1+Tabla1[[#This Row],[% IVA ]]),"")</f>
        <v>11025</v>
      </c>
      <c r="AY320" s="850">
        <f>+Tabla1[[#This Row],[VENTA TOTAL USD A PLAZO EN CLIENTE  (SIN IVA)]]/Tabla1[[#This Row],[KGS]]*1000</f>
        <v>315</v>
      </c>
      <c r="AZ320" s="850">
        <v>0</v>
      </c>
      <c r="BA320" s="850">
        <f>+Tabla1[[#This Row],[GASTOS FINANCIEROS $ BOLSA 50 KG (IVA INC)]]*20/Tabla1[[#This Row],[TIPO DE CAMBIO]]</f>
        <v>5.2087019178082201</v>
      </c>
      <c r="BB320" s="850">
        <f>+Tabla1[[#This Row],[PRECIO POR TN USD EN CLIENTE A PLAZO (SIN IVA)]]+Tabla1[[#This Row],[COSTO USD FLETE /TN (SIN IVA)]]+Tabla1[[#This Row],[COSTO FINANCIERO USD POR BOLSA 50KG (IVA INC)]]</f>
        <v>320.20870191780824</v>
      </c>
      <c r="BC320" s="848">
        <v>5</v>
      </c>
      <c r="BD320" s="944"/>
    </row>
    <row r="321" spans="1:56" ht="15.75" customHeight="1">
      <c r="A321" s="912">
        <v>46204</v>
      </c>
      <c r="B321" s="828">
        <v>1</v>
      </c>
      <c r="C321" s="792" t="s">
        <v>406</v>
      </c>
      <c r="D321" s="829">
        <f>+Tabla1[[#This Row],[FECHA Entrega]]</f>
        <v>46223</v>
      </c>
      <c r="E321" s="830">
        <v>700000869</v>
      </c>
      <c r="F321" s="831" t="s">
        <v>358</v>
      </c>
      <c r="G321" s="832" t="s">
        <v>216</v>
      </c>
      <c r="H321" s="852">
        <v>46223</v>
      </c>
      <c r="I321" s="834">
        <f t="shared" si="117"/>
        <v>35000</v>
      </c>
      <c r="J321" s="835">
        <f>0.315*Tabla1[[#This Row],[TIPO DE CAMBIO]]</f>
        <v>455.58481499999999</v>
      </c>
      <c r="K321" s="836">
        <f t="shared" si="122"/>
        <v>15945468.525</v>
      </c>
      <c r="L32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21" s="837">
        <f t="shared" si="120"/>
        <v>19294016.91525</v>
      </c>
      <c r="N321" s="838"/>
      <c r="O321" s="838">
        <v>0</v>
      </c>
      <c r="P321" s="838">
        <v>0</v>
      </c>
      <c r="Q321" s="839">
        <f>+Tabla1[[#This Row],[VENTA TOTAL $ (IVA INC) ]]-Tabla1[[#This Row],[PENDIENTE DE COBRO]]</f>
        <v>19294016.91525</v>
      </c>
      <c r="R321" s="840">
        <f>+Tabla1[[#This Row],[FECHA FC]]+Tabla1[[#This Row],[PLAZO ENTREGA VALORES]]</f>
        <v>46051</v>
      </c>
      <c r="S321" s="840">
        <f>+Tabla1[[#This Row],[FECHA FC]]+Tabla1[[#This Row],[PLAZO PAGO (DIAS)]]</f>
        <v>46223</v>
      </c>
      <c r="T321" s="834">
        <f t="shared" ca="1" si="121"/>
        <v>42</v>
      </c>
      <c r="U321" s="831">
        <f>+Tabla1[[#This Row],[FECHA OC]]-Tabla1[[#This Row],[FECHA Entrega]]</f>
        <v>-172</v>
      </c>
      <c r="V321" s="831"/>
      <c r="W321" s="841">
        <f>+Tabla1[[#This Row],[FECHA VTO VALORES]]+7</f>
        <v>46230</v>
      </c>
      <c r="X321" s="831" t="s">
        <v>489</v>
      </c>
      <c r="Y321" s="840">
        <v>46051</v>
      </c>
      <c r="Z321" s="842">
        <f>Tabla1[[#This Row],[KGS]]/50</f>
        <v>700</v>
      </c>
      <c r="AA321"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21" s="844">
        <f>-Tabla1[[#This Row],[COSTO FLETE $ POR BOLSA 5O KG (SIN IVA)]]*1.21-Tabla1[[#This Row],[PRECIO $/ KG A PLAZO EN CLIENTE ( SIN IVA)]]*0.003*1.21*50</f>
        <v>-0.40864392249999071</v>
      </c>
      <c r="AC321" s="845">
        <f>SUM(Tabla1[[#This Row],[PRECIO $ BOLSA 50 KG (IVA INC) ]]+Tabla1[[#This Row],[COSTO FLETE $ BOLSA 50 KG (IVA INC)]])</f>
        <v>27562.4726635775</v>
      </c>
      <c r="AD321" s="844">
        <f>-Tabla1[[#This Row],[PRECIO $ BOLSA 50 KG (IVA INC) ]]*(Tabla1[[#This Row],[TASA FINANCIACION MENSUAL]]/365)*Tabla1[[#This Row],[PLAZO ENTREGA VALORES]]</f>
        <v>376.66753962139728</v>
      </c>
      <c r="AE321" s="845">
        <f>SUM(Tabla1[[#This Row],[PRECIO $ BOLSA50 KG  FOB TUCUMAN A PLAZO (IVA INC)]]+Tabla1[[#This Row],[GASTOS FINANCIEROS $ BOLSA 50 KG (IVA INC)]])</f>
        <v>27939.140203198898</v>
      </c>
      <c r="AF321" s="828" t="s">
        <v>476</v>
      </c>
      <c r="AG321" s="828" t="s">
        <v>365</v>
      </c>
      <c r="AH321" s="828" t="s">
        <v>387</v>
      </c>
      <c r="AI321" s="828" t="s">
        <v>261</v>
      </c>
      <c r="AJ32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21" s="846">
        <f>SUM(Tabla1[[#This Row],[PRECIO $ BOLSA 50KG  FOB CDO TUC (IVA INC)]]-Tabla1[[#This Row],[PRECIO REF $ BOLSA 50 KG CACTU (IVA INC)]])</f>
        <v>-4575.8597968011018</v>
      </c>
      <c r="AL321" s="847">
        <f>IFERROR(Tabla1[[#This Row],[PRECIO $ BOLSA 50KG  FOB CDO TUC (IVA INC)]]/Tabla1[[#This Row],[PRECIO REF $ BOLSA 50 KG CACTU (IVA INC)]]-1,"")</f>
        <v>-0.14073073340922959</v>
      </c>
      <c r="AM321" s="846">
        <f>+Tabla1[[#This Row],[DIF $ PRECIO NETO INDUSTRIA vs Neto TUCUMAN (IVA INC)]]*Tabla1[[#This Row],[Q Bolsas Equivalentes 50kg]]</f>
        <v>-3203101.8577607712</v>
      </c>
      <c r="AN321" s="846">
        <f>Tabla1[[#This Row],[PRECIO REF $ BOLSA 50 KG CACTU (IVA INC)]]*Tabla1[[#This Row],[Q Bolsas Equivalentes 50kg]]</f>
        <v>22760500</v>
      </c>
      <c r="AO321" s="846">
        <f>+Tabla1[[#This Row],[PRECIO $ BOLSA 50KG  FOB CDO TUC (IVA INC)]]*Tabla1[[#This Row],[Q Bolsas Equivalentes 50kg]]</f>
        <v>19557398.142239228</v>
      </c>
      <c r="AP321" s="847">
        <v>2.9000000000000001E-2</v>
      </c>
      <c r="AQ321" s="846">
        <v>-68</v>
      </c>
      <c r="AR321" s="848"/>
      <c r="AS321" s="849"/>
      <c r="AT321" s="923">
        <f>+Tabla1[[#This Row],[VENTA TOTAL $ (IVA INC) ]]-(SUM(Tabla1[[#This Row],[PENDIENTE DE ENTREGA]:[VALORES COBRADOS]]))</f>
        <v>0</v>
      </c>
      <c r="AU321" s="850">
        <f>VLOOKUP(Tabla1[[#This Row],[FECHA OC]],'TIPO DE CAMBIO'!A:B,2,TRUE)</f>
        <v>1446.3009999999999</v>
      </c>
      <c r="AV321" s="850">
        <f>+Tabla1[[#This Row],[SUBTOTAL]]/Tabla1[[#This Row],[TIPO DE CAMBIO]]</f>
        <v>11025</v>
      </c>
      <c r="AW321" s="851"/>
      <c r="AX321" s="850">
        <f>IFERROR(Tabla1[[#This Row],[VENTA TOTAL USD A PLAZO EN CLIENTE  (SIN IVA)]]*(1+Tabla1[[#This Row],[% IVA ]]),"")</f>
        <v>11025</v>
      </c>
      <c r="AY321" s="850">
        <f>+Tabla1[[#This Row],[VENTA TOTAL USD A PLAZO EN CLIENTE  (SIN IVA)]]/Tabla1[[#This Row],[KGS]]*1000</f>
        <v>315</v>
      </c>
      <c r="AZ321" s="850">
        <v>0</v>
      </c>
      <c r="BA321" s="850">
        <f>+Tabla1[[#This Row],[GASTOS FINANCIEROS $ BOLSA 50 KG (IVA INC)]]*20/Tabla1[[#This Row],[TIPO DE CAMBIO]]</f>
        <v>5.2087019178082201</v>
      </c>
      <c r="BB321" s="850">
        <f>+Tabla1[[#This Row],[PRECIO POR TN USD EN CLIENTE A PLAZO (SIN IVA)]]+Tabla1[[#This Row],[COSTO USD FLETE /TN (SIN IVA)]]+Tabla1[[#This Row],[COSTO FINANCIERO USD POR BOLSA 50KG (IVA INC)]]</f>
        <v>320.20870191780824</v>
      </c>
      <c r="BC321" s="848">
        <v>5</v>
      </c>
      <c r="BD321" s="944"/>
    </row>
    <row r="322" spans="1:56" ht="15.75" customHeight="1">
      <c r="A322" s="912">
        <v>46204</v>
      </c>
      <c r="B322" s="828">
        <v>1</v>
      </c>
      <c r="C322" s="792" t="s">
        <v>406</v>
      </c>
      <c r="D322" s="829">
        <f>+Tabla1[[#This Row],[FECHA Entrega]]</f>
        <v>46224</v>
      </c>
      <c r="E322" s="830">
        <v>700000869</v>
      </c>
      <c r="F322" s="831" t="s">
        <v>358</v>
      </c>
      <c r="G322" s="832" t="s">
        <v>216</v>
      </c>
      <c r="H322" s="852">
        <v>46224</v>
      </c>
      <c r="I322" s="834">
        <f t="shared" si="117"/>
        <v>35000</v>
      </c>
      <c r="J322" s="835">
        <f>0.315*Tabla1[[#This Row],[TIPO DE CAMBIO]]</f>
        <v>455.58481499999999</v>
      </c>
      <c r="K322" s="836">
        <f t="shared" si="122"/>
        <v>15945468.525</v>
      </c>
      <c r="L32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22" s="837">
        <f t="shared" si="120"/>
        <v>19294016.91525</v>
      </c>
      <c r="N322" s="838"/>
      <c r="O322" s="838">
        <v>0</v>
      </c>
      <c r="P322" s="838">
        <v>0</v>
      </c>
      <c r="Q322" s="839">
        <f>+Tabla1[[#This Row],[VENTA TOTAL $ (IVA INC) ]]-Tabla1[[#This Row],[PENDIENTE DE COBRO]]</f>
        <v>19294016.91525</v>
      </c>
      <c r="R322" s="840">
        <f>+Tabla1[[#This Row],[FECHA FC]]+Tabla1[[#This Row],[PLAZO ENTREGA VALORES]]</f>
        <v>46051</v>
      </c>
      <c r="S322" s="840">
        <f>+Tabla1[[#This Row],[FECHA FC]]+Tabla1[[#This Row],[PLAZO PAGO (DIAS)]]</f>
        <v>46224</v>
      </c>
      <c r="T322" s="834">
        <f t="shared" ca="1" si="121"/>
        <v>43</v>
      </c>
      <c r="U322" s="831">
        <f>+Tabla1[[#This Row],[FECHA OC]]-Tabla1[[#This Row],[FECHA Entrega]]</f>
        <v>-173</v>
      </c>
      <c r="V322" s="831"/>
      <c r="W322" s="841">
        <f>+Tabla1[[#This Row],[FECHA VTO VALORES]]+7</f>
        <v>46231</v>
      </c>
      <c r="X322" s="831" t="s">
        <v>489</v>
      </c>
      <c r="Y322" s="840">
        <v>46051</v>
      </c>
      <c r="Z322" s="842">
        <f>Tabla1[[#This Row],[KGS]]/50</f>
        <v>700</v>
      </c>
      <c r="AA322"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22" s="844">
        <f>-Tabla1[[#This Row],[COSTO FLETE $ POR BOLSA 5O KG (SIN IVA)]]*1.21-Tabla1[[#This Row],[PRECIO $/ KG A PLAZO EN CLIENTE ( SIN IVA)]]*0.003*1.21*50</f>
        <v>-0.40864392249999071</v>
      </c>
      <c r="AC322" s="845">
        <f>SUM(Tabla1[[#This Row],[PRECIO $ BOLSA 50 KG (IVA INC) ]]+Tabla1[[#This Row],[COSTO FLETE $ BOLSA 50 KG (IVA INC)]])</f>
        <v>27562.4726635775</v>
      </c>
      <c r="AD322" s="844">
        <f>-Tabla1[[#This Row],[PRECIO $ BOLSA 50 KG (IVA INC) ]]*(Tabla1[[#This Row],[TASA FINANCIACION MENSUAL]]/365)*Tabla1[[#This Row],[PLAZO ENTREGA VALORES]]</f>
        <v>378.85746717733565</v>
      </c>
      <c r="AE322" s="845">
        <f>SUM(Tabla1[[#This Row],[PRECIO $ BOLSA50 KG  FOB TUCUMAN A PLAZO (IVA INC)]]+Tabla1[[#This Row],[GASTOS FINANCIEROS $ BOLSA 50 KG (IVA INC)]])</f>
        <v>27941.330130754835</v>
      </c>
      <c r="AF322" s="828" t="s">
        <v>476</v>
      </c>
      <c r="AG322" s="828" t="s">
        <v>365</v>
      </c>
      <c r="AH322" s="828" t="s">
        <v>387</v>
      </c>
      <c r="AI322" s="828" t="s">
        <v>261</v>
      </c>
      <c r="AJ32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22" s="846">
        <f>SUM(Tabla1[[#This Row],[PRECIO $ BOLSA 50KG  FOB CDO TUC (IVA INC)]]-Tabla1[[#This Row],[PRECIO REF $ BOLSA 50 KG CACTU (IVA INC)]])</f>
        <v>-4573.6698692451646</v>
      </c>
      <c r="AL322" s="847">
        <f>IFERROR(Tabla1[[#This Row],[PRECIO $ BOLSA 50KG  FOB CDO TUC (IVA INC)]]/Tabla1[[#This Row],[PRECIO REF $ BOLSA 50 KG CACTU (IVA INC)]]-1,"")</f>
        <v>-0.14066338210810903</v>
      </c>
      <c r="AM322" s="846">
        <f>+Tabla1[[#This Row],[DIF $ PRECIO NETO INDUSTRIA vs Neto TUCUMAN (IVA INC)]]*Tabla1[[#This Row],[Q Bolsas Equivalentes 50kg]]</f>
        <v>-3201568.9084716151</v>
      </c>
      <c r="AN322" s="846">
        <f>Tabla1[[#This Row],[PRECIO REF $ BOLSA 50 KG CACTU (IVA INC)]]*Tabla1[[#This Row],[Q Bolsas Equivalentes 50kg]]</f>
        <v>22760500</v>
      </c>
      <c r="AO322" s="846">
        <f>+Tabla1[[#This Row],[PRECIO $ BOLSA 50KG  FOB CDO TUC (IVA INC)]]*Tabla1[[#This Row],[Q Bolsas Equivalentes 50kg]]</f>
        <v>19558931.091528386</v>
      </c>
      <c r="AP322" s="847">
        <v>2.9000000000000001E-2</v>
      </c>
      <c r="AQ322" s="846">
        <v>-68</v>
      </c>
      <c r="AR322" s="848"/>
      <c r="AS322" s="849"/>
      <c r="AT322" s="923">
        <f>+Tabla1[[#This Row],[VENTA TOTAL $ (IVA INC) ]]-(SUM(Tabla1[[#This Row],[PENDIENTE DE ENTREGA]:[VALORES COBRADOS]]))</f>
        <v>0</v>
      </c>
      <c r="AU322" s="850">
        <f>VLOOKUP(Tabla1[[#This Row],[FECHA OC]],'TIPO DE CAMBIO'!A:B,2,TRUE)</f>
        <v>1446.3009999999999</v>
      </c>
      <c r="AV322" s="850">
        <f>+Tabla1[[#This Row],[SUBTOTAL]]/Tabla1[[#This Row],[TIPO DE CAMBIO]]</f>
        <v>11025</v>
      </c>
      <c r="AW322" s="851"/>
      <c r="AX322" s="850">
        <f>IFERROR(Tabla1[[#This Row],[VENTA TOTAL USD A PLAZO EN CLIENTE  (SIN IVA)]]*(1+Tabla1[[#This Row],[% IVA ]]),"")</f>
        <v>11025</v>
      </c>
      <c r="AY322" s="850">
        <f>+Tabla1[[#This Row],[VENTA TOTAL USD A PLAZO EN CLIENTE  (SIN IVA)]]/Tabla1[[#This Row],[KGS]]*1000</f>
        <v>315</v>
      </c>
      <c r="AZ322" s="850">
        <v>0</v>
      </c>
      <c r="BA322" s="850">
        <f>+Tabla1[[#This Row],[GASTOS FINANCIEROS $ BOLSA 50 KG (IVA INC)]]*20/Tabla1[[#This Row],[TIPO DE CAMBIO]]</f>
        <v>5.2389850684931512</v>
      </c>
      <c r="BB322" s="850">
        <f>+Tabla1[[#This Row],[PRECIO POR TN USD EN CLIENTE A PLAZO (SIN IVA)]]+Tabla1[[#This Row],[COSTO USD FLETE /TN (SIN IVA)]]+Tabla1[[#This Row],[COSTO FINANCIERO USD POR BOLSA 50KG (IVA INC)]]</f>
        <v>320.23898506849315</v>
      </c>
      <c r="BC322" s="848">
        <v>5</v>
      </c>
      <c r="BD322" s="944"/>
    </row>
    <row r="323" spans="1:56" ht="15.75" customHeight="1">
      <c r="A323" s="912">
        <v>46204</v>
      </c>
      <c r="B323" s="828">
        <v>1</v>
      </c>
      <c r="C323" s="792" t="s">
        <v>406</v>
      </c>
      <c r="D323" s="829">
        <f>+Tabla1[[#This Row],[FECHA Entrega]]</f>
        <v>46224</v>
      </c>
      <c r="E323" s="830">
        <v>700000869</v>
      </c>
      <c r="F323" s="831" t="s">
        <v>358</v>
      </c>
      <c r="G323" s="832" t="s">
        <v>216</v>
      </c>
      <c r="H323" s="852">
        <v>46224</v>
      </c>
      <c r="I323" s="834">
        <f t="shared" si="117"/>
        <v>35000</v>
      </c>
      <c r="J323" s="835">
        <f>0.315*Tabla1[[#This Row],[TIPO DE CAMBIO]]</f>
        <v>455.58481499999999</v>
      </c>
      <c r="K323" s="836">
        <f t="shared" si="122"/>
        <v>15945468.525</v>
      </c>
      <c r="L32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23" s="837">
        <f t="shared" si="120"/>
        <v>19294016.91525</v>
      </c>
      <c r="N323" s="838"/>
      <c r="O323" s="838">
        <v>0</v>
      </c>
      <c r="P323" s="838">
        <v>0</v>
      </c>
      <c r="Q323" s="839">
        <f>+Tabla1[[#This Row],[VENTA TOTAL $ (IVA INC) ]]-Tabla1[[#This Row],[PENDIENTE DE COBRO]]</f>
        <v>19294016.91525</v>
      </c>
      <c r="R323" s="840">
        <f>+Tabla1[[#This Row],[FECHA FC]]+Tabla1[[#This Row],[PLAZO ENTREGA VALORES]]</f>
        <v>46051</v>
      </c>
      <c r="S323" s="840">
        <f>+Tabla1[[#This Row],[FECHA FC]]+Tabla1[[#This Row],[PLAZO PAGO (DIAS)]]</f>
        <v>46224</v>
      </c>
      <c r="T323" s="834">
        <f t="shared" ca="1" si="121"/>
        <v>43</v>
      </c>
      <c r="U323" s="831">
        <f>+Tabla1[[#This Row],[FECHA OC]]-Tabla1[[#This Row],[FECHA Entrega]]</f>
        <v>-173</v>
      </c>
      <c r="V323" s="831"/>
      <c r="W323" s="841">
        <f>+Tabla1[[#This Row],[FECHA VTO VALORES]]+7</f>
        <v>46231</v>
      </c>
      <c r="X323" s="831" t="s">
        <v>489</v>
      </c>
      <c r="Y323" s="840">
        <v>46051</v>
      </c>
      <c r="Z323" s="842">
        <f>Tabla1[[#This Row],[KGS]]/50</f>
        <v>700</v>
      </c>
      <c r="AA323"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23" s="844">
        <f>-Tabla1[[#This Row],[COSTO FLETE $ POR BOLSA 5O KG (SIN IVA)]]*1.21-Tabla1[[#This Row],[PRECIO $/ KG A PLAZO EN CLIENTE ( SIN IVA)]]*0.003*1.21*50</f>
        <v>-0.40864392249999071</v>
      </c>
      <c r="AC323" s="845">
        <f>SUM(Tabla1[[#This Row],[PRECIO $ BOLSA 50 KG (IVA INC) ]]+Tabla1[[#This Row],[COSTO FLETE $ BOLSA 50 KG (IVA INC)]])</f>
        <v>27562.4726635775</v>
      </c>
      <c r="AD323" s="844">
        <f>-Tabla1[[#This Row],[PRECIO $ BOLSA 50 KG (IVA INC) ]]*(Tabla1[[#This Row],[TASA FINANCIACION MENSUAL]]/365)*Tabla1[[#This Row],[PLAZO ENTREGA VALORES]]</f>
        <v>378.85746717733565</v>
      </c>
      <c r="AE323" s="845">
        <f>SUM(Tabla1[[#This Row],[PRECIO $ BOLSA50 KG  FOB TUCUMAN A PLAZO (IVA INC)]]+Tabla1[[#This Row],[GASTOS FINANCIEROS $ BOLSA 50 KG (IVA INC)]])</f>
        <v>27941.330130754835</v>
      </c>
      <c r="AF323" s="828" t="s">
        <v>476</v>
      </c>
      <c r="AG323" s="828" t="s">
        <v>365</v>
      </c>
      <c r="AH323" s="828" t="s">
        <v>387</v>
      </c>
      <c r="AI323" s="828" t="s">
        <v>261</v>
      </c>
      <c r="AJ32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23" s="846">
        <f>SUM(Tabla1[[#This Row],[PRECIO $ BOLSA 50KG  FOB CDO TUC (IVA INC)]]-Tabla1[[#This Row],[PRECIO REF $ BOLSA 50 KG CACTU (IVA INC)]])</f>
        <v>-4573.6698692451646</v>
      </c>
      <c r="AL323" s="847">
        <f>IFERROR(Tabla1[[#This Row],[PRECIO $ BOLSA 50KG  FOB CDO TUC (IVA INC)]]/Tabla1[[#This Row],[PRECIO REF $ BOLSA 50 KG CACTU (IVA INC)]]-1,"")</f>
        <v>-0.14066338210810903</v>
      </c>
      <c r="AM323" s="846">
        <f>+Tabla1[[#This Row],[DIF $ PRECIO NETO INDUSTRIA vs Neto TUCUMAN (IVA INC)]]*Tabla1[[#This Row],[Q Bolsas Equivalentes 50kg]]</f>
        <v>-3201568.9084716151</v>
      </c>
      <c r="AN323" s="846">
        <f>Tabla1[[#This Row],[PRECIO REF $ BOLSA 50 KG CACTU (IVA INC)]]*Tabla1[[#This Row],[Q Bolsas Equivalentes 50kg]]</f>
        <v>22760500</v>
      </c>
      <c r="AO323" s="846">
        <f>+Tabla1[[#This Row],[PRECIO $ BOLSA 50KG  FOB CDO TUC (IVA INC)]]*Tabla1[[#This Row],[Q Bolsas Equivalentes 50kg]]</f>
        <v>19558931.091528386</v>
      </c>
      <c r="AP323" s="847">
        <v>2.9000000000000001E-2</v>
      </c>
      <c r="AQ323" s="846">
        <v>-68</v>
      </c>
      <c r="AR323" s="848"/>
      <c r="AS323" s="849"/>
      <c r="AT323" s="923">
        <f>+Tabla1[[#This Row],[VENTA TOTAL $ (IVA INC) ]]-(SUM(Tabla1[[#This Row],[PENDIENTE DE ENTREGA]:[VALORES COBRADOS]]))</f>
        <v>0</v>
      </c>
      <c r="AU323" s="850">
        <f>VLOOKUP(Tabla1[[#This Row],[FECHA OC]],'TIPO DE CAMBIO'!A:B,2,TRUE)</f>
        <v>1446.3009999999999</v>
      </c>
      <c r="AV323" s="850">
        <f>+Tabla1[[#This Row],[SUBTOTAL]]/Tabla1[[#This Row],[TIPO DE CAMBIO]]</f>
        <v>11025</v>
      </c>
      <c r="AW323" s="851"/>
      <c r="AX323" s="850">
        <f>IFERROR(Tabla1[[#This Row],[VENTA TOTAL USD A PLAZO EN CLIENTE  (SIN IVA)]]*(1+Tabla1[[#This Row],[% IVA ]]),"")</f>
        <v>11025</v>
      </c>
      <c r="AY323" s="850">
        <f>+Tabla1[[#This Row],[VENTA TOTAL USD A PLAZO EN CLIENTE  (SIN IVA)]]/Tabla1[[#This Row],[KGS]]*1000</f>
        <v>315</v>
      </c>
      <c r="AZ323" s="850">
        <v>0</v>
      </c>
      <c r="BA323" s="850">
        <f>+Tabla1[[#This Row],[GASTOS FINANCIEROS $ BOLSA 50 KG (IVA INC)]]*20/Tabla1[[#This Row],[TIPO DE CAMBIO]]</f>
        <v>5.2389850684931512</v>
      </c>
      <c r="BB323" s="850">
        <f>+Tabla1[[#This Row],[PRECIO POR TN USD EN CLIENTE A PLAZO (SIN IVA)]]+Tabla1[[#This Row],[COSTO USD FLETE /TN (SIN IVA)]]+Tabla1[[#This Row],[COSTO FINANCIERO USD POR BOLSA 50KG (IVA INC)]]</f>
        <v>320.23898506849315</v>
      </c>
      <c r="BC323" s="848">
        <v>5</v>
      </c>
      <c r="BD323" s="944"/>
    </row>
    <row r="324" spans="1:56" ht="15.75" customHeight="1">
      <c r="A324" s="912">
        <v>46204</v>
      </c>
      <c r="B324" s="828">
        <v>1</v>
      </c>
      <c r="C324" s="792" t="s">
        <v>406</v>
      </c>
      <c r="D324" s="829">
        <f>+Tabla1[[#This Row],[FECHA Entrega]]</f>
        <v>46224</v>
      </c>
      <c r="E324" s="830">
        <v>700000869</v>
      </c>
      <c r="F324" s="831" t="s">
        <v>358</v>
      </c>
      <c r="G324" s="832" t="s">
        <v>216</v>
      </c>
      <c r="H324" s="852">
        <v>46224</v>
      </c>
      <c r="I324" s="834">
        <f t="shared" si="117"/>
        <v>35000</v>
      </c>
      <c r="J324" s="835">
        <f>0.315*Tabla1[[#This Row],[TIPO DE CAMBIO]]</f>
        <v>455.58481499999999</v>
      </c>
      <c r="K324" s="836">
        <f t="shared" si="122"/>
        <v>15945468.525</v>
      </c>
      <c r="L32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24" s="837">
        <f t="shared" si="120"/>
        <v>19294016.91525</v>
      </c>
      <c r="N324" s="838"/>
      <c r="O324" s="838">
        <v>0</v>
      </c>
      <c r="P324" s="838">
        <v>0</v>
      </c>
      <c r="Q324" s="839">
        <f>+Tabla1[[#This Row],[VENTA TOTAL $ (IVA INC) ]]-Tabla1[[#This Row],[PENDIENTE DE COBRO]]</f>
        <v>19294016.91525</v>
      </c>
      <c r="R324" s="840">
        <f>+Tabla1[[#This Row],[FECHA FC]]+Tabla1[[#This Row],[PLAZO ENTREGA VALORES]]</f>
        <v>46051</v>
      </c>
      <c r="S324" s="840">
        <f>+Tabla1[[#This Row],[FECHA FC]]+Tabla1[[#This Row],[PLAZO PAGO (DIAS)]]</f>
        <v>46224</v>
      </c>
      <c r="T324" s="834">
        <f t="shared" ca="1" si="121"/>
        <v>43</v>
      </c>
      <c r="U324" s="831">
        <f>+Tabla1[[#This Row],[FECHA OC]]-Tabla1[[#This Row],[FECHA Entrega]]</f>
        <v>-173</v>
      </c>
      <c r="V324" s="831"/>
      <c r="W324" s="841">
        <f>+Tabla1[[#This Row],[FECHA VTO VALORES]]+7</f>
        <v>46231</v>
      </c>
      <c r="X324" s="831" t="s">
        <v>489</v>
      </c>
      <c r="Y324" s="840">
        <v>46051</v>
      </c>
      <c r="Z324" s="842">
        <f>Tabla1[[#This Row],[KGS]]/50</f>
        <v>700</v>
      </c>
      <c r="AA324"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24" s="844">
        <f>-Tabla1[[#This Row],[COSTO FLETE $ POR BOLSA 5O KG (SIN IVA)]]*1.21-Tabla1[[#This Row],[PRECIO $/ KG A PLAZO EN CLIENTE ( SIN IVA)]]*0.003*1.21*50</f>
        <v>-0.40864392249999071</v>
      </c>
      <c r="AC324" s="845">
        <f>SUM(Tabla1[[#This Row],[PRECIO $ BOLSA 50 KG (IVA INC) ]]+Tabla1[[#This Row],[COSTO FLETE $ BOLSA 50 KG (IVA INC)]])</f>
        <v>27562.4726635775</v>
      </c>
      <c r="AD324" s="844">
        <f>-Tabla1[[#This Row],[PRECIO $ BOLSA 50 KG (IVA INC) ]]*(Tabla1[[#This Row],[TASA FINANCIACION MENSUAL]]/365)*Tabla1[[#This Row],[PLAZO ENTREGA VALORES]]</f>
        <v>378.85746717733565</v>
      </c>
      <c r="AE324" s="845">
        <f>SUM(Tabla1[[#This Row],[PRECIO $ BOLSA50 KG  FOB TUCUMAN A PLAZO (IVA INC)]]+Tabla1[[#This Row],[GASTOS FINANCIEROS $ BOLSA 50 KG (IVA INC)]])</f>
        <v>27941.330130754835</v>
      </c>
      <c r="AF324" s="828" t="s">
        <v>476</v>
      </c>
      <c r="AG324" s="828" t="s">
        <v>365</v>
      </c>
      <c r="AH324" s="828" t="s">
        <v>387</v>
      </c>
      <c r="AI324" s="828" t="s">
        <v>261</v>
      </c>
      <c r="AJ32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24" s="846">
        <f>SUM(Tabla1[[#This Row],[PRECIO $ BOLSA 50KG  FOB CDO TUC (IVA INC)]]-Tabla1[[#This Row],[PRECIO REF $ BOLSA 50 KG CACTU (IVA INC)]])</f>
        <v>-4573.6698692451646</v>
      </c>
      <c r="AL324" s="847">
        <f>IFERROR(Tabla1[[#This Row],[PRECIO $ BOLSA 50KG  FOB CDO TUC (IVA INC)]]/Tabla1[[#This Row],[PRECIO REF $ BOLSA 50 KG CACTU (IVA INC)]]-1,"")</f>
        <v>-0.14066338210810903</v>
      </c>
      <c r="AM324" s="846">
        <f>+Tabla1[[#This Row],[DIF $ PRECIO NETO INDUSTRIA vs Neto TUCUMAN (IVA INC)]]*Tabla1[[#This Row],[Q Bolsas Equivalentes 50kg]]</f>
        <v>-3201568.9084716151</v>
      </c>
      <c r="AN324" s="846">
        <f>Tabla1[[#This Row],[PRECIO REF $ BOLSA 50 KG CACTU (IVA INC)]]*Tabla1[[#This Row],[Q Bolsas Equivalentes 50kg]]</f>
        <v>22760500</v>
      </c>
      <c r="AO324" s="846">
        <f>+Tabla1[[#This Row],[PRECIO $ BOLSA 50KG  FOB CDO TUC (IVA INC)]]*Tabla1[[#This Row],[Q Bolsas Equivalentes 50kg]]</f>
        <v>19558931.091528386</v>
      </c>
      <c r="AP324" s="847">
        <v>2.9000000000000001E-2</v>
      </c>
      <c r="AQ324" s="846">
        <v>-68</v>
      </c>
      <c r="AR324" s="848"/>
      <c r="AS324" s="849"/>
      <c r="AT324" s="923">
        <f>+Tabla1[[#This Row],[VENTA TOTAL $ (IVA INC) ]]-(SUM(Tabla1[[#This Row],[PENDIENTE DE ENTREGA]:[VALORES COBRADOS]]))</f>
        <v>0</v>
      </c>
      <c r="AU324" s="850">
        <f>VLOOKUP(Tabla1[[#This Row],[FECHA OC]],'TIPO DE CAMBIO'!A:B,2,TRUE)</f>
        <v>1446.3009999999999</v>
      </c>
      <c r="AV324" s="850">
        <f>+Tabla1[[#This Row],[SUBTOTAL]]/Tabla1[[#This Row],[TIPO DE CAMBIO]]</f>
        <v>11025</v>
      </c>
      <c r="AW324" s="851"/>
      <c r="AX324" s="850">
        <f>IFERROR(Tabla1[[#This Row],[VENTA TOTAL USD A PLAZO EN CLIENTE  (SIN IVA)]]*(1+Tabla1[[#This Row],[% IVA ]]),"")</f>
        <v>11025</v>
      </c>
      <c r="AY324" s="850">
        <f>+Tabla1[[#This Row],[VENTA TOTAL USD A PLAZO EN CLIENTE  (SIN IVA)]]/Tabla1[[#This Row],[KGS]]*1000</f>
        <v>315</v>
      </c>
      <c r="AZ324" s="850">
        <v>0</v>
      </c>
      <c r="BA324" s="850">
        <f>+Tabla1[[#This Row],[GASTOS FINANCIEROS $ BOLSA 50 KG (IVA INC)]]*20/Tabla1[[#This Row],[TIPO DE CAMBIO]]</f>
        <v>5.2389850684931512</v>
      </c>
      <c r="BB324" s="850">
        <f>+Tabla1[[#This Row],[PRECIO POR TN USD EN CLIENTE A PLAZO (SIN IVA)]]+Tabla1[[#This Row],[COSTO USD FLETE /TN (SIN IVA)]]+Tabla1[[#This Row],[COSTO FINANCIERO USD POR BOLSA 50KG (IVA INC)]]</f>
        <v>320.23898506849315</v>
      </c>
      <c r="BC324" s="848">
        <v>5</v>
      </c>
      <c r="BD324" s="944"/>
    </row>
    <row r="325" spans="1:56" ht="15.75" customHeight="1">
      <c r="A325" s="912">
        <v>46204</v>
      </c>
      <c r="B325" s="828">
        <v>1</v>
      </c>
      <c r="C325" s="792" t="s">
        <v>406</v>
      </c>
      <c r="D325" s="829">
        <f>+Tabla1[[#This Row],[FECHA Entrega]]</f>
        <v>46225</v>
      </c>
      <c r="E325" s="830">
        <v>700000869</v>
      </c>
      <c r="F325" s="831" t="s">
        <v>358</v>
      </c>
      <c r="G325" s="832" t="s">
        <v>216</v>
      </c>
      <c r="H325" s="852">
        <v>46225</v>
      </c>
      <c r="I325" s="834">
        <f t="shared" si="117"/>
        <v>35000</v>
      </c>
      <c r="J325" s="835">
        <f>0.315*Tabla1[[#This Row],[TIPO DE CAMBIO]]</f>
        <v>455.58481499999999</v>
      </c>
      <c r="K325" s="836">
        <f t="shared" si="122"/>
        <v>15945468.525</v>
      </c>
      <c r="L32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25" s="837">
        <f t="shared" si="120"/>
        <v>19294016.91525</v>
      </c>
      <c r="N325" s="838"/>
      <c r="O325" s="838">
        <v>0</v>
      </c>
      <c r="P325" s="838">
        <v>0</v>
      </c>
      <c r="Q325" s="839">
        <f>+Tabla1[[#This Row],[VENTA TOTAL $ (IVA INC) ]]-Tabla1[[#This Row],[PENDIENTE DE COBRO]]</f>
        <v>19294016.91525</v>
      </c>
      <c r="R325" s="840">
        <f>+Tabla1[[#This Row],[FECHA FC]]+Tabla1[[#This Row],[PLAZO ENTREGA VALORES]]</f>
        <v>46051</v>
      </c>
      <c r="S325" s="840">
        <f>+Tabla1[[#This Row],[FECHA FC]]+Tabla1[[#This Row],[PLAZO PAGO (DIAS)]]</f>
        <v>46225</v>
      </c>
      <c r="T325" s="834">
        <f t="shared" ca="1" si="121"/>
        <v>44</v>
      </c>
      <c r="U325" s="831">
        <f>+Tabla1[[#This Row],[FECHA OC]]-Tabla1[[#This Row],[FECHA Entrega]]</f>
        <v>-174</v>
      </c>
      <c r="V325" s="831"/>
      <c r="W325" s="841">
        <f>+Tabla1[[#This Row],[FECHA VTO VALORES]]+7</f>
        <v>46232</v>
      </c>
      <c r="X325" s="831" t="s">
        <v>489</v>
      </c>
      <c r="Y325" s="840">
        <v>46051</v>
      </c>
      <c r="Z325" s="842">
        <f>Tabla1[[#This Row],[KGS]]/50</f>
        <v>700</v>
      </c>
      <c r="AA325"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25" s="844">
        <f>-Tabla1[[#This Row],[COSTO FLETE $ POR BOLSA 5O KG (SIN IVA)]]*1.21-Tabla1[[#This Row],[PRECIO $/ KG A PLAZO EN CLIENTE ( SIN IVA)]]*0.003*1.21*50</f>
        <v>-0.40864392249999071</v>
      </c>
      <c r="AC325" s="845">
        <f>SUM(Tabla1[[#This Row],[PRECIO $ BOLSA 50 KG (IVA INC) ]]+Tabla1[[#This Row],[COSTO FLETE $ BOLSA 50 KG (IVA INC)]])</f>
        <v>27562.4726635775</v>
      </c>
      <c r="AD325" s="844">
        <f>-Tabla1[[#This Row],[PRECIO $ BOLSA 50 KG (IVA INC) ]]*(Tabla1[[#This Row],[TASA FINANCIACION MENSUAL]]/365)*Tabla1[[#This Row],[PLAZO ENTREGA VALORES]]</f>
        <v>381.04739473327396</v>
      </c>
      <c r="AE325" s="845">
        <f>SUM(Tabla1[[#This Row],[PRECIO $ BOLSA50 KG  FOB TUCUMAN A PLAZO (IVA INC)]]+Tabla1[[#This Row],[GASTOS FINANCIEROS $ BOLSA 50 KG (IVA INC)]])</f>
        <v>27943.520058310776</v>
      </c>
      <c r="AF325" s="828" t="s">
        <v>476</v>
      </c>
      <c r="AG325" s="828" t="s">
        <v>365</v>
      </c>
      <c r="AH325" s="828" t="s">
        <v>387</v>
      </c>
      <c r="AI325" s="828" t="s">
        <v>261</v>
      </c>
      <c r="AJ32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25" s="846">
        <f>SUM(Tabla1[[#This Row],[PRECIO $ BOLSA 50KG  FOB CDO TUC (IVA INC)]]-Tabla1[[#This Row],[PRECIO REF $ BOLSA 50 KG CACTU (IVA INC)]])</f>
        <v>-4571.4799416892238</v>
      </c>
      <c r="AL325" s="847">
        <f>IFERROR(Tabla1[[#This Row],[PRECIO $ BOLSA 50KG  FOB CDO TUC (IVA INC)]]/Tabla1[[#This Row],[PRECIO REF $ BOLSA 50 KG CACTU (IVA INC)]]-1,"")</f>
        <v>-0.14059603080698824</v>
      </c>
      <c r="AM325" s="846">
        <f>+Tabla1[[#This Row],[DIF $ PRECIO NETO INDUSTRIA vs Neto TUCUMAN (IVA INC)]]*Tabla1[[#This Row],[Q Bolsas Equivalentes 50kg]]</f>
        <v>-3200035.9591824566</v>
      </c>
      <c r="AN325" s="846">
        <f>Tabla1[[#This Row],[PRECIO REF $ BOLSA 50 KG CACTU (IVA INC)]]*Tabla1[[#This Row],[Q Bolsas Equivalentes 50kg]]</f>
        <v>22760500</v>
      </c>
      <c r="AO325" s="846">
        <f>+Tabla1[[#This Row],[PRECIO $ BOLSA 50KG  FOB CDO TUC (IVA INC)]]*Tabla1[[#This Row],[Q Bolsas Equivalentes 50kg]]</f>
        <v>19560464.040817544</v>
      </c>
      <c r="AP325" s="847">
        <v>2.9000000000000001E-2</v>
      </c>
      <c r="AQ325" s="846">
        <v>-68</v>
      </c>
      <c r="AR325" s="848"/>
      <c r="AS325" s="849"/>
      <c r="AT325" s="923">
        <f>+Tabla1[[#This Row],[VENTA TOTAL $ (IVA INC) ]]-(SUM(Tabla1[[#This Row],[PENDIENTE DE ENTREGA]:[VALORES COBRADOS]]))</f>
        <v>0</v>
      </c>
      <c r="AU325" s="850">
        <f>VLOOKUP(Tabla1[[#This Row],[FECHA OC]],'TIPO DE CAMBIO'!A:B,2,TRUE)</f>
        <v>1446.3009999999999</v>
      </c>
      <c r="AV325" s="850">
        <f>+Tabla1[[#This Row],[SUBTOTAL]]/Tabla1[[#This Row],[TIPO DE CAMBIO]]</f>
        <v>11025</v>
      </c>
      <c r="AW325" s="851"/>
      <c r="AX325" s="850">
        <f>IFERROR(Tabla1[[#This Row],[VENTA TOTAL USD A PLAZO EN CLIENTE  (SIN IVA)]]*(1+Tabla1[[#This Row],[% IVA ]]),"")</f>
        <v>11025</v>
      </c>
      <c r="AY325" s="850">
        <f>+Tabla1[[#This Row],[VENTA TOTAL USD A PLAZO EN CLIENTE  (SIN IVA)]]/Tabla1[[#This Row],[KGS]]*1000</f>
        <v>315</v>
      </c>
      <c r="AZ325" s="850">
        <v>0</v>
      </c>
      <c r="BA325" s="850">
        <f>+Tabla1[[#This Row],[GASTOS FINANCIEROS $ BOLSA 50 KG (IVA INC)]]*20/Tabla1[[#This Row],[TIPO DE CAMBIO]]</f>
        <v>5.2692682191780822</v>
      </c>
      <c r="BB325" s="850">
        <f>+Tabla1[[#This Row],[PRECIO POR TN USD EN CLIENTE A PLAZO (SIN IVA)]]+Tabla1[[#This Row],[COSTO USD FLETE /TN (SIN IVA)]]+Tabla1[[#This Row],[COSTO FINANCIERO USD POR BOLSA 50KG (IVA INC)]]</f>
        <v>320.26926821917806</v>
      </c>
      <c r="BC325" s="848">
        <v>5</v>
      </c>
      <c r="BD325" s="944"/>
    </row>
    <row r="326" spans="1:56" ht="15.75" customHeight="1">
      <c r="A326" s="912">
        <v>46204</v>
      </c>
      <c r="B326" s="828">
        <v>1</v>
      </c>
      <c r="C326" s="792" t="s">
        <v>406</v>
      </c>
      <c r="D326" s="829">
        <f>+Tabla1[[#This Row],[FECHA Entrega]]</f>
        <v>46225</v>
      </c>
      <c r="E326" s="830">
        <v>700000869</v>
      </c>
      <c r="F326" s="831" t="s">
        <v>358</v>
      </c>
      <c r="G326" s="832" t="s">
        <v>216</v>
      </c>
      <c r="H326" s="852">
        <v>46225</v>
      </c>
      <c r="I326" s="834">
        <f t="shared" si="117"/>
        <v>35000</v>
      </c>
      <c r="J326" s="835">
        <f>0.315*Tabla1[[#This Row],[TIPO DE CAMBIO]]</f>
        <v>455.58481499999999</v>
      </c>
      <c r="K326" s="836">
        <f t="shared" si="122"/>
        <v>15945468.525</v>
      </c>
      <c r="L32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26" s="837">
        <f t="shared" si="120"/>
        <v>19294016.91525</v>
      </c>
      <c r="N326" s="838"/>
      <c r="O326" s="838">
        <v>0</v>
      </c>
      <c r="P326" s="838">
        <v>0</v>
      </c>
      <c r="Q326" s="839">
        <f>+Tabla1[[#This Row],[VENTA TOTAL $ (IVA INC) ]]-Tabla1[[#This Row],[PENDIENTE DE COBRO]]</f>
        <v>19294016.91525</v>
      </c>
      <c r="R326" s="840">
        <f>+Tabla1[[#This Row],[FECHA FC]]+Tabla1[[#This Row],[PLAZO ENTREGA VALORES]]</f>
        <v>46051</v>
      </c>
      <c r="S326" s="840">
        <f>+Tabla1[[#This Row],[FECHA FC]]+Tabla1[[#This Row],[PLAZO PAGO (DIAS)]]</f>
        <v>46225</v>
      </c>
      <c r="T326" s="834">
        <f t="shared" ca="1" si="121"/>
        <v>44</v>
      </c>
      <c r="U326" s="831">
        <f>+Tabla1[[#This Row],[FECHA OC]]-Tabla1[[#This Row],[FECHA Entrega]]</f>
        <v>-174</v>
      </c>
      <c r="V326" s="831"/>
      <c r="W326" s="841">
        <f>+Tabla1[[#This Row],[FECHA VTO VALORES]]+7</f>
        <v>46232</v>
      </c>
      <c r="X326" s="831" t="s">
        <v>489</v>
      </c>
      <c r="Y326" s="840">
        <v>46051</v>
      </c>
      <c r="Z326" s="842">
        <f>Tabla1[[#This Row],[KGS]]/50</f>
        <v>700</v>
      </c>
      <c r="AA326"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26" s="844">
        <f>-Tabla1[[#This Row],[COSTO FLETE $ POR BOLSA 5O KG (SIN IVA)]]*1.21-Tabla1[[#This Row],[PRECIO $/ KG A PLAZO EN CLIENTE ( SIN IVA)]]*0.003*1.21*50</f>
        <v>-0.40864392249999071</v>
      </c>
      <c r="AC326" s="845">
        <f>SUM(Tabla1[[#This Row],[PRECIO $ BOLSA 50 KG (IVA INC) ]]+Tabla1[[#This Row],[COSTO FLETE $ BOLSA 50 KG (IVA INC)]])</f>
        <v>27562.4726635775</v>
      </c>
      <c r="AD326" s="844">
        <f>-Tabla1[[#This Row],[PRECIO $ BOLSA 50 KG (IVA INC) ]]*(Tabla1[[#This Row],[TASA FINANCIACION MENSUAL]]/365)*Tabla1[[#This Row],[PLAZO ENTREGA VALORES]]</f>
        <v>381.04739473327396</v>
      </c>
      <c r="AE326" s="845">
        <f>SUM(Tabla1[[#This Row],[PRECIO $ BOLSA50 KG  FOB TUCUMAN A PLAZO (IVA INC)]]+Tabla1[[#This Row],[GASTOS FINANCIEROS $ BOLSA 50 KG (IVA INC)]])</f>
        <v>27943.520058310776</v>
      </c>
      <c r="AF326" s="828" t="s">
        <v>476</v>
      </c>
      <c r="AG326" s="828" t="s">
        <v>365</v>
      </c>
      <c r="AH326" s="828" t="s">
        <v>387</v>
      </c>
      <c r="AI326" s="828" t="s">
        <v>261</v>
      </c>
      <c r="AJ32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26" s="846">
        <f>SUM(Tabla1[[#This Row],[PRECIO $ BOLSA 50KG  FOB CDO TUC (IVA INC)]]-Tabla1[[#This Row],[PRECIO REF $ BOLSA 50 KG CACTU (IVA INC)]])</f>
        <v>-4571.4799416892238</v>
      </c>
      <c r="AL326" s="847">
        <f>IFERROR(Tabla1[[#This Row],[PRECIO $ BOLSA 50KG  FOB CDO TUC (IVA INC)]]/Tabla1[[#This Row],[PRECIO REF $ BOLSA 50 KG CACTU (IVA INC)]]-1,"")</f>
        <v>-0.14059603080698824</v>
      </c>
      <c r="AM326" s="846">
        <f>+Tabla1[[#This Row],[DIF $ PRECIO NETO INDUSTRIA vs Neto TUCUMAN (IVA INC)]]*Tabla1[[#This Row],[Q Bolsas Equivalentes 50kg]]</f>
        <v>-3200035.9591824566</v>
      </c>
      <c r="AN326" s="846">
        <f>Tabla1[[#This Row],[PRECIO REF $ BOLSA 50 KG CACTU (IVA INC)]]*Tabla1[[#This Row],[Q Bolsas Equivalentes 50kg]]</f>
        <v>22760500</v>
      </c>
      <c r="AO326" s="846">
        <f>+Tabla1[[#This Row],[PRECIO $ BOLSA 50KG  FOB CDO TUC (IVA INC)]]*Tabla1[[#This Row],[Q Bolsas Equivalentes 50kg]]</f>
        <v>19560464.040817544</v>
      </c>
      <c r="AP326" s="847">
        <v>2.9000000000000001E-2</v>
      </c>
      <c r="AQ326" s="846">
        <v>-68</v>
      </c>
      <c r="AR326" s="848"/>
      <c r="AS326" s="849"/>
      <c r="AT326" s="923">
        <f>+Tabla1[[#This Row],[VENTA TOTAL $ (IVA INC) ]]-(SUM(Tabla1[[#This Row],[PENDIENTE DE ENTREGA]:[VALORES COBRADOS]]))</f>
        <v>0</v>
      </c>
      <c r="AU326" s="850">
        <f>VLOOKUP(Tabla1[[#This Row],[FECHA OC]],'TIPO DE CAMBIO'!A:B,2,TRUE)</f>
        <v>1446.3009999999999</v>
      </c>
      <c r="AV326" s="850">
        <f>+Tabla1[[#This Row],[SUBTOTAL]]/Tabla1[[#This Row],[TIPO DE CAMBIO]]</f>
        <v>11025</v>
      </c>
      <c r="AW326" s="851"/>
      <c r="AX326" s="850">
        <f>IFERROR(Tabla1[[#This Row],[VENTA TOTAL USD A PLAZO EN CLIENTE  (SIN IVA)]]*(1+Tabla1[[#This Row],[% IVA ]]),"")</f>
        <v>11025</v>
      </c>
      <c r="AY326" s="850">
        <f>+Tabla1[[#This Row],[VENTA TOTAL USD A PLAZO EN CLIENTE  (SIN IVA)]]/Tabla1[[#This Row],[KGS]]*1000</f>
        <v>315</v>
      </c>
      <c r="AZ326" s="850">
        <v>0</v>
      </c>
      <c r="BA326" s="850">
        <f>+Tabla1[[#This Row],[GASTOS FINANCIEROS $ BOLSA 50 KG (IVA INC)]]*20/Tabla1[[#This Row],[TIPO DE CAMBIO]]</f>
        <v>5.2692682191780822</v>
      </c>
      <c r="BB326" s="850">
        <f>+Tabla1[[#This Row],[PRECIO POR TN USD EN CLIENTE A PLAZO (SIN IVA)]]+Tabla1[[#This Row],[COSTO USD FLETE /TN (SIN IVA)]]+Tabla1[[#This Row],[COSTO FINANCIERO USD POR BOLSA 50KG (IVA INC)]]</f>
        <v>320.26926821917806</v>
      </c>
      <c r="BC326" s="848">
        <v>5</v>
      </c>
      <c r="BD326" s="944"/>
    </row>
    <row r="327" spans="1:56" ht="15.75" customHeight="1">
      <c r="A327" s="912">
        <v>46204</v>
      </c>
      <c r="B327" s="828">
        <v>1</v>
      </c>
      <c r="C327" s="792" t="s">
        <v>406</v>
      </c>
      <c r="D327" s="829">
        <f>+Tabla1[[#This Row],[FECHA Entrega]]</f>
        <v>46231</v>
      </c>
      <c r="E327" s="830">
        <v>700000869</v>
      </c>
      <c r="F327" s="831" t="s">
        <v>358</v>
      </c>
      <c r="G327" s="832" t="s">
        <v>216</v>
      </c>
      <c r="H327" s="852">
        <v>46231</v>
      </c>
      <c r="I327" s="834">
        <f>700*50</f>
        <v>35000</v>
      </c>
      <c r="J327" s="835">
        <f>0.315*Tabla1[[#This Row],[TIPO DE CAMBIO]]</f>
        <v>455.58481499999999</v>
      </c>
      <c r="K327" s="836">
        <f t="shared" si="122"/>
        <v>15945468.525</v>
      </c>
      <c r="L32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27" s="837">
        <f t="shared" si="120"/>
        <v>19294016.91525</v>
      </c>
      <c r="N327" s="838"/>
      <c r="O327" s="838">
        <v>0</v>
      </c>
      <c r="P327" s="838">
        <v>0</v>
      </c>
      <c r="Q327" s="839">
        <f>+Tabla1[[#This Row],[VENTA TOTAL $ (IVA INC) ]]-Tabla1[[#This Row],[PENDIENTE DE COBRO]]</f>
        <v>19294016.91525</v>
      </c>
      <c r="R327" s="840">
        <f>+Tabla1[[#This Row],[FECHA FC]]+Tabla1[[#This Row],[PLAZO ENTREGA VALORES]]</f>
        <v>46051</v>
      </c>
      <c r="S327" s="840">
        <f>+Tabla1[[#This Row],[FECHA FC]]+Tabla1[[#This Row],[PLAZO PAGO (DIAS)]]</f>
        <v>46231</v>
      </c>
      <c r="T327" s="834">
        <f t="shared" ca="1" si="121"/>
        <v>50</v>
      </c>
      <c r="U327" s="831">
        <f>+Tabla1[[#This Row],[FECHA OC]]-Tabla1[[#This Row],[FECHA Entrega]]</f>
        <v>-180</v>
      </c>
      <c r="V327" s="831"/>
      <c r="W327" s="841">
        <f>+Tabla1[[#This Row],[FECHA VTO VALORES]]+7</f>
        <v>46238</v>
      </c>
      <c r="X327" s="831" t="s">
        <v>489</v>
      </c>
      <c r="Y327" s="840">
        <v>46051</v>
      </c>
      <c r="Z327" s="842">
        <f>Tabla1[[#This Row],[KGS]]/50</f>
        <v>700</v>
      </c>
      <c r="AA327"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27" s="844">
        <f>-Tabla1[[#This Row],[COSTO FLETE $ POR BOLSA 5O KG (SIN IVA)]]*1.21-Tabla1[[#This Row],[PRECIO $/ KG A PLAZO EN CLIENTE ( SIN IVA)]]*0.003*1.21*50</f>
        <v>-0.40864392249999071</v>
      </c>
      <c r="AC327" s="845">
        <f>SUM(Tabla1[[#This Row],[PRECIO $ BOLSA 50 KG (IVA INC) ]]+Tabla1[[#This Row],[COSTO FLETE $ BOLSA 50 KG (IVA INC)]])</f>
        <v>27562.4726635775</v>
      </c>
      <c r="AD327" s="844">
        <f>-Tabla1[[#This Row],[PRECIO $ BOLSA 50 KG (IVA INC) ]]*(Tabla1[[#This Row],[TASA FINANCIACION MENSUAL]]/365)*Tabla1[[#This Row],[PLAZO ENTREGA VALORES]]</f>
        <v>394.18696006890411</v>
      </c>
      <c r="AE327" s="845">
        <f>SUM(Tabla1[[#This Row],[PRECIO $ BOLSA50 KG  FOB TUCUMAN A PLAZO (IVA INC)]]+Tabla1[[#This Row],[GASTOS FINANCIEROS $ BOLSA 50 KG (IVA INC)]])</f>
        <v>27956.659623646403</v>
      </c>
      <c r="AF327" s="828" t="s">
        <v>476</v>
      </c>
      <c r="AG327" s="828" t="s">
        <v>365</v>
      </c>
      <c r="AH327" s="828" t="s">
        <v>387</v>
      </c>
      <c r="AI327" s="828" t="s">
        <v>261</v>
      </c>
      <c r="AJ32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27" s="846">
        <f>SUM(Tabla1[[#This Row],[PRECIO $ BOLSA 50KG  FOB CDO TUC (IVA INC)]]-Tabla1[[#This Row],[PRECIO REF $ BOLSA 50 KG CACTU (IVA INC)]])</f>
        <v>-4558.3403763535971</v>
      </c>
      <c r="AL327" s="847">
        <f>IFERROR(Tabla1[[#This Row],[PRECIO $ BOLSA 50KG  FOB CDO TUC (IVA INC)]]/Tabla1[[#This Row],[PRECIO REF $ BOLSA 50 KG CACTU (IVA INC)]]-1,"")</f>
        <v>-0.1401919230002644</v>
      </c>
      <c r="AM327" s="846">
        <f>+Tabla1[[#This Row],[DIF $ PRECIO NETO INDUSTRIA vs Neto TUCUMAN (IVA INC)]]*Tabla1[[#This Row],[Q Bolsas Equivalentes 50kg]]</f>
        <v>-3190838.263447518</v>
      </c>
      <c r="AN327" s="846">
        <f>Tabla1[[#This Row],[PRECIO REF $ BOLSA 50 KG CACTU (IVA INC)]]*Tabla1[[#This Row],[Q Bolsas Equivalentes 50kg]]</f>
        <v>22760500</v>
      </c>
      <c r="AO327" s="846">
        <f>+Tabla1[[#This Row],[PRECIO $ BOLSA 50KG  FOB CDO TUC (IVA INC)]]*Tabla1[[#This Row],[Q Bolsas Equivalentes 50kg]]</f>
        <v>19569661.736552481</v>
      </c>
      <c r="AP327" s="847">
        <v>2.9000000000000001E-2</v>
      </c>
      <c r="AQ327" s="846">
        <v>-68</v>
      </c>
      <c r="AR327" s="848"/>
      <c r="AS327" s="849"/>
      <c r="AT327" s="923">
        <f>+Tabla1[[#This Row],[VENTA TOTAL $ (IVA INC) ]]-(SUM(Tabla1[[#This Row],[PENDIENTE DE ENTREGA]:[VALORES COBRADOS]]))</f>
        <v>0</v>
      </c>
      <c r="AU327" s="850">
        <f>VLOOKUP(Tabla1[[#This Row],[FECHA OC]],'TIPO DE CAMBIO'!A:B,2,TRUE)</f>
        <v>1446.3009999999999</v>
      </c>
      <c r="AV327" s="850">
        <f>+Tabla1[[#This Row],[SUBTOTAL]]/Tabla1[[#This Row],[TIPO DE CAMBIO]]</f>
        <v>11025</v>
      </c>
      <c r="AW327" s="851"/>
      <c r="AX327" s="850">
        <f>IFERROR(Tabla1[[#This Row],[VENTA TOTAL USD A PLAZO EN CLIENTE  (SIN IVA)]]*(1+Tabla1[[#This Row],[% IVA ]]),"")</f>
        <v>11025</v>
      </c>
      <c r="AY327" s="850">
        <f>+Tabla1[[#This Row],[VENTA TOTAL USD A PLAZO EN CLIENTE  (SIN IVA)]]/Tabla1[[#This Row],[KGS]]*1000</f>
        <v>315</v>
      </c>
      <c r="AZ327" s="850">
        <v>0</v>
      </c>
      <c r="BA327" s="850">
        <f>+Tabla1[[#This Row],[GASTOS FINANCIEROS $ BOLSA 50 KG (IVA INC)]]*20/Tabla1[[#This Row],[TIPO DE CAMBIO]]</f>
        <v>5.450967123287672</v>
      </c>
      <c r="BB327" s="850">
        <f>+Tabla1[[#This Row],[PRECIO POR TN USD EN CLIENTE A PLAZO (SIN IVA)]]+Tabla1[[#This Row],[COSTO USD FLETE /TN (SIN IVA)]]+Tabla1[[#This Row],[COSTO FINANCIERO USD POR BOLSA 50KG (IVA INC)]]</f>
        <v>320.45096712328768</v>
      </c>
      <c r="BC327" s="848">
        <v>5</v>
      </c>
      <c r="BD327" s="944"/>
    </row>
    <row r="328" spans="1:56" ht="15.75" customHeight="1">
      <c r="A328" s="912">
        <v>46204</v>
      </c>
      <c r="B328" s="828">
        <v>1</v>
      </c>
      <c r="C328" s="792" t="s">
        <v>406</v>
      </c>
      <c r="D328" s="829">
        <f>+Tabla1[[#This Row],[FECHA Entrega]]</f>
        <v>46231</v>
      </c>
      <c r="E328" s="830">
        <v>700000869</v>
      </c>
      <c r="F328" s="831" t="s">
        <v>358</v>
      </c>
      <c r="G328" s="832" t="s">
        <v>216</v>
      </c>
      <c r="H328" s="852">
        <v>46231</v>
      </c>
      <c r="I328" s="834">
        <f>700*50</f>
        <v>35000</v>
      </c>
      <c r="J328" s="835">
        <f>0.315*Tabla1[[#This Row],[TIPO DE CAMBIO]]</f>
        <v>455.58481499999999</v>
      </c>
      <c r="K328" s="836">
        <f t="shared" si="122"/>
        <v>15945468.525</v>
      </c>
      <c r="L32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28" s="837">
        <f t="shared" si="120"/>
        <v>19294016.91525</v>
      </c>
      <c r="N328" s="838"/>
      <c r="O328" s="838">
        <v>0</v>
      </c>
      <c r="P328" s="838">
        <v>0</v>
      </c>
      <c r="Q328" s="839">
        <f>+Tabla1[[#This Row],[VENTA TOTAL $ (IVA INC) ]]-Tabla1[[#This Row],[PENDIENTE DE COBRO]]</f>
        <v>19294016.91525</v>
      </c>
      <c r="R328" s="840">
        <f>+Tabla1[[#This Row],[FECHA FC]]+Tabla1[[#This Row],[PLAZO ENTREGA VALORES]]</f>
        <v>46051</v>
      </c>
      <c r="S328" s="840">
        <f>+Tabla1[[#This Row],[FECHA FC]]+Tabla1[[#This Row],[PLAZO PAGO (DIAS)]]</f>
        <v>46231</v>
      </c>
      <c r="T328" s="834">
        <f t="shared" ca="1" si="121"/>
        <v>50</v>
      </c>
      <c r="U328" s="831">
        <f>+Tabla1[[#This Row],[FECHA OC]]-Tabla1[[#This Row],[FECHA Entrega]]</f>
        <v>-180</v>
      </c>
      <c r="V328" s="831"/>
      <c r="W328" s="841">
        <f>+Tabla1[[#This Row],[FECHA VTO VALORES]]+7</f>
        <v>46238</v>
      </c>
      <c r="X328" s="831" t="s">
        <v>489</v>
      </c>
      <c r="Y328" s="840">
        <v>46051</v>
      </c>
      <c r="Z328" s="842">
        <f>Tabla1[[#This Row],[KGS]]/50</f>
        <v>700</v>
      </c>
      <c r="AA328"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28" s="844">
        <f>-Tabla1[[#This Row],[COSTO FLETE $ POR BOLSA 5O KG (SIN IVA)]]*1.21-Tabla1[[#This Row],[PRECIO $/ KG A PLAZO EN CLIENTE ( SIN IVA)]]*0.003*1.21*50</f>
        <v>-0.40864392249999071</v>
      </c>
      <c r="AC328" s="845">
        <f>SUM(Tabla1[[#This Row],[PRECIO $ BOLSA 50 KG (IVA INC) ]]+Tabla1[[#This Row],[COSTO FLETE $ BOLSA 50 KG (IVA INC)]])</f>
        <v>27562.4726635775</v>
      </c>
      <c r="AD328" s="844">
        <f>-Tabla1[[#This Row],[PRECIO $ BOLSA 50 KG (IVA INC) ]]*(Tabla1[[#This Row],[TASA FINANCIACION MENSUAL]]/365)*Tabla1[[#This Row],[PLAZO ENTREGA VALORES]]</f>
        <v>394.18696006890411</v>
      </c>
      <c r="AE328" s="845">
        <f>SUM(Tabla1[[#This Row],[PRECIO $ BOLSA50 KG  FOB TUCUMAN A PLAZO (IVA INC)]]+Tabla1[[#This Row],[GASTOS FINANCIEROS $ BOLSA 50 KG (IVA INC)]])</f>
        <v>27956.659623646403</v>
      </c>
      <c r="AF328" s="828" t="s">
        <v>476</v>
      </c>
      <c r="AG328" s="828" t="s">
        <v>365</v>
      </c>
      <c r="AH328" s="828" t="s">
        <v>387</v>
      </c>
      <c r="AI328" s="828" t="s">
        <v>261</v>
      </c>
      <c r="AJ32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28" s="846">
        <f>SUM(Tabla1[[#This Row],[PRECIO $ BOLSA 50KG  FOB CDO TUC (IVA INC)]]-Tabla1[[#This Row],[PRECIO REF $ BOLSA 50 KG CACTU (IVA INC)]])</f>
        <v>-4558.3403763535971</v>
      </c>
      <c r="AL328" s="847">
        <f>IFERROR(Tabla1[[#This Row],[PRECIO $ BOLSA 50KG  FOB CDO TUC (IVA INC)]]/Tabla1[[#This Row],[PRECIO REF $ BOLSA 50 KG CACTU (IVA INC)]]-1,"")</f>
        <v>-0.1401919230002644</v>
      </c>
      <c r="AM328" s="846">
        <f>+Tabla1[[#This Row],[DIF $ PRECIO NETO INDUSTRIA vs Neto TUCUMAN (IVA INC)]]*Tabla1[[#This Row],[Q Bolsas Equivalentes 50kg]]</f>
        <v>-3190838.263447518</v>
      </c>
      <c r="AN328" s="846">
        <f>Tabla1[[#This Row],[PRECIO REF $ BOLSA 50 KG CACTU (IVA INC)]]*Tabla1[[#This Row],[Q Bolsas Equivalentes 50kg]]</f>
        <v>22760500</v>
      </c>
      <c r="AO328" s="846">
        <f>+Tabla1[[#This Row],[PRECIO $ BOLSA 50KG  FOB CDO TUC (IVA INC)]]*Tabla1[[#This Row],[Q Bolsas Equivalentes 50kg]]</f>
        <v>19569661.736552481</v>
      </c>
      <c r="AP328" s="847">
        <v>2.9000000000000001E-2</v>
      </c>
      <c r="AQ328" s="846">
        <v>-68</v>
      </c>
      <c r="AR328" s="848"/>
      <c r="AS328" s="849"/>
      <c r="AT328" s="923">
        <f>+Tabla1[[#This Row],[VENTA TOTAL $ (IVA INC) ]]-(SUM(Tabla1[[#This Row],[PENDIENTE DE ENTREGA]:[VALORES COBRADOS]]))</f>
        <v>0</v>
      </c>
      <c r="AU328" s="850">
        <f>VLOOKUP(Tabla1[[#This Row],[FECHA OC]],'TIPO DE CAMBIO'!A:B,2,TRUE)</f>
        <v>1446.3009999999999</v>
      </c>
      <c r="AV328" s="850">
        <f>+Tabla1[[#This Row],[SUBTOTAL]]/Tabla1[[#This Row],[TIPO DE CAMBIO]]</f>
        <v>11025</v>
      </c>
      <c r="AW328" s="851"/>
      <c r="AX328" s="850">
        <f>IFERROR(Tabla1[[#This Row],[VENTA TOTAL USD A PLAZO EN CLIENTE  (SIN IVA)]]*(1+Tabla1[[#This Row],[% IVA ]]),"")</f>
        <v>11025</v>
      </c>
      <c r="AY328" s="850">
        <f>+Tabla1[[#This Row],[VENTA TOTAL USD A PLAZO EN CLIENTE  (SIN IVA)]]/Tabla1[[#This Row],[KGS]]*1000</f>
        <v>315</v>
      </c>
      <c r="AZ328" s="850">
        <v>0</v>
      </c>
      <c r="BA328" s="850">
        <f>+Tabla1[[#This Row],[GASTOS FINANCIEROS $ BOLSA 50 KG (IVA INC)]]*20/Tabla1[[#This Row],[TIPO DE CAMBIO]]</f>
        <v>5.450967123287672</v>
      </c>
      <c r="BB328" s="850">
        <f>+Tabla1[[#This Row],[PRECIO POR TN USD EN CLIENTE A PLAZO (SIN IVA)]]+Tabla1[[#This Row],[COSTO USD FLETE /TN (SIN IVA)]]+Tabla1[[#This Row],[COSTO FINANCIERO USD POR BOLSA 50KG (IVA INC)]]</f>
        <v>320.45096712328768</v>
      </c>
      <c r="BC328" s="848">
        <v>5</v>
      </c>
      <c r="BD328" s="944"/>
    </row>
    <row r="329" spans="1:56" ht="15.75" customHeight="1">
      <c r="A329" s="912">
        <v>46204</v>
      </c>
      <c r="B329" s="828">
        <v>1</v>
      </c>
      <c r="C329" s="792" t="s">
        <v>406</v>
      </c>
      <c r="D329" s="829">
        <f>+Tabla1[[#This Row],[FECHA Entrega]]</f>
        <v>46232</v>
      </c>
      <c r="E329" s="830">
        <v>700000869</v>
      </c>
      <c r="F329" s="831" t="s">
        <v>358</v>
      </c>
      <c r="G329" s="832" t="s">
        <v>216</v>
      </c>
      <c r="H329" s="852">
        <v>46232</v>
      </c>
      <c r="I329" s="834">
        <f>700*50</f>
        <v>35000</v>
      </c>
      <c r="J329" s="835">
        <f>0.315*Tabla1[[#This Row],[TIPO DE CAMBIO]]</f>
        <v>455.58481499999999</v>
      </c>
      <c r="K329" s="836">
        <f t="shared" si="122"/>
        <v>15945468.525</v>
      </c>
      <c r="L32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3348548.3902500002</v>
      </c>
      <c r="M329" s="837">
        <f t="shared" si="120"/>
        <v>19294016.91525</v>
      </c>
      <c r="N329" s="838"/>
      <c r="O329" s="838">
        <v>0</v>
      </c>
      <c r="P329" s="838">
        <v>0</v>
      </c>
      <c r="Q329" s="839">
        <f>+Tabla1[[#This Row],[VENTA TOTAL $ (IVA INC) ]]-Tabla1[[#This Row],[PENDIENTE DE COBRO]]</f>
        <v>19294016.91525</v>
      </c>
      <c r="R329" s="840">
        <f>+Tabla1[[#This Row],[FECHA FC]]+Tabla1[[#This Row],[PLAZO ENTREGA VALORES]]</f>
        <v>46051</v>
      </c>
      <c r="S329" s="840">
        <f>+Tabla1[[#This Row],[FECHA FC]]+Tabla1[[#This Row],[PLAZO PAGO (DIAS)]]</f>
        <v>46232</v>
      </c>
      <c r="T329" s="834">
        <f t="shared" ca="1" si="121"/>
        <v>51</v>
      </c>
      <c r="U329" s="831">
        <f>+Tabla1[[#This Row],[FECHA OC]]-Tabla1[[#This Row],[FECHA Entrega]]</f>
        <v>-181</v>
      </c>
      <c r="V329" s="831"/>
      <c r="W329" s="841">
        <f>+Tabla1[[#This Row],[FECHA VTO VALORES]]+7</f>
        <v>46239</v>
      </c>
      <c r="X329" s="831" t="s">
        <v>489</v>
      </c>
      <c r="Y329" s="840">
        <v>46051</v>
      </c>
      <c r="Z329" s="842">
        <f>Tabla1[[#This Row],[KGS]]/50</f>
        <v>700</v>
      </c>
      <c r="AA329"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29" s="844">
        <f>-Tabla1[[#This Row],[COSTO FLETE $ POR BOLSA 5O KG (SIN IVA)]]*1.21-Tabla1[[#This Row],[PRECIO $/ KG A PLAZO EN CLIENTE ( SIN IVA)]]*0.003*1.21*50</f>
        <v>-0.40864392249999071</v>
      </c>
      <c r="AC329" s="845">
        <f>SUM(Tabla1[[#This Row],[PRECIO $ BOLSA 50 KG (IVA INC) ]]+Tabla1[[#This Row],[COSTO FLETE $ BOLSA 50 KG (IVA INC)]])</f>
        <v>27562.4726635775</v>
      </c>
      <c r="AD329" s="844">
        <f>-Tabla1[[#This Row],[PRECIO $ BOLSA 50 KG (IVA INC) ]]*(Tabla1[[#This Row],[TASA FINANCIACION MENSUAL]]/365)*Tabla1[[#This Row],[PLAZO ENTREGA VALORES]]</f>
        <v>396.37688762484248</v>
      </c>
      <c r="AE329" s="845">
        <f>SUM(Tabla1[[#This Row],[PRECIO $ BOLSA50 KG  FOB TUCUMAN A PLAZO (IVA INC)]]+Tabla1[[#This Row],[GASTOS FINANCIEROS $ BOLSA 50 KG (IVA INC)]])</f>
        <v>27958.849551202344</v>
      </c>
      <c r="AF329" s="828" t="s">
        <v>476</v>
      </c>
      <c r="AG329" s="828" t="s">
        <v>365</v>
      </c>
      <c r="AH329" s="828" t="s">
        <v>387</v>
      </c>
      <c r="AI329" s="828" t="s">
        <v>261</v>
      </c>
      <c r="AJ32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29" s="846">
        <f>SUM(Tabla1[[#This Row],[PRECIO $ BOLSA 50KG  FOB CDO TUC (IVA INC)]]-Tabla1[[#This Row],[PRECIO REF $ BOLSA 50 KG CACTU (IVA INC)]])</f>
        <v>-4556.1504487976563</v>
      </c>
      <c r="AL329" s="847">
        <f>IFERROR(Tabla1[[#This Row],[PRECIO $ BOLSA 50KG  FOB CDO TUC (IVA INC)]]/Tabla1[[#This Row],[PRECIO REF $ BOLSA 50 KG CACTU (IVA INC)]]-1,"")</f>
        <v>-0.14012457169914372</v>
      </c>
      <c r="AM329" s="846">
        <f>+Tabla1[[#This Row],[DIF $ PRECIO NETO INDUSTRIA vs Neto TUCUMAN (IVA INC)]]*Tabla1[[#This Row],[Q Bolsas Equivalentes 50kg]]</f>
        <v>-3189305.3141583595</v>
      </c>
      <c r="AN329" s="846">
        <f>Tabla1[[#This Row],[PRECIO REF $ BOLSA 50 KG CACTU (IVA INC)]]*Tabla1[[#This Row],[Q Bolsas Equivalentes 50kg]]</f>
        <v>22760500</v>
      </c>
      <c r="AO329" s="846">
        <f>+Tabla1[[#This Row],[PRECIO $ BOLSA 50KG  FOB CDO TUC (IVA INC)]]*Tabla1[[#This Row],[Q Bolsas Equivalentes 50kg]]</f>
        <v>19571194.685841642</v>
      </c>
      <c r="AP329" s="847">
        <v>2.9000000000000001E-2</v>
      </c>
      <c r="AQ329" s="846">
        <v>-68</v>
      </c>
      <c r="AR329" s="848"/>
      <c r="AS329" s="849"/>
      <c r="AT329" s="923">
        <f>+Tabla1[[#This Row],[VENTA TOTAL $ (IVA INC) ]]-(SUM(Tabla1[[#This Row],[PENDIENTE DE ENTREGA]:[VALORES COBRADOS]]))</f>
        <v>0</v>
      </c>
      <c r="AU329" s="850">
        <f>VLOOKUP(Tabla1[[#This Row],[FECHA OC]],'TIPO DE CAMBIO'!A:B,2,TRUE)</f>
        <v>1446.3009999999999</v>
      </c>
      <c r="AV329" s="850">
        <f>+Tabla1[[#This Row],[SUBTOTAL]]/Tabla1[[#This Row],[TIPO DE CAMBIO]]</f>
        <v>11025</v>
      </c>
      <c r="AW329" s="851"/>
      <c r="AX329" s="850">
        <f>IFERROR(Tabla1[[#This Row],[VENTA TOTAL USD A PLAZO EN CLIENTE  (SIN IVA)]]*(1+Tabla1[[#This Row],[% IVA ]]),"")</f>
        <v>11025</v>
      </c>
      <c r="AY329" s="850">
        <f>+Tabla1[[#This Row],[VENTA TOTAL USD A PLAZO EN CLIENTE  (SIN IVA)]]/Tabla1[[#This Row],[KGS]]*1000</f>
        <v>315</v>
      </c>
      <c r="AZ329" s="850">
        <v>0</v>
      </c>
      <c r="BA329" s="850">
        <f>+Tabla1[[#This Row],[GASTOS FINANCIEROS $ BOLSA 50 KG (IVA INC)]]*20/Tabla1[[#This Row],[TIPO DE CAMBIO]]</f>
        <v>5.481250273972603</v>
      </c>
      <c r="BB329" s="850">
        <f>+Tabla1[[#This Row],[PRECIO POR TN USD EN CLIENTE A PLAZO (SIN IVA)]]+Tabla1[[#This Row],[COSTO USD FLETE /TN (SIN IVA)]]+Tabla1[[#This Row],[COSTO FINANCIERO USD POR BOLSA 50KG (IVA INC)]]</f>
        <v>320.48125027397259</v>
      </c>
      <c r="BC329" s="848">
        <v>5</v>
      </c>
      <c r="BD329" s="944"/>
    </row>
    <row r="330" spans="1:56" ht="15.75" customHeight="1">
      <c r="A330" s="912">
        <v>46204</v>
      </c>
      <c r="B330" s="828">
        <v>1</v>
      </c>
      <c r="C330" s="792" t="s">
        <v>406</v>
      </c>
      <c r="D330" s="829">
        <f>+Tabla1[[#This Row],[FECHA Entrega]]</f>
        <v>46232</v>
      </c>
      <c r="E330" s="830">
        <v>700000869</v>
      </c>
      <c r="F330" s="831" t="s">
        <v>358</v>
      </c>
      <c r="G330" s="832" t="s">
        <v>216</v>
      </c>
      <c r="H330" s="852">
        <v>46232</v>
      </c>
      <c r="I330" s="834">
        <f>(700+784)*50</f>
        <v>74200</v>
      </c>
      <c r="J330" s="835">
        <f>0.315*Tabla1[[#This Row],[TIPO DE CAMBIO]]</f>
        <v>455.58481499999999</v>
      </c>
      <c r="K330" s="836">
        <f t="shared" si="122"/>
        <v>33804393.273000002</v>
      </c>
      <c r="L33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7098922.5873300005</v>
      </c>
      <c r="M330" s="837">
        <f t="shared" si="120"/>
        <v>40903315.860330001</v>
      </c>
      <c r="N330" s="838"/>
      <c r="O330" s="838">
        <v>0</v>
      </c>
      <c r="P330" s="838">
        <v>0</v>
      </c>
      <c r="Q330" s="839">
        <f>+Tabla1[[#This Row],[VENTA TOTAL $ (IVA INC) ]]-Tabla1[[#This Row],[PENDIENTE DE COBRO]]</f>
        <v>40903315.860330001</v>
      </c>
      <c r="R330" s="840">
        <f>+Tabla1[[#This Row],[FECHA FC]]+Tabla1[[#This Row],[PLAZO ENTREGA VALORES]]</f>
        <v>46051</v>
      </c>
      <c r="S330" s="840">
        <f>+Tabla1[[#This Row],[FECHA FC]]+Tabla1[[#This Row],[PLAZO PAGO (DIAS)]]</f>
        <v>46232</v>
      </c>
      <c r="T330" s="834">
        <f t="shared" ca="1" si="121"/>
        <v>51</v>
      </c>
      <c r="U330" s="831">
        <f>+Tabla1[[#This Row],[FECHA OC]]-Tabla1[[#This Row],[FECHA Entrega]]</f>
        <v>-181</v>
      </c>
      <c r="V330" s="831"/>
      <c r="W330" s="841">
        <f>+Tabla1[[#This Row],[FECHA VTO VALORES]]+7</f>
        <v>46239</v>
      </c>
      <c r="X330" s="831" t="s">
        <v>489</v>
      </c>
      <c r="Y330" s="840">
        <v>46051</v>
      </c>
      <c r="Z330" s="842">
        <f>Tabla1[[#This Row],[KGS]]/50</f>
        <v>1484</v>
      </c>
      <c r="AA330" s="843">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27562.8813075</v>
      </c>
      <c r="AB330" s="844">
        <f>-Tabla1[[#This Row],[COSTO FLETE $ POR BOLSA 5O KG (SIN IVA)]]*1.21-Tabla1[[#This Row],[PRECIO $/ KG A PLAZO EN CLIENTE ( SIN IVA)]]*0.003*1.21*50</f>
        <v>-0.40864392249999071</v>
      </c>
      <c r="AC330" s="845">
        <f>SUM(Tabla1[[#This Row],[PRECIO $ BOLSA 50 KG (IVA INC) ]]+Tabla1[[#This Row],[COSTO FLETE $ BOLSA 50 KG (IVA INC)]])</f>
        <v>27562.4726635775</v>
      </c>
      <c r="AD330" s="844">
        <f>-Tabla1[[#This Row],[PRECIO $ BOLSA 50 KG (IVA INC) ]]*(Tabla1[[#This Row],[TASA FINANCIACION MENSUAL]]/365)*Tabla1[[#This Row],[PLAZO ENTREGA VALORES]]</f>
        <v>396.37688762484248</v>
      </c>
      <c r="AE330" s="845">
        <f>SUM(Tabla1[[#This Row],[PRECIO $ BOLSA50 KG  FOB TUCUMAN A PLAZO (IVA INC)]]+Tabla1[[#This Row],[GASTOS FINANCIEROS $ BOLSA 50 KG (IVA INC)]])</f>
        <v>27958.849551202344</v>
      </c>
      <c r="AF330" s="828" t="s">
        <v>476</v>
      </c>
      <c r="AG330" s="828" t="s">
        <v>365</v>
      </c>
      <c r="AH330" s="828" t="s">
        <v>387</v>
      </c>
      <c r="AI330" s="828" t="s">
        <v>261</v>
      </c>
      <c r="AJ33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32515</v>
      </c>
      <c r="AK330" s="846">
        <f>SUM(Tabla1[[#This Row],[PRECIO $ BOLSA 50KG  FOB CDO TUC (IVA INC)]]-Tabla1[[#This Row],[PRECIO REF $ BOLSA 50 KG CACTU (IVA INC)]])</f>
        <v>-4556.1504487976563</v>
      </c>
      <c r="AL330" s="847">
        <f>IFERROR(Tabla1[[#This Row],[PRECIO $ BOLSA 50KG  FOB CDO TUC (IVA INC)]]/Tabla1[[#This Row],[PRECIO REF $ BOLSA 50 KG CACTU (IVA INC)]]-1,"")</f>
        <v>-0.14012457169914372</v>
      </c>
      <c r="AM330" s="846">
        <f>+Tabla1[[#This Row],[DIF $ PRECIO NETO INDUSTRIA vs Neto TUCUMAN (IVA INC)]]*Tabla1[[#This Row],[Q Bolsas Equivalentes 50kg]]</f>
        <v>-6761327.2660157215</v>
      </c>
      <c r="AN330" s="846">
        <f>Tabla1[[#This Row],[PRECIO REF $ BOLSA 50 KG CACTU (IVA INC)]]*Tabla1[[#This Row],[Q Bolsas Equivalentes 50kg]]</f>
        <v>48252260</v>
      </c>
      <c r="AO330" s="846">
        <f>+Tabla1[[#This Row],[PRECIO $ BOLSA 50KG  FOB CDO TUC (IVA INC)]]*Tabla1[[#This Row],[Q Bolsas Equivalentes 50kg]]</f>
        <v>41490932.733984277</v>
      </c>
      <c r="AP330" s="847">
        <v>2.9000000000000001E-2</v>
      </c>
      <c r="AQ330" s="846">
        <v>-68</v>
      </c>
      <c r="AR330" s="848"/>
      <c r="AS330" s="849"/>
      <c r="AT330" s="923">
        <f>+Tabla1[[#This Row],[VENTA TOTAL $ (IVA INC) ]]-(SUM(Tabla1[[#This Row],[PENDIENTE DE ENTREGA]:[VALORES COBRADOS]]))</f>
        <v>0</v>
      </c>
      <c r="AU330" s="850">
        <f>VLOOKUP(Tabla1[[#This Row],[FECHA OC]],'TIPO DE CAMBIO'!A:B,2,TRUE)</f>
        <v>1446.3009999999999</v>
      </c>
      <c r="AV330" s="850">
        <f>+Tabla1[[#This Row],[SUBTOTAL]]/Tabla1[[#This Row],[TIPO DE CAMBIO]]</f>
        <v>23373.000000000004</v>
      </c>
      <c r="AW330" s="851"/>
      <c r="AX330" s="850">
        <f>IFERROR(Tabla1[[#This Row],[VENTA TOTAL USD A PLAZO EN CLIENTE  (SIN IVA)]]*(1+Tabla1[[#This Row],[% IVA ]]),"")</f>
        <v>23373.000000000004</v>
      </c>
      <c r="AY330" s="850">
        <f>+Tabla1[[#This Row],[VENTA TOTAL USD A PLAZO EN CLIENTE  (SIN IVA)]]/Tabla1[[#This Row],[KGS]]*1000</f>
        <v>315.00000000000006</v>
      </c>
      <c r="AZ330" s="850">
        <v>0</v>
      </c>
      <c r="BA330" s="850">
        <f>+Tabla1[[#This Row],[GASTOS FINANCIEROS $ BOLSA 50 KG (IVA INC)]]*20/Tabla1[[#This Row],[TIPO DE CAMBIO]]</f>
        <v>5.481250273972603</v>
      </c>
      <c r="BB330" s="850">
        <f>+Tabla1[[#This Row],[PRECIO POR TN USD EN CLIENTE A PLAZO (SIN IVA)]]+Tabla1[[#This Row],[COSTO USD FLETE /TN (SIN IVA)]]+Tabla1[[#This Row],[COSTO FINANCIERO USD POR BOLSA 50KG (IVA INC)]]</f>
        <v>320.48125027397265</v>
      </c>
      <c r="BC330" s="848">
        <v>5</v>
      </c>
      <c r="BD330" s="944"/>
    </row>
    <row r="331" spans="1:56" ht="15.75" customHeight="1">
      <c r="A331" s="912">
        <v>46204</v>
      </c>
      <c r="B331" s="828">
        <v>1</v>
      </c>
      <c r="C331" s="792" t="s">
        <v>417</v>
      </c>
      <c r="D331" s="829">
        <f>+Tabla1[[#This Row],[FECHA Entrega]]</f>
        <v>46204</v>
      </c>
      <c r="E331" s="830"/>
      <c r="F331" s="831" t="s">
        <v>448</v>
      </c>
      <c r="G331" s="832" t="s">
        <v>216</v>
      </c>
      <c r="H331" s="852">
        <v>46204</v>
      </c>
      <c r="I331" s="834">
        <f t="shared" ref="I331:I339" si="123">800*50</f>
        <v>40000</v>
      </c>
      <c r="J331" s="835">
        <f t="shared" ref="J331:J340" si="124">600/1.21</f>
        <v>495.86776859504135</v>
      </c>
      <c r="K331" s="836">
        <f t="shared" ref="K331:K334" si="125">+J331*I331</f>
        <v>19834710.743801653</v>
      </c>
      <c r="L33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31" s="837">
        <f t="shared" si="120"/>
        <v>24000000</v>
      </c>
      <c r="N331" s="838">
        <v>0</v>
      </c>
      <c r="O331" s="838">
        <v>0</v>
      </c>
      <c r="P331" s="838">
        <v>0</v>
      </c>
      <c r="Q331" s="839">
        <f>+Tabla1[[#This Row],[VENTA TOTAL $ (IVA INC) ]]-Tabla1[[#This Row],[PENDIENTE DE COBRO]]</f>
        <v>24000000</v>
      </c>
      <c r="R331" s="840">
        <v>46093</v>
      </c>
      <c r="S331" s="840">
        <f>+Tabla1[[#This Row],[FECHA FC]]+Tabla1[[#This Row],[PLAZO PAGO (DIAS)]]</f>
        <v>46204</v>
      </c>
      <c r="T331" s="834">
        <f t="shared" ref="T331:T334" ca="1" si="126">+S331-$U$2</f>
        <v>23</v>
      </c>
      <c r="U331" s="831">
        <f>+Tabla1[[#This Row],[FECHA RETIRO VALORES]]-Tabla1[[#This Row],[FECHA Entrega]]</f>
        <v>-111</v>
      </c>
      <c r="V331" s="831"/>
      <c r="W331" s="841">
        <f>+Tabla1[[#This Row],[FECHA VTO VALORES]]+7</f>
        <v>46211</v>
      </c>
      <c r="X331" s="831" t="s">
        <v>538</v>
      </c>
      <c r="Y331" s="840">
        <v>46094</v>
      </c>
      <c r="Z331" s="860">
        <f>Tabla1[[#This Row],[KGS]]/50</f>
        <v>800</v>
      </c>
      <c r="AA331"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31" s="844">
        <f>-Tabla1[[#This Row],[COSTO FLETE $ POR BOLSA 5O KG (SIN IVA)]]*1.21-Tabla1[[#This Row],[PRECIO $/ KG A PLAZO EN CLIENTE ( SIN IVA)]]*0.003*1.21*50</f>
        <v>0.14499999999999602</v>
      </c>
      <c r="AC331" s="845">
        <f>SUM(Tabla1[[#This Row],[PRECIO $ BOLSA 50 KG (IVA INC) ]]+Tabla1[[#This Row],[COSTO FLETE $ BOLSA 50 KG (IVA INC)]])</f>
        <v>30000.145</v>
      </c>
      <c r="AD331" s="844">
        <f>-Tabla1[[#This Row],[PRECIO $ BOLSA 50 KG (IVA INC) ]]*(Tabla1[[#This Row],[TASA FINANCIACION MENSUAL]]/365)*Tabla1[[#This Row],[PLAZO ENTREGA VALORES]]</f>
        <v>264.57534246575347</v>
      </c>
      <c r="AE331" s="845">
        <f>SUM(Tabla1[[#This Row],[PRECIO $ BOLSA50 KG  FOB TUCUMAN A PLAZO (IVA INC)]]+Tabla1[[#This Row],[GASTOS FINANCIEROS $ BOLSA 50 KG (IVA INC)]])</f>
        <v>30264.720342465753</v>
      </c>
      <c r="AF331" s="828" t="s">
        <v>359</v>
      </c>
      <c r="AG331" s="828" t="s">
        <v>365</v>
      </c>
      <c r="AH331" s="828" t="s">
        <v>387</v>
      </c>
      <c r="AI331" s="828" t="s">
        <v>391</v>
      </c>
      <c r="AJ33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35314</v>
      </c>
      <c r="AK331" s="846">
        <f>SUM(Tabla1[[#This Row],[PRECIO $ BOLSA 50KG  FOB CDO TUC (IVA INC)]]-Tabla1[[#This Row],[PRECIO REF $ BOLSA 50 KG CACTU (IVA INC)]])</f>
        <v>-5049.2796575342472</v>
      </c>
      <c r="AL331" s="847">
        <f>IFERROR(Tabla1[[#This Row],[PRECIO $ BOLSA 50KG  FOB CDO TUC (IVA INC)]]/Tabla1[[#This Row],[PRECIO REF $ BOLSA 50 KG CACTU (IVA INC)]]-1,"")</f>
        <v>-0.14298237689115501</v>
      </c>
      <c r="AM331" s="846">
        <f>+Tabla1[[#This Row],[DIF $ PRECIO NETO INDUSTRIA vs Neto TUCUMAN (IVA INC)]]*Tabla1[[#This Row],[Q Bolsas Equivalentes 50kg]]</f>
        <v>-4039423.7260273979</v>
      </c>
      <c r="AN331" s="846">
        <f>Tabla1[[#This Row],[PRECIO REF $ BOLSA 50 KG CACTU (IVA INC)]]*Tabla1[[#This Row],[Q Bolsas Equivalentes 50kg]]</f>
        <v>28251200</v>
      </c>
      <c r="AO331" s="846">
        <f>+Tabla1[[#This Row],[PRECIO $ BOLSA 50KG  FOB CDO TUC (IVA INC)]]*Tabla1[[#This Row],[Q Bolsas Equivalentes 50kg]]</f>
        <v>24211776.273972601</v>
      </c>
      <c r="AP331" s="847">
        <v>2.9000000000000001E-2</v>
      </c>
      <c r="AQ331" s="846">
        <v>-74.5</v>
      </c>
      <c r="AR331" s="828"/>
      <c r="AS331" s="849"/>
      <c r="AT331" s="923">
        <f>+Tabla1[[#This Row],[VENTA TOTAL $ (IVA INC) ]]-(SUM(Tabla1[[#This Row],[PENDIENTE DE ENTREGA]:[VALORES COBRADOS]]))</f>
        <v>0</v>
      </c>
      <c r="AU331" s="850">
        <f>VLOOKUP(Tabla1[[#This Row],[FECHA OC]],'TIPO DE CAMBIO'!A:B,2,TRUE)</f>
        <v>1392.9851000000001</v>
      </c>
      <c r="AV331" s="850">
        <f>+Tabla1[[#This Row],[SUBTOTAL]]/Tabla1[[#This Row],[TIPO DE CAMBIO]]</f>
        <v>14238.997060199461</v>
      </c>
      <c r="AW331" s="851"/>
      <c r="AX331" s="850">
        <f>IFERROR(Tabla1[[#This Row],[VENTA TOTAL USD A PLAZO EN CLIENTE  (SIN IVA)]]*(1+Tabla1[[#This Row],[% IVA ]]),"")</f>
        <v>14238.997060199461</v>
      </c>
      <c r="AY331" s="850">
        <f>+Tabla1[[#This Row],[VENTA TOTAL USD A PLAZO EN CLIENTE  (SIN IVA)]]/Tabla1[[#This Row],[KGS]]*1000</f>
        <v>355.97492650498651</v>
      </c>
      <c r="AZ331" s="850">
        <f>-Tabla1[[#This Row],[COSTO FLETE $ POR BOLSA 5O KG (SIN IVA)]]*20/Tabla1[[#This Row],[TIPO DE CAMBIO]]</f>
        <v>1.0696453249930669</v>
      </c>
      <c r="BA331" s="850">
        <f>+Tabla1[[#This Row],[GASTOS FINANCIEROS $ BOLSA 50 KG (IVA INC)]]*20/Tabla1[[#This Row],[TIPO DE CAMBIO]]</f>
        <v>3.7986815862675551</v>
      </c>
      <c r="BB331" s="850">
        <f>+Tabla1[[#This Row],[PRECIO POR TN USD EN CLIENTE A PLAZO (SIN IVA)]]+Tabla1[[#This Row],[COSTO USD FLETE /TN (SIN IVA)]]+Tabla1[[#This Row],[COSTO FINANCIERO USD POR BOLSA 50KG (IVA INC)]]</f>
        <v>360.84325341624714</v>
      </c>
      <c r="BC331" s="828">
        <v>4</v>
      </c>
      <c r="BD331" s="944" t="s">
        <v>485</v>
      </c>
    </row>
    <row r="332" spans="1:56" ht="15.75" customHeight="1">
      <c r="A332" s="912">
        <v>46204</v>
      </c>
      <c r="B332" s="828">
        <v>1</v>
      </c>
      <c r="C332" s="792" t="s">
        <v>417</v>
      </c>
      <c r="D332" s="829">
        <f>+Tabla1[[#This Row],[FECHA Entrega]]</f>
        <v>46204</v>
      </c>
      <c r="E332" s="830"/>
      <c r="F332" s="831" t="s">
        <v>448</v>
      </c>
      <c r="G332" s="832" t="s">
        <v>216</v>
      </c>
      <c r="H332" s="852">
        <v>46204</v>
      </c>
      <c r="I332" s="834">
        <f t="shared" si="123"/>
        <v>40000</v>
      </c>
      <c r="J332" s="835">
        <f t="shared" si="124"/>
        <v>495.86776859504135</v>
      </c>
      <c r="K332" s="836">
        <f t="shared" si="125"/>
        <v>19834710.743801653</v>
      </c>
      <c r="L33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32" s="837">
        <f t="shared" si="120"/>
        <v>24000000</v>
      </c>
      <c r="N332" s="838">
        <v>0</v>
      </c>
      <c r="O332" s="838">
        <v>0</v>
      </c>
      <c r="P332" s="838">
        <v>0</v>
      </c>
      <c r="Q332" s="839">
        <f>+Tabla1[[#This Row],[VENTA TOTAL $ (IVA INC) ]]-Tabla1[[#This Row],[PENDIENTE DE COBRO]]</f>
        <v>24000000</v>
      </c>
      <c r="R332" s="840">
        <v>46093</v>
      </c>
      <c r="S332" s="840">
        <f>+Tabla1[[#This Row],[FECHA FC]]+Tabla1[[#This Row],[PLAZO PAGO (DIAS)]]</f>
        <v>46204</v>
      </c>
      <c r="T332" s="834">
        <f t="shared" ca="1" si="126"/>
        <v>23</v>
      </c>
      <c r="U332" s="831">
        <f>+Tabla1[[#This Row],[FECHA RETIRO VALORES]]-Tabla1[[#This Row],[FECHA Entrega]]</f>
        <v>-111</v>
      </c>
      <c r="V332" s="831"/>
      <c r="W332" s="841">
        <f>+Tabla1[[#This Row],[FECHA VTO VALORES]]+7</f>
        <v>46211</v>
      </c>
      <c r="X332" s="831" t="s">
        <v>538</v>
      </c>
      <c r="Y332" s="840">
        <v>46094</v>
      </c>
      <c r="Z332" s="860">
        <f>Tabla1[[#This Row],[KGS]]/50</f>
        <v>800</v>
      </c>
      <c r="AA332"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32" s="844">
        <f>-Tabla1[[#This Row],[COSTO FLETE $ POR BOLSA 5O KG (SIN IVA)]]*1.21-Tabla1[[#This Row],[PRECIO $/ KG A PLAZO EN CLIENTE ( SIN IVA)]]*0.003*1.21*50</f>
        <v>0.14499999999999602</v>
      </c>
      <c r="AC332" s="845">
        <f>SUM(Tabla1[[#This Row],[PRECIO $ BOLSA 50 KG (IVA INC) ]]+Tabla1[[#This Row],[COSTO FLETE $ BOLSA 50 KG (IVA INC)]])</f>
        <v>30000.145</v>
      </c>
      <c r="AD332" s="844">
        <f>-Tabla1[[#This Row],[PRECIO $ BOLSA 50 KG (IVA INC) ]]*(Tabla1[[#This Row],[TASA FINANCIACION MENSUAL]]/365)*Tabla1[[#This Row],[PLAZO ENTREGA VALORES]]</f>
        <v>264.57534246575347</v>
      </c>
      <c r="AE332" s="845">
        <f>SUM(Tabla1[[#This Row],[PRECIO $ BOLSA50 KG  FOB TUCUMAN A PLAZO (IVA INC)]]+Tabla1[[#This Row],[GASTOS FINANCIEROS $ BOLSA 50 KG (IVA INC)]])</f>
        <v>30264.720342465753</v>
      </c>
      <c r="AF332" s="828" t="s">
        <v>359</v>
      </c>
      <c r="AG332" s="828" t="s">
        <v>365</v>
      </c>
      <c r="AH332" s="828" t="s">
        <v>387</v>
      </c>
      <c r="AI332" s="828" t="s">
        <v>391</v>
      </c>
      <c r="AJ33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35314</v>
      </c>
      <c r="AK332" s="846">
        <f>SUM(Tabla1[[#This Row],[PRECIO $ BOLSA 50KG  FOB CDO TUC (IVA INC)]]-Tabla1[[#This Row],[PRECIO REF $ BOLSA 50 KG CACTU (IVA INC)]])</f>
        <v>-5049.2796575342472</v>
      </c>
      <c r="AL332" s="847">
        <f>IFERROR(Tabla1[[#This Row],[PRECIO $ BOLSA 50KG  FOB CDO TUC (IVA INC)]]/Tabla1[[#This Row],[PRECIO REF $ BOLSA 50 KG CACTU (IVA INC)]]-1,"")</f>
        <v>-0.14298237689115501</v>
      </c>
      <c r="AM332" s="846">
        <f>+Tabla1[[#This Row],[DIF $ PRECIO NETO INDUSTRIA vs Neto TUCUMAN (IVA INC)]]*Tabla1[[#This Row],[Q Bolsas Equivalentes 50kg]]</f>
        <v>-4039423.7260273979</v>
      </c>
      <c r="AN332" s="846">
        <f>Tabla1[[#This Row],[PRECIO REF $ BOLSA 50 KG CACTU (IVA INC)]]*Tabla1[[#This Row],[Q Bolsas Equivalentes 50kg]]</f>
        <v>28251200</v>
      </c>
      <c r="AO332" s="846">
        <f>+Tabla1[[#This Row],[PRECIO $ BOLSA 50KG  FOB CDO TUC (IVA INC)]]*Tabla1[[#This Row],[Q Bolsas Equivalentes 50kg]]</f>
        <v>24211776.273972601</v>
      </c>
      <c r="AP332" s="847">
        <v>2.9000000000000001E-2</v>
      </c>
      <c r="AQ332" s="846">
        <v>-74.5</v>
      </c>
      <c r="AR332" s="828"/>
      <c r="AS332" s="849"/>
      <c r="AT332" s="923">
        <f>+Tabla1[[#This Row],[VENTA TOTAL $ (IVA INC) ]]-(SUM(Tabla1[[#This Row],[PENDIENTE DE ENTREGA]:[VALORES COBRADOS]]))</f>
        <v>0</v>
      </c>
      <c r="AU332" s="850">
        <f>VLOOKUP(Tabla1[[#This Row],[FECHA OC]],'TIPO DE CAMBIO'!A:B,2,TRUE)</f>
        <v>1392.9851000000001</v>
      </c>
      <c r="AV332" s="850">
        <f>+Tabla1[[#This Row],[SUBTOTAL]]/Tabla1[[#This Row],[TIPO DE CAMBIO]]</f>
        <v>14238.997060199461</v>
      </c>
      <c r="AW332" s="851"/>
      <c r="AX332" s="850">
        <f>IFERROR(Tabla1[[#This Row],[VENTA TOTAL USD A PLAZO EN CLIENTE  (SIN IVA)]]*(1+Tabla1[[#This Row],[% IVA ]]),"")</f>
        <v>14238.997060199461</v>
      </c>
      <c r="AY332" s="850">
        <f>+Tabla1[[#This Row],[VENTA TOTAL USD A PLAZO EN CLIENTE  (SIN IVA)]]/Tabla1[[#This Row],[KGS]]*1000</f>
        <v>355.97492650498651</v>
      </c>
      <c r="AZ332" s="850">
        <f>-Tabla1[[#This Row],[COSTO FLETE $ POR BOLSA 5O KG (SIN IVA)]]*20/Tabla1[[#This Row],[TIPO DE CAMBIO]]</f>
        <v>1.0696453249930669</v>
      </c>
      <c r="BA332" s="850">
        <f>+Tabla1[[#This Row],[GASTOS FINANCIEROS $ BOLSA 50 KG (IVA INC)]]*20/Tabla1[[#This Row],[TIPO DE CAMBIO]]</f>
        <v>3.7986815862675551</v>
      </c>
      <c r="BB332" s="850">
        <f>+Tabla1[[#This Row],[PRECIO POR TN USD EN CLIENTE A PLAZO (SIN IVA)]]+Tabla1[[#This Row],[COSTO USD FLETE /TN (SIN IVA)]]+Tabla1[[#This Row],[COSTO FINANCIERO USD POR BOLSA 50KG (IVA INC)]]</f>
        <v>360.84325341624714</v>
      </c>
      <c r="BC332" s="828">
        <v>4</v>
      </c>
      <c r="BD332" s="944" t="s">
        <v>485</v>
      </c>
    </row>
    <row r="333" spans="1:56" ht="15.75" customHeight="1">
      <c r="A333" s="912">
        <v>46204</v>
      </c>
      <c r="B333" s="828">
        <v>1</v>
      </c>
      <c r="C333" s="792" t="s">
        <v>417</v>
      </c>
      <c r="D333" s="829">
        <f>+Tabla1[[#This Row],[FECHA Entrega]]</f>
        <v>46205</v>
      </c>
      <c r="E333" s="830"/>
      <c r="F333" s="831" t="s">
        <v>448</v>
      </c>
      <c r="G333" s="832" t="s">
        <v>216</v>
      </c>
      <c r="H333" s="852">
        <v>46205</v>
      </c>
      <c r="I333" s="834">
        <f t="shared" si="123"/>
        <v>40000</v>
      </c>
      <c r="J333" s="835">
        <f t="shared" si="124"/>
        <v>495.86776859504135</v>
      </c>
      <c r="K333" s="836">
        <f t="shared" si="125"/>
        <v>19834710.743801653</v>
      </c>
      <c r="L33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33" s="837">
        <f t="shared" si="120"/>
        <v>24000000</v>
      </c>
      <c r="N333" s="838">
        <v>0</v>
      </c>
      <c r="O333" s="838">
        <v>0</v>
      </c>
      <c r="P333" s="838">
        <v>0</v>
      </c>
      <c r="Q333" s="839">
        <f>+Tabla1[[#This Row],[VENTA TOTAL $ (IVA INC) ]]</f>
        <v>24000000</v>
      </c>
      <c r="R333" s="840">
        <v>46093</v>
      </c>
      <c r="S333" s="840">
        <f>+Tabla1[[#This Row],[FECHA FC]]+Tabla1[[#This Row],[PLAZO PAGO (DIAS)]]</f>
        <v>46205</v>
      </c>
      <c r="T333" s="834">
        <f t="shared" ca="1" si="126"/>
        <v>24</v>
      </c>
      <c r="U333" s="831">
        <f>+Tabla1[[#This Row],[FECHA RETIRO VALORES]]-Tabla1[[#This Row],[FECHA Entrega]]</f>
        <v>-112</v>
      </c>
      <c r="V333" s="831"/>
      <c r="W333" s="841">
        <f>+Tabla1[[#This Row],[FECHA VTO VALORES]]+7</f>
        <v>46212</v>
      </c>
      <c r="X333" s="831" t="s">
        <v>539</v>
      </c>
      <c r="Y333" s="840">
        <v>46126</v>
      </c>
      <c r="Z333" s="860">
        <f>Tabla1[[#This Row],[KGS]]/50</f>
        <v>800</v>
      </c>
      <c r="AA333"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33" s="844">
        <f>-Tabla1[[#This Row],[COSTO FLETE $ POR BOLSA 5O KG (SIN IVA)]]*1.21-Tabla1[[#This Row],[PRECIO $/ KG A PLAZO EN CLIENTE ( SIN IVA)]]*0.003*1.21*50</f>
        <v>0.14499999999999602</v>
      </c>
      <c r="AC333" s="845">
        <f>SUM(Tabla1[[#This Row],[PRECIO $ BOLSA 50 KG (IVA INC) ]]+Tabla1[[#This Row],[COSTO FLETE $ BOLSA 50 KG (IVA INC)]])</f>
        <v>30000.145</v>
      </c>
      <c r="AD333" s="844">
        <f>-Tabla1[[#This Row],[PRECIO $ BOLSA 50 KG (IVA INC) ]]*(Tabla1[[#This Row],[TASA FINANCIACION MENSUAL]]/365)*Tabla1[[#This Row],[PLAZO ENTREGA VALORES]]</f>
        <v>266.95890410958907</v>
      </c>
      <c r="AE333" s="845">
        <f>SUM(Tabla1[[#This Row],[PRECIO $ BOLSA50 KG  FOB TUCUMAN A PLAZO (IVA INC)]]+Tabla1[[#This Row],[GASTOS FINANCIEROS $ BOLSA 50 KG (IVA INC)]])</f>
        <v>30267.10390410959</v>
      </c>
      <c r="AF333" s="828" t="s">
        <v>359</v>
      </c>
      <c r="AG333" s="828" t="s">
        <v>365</v>
      </c>
      <c r="AH333" s="828" t="s">
        <v>387</v>
      </c>
      <c r="AI333" s="828" t="s">
        <v>391</v>
      </c>
      <c r="AJ33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333" s="846">
        <f>SUM(Tabla1[[#This Row],[PRECIO $ BOLSA 50KG  FOB CDO TUC (IVA INC)]]-Tabla1[[#This Row],[PRECIO REF $ BOLSA 50 KG CACTU (IVA INC)]])</f>
        <v>-5087.8960958904099</v>
      </c>
      <c r="AL333" s="847">
        <f>IFERROR(Tabla1[[#This Row],[PRECIO $ BOLSA 50KG  FOB CDO TUC (IVA INC)]]/Tabla1[[#This Row],[PRECIO REF $ BOLSA 50 KG CACTU (IVA INC)]]-1,"")</f>
        <v>-0.1439088133472044</v>
      </c>
      <c r="AM333" s="846">
        <f>+Tabla1[[#This Row],[DIF $ PRECIO NETO INDUSTRIA vs Neto TUCUMAN (IVA INC)]]*Tabla1[[#This Row],[Q Bolsas Equivalentes 50kg]]</f>
        <v>-4070316.8767123278</v>
      </c>
      <c r="AN333" s="846">
        <f>Tabla1[[#This Row],[PRECIO REF $ BOLSA 50 KG CACTU (IVA INC)]]*Tabla1[[#This Row],[Q Bolsas Equivalentes 50kg]]</f>
        <v>28284000</v>
      </c>
      <c r="AO333" s="846">
        <f>+Tabla1[[#This Row],[PRECIO $ BOLSA 50KG  FOB CDO TUC (IVA INC)]]*Tabla1[[#This Row],[Q Bolsas Equivalentes 50kg]]</f>
        <v>24213683.12328767</v>
      </c>
      <c r="AP333" s="847">
        <v>2.9000000000000001E-2</v>
      </c>
      <c r="AQ333" s="846">
        <v>-74.5</v>
      </c>
      <c r="AR333" s="828"/>
      <c r="AS333" s="849"/>
      <c r="AT333" s="923">
        <f>+Tabla1[[#This Row],[VENTA TOTAL $ (IVA INC) ]]-(SUM(Tabla1[[#This Row],[PENDIENTE DE ENTREGA]:[VALORES COBRADOS]]))</f>
        <v>0</v>
      </c>
      <c r="AU333" s="850">
        <f>VLOOKUP(Tabla1[[#This Row],[FECHA OC]],'TIPO DE CAMBIO'!A:B,2,TRUE)</f>
        <v>1358.5219999999999</v>
      </c>
      <c r="AV333" s="850">
        <f>+Tabla1[[#This Row],[SUBTOTAL]]/Tabla1[[#This Row],[TIPO DE CAMBIO]]</f>
        <v>14600.213131477925</v>
      </c>
      <c r="AW333" s="851"/>
      <c r="AX333" s="850">
        <f>IFERROR(Tabla1[[#This Row],[VENTA TOTAL USD A PLAZO EN CLIENTE  (SIN IVA)]]*(1+Tabla1[[#This Row],[% IVA ]]),"")</f>
        <v>14600.213131477925</v>
      </c>
      <c r="AY333" s="850">
        <f>+Tabla1[[#This Row],[VENTA TOTAL USD A PLAZO EN CLIENTE  (SIN IVA)]]/Tabla1[[#This Row],[KGS]]*1000</f>
        <v>365.00532828694816</v>
      </c>
      <c r="AZ333" s="850">
        <f>-Tabla1[[#This Row],[COSTO FLETE $ POR BOLSA 5O KG (SIN IVA)]]*20/Tabla1[[#This Row],[TIPO DE CAMBIO]]</f>
        <v>1.096780177280898</v>
      </c>
      <c r="BA333" s="850">
        <f>+Tabla1[[#This Row],[GASTOS FINANCIEROS $ BOLSA 50 KG (IVA INC)]]*20/Tabla1[[#This Row],[TIPO DE CAMBIO]]</f>
        <v>3.9301373714903272</v>
      </c>
      <c r="BB333" s="850">
        <f>+Tabla1[[#This Row],[PRECIO POR TN USD EN CLIENTE A PLAZO (SIN IVA)]]+Tabla1[[#This Row],[COSTO USD FLETE /TN (SIN IVA)]]+Tabla1[[#This Row],[COSTO FINANCIERO USD POR BOLSA 50KG (IVA INC)]]</f>
        <v>370.03224583571938</v>
      </c>
      <c r="BC333" s="828">
        <v>4</v>
      </c>
      <c r="BD333" s="944" t="s">
        <v>485</v>
      </c>
    </row>
    <row r="334" spans="1:56" ht="15.75" customHeight="1">
      <c r="A334" s="912">
        <v>46204</v>
      </c>
      <c r="B334" s="828">
        <v>1</v>
      </c>
      <c r="C334" s="792" t="s">
        <v>417</v>
      </c>
      <c r="D334" s="829">
        <f>+Tabla1[[#This Row],[FECHA Entrega]]</f>
        <v>46206</v>
      </c>
      <c r="E334" s="830"/>
      <c r="F334" s="831" t="s">
        <v>448</v>
      </c>
      <c r="G334" s="832" t="s">
        <v>216</v>
      </c>
      <c r="H334" s="852">
        <v>46206</v>
      </c>
      <c r="I334" s="834">
        <f t="shared" si="123"/>
        <v>40000</v>
      </c>
      <c r="J334" s="835">
        <f t="shared" si="124"/>
        <v>495.86776859504135</v>
      </c>
      <c r="K334" s="836">
        <f t="shared" si="125"/>
        <v>19834710.743801653</v>
      </c>
      <c r="L33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34" s="837">
        <f t="shared" si="120"/>
        <v>24000000</v>
      </c>
      <c r="N334" s="838">
        <v>0</v>
      </c>
      <c r="O334" s="838">
        <v>0</v>
      </c>
      <c r="P334" s="838">
        <v>0</v>
      </c>
      <c r="Q334" s="839">
        <f>+Tabla1[[#This Row],[VENTA TOTAL $ (IVA INC) ]]</f>
        <v>24000000</v>
      </c>
      <c r="R334" s="840">
        <v>46093</v>
      </c>
      <c r="S334" s="840">
        <f>+Tabla1[[#This Row],[FECHA FC]]+Tabla1[[#This Row],[PLAZO PAGO (DIAS)]]</f>
        <v>46206</v>
      </c>
      <c r="T334" s="834">
        <f t="shared" ca="1" si="126"/>
        <v>25</v>
      </c>
      <c r="U334" s="831">
        <f>+Tabla1[[#This Row],[FECHA RETIRO VALORES]]-Tabla1[[#This Row],[FECHA Entrega]]</f>
        <v>-113</v>
      </c>
      <c r="V334" s="831"/>
      <c r="W334" s="841">
        <f>+Tabla1[[#This Row],[FECHA VTO VALORES]]+7</f>
        <v>46213</v>
      </c>
      <c r="X334" s="831" t="s">
        <v>539</v>
      </c>
      <c r="Y334" s="840">
        <v>46126</v>
      </c>
      <c r="Z334" s="860">
        <f>Tabla1[[#This Row],[KGS]]/50</f>
        <v>800</v>
      </c>
      <c r="AA334"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34" s="844">
        <f>-Tabla1[[#This Row],[COSTO FLETE $ POR BOLSA 5O KG (SIN IVA)]]*1.21-Tabla1[[#This Row],[PRECIO $/ KG A PLAZO EN CLIENTE ( SIN IVA)]]*0.003*1.21*50</f>
        <v>0.14499999999999602</v>
      </c>
      <c r="AC334" s="845">
        <f>SUM(Tabla1[[#This Row],[PRECIO $ BOLSA 50 KG (IVA INC) ]]+Tabla1[[#This Row],[COSTO FLETE $ BOLSA 50 KG (IVA INC)]])</f>
        <v>30000.145</v>
      </c>
      <c r="AD334" s="844">
        <f>-Tabla1[[#This Row],[PRECIO $ BOLSA 50 KG (IVA INC) ]]*(Tabla1[[#This Row],[TASA FINANCIACION MENSUAL]]/365)*Tabla1[[#This Row],[PLAZO ENTREGA VALORES]]</f>
        <v>269.34246575342468</v>
      </c>
      <c r="AE334" s="845">
        <f>SUM(Tabla1[[#This Row],[PRECIO $ BOLSA50 KG  FOB TUCUMAN A PLAZO (IVA INC)]]+Tabla1[[#This Row],[GASTOS FINANCIEROS $ BOLSA 50 KG (IVA INC)]])</f>
        <v>30269.487465753424</v>
      </c>
      <c r="AF334" s="828" t="s">
        <v>359</v>
      </c>
      <c r="AG334" s="828" t="s">
        <v>365</v>
      </c>
      <c r="AH334" s="828" t="s">
        <v>387</v>
      </c>
      <c r="AI334" s="828" t="s">
        <v>391</v>
      </c>
      <c r="AJ33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334" s="846">
        <f>SUM(Tabla1[[#This Row],[PRECIO $ BOLSA 50KG  FOB CDO TUC (IVA INC)]]-Tabla1[[#This Row],[PRECIO REF $ BOLSA 50 KG CACTU (IVA INC)]])</f>
        <v>-5085.5125342465763</v>
      </c>
      <c r="AL334" s="847">
        <f>IFERROR(Tabla1[[#This Row],[PRECIO $ BOLSA 50KG  FOB CDO TUC (IVA INC)]]/Tabla1[[#This Row],[PRECIO REF $ BOLSA 50 KG CACTU (IVA INC)]]-1,"")</f>
        <v>-0.14384139539659391</v>
      </c>
      <c r="AM334" s="846">
        <f>+Tabla1[[#This Row],[DIF $ PRECIO NETO INDUSTRIA vs Neto TUCUMAN (IVA INC)]]*Tabla1[[#This Row],[Q Bolsas Equivalentes 50kg]]</f>
        <v>-4068410.027397261</v>
      </c>
      <c r="AN334" s="846">
        <f>Tabla1[[#This Row],[PRECIO REF $ BOLSA 50 KG CACTU (IVA INC)]]*Tabla1[[#This Row],[Q Bolsas Equivalentes 50kg]]</f>
        <v>28284000</v>
      </c>
      <c r="AO334" s="846">
        <f>+Tabla1[[#This Row],[PRECIO $ BOLSA 50KG  FOB CDO TUC (IVA INC)]]*Tabla1[[#This Row],[Q Bolsas Equivalentes 50kg]]</f>
        <v>24215589.97260274</v>
      </c>
      <c r="AP334" s="847">
        <v>2.9000000000000001E-2</v>
      </c>
      <c r="AQ334" s="846">
        <v>-74.5</v>
      </c>
      <c r="AR334" s="828"/>
      <c r="AS334" s="849"/>
      <c r="AT334" s="923">
        <f>+Tabla1[[#This Row],[VENTA TOTAL $ (IVA INC) ]]-(SUM(Tabla1[[#This Row],[PENDIENTE DE ENTREGA]:[VALORES COBRADOS]]))</f>
        <v>0</v>
      </c>
      <c r="AU334" s="850">
        <f>VLOOKUP(Tabla1[[#This Row],[FECHA OC]],'TIPO DE CAMBIO'!A:B,2,TRUE)</f>
        <v>1358.5219999999999</v>
      </c>
      <c r="AV334" s="850">
        <f>+Tabla1[[#This Row],[SUBTOTAL]]/Tabla1[[#This Row],[TIPO DE CAMBIO]]</f>
        <v>14600.213131477925</v>
      </c>
      <c r="AW334" s="851"/>
      <c r="AX334" s="850">
        <f>IFERROR(Tabla1[[#This Row],[VENTA TOTAL USD A PLAZO EN CLIENTE  (SIN IVA)]]*(1+Tabla1[[#This Row],[% IVA ]]),"")</f>
        <v>14600.213131477925</v>
      </c>
      <c r="AY334" s="850">
        <f>+Tabla1[[#This Row],[VENTA TOTAL USD A PLAZO EN CLIENTE  (SIN IVA)]]/Tabla1[[#This Row],[KGS]]*1000</f>
        <v>365.00532828694816</v>
      </c>
      <c r="AZ334" s="850">
        <f>-Tabla1[[#This Row],[COSTO FLETE $ POR BOLSA 5O KG (SIN IVA)]]*20/Tabla1[[#This Row],[TIPO DE CAMBIO]]</f>
        <v>1.096780177280898</v>
      </c>
      <c r="BA334" s="850">
        <f>+Tabla1[[#This Row],[GASTOS FINANCIEROS $ BOLSA 50 KG (IVA INC)]]*20/Tabla1[[#This Row],[TIPO DE CAMBIO]]</f>
        <v>3.9652278837357757</v>
      </c>
      <c r="BB334" s="850">
        <f>+Tabla1[[#This Row],[PRECIO POR TN USD EN CLIENTE A PLAZO (SIN IVA)]]+Tabla1[[#This Row],[COSTO USD FLETE /TN (SIN IVA)]]+Tabla1[[#This Row],[COSTO FINANCIERO USD POR BOLSA 50KG (IVA INC)]]</f>
        <v>370.06733634796484</v>
      </c>
      <c r="BC334" s="828">
        <v>4</v>
      </c>
      <c r="BD334" s="944" t="s">
        <v>485</v>
      </c>
    </row>
    <row r="335" spans="1:56" ht="15.75" customHeight="1">
      <c r="A335" s="912">
        <v>46204</v>
      </c>
      <c r="B335" s="828">
        <v>1</v>
      </c>
      <c r="C335" s="792" t="s">
        <v>417</v>
      </c>
      <c r="D335" s="829">
        <f>+Tabla1[[#This Row],[FECHA Entrega]]</f>
        <v>46207</v>
      </c>
      <c r="E335" s="830"/>
      <c r="F335" s="831" t="s">
        <v>448</v>
      </c>
      <c r="G335" s="832" t="s">
        <v>216</v>
      </c>
      <c r="H335" s="852">
        <v>46207</v>
      </c>
      <c r="I335" s="834">
        <f t="shared" si="123"/>
        <v>40000</v>
      </c>
      <c r="J335" s="835">
        <f t="shared" si="124"/>
        <v>495.86776859504135</v>
      </c>
      <c r="K335" s="836">
        <f t="shared" ref="K335:K408" si="127">+J335*I335</f>
        <v>19834710.743801653</v>
      </c>
      <c r="L33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35" s="837">
        <f t="shared" si="120"/>
        <v>24000000</v>
      </c>
      <c r="N335" s="838">
        <v>0</v>
      </c>
      <c r="O335" s="838">
        <v>0</v>
      </c>
      <c r="P335" s="838">
        <v>0</v>
      </c>
      <c r="Q335" s="839">
        <f>+Tabla1[[#This Row],[VENTA TOTAL $ (IVA INC) ]]</f>
        <v>24000000</v>
      </c>
      <c r="R335" s="840">
        <v>46093</v>
      </c>
      <c r="S335" s="840">
        <f>+Tabla1[[#This Row],[FECHA FC]]+Tabla1[[#This Row],[PLAZO PAGO (DIAS)]]</f>
        <v>46207</v>
      </c>
      <c r="T335" s="834">
        <f t="shared" ref="T335:T408" ca="1" si="128">+S335-$U$2</f>
        <v>26</v>
      </c>
      <c r="U335" s="831">
        <f>+Tabla1[[#This Row],[FECHA RETIRO VALORES]]-Tabla1[[#This Row],[FECHA Entrega]]</f>
        <v>-114</v>
      </c>
      <c r="V335" s="831"/>
      <c r="W335" s="841">
        <f>+Tabla1[[#This Row],[FECHA VTO VALORES]]+7</f>
        <v>46214</v>
      </c>
      <c r="X335" s="831" t="s">
        <v>539</v>
      </c>
      <c r="Y335" s="840">
        <v>46126</v>
      </c>
      <c r="Z335" s="860">
        <f>Tabla1[[#This Row],[KGS]]/50</f>
        <v>800</v>
      </c>
      <c r="AA335"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35" s="844">
        <f>-Tabla1[[#This Row],[COSTO FLETE $ POR BOLSA 5O KG (SIN IVA)]]*1.21-Tabla1[[#This Row],[PRECIO $/ KG A PLAZO EN CLIENTE ( SIN IVA)]]*0.003*1.21*50</f>
        <v>0.14499999999999602</v>
      </c>
      <c r="AC335" s="845">
        <f>SUM(Tabla1[[#This Row],[PRECIO $ BOLSA 50 KG (IVA INC) ]]+Tabla1[[#This Row],[COSTO FLETE $ BOLSA 50 KG (IVA INC)]])</f>
        <v>30000.145</v>
      </c>
      <c r="AD335" s="844">
        <f>-Tabla1[[#This Row],[PRECIO $ BOLSA 50 KG (IVA INC) ]]*(Tabla1[[#This Row],[TASA FINANCIACION MENSUAL]]/365)*Tabla1[[#This Row],[PLAZO ENTREGA VALORES]]</f>
        <v>271.72602739726028</v>
      </c>
      <c r="AE335" s="845">
        <f>SUM(Tabla1[[#This Row],[PRECIO $ BOLSA50 KG  FOB TUCUMAN A PLAZO (IVA INC)]]+Tabla1[[#This Row],[GASTOS FINANCIEROS $ BOLSA 50 KG (IVA INC)]])</f>
        <v>30271.871027397261</v>
      </c>
      <c r="AF335" s="828" t="s">
        <v>359</v>
      </c>
      <c r="AG335" s="828" t="s">
        <v>365</v>
      </c>
      <c r="AH335" s="828" t="s">
        <v>387</v>
      </c>
      <c r="AI335" s="828" t="s">
        <v>391</v>
      </c>
      <c r="AJ33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335" s="846">
        <f>SUM(Tabla1[[#This Row],[PRECIO $ BOLSA 50KG  FOB CDO TUC (IVA INC)]]-Tabla1[[#This Row],[PRECIO REF $ BOLSA 50 KG CACTU (IVA INC)]])</f>
        <v>-5083.1289726027389</v>
      </c>
      <c r="AL335" s="847">
        <f>IFERROR(Tabla1[[#This Row],[PRECIO $ BOLSA 50KG  FOB CDO TUC (IVA INC)]]/Tabla1[[#This Row],[PRECIO REF $ BOLSA 50 KG CACTU (IVA INC)]]-1,"")</f>
        <v>-0.1437739774459833</v>
      </c>
      <c r="AM335" s="846">
        <f>+Tabla1[[#This Row],[DIF $ PRECIO NETO INDUSTRIA vs Neto TUCUMAN (IVA INC)]]*Tabla1[[#This Row],[Q Bolsas Equivalentes 50kg]]</f>
        <v>-4066503.1780821914</v>
      </c>
      <c r="AN335" s="846">
        <f>Tabla1[[#This Row],[PRECIO REF $ BOLSA 50 KG CACTU (IVA INC)]]*Tabla1[[#This Row],[Q Bolsas Equivalentes 50kg]]</f>
        <v>28284000</v>
      </c>
      <c r="AO335" s="846">
        <f>+Tabla1[[#This Row],[PRECIO $ BOLSA 50KG  FOB CDO TUC (IVA INC)]]*Tabla1[[#This Row],[Q Bolsas Equivalentes 50kg]]</f>
        <v>24217496.82191781</v>
      </c>
      <c r="AP335" s="847">
        <v>2.9000000000000001E-2</v>
      </c>
      <c r="AQ335" s="846">
        <v>-74.5</v>
      </c>
      <c r="AR335" s="828"/>
      <c r="AS335" s="849"/>
      <c r="AT335" s="923">
        <f>+Tabla1[[#This Row],[VENTA TOTAL $ (IVA INC) ]]-(SUM(Tabla1[[#This Row],[PENDIENTE DE ENTREGA]:[VALORES COBRADOS]]))</f>
        <v>0</v>
      </c>
      <c r="AU335" s="850">
        <f>VLOOKUP(Tabla1[[#This Row],[FECHA OC]],'TIPO DE CAMBIO'!A:B,2,TRUE)</f>
        <v>1358.5219999999999</v>
      </c>
      <c r="AV335" s="850">
        <f>+Tabla1[[#This Row],[SUBTOTAL]]/Tabla1[[#This Row],[TIPO DE CAMBIO]]</f>
        <v>14600.213131477925</v>
      </c>
      <c r="AW335" s="851"/>
      <c r="AX335" s="850">
        <f>IFERROR(Tabla1[[#This Row],[VENTA TOTAL USD A PLAZO EN CLIENTE  (SIN IVA)]]*(1+Tabla1[[#This Row],[% IVA ]]),"")</f>
        <v>14600.213131477925</v>
      </c>
      <c r="AY335" s="850">
        <f>+Tabla1[[#This Row],[VENTA TOTAL USD A PLAZO EN CLIENTE  (SIN IVA)]]/Tabla1[[#This Row],[KGS]]*1000</f>
        <v>365.00532828694816</v>
      </c>
      <c r="AZ335" s="850">
        <f>-Tabla1[[#This Row],[COSTO FLETE $ POR BOLSA 5O KG (SIN IVA)]]*20/Tabla1[[#This Row],[TIPO DE CAMBIO]]</f>
        <v>1.096780177280898</v>
      </c>
      <c r="BA335" s="850">
        <f>+Tabla1[[#This Row],[GASTOS FINANCIEROS $ BOLSA 50 KG (IVA INC)]]*20/Tabla1[[#This Row],[TIPO DE CAMBIO]]</f>
        <v>4.0003183959812247</v>
      </c>
      <c r="BB335" s="850">
        <f>+Tabla1[[#This Row],[PRECIO POR TN USD EN CLIENTE A PLAZO (SIN IVA)]]+Tabla1[[#This Row],[COSTO USD FLETE /TN (SIN IVA)]]+Tabla1[[#This Row],[COSTO FINANCIERO USD POR BOLSA 50KG (IVA INC)]]</f>
        <v>370.10242686021024</v>
      </c>
      <c r="BC335" s="828">
        <v>4</v>
      </c>
      <c r="BD335" s="944" t="s">
        <v>485</v>
      </c>
    </row>
    <row r="336" spans="1:56" ht="15.75" customHeight="1">
      <c r="A336" s="912">
        <v>46204</v>
      </c>
      <c r="B336" s="828">
        <v>1</v>
      </c>
      <c r="C336" s="792" t="s">
        <v>417</v>
      </c>
      <c r="D336" s="829">
        <f>+Tabla1[[#This Row],[FECHA Entrega]]</f>
        <v>46207</v>
      </c>
      <c r="E336" s="830"/>
      <c r="F336" s="831" t="s">
        <v>448</v>
      </c>
      <c r="G336" s="832" t="s">
        <v>216</v>
      </c>
      <c r="H336" s="852">
        <v>46207</v>
      </c>
      <c r="I336" s="834">
        <f t="shared" si="123"/>
        <v>40000</v>
      </c>
      <c r="J336" s="835">
        <f t="shared" si="124"/>
        <v>495.86776859504135</v>
      </c>
      <c r="K336" s="836">
        <f t="shared" si="127"/>
        <v>19834710.743801653</v>
      </c>
      <c r="L33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36" s="837">
        <f t="shared" si="120"/>
        <v>24000000</v>
      </c>
      <c r="N336" s="838">
        <v>0</v>
      </c>
      <c r="O336" s="838">
        <v>0</v>
      </c>
      <c r="P336" s="838">
        <v>0</v>
      </c>
      <c r="Q336" s="839">
        <f>+Tabla1[[#This Row],[VENTA TOTAL $ (IVA INC) ]]</f>
        <v>24000000</v>
      </c>
      <c r="R336" s="840">
        <v>46093</v>
      </c>
      <c r="S336" s="840">
        <f>+Tabla1[[#This Row],[FECHA FC]]+Tabla1[[#This Row],[PLAZO PAGO (DIAS)]]</f>
        <v>46207</v>
      </c>
      <c r="T336" s="834">
        <f t="shared" ca="1" si="128"/>
        <v>26</v>
      </c>
      <c r="U336" s="831">
        <f>+Tabla1[[#This Row],[FECHA RETIRO VALORES]]-Tabla1[[#This Row],[FECHA Entrega]]</f>
        <v>-114</v>
      </c>
      <c r="V336" s="831"/>
      <c r="W336" s="841">
        <f>+Tabla1[[#This Row],[FECHA VTO VALORES]]+7</f>
        <v>46214</v>
      </c>
      <c r="X336" s="831" t="s">
        <v>539</v>
      </c>
      <c r="Y336" s="840">
        <v>46126</v>
      </c>
      <c r="Z336" s="860">
        <f>Tabla1[[#This Row],[KGS]]/50</f>
        <v>800</v>
      </c>
      <c r="AA336"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36" s="844">
        <f>-Tabla1[[#This Row],[COSTO FLETE $ POR BOLSA 5O KG (SIN IVA)]]*1.21-Tabla1[[#This Row],[PRECIO $/ KG A PLAZO EN CLIENTE ( SIN IVA)]]*0.003*1.21*50</f>
        <v>0.14499999999999602</v>
      </c>
      <c r="AC336" s="845">
        <f>SUM(Tabla1[[#This Row],[PRECIO $ BOLSA 50 KG (IVA INC) ]]+Tabla1[[#This Row],[COSTO FLETE $ BOLSA 50 KG (IVA INC)]])</f>
        <v>30000.145</v>
      </c>
      <c r="AD336" s="844">
        <f>-Tabla1[[#This Row],[PRECIO $ BOLSA 50 KG (IVA INC) ]]*(Tabla1[[#This Row],[TASA FINANCIACION MENSUAL]]/365)*Tabla1[[#This Row],[PLAZO ENTREGA VALORES]]</f>
        <v>271.72602739726028</v>
      </c>
      <c r="AE336" s="845">
        <f>SUM(Tabla1[[#This Row],[PRECIO $ BOLSA50 KG  FOB TUCUMAN A PLAZO (IVA INC)]]+Tabla1[[#This Row],[GASTOS FINANCIEROS $ BOLSA 50 KG (IVA INC)]])</f>
        <v>30271.871027397261</v>
      </c>
      <c r="AF336" s="828" t="s">
        <v>359</v>
      </c>
      <c r="AG336" s="828" t="s">
        <v>365</v>
      </c>
      <c r="AH336" s="828" t="s">
        <v>387</v>
      </c>
      <c r="AI336" s="828" t="s">
        <v>391</v>
      </c>
      <c r="AJ33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336" s="846">
        <f>SUM(Tabla1[[#This Row],[PRECIO $ BOLSA 50KG  FOB CDO TUC (IVA INC)]]-Tabla1[[#This Row],[PRECIO REF $ BOLSA 50 KG CACTU (IVA INC)]])</f>
        <v>-5083.1289726027389</v>
      </c>
      <c r="AL336" s="847">
        <f>IFERROR(Tabla1[[#This Row],[PRECIO $ BOLSA 50KG  FOB CDO TUC (IVA INC)]]/Tabla1[[#This Row],[PRECIO REF $ BOLSA 50 KG CACTU (IVA INC)]]-1,"")</f>
        <v>-0.1437739774459833</v>
      </c>
      <c r="AM336" s="846">
        <f>+Tabla1[[#This Row],[DIF $ PRECIO NETO INDUSTRIA vs Neto TUCUMAN (IVA INC)]]*Tabla1[[#This Row],[Q Bolsas Equivalentes 50kg]]</f>
        <v>-4066503.1780821914</v>
      </c>
      <c r="AN336" s="846">
        <f>Tabla1[[#This Row],[PRECIO REF $ BOLSA 50 KG CACTU (IVA INC)]]*Tabla1[[#This Row],[Q Bolsas Equivalentes 50kg]]</f>
        <v>28284000</v>
      </c>
      <c r="AO336" s="846">
        <f>+Tabla1[[#This Row],[PRECIO $ BOLSA 50KG  FOB CDO TUC (IVA INC)]]*Tabla1[[#This Row],[Q Bolsas Equivalentes 50kg]]</f>
        <v>24217496.82191781</v>
      </c>
      <c r="AP336" s="847">
        <v>2.9000000000000001E-2</v>
      </c>
      <c r="AQ336" s="846">
        <v>-74.5</v>
      </c>
      <c r="AR336" s="828"/>
      <c r="AS336" s="849"/>
      <c r="AT336" s="923">
        <f>+Tabla1[[#This Row],[VENTA TOTAL $ (IVA INC) ]]-(SUM(Tabla1[[#This Row],[PENDIENTE DE ENTREGA]:[VALORES COBRADOS]]))</f>
        <v>0</v>
      </c>
      <c r="AU336" s="850">
        <f>VLOOKUP(Tabla1[[#This Row],[FECHA OC]],'TIPO DE CAMBIO'!A:B,2,TRUE)</f>
        <v>1358.5219999999999</v>
      </c>
      <c r="AV336" s="850">
        <f>+Tabla1[[#This Row],[SUBTOTAL]]/Tabla1[[#This Row],[TIPO DE CAMBIO]]</f>
        <v>14600.213131477925</v>
      </c>
      <c r="AW336" s="851"/>
      <c r="AX336" s="850">
        <f>IFERROR(Tabla1[[#This Row],[VENTA TOTAL USD A PLAZO EN CLIENTE  (SIN IVA)]]*(1+Tabla1[[#This Row],[% IVA ]]),"")</f>
        <v>14600.213131477925</v>
      </c>
      <c r="AY336" s="850">
        <f>+Tabla1[[#This Row],[VENTA TOTAL USD A PLAZO EN CLIENTE  (SIN IVA)]]/Tabla1[[#This Row],[KGS]]*1000</f>
        <v>365.00532828694816</v>
      </c>
      <c r="AZ336" s="850">
        <f>-Tabla1[[#This Row],[COSTO FLETE $ POR BOLSA 5O KG (SIN IVA)]]*20/Tabla1[[#This Row],[TIPO DE CAMBIO]]</f>
        <v>1.096780177280898</v>
      </c>
      <c r="BA336" s="850">
        <f>+Tabla1[[#This Row],[GASTOS FINANCIEROS $ BOLSA 50 KG (IVA INC)]]*20/Tabla1[[#This Row],[TIPO DE CAMBIO]]</f>
        <v>4.0003183959812247</v>
      </c>
      <c r="BB336" s="850">
        <f>+Tabla1[[#This Row],[PRECIO POR TN USD EN CLIENTE A PLAZO (SIN IVA)]]+Tabla1[[#This Row],[COSTO USD FLETE /TN (SIN IVA)]]+Tabla1[[#This Row],[COSTO FINANCIERO USD POR BOLSA 50KG (IVA INC)]]</f>
        <v>370.10242686021024</v>
      </c>
      <c r="BC336" s="828">
        <v>4</v>
      </c>
      <c r="BD336" s="944" t="s">
        <v>485</v>
      </c>
    </row>
    <row r="337" spans="1:56" ht="15.75" customHeight="1">
      <c r="A337" s="912">
        <v>46204</v>
      </c>
      <c r="B337" s="828">
        <v>1</v>
      </c>
      <c r="C337" s="792" t="s">
        <v>417</v>
      </c>
      <c r="D337" s="829">
        <f>+Tabla1[[#This Row],[FECHA Entrega]]</f>
        <v>46209</v>
      </c>
      <c r="E337" s="830"/>
      <c r="F337" s="831" t="s">
        <v>448</v>
      </c>
      <c r="G337" s="832" t="s">
        <v>216</v>
      </c>
      <c r="H337" s="852">
        <v>46209</v>
      </c>
      <c r="I337" s="834">
        <f t="shared" si="123"/>
        <v>40000</v>
      </c>
      <c r="J337" s="835">
        <f t="shared" si="124"/>
        <v>495.86776859504135</v>
      </c>
      <c r="K337" s="836">
        <f t="shared" si="127"/>
        <v>19834710.743801653</v>
      </c>
      <c r="L33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37" s="837">
        <f t="shared" si="120"/>
        <v>24000000</v>
      </c>
      <c r="N337" s="838">
        <v>0</v>
      </c>
      <c r="O337" s="838">
        <v>0</v>
      </c>
      <c r="P337" s="838">
        <v>0</v>
      </c>
      <c r="Q337" s="839">
        <f>+Tabla1[[#This Row],[VENTA TOTAL $ (IVA INC) ]]</f>
        <v>24000000</v>
      </c>
      <c r="R337" s="840">
        <v>46093</v>
      </c>
      <c r="S337" s="840">
        <f>+Tabla1[[#This Row],[FECHA FC]]+Tabla1[[#This Row],[PLAZO PAGO (DIAS)]]</f>
        <v>46209</v>
      </c>
      <c r="T337" s="834">
        <f t="shared" ca="1" si="128"/>
        <v>28</v>
      </c>
      <c r="U337" s="831">
        <f>+Tabla1[[#This Row],[FECHA RETIRO VALORES]]-Tabla1[[#This Row],[FECHA Entrega]]</f>
        <v>-116</v>
      </c>
      <c r="V337" s="831"/>
      <c r="W337" s="841">
        <f>+Tabla1[[#This Row],[FECHA VTO VALORES]]+7</f>
        <v>46216</v>
      </c>
      <c r="X337" s="831" t="s">
        <v>539</v>
      </c>
      <c r="Y337" s="840">
        <v>46126</v>
      </c>
      <c r="Z337" s="860">
        <f>Tabla1[[#This Row],[KGS]]/50</f>
        <v>800</v>
      </c>
      <c r="AA337"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37" s="844">
        <f>-Tabla1[[#This Row],[COSTO FLETE $ POR BOLSA 5O KG (SIN IVA)]]*1.21-Tabla1[[#This Row],[PRECIO $/ KG A PLAZO EN CLIENTE ( SIN IVA)]]*0.003*1.21*50</f>
        <v>0.14499999999999602</v>
      </c>
      <c r="AC337" s="845">
        <f>SUM(Tabla1[[#This Row],[PRECIO $ BOLSA 50 KG (IVA INC) ]]+Tabla1[[#This Row],[COSTO FLETE $ BOLSA 50 KG (IVA INC)]])</f>
        <v>30000.145</v>
      </c>
      <c r="AD337" s="844">
        <f>-Tabla1[[#This Row],[PRECIO $ BOLSA 50 KG (IVA INC) ]]*(Tabla1[[#This Row],[TASA FINANCIACION MENSUAL]]/365)*Tabla1[[#This Row],[PLAZO ENTREGA VALORES]]</f>
        <v>276.49315068493155</v>
      </c>
      <c r="AE337" s="845">
        <f>SUM(Tabla1[[#This Row],[PRECIO $ BOLSA50 KG  FOB TUCUMAN A PLAZO (IVA INC)]]+Tabla1[[#This Row],[GASTOS FINANCIEROS $ BOLSA 50 KG (IVA INC)]])</f>
        <v>30276.638150684932</v>
      </c>
      <c r="AF337" s="828" t="s">
        <v>359</v>
      </c>
      <c r="AG337" s="828" t="s">
        <v>365</v>
      </c>
      <c r="AH337" s="828" t="s">
        <v>387</v>
      </c>
      <c r="AI337" s="828" t="s">
        <v>391</v>
      </c>
      <c r="AJ33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337" s="846">
        <f>SUM(Tabla1[[#This Row],[PRECIO $ BOLSA 50KG  FOB CDO TUC (IVA INC)]]-Tabla1[[#This Row],[PRECIO REF $ BOLSA 50 KG CACTU (IVA INC)]])</f>
        <v>-5078.361849315068</v>
      </c>
      <c r="AL337" s="847">
        <f>IFERROR(Tabla1[[#This Row],[PRECIO $ BOLSA 50KG  FOB CDO TUC (IVA INC)]]/Tabla1[[#This Row],[PRECIO REF $ BOLSA 50 KG CACTU (IVA INC)]]-1,"")</f>
        <v>-0.14363914154476221</v>
      </c>
      <c r="AM337" s="846">
        <f>+Tabla1[[#This Row],[DIF $ PRECIO NETO INDUSTRIA vs Neto TUCUMAN (IVA INC)]]*Tabla1[[#This Row],[Q Bolsas Equivalentes 50kg]]</f>
        <v>-4062689.4794520545</v>
      </c>
      <c r="AN337" s="846">
        <f>Tabla1[[#This Row],[PRECIO REF $ BOLSA 50 KG CACTU (IVA INC)]]*Tabla1[[#This Row],[Q Bolsas Equivalentes 50kg]]</f>
        <v>28284000</v>
      </c>
      <c r="AO337" s="846">
        <f>+Tabla1[[#This Row],[PRECIO $ BOLSA 50KG  FOB CDO TUC (IVA INC)]]*Tabla1[[#This Row],[Q Bolsas Equivalentes 50kg]]</f>
        <v>24221310.520547945</v>
      </c>
      <c r="AP337" s="847">
        <v>2.9000000000000001E-2</v>
      </c>
      <c r="AQ337" s="846">
        <v>-74.5</v>
      </c>
      <c r="AR337" s="828"/>
      <c r="AS337" s="849"/>
      <c r="AT337" s="923">
        <f>+Tabla1[[#This Row],[VENTA TOTAL $ (IVA INC) ]]-(SUM(Tabla1[[#This Row],[PENDIENTE DE ENTREGA]:[VALORES COBRADOS]]))</f>
        <v>0</v>
      </c>
      <c r="AU337" s="850">
        <f>VLOOKUP(Tabla1[[#This Row],[FECHA OC]],'TIPO DE CAMBIO'!A:B,2,TRUE)</f>
        <v>1358.5219999999999</v>
      </c>
      <c r="AV337" s="850">
        <f>+Tabla1[[#This Row],[SUBTOTAL]]/Tabla1[[#This Row],[TIPO DE CAMBIO]]</f>
        <v>14600.213131477925</v>
      </c>
      <c r="AW337" s="851"/>
      <c r="AX337" s="850">
        <f>IFERROR(Tabla1[[#This Row],[VENTA TOTAL USD A PLAZO EN CLIENTE  (SIN IVA)]]*(1+Tabla1[[#This Row],[% IVA ]]),"")</f>
        <v>14600.213131477925</v>
      </c>
      <c r="AY337" s="850">
        <f>+Tabla1[[#This Row],[VENTA TOTAL USD A PLAZO EN CLIENTE  (SIN IVA)]]/Tabla1[[#This Row],[KGS]]*1000</f>
        <v>365.00532828694816</v>
      </c>
      <c r="AZ337" s="850">
        <f>-Tabla1[[#This Row],[COSTO FLETE $ POR BOLSA 5O KG (SIN IVA)]]*20/Tabla1[[#This Row],[TIPO DE CAMBIO]]</f>
        <v>1.096780177280898</v>
      </c>
      <c r="BA337" s="850">
        <f>+Tabla1[[#This Row],[GASTOS FINANCIEROS $ BOLSA 50 KG (IVA INC)]]*20/Tabla1[[#This Row],[TIPO DE CAMBIO]]</f>
        <v>4.0704994204721245</v>
      </c>
      <c r="BB337" s="850">
        <f>+Tabla1[[#This Row],[PRECIO POR TN USD EN CLIENTE A PLAZO (SIN IVA)]]+Tabla1[[#This Row],[COSTO USD FLETE /TN (SIN IVA)]]+Tabla1[[#This Row],[COSTO FINANCIERO USD POR BOLSA 50KG (IVA INC)]]</f>
        <v>370.17260788470116</v>
      </c>
      <c r="BC337" s="828">
        <v>4</v>
      </c>
      <c r="BD337" s="944" t="s">
        <v>485</v>
      </c>
    </row>
    <row r="338" spans="1:56" ht="15.75" customHeight="1">
      <c r="A338" s="912">
        <v>46204</v>
      </c>
      <c r="B338" s="828">
        <v>1</v>
      </c>
      <c r="C338" s="792" t="s">
        <v>417</v>
      </c>
      <c r="D338" s="829">
        <f>+Tabla1[[#This Row],[FECHA Entrega]]</f>
        <v>46209</v>
      </c>
      <c r="E338" s="830"/>
      <c r="F338" s="831" t="s">
        <v>448</v>
      </c>
      <c r="G338" s="832" t="s">
        <v>216</v>
      </c>
      <c r="H338" s="852">
        <v>46209</v>
      </c>
      <c r="I338" s="834">
        <f t="shared" si="123"/>
        <v>40000</v>
      </c>
      <c r="J338" s="835">
        <f t="shared" si="124"/>
        <v>495.86776859504135</v>
      </c>
      <c r="K338" s="836">
        <f t="shared" si="127"/>
        <v>19834710.743801653</v>
      </c>
      <c r="L33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38" s="837">
        <f t="shared" si="120"/>
        <v>24000000</v>
      </c>
      <c r="N338" s="838">
        <v>0</v>
      </c>
      <c r="O338" s="838">
        <v>0</v>
      </c>
      <c r="P338" s="838">
        <v>0</v>
      </c>
      <c r="Q338" s="839">
        <f>+Tabla1[[#This Row],[VENTA TOTAL $ (IVA INC) ]]</f>
        <v>24000000</v>
      </c>
      <c r="R338" s="840">
        <v>46093</v>
      </c>
      <c r="S338" s="840">
        <f>+Tabla1[[#This Row],[FECHA FC]]+Tabla1[[#This Row],[PLAZO PAGO (DIAS)]]</f>
        <v>46209</v>
      </c>
      <c r="T338" s="834">
        <f t="shared" ca="1" si="128"/>
        <v>28</v>
      </c>
      <c r="U338" s="831">
        <f>+Tabla1[[#This Row],[FECHA RETIRO VALORES]]-Tabla1[[#This Row],[FECHA Entrega]]</f>
        <v>-116</v>
      </c>
      <c r="V338" s="831"/>
      <c r="W338" s="841">
        <f>+Tabla1[[#This Row],[FECHA VTO VALORES]]+7</f>
        <v>46216</v>
      </c>
      <c r="X338" s="831" t="s">
        <v>539</v>
      </c>
      <c r="Y338" s="840">
        <v>46126</v>
      </c>
      <c r="Z338" s="860">
        <f>Tabla1[[#This Row],[KGS]]/50</f>
        <v>800</v>
      </c>
      <c r="AA338"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38" s="844">
        <f>-Tabla1[[#This Row],[COSTO FLETE $ POR BOLSA 5O KG (SIN IVA)]]*1.21-Tabla1[[#This Row],[PRECIO $/ KG A PLAZO EN CLIENTE ( SIN IVA)]]*0.003*1.21*50</f>
        <v>0.14499999999999602</v>
      </c>
      <c r="AC338" s="845">
        <f>SUM(Tabla1[[#This Row],[PRECIO $ BOLSA 50 KG (IVA INC) ]]+Tabla1[[#This Row],[COSTO FLETE $ BOLSA 50 KG (IVA INC)]])</f>
        <v>30000.145</v>
      </c>
      <c r="AD338" s="844">
        <f>-Tabla1[[#This Row],[PRECIO $ BOLSA 50 KG (IVA INC) ]]*(Tabla1[[#This Row],[TASA FINANCIACION MENSUAL]]/365)*Tabla1[[#This Row],[PLAZO ENTREGA VALORES]]</f>
        <v>276.49315068493155</v>
      </c>
      <c r="AE338" s="845">
        <f>SUM(Tabla1[[#This Row],[PRECIO $ BOLSA50 KG  FOB TUCUMAN A PLAZO (IVA INC)]]+Tabla1[[#This Row],[GASTOS FINANCIEROS $ BOLSA 50 KG (IVA INC)]])</f>
        <v>30276.638150684932</v>
      </c>
      <c r="AF338" s="828" t="s">
        <v>359</v>
      </c>
      <c r="AG338" s="828" t="s">
        <v>365</v>
      </c>
      <c r="AH338" s="828" t="s">
        <v>387</v>
      </c>
      <c r="AI338" s="828" t="s">
        <v>391</v>
      </c>
      <c r="AJ33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338" s="846">
        <f>SUM(Tabla1[[#This Row],[PRECIO $ BOLSA 50KG  FOB CDO TUC (IVA INC)]]-Tabla1[[#This Row],[PRECIO REF $ BOLSA 50 KG CACTU (IVA INC)]])</f>
        <v>-5078.361849315068</v>
      </c>
      <c r="AL338" s="847">
        <f>IFERROR(Tabla1[[#This Row],[PRECIO $ BOLSA 50KG  FOB CDO TUC (IVA INC)]]/Tabla1[[#This Row],[PRECIO REF $ BOLSA 50 KG CACTU (IVA INC)]]-1,"")</f>
        <v>-0.14363914154476221</v>
      </c>
      <c r="AM338" s="846">
        <f>+Tabla1[[#This Row],[DIF $ PRECIO NETO INDUSTRIA vs Neto TUCUMAN (IVA INC)]]*Tabla1[[#This Row],[Q Bolsas Equivalentes 50kg]]</f>
        <v>-4062689.4794520545</v>
      </c>
      <c r="AN338" s="846">
        <f>Tabla1[[#This Row],[PRECIO REF $ BOLSA 50 KG CACTU (IVA INC)]]*Tabla1[[#This Row],[Q Bolsas Equivalentes 50kg]]</f>
        <v>28284000</v>
      </c>
      <c r="AO338" s="846">
        <f>+Tabla1[[#This Row],[PRECIO $ BOLSA 50KG  FOB CDO TUC (IVA INC)]]*Tabla1[[#This Row],[Q Bolsas Equivalentes 50kg]]</f>
        <v>24221310.520547945</v>
      </c>
      <c r="AP338" s="847">
        <v>2.9000000000000001E-2</v>
      </c>
      <c r="AQ338" s="846">
        <v>-74.5</v>
      </c>
      <c r="AR338" s="828"/>
      <c r="AS338" s="849"/>
      <c r="AT338" s="923">
        <f>+Tabla1[[#This Row],[VENTA TOTAL $ (IVA INC) ]]-(SUM(Tabla1[[#This Row],[PENDIENTE DE ENTREGA]:[VALORES COBRADOS]]))</f>
        <v>0</v>
      </c>
      <c r="AU338" s="850">
        <f>VLOOKUP(Tabla1[[#This Row],[FECHA OC]],'TIPO DE CAMBIO'!A:B,2,TRUE)</f>
        <v>1358.5219999999999</v>
      </c>
      <c r="AV338" s="850">
        <f>+Tabla1[[#This Row],[SUBTOTAL]]/Tabla1[[#This Row],[TIPO DE CAMBIO]]</f>
        <v>14600.213131477925</v>
      </c>
      <c r="AW338" s="851"/>
      <c r="AX338" s="850">
        <f>IFERROR(Tabla1[[#This Row],[VENTA TOTAL USD A PLAZO EN CLIENTE  (SIN IVA)]]*(1+Tabla1[[#This Row],[% IVA ]]),"")</f>
        <v>14600.213131477925</v>
      </c>
      <c r="AY338" s="850">
        <f>+Tabla1[[#This Row],[VENTA TOTAL USD A PLAZO EN CLIENTE  (SIN IVA)]]/Tabla1[[#This Row],[KGS]]*1000</f>
        <v>365.00532828694816</v>
      </c>
      <c r="AZ338" s="850">
        <f>-Tabla1[[#This Row],[COSTO FLETE $ POR BOLSA 5O KG (SIN IVA)]]*20/Tabla1[[#This Row],[TIPO DE CAMBIO]]</f>
        <v>1.096780177280898</v>
      </c>
      <c r="BA338" s="850">
        <f>+Tabla1[[#This Row],[GASTOS FINANCIEROS $ BOLSA 50 KG (IVA INC)]]*20/Tabla1[[#This Row],[TIPO DE CAMBIO]]</f>
        <v>4.0704994204721245</v>
      </c>
      <c r="BB338" s="850">
        <f>+Tabla1[[#This Row],[PRECIO POR TN USD EN CLIENTE A PLAZO (SIN IVA)]]+Tabla1[[#This Row],[COSTO USD FLETE /TN (SIN IVA)]]+Tabla1[[#This Row],[COSTO FINANCIERO USD POR BOLSA 50KG (IVA INC)]]</f>
        <v>370.17260788470116</v>
      </c>
      <c r="BC338" s="828">
        <v>4</v>
      </c>
      <c r="BD338" s="944" t="s">
        <v>485</v>
      </c>
    </row>
    <row r="339" spans="1:56" ht="15.75" customHeight="1">
      <c r="A339" s="912">
        <v>46204</v>
      </c>
      <c r="B339" s="828">
        <v>1</v>
      </c>
      <c r="C339" s="792" t="s">
        <v>417</v>
      </c>
      <c r="D339" s="829">
        <f>+Tabla1[[#This Row],[FECHA Entrega]]</f>
        <v>46211</v>
      </c>
      <c r="E339" s="830"/>
      <c r="F339" s="831" t="s">
        <v>448</v>
      </c>
      <c r="G339" s="832" t="s">
        <v>216</v>
      </c>
      <c r="H339" s="852">
        <v>46211</v>
      </c>
      <c r="I339" s="834">
        <f t="shared" si="123"/>
        <v>40000</v>
      </c>
      <c r="J339" s="835">
        <f t="shared" si="124"/>
        <v>495.86776859504135</v>
      </c>
      <c r="K339" s="836">
        <f t="shared" ref="K339:K348" si="129">+J339*I339</f>
        <v>19834710.743801653</v>
      </c>
      <c r="L33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39" s="837">
        <f t="shared" si="120"/>
        <v>24000000</v>
      </c>
      <c r="N339" s="838">
        <v>0</v>
      </c>
      <c r="O339" s="838">
        <v>0</v>
      </c>
      <c r="P339" s="838">
        <v>0</v>
      </c>
      <c r="Q339" s="839">
        <f>+Tabla1[[#This Row],[VENTA TOTAL $ (IVA INC) ]]</f>
        <v>24000000</v>
      </c>
      <c r="R339" s="840">
        <v>46093</v>
      </c>
      <c r="S339" s="840">
        <f>+Tabla1[[#This Row],[FECHA FC]]+Tabla1[[#This Row],[PLAZO PAGO (DIAS)]]</f>
        <v>46211</v>
      </c>
      <c r="T339" s="834">
        <f t="shared" ref="T339:T348" ca="1" si="130">+S339-$U$2</f>
        <v>30</v>
      </c>
      <c r="U339" s="831">
        <f>+Tabla1[[#This Row],[FECHA RETIRO VALORES]]-Tabla1[[#This Row],[FECHA Entrega]]</f>
        <v>-118</v>
      </c>
      <c r="V339" s="831"/>
      <c r="W339" s="841">
        <f>+Tabla1[[#This Row],[FECHA VTO VALORES]]+7</f>
        <v>46218</v>
      </c>
      <c r="X339" s="831" t="s">
        <v>539</v>
      </c>
      <c r="Y339" s="840">
        <v>46126</v>
      </c>
      <c r="Z339" s="860">
        <f>Tabla1[[#This Row],[KGS]]/50</f>
        <v>800</v>
      </c>
      <c r="AA339"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39" s="844">
        <f>-Tabla1[[#This Row],[COSTO FLETE $ POR BOLSA 5O KG (SIN IVA)]]*1.21-Tabla1[[#This Row],[PRECIO $/ KG A PLAZO EN CLIENTE ( SIN IVA)]]*0.003*1.21*50</f>
        <v>0.14499999999999602</v>
      </c>
      <c r="AC339" s="845">
        <f>SUM(Tabla1[[#This Row],[PRECIO $ BOLSA 50 KG (IVA INC) ]]+Tabla1[[#This Row],[COSTO FLETE $ BOLSA 50 KG (IVA INC)]])</f>
        <v>30000.145</v>
      </c>
      <c r="AD339" s="844">
        <f>-Tabla1[[#This Row],[PRECIO $ BOLSA 50 KG (IVA INC) ]]*(Tabla1[[#This Row],[TASA FINANCIACION MENSUAL]]/365)*Tabla1[[#This Row],[PLAZO ENTREGA VALORES]]</f>
        <v>281.26027397260276</v>
      </c>
      <c r="AE339" s="845">
        <f>SUM(Tabla1[[#This Row],[PRECIO $ BOLSA50 KG  FOB TUCUMAN A PLAZO (IVA INC)]]+Tabla1[[#This Row],[GASTOS FINANCIEROS $ BOLSA 50 KG (IVA INC)]])</f>
        <v>30281.405273972603</v>
      </c>
      <c r="AF339" s="828" t="s">
        <v>359</v>
      </c>
      <c r="AG339" s="828" t="s">
        <v>365</v>
      </c>
      <c r="AH339" s="828" t="s">
        <v>387</v>
      </c>
      <c r="AI339" s="828" t="s">
        <v>391</v>
      </c>
      <c r="AJ33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339" s="846">
        <f>SUM(Tabla1[[#This Row],[PRECIO $ BOLSA 50KG  FOB CDO TUC (IVA INC)]]-Tabla1[[#This Row],[PRECIO REF $ BOLSA 50 KG CACTU (IVA INC)]])</f>
        <v>-5073.594726027397</v>
      </c>
      <c r="AL339" s="847">
        <f>IFERROR(Tabla1[[#This Row],[PRECIO $ BOLSA 50KG  FOB CDO TUC (IVA INC)]]/Tabla1[[#This Row],[PRECIO REF $ BOLSA 50 KG CACTU (IVA INC)]]-1,"")</f>
        <v>-0.14350430564354111</v>
      </c>
      <c r="AM339" s="846">
        <f>+Tabla1[[#This Row],[DIF $ PRECIO NETO INDUSTRIA vs Neto TUCUMAN (IVA INC)]]*Tabla1[[#This Row],[Q Bolsas Equivalentes 50kg]]</f>
        <v>-4058875.7808219176</v>
      </c>
      <c r="AN339" s="846">
        <f>Tabla1[[#This Row],[PRECIO REF $ BOLSA 50 KG CACTU (IVA INC)]]*Tabla1[[#This Row],[Q Bolsas Equivalentes 50kg]]</f>
        <v>28284000</v>
      </c>
      <c r="AO339" s="846">
        <f>+Tabla1[[#This Row],[PRECIO $ BOLSA 50KG  FOB CDO TUC (IVA INC)]]*Tabla1[[#This Row],[Q Bolsas Equivalentes 50kg]]</f>
        <v>24225124.219178081</v>
      </c>
      <c r="AP339" s="847">
        <v>2.9000000000000001E-2</v>
      </c>
      <c r="AQ339" s="846">
        <v>-74.5</v>
      </c>
      <c r="AR339" s="828"/>
      <c r="AS339" s="849"/>
      <c r="AT339" s="923">
        <f>+Tabla1[[#This Row],[VENTA TOTAL $ (IVA INC) ]]-(SUM(Tabla1[[#This Row],[PENDIENTE DE ENTREGA]:[VALORES COBRADOS]]))</f>
        <v>0</v>
      </c>
      <c r="AU339" s="850">
        <f>VLOOKUP(Tabla1[[#This Row],[FECHA OC]],'TIPO DE CAMBIO'!A:B,2,TRUE)</f>
        <v>1358.5219999999999</v>
      </c>
      <c r="AV339" s="850">
        <f>+Tabla1[[#This Row],[SUBTOTAL]]/Tabla1[[#This Row],[TIPO DE CAMBIO]]</f>
        <v>14600.213131477925</v>
      </c>
      <c r="AW339" s="851"/>
      <c r="AX339" s="850">
        <f>IFERROR(Tabla1[[#This Row],[VENTA TOTAL USD A PLAZO EN CLIENTE  (SIN IVA)]]*(1+Tabla1[[#This Row],[% IVA ]]),"")</f>
        <v>14600.213131477925</v>
      </c>
      <c r="AY339" s="850">
        <f>+Tabla1[[#This Row],[VENTA TOTAL USD A PLAZO EN CLIENTE  (SIN IVA)]]/Tabla1[[#This Row],[KGS]]*1000</f>
        <v>365.00532828694816</v>
      </c>
      <c r="AZ339" s="850">
        <f>-Tabla1[[#This Row],[COSTO FLETE $ POR BOLSA 5O KG (SIN IVA)]]*20/Tabla1[[#This Row],[TIPO DE CAMBIO]]</f>
        <v>1.096780177280898</v>
      </c>
      <c r="BA339" s="850">
        <f>+Tabla1[[#This Row],[GASTOS FINANCIEROS $ BOLSA 50 KG (IVA INC)]]*20/Tabla1[[#This Row],[TIPO DE CAMBIO]]</f>
        <v>4.1406804449630226</v>
      </c>
      <c r="BB339" s="850">
        <f>+Tabla1[[#This Row],[PRECIO POR TN USD EN CLIENTE A PLAZO (SIN IVA)]]+Tabla1[[#This Row],[COSTO USD FLETE /TN (SIN IVA)]]+Tabla1[[#This Row],[COSTO FINANCIERO USD POR BOLSA 50KG (IVA INC)]]</f>
        <v>370.24278890919209</v>
      </c>
      <c r="BC339" s="828">
        <v>4</v>
      </c>
      <c r="BD339" s="944" t="s">
        <v>485</v>
      </c>
    </row>
    <row r="340" spans="1:56" ht="15.75" customHeight="1">
      <c r="A340" s="912">
        <v>46204</v>
      </c>
      <c r="B340" s="828">
        <v>1</v>
      </c>
      <c r="C340" s="792" t="s">
        <v>417</v>
      </c>
      <c r="D340" s="829">
        <f>+Tabla1[[#This Row],[FECHA Entrega]]</f>
        <v>46211</v>
      </c>
      <c r="E340" s="830"/>
      <c r="F340" s="831" t="s">
        <v>448</v>
      </c>
      <c r="G340" s="832" t="s">
        <v>216</v>
      </c>
      <c r="H340" s="852">
        <v>46211</v>
      </c>
      <c r="I340" s="834">
        <f>1000*50</f>
        <v>50000</v>
      </c>
      <c r="J340" s="835">
        <f t="shared" si="124"/>
        <v>495.86776859504135</v>
      </c>
      <c r="K340" s="836">
        <f t="shared" si="129"/>
        <v>24793388.429752067</v>
      </c>
      <c r="L34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5206611.5702479342</v>
      </c>
      <c r="M340" s="837">
        <f t="shared" si="120"/>
        <v>30000000</v>
      </c>
      <c r="N340" s="838">
        <v>0</v>
      </c>
      <c r="O340" s="838">
        <v>0</v>
      </c>
      <c r="P340" s="838">
        <v>0</v>
      </c>
      <c r="Q340" s="839">
        <f>+Tabla1[[#This Row],[VENTA TOTAL $ (IVA INC) ]]</f>
        <v>30000000</v>
      </c>
      <c r="R340" s="840">
        <v>46093</v>
      </c>
      <c r="S340" s="840">
        <f>+Tabla1[[#This Row],[FECHA FC]]+Tabla1[[#This Row],[PLAZO PAGO (DIAS)]]</f>
        <v>46211</v>
      </c>
      <c r="T340" s="834">
        <f t="shared" ca="1" si="130"/>
        <v>30</v>
      </c>
      <c r="U340" s="831">
        <f>+Tabla1[[#This Row],[FECHA RETIRO VALORES]]-Tabla1[[#This Row],[FECHA Entrega]]</f>
        <v>-118</v>
      </c>
      <c r="V340" s="831"/>
      <c r="W340" s="841">
        <f>+Tabla1[[#This Row],[FECHA VTO VALORES]]+7</f>
        <v>46218</v>
      </c>
      <c r="X340" s="831" t="s">
        <v>539</v>
      </c>
      <c r="Y340" s="840">
        <v>46126</v>
      </c>
      <c r="Z340" s="860">
        <f>Tabla1[[#This Row],[KGS]]/50</f>
        <v>1000</v>
      </c>
      <c r="AA340"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40" s="844">
        <f>-Tabla1[[#This Row],[COSTO FLETE $ POR BOLSA 5O KG (SIN IVA)]]*1.21-Tabla1[[#This Row],[PRECIO $/ KG A PLAZO EN CLIENTE ( SIN IVA)]]*0.003*1.21*50</f>
        <v>0.14499999999999602</v>
      </c>
      <c r="AC340" s="845">
        <f>SUM(Tabla1[[#This Row],[PRECIO $ BOLSA 50 KG (IVA INC) ]]+Tabla1[[#This Row],[COSTO FLETE $ BOLSA 50 KG (IVA INC)]])</f>
        <v>30000.145</v>
      </c>
      <c r="AD340" s="844">
        <f>-Tabla1[[#This Row],[PRECIO $ BOLSA 50 KG (IVA INC) ]]*(Tabla1[[#This Row],[TASA FINANCIACION MENSUAL]]/365)*Tabla1[[#This Row],[PLAZO ENTREGA VALORES]]</f>
        <v>281.26027397260276</v>
      </c>
      <c r="AE340" s="845">
        <f>SUM(Tabla1[[#This Row],[PRECIO $ BOLSA50 KG  FOB TUCUMAN A PLAZO (IVA INC)]]+Tabla1[[#This Row],[GASTOS FINANCIEROS $ BOLSA 50 KG (IVA INC)]])</f>
        <v>30281.405273972603</v>
      </c>
      <c r="AF340" s="828" t="s">
        <v>359</v>
      </c>
      <c r="AG340" s="828" t="s">
        <v>365</v>
      </c>
      <c r="AH340" s="828" t="s">
        <v>387</v>
      </c>
      <c r="AI340" s="828" t="s">
        <v>391</v>
      </c>
      <c r="AJ34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340" s="846">
        <f>SUM(Tabla1[[#This Row],[PRECIO $ BOLSA 50KG  FOB CDO TUC (IVA INC)]]-Tabla1[[#This Row],[PRECIO REF $ BOLSA 50 KG CACTU (IVA INC)]])</f>
        <v>-5073.594726027397</v>
      </c>
      <c r="AL340" s="847">
        <f>IFERROR(Tabla1[[#This Row],[PRECIO $ BOLSA 50KG  FOB CDO TUC (IVA INC)]]/Tabla1[[#This Row],[PRECIO REF $ BOLSA 50 KG CACTU (IVA INC)]]-1,"")</f>
        <v>-0.14350430564354111</v>
      </c>
      <c r="AM340" s="846">
        <f>+Tabla1[[#This Row],[DIF $ PRECIO NETO INDUSTRIA vs Neto TUCUMAN (IVA INC)]]*Tabla1[[#This Row],[Q Bolsas Equivalentes 50kg]]</f>
        <v>-5073594.7260273974</v>
      </c>
      <c r="AN340" s="846">
        <f>Tabla1[[#This Row],[PRECIO REF $ BOLSA 50 KG CACTU (IVA INC)]]*Tabla1[[#This Row],[Q Bolsas Equivalentes 50kg]]</f>
        <v>35355000</v>
      </c>
      <c r="AO340" s="846">
        <f>+Tabla1[[#This Row],[PRECIO $ BOLSA 50KG  FOB CDO TUC (IVA INC)]]*Tabla1[[#This Row],[Q Bolsas Equivalentes 50kg]]</f>
        <v>30281405.273972604</v>
      </c>
      <c r="AP340" s="847">
        <v>2.9000000000000001E-2</v>
      </c>
      <c r="AQ340" s="846">
        <v>-74.5</v>
      </c>
      <c r="AR340" s="828"/>
      <c r="AS340" s="849"/>
      <c r="AT340" s="923">
        <f>+Tabla1[[#This Row],[VENTA TOTAL $ (IVA INC) ]]-(SUM(Tabla1[[#This Row],[PENDIENTE DE ENTREGA]:[VALORES COBRADOS]]))</f>
        <v>0</v>
      </c>
      <c r="AU340" s="850">
        <f>VLOOKUP(Tabla1[[#This Row],[FECHA OC]],'TIPO DE CAMBIO'!A:B,2,TRUE)</f>
        <v>1358.5219999999999</v>
      </c>
      <c r="AV340" s="850">
        <f>+Tabla1[[#This Row],[SUBTOTAL]]/Tabla1[[#This Row],[TIPO DE CAMBIO]]</f>
        <v>18250.266414347407</v>
      </c>
      <c r="AW340" s="851"/>
      <c r="AX340" s="850">
        <f>IFERROR(Tabla1[[#This Row],[VENTA TOTAL USD A PLAZO EN CLIENTE  (SIN IVA)]]*(1+Tabla1[[#This Row],[% IVA ]]),"")</f>
        <v>18250.266414347407</v>
      </c>
      <c r="AY340" s="850">
        <f>+Tabla1[[#This Row],[VENTA TOTAL USD A PLAZO EN CLIENTE  (SIN IVA)]]/Tabla1[[#This Row],[KGS]]*1000</f>
        <v>365.00532828694816</v>
      </c>
      <c r="AZ340" s="850">
        <f>-Tabla1[[#This Row],[COSTO FLETE $ POR BOLSA 5O KG (SIN IVA)]]*20/Tabla1[[#This Row],[TIPO DE CAMBIO]]</f>
        <v>1.096780177280898</v>
      </c>
      <c r="BA340" s="850">
        <f>+Tabla1[[#This Row],[GASTOS FINANCIEROS $ BOLSA 50 KG (IVA INC)]]*20/Tabla1[[#This Row],[TIPO DE CAMBIO]]</f>
        <v>4.1406804449630226</v>
      </c>
      <c r="BB340" s="850">
        <f>+Tabla1[[#This Row],[PRECIO POR TN USD EN CLIENTE A PLAZO (SIN IVA)]]+Tabla1[[#This Row],[COSTO USD FLETE /TN (SIN IVA)]]+Tabla1[[#This Row],[COSTO FINANCIERO USD POR BOLSA 50KG (IVA INC)]]</f>
        <v>370.24278890919209</v>
      </c>
      <c r="BC340" s="828">
        <v>4</v>
      </c>
      <c r="BD340" s="944" t="s">
        <v>485</v>
      </c>
    </row>
    <row r="341" spans="1:56" ht="15.75" customHeight="1">
      <c r="A341" s="912">
        <v>46204</v>
      </c>
      <c r="B341" s="828">
        <v>1</v>
      </c>
      <c r="C341" s="792" t="s">
        <v>450</v>
      </c>
      <c r="D341" s="829">
        <f>+Tabla1[[#This Row],[FECHA Entrega]]</f>
        <v>46218</v>
      </c>
      <c r="E341" s="830"/>
      <c r="F341" s="831" t="s">
        <v>448</v>
      </c>
      <c r="G341" s="832" t="s">
        <v>216</v>
      </c>
      <c r="H341" s="852">
        <v>46218</v>
      </c>
      <c r="I341" s="834">
        <f>600*50</f>
        <v>30000</v>
      </c>
      <c r="J341" s="835">
        <f>35000/50/1.21</f>
        <v>578.51239669421489</v>
      </c>
      <c r="K341" s="836">
        <f t="shared" si="129"/>
        <v>17355371.900826447</v>
      </c>
      <c r="L34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3644628.0991735538</v>
      </c>
      <c r="M341" s="837">
        <f t="shared" si="120"/>
        <v>21000000</v>
      </c>
      <c r="N341" s="838">
        <v>0</v>
      </c>
      <c r="O341" s="838">
        <v>0</v>
      </c>
      <c r="P341" s="838">
        <v>0</v>
      </c>
      <c r="Q341" s="839">
        <f>+Tabla1[[#This Row],[VENTA TOTAL $ (IVA INC) ]]-Tabla1[[#This Row],[PENDIENTE DE COBRO]]</f>
        <v>21000000</v>
      </c>
      <c r="R341" s="840">
        <f>+Tabla1[[#This Row],[FECHA FC]]+Tabla1[[#This Row],[PLAZO ENTREGA VALORES]]</f>
        <v>46156</v>
      </c>
      <c r="S341" s="840">
        <f>+Tabla1[[#This Row],[FECHA FC]]+Tabla1[[#This Row],[PLAZO PAGO (DIAS)]]</f>
        <v>46218</v>
      </c>
      <c r="T341" s="834">
        <f t="shared" ca="1" si="130"/>
        <v>37</v>
      </c>
      <c r="U341" s="831">
        <f>+Tabla1[[#This Row],[FECHA OC]]-Tabla1[[#This Row],[FECHA Entrega]]</f>
        <v>-62</v>
      </c>
      <c r="V341" s="831"/>
      <c r="W341" s="841">
        <f>+Tabla1[[#This Row],[FECHA VTO VALORES]]+7</f>
        <v>46225</v>
      </c>
      <c r="X341" s="831" t="s">
        <v>487</v>
      </c>
      <c r="Y341" s="859">
        <v>46156</v>
      </c>
      <c r="Z341" s="860">
        <f>Tabla1[[#This Row],[KGS]]/50</f>
        <v>600</v>
      </c>
      <c r="AA341"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35000</v>
      </c>
      <c r="AB341" s="844">
        <f>-Tabla1[[#This Row],[COSTO FLETE $ POR BOLSA 5O KG (SIN IVA)]]*1.21-Tabla1[[#This Row],[PRECIO $/ KG A PLAZO EN CLIENTE ( SIN IVA)]]*0.003*1.21*50</f>
        <v>0.26999999999999602</v>
      </c>
      <c r="AC341" s="845">
        <f>SUM(Tabla1[[#This Row],[PRECIO $ BOLSA 50 KG (IVA INC) ]]+Tabla1[[#This Row],[COSTO FLETE $ BOLSA 50 KG (IVA INC)]])</f>
        <v>35000.269999999997</v>
      </c>
      <c r="AD341" s="844">
        <f>-Tabla1[[#This Row],[PRECIO $ BOLSA 50 KG (IVA INC) ]]*(Tabla1[[#This Row],[TASA FINANCIACION MENSUAL]]/365)*Tabla1[[#This Row],[PLAZO ENTREGA VALORES]]</f>
        <v>178.35616438356163</v>
      </c>
      <c r="AE341" s="845">
        <f>SUM(Tabla1[[#This Row],[PRECIO $ BOLSA50 KG  FOB TUCUMAN A PLAZO (IVA INC)]]+Tabla1[[#This Row],[GASTOS FINANCIEROS $ BOLSA 50 KG (IVA INC)]])</f>
        <v>35178.626164383561</v>
      </c>
      <c r="AF341" s="828" t="s">
        <v>359</v>
      </c>
      <c r="AG341" s="828" t="s">
        <v>365</v>
      </c>
      <c r="AH341" s="828" t="s">
        <v>387</v>
      </c>
      <c r="AI341" s="828" t="s">
        <v>391</v>
      </c>
      <c r="AJ34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341" s="846">
        <f>SUM(Tabla1[[#This Row],[PRECIO $ BOLSA 50KG  FOB CDO TUC (IVA INC)]]-Tabla1[[#This Row],[PRECIO REF $ BOLSA 50 KG CACTU (IVA INC)]])</f>
        <v>-1918.3738356164395</v>
      </c>
      <c r="AL341" s="847">
        <f>IFERROR(Tabla1[[#This Row],[PRECIO $ BOLSA 50KG  FOB CDO TUC (IVA INC)]]/Tabla1[[#This Row],[PRECIO REF $ BOLSA 50 KG CACTU (IVA INC)]]-1,"")</f>
        <v>-5.1712371232618293E-2</v>
      </c>
      <c r="AM341" s="846">
        <f>+Tabla1[[#This Row],[DIF $ PRECIO NETO INDUSTRIA vs Neto TUCUMAN (IVA INC)]]*Tabla1[[#This Row],[Q Bolsas Equivalentes 50kg]]</f>
        <v>-1151024.3013698636</v>
      </c>
      <c r="AN341" s="846">
        <f>Tabla1[[#This Row],[PRECIO REF $ BOLSA 50 KG CACTU (IVA INC)]]*Tabla1[[#This Row],[Q Bolsas Equivalentes 50kg]]</f>
        <v>22258200</v>
      </c>
      <c r="AO341" s="846">
        <f>+Tabla1[[#This Row],[PRECIO $ BOLSA 50KG  FOB CDO TUC (IVA INC)]]*Tabla1[[#This Row],[Q Bolsas Equivalentes 50kg]]</f>
        <v>21107175.698630136</v>
      </c>
      <c r="AP341" s="847">
        <v>0.03</v>
      </c>
      <c r="AQ341" s="846">
        <v>-87</v>
      </c>
      <c r="AR341" s="828">
        <v>0</v>
      </c>
      <c r="AS341" s="849"/>
      <c r="AT341" s="923">
        <f>+Tabla1[[#This Row],[VENTA TOTAL $ (IVA INC) ]]-(SUM(Tabla1[[#This Row],[PENDIENTE DE ENTREGA]:[VALORES COBRADOS]]))</f>
        <v>0</v>
      </c>
      <c r="AU341" s="850">
        <f>VLOOKUP(Tabla1[[#This Row],[FECHA OC]],'TIPO DE CAMBIO'!A:B,2,TRUE)</f>
        <v>1393.2321999999999</v>
      </c>
      <c r="AV341" s="850">
        <f>+Tabla1[[#This Row],[SUBTOTAL]]/Tabla1[[#This Row],[TIPO DE CAMBIO]]</f>
        <v>12456.91271047744</v>
      </c>
      <c r="AW341" s="851"/>
      <c r="AX341" s="850">
        <f>IFERROR(Tabla1[[#This Row],[VENTA TOTAL USD A PLAZO EN CLIENTE  (SIN IVA)]]*(1+Tabla1[[#This Row],[% IVA ]]),"")</f>
        <v>12456.91271047744</v>
      </c>
      <c r="AY341" s="850">
        <f>+Tabla1[[#This Row],[VENTA TOTAL USD A PLAZO EN CLIENTE  (SIN IVA)]]/Tabla1[[#This Row],[KGS]]*1000</f>
        <v>415.23042368258132</v>
      </c>
      <c r="AZ341" s="850">
        <f>-Tabla1[[#This Row],[COSTO FLETE $ POR BOLSA 5O KG (SIN IVA)]]*20/Tabla1[[#This Row],[TIPO DE CAMBIO]]</f>
        <v>1.2488944771732953</v>
      </c>
      <c r="BA341" s="850">
        <f>+Tabla1[[#This Row],[GASTOS FINANCIEROS $ BOLSA 50 KG (IVA INC)]]*20/Tabla1[[#This Row],[TIPO DE CAMBIO]]</f>
        <v>2.5603221686027879</v>
      </c>
      <c r="BB341" s="850">
        <f>+Tabla1[[#This Row],[PRECIO POR TN USD EN CLIENTE A PLAZO (SIN IVA)]]+Tabla1[[#This Row],[COSTO USD FLETE /TN (SIN IVA)]]+Tabla1[[#This Row],[COSTO FINANCIERO USD POR BOLSA 50KG (IVA INC)]]</f>
        <v>419.03964032835739</v>
      </c>
      <c r="BC341" s="828">
        <v>4</v>
      </c>
      <c r="BD341" s="944" t="s">
        <v>485</v>
      </c>
    </row>
    <row r="342" spans="1:56" ht="15.75" customHeight="1">
      <c r="A342" s="912">
        <v>46204</v>
      </c>
      <c r="B342" s="828">
        <v>1</v>
      </c>
      <c r="C342" s="792" t="s">
        <v>451</v>
      </c>
      <c r="D342" s="829">
        <f>+Tabla1[[#This Row],[FECHA Entrega]]</f>
        <v>46219</v>
      </c>
      <c r="E342" s="830"/>
      <c r="F342" s="831" t="s">
        <v>448</v>
      </c>
      <c r="G342" s="832" t="s">
        <v>216</v>
      </c>
      <c r="H342" s="852">
        <v>46219</v>
      </c>
      <c r="I342" s="834">
        <f t="shared" ref="I342:I345" si="131">600*50</f>
        <v>30000</v>
      </c>
      <c r="J342" s="835">
        <f t="shared" ref="J342:J345" si="132">35000/50/1.21</f>
        <v>578.51239669421489</v>
      </c>
      <c r="K342" s="836">
        <f t="shared" si="129"/>
        <v>17355371.900826447</v>
      </c>
      <c r="L34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3644628.0991735538</v>
      </c>
      <c r="M342" s="837">
        <f t="shared" si="120"/>
        <v>21000000</v>
      </c>
      <c r="N342" s="838">
        <v>0</v>
      </c>
      <c r="O342" s="838">
        <v>0</v>
      </c>
      <c r="P342" s="838">
        <v>0</v>
      </c>
      <c r="Q342" s="839">
        <f>+Tabla1[[#This Row],[VENTA TOTAL $ (IVA INC) ]]-Tabla1[[#This Row],[PENDIENTE DE COBRO]]</f>
        <v>21000000</v>
      </c>
      <c r="R342" s="840">
        <f>+Tabla1[[#This Row],[FECHA FC]]+Tabla1[[#This Row],[PLAZO ENTREGA VALORES]]</f>
        <v>46156</v>
      </c>
      <c r="S342" s="840">
        <f>+Tabla1[[#This Row],[FECHA FC]]+Tabla1[[#This Row],[PLAZO PAGO (DIAS)]]</f>
        <v>46219</v>
      </c>
      <c r="T342" s="834">
        <f t="shared" ca="1" si="130"/>
        <v>38</v>
      </c>
      <c r="U342" s="831">
        <f>+Tabla1[[#This Row],[FECHA OC]]-Tabla1[[#This Row],[FECHA Entrega]]</f>
        <v>-63</v>
      </c>
      <c r="V342" s="831"/>
      <c r="W342" s="841">
        <f>+Tabla1[[#This Row],[FECHA VTO VALORES]]+7</f>
        <v>46226</v>
      </c>
      <c r="X342" s="831" t="s">
        <v>487</v>
      </c>
      <c r="Y342" s="840">
        <v>46156</v>
      </c>
      <c r="Z342" s="860">
        <f>Tabla1[[#This Row],[KGS]]/50</f>
        <v>600</v>
      </c>
      <c r="AA342"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35000</v>
      </c>
      <c r="AB342" s="844">
        <f>-Tabla1[[#This Row],[COSTO FLETE $ POR BOLSA 5O KG (SIN IVA)]]*1.21-Tabla1[[#This Row],[PRECIO $/ KG A PLAZO EN CLIENTE ( SIN IVA)]]*0.003*1.21*50</f>
        <v>0.26999999999999602</v>
      </c>
      <c r="AC342" s="845">
        <f>SUM(Tabla1[[#This Row],[PRECIO $ BOLSA 50 KG (IVA INC) ]]+Tabla1[[#This Row],[COSTO FLETE $ BOLSA 50 KG (IVA INC)]])</f>
        <v>35000.269999999997</v>
      </c>
      <c r="AD342" s="844">
        <f>-Tabla1[[#This Row],[PRECIO $ BOLSA 50 KG (IVA INC) ]]*(Tabla1[[#This Row],[TASA FINANCIACION MENSUAL]]/365)*Tabla1[[#This Row],[PLAZO ENTREGA VALORES]]</f>
        <v>175.1917808219178</v>
      </c>
      <c r="AE342" s="845">
        <f>SUM(Tabla1[[#This Row],[PRECIO $ BOLSA50 KG  FOB TUCUMAN A PLAZO (IVA INC)]]+Tabla1[[#This Row],[GASTOS FINANCIEROS $ BOLSA 50 KG (IVA INC)]])</f>
        <v>35175.461780821912</v>
      </c>
      <c r="AF342" s="828" t="s">
        <v>359</v>
      </c>
      <c r="AG342" s="828" t="s">
        <v>365</v>
      </c>
      <c r="AH342" s="828" t="s">
        <v>387</v>
      </c>
      <c r="AI342" s="828" t="s">
        <v>391</v>
      </c>
      <c r="AJ34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342" s="846">
        <f>SUM(Tabla1[[#This Row],[PRECIO $ BOLSA 50KG  FOB CDO TUC (IVA INC)]]-Tabla1[[#This Row],[PRECIO REF $ BOLSA 50 KG CACTU (IVA INC)]])</f>
        <v>-1921.5382191780882</v>
      </c>
      <c r="AL342" s="847">
        <f>IFERROR(Tabla1[[#This Row],[PRECIO $ BOLSA 50KG  FOB CDO TUC (IVA INC)]]/Tabla1[[#This Row],[PRECIO REF $ BOLSA 50 KG CACTU (IVA INC)]]-1,"")</f>
        <v>-5.1797671487669894E-2</v>
      </c>
      <c r="AM342" s="846">
        <f>+Tabla1[[#This Row],[DIF $ PRECIO NETO INDUSTRIA vs Neto TUCUMAN (IVA INC)]]*Tabla1[[#This Row],[Q Bolsas Equivalentes 50kg]]</f>
        <v>-1152922.9315068529</v>
      </c>
      <c r="AN342" s="846">
        <f>Tabla1[[#This Row],[PRECIO REF $ BOLSA 50 KG CACTU (IVA INC)]]*Tabla1[[#This Row],[Q Bolsas Equivalentes 50kg]]</f>
        <v>22258200</v>
      </c>
      <c r="AO342" s="846">
        <f>+Tabla1[[#This Row],[PRECIO $ BOLSA 50KG  FOB CDO TUC (IVA INC)]]*Tabla1[[#This Row],[Q Bolsas Equivalentes 50kg]]</f>
        <v>21105277.068493146</v>
      </c>
      <c r="AP342" s="847">
        <v>2.9000000000000001E-2</v>
      </c>
      <c r="AQ342" s="846">
        <v>-87</v>
      </c>
      <c r="AR342" s="828">
        <v>0</v>
      </c>
      <c r="AS342" s="849"/>
      <c r="AT342" s="923">
        <f>+Tabla1[[#This Row],[VENTA TOTAL $ (IVA INC) ]]-(SUM(Tabla1[[#This Row],[PENDIENTE DE ENTREGA]:[VALORES COBRADOS]]))</f>
        <v>0</v>
      </c>
      <c r="AU342" s="850">
        <f>VLOOKUP(Tabla1[[#This Row],[FECHA OC]],'TIPO DE CAMBIO'!A:B,2,TRUE)</f>
        <v>1393.2321999999999</v>
      </c>
      <c r="AV342" s="850">
        <f>+Tabla1[[#This Row],[SUBTOTAL]]/Tabla1[[#This Row],[TIPO DE CAMBIO]]</f>
        <v>12456.91271047744</v>
      </c>
      <c r="AW342" s="851"/>
      <c r="AX342" s="850">
        <f>IFERROR(Tabla1[[#This Row],[VENTA TOTAL USD A PLAZO EN CLIENTE  (SIN IVA)]]*(1+Tabla1[[#This Row],[% IVA ]]),"")</f>
        <v>12456.91271047744</v>
      </c>
      <c r="AY342" s="850">
        <f>+Tabla1[[#This Row],[VENTA TOTAL USD A PLAZO EN CLIENTE  (SIN IVA)]]/Tabla1[[#This Row],[KGS]]*1000</f>
        <v>415.23042368258132</v>
      </c>
      <c r="AZ342" s="850">
        <f>-Tabla1[[#This Row],[COSTO FLETE $ POR BOLSA 5O KG (SIN IVA)]]*20/Tabla1[[#This Row],[TIPO DE CAMBIO]]</f>
        <v>1.2488944771732953</v>
      </c>
      <c r="BA342" s="850">
        <f>+Tabla1[[#This Row],[GASTOS FINANCIEROS $ BOLSA 50 KG (IVA INC)]]*20/Tabla1[[#This Row],[TIPO DE CAMBIO]]</f>
        <v>2.5148970978695124</v>
      </c>
      <c r="BB342" s="850">
        <f>+Tabla1[[#This Row],[PRECIO POR TN USD EN CLIENTE A PLAZO (SIN IVA)]]+Tabla1[[#This Row],[COSTO USD FLETE /TN (SIN IVA)]]+Tabla1[[#This Row],[COSTO FINANCIERO USD POR BOLSA 50KG (IVA INC)]]</f>
        <v>418.99421525762409</v>
      </c>
      <c r="BC342" s="828">
        <v>4</v>
      </c>
      <c r="BD342" s="944" t="s">
        <v>485</v>
      </c>
    </row>
    <row r="343" spans="1:56" ht="15.75" customHeight="1">
      <c r="A343" s="912">
        <v>46204</v>
      </c>
      <c r="B343" s="828">
        <v>1</v>
      </c>
      <c r="C343" s="792" t="s">
        <v>453</v>
      </c>
      <c r="D343" s="829">
        <f>+Tabla1[[#This Row],[FECHA Entrega]]</f>
        <v>46219</v>
      </c>
      <c r="E343" s="830"/>
      <c r="F343" s="831" t="s">
        <v>448</v>
      </c>
      <c r="G343" s="832" t="s">
        <v>216</v>
      </c>
      <c r="H343" s="852">
        <v>46219</v>
      </c>
      <c r="I343" s="834">
        <f t="shared" si="131"/>
        <v>30000</v>
      </c>
      <c r="J343" s="835">
        <f t="shared" si="132"/>
        <v>578.51239669421489</v>
      </c>
      <c r="K343" s="836">
        <f t="shared" si="129"/>
        <v>17355371.900826447</v>
      </c>
      <c r="L34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3644628.0991735538</v>
      </c>
      <c r="M343" s="837">
        <f t="shared" si="120"/>
        <v>21000000</v>
      </c>
      <c r="N343" s="838">
        <v>0</v>
      </c>
      <c r="O343" s="838">
        <v>0</v>
      </c>
      <c r="P343" s="838">
        <v>0</v>
      </c>
      <c r="Q343" s="839">
        <f>+Tabla1[[#This Row],[VENTA TOTAL $ (IVA INC) ]]-Tabla1[[#This Row],[PENDIENTE DE COBRO]]</f>
        <v>21000000</v>
      </c>
      <c r="R343" s="840">
        <f>+Tabla1[[#This Row],[FECHA FC]]+Tabla1[[#This Row],[PLAZO ENTREGA VALORES]]</f>
        <v>46156</v>
      </c>
      <c r="S343" s="840">
        <f>+Tabla1[[#This Row],[FECHA FC]]+Tabla1[[#This Row],[PLAZO PAGO (DIAS)]]</f>
        <v>46219</v>
      </c>
      <c r="T343" s="834">
        <f t="shared" ca="1" si="130"/>
        <v>38</v>
      </c>
      <c r="U343" s="831">
        <f>+Tabla1[[#This Row],[FECHA OC]]-Tabla1[[#This Row],[FECHA Entrega]]</f>
        <v>-63</v>
      </c>
      <c r="V343" s="831"/>
      <c r="W343" s="841">
        <f>+Tabla1[[#This Row],[FECHA VTO VALORES]]+7</f>
        <v>46226</v>
      </c>
      <c r="X343" s="831" t="s">
        <v>487</v>
      </c>
      <c r="Y343" s="840">
        <v>46156</v>
      </c>
      <c r="Z343" s="860">
        <f>Tabla1[[#This Row],[KGS]]/50</f>
        <v>600</v>
      </c>
      <c r="AA343"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35000</v>
      </c>
      <c r="AB343" s="844">
        <f>-Tabla1[[#This Row],[COSTO FLETE $ POR BOLSA 5O KG (SIN IVA)]]*1.21-Tabla1[[#This Row],[PRECIO $/ KG A PLAZO EN CLIENTE ( SIN IVA)]]*0.003*1.21*50</f>
        <v>0.26999999999999602</v>
      </c>
      <c r="AC343" s="845">
        <f>SUM(Tabla1[[#This Row],[PRECIO $ BOLSA 50 KG (IVA INC) ]]+Tabla1[[#This Row],[COSTO FLETE $ BOLSA 50 KG (IVA INC)]])</f>
        <v>35000.269999999997</v>
      </c>
      <c r="AD343" s="844">
        <f>-Tabla1[[#This Row],[PRECIO $ BOLSA 50 KG (IVA INC) ]]*(Tabla1[[#This Row],[TASA FINANCIACION MENSUAL]]/365)*Tabla1[[#This Row],[PLAZO ENTREGA VALORES]]</f>
        <v>175.1917808219178</v>
      </c>
      <c r="AE343" s="845">
        <f>SUM(Tabla1[[#This Row],[PRECIO $ BOLSA50 KG  FOB TUCUMAN A PLAZO (IVA INC)]]+Tabla1[[#This Row],[GASTOS FINANCIEROS $ BOLSA 50 KG (IVA INC)]])</f>
        <v>35175.461780821912</v>
      </c>
      <c r="AF343" s="828" t="s">
        <v>359</v>
      </c>
      <c r="AG343" s="828" t="s">
        <v>365</v>
      </c>
      <c r="AH343" s="828" t="s">
        <v>387</v>
      </c>
      <c r="AI343" s="828" t="s">
        <v>391</v>
      </c>
      <c r="AJ34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343" s="846">
        <f>SUM(Tabla1[[#This Row],[PRECIO $ BOLSA 50KG  FOB CDO TUC (IVA INC)]]-Tabla1[[#This Row],[PRECIO REF $ BOLSA 50 KG CACTU (IVA INC)]])</f>
        <v>-1921.5382191780882</v>
      </c>
      <c r="AL343" s="847">
        <f>IFERROR(Tabla1[[#This Row],[PRECIO $ BOLSA 50KG  FOB CDO TUC (IVA INC)]]/Tabla1[[#This Row],[PRECIO REF $ BOLSA 50 KG CACTU (IVA INC)]]-1,"")</f>
        <v>-5.1797671487669894E-2</v>
      </c>
      <c r="AM343" s="846">
        <f>+Tabla1[[#This Row],[DIF $ PRECIO NETO INDUSTRIA vs Neto TUCUMAN (IVA INC)]]*Tabla1[[#This Row],[Q Bolsas Equivalentes 50kg]]</f>
        <v>-1152922.9315068529</v>
      </c>
      <c r="AN343" s="846">
        <f>Tabla1[[#This Row],[PRECIO REF $ BOLSA 50 KG CACTU (IVA INC)]]*Tabla1[[#This Row],[Q Bolsas Equivalentes 50kg]]</f>
        <v>22258200</v>
      </c>
      <c r="AO343" s="846">
        <f>+Tabla1[[#This Row],[PRECIO $ BOLSA 50KG  FOB CDO TUC (IVA INC)]]*Tabla1[[#This Row],[Q Bolsas Equivalentes 50kg]]</f>
        <v>21105277.068493146</v>
      </c>
      <c r="AP343" s="847">
        <v>2.9000000000000001E-2</v>
      </c>
      <c r="AQ343" s="846">
        <v>-87</v>
      </c>
      <c r="AR343" s="828">
        <v>0</v>
      </c>
      <c r="AS343" s="849"/>
      <c r="AT343" s="923">
        <f>+Tabla1[[#This Row],[VENTA TOTAL $ (IVA INC) ]]-(SUM(Tabla1[[#This Row],[PENDIENTE DE ENTREGA]:[VALORES COBRADOS]]))</f>
        <v>0</v>
      </c>
      <c r="AU343" s="850">
        <f>VLOOKUP(Tabla1[[#This Row],[FECHA OC]],'TIPO DE CAMBIO'!A:B,2,TRUE)</f>
        <v>1393.2321999999999</v>
      </c>
      <c r="AV343" s="850">
        <f>+Tabla1[[#This Row],[SUBTOTAL]]/Tabla1[[#This Row],[TIPO DE CAMBIO]]</f>
        <v>12456.91271047744</v>
      </c>
      <c r="AW343" s="851"/>
      <c r="AX343" s="850">
        <f>IFERROR(Tabla1[[#This Row],[VENTA TOTAL USD A PLAZO EN CLIENTE  (SIN IVA)]]*(1+Tabla1[[#This Row],[% IVA ]]),"")</f>
        <v>12456.91271047744</v>
      </c>
      <c r="AY343" s="850">
        <f>+Tabla1[[#This Row],[VENTA TOTAL USD A PLAZO EN CLIENTE  (SIN IVA)]]/Tabla1[[#This Row],[KGS]]*1000</f>
        <v>415.23042368258132</v>
      </c>
      <c r="AZ343" s="850">
        <f>-Tabla1[[#This Row],[COSTO FLETE $ POR BOLSA 5O KG (SIN IVA)]]*20/Tabla1[[#This Row],[TIPO DE CAMBIO]]</f>
        <v>1.2488944771732953</v>
      </c>
      <c r="BA343" s="850">
        <f>+Tabla1[[#This Row],[GASTOS FINANCIEROS $ BOLSA 50 KG (IVA INC)]]*20/Tabla1[[#This Row],[TIPO DE CAMBIO]]</f>
        <v>2.5148970978695124</v>
      </c>
      <c r="BB343" s="850">
        <f>+Tabla1[[#This Row],[PRECIO POR TN USD EN CLIENTE A PLAZO (SIN IVA)]]+Tabla1[[#This Row],[COSTO USD FLETE /TN (SIN IVA)]]+Tabla1[[#This Row],[COSTO FINANCIERO USD POR BOLSA 50KG (IVA INC)]]</f>
        <v>418.99421525762409</v>
      </c>
      <c r="BC343" s="828">
        <v>4</v>
      </c>
      <c r="BD343" s="944" t="s">
        <v>485</v>
      </c>
    </row>
    <row r="344" spans="1:56" ht="15.75" customHeight="1">
      <c r="A344" s="912">
        <v>46204</v>
      </c>
      <c r="B344" s="828">
        <v>1</v>
      </c>
      <c r="C344" s="792" t="s">
        <v>467</v>
      </c>
      <c r="D344" s="829">
        <f>+Tabla1[[#This Row],[FECHA Entrega]]</f>
        <v>46218</v>
      </c>
      <c r="E344" s="830"/>
      <c r="F344" s="831" t="s">
        <v>448</v>
      </c>
      <c r="G344" s="832" t="s">
        <v>216</v>
      </c>
      <c r="H344" s="852">
        <v>46218</v>
      </c>
      <c r="I344" s="834">
        <f t="shared" si="131"/>
        <v>30000</v>
      </c>
      <c r="J344" s="835">
        <f t="shared" si="132"/>
        <v>578.51239669421489</v>
      </c>
      <c r="K344" s="836">
        <f t="shared" si="129"/>
        <v>17355371.900826447</v>
      </c>
      <c r="L34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3644628.0991735538</v>
      </c>
      <c r="M344" s="837">
        <f t="shared" si="120"/>
        <v>21000000</v>
      </c>
      <c r="N344" s="838">
        <v>0</v>
      </c>
      <c r="O344" s="838">
        <v>0</v>
      </c>
      <c r="P344" s="838">
        <v>0</v>
      </c>
      <c r="Q344" s="839">
        <f>+Tabla1[[#This Row],[VENTA TOTAL $ (IVA INC) ]]-Tabla1[[#This Row],[PENDIENTE DE COBRO]]</f>
        <v>21000000</v>
      </c>
      <c r="R344" s="840">
        <f>+Tabla1[[#This Row],[FECHA FC]]+Tabla1[[#This Row],[PLAZO ENTREGA VALORES]]</f>
        <v>46156</v>
      </c>
      <c r="S344" s="840">
        <f>+Tabla1[[#This Row],[FECHA FC]]+Tabla1[[#This Row],[PLAZO PAGO (DIAS)]]</f>
        <v>46218</v>
      </c>
      <c r="T344" s="834">
        <f t="shared" ca="1" si="130"/>
        <v>37</v>
      </c>
      <c r="U344" s="831">
        <f>+Tabla1[[#This Row],[FECHA OC]]-Tabla1[[#This Row],[FECHA Entrega]]</f>
        <v>-62</v>
      </c>
      <c r="V344" s="831"/>
      <c r="W344" s="841">
        <f>+Tabla1[[#This Row],[FECHA VTO VALORES]]+7</f>
        <v>46225</v>
      </c>
      <c r="X344" s="831" t="s">
        <v>487</v>
      </c>
      <c r="Y344" s="840">
        <v>46156</v>
      </c>
      <c r="Z344" s="860">
        <f>Tabla1[[#This Row],[KGS]]/50</f>
        <v>600</v>
      </c>
      <c r="AA344"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35000</v>
      </c>
      <c r="AB344" s="844">
        <f>-Tabla1[[#This Row],[COSTO FLETE $ POR BOLSA 5O KG (SIN IVA)]]*1.21-Tabla1[[#This Row],[PRECIO $/ KG A PLAZO EN CLIENTE ( SIN IVA)]]*0.003*1.21*50</f>
        <v>0.26999999999999602</v>
      </c>
      <c r="AC344" s="845">
        <f>SUM(Tabla1[[#This Row],[PRECIO $ BOLSA 50 KG (IVA INC) ]]+Tabla1[[#This Row],[COSTO FLETE $ BOLSA 50 KG (IVA INC)]])</f>
        <v>35000.269999999997</v>
      </c>
      <c r="AD344" s="844">
        <f>-Tabla1[[#This Row],[PRECIO $ BOLSA 50 KG (IVA INC) ]]*(Tabla1[[#This Row],[TASA FINANCIACION MENSUAL]]/365)*Tabla1[[#This Row],[PLAZO ENTREGA VALORES]]</f>
        <v>172.41095890410958</v>
      </c>
      <c r="AE344" s="845">
        <f>SUM(Tabla1[[#This Row],[PRECIO $ BOLSA50 KG  FOB TUCUMAN A PLAZO (IVA INC)]]+Tabla1[[#This Row],[GASTOS FINANCIEROS $ BOLSA 50 KG (IVA INC)]])</f>
        <v>35172.680958904108</v>
      </c>
      <c r="AF344" s="828" t="s">
        <v>359</v>
      </c>
      <c r="AG344" s="828" t="s">
        <v>365</v>
      </c>
      <c r="AH344" s="828" t="s">
        <v>387</v>
      </c>
      <c r="AI344" s="828" t="s">
        <v>391</v>
      </c>
      <c r="AJ34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344" s="846">
        <f>SUM(Tabla1[[#This Row],[PRECIO $ BOLSA 50KG  FOB CDO TUC (IVA INC)]]-Tabla1[[#This Row],[PRECIO REF $ BOLSA 50 KG CACTU (IVA INC)]])</f>
        <v>-1924.3190410958923</v>
      </c>
      <c r="AL344" s="847">
        <f>IFERROR(Tabla1[[#This Row],[PRECIO $ BOLSA 50KG  FOB CDO TUC (IVA INC)]]/Tabla1[[#This Row],[PRECIO REF $ BOLSA 50 KG CACTU (IVA INC)]]-1,"")</f>
        <v>-5.1872632317866429E-2</v>
      </c>
      <c r="AM344" s="846">
        <f>+Tabla1[[#This Row],[DIF $ PRECIO NETO INDUSTRIA vs Neto TUCUMAN (IVA INC)]]*Tabla1[[#This Row],[Q Bolsas Equivalentes 50kg]]</f>
        <v>-1154591.4246575353</v>
      </c>
      <c r="AN344" s="846">
        <f>Tabla1[[#This Row],[PRECIO REF $ BOLSA 50 KG CACTU (IVA INC)]]*Tabla1[[#This Row],[Q Bolsas Equivalentes 50kg]]</f>
        <v>22258200</v>
      </c>
      <c r="AO344" s="846">
        <f>+Tabla1[[#This Row],[PRECIO $ BOLSA 50KG  FOB CDO TUC (IVA INC)]]*Tabla1[[#This Row],[Q Bolsas Equivalentes 50kg]]</f>
        <v>21103608.575342465</v>
      </c>
      <c r="AP344" s="847">
        <v>2.9000000000000001E-2</v>
      </c>
      <c r="AQ344" s="846">
        <v>-87</v>
      </c>
      <c r="AR344" s="828">
        <v>0</v>
      </c>
      <c r="AS344" s="849"/>
      <c r="AT344" s="923">
        <f>+Tabla1[[#This Row],[VENTA TOTAL $ (IVA INC) ]]-(SUM(Tabla1[[#This Row],[PENDIENTE DE ENTREGA]:[VALORES COBRADOS]]))</f>
        <v>0</v>
      </c>
      <c r="AU344" s="850">
        <f>VLOOKUP(Tabla1[[#This Row],[FECHA OC]],'TIPO DE CAMBIO'!A:B,2,TRUE)</f>
        <v>1393.2321999999999</v>
      </c>
      <c r="AV344" s="850">
        <f>+Tabla1[[#This Row],[SUBTOTAL]]/Tabla1[[#This Row],[TIPO DE CAMBIO]]</f>
        <v>12456.91271047744</v>
      </c>
      <c r="AW344" s="851"/>
      <c r="AX344" s="850">
        <f>IFERROR(Tabla1[[#This Row],[VENTA TOTAL USD A PLAZO EN CLIENTE  (SIN IVA)]]*(1+Tabla1[[#This Row],[% IVA ]]),"")</f>
        <v>12456.91271047744</v>
      </c>
      <c r="AY344" s="850">
        <f>+Tabla1[[#This Row],[VENTA TOTAL USD A PLAZO EN CLIENTE  (SIN IVA)]]/Tabla1[[#This Row],[KGS]]*1000</f>
        <v>415.23042368258132</v>
      </c>
      <c r="AZ344" s="850">
        <f>-Tabla1[[#This Row],[COSTO FLETE $ POR BOLSA 5O KG (SIN IVA)]]*20/Tabla1[[#This Row],[TIPO DE CAMBIO]]</f>
        <v>1.2488944771732953</v>
      </c>
      <c r="BA344" s="850">
        <f>+Tabla1[[#This Row],[GASTOS FINANCIEROS $ BOLSA 50 KG (IVA INC)]]*20/Tabla1[[#This Row],[TIPO DE CAMBIO]]</f>
        <v>2.4749780963160282</v>
      </c>
      <c r="BB344" s="850">
        <f>+Tabla1[[#This Row],[PRECIO POR TN USD EN CLIENTE A PLAZO (SIN IVA)]]+Tabla1[[#This Row],[COSTO USD FLETE /TN (SIN IVA)]]+Tabla1[[#This Row],[COSTO FINANCIERO USD POR BOLSA 50KG (IVA INC)]]</f>
        <v>418.95429625607062</v>
      </c>
      <c r="BC344" s="828">
        <v>4</v>
      </c>
      <c r="BD344" s="944" t="s">
        <v>485</v>
      </c>
    </row>
    <row r="345" spans="1:56" ht="15.75" customHeight="1">
      <c r="A345" s="912">
        <v>46204</v>
      </c>
      <c r="B345" s="828">
        <v>1</v>
      </c>
      <c r="C345" s="792" t="s">
        <v>467</v>
      </c>
      <c r="D345" s="829">
        <f>+Tabla1[[#This Row],[FECHA Entrega]]</f>
        <v>46218</v>
      </c>
      <c r="E345" s="830"/>
      <c r="F345" s="831" t="s">
        <v>448</v>
      </c>
      <c r="G345" s="832" t="s">
        <v>216</v>
      </c>
      <c r="H345" s="852">
        <v>46218</v>
      </c>
      <c r="I345" s="834">
        <f t="shared" si="131"/>
        <v>30000</v>
      </c>
      <c r="J345" s="835">
        <f t="shared" si="132"/>
        <v>578.51239669421489</v>
      </c>
      <c r="K345" s="836">
        <f t="shared" si="129"/>
        <v>17355371.900826447</v>
      </c>
      <c r="L34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3644628.0991735538</v>
      </c>
      <c r="M345" s="837">
        <f t="shared" si="120"/>
        <v>21000000</v>
      </c>
      <c r="N345" s="838">
        <v>0</v>
      </c>
      <c r="O345" s="838">
        <v>0</v>
      </c>
      <c r="P345" s="838">
        <v>0</v>
      </c>
      <c r="Q345" s="839">
        <f>+Tabla1[[#This Row],[VENTA TOTAL $ (IVA INC) ]]-Tabla1[[#This Row],[PENDIENTE DE COBRO]]</f>
        <v>21000000</v>
      </c>
      <c r="R345" s="840">
        <f>+Tabla1[[#This Row],[FECHA FC]]+Tabla1[[#This Row],[PLAZO ENTREGA VALORES]]</f>
        <v>46156</v>
      </c>
      <c r="S345" s="840">
        <f>+Tabla1[[#This Row],[FECHA FC]]+Tabla1[[#This Row],[PLAZO PAGO (DIAS)]]</f>
        <v>46218</v>
      </c>
      <c r="T345" s="834">
        <f t="shared" ca="1" si="130"/>
        <v>37</v>
      </c>
      <c r="U345" s="831">
        <f>+Tabla1[[#This Row],[FECHA OC]]-Tabla1[[#This Row],[FECHA Entrega]]</f>
        <v>-62</v>
      </c>
      <c r="V345" s="831"/>
      <c r="W345" s="841">
        <f>+Tabla1[[#This Row],[FECHA VTO VALORES]]+7</f>
        <v>46225</v>
      </c>
      <c r="X345" s="831" t="s">
        <v>487</v>
      </c>
      <c r="Y345" s="840">
        <v>46156</v>
      </c>
      <c r="Z345" s="860">
        <f>Tabla1[[#This Row],[KGS]]/50</f>
        <v>600</v>
      </c>
      <c r="AA345"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35000</v>
      </c>
      <c r="AB345" s="844">
        <f>-Tabla1[[#This Row],[COSTO FLETE $ POR BOLSA 5O KG (SIN IVA)]]*1.21-Tabla1[[#This Row],[PRECIO $/ KG A PLAZO EN CLIENTE ( SIN IVA)]]*0.003*1.21*50</f>
        <v>0.26999999999999602</v>
      </c>
      <c r="AC345" s="845">
        <f>SUM(Tabla1[[#This Row],[PRECIO $ BOLSA 50 KG (IVA INC) ]]+Tabla1[[#This Row],[COSTO FLETE $ BOLSA 50 KG (IVA INC)]])</f>
        <v>35000.269999999997</v>
      </c>
      <c r="AD345" s="844">
        <f>-Tabla1[[#This Row],[PRECIO $ BOLSA 50 KG (IVA INC) ]]*(Tabla1[[#This Row],[TASA FINANCIACION MENSUAL]]/365)*Tabla1[[#This Row],[PLAZO ENTREGA VALORES]]</f>
        <v>172.41095890410958</v>
      </c>
      <c r="AE345" s="845">
        <f>SUM(Tabla1[[#This Row],[PRECIO $ BOLSA50 KG  FOB TUCUMAN A PLAZO (IVA INC)]]+Tabla1[[#This Row],[GASTOS FINANCIEROS $ BOLSA 50 KG (IVA INC)]])</f>
        <v>35172.680958904108</v>
      </c>
      <c r="AF345" s="828" t="s">
        <v>359</v>
      </c>
      <c r="AG345" s="828" t="s">
        <v>365</v>
      </c>
      <c r="AH345" s="828" t="s">
        <v>387</v>
      </c>
      <c r="AI345" s="828" t="s">
        <v>391</v>
      </c>
      <c r="AJ34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37097</v>
      </c>
      <c r="AK345" s="846">
        <f>SUM(Tabla1[[#This Row],[PRECIO $ BOLSA 50KG  FOB CDO TUC (IVA INC)]]-Tabla1[[#This Row],[PRECIO REF $ BOLSA 50 KG CACTU (IVA INC)]])</f>
        <v>-1924.3190410958923</v>
      </c>
      <c r="AL345" s="847">
        <f>IFERROR(Tabla1[[#This Row],[PRECIO $ BOLSA 50KG  FOB CDO TUC (IVA INC)]]/Tabla1[[#This Row],[PRECIO REF $ BOLSA 50 KG CACTU (IVA INC)]]-1,"")</f>
        <v>-5.1872632317866429E-2</v>
      </c>
      <c r="AM345" s="846">
        <f>+Tabla1[[#This Row],[DIF $ PRECIO NETO INDUSTRIA vs Neto TUCUMAN (IVA INC)]]*Tabla1[[#This Row],[Q Bolsas Equivalentes 50kg]]</f>
        <v>-1154591.4246575353</v>
      </c>
      <c r="AN345" s="846">
        <f>Tabla1[[#This Row],[PRECIO REF $ BOLSA 50 KG CACTU (IVA INC)]]*Tabla1[[#This Row],[Q Bolsas Equivalentes 50kg]]</f>
        <v>22258200</v>
      </c>
      <c r="AO345" s="846">
        <f>+Tabla1[[#This Row],[PRECIO $ BOLSA 50KG  FOB CDO TUC (IVA INC)]]*Tabla1[[#This Row],[Q Bolsas Equivalentes 50kg]]</f>
        <v>21103608.575342465</v>
      </c>
      <c r="AP345" s="847">
        <v>2.9000000000000001E-2</v>
      </c>
      <c r="AQ345" s="846">
        <v>-87</v>
      </c>
      <c r="AR345" s="828">
        <v>0</v>
      </c>
      <c r="AS345" s="849"/>
      <c r="AT345" s="923">
        <f>+Tabla1[[#This Row],[VENTA TOTAL $ (IVA INC) ]]-(SUM(Tabla1[[#This Row],[PENDIENTE DE ENTREGA]:[VALORES COBRADOS]]))</f>
        <v>0</v>
      </c>
      <c r="AU345" s="850">
        <f>VLOOKUP(Tabla1[[#This Row],[FECHA OC]],'TIPO DE CAMBIO'!A:B,2,TRUE)</f>
        <v>1393.2321999999999</v>
      </c>
      <c r="AV345" s="850">
        <f>+Tabla1[[#This Row],[SUBTOTAL]]/Tabla1[[#This Row],[TIPO DE CAMBIO]]</f>
        <v>12456.91271047744</v>
      </c>
      <c r="AW345" s="851"/>
      <c r="AX345" s="850">
        <f>IFERROR(Tabla1[[#This Row],[VENTA TOTAL USD A PLAZO EN CLIENTE  (SIN IVA)]]*(1+Tabla1[[#This Row],[% IVA ]]),"")</f>
        <v>12456.91271047744</v>
      </c>
      <c r="AY345" s="850">
        <f>+Tabla1[[#This Row],[VENTA TOTAL USD A PLAZO EN CLIENTE  (SIN IVA)]]/Tabla1[[#This Row],[KGS]]*1000</f>
        <v>415.23042368258132</v>
      </c>
      <c r="AZ345" s="850">
        <f>-Tabla1[[#This Row],[COSTO FLETE $ POR BOLSA 5O KG (SIN IVA)]]*20/Tabla1[[#This Row],[TIPO DE CAMBIO]]</f>
        <v>1.2488944771732953</v>
      </c>
      <c r="BA345" s="850">
        <f>+Tabla1[[#This Row],[GASTOS FINANCIEROS $ BOLSA 50 KG (IVA INC)]]*20/Tabla1[[#This Row],[TIPO DE CAMBIO]]</f>
        <v>2.4749780963160282</v>
      </c>
      <c r="BB345" s="850">
        <f>+Tabla1[[#This Row],[PRECIO POR TN USD EN CLIENTE A PLAZO (SIN IVA)]]+Tabla1[[#This Row],[COSTO USD FLETE /TN (SIN IVA)]]+Tabla1[[#This Row],[COSTO FINANCIERO USD POR BOLSA 50KG (IVA INC)]]</f>
        <v>418.95429625607062</v>
      </c>
      <c r="BC345" s="828">
        <v>4</v>
      </c>
      <c r="BD345" s="944" t="s">
        <v>485</v>
      </c>
    </row>
    <row r="346" spans="1:56" ht="15.75" customHeight="1">
      <c r="A346" s="912">
        <v>46204</v>
      </c>
      <c r="B346" s="828">
        <v>1</v>
      </c>
      <c r="C346" s="792" t="s">
        <v>471</v>
      </c>
      <c r="D346" s="829">
        <f>+Tabla1[[#This Row],[FECHA Entrega]]</f>
        <v>46204</v>
      </c>
      <c r="E346" s="830">
        <v>2843</v>
      </c>
      <c r="F346" s="831" t="s">
        <v>448</v>
      </c>
      <c r="G346" s="832" t="s">
        <v>216</v>
      </c>
      <c r="H346" s="852">
        <v>46204</v>
      </c>
      <c r="I346" s="834">
        <f t="shared" ref="I346:I361" si="133">800*50</f>
        <v>40000</v>
      </c>
      <c r="J346" s="835">
        <f t="shared" ref="J346:J361" si="134">600/1.21</f>
        <v>495.86776859504135</v>
      </c>
      <c r="K346" s="836">
        <f t="shared" si="129"/>
        <v>19834710.743801653</v>
      </c>
      <c r="L34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46" s="837">
        <f t="shared" si="120"/>
        <v>24000000</v>
      </c>
      <c r="N346" s="838">
        <v>0</v>
      </c>
      <c r="O346" s="838">
        <v>0</v>
      </c>
      <c r="P346" s="838">
        <v>0</v>
      </c>
      <c r="Q346" s="839">
        <f>+Tabla1[[#This Row],[VENTA TOTAL $ (IVA INC) ]]-Tabla1[[#This Row],[PENDIENTE DE COBRO]]</f>
        <v>24000000</v>
      </c>
      <c r="R346" s="840">
        <f>+Tabla1[[#This Row],[FECHA FC]]+Tabla1[[#This Row],[PLAZO ENTREGA VALORES]]</f>
        <v>46126</v>
      </c>
      <c r="S346" s="840">
        <f>+Tabla1[[#This Row],[FECHA FC]]+Tabla1[[#This Row],[PLAZO PAGO (DIAS)]]</f>
        <v>46204</v>
      </c>
      <c r="T346" s="834">
        <f t="shared" ca="1" si="130"/>
        <v>23</v>
      </c>
      <c r="U346" s="831">
        <f>+Tabla1[[#This Row],[FECHA OC]]-Tabla1[[#This Row],[FECHA Entrega]]</f>
        <v>-78</v>
      </c>
      <c r="V346" s="831"/>
      <c r="W346" s="841">
        <f>+Tabla1[[#This Row],[FECHA VTO VALORES]]+7</f>
        <v>46211</v>
      </c>
      <c r="X346" s="831">
        <v>2381</v>
      </c>
      <c r="Y346" s="840">
        <v>46126</v>
      </c>
      <c r="Z346" s="860">
        <f>Tabla1[[#This Row],[KGS]]/50</f>
        <v>800</v>
      </c>
      <c r="AA346"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46" s="844">
        <f>-Tabla1[[#This Row],[COSTO FLETE $ POR BOLSA 5O KG (SIN IVA)]]*1.21-Tabla1[[#This Row],[PRECIO $/ KG A PLAZO EN CLIENTE ( SIN IVA)]]*0.003*1.21*50</f>
        <v>0.14499999999999602</v>
      </c>
      <c r="AC346" s="845">
        <f>SUM(Tabla1[[#This Row],[PRECIO $ BOLSA 50 KG (IVA INC) ]]+Tabla1[[#This Row],[COSTO FLETE $ BOLSA 50 KG (IVA INC)]])</f>
        <v>30000.145</v>
      </c>
      <c r="AD346" s="844">
        <f>-Tabla1[[#This Row],[PRECIO $ BOLSA 50 KG (IVA INC) ]]*(Tabla1[[#This Row],[TASA FINANCIACION MENSUAL]]/365)*Tabla1[[#This Row],[PLAZO ENTREGA VALORES]]</f>
        <v>185.91780821917808</v>
      </c>
      <c r="AE346" s="845">
        <f>SUM(Tabla1[[#This Row],[PRECIO $ BOLSA50 KG  FOB TUCUMAN A PLAZO (IVA INC)]]+Tabla1[[#This Row],[GASTOS FINANCIEROS $ BOLSA 50 KG (IVA INC)]])</f>
        <v>30186.06280821918</v>
      </c>
      <c r="AF346" s="828" t="s">
        <v>359</v>
      </c>
      <c r="AG346" s="828" t="s">
        <v>365</v>
      </c>
      <c r="AH346" s="828" t="s">
        <v>387</v>
      </c>
      <c r="AI346" s="828" t="s">
        <v>391</v>
      </c>
      <c r="AJ34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346" s="846">
        <f>SUM(Tabla1[[#This Row],[PRECIO $ BOLSA 50KG  FOB CDO TUC (IVA INC)]]-Tabla1[[#This Row],[PRECIO REF $ BOLSA 50 KG CACTU (IVA INC)]])</f>
        <v>-5168.9371917808203</v>
      </c>
      <c r="AL346" s="847">
        <f>IFERROR(Tabla1[[#This Row],[PRECIO $ BOLSA 50KG  FOB CDO TUC (IVA INC)]]/Tabla1[[#This Row],[PRECIO REF $ BOLSA 50 KG CACTU (IVA INC)]]-1,"")</f>
        <v>-0.14620102366796273</v>
      </c>
      <c r="AM346" s="846">
        <f>+Tabla1[[#This Row],[DIF $ PRECIO NETO INDUSTRIA vs Neto TUCUMAN (IVA INC)]]*Tabla1[[#This Row],[Q Bolsas Equivalentes 50kg]]</f>
        <v>-4135149.7534246561</v>
      </c>
      <c r="AN346" s="846">
        <f>Tabla1[[#This Row],[PRECIO REF $ BOLSA 50 KG CACTU (IVA INC)]]*Tabla1[[#This Row],[Q Bolsas Equivalentes 50kg]]</f>
        <v>28284000</v>
      </c>
      <c r="AO346" s="846">
        <f>+Tabla1[[#This Row],[PRECIO $ BOLSA 50KG  FOB CDO TUC (IVA INC)]]*Tabla1[[#This Row],[Q Bolsas Equivalentes 50kg]]</f>
        <v>24148850.246575344</v>
      </c>
      <c r="AP346" s="847">
        <v>2.9000000000000001E-2</v>
      </c>
      <c r="AQ346" s="846">
        <v>-74.5</v>
      </c>
      <c r="AR346" s="828"/>
      <c r="AS346" s="849"/>
      <c r="AT346" s="923">
        <f>+Tabla1[[#This Row],[VENTA TOTAL $ (IVA INC) ]]-(SUM(Tabla1[[#This Row],[PENDIENTE DE ENTREGA]:[VALORES COBRADOS]]))</f>
        <v>0</v>
      </c>
      <c r="AU346" s="850">
        <f>VLOOKUP(Tabla1[[#This Row],[FECHA OC]],'TIPO DE CAMBIO'!A:B,2,TRUE)</f>
        <v>1358.5219999999999</v>
      </c>
      <c r="AV346" s="850">
        <f>+Tabla1[[#This Row],[SUBTOTAL]]/Tabla1[[#This Row],[TIPO DE CAMBIO]]</f>
        <v>14600.213131477925</v>
      </c>
      <c r="AW346" s="851"/>
      <c r="AX346" s="850">
        <f>IFERROR(Tabla1[[#This Row],[VENTA TOTAL USD A PLAZO EN CLIENTE  (SIN IVA)]]*(1+Tabla1[[#This Row],[% IVA ]]),"")</f>
        <v>14600.213131477925</v>
      </c>
      <c r="AY346" s="850">
        <f>+Tabla1[[#This Row],[VENTA TOTAL USD A PLAZO EN CLIENTE  (SIN IVA)]]/Tabla1[[#This Row],[KGS]]*1000</f>
        <v>365.00532828694816</v>
      </c>
      <c r="AZ346" s="850">
        <f>-Tabla1[[#This Row],[COSTO FLETE $ POR BOLSA 5O KG (SIN IVA)]]*20/Tabla1[[#This Row],[TIPO DE CAMBIO]]</f>
        <v>1.096780177280898</v>
      </c>
      <c r="BA346" s="850">
        <f>+Tabla1[[#This Row],[GASTOS FINANCIEROS $ BOLSA 50 KG (IVA INC)]]*20/Tabla1[[#This Row],[TIPO DE CAMBIO]]</f>
        <v>2.7370599551450487</v>
      </c>
      <c r="BB346" s="850">
        <f>+Tabla1[[#This Row],[PRECIO POR TN USD EN CLIENTE A PLAZO (SIN IVA)]]+Tabla1[[#This Row],[COSTO USD FLETE /TN (SIN IVA)]]+Tabla1[[#This Row],[COSTO FINANCIERO USD POR BOLSA 50KG (IVA INC)]]</f>
        <v>368.83916841937412</v>
      </c>
      <c r="BC346" s="828">
        <v>4</v>
      </c>
      <c r="BD346" s="944" t="s">
        <v>485</v>
      </c>
    </row>
    <row r="347" spans="1:56" ht="15.75" customHeight="1">
      <c r="A347" s="912">
        <v>46204</v>
      </c>
      <c r="B347" s="828">
        <v>1</v>
      </c>
      <c r="C347" s="792" t="s">
        <v>471</v>
      </c>
      <c r="D347" s="829">
        <f>+Tabla1[[#This Row],[FECHA Entrega]]</f>
        <v>46204</v>
      </c>
      <c r="E347" s="830">
        <v>2843</v>
      </c>
      <c r="F347" s="831" t="s">
        <v>448</v>
      </c>
      <c r="G347" s="832" t="s">
        <v>216</v>
      </c>
      <c r="H347" s="852">
        <v>46204</v>
      </c>
      <c r="I347" s="834">
        <f t="shared" si="133"/>
        <v>40000</v>
      </c>
      <c r="J347" s="835">
        <f t="shared" si="134"/>
        <v>495.86776859504135</v>
      </c>
      <c r="K347" s="836">
        <f t="shared" si="129"/>
        <v>19834710.743801653</v>
      </c>
      <c r="L34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47" s="837">
        <f t="shared" si="120"/>
        <v>24000000</v>
      </c>
      <c r="N347" s="838">
        <v>0</v>
      </c>
      <c r="O347" s="838">
        <v>0</v>
      </c>
      <c r="P347" s="838">
        <v>0</v>
      </c>
      <c r="Q347" s="839">
        <f>+Tabla1[[#This Row],[VENTA TOTAL $ (IVA INC) ]]-Tabla1[[#This Row],[PENDIENTE DE COBRO]]</f>
        <v>24000000</v>
      </c>
      <c r="R347" s="840">
        <f>+Tabla1[[#This Row],[FECHA FC]]+Tabla1[[#This Row],[PLAZO ENTREGA VALORES]]</f>
        <v>46126</v>
      </c>
      <c r="S347" s="840">
        <f>+Tabla1[[#This Row],[FECHA FC]]+Tabla1[[#This Row],[PLAZO PAGO (DIAS)]]</f>
        <v>46204</v>
      </c>
      <c r="T347" s="834">
        <f t="shared" ca="1" si="130"/>
        <v>23</v>
      </c>
      <c r="U347" s="831">
        <f>+Tabla1[[#This Row],[FECHA OC]]-Tabla1[[#This Row],[FECHA Entrega]]</f>
        <v>-78</v>
      </c>
      <c r="V347" s="831"/>
      <c r="W347" s="841">
        <f>+Tabla1[[#This Row],[FECHA VTO VALORES]]+7</f>
        <v>46211</v>
      </c>
      <c r="X347" s="831">
        <v>2381</v>
      </c>
      <c r="Y347" s="840">
        <v>46126</v>
      </c>
      <c r="Z347" s="860">
        <f>Tabla1[[#This Row],[KGS]]/50</f>
        <v>800</v>
      </c>
      <c r="AA347"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47" s="844">
        <f>-Tabla1[[#This Row],[COSTO FLETE $ POR BOLSA 5O KG (SIN IVA)]]*1.21-Tabla1[[#This Row],[PRECIO $/ KG A PLAZO EN CLIENTE ( SIN IVA)]]*0.003*1.21*50</f>
        <v>0.14499999999999602</v>
      </c>
      <c r="AC347" s="845">
        <f>SUM(Tabla1[[#This Row],[PRECIO $ BOLSA 50 KG (IVA INC) ]]+Tabla1[[#This Row],[COSTO FLETE $ BOLSA 50 KG (IVA INC)]])</f>
        <v>30000.145</v>
      </c>
      <c r="AD347" s="844">
        <f>-Tabla1[[#This Row],[PRECIO $ BOLSA 50 KG (IVA INC) ]]*(Tabla1[[#This Row],[TASA FINANCIACION MENSUAL]]/365)*Tabla1[[#This Row],[PLAZO ENTREGA VALORES]]</f>
        <v>185.91780821917808</v>
      </c>
      <c r="AE347" s="845">
        <f>SUM(Tabla1[[#This Row],[PRECIO $ BOLSA50 KG  FOB TUCUMAN A PLAZO (IVA INC)]]+Tabla1[[#This Row],[GASTOS FINANCIEROS $ BOLSA 50 KG (IVA INC)]])</f>
        <v>30186.06280821918</v>
      </c>
      <c r="AF347" s="828" t="s">
        <v>359</v>
      </c>
      <c r="AG347" s="828" t="s">
        <v>365</v>
      </c>
      <c r="AH347" s="828" t="s">
        <v>387</v>
      </c>
      <c r="AI347" s="828" t="s">
        <v>391</v>
      </c>
      <c r="AJ34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347" s="846">
        <f>SUM(Tabla1[[#This Row],[PRECIO $ BOLSA 50KG  FOB CDO TUC (IVA INC)]]-Tabla1[[#This Row],[PRECIO REF $ BOLSA 50 KG CACTU (IVA INC)]])</f>
        <v>-5168.9371917808203</v>
      </c>
      <c r="AL347" s="847">
        <f>IFERROR(Tabla1[[#This Row],[PRECIO $ BOLSA 50KG  FOB CDO TUC (IVA INC)]]/Tabla1[[#This Row],[PRECIO REF $ BOLSA 50 KG CACTU (IVA INC)]]-1,"")</f>
        <v>-0.14620102366796273</v>
      </c>
      <c r="AM347" s="846">
        <f>+Tabla1[[#This Row],[DIF $ PRECIO NETO INDUSTRIA vs Neto TUCUMAN (IVA INC)]]*Tabla1[[#This Row],[Q Bolsas Equivalentes 50kg]]</f>
        <v>-4135149.7534246561</v>
      </c>
      <c r="AN347" s="846">
        <f>Tabla1[[#This Row],[PRECIO REF $ BOLSA 50 KG CACTU (IVA INC)]]*Tabla1[[#This Row],[Q Bolsas Equivalentes 50kg]]</f>
        <v>28284000</v>
      </c>
      <c r="AO347" s="846">
        <f>+Tabla1[[#This Row],[PRECIO $ BOLSA 50KG  FOB CDO TUC (IVA INC)]]*Tabla1[[#This Row],[Q Bolsas Equivalentes 50kg]]</f>
        <v>24148850.246575344</v>
      </c>
      <c r="AP347" s="847">
        <v>2.9000000000000001E-2</v>
      </c>
      <c r="AQ347" s="846">
        <v>-74.5</v>
      </c>
      <c r="AR347" s="828"/>
      <c r="AS347" s="849"/>
      <c r="AT347" s="923">
        <f>+Tabla1[[#This Row],[VENTA TOTAL $ (IVA INC) ]]-(SUM(Tabla1[[#This Row],[PENDIENTE DE ENTREGA]:[VALORES COBRADOS]]))</f>
        <v>0</v>
      </c>
      <c r="AU347" s="850">
        <f>VLOOKUP(Tabla1[[#This Row],[FECHA OC]],'TIPO DE CAMBIO'!A:B,2,TRUE)</f>
        <v>1358.5219999999999</v>
      </c>
      <c r="AV347" s="850">
        <f>+Tabla1[[#This Row],[SUBTOTAL]]/Tabla1[[#This Row],[TIPO DE CAMBIO]]</f>
        <v>14600.213131477925</v>
      </c>
      <c r="AW347" s="851"/>
      <c r="AX347" s="850">
        <f>IFERROR(Tabla1[[#This Row],[VENTA TOTAL USD A PLAZO EN CLIENTE  (SIN IVA)]]*(1+Tabla1[[#This Row],[% IVA ]]),"")</f>
        <v>14600.213131477925</v>
      </c>
      <c r="AY347" s="850">
        <f>+Tabla1[[#This Row],[VENTA TOTAL USD A PLAZO EN CLIENTE  (SIN IVA)]]/Tabla1[[#This Row],[KGS]]*1000</f>
        <v>365.00532828694816</v>
      </c>
      <c r="AZ347" s="850">
        <f>-Tabla1[[#This Row],[COSTO FLETE $ POR BOLSA 5O KG (SIN IVA)]]*20/Tabla1[[#This Row],[TIPO DE CAMBIO]]</f>
        <v>1.096780177280898</v>
      </c>
      <c r="BA347" s="850">
        <f>+Tabla1[[#This Row],[GASTOS FINANCIEROS $ BOLSA 50 KG (IVA INC)]]*20/Tabla1[[#This Row],[TIPO DE CAMBIO]]</f>
        <v>2.7370599551450487</v>
      </c>
      <c r="BB347" s="850">
        <f>+Tabla1[[#This Row],[PRECIO POR TN USD EN CLIENTE A PLAZO (SIN IVA)]]+Tabla1[[#This Row],[COSTO USD FLETE /TN (SIN IVA)]]+Tabla1[[#This Row],[COSTO FINANCIERO USD POR BOLSA 50KG (IVA INC)]]</f>
        <v>368.83916841937412</v>
      </c>
      <c r="BC347" s="828">
        <v>4</v>
      </c>
      <c r="BD347" s="944" t="s">
        <v>485</v>
      </c>
    </row>
    <row r="348" spans="1:56" ht="15.75" customHeight="1">
      <c r="A348" s="912">
        <v>46204</v>
      </c>
      <c r="B348" s="828">
        <v>1</v>
      </c>
      <c r="C348" s="792" t="s">
        <v>471</v>
      </c>
      <c r="D348" s="829">
        <f>+Tabla1[[#This Row],[FECHA Entrega]]</f>
        <v>46205</v>
      </c>
      <c r="E348" s="830">
        <v>2843</v>
      </c>
      <c r="F348" s="831" t="s">
        <v>448</v>
      </c>
      <c r="G348" s="832" t="s">
        <v>216</v>
      </c>
      <c r="H348" s="852">
        <v>46205</v>
      </c>
      <c r="I348" s="834">
        <f t="shared" si="133"/>
        <v>40000</v>
      </c>
      <c r="J348" s="835">
        <f t="shared" si="134"/>
        <v>495.86776859504135</v>
      </c>
      <c r="K348" s="836">
        <f t="shared" si="129"/>
        <v>19834710.743801653</v>
      </c>
      <c r="L34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48" s="837">
        <f t="shared" si="120"/>
        <v>24000000</v>
      </c>
      <c r="N348" s="838">
        <v>0</v>
      </c>
      <c r="O348" s="838">
        <v>0</v>
      </c>
      <c r="P348" s="838">
        <v>0</v>
      </c>
      <c r="Q348" s="839">
        <f>+Tabla1[[#This Row],[VENTA TOTAL $ (IVA INC) ]]-Tabla1[[#This Row],[PENDIENTE DE COBRO]]</f>
        <v>24000000</v>
      </c>
      <c r="R348" s="840">
        <f>+Tabla1[[#This Row],[FECHA FC]]+Tabla1[[#This Row],[PLAZO ENTREGA VALORES]]</f>
        <v>46126</v>
      </c>
      <c r="S348" s="840">
        <f>+Tabla1[[#This Row],[FECHA FC]]+Tabla1[[#This Row],[PLAZO PAGO (DIAS)]]</f>
        <v>46205</v>
      </c>
      <c r="T348" s="834">
        <f t="shared" ca="1" si="130"/>
        <v>24</v>
      </c>
      <c r="U348" s="831">
        <f>+Tabla1[[#This Row],[FECHA OC]]-Tabla1[[#This Row],[FECHA Entrega]]</f>
        <v>-79</v>
      </c>
      <c r="V348" s="831"/>
      <c r="W348" s="841">
        <f>+Tabla1[[#This Row],[FECHA VTO VALORES]]+7</f>
        <v>46212</v>
      </c>
      <c r="X348" s="831">
        <v>2381</v>
      </c>
      <c r="Y348" s="840">
        <v>46126</v>
      </c>
      <c r="Z348" s="860">
        <f>Tabla1[[#This Row],[KGS]]/50</f>
        <v>800</v>
      </c>
      <c r="AA348"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48" s="844">
        <f>-Tabla1[[#This Row],[COSTO FLETE $ POR BOLSA 5O KG (SIN IVA)]]*1.21-Tabla1[[#This Row],[PRECIO $/ KG A PLAZO EN CLIENTE ( SIN IVA)]]*0.003*1.21*50</f>
        <v>0.14499999999999602</v>
      </c>
      <c r="AC348" s="845">
        <f>SUM(Tabla1[[#This Row],[PRECIO $ BOLSA 50 KG (IVA INC) ]]+Tabla1[[#This Row],[COSTO FLETE $ BOLSA 50 KG (IVA INC)]])</f>
        <v>30000.145</v>
      </c>
      <c r="AD348" s="844">
        <f>-Tabla1[[#This Row],[PRECIO $ BOLSA 50 KG (IVA INC) ]]*(Tabla1[[#This Row],[TASA FINANCIACION MENSUAL]]/365)*Tabla1[[#This Row],[PLAZO ENTREGA VALORES]]</f>
        <v>188.30136986301372</v>
      </c>
      <c r="AE348" s="845">
        <f>SUM(Tabla1[[#This Row],[PRECIO $ BOLSA50 KG  FOB TUCUMAN A PLAZO (IVA INC)]]+Tabla1[[#This Row],[GASTOS FINANCIEROS $ BOLSA 50 KG (IVA INC)]])</f>
        <v>30188.446369863013</v>
      </c>
      <c r="AF348" s="828" t="s">
        <v>359</v>
      </c>
      <c r="AG348" s="828" t="s">
        <v>365</v>
      </c>
      <c r="AH348" s="828" t="s">
        <v>387</v>
      </c>
      <c r="AI348" s="828" t="s">
        <v>391</v>
      </c>
      <c r="AJ34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35355</v>
      </c>
      <c r="AK348" s="846">
        <f>SUM(Tabla1[[#This Row],[PRECIO $ BOLSA 50KG  FOB CDO TUC (IVA INC)]]-Tabla1[[#This Row],[PRECIO REF $ BOLSA 50 KG CACTU (IVA INC)]])</f>
        <v>-5166.5536301369866</v>
      </c>
      <c r="AL348" s="847">
        <f>IFERROR(Tabla1[[#This Row],[PRECIO $ BOLSA 50KG  FOB CDO TUC (IVA INC)]]/Tabla1[[#This Row],[PRECIO REF $ BOLSA 50 KG CACTU (IVA INC)]]-1,"")</f>
        <v>-0.14613360571735223</v>
      </c>
      <c r="AM348" s="846">
        <f>+Tabla1[[#This Row],[DIF $ PRECIO NETO INDUSTRIA vs Neto TUCUMAN (IVA INC)]]*Tabla1[[#This Row],[Q Bolsas Equivalentes 50kg]]</f>
        <v>-4133242.9041095893</v>
      </c>
      <c r="AN348" s="846">
        <f>Tabla1[[#This Row],[PRECIO REF $ BOLSA 50 KG CACTU (IVA INC)]]*Tabla1[[#This Row],[Q Bolsas Equivalentes 50kg]]</f>
        <v>28284000</v>
      </c>
      <c r="AO348" s="846">
        <f>+Tabla1[[#This Row],[PRECIO $ BOLSA 50KG  FOB CDO TUC (IVA INC)]]*Tabla1[[#This Row],[Q Bolsas Equivalentes 50kg]]</f>
        <v>24150757.09589041</v>
      </c>
      <c r="AP348" s="847">
        <v>2.9000000000000001E-2</v>
      </c>
      <c r="AQ348" s="846">
        <v>-74.5</v>
      </c>
      <c r="AR348" s="828"/>
      <c r="AS348" s="849"/>
      <c r="AT348" s="923">
        <f>+Tabla1[[#This Row],[VENTA TOTAL $ (IVA INC) ]]-(SUM(Tabla1[[#This Row],[PENDIENTE DE ENTREGA]:[VALORES COBRADOS]]))</f>
        <v>0</v>
      </c>
      <c r="AU348" s="850">
        <f>VLOOKUP(Tabla1[[#This Row],[FECHA OC]],'TIPO DE CAMBIO'!A:B,2,TRUE)</f>
        <v>1358.5219999999999</v>
      </c>
      <c r="AV348" s="850">
        <f>+Tabla1[[#This Row],[SUBTOTAL]]/Tabla1[[#This Row],[TIPO DE CAMBIO]]</f>
        <v>14600.213131477925</v>
      </c>
      <c r="AW348" s="851"/>
      <c r="AX348" s="850">
        <f>IFERROR(Tabla1[[#This Row],[VENTA TOTAL USD A PLAZO EN CLIENTE  (SIN IVA)]]*(1+Tabla1[[#This Row],[% IVA ]]),"")</f>
        <v>14600.213131477925</v>
      </c>
      <c r="AY348" s="850">
        <f>+Tabla1[[#This Row],[VENTA TOTAL USD A PLAZO EN CLIENTE  (SIN IVA)]]/Tabla1[[#This Row],[KGS]]*1000</f>
        <v>365.00532828694816</v>
      </c>
      <c r="AZ348" s="850">
        <f>-Tabla1[[#This Row],[COSTO FLETE $ POR BOLSA 5O KG (SIN IVA)]]*20/Tabla1[[#This Row],[TIPO DE CAMBIO]]</f>
        <v>1.096780177280898</v>
      </c>
      <c r="BA348" s="850">
        <f>+Tabla1[[#This Row],[GASTOS FINANCIEROS $ BOLSA 50 KG (IVA INC)]]*20/Tabla1[[#This Row],[TIPO DE CAMBIO]]</f>
        <v>2.7721504673904982</v>
      </c>
      <c r="BB348" s="850">
        <f>+Tabla1[[#This Row],[PRECIO POR TN USD EN CLIENTE A PLAZO (SIN IVA)]]+Tabla1[[#This Row],[COSTO USD FLETE /TN (SIN IVA)]]+Tabla1[[#This Row],[COSTO FINANCIERO USD POR BOLSA 50KG (IVA INC)]]</f>
        <v>368.87425893161952</v>
      </c>
      <c r="BC348" s="828">
        <v>4</v>
      </c>
      <c r="BD348" s="944" t="s">
        <v>485</v>
      </c>
    </row>
    <row r="349" spans="1:56" ht="15.75" customHeight="1">
      <c r="A349" s="912">
        <v>46204</v>
      </c>
      <c r="B349" s="828">
        <v>1</v>
      </c>
      <c r="C349" s="792" t="s">
        <v>471</v>
      </c>
      <c r="D349" s="829">
        <f>+Tabla1[[#This Row],[FECHA Entrega]]</f>
        <v>46206</v>
      </c>
      <c r="E349" s="830">
        <v>2850</v>
      </c>
      <c r="F349" s="831" t="s">
        <v>448</v>
      </c>
      <c r="G349" s="832" t="s">
        <v>216</v>
      </c>
      <c r="H349" s="852">
        <v>46206</v>
      </c>
      <c r="I349" s="834">
        <f t="shared" si="133"/>
        <v>40000</v>
      </c>
      <c r="J349" s="835">
        <f t="shared" si="134"/>
        <v>495.86776859504135</v>
      </c>
      <c r="K349" s="836">
        <f t="shared" ref="K349:K361" si="135">+J349*I349</f>
        <v>19834710.743801653</v>
      </c>
      <c r="L34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49" s="837">
        <f t="shared" si="120"/>
        <v>24000000</v>
      </c>
      <c r="N349" s="838">
        <v>0</v>
      </c>
      <c r="O349" s="838">
        <v>0</v>
      </c>
      <c r="P349" s="838">
        <v>0</v>
      </c>
      <c r="Q349" s="839">
        <f>+Tabla1[[#This Row],[VENTA TOTAL $ (IVA INC) ]]-Tabla1[[#This Row],[PENDIENTE DE COBRO]]</f>
        <v>24000000</v>
      </c>
      <c r="R349" s="840">
        <f>+Tabla1[[#This Row],[FECHA FC]]+Tabla1[[#This Row],[PLAZO ENTREGA VALORES]]</f>
        <v>46168</v>
      </c>
      <c r="S349" s="840">
        <f>+Tabla1[[#This Row],[FECHA FC]]+Tabla1[[#This Row],[PLAZO PAGO (DIAS)]]</f>
        <v>46206</v>
      </c>
      <c r="T349" s="834">
        <f t="shared" ref="T349:T361" ca="1" si="136">+S349-$U$2</f>
        <v>25</v>
      </c>
      <c r="U349" s="831">
        <v>-38</v>
      </c>
      <c r="V349" s="831"/>
      <c r="W349" s="841">
        <f>+Tabla1[[#This Row],[FECHA VTO VALORES]]+7</f>
        <v>46213</v>
      </c>
      <c r="X349" s="831">
        <v>2399</v>
      </c>
      <c r="Y349" s="840">
        <v>46162</v>
      </c>
      <c r="Z349" s="860">
        <f>Tabla1[[#This Row],[KGS]]/50</f>
        <v>800</v>
      </c>
      <c r="AA349"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49" s="844">
        <f>-Tabla1[[#This Row],[COSTO FLETE $ POR BOLSA 5O KG (SIN IVA)]]*1.21-Tabla1[[#This Row],[PRECIO $/ KG A PLAZO EN CLIENTE ( SIN IVA)]]*0.003*1.21*50</f>
        <v>0.14499999999999602</v>
      </c>
      <c r="AC349" s="845">
        <f>SUM(Tabla1[[#This Row],[PRECIO $ BOLSA 50 KG (IVA INC) ]]+Tabla1[[#This Row],[COSTO FLETE $ BOLSA 50 KG (IVA INC)]])</f>
        <v>30000.145</v>
      </c>
      <c r="AD349" s="844">
        <f>-Tabla1[[#This Row],[PRECIO $ BOLSA 50 KG (IVA INC) ]]*(Tabla1[[#This Row],[TASA FINANCIACION MENSUAL]]/365)*Tabla1[[#This Row],[PLAZO ENTREGA VALORES]]</f>
        <v>90.575342465753437</v>
      </c>
      <c r="AE349" s="845">
        <f>SUM(Tabla1[[#This Row],[PRECIO $ BOLSA50 KG  FOB TUCUMAN A PLAZO (IVA INC)]]+Tabla1[[#This Row],[GASTOS FINANCIEROS $ BOLSA 50 KG (IVA INC)]])</f>
        <v>30090.720342465753</v>
      </c>
      <c r="AF349" s="828" t="s">
        <v>359</v>
      </c>
      <c r="AG349" s="828" t="s">
        <v>365</v>
      </c>
      <c r="AH349" s="828" t="s">
        <v>387</v>
      </c>
      <c r="AI349" s="828" t="s">
        <v>391</v>
      </c>
      <c r="AJ34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37109</v>
      </c>
      <c r="AK349" s="846">
        <f>SUM(Tabla1[[#This Row],[PRECIO $ BOLSA 50KG  FOB CDO TUC (IVA INC)]]-Tabla1[[#This Row],[PRECIO REF $ BOLSA 50 KG CACTU (IVA INC)]])</f>
        <v>-7018.2796575342472</v>
      </c>
      <c r="AL349" s="847">
        <f>IFERROR(Tabla1[[#This Row],[PRECIO $ BOLSA 50KG  FOB CDO TUC (IVA INC)]]/Tabla1[[#This Row],[PRECIO REF $ BOLSA 50 KG CACTU (IVA INC)]]-1,"")</f>
        <v>-0.18912607878235055</v>
      </c>
      <c r="AM349" s="846">
        <f>+Tabla1[[#This Row],[DIF $ PRECIO NETO INDUSTRIA vs Neto TUCUMAN (IVA INC)]]*Tabla1[[#This Row],[Q Bolsas Equivalentes 50kg]]</f>
        <v>-5614623.7260273974</v>
      </c>
      <c r="AN349" s="846">
        <f>Tabla1[[#This Row],[PRECIO REF $ BOLSA 50 KG CACTU (IVA INC)]]*Tabla1[[#This Row],[Q Bolsas Equivalentes 50kg]]</f>
        <v>29687200</v>
      </c>
      <c r="AO349" s="846">
        <f>+Tabla1[[#This Row],[PRECIO $ BOLSA 50KG  FOB CDO TUC (IVA INC)]]*Tabla1[[#This Row],[Q Bolsas Equivalentes 50kg]]</f>
        <v>24072576.273972601</v>
      </c>
      <c r="AP349" s="847">
        <v>2.9000000000000001E-2</v>
      </c>
      <c r="AQ349" s="846">
        <v>-74.5</v>
      </c>
      <c r="AR349" s="828"/>
      <c r="AS349" s="849"/>
      <c r="AT349" s="923">
        <f>+Tabla1[[#This Row],[VENTA TOTAL $ (IVA INC) ]]-(SUM(Tabla1[[#This Row],[PENDIENTE DE ENTREGA]:[VALORES COBRADOS]]))</f>
        <v>0</v>
      </c>
      <c r="AU349" s="850">
        <f>VLOOKUP(Tabla1[[#This Row],[FECHA OC]],'TIPO DE CAMBIO'!A:B,2,TRUE)</f>
        <v>1398.8345999999999</v>
      </c>
      <c r="AV349" s="850">
        <f>+Tabla1[[#This Row],[SUBTOTAL]]/Tabla1[[#This Row],[TIPO DE CAMBIO]]</f>
        <v>14179.453913852041</v>
      </c>
      <c r="AW349" s="851"/>
      <c r="AX349" s="850">
        <f>IFERROR(Tabla1[[#This Row],[VENTA TOTAL USD A PLAZO EN CLIENTE  (SIN IVA)]]*(1+Tabla1[[#This Row],[% IVA ]]),"")</f>
        <v>14179.453913852041</v>
      </c>
      <c r="AY349" s="850">
        <f>+Tabla1[[#This Row],[VENTA TOTAL USD A PLAZO EN CLIENTE  (SIN IVA)]]/Tabla1[[#This Row],[KGS]]*1000</f>
        <v>354.48634784630099</v>
      </c>
      <c r="AZ349" s="850">
        <f>-Tabla1[[#This Row],[COSTO FLETE $ POR BOLSA 5O KG (SIN IVA)]]*20/Tabla1[[#This Row],[TIPO DE CAMBIO]]</f>
        <v>1.0651723942201603</v>
      </c>
      <c r="BA349" s="850">
        <f>+Tabla1[[#This Row],[GASTOS FINANCIEROS $ BOLSA 50 KG (IVA INC)]]*20/Tabla1[[#This Row],[TIPO DE CAMBIO]]</f>
        <v>1.2950114683430543</v>
      </c>
      <c r="BB349" s="850">
        <f>+Tabla1[[#This Row],[PRECIO POR TN USD EN CLIENTE A PLAZO (SIN IVA)]]+Tabla1[[#This Row],[COSTO USD FLETE /TN (SIN IVA)]]+Tabla1[[#This Row],[COSTO FINANCIERO USD POR BOLSA 50KG (IVA INC)]]</f>
        <v>356.84653170886418</v>
      </c>
      <c r="BC349" s="828">
        <v>4</v>
      </c>
      <c r="BD349" s="944" t="s">
        <v>485</v>
      </c>
    </row>
    <row r="350" spans="1:56" ht="15.75" customHeight="1">
      <c r="A350" s="912">
        <v>46204</v>
      </c>
      <c r="B350" s="828">
        <v>1</v>
      </c>
      <c r="C350" s="792" t="s">
        <v>471</v>
      </c>
      <c r="D350" s="829">
        <f>+Tabla1[[#This Row],[FECHA Entrega]]</f>
        <v>46207</v>
      </c>
      <c r="E350" s="830">
        <v>2850</v>
      </c>
      <c r="F350" s="831" t="s">
        <v>448</v>
      </c>
      <c r="G350" s="832" t="s">
        <v>216</v>
      </c>
      <c r="H350" s="852">
        <v>46207</v>
      </c>
      <c r="I350" s="834">
        <f t="shared" si="133"/>
        <v>40000</v>
      </c>
      <c r="J350" s="835">
        <f t="shared" si="134"/>
        <v>495.86776859504135</v>
      </c>
      <c r="K350" s="836">
        <f t="shared" si="135"/>
        <v>19834710.743801653</v>
      </c>
      <c r="L35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50" s="837">
        <f t="shared" si="120"/>
        <v>24000000</v>
      </c>
      <c r="N350" s="838">
        <v>0</v>
      </c>
      <c r="O350" s="838">
        <v>0</v>
      </c>
      <c r="P350" s="838">
        <v>0</v>
      </c>
      <c r="Q350" s="839">
        <f>+Tabla1[[#This Row],[VENTA TOTAL $ (IVA INC) ]]-Tabla1[[#This Row],[PENDIENTE DE COBRO]]</f>
        <v>24000000</v>
      </c>
      <c r="R350" s="840">
        <f>+Tabla1[[#This Row],[FECHA FC]]+Tabla1[[#This Row],[PLAZO ENTREGA VALORES]]</f>
        <v>46168</v>
      </c>
      <c r="S350" s="840">
        <f>+Tabla1[[#This Row],[FECHA FC]]+Tabla1[[#This Row],[PLAZO PAGO (DIAS)]]</f>
        <v>46207</v>
      </c>
      <c r="T350" s="834">
        <f t="shared" ca="1" si="136"/>
        <v>26</v>
      </c>
      <c r="U350" s="831">
        <v>-39</v>
      </c>
      <c r="V350" s="831"/>
      <c r="W350" s="841">
        <f>+Tabla1[[#This Row],[FECHA VTO VALORES]]+7</f>
        <v>46214</v>
      </c>
      <c r="X350" s="831">
        <v>2399</v>
      </c>
      <c r="Y350" s="840">
        <v>46162</v>
      </c>
      <c r="Z350" s="860">
        <f>Tabla1[[#This Row],[KGS]]/50</f>
        <v>800</v>
      </c>
      <c r="AA350"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50" s="844">
        <f>-Tabla1[[#This Row],[COSTO FLETE $ POR BOLSA 5O KG (SIN IVA)]]*1.21-Tabla1[[#This Row],[PRECIO $/ KG A PLAZO EN CLIENTE ( SIN IVA)]]*0.003*1.21*50</f>
        <v>0.14499999999999602</v>
      </c>
      <c r="AC350" s="845">
        <f>SUM(Tabla1[[#This Row],[PRECIO $ BOLSA 50 KG (IVA INC) ]]+Tabla1[[#This Row],[COSTO FLETE $ BOLSA 50 KG (IVA INC)]])</f>
        <v>30000.145</v>
      </c>
      <c r="AD350" s="844">
        <f>-Tabla1[[#This Row],[PRECIO $ BOLSA 50 KG (IVA INC) ]]*(Tabla1[[#This Row],[TASA FINANCIACION MENSUAL]]/365)*Tabla1[[#This Row],[PLAZO ENTREGA VALORES]]</f>
        <v>92.958904109589042</v>
      </c>
      <c r="AE350" s="845">
        <f>SUM(Tabla1[[#This Row],[PRECIO $ BOLSA50 KG  FOB TUCUMAN A PLAZO (IVA INC)]]+Tabla1[[#This Row],[GASTOS FINANCIEROS $ BOLSA 50 KG (IVA INC)]])</f>
        <v>30093.10390410959</v>
      </c>
      <c r="AF350" s="828" t="s">
        <v>359</v>
      </c>
      <c r="AG350" s="828" t="s">
        <v>365</v>
      </c>
      <c r="AH350" s="828" t="s">
        <v>387</v>
      </c>
      <c r="AI350" s="828" t="s">
        <v>391</v>
      </c>
      <c r="AJ35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37109</v>
      </c>
      <c r="AK350" s="846">
        <f>SUM(Tabla1[[#This Row],[PRECIO $ BOLSA 50KG  FOB CDO TUC (IVA INC)]]-Tabla1[[#This Row],[PRECIO REF $ BOLSA 50 KG CACTU (IVA INC)]])</f>
        <v>-7015.8960958904099</v>
      </c>
      <c r="AL350" s="847">
        <f>IFERROR(Tabla1[[#This Row],[PRECIO $ BOLSA 50KG  FOB CDO TUC (IVA INC)]]/Tabla1[[#This Row],[PRECIO REF $ BOLSA 50 KG CACTU (IVA INC)]]-1,"")</f>
        <v>-0.18906184741950494</v>
      </c>
      <c r="AM350" s="846">
        <f>+Tabla1[[#This Row],[DIF $ PRECIO NETO INDUSTRIA vs Neto TUCUMAN (IVA INC)]]*Tabla1[[#This Row],[Q Bolsas Equivalentes 50kg]]</f>
        <v>-5612716.8767123278</v>
      </c>
      <c r="AN350" s="846">
        <f>Tabla1[[#This Row],[PRECIO REF $ BOLSA 50 KG CACTU (IVA INC)]]*Tabla1[[#This Row],[Q Bolsas Equivalentes 50kg]]</f>
        <v>29687200</v>
      </c>
      <c r="AO350" s="846">
        <f>+Tabla1[[#This Row],[PRECIO $ BOLSA 50KG  FOB CDO TUC (IVA INC)]]*Tabla1[[#This Row],[Q Bolsas Equivalentes 50kg]]</f>
        <v>24074483.12328767</v>
      </c>
      <c r="AP350" s="847">
        <v>2.9000000000000001E-2</v>
      </c>
      <c r="AQ350" s="846">
        <v>-74.5</v>
      </c>
      <c r="AR350" s="828"/>
      <c r="AS350" s="849"/>
      <c r="AT350" s="923">
        <f>+Tabla1[[#This Row],[VENTA TOTAL $ (IVA INC) ]]-(SUM(Tabla1[[#This Row],[PENDIENTE DE ENTREGA]:[VALORES COBRADOS]]))</f>
        <v>0</v>
      </c>
      <c r="AU350" s="850">
        <f>VLOOKUP(Tabla1[[#This Row],[FECHA OC]],'TIPO DE CAMBIO'!A:B,2,TRUE)</f>
        <v>1398.8345999999999</v>
      </c>
      <c r="AV350" s="850">
        <f>+Tabla1[[#This Row],[SUBTOTAL]]/Tabla1[[#This Row],[TIPO DE CAMBIO]]</f>
        <v>14179.453913852041</v>
      </c>
      <c r="AW350" s="851"/>
      <c r="AX350" s="850">
        <f>IFERROR(Tabla1[[#This Row],[VENTA TOTAL USD A PLAZO EN CLIENTE  (SIN IVA)]]*(1+Tabla1[[#This Row],[% IVA ]]),"")</f>
        <v>14179.453913852041</v>
      </c>
      <c r="AY350" s="850">
        <f>+Tabla1[[#This Row],[VENTA TOTAL USD A PLAZO EN CLIENTE  (SIN IVA)]]/Tabla1[[#This Row],[KGS]]*1000</f>
        <v>354.48634784630099</v>
      </c>
      <c r="AZ350" s="850">
        <f>-Tabla1[[#This Row],[COSTO FLETE $ POR BOLSA 5O KG (SIN IVA)]]*20/Tabla1[[#This Row],[TIPO DE CAMBIO]]</f>
        <v>1.0651723942201603</v>
      </c>
      <c r="BA350" s="850">
        <f>+Tabla1[[#This Row],[GASTOS FINANCIEROS $ BOLSA 50 KG (IVA INC)]]*20/Tabla1[[#This Row],[TIPO DE CAMBIO]]</f>
        <v>1.3290907175099766</v>
      </c>
      <c r="BB350" s="850">
        <f>+Tabla1[[#This Row],[PRECIO POR TN USD EN CLIENTE A PLAZO (SIN IVA)]]+Tabla1[[#This Row],[COSTO USD FLETE /TN (SIN IVA)]]+Tabla1[[#This Row],[COSTO FINANCIERO USD POR BOLSA 50KG (IVA INC)]]</f>
        <v>356.88061095803113</v>
      </c>
      <c r="BC350" s="828">
        <v>4</v>
      </c>
      <c r="BD350" s="944" t="s">
        <v>485</v>
      </c>
    </row>
    <row r="351" spans="1:56" ht="15.75" customHeight="1">
      <c r="A351" s="912">
        <v>46204</v>
      </c>
      <c r="B351" s="828">
        <v>1</v>
      </c>
      <c r="C351" s="792" t="s">
        <v>471</v>
      </c>
      <c r="D351" s="829">
        <f>+Tabla1[[#This Row],[FECHA Entrega]]</f>
        <v>46208</v>
      </c>
      <c r="E351" s="830">
        <v>2850</v>
      </c>
      <c r="F351" s="831" t="s">
        <v>448</v>
      </c>
      <c r="G351" s="832" t="s">
        <v>216</v>
      </c>
      <c r="H351" s="852">
        <v>46208</v>
      </c>
      <c r="I351" s="834">
        <f t="shared" si="133"/>
        <v>40000</v>
      </c>
      <c r="J351" s="835">
        <f t="shared" si="134"/>
        <v>495.86776859504135</v>
      </c>
      <c r="K351" s="836">
        <f t="shared" si="135"/>
        <v>19834710.743801653</v>
      </c>
      <c r="L35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51" s="837">
        <f t="shared" si="120"/>
        <v>24000000</v>
      </c>
      <c r="N351" s="838">
        <v>0</v>
      </c>
      <c r="O351" s="838">
        <v>0</v>
      </c>
      <c r="P351" s="838">
        <v>0</v>
      </c>
      <c r="Q351" s="839">
        <f>+Tabla1[[#This Row],[VENTA TOTAL $ (IVA INC) ]]-Tabla1[[#This Row],[PENDIENTE DE COBRO]]</f>
        <v>24000000</v>
      </c>
      <c r="R351" s="840">
        <f>+Tabla1[[#This Row],[FECHA FC]]+Tabla1[[#This Row],[PLAZO ENTREGA VALORES]]</f>
        <v>46168</v>
      </c>
      <c r="S351" s="840">
        <f>+Tabla1[[#This Row],[FECHA FC]]+Tabla1[[#This Row],[PLAZO PAGO (DIAS)]]</f>
        <v>46208</v>
      </c>
      <c r="T351" s="834">
        <f t="shared" ca="1" si="136"/>
        <v>27</v>
      </c>
      <c r="U351" s="831">
        <v>-40</v>
      </c>
      <c r="V351" s="831"/>
      <c r="W351" s="841">
        <f>+Tabla1[[#This Row],[FECHA VTO VALORES]]+7</f>
        <v>46215</v>
      </c>
      <c r="X351" s="831">
        <v>2399</v>
      </c>
      <c r="Y351" s="840">
        <v>46162</v>
      </c>
      <c r="Z351" s="860">
        <f>Tabla1[[#This Row],[KGS]]/50</f>
        <v>800</v>
      </c>
      <c r="AA351"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51" s="844">
        <f>-Tabla1[[#This Row],[COSTO FLETE $ POR BOLSA 5O KG (SIN IVA)]]*1.21-Tabla1[[#This Row],[PRECIO $/ KG A PLAZO EN CLIENTE ( SIN IVA)]]*0.003*1.21*50</f>
        <v>0.14499999999999602</v>
      </c>
      <c r="AC351" s="845">
        <f>SUM(Tabla1[[#This Row],[PRECIO $ BOLSA 50 KG (IVA INC) ]]+Tabla1[[#This Row],[COSTO FLETE $ BOLSA 50 KG (IVA INC)]])</f>
        <v>30000.145</v>
      </c>
      <c r="AD351" s="844">
        <f>-Tabla1[[#This Row],[PRECIO $ BOLSA 50 KG (IVA INC) ]]*(Tabla1[[#This Row],[TASA FINANCIACION MENSUAL]]/365)*Tabla1[[#This Row],[PLAZO ENTREGA VALORES]]</f>
        <v>95.342465753424662</v>
      </c>
      <c r="AE351" s="845">
        <f>SUM(Tabla1[[#This Row],[PRECIO $ BOLSA50 KG  FOB TUCUMAN A PLAZO (IVA INC)]]+Tabla1[[#This Row],[GASTOS FINANCIEROS $ BOLSA 50 KG (IVA INC)]])</f>
        <v>30095.487465753424</v>
      </c>
      <c r="AF351" s="828" t="s">
        <v>359</v>
      </c>
      <c r="AG351" s="828" t="s">
        <v>365</v>
      </c>
      <c r="AH351" s="828" t="s">
        <v>387</v>
      </c>
      <c r="AI351" s="828" t="s">
        <v>391</v>
      </c>
      <c r="AJ35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37109</v>
      </c>
      <c r="AK351" s="846">
        <f>SUM(Tabla1[[#This Row],[PRECIO $ BOLSA 50KG  FOB CDO TUC (IVA INC)]]-Tabla1[[#This Row],[PRECIO REF $ BOLSA 50 KG CACTU (IVA INC)]])</f>
        <v>-7013.5125342465763</v>
      </c>
      <c r="AL351" s="847">
        <f>IFERROR(Tabla1[[#This Row],[PRECIO $ BOLSA 50KG  FOB CDO TUC (IVA INC)]]/Tabla1[[#This Row],[PRECIO REF $ BOLSA 50 KG CACTU (IVA INC)]]-1,"")</f>
        <v>-0.18899761605665943</v>
      </c>
      <c r="AM351" s="846">
        <f>+Tabla1[[#This Row],[DIF $ PRECIO NETO INDUSTRIA vs Neto TUCUMAN (IVA INC)]]*Tabla1[[#This Row],[Q Bolsas Equivalentes 50kg]]</f>
        <v>-5610810.027397261</v>
      </c>
      <c r="AN351" s="846">
        <f>Tabla1[[#This Row],[PRECIO REF $ BOLSA 50 KG CACTU (IVA INC)]]*Tabla1[[#This Row],[Q Bolsas Equivalentes 50kg]]</f>
        <v>29687200</v>
      </c>
      <c r="AO351" s="846">
        <f>+Tabla1[[#This Row],[PRECIO $ BOLSA 50KG  FOB CDO TUC (IVA INC)]]*Tabla1[[#This Row],[Q Bolsas Equivalentes 50kg]]</f>
        <v>24076389.97260274</v>
      </c>
      <c r="AP351" s="847">
        <v>2.9000000000000001E-2</v>
      </c>
      <c r="AQ351" s="846">
        <v>-74.5</v>
      </c>
      <c r="AR351" s="828"/>
      <c r="AS351" s="849"/>
      <c r="AT351" s="923">
        <f>+Tabla1[[#This Row],[VENTA TOTAL $ (IVA INC) ]]-(SUM(Tabla1[[#This Row],[PENDIENTE DE ENTREGA]:[VALORES COBRADOS]]))</f>
        <v>0</v>
      </c>
      <c r="AU351" s="850">
        <f>VLOOKUP(Tabla1[[#This Row],[FECHA OC]],'TIPO DE CAMBIO'!A:B,2,TRUE)</f>
        <v>1398.8345999999999</v>
      </c>
      <c r="AV351" s="850">
        <f>+Tabla1[[#This Row],[SUBTOTAL]]/Tabla1[[#This Row],[TIPO DE CAMBIO]]</f>
        <v>14179.453913852041</v>
      </c>
      <c r="AW351" s="851"/>
      <c r="AX351" s="850">
        <f>IFERROR(Tabla1[[#This Row],[VENTA TOTAL USD A PLAZO EN CLIENTE  (SIN IVA)]]*(1+Tabla1[[#This Row],[% IVA ]]),"")</f>
        <v>14179.453913852041</v>
      </c>
      <c r="AY351" s="850">
        <f>+Tabla1[[#This Row],[VENTA TOTAL USD A PLAZO EN CLIENTE  (SIN IVA)]]/Tabla1[[#This Row],[KGS]]*1000</f>
        <v>354.48634784630099</v>
      </c>
      <c r="AZ351" s="850">
        <f>-Tabla1[[#This Row],[COSTO FLETE $ POR BOLSA 5O KG (SIN IVA)]]*20/Tabla1[[#This Row],[TIPO DE CAMBIO]]</f>
        <v>1.0651723942201603</v>
      </c>
      <c r="BA351" s="850">
        <f>+Tabla1[[#This Row],[GASTOS FINANCIEROS $ BOLSA 50 KG (IVA INC)]]*20/Tabla1[[#This Row],[TIPO DE CAMBIO]]</f>
        <v>1.363169966676899</v>
      </c>
      <c r="BB351" s="850">
        <f>+Tabla1[[#This Row],[PRECIO POR TN USD EN CLIENTE A PLAZO (SIN IVA)]]+Tabla1[[#This Row],[COSTO USD FLETE /TN (SIN IVA)]]+Tabla1[[#This Row],[COSTO FINANCIERO USD POR BOLSA 50KG (IVA INC)]]</f>
        <v>356.91469020719802</v>
      </c>
      <c r="BC351" s="828">
        <v>4</v>
      </c>
      <c r="BD351" s="944" t="s">
        <v>485</v>
      </c>
    </row>
    <row r="352" spans="1:56" ht="15.75" customHeight="1">
      <c r="A352" s="912">
        <v>46204</v>
      </c>
      <c r="B352" s="828">
        <v>1</v>
      </c>
      <c r="C352" s="792" t="s">
        <v>471</v>
      </c>
      <c r="D352" s="829">
        <f>+Tabla1[[#This Row],[FECHA Entrega]]</f>
        <v>46209</v>
      </c>
      <c r="E352" s="830">
        <v>2850</v>
      </c>
      <c r="F352" s="831" t="s">
        <v>448</v>
      </c>
      <c r="G352" s="832" t="s">
        <v>216</v>
      </c>
      <c r="H352" s="852">
        <v>46209</v>
      </c>
      <c r="I352" s="834">
        <f t="shared" si="133"/>
        <v>40000</v>
      </c>
      <c r="J352" s="835">
        <f t="shared" si="134"/>
        <v>495.86776859504135</v>
      </c>
      <c r="K352" s="836">
        <f t="shared" si="135"/>
        <v>19834710.743801653</v>
      </c>
      <c r="L352"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52" s="837">
        <f t="shared" si="120"/>
        <v>24000000</v>
      </c>
      <c r="N352" s="838">
        <v>0</v>
      </c>
      <c r="O352" s="838">
        <v>0</v>
      </c>
      <c r="P352" s="838">
        <v>0</v>
      </c>
      <c r="Q352" s="839">
        <f>+Tabla1[[#This Row],[VENTA TOTAL $ (IVA INC) ]]-Tabla1[[#This Row],[PENDIENTE DE COBRO]]</f>
        <v>24000000</v>
      </c>
      <c r="R352" s="840">
        <f>+Tabla1[[#This Row],[FECHA FC]]+Tabla1[[#This Row],[PLAZO ENTREGA VALORES]]</f>
        <v>46168</v>
      </c>
      <c r="S352" s="840">
        <f>+Tabla1[[#This Row],[FECHA FC]]+Tabla1[[#This Row],[PLAZO PAGO (DIAS)]]</f>
        <v>46209</v>
      </c>
      <c r="T352" s="834">
        <f t="shared" ca="1" si="136"/>
        <v>28</v>
      </c>
      <c r="U352" s="831">
        <v>-41</v>
      </c>
      <c r="V352" s="831"/>
      <c r="W352" s="841">
        <f>+Tabla1[[#This Row],[FECHA VTO VALORES]]+7</f>
        <v>46216</v>
      </c>
      <c r="X352" s="831">
        <v>2399</v>
      </c>
      <c r="Y352" s="840">
        <v>46162</v>
      </c>
      <c r="Z352" s="860">
        <f>Tabla1[[#This Row],[KGS]]/50</f>
        <v>800</v>
      </c>
      <c r="AA352"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52" s="844">
        <f>-Tabla1[[#This Row],[COSTO FLETE $ POR BOLSA 5O KG (SIN IVA)]]*1.21-Tabla1[[#This Row],[PRECIO $/ KG A PLAZO EN CLIENTE ( SIN IVA)]]*0.003*1.21*50</f>
        <v>0.14499999999999602</v>
      </c>
      <c r="AC352" s="845">
        <f>SUM(Tabla1[[#This Row],[PRECIO $ BOLSA 50 KG (IVA INC) ]]+Tabla1[[#This Row],[COSTO FLETE $ BOLSA 50 KG (IVA INC)]])</f>
        <v>30000.145</v>
      </c>
      <c r="AD352" s="844">
        <f>-Tabla1[[#This Row],[PRECIO $ BOLSA 50 KG (IVA INC) ]]*(Tabla1[[#This Row],[TASA FINANCIACION MENSUAL]]/365)*Tabla1[[#This Row],[PLAZO ENTREGA VALORES]]</f>
        <v>97.726027397260282</v>
      </c>
      <c r="AE352" s="845">
        <f>SUM(Tabla1[[#This Row],[PRECIO $ BOLSA50 KG  FOB TUCUMAN A PLAZO (IVA INC)]]+Tabla1[[#This Row],[GASTOS FINANCIEROS $ BOLSA 50 KG (IVA INC)]])</f>
        <v>30097.871027397261</v>
      </c>
      <c r="AF352" s="828" t="s">
        <v>359</v>
      </c>
      <c r="AG352" s="828" t="s">
        <v>365</v>
      </c>
      <c r="AH352" s="828" t="s">
        <v>387</v>
      </c>
      <c r="AI352" s="828" t="s">
        <v>391</v>
      </c>
      <c r="AJ352"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37109</v>
      </c>
      <c r="AK352" s="846">
        <f>SUM(Tabla1[[#This Row],[PRECIO $ BOLSA 50KG  FOB CDO TUC (IVA INC)]]-Tabla1[[#This Row],[PRECIO REF $ BOLSA 50 KG CACTU (IVA INC)]])</f>
        <v>-7011.1289726027389</v>
      </c>
      <c r="AL352" s="847">
        <f>IFERROR(Tabla1[[#This Row],[PRECIO $ BOLSA 50KG  FOB CDO TUC (IVA INC)]]/Tabla1[[#This Row],[PRECIO REF $ BOLSA 50 KG CACTU (IVA INC)]]-1,"")</f>
        <v>-0.18893338469381382</v>
      </c>
      <c r="AM352" s="846">
        <f>+Tabla1[[#This Row],[DIF $ PRECIO NETO INDUSTRIA vs Neto TUCUMAN (IVA INC)]]*Tabla1[[#This Row],[Q Bolsas Equivalentes 50kg]]</f>
        <v>-5608903.1780821914</v>
      </c>
      <c r="AN352" s="846">
        <f>Tabla1[[#This Row],[PRECIO REF $ BOLSA 50 KG CACTU (IVA INC)]]*Tabla1[[#This Row],[Q Bolsas Equivalentes 50kg]]</f>
        <v>29687200</v>
      </c>
      <c r="AO352" s="846">
        <f>+Tabla1[[#This Row],[PRECIO $ BOLSA 50KG  FOB CDO TUC (IVA INC)]]*Tabla1[[#This Row],[Q Bolsas Equivalentes 50kg]]</f>
        <v>24078296.82191781</v>
      </c>
      <c r="AP352" s="847">
        <v>2.9000000000000001E-2</v>
      </c>
      <c r="AQ352" s="846">
        <v>-74.5</v>
      </c>
      <c r="AR352" s="828"/>
      <c r="AS352" s="849"/>
      <c r="AT352" s="923">
        <f>+Tabla1[[#This Row],[VENTA TOTAL $ (IVA INC) ]]-(SUM(Tabla1[[#This Row],[PENDIENTE DE ENTREGA]:[VALORES COBRADOS]]))</f>
        <v>0</v>
      </c>
      <c r="AU352" s="850">
        <f>VLOOKUP(Tabla1[[#This Row],[FECHA OC]],'TIPO DE CAMBIO'!A:B,2,TRUE)</f>
        <v>1398.8345999999999</v>
      </c>
      <c r="AV352" s="850">
        <f>+Tabla1[[#This Row],[SUBTOTAL]]/Tabla1[[#This Row],[TIPO DE CAMBIO]]</f>
        <v>14179.453913852041</v>
      </c>
      <c r="AW352" s="851"/>
      <c r="AX352" s="850">
        <f>IFERROR(Tabla1[[#This Row],[VENTA TOTAL USD A PLAZO EN CLIENTE  (SIN IVA)]]*(1+Tabla1[[#This Row],[% IVA ]]),"")</f>
        <v>14179.453913852041</v>
      </c>
      <c r="AY352" s="850">
        <f>+Tabla1[[#This Row],[VENTA TOTAL USD A PLAZO EN CLIENTE  (SIN IVA)]]/Tabla1[[#This Row],[KGS]]*1000</f>
        <v>354.48634784630099</v>
      </c>
      <c r="AZ352" s="850">
        <f>-Tabla1[[#This Row],[COSTO FLETE $ POR BOLSA 5O KG (SIN IVA)]]*20/Tabla1[[#This Row],[TIPO DE CAMBIO]]</f>
        <v>1.0651723942201603</v>
      </c>
      <c r="BA352" s="850">
        <f>+Tabla1[[#This Row],[GASTOS FINANCIEROS $ BOLSA 50 KG (IVA INC)]]*20/Tabla1[[#This Row],[TIPO DE CAMBIO]]</f>
        <v>1.3972492158438214</v>
      </c>
      <c r="BB352" s="850">
        <f>+Tabla1[[#This Row],[PRECIO POR TN USD EN CLIENTE A PLAZO (SIN IVA)]]+Tabla1[[#This Row],[COSTO USD FLETE /TN (SIN IVA)]]+Tabla1[[#This Row],[COSTO FINANCIERO USD POR BOLSA 50KG (IVA INC)]]</f>
        <v>356.94876945636497</v>
      </c>
      <c r="BC352" s="828">
        <v>4</v>
      </c>
      <c r="BD352" s="944" t="s">
        <v>485</v>
      </c>
    </row>
    <row r="353" spans="1:56" ht="15.75" customHeight="1">
      <c r="A353" s="912">
        <v>46204</v>
      </c>
      <c r="B353" s="828">
        <v>1</v>
      </c>
      <c r="C353" s="792" t="s">
        <v>471</v>
      </c>
      <c r="D353" s="829">
        <f>+Tabla1[[#This Row],[FECHA Entrega]]</f>
        <v>46211</v>
      </c>
      <c r="E353" s="830">
        <v>2850</v>
      </c>
      <c r="F353" s="831" t="s">
        <v>448</v>
      </c>
      <c r="G353" s="832" t="s">
        <v>216</v>
      </c>
      <c r="H353" s="852">
        <v>46211</v>
      </c>
      <c r="I353" s="834">
        <f t="shared" si="133"/>
        <v>40000</v>
      </c>
      <c r="J353" s="835">
        <f t="shared" si="134"/>
        <v>495.86776859504135</v>
      </c>
      <c r="K353" s="836">
        <f t="shared" si="135"/>
        <v>19834710.743801653</v>
      </c>
      <c r="L353"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53" s="837">
        <f t="shared" ref="M353:M416" si="137">SUM(K353:L353)</f>
        <v>24000000</v>
      </c>
      <c r="N353" s="838">
        <v>0</v>
      </c>
      <c r="O353" s="838">
        <v>0</v>
      </c>
      <c r="P353" s="838">
        <v>0</v>
      </c>
      <c r="Q353" s="839">
        <f>+Tabla1[[#This Row],[VENTA TOTAL $ (IVA INC) ]]-Tabla1[[#This Row],[PENDIENTE DE COBRO]]</f>
        <v>24000000</v>
      </c>
      <c r="R353" s="840">
        <f>+Tabla1[[#This Row],[FECHA FC]]+Tabla1[[#This Row],[PLAZO ENTREGA VALORES]]</f>
        <v>46168</v>
      </c>
      <c r="S353" s="840">
        <f>+Tabla1[[#This Row],[FECHA FC]]+Tabla1[[#This Row],[PLAZO PAGO (DIAS)]]</f>
        <v>46211</v>
      </c>
      <c r="T353" s="834">
        <f t="shared" ca="1" si="136"/>
        <v>30</v>
      </c>
      <c r="U353" s="831">
        <v>-43</v>
      </c>
      <c r="V353" s="831"/>
      <c r="W353" s="841">
        <f>+Tabla1[[#This Row],[FECHA VTO VALORES]]+7</f>
        <v>46218</v>
      </c>
      <c r="X353" s="831">
        <v>2399</v>
      </c>
      <c r="Y353" s="840">
        <v>46162</v>
      </c>
      <c r="Z353" s="860">
        <f>Tabla1[[#This Row],[KGS]]/50</f>
        <v>800</v>
      </c>
      <c r="AA353"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53" s="844">
        <f>-Tabla1[[#This Row],[COSTO FLETE $ POR BOLSA 5O KG (SIN IVA)]]*1.21-Tabla1[[#This Row],[PRECIO $/ KG A PLAZO EN CLIENTE ( SIN IVA)]]*0.003*1.21*50</f>
        <v>0.14499999999999602</v>
      </c>
      <c r="AC353" s="845">
        <f>SUM(Tabla1[[#This Row],[PRECIO $ BOLSA 50 KG (IVA INC) ]]+Tabla1[[#This Row],[COSTO FLETE $ BOLSA 50 KG (IVA INC)]])</f>
        <v>30000.145</v>
      </c>
      <c r="AD353" s="844">
        <f>-Tabla1[[#This Row],[PRECIO $ BOLSA 50 KG (IVA INC) ]]*(Tabla1[[#This Row],[TASA FINANCIACION MENSUAL]]/365)*Tabla1[[#This Row],[PLAZO ENTREGA VALORES]]</f>
        <v>102.49315068493152</v>
      </c>
      <c r="AE353" s="845">
        <f>SUM(Tabla1[[#This Row],[PRECIO $ BOLSA50 KG  FOB TUCUMAN A PLAZO (IVA INC)]]+Tabla1[[#This Row],[GASTOS FINANCIEROS $ BOLSA 50 KG (IVA INC)]])</f>
        <v>30102.638150684932</v>
      </c>
      <c r="AF353" s="828" t="s">
        <v>359</v>
      </c>
      <c r="AG353" s="828" t="s">
        <v>365</v>
      </c>
      <c r="AH353" s="828" t="s">
        <v>387</v>
      </c>
      <c r="AI353" s="828" t="s">
        <v>391</v>
      </c>
      <c r="AJ353"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37109</v>
      </c>
      <c r="AK353" s="846">
        <f>SUM(Tabla1[[#This Row],[PRECIO $ BOLSA 50KG  FOB CDO TUC (IVA INC)]]-Tabla1[[#This Row],[PRECIO REF $ BOLSA 50 KG CACTU (IVA INC)]])</f>
        <v>-7006.361849315068</v>
      </c>
      <c r="AL353" s="847">
        <f>IFERROR(Tabla1[[#This Row],[PRECIO $ BOLSA 50KG  FOB CDO TUC (IVA INC)]]/Tabla1[[#This Row],[PRECIO REF $ BOLSA 50 KG CACTU (IVA INC)]]-1,"")</f>
        <v>-0.18880492196812282</v>
      </c>
      <c r="AM353" s="846">
        <f>+Tabla1[[#This Row],[DIF $ PRECIO NETO INDUSTRIA vs Neto TUCUMAN (IVA INC)]]*Tabla1[[#This Row],[Q Bolsas Equivalentes 50kg]]</f>
        <v>-5605089.479452054</v>
      </c>
      <c r="AN353" s="846">
        <f>Tabla1[[#This Row],[PRECIO REF $ BOLSA 50 KG CACTU (IVA INC)]]*Tabla1[[#This Row],[Q Bolsas Equivalentes 50kg]]</f>
        <v>29687200</v>
      </c>
      <c r="AO353" s="846">
        <f>+Tabla1[[#This Row],[PRECIO $ BOLSA 50KG  FOB CDO TUC (IVA INC)]]*Tabla1[[#This Row],[Q Bolsas Equivalentes 50kg]]</f>
        <v>24082110.520547945</v>
      </c>
      <c r="AP353" s="847">
        <v>2.9000000000000001E-2</v>
      </c>
      <c r="AQ353" s="846">
        <v>-74.5</v>
      </c>
      <c r="AR353" s="828"/>
      <c r="AS353" s="849"/>
      <c r="AT353" s="923">
        <f>+Tabla1[[#This Row],[VENTA TOTAL $ (IVA INC) ]]-(SUM(Tabla1[[#This Row],[PENDIENTE DE ENTREGA]:[VALORES COBRADOS]]))</f>
        <v>0</v>
      </c>
      <c r="AU353" s="850">
        <f>VLOOKUP(Tabla1[[#This Row],[FECHA OC]],'TIPO DE CAMBIO'!A:B,2,TRUE)</f>
        <v>1398.8345999999999</v>
      </c>
      <c r="AV353" s="850">
        <f>+Tabla1[[#This Row],[SUBTOTAL]]/Tabla1[[#This Row],[TIPO DE CAMBIO]]</f>
        <v>14179.453913852041</v>
      </c>
      <c r="AW353" s="851"/>
      <c r="AX353" s="850">
        <f>IFERROR(Tabla1[[#This Row],[VENTA TOTAL USD A PLAZO EN CLIENTE  (SIN IVA)]]*(1+Tabla1[[#This Row],[% IVA ]]),"")</f>
        <v>14179.453913852041</v>
      </c>
      <c r="AY353" s="850">
        <f>+Tabla1[[#This Row],[VENTA TOTAL USD A PLAZO EN CLIENTE  (SIN IVA)]]/Tabla1[[#This Row],[KGS]]*1000</f>
        <v>354.48634784630099</v>
      </c>
      <c r="AZ353" s="850">
        <f>-Tabla1[[#This Row],[COSTO FLETE $ POR BOLSA 5O KG (SIN IVA)]]*20/Tabla1[[#This Row],[TIPO DE CAMBIO]]</f>
        <v>1.0651723942201603</v>
      </c>
      <c r="BA353" s="850">
        <f>+Tabla1[[#This Row],[GASTOS FINANCIEROS $ BOLSA 50 KG (IVA INC)]]*20/Tabla1[[#This Row],[TIPO DE CAMBIO]]</f>
        <v>1.4654077141776665</v>
      </c>
      <c r="BB353" s="850">
        <f>+Tabla1[[#This Row],[PRECIO POR TN USD EN CLIENTE A PLAZO (SIN IVA)]]+Tabla1[[#This Row],[COSTO USD FLETE /TN (SIN IVA)]]+Tabla1[[#This Row],[COSTO FINANCIERO USD POR BOLSA 50KG (IVA INC)]]</f>
        <v>357.01692795469882</v>
      </c>
      <c r="BC353" s="828">
        <v>4</v>
      </c>
      <c r="BD353" s="944" t="s">
        <v>485</v>
      </c>
    </row>
    <row r="354" spans="1:56" ht="15.75" customHeight="1">
      <c r="A354" s="912">
        <v>46204</v>
      </c>
      <c r="B354" s="828">
        <v>1</v>
      </c>
      <c r="C354" s="792" t="s">
        <v>471</v>
      </c>
      <c r="D354" s="829">
        <f>+Tabla1[[#This Row],[FECHA Entrega]]</f>
        <v>46212</v>
      </c>
      <c r="E354" s="830">
        <v>2850</v>
      </c>
      <c r="F354" s="831" t="s">
        <v>448</v>
      </c>
      <c r="G354" s="832" t="s">
        <v>216</v>
      </c>
      <c r="H354" s="852">
        <v>46212</v>
      </c>
      <c r="I354" s="834">
        <f t="shared" si="133"/>
        <v>40000</v>
      </c>
      <c r="J354" s="835">
        <f t="shared" si="134"/>
        <v>495.86776859504135</v>
      </c>
      <c r="K354" s="836">
        <f t="shared" si="135"/>
        <v>19834710.743801653</v>
      </c>
      <c r="L354"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54" s="837">
        <f t="shared" si="137"/>
        <v>24000000</v>
      </c>
      <c r="N354" s="838">
        <v>0</v>
      </c>
      <c r="O354" s="838">
        <v>0</v>
      </c>
      <c r="P354" s="838">
        <v>0</v>
      </c>
      <c r="Q354" s="839">
        <f>+Tabla1[[#This Row],[VENTA TOTAL $ (IVA INC) ]]-Tabla1[[#This Row],[PENDIENTE DE COBRO]]</f>
        <v>24000000</v>
      </c>
      <c r="R354" s="840">
        <f>+Tabla1[[#This Row],[FECHA FC]]+Tabla1[[#This Row],[PLAZO ENTREGA VALORES]]</f>
        <v>46168</v>
      </c>
      <c r="S354" s="840">
        <f>+Tabla1[[#This Row],[FECHA FC]]+Tabla1[[#This Row],[PLAZO PAGO (DIAS)]]</f>
        <v>46212</v>
      </c>
      <c r="T354" s="834">
        <f t="shared" ca="1" si="136"/>
        <v>31</v>
      </c>
      <c r="U354" s="831">
        <v>-44</v>
      </c>
      <c r="V354" s="831"/>
      <c r="W354" s="841">
        <f>+Tabla1[[#This Row],[FECHA VTO VALORES]]+7</f>
        <v>46219</v>
      </c>
      <c r="X354" s="831">
        <v>2399</v>
      </c>
      <c r="Y354" s="840">
        <v>46162</v>
      </c>
      <c r="Z354" s="860">
        <f>Tabla1[[#This Row],[KGS]]/50</f>
        <v>800</v>
      </c>
      <c r="AA354"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54" s="844">
        <f>-Tabla1[[#This Row],[COSTO FLETE $ POR BOLSA 5O KG (SIN IVA)]]*1.21-Tabla1[[#This Row],[PRECIO $/ KG A PLAZO EN CLIENTE ( SIN IVA)]]*0.003*1.21*50</f>
        <v>0.14499999999999602</v>
      </c>
      <c r="AC354" s="845">
        <f>SUM(Tabla1[[#This Row],[PRECIO $ BOLSA 50 KG (IVA INC) ]]+Tabla1[[#This Row],[COSTO FLETE $ BOLSA 50 KG (IVA INC)]])</f>
        <v>30000.145</v>
      </c>
      <c r="AD354" s="844">
        <f>-Tabla1[[#This Row],[PRECIO $ BOLSA 50 KG (IVA INC) ]]*(Tabla1[[#This Row],[TASA FINANCIACION MENSUAL]]/365)*Tabla1[[#This Row],[PLAZO ENTREGA VALORES]]</f>
        <v>104.87671232876713</v>
      </c>
      <c r="AE354" s="845">
        <f>SUM(Tabla1[[#This Row],[PRECIO $ BOLSA50 KG  FOB TUCUMAN A PLAZO (IVA INC)]]+Tabla1[[#This Row],[GASTOS FINANCIEROS $ BOLSA 50 KG (IVA INC)]])</f>
        <v>30105.021712328769</v>
      </c>
      <c r="AF354" s="828" t="s">
        <v>359</v>
      </c>
      <c r="AG354" s="828" t="s">
        <v>365</v>
      </c>
      <c r="AH354" s="828" t="s">
        <v>387</v>
      </c>
      <c r="AI354" s="828" t="s">
        <v>391</v>
      </c>
      <c r="AJ354"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37109</v>
      </c>
      <c r="AK354" s="846">
        <f>SUM(Tabla1[[#This Row],[PRECIO $ BOLSA 50KG  FOB CDO TUC (IVA INC)]]-Tabla1[[#This Row],[PRECIO REF $ BOLSA 50 KG CACTU (IVA INC)]])</f>
        <v>-7003.9782876712306</v>
      </c>
      <c r="AL354" s="847">
        <f>IFERROR(Tabla1[[#This Row],[PRECIO $ BOLSA 50KG  FOB CDO TUC (IVA INC)]]/Tabla1[[#This Row],[PRECIO REF $ BOLSA 50 KG CACTU (IVA INC)]]-1,"")</f>
        <v>-0.18874069060527721</v>
      </c>
      <c r="AM354" s="846">
        <f>+Tabla1[[#This Row],[DIF $ PRECIO NETO INDUSTRIA vs Neto TUCUMAN (IVA INC)]]*Tabla1[[#This Row],[Q Bolsas Equivalentes 50kg]]</f>
        <v>-5603182.6301369844</v>
      </c>
      <c r="AN354" s="846">
        <f>Tabla1[[#This Row],[PRECIO REF $ BOLSA 50 KG CACTU (IVA INC)]]*Tabla1[[#This Row],[Q Bolsas Equivalentes 50kg]]</f>
        <v>29687200</v>
      </c>
      <c r="AO354" s="846">
        <f>+Tabla1[[#This Row],[PRECIO $ BOLSA 50KG  FOB CDO TUC (IVA INC)]]*Tabla1[[#This Row],[Q Bolsas Equivalentes 50kg]]</f>
        <v>24084017.369863015</v>
      </c>
      <c r="AP354" s="847">
        <v>2.9000000000000001E-2</v>
      </c>
      <c r="AQ354" s="846">
        <v>-74.5</v>
      </c>
      <c r="AR354" s="828"/>
      <c r="AS354" s="849"/>
      <c r="AT354" s="923">
        <f>+Tabla1[[#This Row],[VENTA TOTAL $ (IVA INC) ]]-(SUM(Tabla1[[#This Row],[PENDIENTE DE ENTREGA]:[VALORES COBRADOS]]))</f>
        <v>0</v>
      </c>
      <c r="AU354" s="850">
        <f>VLOOKUP(Tabla1[[#This Row],[FECHA OC]],'TIPO DE CAMBIO'!A:B,2,TRUE)</f>
        <v>1398.8345999999999</v>
      </c>
      <c r="AV354" s="850">
        <f>+Tabla1[[#This Row],[SUBTOTAL]]/Tabla1[[#This Row],[TIPO DE CAMBIO]]</f>
        <v>14179.453913852041</v>
      </c>
      <c r="AW354" s="851"/>
      <c r="AX354" s="850">
        <f>IFERROR(Tabla1[[#This Row],[VENTA TOTAL USD A PLAZO EN CLIENTE  (SIN IVA)]]*(1+Tabla1[[#This Row],[% IVA ]]),"")</f>
        <v>14179.453913852041</v>
      </c>
      <c r="AY354" s="850">
        <f>+Tabla1[[#This Row],[VENTA TOTAL USD A PLAZO EN CLIENTE  (SIN IVA)]]/Tabla1[[#This Row],[KGS]]*1000</f>
        <v>354.48634784630099</v>
      </c>
      <c r="AZ354" s="850">
        <f>-Tabla1[[#This Row],[COSTO FLETE $ POR BOLSA 5O KG (SIN IVA)]]*20/Tabla1[[#This Row],[TIPO DE CAMBIO]]</f>
        <v>1.0651723942201603</v>
      </c>
      <c r="BA354" s="850">
        <f>+Tabla1[[#This Row],[GASTOS FINANCIEROS $ BOLSA 50 KG (IVA INC)]]*20/Tabla1[[#This Row],[TIPO DE CAMBIO]]</f>
        <v>1.4994869633445889</v>
      </c>
      <c r="BB354" s="850">
        <f>+Tabla1[[#This Row],[PRECIO POR TN USD EN CLIENTE A PLAZO (SIN IVA)]]+Tabla1[[#This Row],[COSTO USD FLETE /TN (SIN IVA)]]+Tabla1[[#This Row],[COSTO FINANCIERO USD POR BOLSA 50KG (IVA INC)]]</f>
        <v>357.05100720386571</v>
      </c>
      <c r="BC354" s="828">
        <v>4</v>
      </c>
      <c r="BD354" s="944" t="s">
        <v>485</v>
      </c>
    </row>
    <row r="355" spans="1:56" ht="15.75" customHeight="1">
      <c r="A355" s="912">
        <v>46204</v>
      </c>
      <c r="B355" s="828">
        <v>1</v>
      </c>
      <c r="C355" s="792" t="s">
        <v>471</v>
      </c>
      <c r="D355" s="829">
        <f>+Tabla1[[#This Row],[FECHA Entrega]]</f>
        <v>46213</v>
      </c>
      <c r="E355" s="830">
        <v>2850</v>
      </c>
      <c r="F355" s="831" t="s">
        <v>448</v>
      </c>
      <c r="G355" s="832" t="s">
        <v>216</v>
      </c>
      <c r="H355" s="852">
        <v>46213</v>
      </c>
      <c r="I355" s="834">
        <f t="shared" si="133"/>
        <v>40000</v>
      </c>
      <c r="J355" s="835">
        <f t="shared" si="134"/>
        <v>495.86776859504135</v>
      </c>
      <c r="K355" s="836">
        <f t="shared" si="135"/>
        <v>19834710.743801653</v>
      </c>
      <c r="L355"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55" s="837">
        <f t="shared" si="137"/>
        <v>24000000</v>
      </c>
      <c r="N355" s="838">
        <v>0</v>
      </c>
      <c r="O355" s="838">
        <v>0</v>
      </c>
      <c r="P355" s="838">
        <v>0</v>
      </c>
      <c r="Q355" s="839">
        <f>+Tabla1[[#This Row],[VENTA TOTAL $ (IVA INC) ]]-Tabla1[[#This Row],[PENDIENTE DE COBRO]]</f>
        <v>24000000</v>
      </c>
      <c r="R355" s="840">
        <f>+Tabla1[[#This Row],[FECHA FC]]+Tabla1[[#This Row],[PLAZO ENTREGA VALORES]]</f>
        <v>46168</v>
      </c>
      <c r="S355" s="840">
        <f>+Tabla1[[#This Row],[FECHA FC]]+Tabla1[[#This Row],[PLAZO PAGO (DIAS)]]</f>
        <v>46213</v>
      </c>
      <c r="T355" s="834">
        <f t="shared" ca="1" si="136"/>
        <v>32</v>
      </c>
      <c r="U355" s="831">
        <v>-45</v>
      </c>
      <c r="V355" s="831"/>
      <c r="W355" s="841">
        <f>+Tabla1[[#This Row],[FECHA VTO VALORES]]+7</f>
        <v>46220</v>
      </c>
      <c r="X355" s="831">
        <v>2399</v>
      </c>
      <c r="Y355" s="840">
        <v>46162</v>
      </c>
      <c r="Z355" s="860">
        <f>Tabla1[[#This Row],[KGS]]/50</f>
        <v>800</v>
      </c>
      <c r="AA355"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55" s="844">
        <f>-Tabla1[[#This Row],[COSTO FLETE $ POR BOLSA 5O KG (SIN IVA)]]*1.21-Tabla1[[#This Row],[PRECIO $/ KG A PLAZO EN CLIENTE ( SIN IVA)]]*0.003*1.21*50</f>
        <v>0.14499999999999602</v>
      </c>
      <c r="AC355" s="845">
        <f>SUM(Tabla1[[#This Row],[PRECIO $ BOLSA 50 KG (IVA INC) ]]+Tabla1[[#This Row],[COSTO FLETE $ BOLSA 50 KG (IVA INC)]])</f>
        <v>30000.145</v>
      </c>
      <c r="AD355" s="844">
        <f>-Tabla1[[#This Row],[PRECIO $ BOLSA 50 KG (IVA INC) ]]*(Tabla1[[#This Row],[TASA FINANCIACION MENSUAL]]/365)*Tabla1[[#This Row],[PLAZO ENTREGA VALORES]]</f>
        <v>107.26027397260275</v>
      </c>
      <c r="AE355" s="845">
        <f>SUM(Tabla1[[#This Row],[PRECIO $ BOLSA50 KG  FOB TUCUMAN A PLAZO (IVA INC)]]+Tabla1[[#This Row],[GASTOS FINANCIEROS $ BOLSA 50 KG (IVA INC)]])</f>
        <v>30107.405273972603</v>
      </c>
      <c r="AF355" s="828" t="s">
        <v>359</v>
      </c>
      <c r="AG355" s="828" t="s">
        <v>365</v>
      </c>
      <c r="AH355" s="828" t="s">
        <v>387</v>
      </c>
      <c r="AI355" s="828" t="s">
        <v>391</v>
      </c>
      <c r="AJ355"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37109</v>
      </c>
      <c r="AK355" s="846">
        <f>SUM(Tabla1[[#This Row],[PRECIO $ BOLSA 50KG  FOB CDO TUC (IVA INC)]]-Tabla1[[#This Row],[PRECIO REF $ BOLSA 50 KG CACTU (IVA INC)]])</f>
        <v>-7001.594726027397</v>
      </c>
      <c r="AL355" s="847">
        <f>IFERROR(Tabla1[[#This Row],[PRECIO $ BOLSA 50KG  FOB CDO TUC (IVA INC)]]/Tabla1[[#This Row],[PRECIO REF $ BOLSA 50 KG CACTU (IVA INC)]]-1,"")</f>
        <v>-0.1886764592424317</v>
      </c>
      <c r="AM355" s="846">
        <f>+Tabla1[[#This Row],[DIF $ PRECIO NETO INDUSTRIA vs Neto TUCUMAN (IVA INC)]]*Tabla1[[#This Row],[Q Bolsas Equivalentes 50kg]]</f>
        <v>-5601275.7808219176</v>
      </c>
      <c r="AN355" s="846">
        <f>Tabla1[[#This Row],[PRECIO REF $ BOLSA 50 KG CACTU (IVA INC)]]*Tabla1[[#This Row],[Q Bolsas Equivalentes 50kg]]</f>
        <v>29687200</v>
      </c>
      <c r="AO355" s="846">
        <f>+Tabla1[[#This Row],[PRECIO $ BOLSA 50KG  FOB CDO TUC (IVA INC)]]*Tabla1[[#This Row],[Q Bolsas Equivalentes 50kg]]</f>
        <v>24085924.219178081</v>
      </c>
      <c r="AP355" s="847">
        <v>2.9000000000000001E-2</v>
      </c>
      <c r="AQ355" s="846">
        <v>-74.5</v>
      </c>
      <c r="AR355" s="828"/>
      <c r="AS355" s="849"/>
      <c r="AT355" s="923">
        <f>+Tabla1[[#This Row],[VENTA TOTAL $ (IVA INC) ]]-(SUM(Tabla1[[#This Row],[PENDIENTE DE ENTREGA]:[VALORES COBRADOS]]))</f>
        <v>0</v>
      </c>
      <c r="AU355" s="850">
        <f>VLOOKUP(Tabla1[[#This Row],[FECHA OC]],'TIPO DE CAMBIO'!A:B,2,TRUE)</f>
        <v>1398.8345999999999</v>
      </c>
      <c r="AV355" s="850">
        <f>+Tabla1[[#This Row],[SUBTOTAL]]/Tabla1[[#This Row],[TIPO DE CAMBIO]]</f>
        <v>14179.453913852041</v>
      </c>
      <c r="AW355" s="851"/>
      <c r="AX355" s="850">
        <f>IFERROR(Tabla1[[#This Row],[VENTA TOTAL USD A PLAZO EN CLIENTE  (SIN IVA)]]*(1+Tabla1[[#This Row],[% IVA ]]),"")</f>
        <v>14179.453913852041</v>
      </c>
      <c r="AY355" s="850">
        <f>+Tabla1[[#This Row],[VENTA TOTAL USD A PLAZO EN CLIENTE  (SIN IVA)]]/Tabla1[[#This Row],[KGS]]*1000</f>
        <v>354.48634784630099</v>
      </c>
      <c r="AZ355" s="850">
        <f>-Tabla1[[#This Row],[COSTO FLETE $ POR BOLSA 5O KG (SIN IVA)]]*20/Tabla1[[#This Row],[TIPO DE CAMBIO]]</f>
        <v>1.0651723942201603</v>
      </c>
      <c r="BA355" s="850">
        <f>+Tabla1[[#This Row],[GASTOS FINANCIEROS $ BOLSA 50 KG (IVA INC)]]*20/Tabla1[[#This Row],[TIPO DE CAMBIO]]</f>
        <v>1.5335662125115115</v>
      </c>
      <c r="BB355" s="850">
        <f>+Tabla1[[#This Row],[PRECIO POR TN USD EN CLIENTE A PLAZO (SIN IVA)]]+Tabla1[[#This Row],[COSTO USD FLETE /TN (SIN IVA)]]+Tabla1[[#This Row],[COSTO FINANCIERO USD POR BOLSA 50KG (IVA INC)]]</f>
        <v>357.08508645303266</v>
      </c>
      <c r="BC355" s="828">
        <v>4</v>
      </c>
      <c r="BD355" s="944" t="s">
        <v>485</v>
      </c>
    </row>
    <row r="356" spans="1:56" ht="15.75" customHeight="1">
      <c r="A356" s="912">
        <v>46204</v>
      </c>
      <c r="B356" s="828">
        <v>1</v>
      </c>
      <c r="C356" s="792" t="s">
        <v>471</v>
      </c>
      <c r="D356" s="829">
        <f>+Tabla1[[#This Row],[FECHA Entrega]]</f>
        <v>46214</v>
      </c>
      <c r="E356" s="830">
        <v>2850</v>
      </c>
      <c r="F356" s="831" t="s">
        <v>448</v>
      </c>
      <c r="G356" s="832" t="s">
        <v>216</v>
      </c>
      <c r="H356" s="852">
        <v>46214</v>
      </c>
      <c r="I356" s="834">
        <f t="shared" si="133"/>
        <v>40000</v>
      </c>
      <c r="J356" s="835">
        <f t="shared" si="134"/>
        <v>495.86776859504135</v>
      </c>
      <c r="K356" s="836">
        <f t="shared" si="135"/>
        <v>19834710.743801653</v>
      </c>
      <c r="L356"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56" s="837">
        <f t="shared" si="137"/>
        <v>24000000</v>
      </c>
      <c r="N356" s="838">
        <v>0</v>
      </c>
      <c r="O356" s="838">
        <v>0</v>
      </c>
      <c r="P356" s="838">
        <v>0</v>
      </c>
      <c r="Q356" s="839">
        <f>+Tabla1[[#This Row],[VENTA TOTAL $ (IVA INC) ]]-Tabla1[[#This Row],[PENDIENTE DE COBRO]]</f>
        <v>24000000</v>
      </c>
      <c r="R356" s="840">
        <f>+Tabla1[[#This Row],[FECHA FC]]+Tabla1[[#This Row],[PLAZO ENTREGA VALORES]]</f>
        <v>46168</v>
      </c>
      <c r="S356" s="840">
        <f>+Tabla1[[#This Row],[FECHA FC]]+Tabla1[[#This Row],[PLAZO PAGO (DIAS)]]</f>
        <v>46214</v>
      </c>
      <c r="T356" s="834">
        <f t="shared" ca="1" si="136"/>
        <v>33</v>
      </c>
      <c r="U356" s="831">
        <v>-46</v>
      </c>
      <c r="V356" s="831"/>
      <c r="W356" s="841">
        <f>+Tabla1[[#This Row],[FECHA VTO VALORES]]+7</f>
        <v>46221</v>
      </c>
      <c r="X356" s="831">
        <v>2399</v>
      </c>
      <c r="Y356" s="840">
        <v>46162</v>
      </c>
      <c r="Z356" s="860">
        <f>Tabla1[[#This Row],[KGS]]/50</f>
        <v>800</v>
      </c>
      <c r="AA356"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56" s="844">
        <f>-Tabla1[[#This Row],[COSTO FLETE $ POR BOLSA 5O KG (SIN IVA)]]*1.21-Tabla1[[#This Row],[PRECIO $/ KG A PLAZO EN CLIENTE ( SIN IVA)]]*0.003*1.21*50</f>
        <v>0.14499999999999602</v>
      </c>
      <c r="AC356" s="845">
        <f>SUM(Tabla1[[#This Row],[PRECIO $ BOLSA 50 KG (IVA INC) ]]+Tabla1[[#This Row],[COSTO FLETE $ BOLSA 50 KG (IVA INC)]])</f>
        <v>30000.145</v>
      </c>
      <c r="AD356" s="844">
        <f>-Tabla1[[#This Row],[PRECIO $ BOLSA 50 KG (IVA INC) ]]*(Tabla1[[#This Row],[TASA FINANCIACION MENSUAL]]/365)*Tabla1[[#This Row],[PLAZO ENTREGA VALORES]]</f>
        <v>109.64383561643837</v>
      </c>
      <c r="AE356" s="845">
        <f>SUM(Tabla1[[#This Row],[PRECIO $ BOLSA50 KG  FOB TUCUMAN A PLAZO (IVA INC)]]+Tabla1[[#This Row],[GASTOS FINANCIEROS $ BOLSA 50 KG (IVA INC)]])</f>
        <v>30109.78883561644</v>
      </c>
      <c r="AF356" s="828" t="s">
        <v>359</v>
      </c>
      <c r="AG356" s="828" t="s">
        <v>365</v>
      </c>
      <c r="AH356" s="828" t="s">
        <v>387</v>
      </c>
      <c r="AI356" s="828" t="s">
        <v>391</v>
      </c>
      <c r="AJ356"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37109</v>
      </c>
      <c r="AK356" s="846">
        <f>SUM(Tabla1[[#This Row],[PRECIO $ BOLSA 50KG  FOB CDO TUC (IVA INC)]]-Tabla1[[#This Row],[PRECIO REF $ BOLSA 50 KG CACTU (IVA INC)]])</f>
        <v>-6999.2111643835597</v>
      </c>
      <c r="AL356" s="847">
        <f>IFERROR(Tabla1[[#This Row],[PRECIO $ BOLSA 50KG  FOB CDO TUC (IVA INC)]]/Tabla1[[#This Row],[PRECIO REF $ BOLSA 50 KG CACTU (IVA INC)]]-1,"")</f>
        <v>-0.18861222787958609</v>
      </c>
      <c r="AM356" s="846">
        <f>+Tabla1[[#This Row],[DIF $ PRECIO NETO INDUSTRIA vs Neto TUCUMAN (IVA INC)]]*Tabla1[[#This Row],[Q Bolsas Equivalentes 50kg]]</f>
        <v>-5599368.931506848</v>
      </c>
      <c r="AN356" s="846">
        <f>Tabla1[[#This Row],[PRECIO REF $ BOLSA 50 KG CACTU (IVA INC)]]*Tabla1[[#This Row],[Q Bolsas Equivalentes 50kg]]</f>
        <v>29687200</v>
      </c>
      <c r="AO356" s="846">
        <f>+Tabla1[[#This Row],[PRECIO $ BOLSA 50KG  FOB CDO TUC (IVA INC)]]*Tabla1[[#This Row],[Q Bolsas Equivalentes 50kg]]</f>
        <v>24087831.068493154</v>
      </c>
      <c r="AP356" s="847">
        <v>2.9000000000000001E-2</v>
      </c>
      <c r="AQ356" s="846">
        <v>-74.5</v>
      </c>
      <c r="AR356" s="828"/>
      <c r="AS356" s="849"/>
      <c r="AT356" s="923">
        <f>+Tabla1[[#This Row],[VENTA TOTAL $ (IVA INC) ]]-(SUM(Tabla1[[#This Row],[PENDIENTE DE ENTREGA]:[VALORES COBRADOS]]))</f>
        <v>0</v>
      </c>
      <c r="AU356" s="850">
        <f>VLOOKUP(Tabla1[[#This Row],[FECHA OC]],'TIPO DE CAMBIO'!A:B,2,TRUE)</f>
        <v>1398.8345999999999</v>
      </c>
      <c r="AV356" s="850">
        <f>+Tabla1[[#This Row],[SUBTOTAL]]/Tabla1[[#This Row],[TIPO DE CAMBIO]]</f>
        <v>14179.453913852041</v>
      </c>
      <c r="AW356" s="851"/>
      <c r="AX356" s="850">
        <f>IFERROR(Tabla1[[#This Row],[VENTA TOTAL USD A PLAZO EN CLIENTE  (SIN IVA)]]*(1+Tabla1[[#This Row],[% IVA ]]),"")</f>
        <v>14179.453913852041</v>
      </c>
      <c r="AY356" s="850">
        <f>+Tabla1[[#This Row],[VENTA TOTAL USD A PLAZO EN CLIENTE  (SIN IVA)]]/Tabla1[[#This Row],[KGS]]*1000</f>
        <v>354.48634784630099</v>
      </c>
      <c r="AZ356" s="850">
        <f>-Tabla1[[#This Row],[COSTO FLETE $ POR BOLSA 5O KG (SIN IVA)]]*20/Tabla1[[#This Row],[TIPO DE CAMBIO]]</f>
        <v>1.0651723942201603</v>
      </c>
      <c r="BA356" s="850">
        <f>+Tabla1[[#This Row],[GASTOS FINANCIEROS $ BOLSA 50 KG (IVA INC)]]*20/Tabla1[[#This Row],[TIPO DE CAMBIO]]</f>
        <v>1.5676454616784339</v>
      </c>
      <c r="BB356" s="850">
        <f>+Tabla1[[#This Row],[PRECIO POR TN USD EN CLIENTE A PLAZO (SIN IVA)]]+Tabla1[[#This Row],[COSTO USD FLETE /TN (SIN IVA)]]+Tabla1[[#This Row],[COSTO FINANCIERO USD POR BOLSA 50KG (IVA INC)]]</f>
        <v>357.11916570219955</v>
      </c>
      <c r="BC356" s="828">
        <v>4</v>
      </c>
      <c r="BD356" s="944" t="s">
        <v>485</v>
      </c>
    </row>
    <row r="357" spans="1:56" ht="15.75" customHeight="1">
      <c r="A357" s="912">
        <v>46204</v>
      </c>
      <c r="B357" s="828">
        <v>1</v>
      </c>
      <c r="C357" s="792" t="s">
        <v>471</v>
      </c>
      <c r="D357" s="829">
        <f>+Tabla1[[#This Row],[FECHA Entrega]]</f>
        <v>46215</v>
      </c>
      <c r="E357" s="830">
        <v>2850</v>
      </c>
      <c r="F357" s="831" t="s">
        <v>448</v>
      </c>
      <c r="G357" s="832" t="s">
        <v>216</v>
      </c>
      <c r="H357" s="852">
        <v>46215</v>
      </c>
      <c r="I357" s="834">
        <f t="shared" si="133"/>
        <v>40000</v>
      </c>
      <c r="J357" s="835">
        <f t="shared" si="134"/>
        <v>495.86776859504135</v>
      </c>
      <c r="K357" s="836">
        <f t="shared" si="135"/>
        <v>19834710.743801653</v>
      </c>
      <c r="L357"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57" s="837">
        <f t="shared" si="137"/>
        <v>24000000</v>
      </c>
      <c r="N357" s="838">
        <v>0</v>
      </c>
      <c r="O357" s="838">
        <v>0</v>
      </c>
      <c r="P357" s="838">
        <v>0</v>
      </c>
      <c r="Q357" s="839">
        <f>+Tabla1[[#This Row],[VENTA TOTAL $ (IVA INC) ]]-Tabla1[[#This Row],[PENDIENTE DE COBRO]]</f>
        <v>24000000</v>
      </c>
      <c r="R357" s="840">
        <f>+Tabla1[[#This Row],[FECHA FC]]+Tabla1[[#This Row],[PLAZO ENTREGA VALORES]]</f>
        <v>46168</v>
      </c>
      <c r="S357" s="840">
        <f>+Tabla1[[#This Row],[FECHA FC]]+Tabla1[[#This Row],[PLAZO PAGO (DIAS)]]</f>
        <v>46215</v>
      </c>
      <c r="T357" s="834">
        <f t="shared" ca="1" si="136"/>
        <v>34</v>
      </c>
      <c r="U357" s="831">
        <v>-47</v>
      </c>
      <c r="V357" s="831"/>
      <c r="W357" s="841">
        <f>+Tabla1[[#This Row],[FECHA VTO VALORES]]+7</f>
        <v>46222</v>
      </c>
      <c r="X357" s="831">
        <v>2399</v>
      </c>
      <c r="Y357" s="840">
        <v>46162</v>
      </c>
      <c r="Z357" s="860">
        <f>Tabla1[[#This Row],[KGS]]/50</f>
        <v>800</v>
      </c>
      <c r="AA357"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57" s="844">
        <f>-Tabla1[[#This Row],[COSTO FLETE $ POR BOLSA 5O KG (SIN IVA)]]*1.21-Tabla1[[#This Row],[PRECIO $/ KG A PLAZO EN CLIENTE ( SIN IVA)]]*0.003*1.21*50</f>
        <v>0.14499999999999602</v>
      </c>
      <c r="AC357" s="845">
        <f>SUM(Tabla1[[#This Row],[PRECIO $ BOLSA 50 KG (IVA INC) ]]+Tabla1[[#This Row],[COSTO FLETE $ BOLSA 50 KG (IVA INC)]])</f>
        <v>30000.145</v>
      </c>
      <c r="AD357" s="844">
        <f>-Tabla1[[#This Row],[PRECIO $ BOLSA 50 KG (IVA INC) ]]*(Tabla1[[#This Row],[TASA FINANCIACION MENSUAL]]/365)*Tabla1[[#This Row],[PLAZO ENTREGA VALORES]]</f>
        <v>112.02739726027399</v>
      </c>
      <c r="AE357" s="845">
        <f>SUM(Tabla1[[#This Row],[PRECIO $ BOLSA50 KG  FOB TUCUMAN A PLAZO (IVA INC)]]+Tabla1[[#This Row],[GASTOS FINANCIEROS $ BOLSA 50 KG (IVA INC)]])</f>
        <v>30112.172397260274</v>
      </c>
      <c r="AF357" s="828" t="s">
        <v>359</v>
      </c>
      <c r="AG357" s="828" t="s">
        <v>365</v>
      </c>
      <c r="AH357" s="828" t="s">
        <v>387</v>
      </c>
      <c r="AI357" s="828" t="s">
        <v>391</v>
      </c>
      <c r="AJ357"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37109</v>
      </c>
      <c r="AK357" s="846">
        <f>SUM(Tabla1[[#This Row],[PRECIO $ BOLSA 50KG  FOB CDO TUC (IVA INC)]]-Tabla1[[#This Row],[PRECIO REF $ BOLSA 50 KG CACTU (IVA INC)]])</f>
        <v>-6996.827602739726</v>
      </c>
      <c r="AL357" s="847">
        <f>IFERROR(Tabla1[[#This Row],[PRECIO $ BOLSA 50KG  FOB CDO TUC (IVA INC)]]/Tabla1[[#This Row],[PRECIO REF $ BOLSA 50 KG CACTU (IVA INC)]]-1,"")</f>
        <v>-0.18854799651674059</v>
      </c>
      <c r="AM357" s="846">
        <f>+Tabla1[[#This Row],[DIF $ PRECIO NETO INDUSTRIA vs Neto TUCUMAN (IVA INC)]]*Tabla1[[#This Row],[Q Bolsas Equivalentes 50kg]]</f>
        <v>-5597462.0821917811</v>
      </c>
      <c r="AN357" s="846">
        <f>Tabla1[[#This Row],[PRECIO REF $ BOLSA 50 KG CACTU (IVA INC)]]*Tabla1[[#This Row],[Q Bolsas Equivalentes 50kg]]</f>
        <v>29687200</v>
      </c>
      <c r="AO357" s="846">
        <f>+Tabla1[[#This Row],[PRECIO $ BOLSA 50KG  FOB CDO TUC (IVA INC)]]*Tabla1[[#This Row],[Q Bolsas Equivalentes 50kg]]</f>
        <v>24089737.91780822</v>
      </c>
      <c r="AP357" s="847">
        <v>2.9000000000000001E-2</v>
      </c>
      <c r="AQ357" s="846">
        <v>-74.5</v>
      </c>
      <c r="AR357" s="828"/>
      <c r="AS357" s="849"/>
      <c r="AT357" s="923">
        <f>+Tabla1[[#This Row],[VENTA TOTAL $ (IVA INC) ]]-(SUM(Tabla1[[#This Row],[PENDIENTE DE ENTREGA]:[VALORES COBRADOS]]))</f>
        <v>0</v>
      </c>
      <c r="AU357" s="850">
        <f>VLOOKUP(Tabla1[[#This Row],[FECHA OC]],'TIPO DE CAMBIO'!A:B,2,TRUE)</f>
        <v>1398.8345999999999</v>
      </c>
      <c r="AV357" s="850">
        <f>+Tabla1[[#This Row],[SUBTOTAL]]/Tabla1[[#This Row],[TIPO DE CAMBIO]]</f>
        <v>14179.453913852041</v>
      </c>
      <c r="AW357" s="851"/>
      <c r="AX357" s="850">
        <f>IFERROR(Tabla1[[#This Row],[VENTA TOTAL USD A PLAZO EN CLIENTE  (SIN IVA)]]*(1+Tabla1[[#This Row],[% IVA ]]),"")</f>
        <v>14179.453913852041</v>
      </c>
      <c r="AY357" s="850">
        <f>+Tabla1[[#This Row],[VENTA TOTAL USD A PLAZO EN CLIENTE  (SIN IVA)]]/Tabla1[[#This Row],[KGS]]*1000</f>
        <v>354.48634784630099</v>
      </c>
      <c r="AZ357" s="850">
        <f>-Tabla1[[#This Row],[COSTO FLETE $ POR BOLSA 5O KG (SIN IVA)]]*20/Tabla1[[#This Row],[TIPO DE CAMBIO]]</f>
        <v>1.0651723942201603</v>
      </c>
      <c r="BA357" s="850">
        <f>+Tabla1[[#This Row],[GASTOS FINANCIEROS $ BOLSA 50 KG (IVA INC)]]*20/Tabla1[[#This Row],[TIPO DE CAMBIO]]</f>
        <v>1.6017247108453565</v>
      </c>
      <c r="BB357" s="850">
        <f>+Tabla1[[#This Row],[PRECIO POR TN USD EN CLIENTE A PLAZO (SIN IVA)]]+Tabla1[[#This Row],[COSTO USD FLETE /TN (SIN IVA)]]+Tabla1[[#This Row],[COSTO FINANCIERO USD POR BOLSA 50KG (IVA INC)]]</f>
        <v>357.1532449513665</v>
      </c>
      <c r="BC357" s="828">
        <v>4</v>
      </c>
      <c r="BD357" s="944" t="s">
        <v>485</v>
      </c>
    </row>
    <row r="358" spans="1:56" ht="15.75" customHeight="1">
      <c r="A358" s="912">
        <v>46204</v>
      </c>
      <c r="B358" s="828">
        <v>1</v>
      </c>
      <c r="C358" s="792" t="s">
        <v>471</v>
      </c>
      <c r="D358" s="829">
        <f>+Tabla1[[#This Row],[FECHA Entrega]]</f>
        <v>46216</v>
      </c>
      <c r="E358" s="830">
        <v>2850</v>
      </c>
      <c r="F358" s="831" t="s">
        <v>448</v>
      </c>
      <c r="G358" s="832" t="s">
        <v>216</v>
      </c>
      <c r="H358" s="852">
        <v>46216</v>
      </c>
      <c r="I358" s="834">
        <f t="shared" si="133"/>
        <v>40000</v>
      </c>
      <c r="J358" s="835">
        <f t="shared" si="134"/>
        <v>495.86776859504135</v>
      </c>
      <c r="K358" s="836">
        <f t="shared" si="135"/>
        <v>19834710.743801653</v>
      </c>
      <c r="L358"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58" s="837">
        <f t="shared" si="137"/>
        <v>24000000</v>
      </c>
      <c r="N358" s="838">
        <v>0</v>
      </c>
      <c r="O358" s="838">
        <v>0</v>
      </c>
      <c r="P358" s="838">
        <v>0</v>
      </c>
      <c r="Q358" s="839">
        <f>+Tabla1[[#This Row],[VENTA TOTAL $ (IVA INC) ]]-Tabla1[[#This Row],[PENDIENTE DE COBRO]]</f>
        <v>24000000</v>
      </c>
      <c r="R358" s="840">
        <f>+Tabla1[[#This Row],[FECHA FC]]+Tabla1[[#This Row],[PLAZO ENTREGA VALORES]]</f>
        <v>46168</v>
      </c>
      <c r="S358" s="840">
        <f>+Tabla1[[#This Row],[FECHA FC]]+Tabla1[[#This Row],[PLAZO PAGO (DIAS)]]</f>
        <v>46216</v>
      </c>
      <c r="T358" s="834">
        <f t="shared" ca="1" si="136"/>
        <v>35</v>
      </c>
      <c r="U358" s="831">
        <v>-48</v>
      </c>
      <c r="V358" s="831"/>
      <c r="W358" s="841">
        <f>+Tabla1[[#This Row],[FECHA VTO VALORES]]+7</f>
        <v>46223</v>
      </c>
      <c r="X358" s="831">
        <v>2399</v>
      </c>
      <c r="Y358" s="840">
        <v>46162</v>
      </c>
      <c r="Z358" s="860">
        <f>Tabla1[[#This Row],[KGS]]/50</f>
        <v>800</v>
      </c>
      <c r="AA358"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58" s="844">
        <f>-Tabla1[[#This Row],[COSTO FLETE $ POR BOLSA 5O KG (SIN IVA)]]*1.21-Tabla1[[#This Row],[PRECIO $/ KG A PLAZO EN CLIENTE ( SIN IVA)]]*0.003*1.21*50</f>
        <v>0.14499999999999602</v>
      </c>
      <c r="AC358" s="845">
        <f>SUM(Tabla1[[#This Row],[PRECIO $ BOLSA 50 KG (IVA INC) ]]+Tabla1[[#This Row],[COSTO FLETE $ BOLSA 50 KG (IVA INC)]])</f>
        <v>30000.145</v>
      </c>
      <c r="AD358" s="844">
        <f>-Tabla1[[#This Row],[PRECIO $ BOLSA 50 KG (IVA INC) ]]*(Tabla1[[#This Row],[TASA FINANCIACION MENSUAL]]/365)*Tabla1[[#This Row],[PLAZO ENTREGA VALORES]]</f>
        <v>114.41095890410961</v>
      </c>
      <c r="AE358" s="845">
        <f>SUM(Tabla1[[#This Row],[PRECIO $ BOLSA50 KG  FOB TUCUMAN A PLAZO (IVA INC)]]+Tabla1[[#This Row],[GASTOS FINANCIEROS $ BOLSA 50 KG (IVA INC)]])</f>
        <v>30114.555958904111</v>
      </c>
      <c r="AF358" s="828" t="s">
        <v>359</v>
      </c>
      <c r="AG358" s="828" t="s">
        <v>365</v>
      </c>
      <c r="AH358" s="828" t="s">
        <v>387</v>
      </c>
      <c r="AI358" s="828" t="s">
        <v>391</v>
      </c>
      <c r="AJ358"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37109</v>
      </c>
      <c r="AK358" s="846">
        <f>SUM(Tabla1[[#This Row],[PRECIO $ BOLSA 50KG  FOB CDO TUC (IVA INC)]]-Tabla1[[#This Row],[PRECIO REF $ BOLSA 50 KG CACTU (IVA INC)]])</f>
        <v>-6994.4440410958887</v>
      </c>
      <c r="AL358" s="847">
        <f>IFERROR(Tabla1[[#This Row],[PRECIO $ BOLSA 50KG  FOB CDO TUC (IVA INC)]]/Tabla1[[#This Row],[PRECIO REF $ BOLSA 50 KG CACTU (IVA INC)]]-1,"")</f>
        <v>-0.18848376515389498</v>
      </c>
      <c r="AM358" s="846">
        <f>+Tabla1[[#This Row],[DIF $ PRECIO NETO INDUSTRIA vs Neto TUCUMAN (IVA INC)]]*Tabla1[[#This Row],[Q Bolsas Equivalentes 50kg]]</f>
        <v>-5595555.2328767106</v>
      </c>
      <c r="AN358" s="846">
        <f>Tabla1[[#This Row],[PRECIO REF $ BOLSA 50 KG CACTU (IVA INC)]]*Tabla1[[#This Row],[Q Bolsas Equivalentes 50kg]]</f>
        <v>29687200</v>
      </c>
      <c r="AO358" s="846">
        <f>+Tabla1[[#This Row],[PRECIO $ BOLSA 50KG  FOB CDO TUC (IVA INC)]]*Tabla1[[#This Row],[Q Bolsas Equivalentes 50kg]]</f>
        <v>24091644.767123289</v>
      </c>
      <c r="AP358" s="847">
        <v>2.9000000000000001E-2</v>
      </c>
      <c r="AQ358" s="846">
        <v>-74.5</v>
      </c>
      <c r="AR358" s="828"/>
      <c r="AS358" s="849"/>
      <c r="AT358" s="923">
        <f>+Tabla1[[#This Row],[VENTA TOTAL $ (IVA INC) ]]-(SUM(Tabla1[[#This Row],[PENDIENTE DE ENTREGA]:[VALORES COBRADOS]]))</f>
        <v>0</v>
      </c>
      <c r="AU358" s="850">
        <f>VLOOKUP(Tabla1[[#This Row],[FECHA OC]],'TIPO DE CAMBIO'!A:B,2,TRUE)</f>
        <v>1398.8345999999999</v>
      </c>
      <c r="AV358" s="850">
        <f>+Tabla1[[#This Row],[SUBTOTAL]]/Tabla1[[#This Row],[TIPO DE CAMBIO]]</f>
        <v>14179.453913852041</v>
      </c>
      <c r="AW358" s="851"/>
      <c r="AX358" s="850">
        <f>IFERROR(Tabla1[[#This Row],[VENTA TOTAL USD A PLAZO EN CLIENTE  (SIN IVA)]]*(1+Tabla1[[#This Row],[% IVA ]]),"")</f>
        <v>14179.453913852041</v>
      </c>
      <c r="AY358" s="850">
        <f>+Tabla1[[#This Row],[VENTA TOTAL USD A PLAZO EN CLIENTE  (SIN IVA)]]/Tabla1[[#This Row],[KGS]]*1000</f>
        <v>354.48634784630099</v>
      </c>
      <c r="AZ358" s="850">
        <f>-Tabla1[[#This Row],[COSTO FLETE $ POR BOLSA 5O KG (SIN IVA)]]*20/Tabla1[[#This Row],[TIPO DE CAMBIO]]</f>
        <v>1.0651723942201603</v>
      </c>
      <c r="BA358" s="850">
        <f>+Tabla1[[#This Row],[GASTOS FINANCIEROS $ BOLSA 50 KG (IVA INC)]]*20/Tabla1[[#This Row],[TIPO DE CAMBIO]]</f>
        <v>1.6358039600122791</v>
      </c>
      <c r="BB358" s="850">
        <f>+Tabla1[[#This Row],[PRECIO POR TN USD EN CLIENTE A PLAZO (SIN IVA)]]+Tabla1[[#This Row],[COSTO USD FLETE /TN (SIN IVA)]]+Tabla1[[#This Row],[COSTO FINANCIERO USD POR BOLSA 50KG (IVA INC)]]</f>
        <v>357.1873242005334</v>
      </c>
      <c r="BC358" s="828">
        <v>4</v>
      </c>
      <c r="BD358" s="944" t="s">
        <v>485</v>
      </c>
    </row>
    <row r="359" spans="1:56" ht="15.75" customHeight="1">
      <c r="A359" s="912">
        <v>46204</v>
      </c>
      <c r="B359" s="828">
        <v>1</v>
      </c>
      <c r="C359" s="792" t="s">
        <v>471</v>
      </c>
      <c r="D359" s="829">
        <f>+Tabla1[[#This Row],[FECHA Entrega]]</f>
        <v>46217</v>
      </c>
      <c r="E359" s="830">
        <v>2850</v>
      </c>
      <c r="F359" s="831" t="s">
        <v>448</v>
      </c>
      <c r="G359" s="832" t="s">
        <v>216</v>
      </c>
      <c r="H359" s="852">
        <v>46217</v>
      </c>
      <c r="I359" s="834">
        <f t="shared" si="133"/>
        <v>40000</v>
      </c>
      <c r="J359" s="835">
        <f t="shared" si="134"/>
        <v>495.86776859504135</v>
      </c>
      <c r="K359" s="836">
        <f t="shared" si="135"/>
        <v>19834710.743801653</v>
      </c>
      <c r="L359"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59" s="837">
        <f t="shared" si="137"/>
        <v>24000000</v>
      </c>
      <c r="N359" s="838">
        <v>0</v>
      </c>
      <c r="O359" s="838">
        <v>0</v>
      </c>
      <c r="P359" s="838">
        <v>0</v>
      </c>
      <c r="Q359" s="839">
        <f>+Tabla1[[#This Row],[VENTA TOTAL $ (IVA INC) ]]-Tabla1[[#This Row],[PENDIENTE DE COBRO]]</f>
        <v>24000000</v>
      </c>
      <c r="R359" s="840">
        <f>+Tabla1[[#This Row],[FECHA FC]]+Tabla1[[#This Row],[PLAZO ENTREGA VALORES]]</f>
        <v>46168</v>
      </c>
      <c r="S359" s="840">
        <f>+Tabla1[[#This Row],[FECHA FC]]+Tabla1[[#This Row],[PLAZO PAGO (DIAS)]]</f>
        <v>46217</v>
      </c>
      <c r="T359" s="834">
        <f t="shared" ca="1" si="136"/>
        <v>36</v>
      </c>
      <c r="U359" s="831">
        <v>-49</v>
      </c>
      <c r="V359" s="831"/>
      <c r="W359" s="841">
        <f>+Tabla1[[#This Row],[FECHA VTO VALORES]]+7</f>
        <v>46224</v>
      </c>
      <c r="X359" s="831">
        <v>2399</v>
      </c>
      <c r="Y359" s="840">
        <v>46162</v>
      </c>
      <c r="Z359" s="860">
        <f>Tabla1[[#This Row],[KGS]]/50</f>
        <v>800</v>
      </c>
      <c r="AA359"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59" s="844">
        <f>-Tabla1[[#This Row],[COSTO FLETE $ POR BOLSA 5O KG (SIN IVA)]]*1.21-Tabla1[[#This Row],[PRECIO $/ KG A PLAZO EN CLIENTE ( SIN IVA)]]*0.003*1.21*50</f>
        <v>0.14499999999999602</v>
      </c>
      <c r="AC359" s="845">
        <f>SUM(Tabla1[[#This Row],[PRECIO $ BOLSA 50 KG (IVA INC) ]]+Tabla1[[#This Row],[COSTO FLETE $ BOLSA 50 KG (IVA INC)]])</f>
        <v>30000.145</v>
      </c>
      <c r="AD359" s="844">
        <f>-Tabla1[[#This Row],[PRECIO $ BOLSA 50 KG (IVA INC) ]]*(Tabla1[[#This Row],[TASA FINANCIACION MENSUAL]]/365)*Tabla1[[#This Row],[PLAZO ENTREGA VALORES]]</f>
        <v>116.79452054794521</v>
      </c>
      <c r="AE359" s="845">
        <f>SUM(Tabla1[[#This Row],[PRECIO $ BOLSA50 KG  FOB TUCUMAN A PLAZO (IVA INC)]]+Tabla1[[#This Row],[GASTOS FINANCIEROS $ BOLSA 50 KG (IVA INC)]])</f>
        <v>30116.939520547945</v>
      </c>
      <c r="AF359" s="828" t="s">
        <v>359</v>
      </c>
      <c r="AG359" s="828" t="s">
        <v>365</v>
      </c>
      <c r="AH359" s="828" t="s">
        <v>387</v>
      </c>
      <c r="AI359" s="828" t="s">
        <v>391</v>
      </c>
      <c r="AJ359"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37109</v>
      </c>
      <c r="AK359" s="846">
        <f>SUM(Tabla1[[#This Row],[PRECIO $ BOLSA 50KG  FOB CDO TUC (IVA INC)]]-Tabla1[[#This Row],[PRECIO REF $ BOLSA 50 KG CACTU (IVA INC)]])</f>
        <v>-6992.060479452055</v>
      </c>
      <c r="AL359" s="847">
        <f>IFERROR(Tabla1[[#This Row],[PRECIO $ BOLSA 50KG  FOB CDO TUC (IVA INC)]]/Tabla1[[#This Row],[PRECIO REF $ BOLSA 50 KG CACTU (IVA INC)]]-1,"")</f>
        <v>-0.18841953379104948</v>
      </c>
      <c r="AM359" s="846">
        <f>+Tabla1[[#This Row],[DIF $ PRECIO NETO INDUSTRIA vs Neto TUCUMAN (IVA INC)]]*Tabla1[[#This Row],[Q Bolsas Equivalentes 50kg]]</f>
        <v>-5593648.3835616438</v>
      </c>
      <c r="AN359" s="846">
        <f>Tabla1[[#This Row],[PRECIO REF $ BOLSA 50 KG CACTU (IVA INC)]]*Tabla1[[#This Row],[Q Bolsas Equivalentes 50kg]]</f>
        <v>29687200</v>
      </c>
      <c r="AO359" s="846">
        <f>+Tabla1[[#This Row],[PRECIO $ BOLSA 50KG  FOB CDO TUC (IVA INC)]]*Tabla1[[#This Row],[Q Bolsas Equivalentes 50kg]]</f>
        <v>24093551.616438355</v>
      </c>
      <c r="AP359" s="847">
        <v>2.9000000000000001E-2</v>
      </c>
      <c r="AQ359" s="846">
        <v>-74.5</v>
      </c>
      <c r="AR359" s="828"/>
      <c r="AS359" s="849"/>
      <c r="AT359" s="923">
        <f>+Tabla1[[#This Row],[VENTA TOTAL $ (IVA INC) ]]-(SUM(Tabla1[[#This Row],[PENDIENTE DE ENTREGA]:[VALORES COBRADOS]]))</f>
        <v>0</v>
      </c>
      <c r="AU359" s="850">
        <f>VLOOKUP(Tabla1[[#This Row],[FECHA OC]],'TIPO DE CAMBIO'!A:B,2,TRUE)</f>
        <v>1398.8345999999999</v>
      </c>
      <c r="AV359" s="850">
        <f>+Tabla1[[#This Row],[SUBTOTAL]]/Tabla1[[#This Row],[TIPO DE CAMBIO]]</f>
        <v>14179.453913852041</v>
      </c>
      <c r="AW359" s="851"/>
      <c r="AX359" s="850">
        <f>IFERROR(Tabla1[[#This Row],[VENTA TOTAL USD A PLAZO EN CLIENTE  (SIN IVA)]]*(1+Tabla1[[#This Row],[% IVA ]]),"")</f>
        <v>14179.453913852041</v>
      </c>
      <c r="AY359" s="850">
        <f>+Tabla1[[#This Row],[VENTA TOTAL USD A PLAZO EN CLIENTE  (SIN IVA)]]/Tabla1[[#This Row],[KGS]]*1000</f>
        <v>354.48634784630099</v>
      </c>
      <c r="AZ359" s="850">
        <f>-Tabla1[[#This Row],[COSTO FLETE $ POR BOLSA 5O KG (SIN IVA)]]*20/Tabla1[[#This Row],[TIPO DE CAMBIO]]</f>
        <v>1.0651723942201603</v>
      </c>
      <c r="BA359" s="850">
        <f>+Tabla1[[#This Row],[GASTOS FINANCIEROS $ BOLSA 50 KG (IVA INC)]]*20/Tabla1[[#This Row],[TIPO DE CAMBIO]]</f>
        <v>1.6698832091792013</v>
      </c>
      <c r="BB359" s="850">
        <f>+Tabla1[[#This Row],[PRECIO POR TN USD EN CLIENTE A PLAZO (SIN IVA)]]+Tabla1[[#This Row],[COSTO USD FLETE /TN (SIN IVA)]]+Tabla1[[#This Row],[COSTO FINANCIERO USD POR BOLSA 50KG (IVA INC)]]</f>
        <v>357.22140344970035</v>
      </c>
      <c r="BC359" s="828">
        <v>4</v>
      </c>
      <c r="BD359" s="944" t="s">
        <v>485</v>
      </c>
    </row>
    <row r="360" spans="1:56" ht="18" customHeight="1">
      <c r="A360" s="912">
        <v>46204</v>
      </c>
      <c r="B360" s="828">
        <v>1</v>
      </c>
      <c r="C360" s="792" t="s">
        <v>471</v>
      </c>
      <c r="D360" s="829">
        <f>+Tabla1[[#This Row],[FECHA Entrega]]</f>
        <v>46218</v>
      </c>
      <c r="E360" s="830">
        <v>2850</v>
      </c>
      <c r="F360" s="831" t="s">
        <v>448</v>
      </c>
      <c r="G360" s="832" t="s">
        <v>216</v>
      </c>
      <c r="H360" s="852">
        <v>46218</v>
      </c>
      <c r="I360" s="834">
        <f t="shared" si="133"/>
        <v>40000</v>
      </c>
      <c r="J360" s="835">
        <f t="shared" si="134"/>
        <v>495.86776859504135</v>
      </c>
      <c r="K360" s="836">
        <f t="shared" si="135"/>
        <v>19834710.743801653</v>
      </c>
      <c r="L360"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60" s="837">
        <f t="shared" si="137"/>
        <v>24000000</v>
      </c>
      <c r="N360" s="838">
        <v>0</v>
      </c>
      <c r="O360" s="838">
        <v>0</v>
      </c>
      <c r="P360" s="838">
        <v>0</v>
      </c>
      <c r="Q360" s="839">
        <f>+Tabla1[[#This Row],[VENTA TOTAL $ (IVA INC) ]]-Tabla1[[#This Row],[PENDIENTE DE COBRO]]</f>
        <v>24000000</v>
      </c>
      <c r="R360" s="840">
        <f>+Tabla1[[#This Row],[FECHA FC]]+Tabla1[[#This Row],[PLAZO ENTREGA VALORES]]</f>
        <v>46169</v>
      </c>
      <c r="S360" s="840">
        <f>+Tabla1[[#This Row],[FECHA FC]]+Tabla1[[#This Row],[PLAZO PAGO (DIAS)]]</f>
        <v>46218</v>
      </c>
      <c r="T360" s="834">
        <f t="shared" ca="1" si="136"/>
        <v>37</v>
      </c>
      <c r="U360" s="831">
        <v>-49</v>
      </c>
      <c r="V360" s="831"/>
      <c r="W360" s="841">
        <f>+Tabla1[[#This Row],[FECHA VTO VALORES]]+7</f>
        <v>46225</v>
      </c>
      <c r="X360" s="831">
        <v>2399</v>
      </c>
      <c r="Y360" s="840">
        <v>46162</v>
      </c>
      <c r="Z360" s="860">
        <f>Tabla1[[#This Row],[KGS]]/50</f>
        <v>800</v>
      </c>
      <c r="AA360"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60" s="844">
        <f>-Tabla1[[#This Row],[COSTO FLETE $ POR BOLSA 5O KG (SIN IVA)]]*1.21-Tabla1[[#This Row],[PRECIO $/ KG A PLAZO EN CLIENTE ( SIN IVA)]]*0.003*1.21*50</f>
        <v>0.14499999999999602</v>
      </c>
      <c r="AC360" s="845">
        <f>SUM(Tabla1[[#This Row],[PRECIO $ BOLSA 50 KG (IVA INC) ]]+Tabla1[[#This Row],[COSTO FLETE $ BOLSA 50 KG (IVA INC)]])</f>
        <v>30000.145</v>
      </c>
      <c r="AD360" s="844">
        <f>-Tabla1[[#This Row],[PRECIO $ BOLSA 50 KG (IVA INC) ]]*(Tabla1[[#This Row],[TASA FINANCIACION MENSUAL]]/365)*Tabla1[[#This Row],[PLAZO ENTREGA VALORES]]</f>
        <v>116.79452054794521</v>
      </c>
      <c r="AE360" s="845">
        <f>SUM(Tabla1[[#This Row],[PRECIO $ BOLSA50 KG  FOB TUCUMAN A PLAZO (IVA INC)]]+Tabla1[[#This Row],[GASTOS FINANCIEROS $ BOLSA 50 KG (IVA INC)]])</f>
        <v>30116.939520547945</v>
      </c>
      <c r="AF360" s="828" t="s">
        <v>359</v>
      </c>
      <c r="AG360" s="828" t="s">
        <v>365</v>
      </c>
      <c r="AH360" s="828" t="s">
        <v>387</v>
      </c>
      <c r="AI360" s="828" t="s">
        <v>391</v>
      </c>
      <c r="AJ360"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37109</v>
      </c>
      <c r="AK360" s="846">
        <f>SUM(Tabla1[[#This Row],[PRECIO $ BOLSA 50KG  FOB CDO TUC (IVA INC)]]-Tabla1[[#This Row],[PRECIO REF $ BOLSA 50 KG CACTU (IVA INC)]])</f>
        <v>-6992.060479452055</v>
      </c>
      <c r="AL360" s="847">
        <f>IFERROR(Tabla1[[#This Row],[PRECIO $ BOLSA 50KG  FOB CDO TUC (IVA INC)]]/Tabla1[[#This Row],[PRECIO REF $ BOLSA 50 KG CACTU (IVA INC)]]-1,"")</f>
        <v>-0.18841953379104948</v>
      </c>
      <c r="AM360" s="846">
        <f>+Tabla1[[#This Row],[DIF $ PRECIO NETO INDUSTRIA vs Neto TUCUMAN (IVA INC)]]*Tabla1[[#This Row],[Q Bolsas Equivalentes 50kg]]</f>
        <v>-5593648.3835616438</v>
      </c>
      <c r="AN360" s="846">
        <f>Tabla1[[#This Row],[PRECIO REF $ BOLSA 50 KG CACTU (IVA INC)]]*Tabla1[[#This Row],[Q Bolsas Equivalentes 50kg]]</f>
        <v>29687200</v>
      </c>
      <c r="AO360" s="846">
        <f>+Tabla1[[#This Row],[PRECIO $ BOLSA 50KG  FOB CDO TUC (IVA INC)]]*Tabla1[[#This Row],[Q Bolsas Equivalentes 50kg]]</f>
        <v>24093551.616438355</v>
      </c>
      <c r="AP360" s="847">
        <v>2.9000000000000001E-2</v>
      </c>
      <c r="AQ360" s="846">
        <v>-74.5</v>
      </c>
      <c r="AR360" s="828"/>
      <c r="AS360" s="849"/>
      <c r="AT360" s="923">
        <f>+Tabla1[[#This Row],[VENTA TOTAL $ (IVA INC) ]]-(SUM(Tabla1[[#This Row],[PENDIENTE DE ENTREGA]:[VALORES COBRADOS]]))</f>
        <v>0</v>
      </c>
      <c r="AU360" s="850">
        <f>VLOOKUP(Tabla1[[#This Row],[FECHA OC]],'TIPO DE CAMBIO'!A:B,2,TRUE)</f>
        <v>1398.8345999999999</v>
      </c>
      <c r="AV360" s="850">
        <f>+Tabla1[[#This Row],[SUBTOTAL]]/Tabla1[[#This Row],[TIPO DE CAMBIO]]</f>
        <v>14179.453913852041</v>
      </c>
      <c r="AW360" s="851"/>
      <c r="AX360" s="850">
        <f>IFERROR(Tabla1[[#This Row],[VENTA TOTAL USD A PLAZO EN CLIENTE  (SIN IVA)]]*(1+Tabla1[[#This Row],[% IVA ]]),"")</f>
        <v>14179.453913852041</v>
      </c>
      <c r="AY360" s="850">
        <f>+Tabla1[[#This Row],[VENTA TOTAL USD A PLAZO EN CLIENTE  (SIN IVA)]]/Tabla1[[#This Row],[KGS]]*1000</f>
        <v>354.48634784630099</v>
      </c>
      <c r="AZ360" s="850">
        <f>-Tabla1[[#This Row],[COSTO FLETE $ POR BOLSA 5O KG (SIN IVA)]]*20/Tabla1[[#This Row],[TIPO DE CAMBIO]]</f>
        <v>1.0651723942201603</v>
      </c>
      <c r="BA360" s="850">
        <f>+Tabla1[[#This Row],[GASTOS FINANCIEROS $ BOLSA 50 KG (IVA INC)]]*20/Tabla1[[#This Row],[TIPO DE CAMBIO]]</f>
        <v>1.6698832091792013</v>
      </c>
      <c r="BB360" s="850">
        <f>+Tabla1[[#This Row],[PRECIO POR TN USD EN CLIENTE A PLAZO (SIN IVA)]]+Tabla1[[#This Row],[COSTO USD FLETE /TN (SIN IVA)]]+Tabla1[[#This Row],[COSTO FINANCIERO USD POR BOLSA 50KG (IVA INC)]]</f>
        <v>357.22140344970035</v>
      </c>
      <c r="BC360" s="828">
        <v>4</v>
      </c>
      <c r="BD360" s="944" t="s">
        <v>485</v>
      </c>
    </row>
    <row r="361" spans="1:56" ht="18" customHeight="1">
      <c r="A361" s="912">
        <v>46204</v>
      </c>
      <c r="B361" s="828">
        <v>1</v>
      </c>
      <c r="C361" s="792" t="s">
        <v>471</v>
      </c>
      <c r="D361" s="829">
        <f>+Tabla1[[#This Row],[FECHA Entrega]]</f>
        <v>46219</v>
      </c>
      <c r="E361" s="830">
        <v>2850</v>
      </c>
      <c r="F361" s="831" t="s">
        <v>448</v>
      </c>
      <c r="G361" s="832" t="s">
        <v>216</v>
      </c>
      <c r="H361" s="852">
        <v>46219</v>
      </c>
      <c r="I361" s="834">
        <f t="shared" si="133"/>
        <v>40000</v>
      </c>
      <c r="J361" s="835">
        <f t="shared" si="134"/>
        <v>495.86776859504135</v>
      </c>
      <c r="K361" s="836">
        <f t="shared" si="135"/>
        <v>19834710.743801653</v>
      </c>
      <c r="L361" s="836">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4165289.2561983471</v>
      </c>
      <c r="M361" s="837">
        <f t="shared" si="137"/>
        <v>24000000</v>
      </c>
      <c r="N361" s="838">
        <v>0</v>
      </c>
      <c r="O361" s="838">
        <v>0</v>
      </c>
      <c r="P361" s="838">
        <v>0</v>
      </c>
      <c r="Q361" s="839">
        <f>+Tabla1[[#This Row],[VENTA TOTAL $ (IVA INC) ]]-Tabla1[[#This Row],[PENDIENTE DE COBRO]]</f>
        <v>24000000</v>
      </c>
      <c r="R361" s="840">
        <f>+Tabla1[[#This Row],[FECHA FC]]+Tabla1[[#This Row],[PLAZO ENTREGA VALORES]]</f>
        <v>46169</v>
      </c>
      <c r="S361" s="840">
        <f>+Tabla1[[#This Row],[FECHA FC]]+Tabla1[[#This Row],[PLAZO PAGO (DIAS)]]</f>
        <v>46219</v>
      </c>
      <c r="T361" s="834">
        <f t="shared" ca="1" si="136"/>
        <v>38</v>
      </c>
      <c r="U361" s="831">
        <v>-50</v>
      </c>
      <c r="V361" s="831"/>
      <c r="W361" s="841">
        <f>+Tabla1[[#This Row],[FECHA VTO VALORES]]+7</f>
        <v>46226</v>
      </c>
      <c r="X361" s="831">
        <v>2399</v>
      </c>
      <c r="Y361" s="840">
        <v>46162</v>
      </c>
      <c r="Z361" s="860">
        <f>Tabla1[[#This Row],[KGS]]/50</f>
        <v>800</v>
      </c>
      <c r="AA361" s="861">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30000</v>
      </c>
      <c r="AB361" s="844">
        <f>-Tabla1[[#This Row],[COSTO FLETE $ POR BOLSA 5O KG (SIN IVA)]]*1.21-Tabla1[[#This Row],[PRECIO $/ KG A PLAZO EN CLIENTE ( SIN IVA)]]*0.003*1.21*50</f>
        <v>0.14499999999999602</v>
      </c>
      <c r="AC361" s="845">
        <f>SUM(Tabla1[[#This Row],[PRECIO $ BOLSA 50 KG (IVA INC) ]]+Tabla1[[#This Row],[COSTO FLETE $ BOLSA 50 KG (IVA INC)]])</f>
        <v>30000.145</v>
      </c>
      <c r="AD361" s="844">
        <f>-Tabla1[[#This Row],[PRECIO $ BOLSA 50 KG (IVA INC) ]]*(Tabla1[[#This Row],[TASA FINANCIACION MENSUAL]]/365)*Tabla1[[#This Row],[PLAZO ENTREGA VALORES]]</f>
        <v>119.17808219178083</v>
      </c>
      <c r="AE361" s="845">
        <f>SUM(Tabla1[[#This Row],[PRECIO $ BOLSA50 KG  FOB TUCUMAN A PLAZO (IVA INC)]]+Tabla1[[#This Row],[GASTOS FINANCIEROS $ BOLSA 50 KG (IVA INC)]])</f>
        <v>30119.323082191782</v>
      </c>
      <c r="AF361" s="828" t="s">
        <v>359</v>
      </c>
      <c r="AG361" s="828" t="s">
        <v>365</v>
      </c>
      <c r="AH361" s="828" t="s">
        <v>387</v>
      </c>
      <c r="AI361" s="828" t="s">
        <v>391</v>
      </c>
      <c r="AJ361" s="846">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37109</v>
      </c>
      <c r="AK361" s="846">
        <f>SUM(Tabla1[[#This Row],[PRECIO $ BOLSA 50KG  FOB CDO TUC (IVA INC)]]-Tabla1[[#This Row],[PRECIO REF $ BOLSA 50 KG CACTU (IVA INC)]])</f>
        <v>-6989.6769178082177</v>
      </c>
      <c r="AL361" s="847">
        <f>IFERROR(Tabla1[[#This Row],[PRECIO $ BOLSA 50KG  FOB CDO TUC (IVA INC)]]/Tabla1[[#This Row],[PRECIO REF $ BOLSA 50 KG CACTU (IVA INC)]]-1,"")</f>
        <v>-0.18835530242820386</v>
      </c>
      <c r="AM361" s="846">
        <f>+Tabla1[[#This Row],[DIF $ PRECIO NETO INDUSTRIA vs Neto TUCUMAN (IVA INC)]]*Tabla1[[#This Row],[Q Bolsas Equivalentes 50kg]]</f>
        <v>-5591741.5342465742</v>
      </c>
      <c r="AN361" s="846">
        <f>Tabla1[[#This Row],[PRECIO REF $ BOLSA 50 KG CACTU (IVA INC)]]*Tabla1[[#This Row],[Q Bolsas Equivalentes 50kg]]</f>
        <v>29687200</v>
      </c>
      <c r="AO361" s="846">
        <f>+Tabla1[[#This Row],[PRECIO $ BOLSA 50KG  FOB CDO TUC (IVA INC)]]*Tabla1[[#This Row],[Q Bolsas Equivalentes 50kg]]</f>
        <v>24095458.465753425</v>
      </c>
      <c r="AP361" s="847">
        <v>2.9000000000000001E-2</v>
      </c>
      <c r="AQ361" s="846">
        <v>-74.5</v>
      </c>
      <c r="AR361" s="828"/>
      <c r="AS361" s="849"/>
      <c r="AT361" s="923">
        <f>+Tabla1[[#This Row],[VENTA TOTAL $ (IVA INC) ]]-(SUM(Tabla1[[#This Row],[PENDIENTE DE ENTREGA]:[VALORES COBRADOS]]))</f>
        <v>0</v>
      </c>
      <c r="AU361" s="850">
        <f>VLOOKUP(Tabla1[[#This Row],[FECHA OC]],'TIPO DE CAMBIO'!A:B,2,TRUE)</f>
        <v>1398.8345999999999</v>
      </c>
      <c r="AV361" s="850">
        <f>+Tabla1[[#This Row],[SUBTOTAL]]/Tabla1[[#This Row],[TIPO DE CAMBIO]]</f>
        <v>14179.453913852041</v>
      </c>
      <c r="AW361" s="851"/>
      <c r="AX361" s="850">
        <f>IFERROR(Tabla1[[#This Row],[VENTA TOTAL USD A PLAZO EN CLIENTE  (SIN IVA)]]*(1+Tabla1[[#This Row],[% IVA ]]),"")</f>
        <v>14179.453913852041</v>
      </c>
      <c r="AY361" s="850">
        <f>+Tabla1[[#This Row],[VENTA TOTAL USD A PLAZO EN CLIENTE  (SIN IVA)]]/Tabla1[[#This Row],[KGS]]*1000</f>
        <v>354.48634784630099</v>
      </c>
      <c r="AZ361" s="850">
        <f>-Tabla1[[#This Row],[COSTO FLETE $ POR BOLSA 5O KG (SIN IVA)]]*20/Tabla1[[#This Row],[TIPO DE CAMBIO]]</f>
        <v>1.0651723942201603</v>
      </c>
      <c r="BA361" s="850">
        <f>+Tabla1[[#This Row],[GASTOS FINANCIEROS $ BOLSA 50 KG (IVA INC)]]*20/Tabla1[[#This Row],[TIPO DE CAMBIO]]</f>
        <v>1.7039624583461237</v>
      </c>
      <c r="BB361" s="850">
        <f>+Tabla1[[#This Row],[PRECIO POR TN USD EN CLIENTE A PLAZO (SIN IVA)]]+Tabla1[[#This Row],[COSTO USD FLETE /TN (SIN IVA)]]+Tabla1[[#This Row],[COSTO FINANCIERO USD POR BOLSA 50KG (IVA INC)]]</f>
        <v>357.25548269886724</v>
      </c>
      <c r="BC361" s="828">
        <v>4</v>
      </c>
      <c r="BD361" s="944" t="s">
        <v>485</v>
      </c>
    </row>
    <row r="362" spans="1:56" ht="18" customHeight="1">
      <c r="A362" s="912">
        <v>46204</v>
      </c>
      <c r="B362" s="853"/>
      <c r="C362" s="792"/>
      <c r="D362" s="829">
        <f>+Tabla1[[#This Row],[FECHA Entrega]]</f>
        <v>0</v>
      </c>
      <c r="E362" s="830"/>
      <c r="F362" s="831"/>
      <c r="G362" s="832"/>
      <c r="H362" s="852"/>
      <c r="I362" s="834"/>
      <c r="J362" s="835"/>
      <c r="K362" s="836">
        <f t="shared" si="127"/>
        <v>0</v>
      </c>
      <c r="L36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62" s="837">
        <f t="shared" si="137"/>
        <v>0</v>
      </c>
      <c r="N362" s="838">
        <f>+Tabla1[[#This Row],[VENTA TOTAL $ (IVA INC) ]]</f>
        <v>0</v>
      </c>
      <c r="O362" s="838">
        <v>0</v>
      </c>
      <c r="P362" s="838">
        <v>0</v>
      </c>
      <c r="Q362" s="839">
        <f>+Tabla1[[#This Row],[VENTA TOTAL $ (IVA INC) ]]-Tabla1[[#This Row],[PENDIENTE DE COBRO]]</f>
        <v>0</v>
      </c>
      <c r="R362" s="840">
        <f>+Tabla1[[#This Row],[FECHA FC]]+Tabla1[[#This Row],[PLAZO ENTREGA VALORES]]</f>
        <v>0</v>
      </c>
      <c r="S362" s="840">
        <f>+Tabla1[[#This Row],[FECHA FC]]+Tabla1[[#This Row],[PLAZO PAGO (DIAS)]]</f>
        <v>0</v>
      </c>
      <c r="T362" s="834">
        <f t="shared" ca="1" si="128"/>
        <v>-46181</v>
      </c>
      <c r="U362" s="831"/>
      <c r="V362" s="831"/>
      <c r="W362" s="841">
        <f>+Tabla1[[#This Row],[FECHA VTO VALORES]]+7</f>
        <v>7</v>
      </c>
      <c r="X362" s="830"/>
      <c r="Y362" s="859"/>
      <c r="Z362" s="860">
        <f>Tabla1[[#This Row],[KGS]]/50</f>
        <v>0</v>
      </c>
      <c r="AA36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62" s="844">
        <f>-Tabla1[[#This Row],[COSTO FLETE $ POR BOLSA 5O KG (SIN IVA)]]*1.21-Tabla1[[#This Row],[PRECIO $/ KG A PLAZO EN CLIENTE ( SIN IVA)]]*0.003*1.21*50</f>
        <v>0</v>
      </c>
      <c r="AC362" s="845" t="e">
        <f>SUM(Tabla1[[#This Row],[PRECIO $ BOLSA 50 KG (IVA INC) ]]+Tabla1[[#This Row],[COSTO FLETE $ BOLSA 50 KG (IVA INC)]])</f>
        <v>#VALUE!</v>
      </c>
      <c r="AD362" s="844" t="e">
        <f>-Tabla1[[#This Row],[PRECIO $ BOLSA 50 KG (IVA INC) ]]*(Tabla1[[#This Row],[TASA FINANCIACION MENSUAL]]/365)*Tabla1[[#This Row],[PLAZO ENTREGA VALORES]]</f>
        <v>#VALUE!</v>
      </c>
      <c r="AE362" s="845" t="e">
        <f>SUM(Tabla1[[#This Row],[PRECIO $ BOLSA50 KG  FOB TUCUMAN A PLAZO (IVA INC)]]+Tabla1[[#This Row],[GASTOS FINANCIEROS $ BOLSA 50 KG (IVA INC)]])</f>
        <v>#VALUE!</v>
      </c>
      <c r="AF362" s="828"/>
      <c r="AG362" s="828"/>
      <c r="AH362" s="828"/>
      <c r="AI362" s="828"/>
      <c r="AJ36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62" s="846" t="e">
        <f>SUM(Tabla1[[#This Row],[PRECIO $ BOLSA 50KG  FOB CDO TUC (IVA INC)]]-Tabla1[[#This Row],[PRECIO REF $ BOLSA 50 KG CACTU (IVA INC)]])</f>
        <v>#VALUE!</v>
      </c>
      <c r="AL362" s="847" t="str">
        <f>IFERROR(Tabla1[[#This Row],[PRECIO $ BOLSA 50KG  FOB CDO TUC (IVA INC)]]/Tabla1[[#This Row],[PRECIO REF $ BOLSA 50 KG CACTU (IVA INC)]]-1,"")</f>
        <v/>
      </c>
      <c r="AM362" s="846" t="e">
        <f>+Tabla1[[#This Row],[DIF $ PRECIO NETO INDUSTRIA vs Neto TUCUMAN (IVA INC)]]*Tabla1[[#This Row],[Q Bolsas Equivalentes 50kg]]</f>
        <v>#VALUE!</v>
      </c>
      <c r="AN362" s="846" t="e">
        <f>Tabla1[[#This Row],[PRECIO REF $ BOLSA 50 KG CACTU (IVA INC)]]*Tabla1[[#This Row],[Q Bolsas Equivalentes 50kg]]</f>
        <v>#VALUE!</v>
      </c>
      <c r="AO362" s="846" t="e">
        <f>+Tabla1[[#This Row],[PRECIO $ BOLSA 50KG  FOB CDO TUC (IVA INC)]]*Tabla1[[#This Row],[Q Bolsas Equivalentes 50kg]]</f>
        <v>#VALUE!</v>
      </c>
      <c r="AP362" s="847"/>
      <c r="AQ362" s="846">
        <v>0</v>
      </c>
      <c r="AR362" s="828"/>
      <c r="AS362" s="849"/>
      <c r="AT362" s="923">
        <f>+Tabla1[[#This Row],[VENTA TOTAL $ (IVA INC) ]]-(SUM(Tabla1[[#This Row],[PENDIENTE DE ENTREGA]:[VALORES COBRADOS]]))</f>
        <v>0</v>
      </c>
      <c r="AU362" s="850" t="e">
        <f>VLOOKUP(Tabla1[[#This Row],[FECHA OC]],'TIPO DE CAMBIO'!A:B,2,TRUE)</f>
        <v>#N/A</v>
      </c>
      <c r="AV362" s="850" t="e">
        <f>+Tabla1[[#This Row],[SUBTOTAL]]/Tabla1[[#This Row],[TIPO DE CAMBIO]]</f>
        <v>#N/A</v>
      </c>
      <c r="AW362" s="851"/>
      <c r="AX362" s="850" t="str">
        <f>IFERROR(Tabla1[[#This Row],[VENTA TOTAL USD A PLAZO EN CLIENTE  (SIN IVA)]]*(1+Tabla1[[#This Row],[% IVA ]]),"")</f>
        <v/>
      </c>
      <c r="AY362" s="850" t="e">
        <f>+Tabla1[[#This Row],[VENTA TOTAL USD A PLAZO EN CLIENTE  (SIN IVA)]]/Tabla1[[#This Row],[KGS]]*1000</f>
        <v>#N/A</v>
      </c>
      <c r="AZ362" s="850" t="e">
        <f>-Tabla1[[#This Row],[COSTO FLETE $ POR BOLSA 5O KG (SIN IVA)]]*20/Tabla1[[#This Row],[TIPO DE CAMBIO]]</f>
        <v>#N/A</v>
      </c>
      <c r="BA362" s="850" t="e">
        <f>+Tabla1[[#This Row],[GASTOS FINANCIEROS $ BOLSA 50 KG (IVA INC)]]*20/Tabla1[[#This Row],[TIPO DE CAMBIO]]</f>
        <v>#VALUE!</v>
      </c>
      <c r="BB362" s="850" t="e">
        <f>+Tabla1[[#This Row],[PRECIO POR TN USD EN CLIENTE A PLAZO (SIN IVA)]]+Tabla1[[#This Row],[COSTO USD FLETE /TN (SIN IVA)]]+Tabla1[[#This Row],[COSTO FINANCIERO USD POR BOLSA 50KG (IVA INC)]]</f>
        <v>#N/A</v>
      </c>
      <c r="BC362" s="848"/>
      <c r="BD362" s="944"/>
    </row>
    <row r="363" spans="1:56" ht="18" customHeight="1">
      <c r="A363" s="912">
        <v>46235</v>
      </c>
      <c r="B363" s="853"/>
      <c r="C363" s="792"/>
      <c r="D363" s="829">
        <f>+Tabla1[[#This Row],[FECHA Entrega]]</f>
        <v>0</v>
      </c>
      <c r="E363" s="830"/>
      <c r="F363" s="831"/>
      <c r="G363" s="832"/>
      <c r="H363" s="852"/>
      <c r="I363" s="834"/>
      <c r="J363" s="835"/>
      <c r="K363" s="836">
        <f t="shared" si="127"/>
        <v>0</v>
      </c>
      <c r="L36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63" s="837">
        <f t="shared" si="137"/>
        <v>0</v>
      </c>
      <c r="N363" s="838">
        <f>+Tabla1[[#This Row],[VENTA TOTAL $ (IVA INC) ]]</f>
        <v>0</v>
      </c>
      <c r="O363" s="838">
        <v>0</v>
      </c>
      <c r="P363" s="838">
        <v>0</v>
      </c>
      <c r="Q363" s="839">
        <f>+Tabla1[[#This Row],[VENTA TOTAL $ (IVA INC) ]]-Tabla1[[#This Row],[PENDIENTE DE COBRO]]</f>
        <v>0</v>
      </c>
      <c r="R363" s="840">
        <f>+Tabla1[[#This Row],[FECHA FC]]+Tabla1[[#This Row],[PLAZO ENTREGA VALORES]]</f>
        <v>0</v>
      </c>
      <c r="S363" s="840">
        <f>+Tabla1[[#This Row],[FECHA FC]]+Tabla1[[#This Row],[PLAZO PAGO (DIAS)]]</f>
        <v>0</v>
      </c>
      <c r="T363" s="834">
        <f t="shared" ca="1" si="128"/>
        <v>-46181</v>
      </c>
      <c r="U363" s="831"/>
      <c r="V363" s="831"/>
      <c r="W363" s="841">
        <f>+Tabla1[[#This Row],[FECHA VTO VALORES]]+7</f>
        <v>7</v>
      </c>
      <c r="X363" s="830"/>
      <c r="Y363" s="859"/>
      <c r="Z363" s="860">
        <f>Tabla1[[#This Row],[KGS]]/50</f>
        <v>0</v>
      </c>
      <c r="AA36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63" s="844">
        <f>-Tabla1[[#This Row],[COSTO FLETE $ POR BOLSA 5O KG (SIN IVA)]]*1.21-Tabla1[[#This Row],[PRECIO $/ KG A PLAZO EN CLIENTE ( SIN IVA)]]*0.003*1.21*50</f>
        <v>0</v>
      </c>
      <c r="AC363" s="845" t="e">
        <f>SUM(Tabla1[[#This Row],[PRECIO $ BOLSA 50 KG (IVA INC) ]]+Tabla1[[#This Row],[COSTO FLETE $ BOLSA 50 KG (IVA INC)]])</f>
        <v>#VALUE!</v>
      </c>
      <c r="AD363" s="844" t="e">
        <f>-Tabla1[[#This Row],[PRECIO $ BOLSA 50 KG (IVA INC) ]]*(Tabla1[[#This Row],[TASA FINANCIACION MENSUAL]]/365)*Tabla1[[#This Row],[PLAZO ENTREGA VALORES]]</f>
        <v>#VALUE!</v>
      </c>
      <c r="AE363" s="845" t="e">
        <f>SUM(Tabla1[[#This Row],[PRECIO $ BOLSA50 KG  FOB TUCUMAN A PLAZO (IVA INC)]]+Tabla1[[#This Row],[GASTOS FINANCIEROS $ BOLSA 50 KG (IVA INC)]])</f>
        <v>#VALUE!</v>
      </c>
      <c r="AF363" s="828"/>
      <c r="AG363" s="828"/>
      <c r="AH363" s="828"/>
      <c r="AI363" s="828"/>
      <c r="AJ36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63" s="846" t="e">
        <f>SUM(Tabla1[[#This Row],[PRECIO $ BOLSA 50KG  FOB CDO TUC (IVA INC)]]-Tabla1[[#This Row],[PRECIO REF $ BOLSA 50 KG CACTU (IVA INC)]])</f>
        <v>#VALUE!</v>
      </c>
      <c r="AL363" s="847" t="str">
        <f>IFERROR(Tabla1[[#This Row],[PRECIO $ BOLSA 50KG  FOB CDO TUC (IVA INC)]]/Tabla1[[#This Row],[PRECIO REF $ BOLSA 50 KG CACTU (IVA INC)]]-1,"")</f>
        <v/>
      </c>
      <c r="AM363" s="846" t="e">
        <f>+Tabla1[[#This Row],[DIF $ PRECIO NETO INDUSTRIA vs Neto TUCUMAN (IVA INC)]]*Tabla1[[#This Row],[Q Bolsas Equivalentes 50kg]]</f>
        <v>#VALUE!</v>
      </c>
      <c r="AN363" s="846" t="e">
        <f>Tabla1[[#This Row],[PRECIO REF $ BOLSA 50 KG CACTU (IVA INC)]]*Tabla1[[#This Row],[Q Bolsas Equivalentes 50kg]]</f>
        <v>#VALUE!</v>
      </c>
      <c r="AO363" s="846" t="e">
        <f>+Tabla1[[#This Row],[PRECIO $ BOLSA 50KG  FOB CDO TUC (IVA INC)]]*Tabla1[[#This Row],[Q Bolsas Equivalentes 50kg]]</f>
        <v>#VALUE!</v>
      </c>
      <c r="AP363" s="847"/>
      <c r="AQ363" s="846">
        <v>0</v>
      </c>
      <c r="AR363" s="828"/>
      <c r="AS363" s="849"/>
      <c r="AT363" s="923">
        <f>+Tabla1[[#This Row],[VENTA TOTAL $ (IVA INC) ]]-(SUM(Tabla1[[#This Row],[PENDIENTE DE ENTREGA]:[VALORES COBRADOS]]))</f>
        <v>0</v>
      </c>
      <c r="AU363" s="850" t="e">
        <f>VLOOKUP(Tabla1[[#This Row],[FECHA OC]],'TIPO DE CAMBIO'!A:B,2,TRUE)</f>
        <v>#N/A</v>
      </c>
      <c r="AV363" s="850" t="e">
        <f>+Tabla1[[#This Row],[SUBTOTAL]]/Tabla1[[#This Row],[TIPO DE CAMBIO]]</f>
        <v>#N/A</v>
      </c>
      <c r="AW363" s="851"/>
      <c r="AX363" s="850" t="str">
        <f>IFERROR(Tabla1[[#This Row],[VENTA TOTAL USD A PLAZO EN CLIENTE  (SIN IVA)]]*(1+Tabla1[[#This Row],[% IVA ]]),"")</f>
        <v/>
      </c>
      <c r="AY363" s="850" t="e">
        <f>+Tabla1[[#This Row],[VENTA TOTAL USD A PLAZO EN CLIENTE  (SIN IVA)]]/Tabla1[[#This Row],[KGS]]*1000</f>
        <v>#N/A</v>
      </c>
      <c r="AZ363" s="850" t="e">
        <f>-Tabla1[[#This Row],[COSTO FLETE $ POR BOLSA 5O KG (SIN IVA)]]*20/Tabla1[[#This Row],[TIPO DE CAMBIO]]</f>
        <v>#N/A</v>
      </c>
      <c r="BA363" s="850" t="e">
        <f>+Tabla1[[#This Row],[GASTOS FINANCIEROS $ BOLSA 50 KG (IVA INC)]]*20/Tabla1[[#This Row],[TIPO DE CAMBIO]]</f>
        <v>#VALUE!</v>
      </c>
      <c r="BB363" s="850" t="e">
        <f>+Tabla1[[#This Row],[PRECIO POR TN USD EN CLIENTE A PLAZO (SIN IVA)]]+Tabla1[[#This Row],[COSTO USD FLETE /TN (SIN IVA)]]+Tabla1[[#This Row],[COSTO FINANCIERO USD POR BOLSA 50KG (IVA INC)]]</f>
        <v>#N/A</v>
      </c>
      <c r="BC363" s="828"/>
      <c r="BD363" s="944"/>
    </row>
    <row r="364" spans="1:56" ht="18" customHeight="1">
      <c r="A364" s="912">
        <v>46235</v>
      </c>
      <c r="B364" s="853"/>
      <c r="C364" s="792"/>
      <c r="D364" s="829">
        <f>+Tabla1[[#This Row],[FECHA Entrega]]</f>
        <v>0</v>
      </c>
      <c r="E364" s="830"/>
      <c r="F364" s="831"/>
      <c r="G364" s="832"/>
      <c r="H364" s="852"/>
      <c r="I364" s="834"/>
      <c r="J364" s="835"/>
      <c r="K364" s="836">
        <f t="shared" si="127"/>
        <v>0</v>
      </c>
      <c r="L36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64" s="837">
        <f t="shared" si="137"/>
        <v>0</v>
      </c>
      <c r="N364" s="838">
        <f>+Tabla1[[#This Row],[VENTA TOTAL $ (IVA INC) ]]</f>
        <v>0</v>
      </c>
      <c r="O364" s="838">
        <v>0</v>
      </c>
      <c r="P364" s="838">
        <v>0</v>
      </c>
      <c r="Q364" s="839">
        <f>+Tabla1[[#This Row],[VENTA TOTAL $ (IVA INC) ]]-Tabla1[[#This Row],[PENDIENTE DE COBRO]]</f>
        <v>0</v>
      </c>
      <c r="R364" s="840">
        <f>+Tabla1[[#This Row],[FECHA FC]]+Tabla1[[#This Row],[PLAZO ENTREGA VALORES]]</f>
        <v>0</v>
      </c>
      <c r="S364" s="840">
        <f>+Tabla1[[#This Row],[FECHA FC]]+Tabla1[[#This Row],[PLAZO PAGO (DIAS)]]</f>
        <v>0</v>
      </c>
      <c r="T364" s="834">
        <f t="shared" ca="1" si="128"/>
        <v>-46181</v>
      </c>
      <c r="U364" s="831"/>
      <c r="V364" s="831"/>
      <c r="W364" s="841">
        <f>+Tabla1[[#This Row],[FECHA VTO VALORES]]+7</f>
        <v>7</v>
      </c>
      <c r="X364" s="830"/>
      <c r="Y364" s="859"/>
      <c r="Z364" s="860">
        <f>Tabla1[[#This Row],[KGS]]/50</f>
        <v>0</v>
      </c>
      <c r="AA36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64" s="844">
        <f>-Tabla1[[#This Row],[COSTO FLETE $ POR BOLSA 5O KG (SIN IVA)]]*1.21-Tabla1[[#This Row],[PRECIO $/ KG A PLAZO EN CLIENTE ( SIN IVA)]]*0.003*1.21*50</f>
        <v>0</v>
      </c>
      <c r="AC364" s="845" t="e">
        <f>+Tabla1[[#This Row],[PRECIO $ BOLSA 50 KG (IVA INC) ]]+Tabla1[[#This Row],[COSTO FLETE $ BOLSA 50 KG (IVA INC)]]</f>
        <v>#VALUE!</v>
      </c>
      <c r="AD364" s="844" t="e">
        <f>-Tabla1[[#This Row],[PRECIO $ BOLSA 50 KG (IVA INC) ]]*(Tabla1[[#This Row],[TASA FINANCIACION MENSUAL]]/365)*Tabla1[[#This Row],[PLAZO ENTREGA VALORES]]</f>
        <v>#VALUE!</v>
      </c>
      <c r="AE364" s="845" t="e">
        <f>SUM(Tabla1[[#This Row],[PRECIO $ BOLSA50 KG  FOB TUCUMAN A PLAZO (IVA INC)]]+Tabla1[[#This Row],[GASTOS FINANCIEROS $ BOLSA 50 KG (IVA INC)]])</f>
        <v>#VALUE!</v>
      </c>
      <c r="AF364" s="828"/>
      <c r="AG364" s="828"/>
      <c r="AH364" s="828"/>
      <c r="AI364" s="828"/>
      <c r="AJ36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64" s="846" t="e">
        <f>SUM(Tabla1[[#This Row],[PRECIO $ BOLSA 50KG  FOB CDO TUC (IVA INC)]]-Tabla1[[#This Row],[PRECIO REF $ BOLSA 50 KG CACTU (IVA INC)]])</f>
        <v>#VALUE!</v>
      </c>
      <c r="AL364" s="847" t="str">
        <f>IFERROR(Tabla1[[#This Row],[PRECIO $ BOLSA 50KG  FOB CDO TUC (IVA INC)]]/Tabla1[[#This Row],[PRECIO REF $ BOLSA 50 KG CACTU (IVA INC)]]-1,"")</f>
        <v/>
      </c>
      <c r="AM364" s="846" t="e">
        <f>+Tabla1[[#This Row],[DIF $ PRECIO NETO INDUSTRIA vs Neto TUCUMAN (IVA INC)]]*Tabla1[[#This Row],[Q Bolsas Equivalentes 50kg]]</f>
        <v>#VALUE!</v>
      </c>
      <c r="AN364" s="846" t="e">
        <f>Tabla1[[#This Row],[PRECIO REF $ BOLSA 50 KG CACTU (IVA INC)]]*Tabla1[[#This Row],[Q Bolsas Equivalentes 50kg]]</f>
        <v>#VALUE!</v>
      </c>
      <c r="AO364" s="846" t="e">
        <f>+Tabla1[[#This Row],[PRECIO $ BOLSA 50KG  FOB CDO TUC (IVA INC)]]*Tabla1[[#This Row],[Q Bolsas Equivalentes 50kg]]</f>
        <v>#VALUE!</v>
      </c>
      <c r="AP364" s="847"/>
      <c r="AQ364" s="846">
        <v>0</v>
      </c>
      <c r="AR364" s="828"/>
      <c r="AS364" s="849"/>
      <c r="AT364" s="923">
        <f>+Tabla1[[#This Row],[VENTA TOTAL $ (IVA INC) ]]-(SUM(Tabla1[[#This Row],[PENDIENTE DE ENTREGA]:[VALORES COBRADOS]]))</f>
        <v>0</v>
      </c>
      <c r="AU364" s="850" t="e">
        <f>VLOOKUP(Tabla1[[#This Row],[FECHA OC]],'TIPO DE CAMBIO'!A:B,2,TRUE)</f>
        <v>#N/A</v>
      </c>
      <c r="AV364" s="850" t="e">
        <f>+Tabla1[[#This Row],[SUBTOTAL]]/Tabla1[[#This Row],[TIPO DE CAMBIO]]</f>
        <v>#N/A</v>
      </c>
      <c r="AW364" s="851"/>
      <c r="AX364" s="850" t="str">
        <f>IFERROR(Tabla1[[#This Row],[VENTA TOTAL USD A PLAZO EN CLIENTE  (SIN IVA)]]*(1+Tabla1[[#This Row],[% IVA ]]),"")</f>
        <v/>
      </c>
      <c r="AY364" s="850" t="e">
        <f>+Tabla1[[#This Row],[VENTA TOTAL USD A PLAZO EN CLIENTE  (SIN IVA)]]/Tabla1[[#This Row],[KGS]]*1000</f>
        <v>#N/A</v>
      </c>
      <c r="AZ364" s="850" t="e">
        <f>-Tabla1[[#This Row],[COSTO FLETE $ POR BOLSA 5O KG (SIN IVA)]]*20/Tabla1[[#This Row],[TIPO DE CAMBIO]]</f>
        <v>#N/A</v>
      </c>
      <c r="BA364" s="850" t="e">
        <f>+Tabla1[[#This Row],[GASTOS FINANCIEROS $ BOLSA 50 KG (IVA INC)]]*20/Tabla1[[#This Row],[TIPO DE CAMBIO]]</f>
        <v>#VALUE!</v>
      </c>
      <c r="BB364" s="850" t="e">
        <f>+Tabla1[[#This Row],[PRECIO POR TN USD EN CLIENTE A PLAZO (SIN IVA)]]+Tabla1[[#This Row],[COSTO USD FLETE /TN (SIN IVA)]]+Tabla1[[#This Row],[COSTO FINANCIERO USD POR BOLSA 50KG (IVA INC)]]</f>
        <v>#N/A</v>
      </c>
      <c r="BC364" s="848"/>
      <c r="BD364" s="944"/>
    </row>
    <row r="365" spans="1:56" ht="15.75" customHeight="1">
      <c r="A365" s="912">
        <v>46235</v>
      </c>
      <c r="B365" s="828"/>
      <c r="C365" s="792"/>
      <c r="D365" s="829">
        <f>+Tabla1[[#This Row],[FECHA Entrega]]</f>
        <v>0</v>
      </c>
      <c r="E365" s="830"/>
      <c r="F365" s="831"/>
      <c r="G365" s="832"/>
      <c r="H365" s="852"/>
      <c r="I365" s="834"/>
      <c r="J365" s="858"/>
      <c r="K365" s="836">
        <f t="shared" si="127"/>
        <v>0</v>
      </c>
      <c r="L36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65" s="837">
        <f t="shared" si="137"/>
        <v>0</v>
      </c>
      <c r="N365" s="838">
        <f>+Tabla1[[#This Row],[VENTA TOTAL $ (IVA INC) ]]</f>
        <v>0</v>
      </c>
      <c r="O365" s="838">
        <v>0</v>
      </c>
      <c r="P365" s="838">
        <v>0</v>
      </c>
      <c r="Q365" s="839">
        <f>+Tabla1[[#This Row],[VENTA TOTAL $ (IVA INC) ]]-Tabla1[[#This Row],[PENDIENTE DE COBRO]]</f>
        <v>0</v>
      </c>
      <c r="R365" s="840">
        <f>+Tabla1[[#This Row],[FECHA FC]]+Tabla1[[#This Row],[PLAZO ENTREGA VALORES]]</f>
        <v>0</v>
      </c>
      <c r="S365" s="840">
        <f>+Tabla1[[#This Row],[FECHA FC]]+Tabla1[[#This Row],[PLAZO PAGO (DIAS)]]</f>
        <v>0</v>
      </c>
      <c r="T365" s="834">
        <f t="shared" ca="1" si="128"/>
        <v>-46181</v>
      </c>
      <c r="U365" s="831"/>
      <c r="V365" s="831"/>
      <c r="W365" s="841">
        <f>+Tabla1[[#This Row],[FECHA VTO VALORES]]+7</f>
        <v>7</v>
      </c>
      <c r="X365" s="830"/>
      <c r="Y365" s="859"/>
      <c r="Z365" s="860">
        <f>Tabla1[[#This Row],[KGS]]/50</f>
        <v>0</v>
      </c>
      <c r="AA36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65" s="844">
        <f>-Tabla1[[#This Row],[COSTO FLETE $ POR BOLSA 5O KG (SIN IVA)]]*1.21-Tabla1[[#This Row],[PRECIO $/ KG A PLAZO EN CLIENTE ( SIN IVA)]]*0.003*1.21*50</f>
        <v>0</v>
      </c>
      <c r="AC365" s="845" t="e">
        <f>SUM(Tabla1[[#This Row],[PRECIO $ BOLSA 50 KG (IVA INC) ]]+Tabla1[[#This Row],[COSTO FLETE $ BOLSA 50 KG (IVA INC)]])</f>
        <v>#VALUE!</v>
      </c>
      <c r="AD365" s="844" t="e">
        <f>-Tabla1[[#This Row],[PRECIO $ BOLSA 50 KG (IVA INC) ]]*(Tabla1[[#This Row],[TASA FINANCIACION MENSUAL]]/365)*Tabla1[[#This Row],[PLAZO ENTREGA VALORES]]</f>
        <v>#VALUE!</v>
      </c>
      <c r="AE365" s="845" t="e">
        <f>SUM(Tabla1[[#This Row],[PRECIO $ BOLSA50 KG  FOB TUCUMAN A PLAZO (IVA INC)]]+Tabla1[[#This Row],[GASTOS FINANCIEROS $ BOLSA 50 KG (IVA INC)]])</f>
        <v>#VALUE!</v>
      </c>
      <c r="AF365" s="828"/>
      <c r="AG365" s="828"/>
      <c r="AH365" s="828"/>
      <c r="AI365" s="828"/>
      <c r="AJ36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65" s="846" t="e">
        <f>SUM(Tabla1[[#This Row],[PRECIO $ BOLSA 50KG  FOB CDO TUC (IVA INC)]]-Tabla1[[#This Row],[PRECIO REF $ BOLSA 50 KG CACTU (IVA INC)]])</f>
        <v>#VALUE!</v>
      </c>
      <c r="AL365" s="847" t="str">
        <f>IFERROR(Tabla1[[#This Row],[PRECIO $ BOLSA 50KG  FOB CDO TUC (IVA INC)]]/Tabla1[[#This Row],[PRECIO REF $ BOLSA 50 KG CACTU (IVA INC)]]-1,"")</f>
        <v/>
      </c>
      <c r="AM365" s="846" t="e">
        <f>+Tabla1[[#This Row],[DIF $ PRECIO NETO INDUSTRIA vs Neto TUCUMAN (IVA INC)]]*Tabla1[[#This Row],[Q Bolsas Equivalentes 50kg]]</f>
        <v>#VALUE!</v>
      </c>
      <c r="AN365" s="846" t="e">
        <f>Tabla1[[#This Row],[PRECIO REF $ BOLSA 50 KG CACTU (IVA INC)]]*Tabla1[[#This Row],[Q Bolsas Equivalentes 50kg]]</f>
        <v>#VALUE!</v>
      </c>
      <c r="AO365" s="846" t="e">
        <f>+Tabla1[[#This Row],[PRECIO $ BOLSA 50KG  FOB CDO TUC (IVA INC)]]*Tabla1[[#This Row],[Q Bolsas Equivalentes 50kg]]</f>
        <v>#VALUE!</v>
      </c>
      <c r="AP365" s="847"/>
      <c r="AQ365" s="846">
        <v>0</v>
      </c>
      <c r="AR365" s="828"/>
      <c r="AS365" s="849"/>
      <c r="AT365" s="923">
        <f>+Tabla1[[#This Row],[VENTA TOTAL $ (IVA INC) ]]-(SUM(Tabla1[[#This Row],[PENDIENTE DE ENTREGA]:[VALORES COBRADOS]]))</f>
        <v>0</v>
      </c>
      <c r="AU365" s="850" t="e">
        <f>VLOOKUP(Tabla1[[#This Row],[FECHA OC]],'TIPO DE CAMBIO'!A:B,2,TRUE)</f>
        <v>#N/A</v>
      </c>
      <c r="AV365" s="850" t="e">
        <f>+Tabla1[[#This Row],[SUBTOTAL]]/Tabla1[[#This Row],[TIPO DE CAMBIO]]</f>
        <v>#N/A</v>
      </c>
      <c r="AW365" s="851"/>
      <c r="AX365" s="850" t="str">
        <f>IFERROR(Tabla1[[#This Row],[VENTA TOTAL USD A PLAZO EN CLIENTE  (SIN IVA)]]*(1+Tabla1[[#This Row],[% IVA ]]),"")</f>
        <v/>
      </c>
      <c r="AY365" s="850" t="e">
        <f>+Tabla1[[#This Row],[VENTA TOTAL USD A PLAZO EN CLIENTE  (SIN IVA)]]/Tabla1[[#This Row],[KGS]]*1000</f>
        <v>#N/A</v>
      </c>
      <c r="AZ365" s="850" t="e">
        <f>-Tabla1[[#This Row],[COSTO FLETE $ POR BOLSA 5O KG (SIN IVA)]]*20/Tabla1[[#This Row],[TIPO DE CAMBIO]]</f>
        <v>#N/A</v>
      </c>
      <c r="BA365" s="850" t="e">
        <f>+Tabla1[[#This Row],[GASTOS FINANCIEROS $ BOLSA 50 KG (IVA INC)]]*20/Tabla1[[#This Row],[TIPO DE CAMBIO]]</f>
        <v>#VALUE!</v>
      </c>
      <c r="BB365" s="850" t="e">
        <f>+Tabla1[[#This Row],[PRECIO POR TN USD EN CLIENTE A PLAZO (SIN IVA)]]+Tabla1[[#This Row],[COSTO USD FLETE /TN (SIN IVA)]]+Tabla1[[#This Row],[COSTO FINANCIERO USD POR BOLSA 50KG (IVA INC)]]</f>
        <v>#N/A</v>
      </c>
      <c r="BC365" s="848"/>
      <c r="BD365" s="944"/>
    </row>
    <row r="366" spans="1:56" ht="15.75" customHeight="1">
      <c r="A366" s="912">
        <v>46235</v>
      </c>
      <c r="B366" s="853"/>
      <c r="C366" s="792"/>
      <c r="D366" s="829">
        <f>+Tabla1[[#This Row],[FECHA Entrega]]</f>
        <v>0</v>
      </c>
      <c r="E366" s="830"/>
      <c r="F366" s="831"/>
      <c r="G366" s="832"/>
      <c r="H366" s="852"/>
      <c r="I366" s="834"/>
      <c r="J366" s="835"/>
      <c r="K366" s="836">
        <f t="shared" si="127"/>
        <v>0</v>
      </c>
      <c r="L36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66" s="837">
        <f t="shared" si="137"/>
        <v>0</v>
      </c>
      <c r="N366" s="838">
        <f>+Tabla1[[#This Row],[VENTA TOTAL $ (IVA INC) ]]</f>
        <v>0</v>
      </c>
      <c r="O366" s="838">
        <v>0</v>
      </c>
      <c r="P366" s="838">
        <v>0</v>
      </c>
      <c r="Q366" s="839">
        <f>+Tabla1[[#This Row],[VENTA TOTAL $ (IVA INC) ]]-Tabla1[[#This Row],[PENDIENTE DE COBRO]]</f>
        <v>0</v>
      </c>
      <c r="R366" s="840">
        <f>+Tabla1[[#This Row],[FECHA FC]]+Tabla1[[#This Row],[PLAZO ENTREGA VALORES]]</f>
        <v>0</v>
      </c>
      <c r="S366" s="840">
        <f>+Tabla1[[#This Row],[FECHA FC]]+Tabla1[[#This Row],[PLAZO PAGO (DIAS)]]</f>
        <v>0</v>
      </c>
      <c r="T366" s="834">
        <f t="shared" ca="1" si="128"/>
        <v>-46181</v>
      </c>
      <c r="U366" s="831"/>
      <c r="V366" s="831"/>
      <c r="W366" s="841">
        <f>+Tabla1[[#This Row],[FECHA VTO VALORES]]+7</f>
        <v>7</v>
      </c>
      <c r="X366" s="830"/>
      <c r="Y366" s="859"/>
      <c r="Z366" s="860">
        <f>Tabla1[[#This Row],[KGS]]/50</f>
        <v>0</v>
      </c>
      <c r="AA36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66" s="844">
        <f>-Tabla1[[#This Row],[COSTO FLETE $ POR BOLSA 5O KG (SIN IVA)]]*1.21-Tabla1[[#This Row],[PRECIO $/ KG A PLAZO EN CLIENTE ( SIN IVA)]]*0.003*1.21*50</f>
        <v>0</v>
      </c>
      <c r="AC366" s="845" t="e">
        <f>+Tabla1[[#This Row],[PRECIO $ BOLSA 50 KG (IVA INC) ]]+Tabla1[[#This Row],[COSTO FLETE $ BOLSA 50 KG (IVA INC)]]</f>
        <v>#VALUE!</v>
      </c>
      <c r="AD366" s="844" t="e">
        <f>-Tabla1[[#This Row],[PRECIO $ BOLSA 50 KG (IVA INC) ]]*(Tabla1[[#This Row],[TASA FINANCIACION MENSUAL]]/365)*Tabla1[[#This Row],[PLAZO ENTREGA VALORES]]</f>
        <v>#VALUE!</v>
      </c>
      <c r="AE366" s="845" t="e">
        <f>+Tabla1[[#This Row],[PRECIO $ BOLSA50 KG  FOB TUCUMAN A PLAZO (IVA INC)]]+Tabla1[[#This Row],[GASTOS FINANCIEROS $ BOLSA 50 KG (IVA INC)]]</f>
        <v>#VALUE!</v>
      </c>
      <c r="AF366" s="828"/>
      <c r="AG366" s="828"/>
      <c r="AH366" s="828"/>
      <c r="AI366" s="828"/>
      <c r="AJ36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66" s="846" t="e">
        <f>SUM(Tabla1[[#This Row],[PRECIO $ BOLSA 50KG  FOB CDO TUC (IVA INC)]]-Tabla1[[#This Row],[PRECIO REF $ BOLSA 50 KG CACTU (IVA INC)]])</f>
        <v>#VALUE!</v>
      </c>
      <c r="AL366" s="847" t="str">
        <f>IFERROR(Tabla1[[#This Row],[PRECIO $ BOLSA 50KG  FOB CDO TUC (IVA INC)]]/Tabla1[[#This Row],[PRECIO REF $ BOLSA 50 KG CACTU (IVA INC)]]-1,"")</f>
        <v/>
      </c>
      <c r="AM366" s="846" t="e">
        <f>+Tabla1[[#This Row],[DIF $ PRECIO NETO INDUSTRIA vs Neto TUCUMAN (IVA INC)]]*Tabla1[[#This Row],[Q Bolsas Equivalentes 50kg]]</f>
        <v>#VALUE!</v>
      </c>
      <c r="AN366" s="846" t="e">
        <f>Tabla1[[#This Row],[PRECIO REF $ BOLSA 50 KG CACTU (IVA INC)]]*Tabla1[[#This Row],[Q Bolsas Equivalentes 50kg]]</f>
        <v>#VALUE!</v>
      </c>
      <c r="AO366" s="846" t="e">
        <f>+Tabla1[[#This Row],[PRECIO $ BOLSA 50KG  FOB CDO TUC (IVA INC)]]*Tabla1[[#This Row],[Q Bolsas Equivalentes 50kg]]</f>
        <v>#VALUE!</v>
      </c>
      <c r="AP366" s="847"/>
      <c r="AQ366" s="846">
        <v>0</v>
      </c>
      <c r="AR366" s="828"/>
      <c r="AS366" s="849"/>
      <c r="AT366" s="923">
        <f>+Tabla1[[#This Row],[VENTA TOTAL $ (IVA INC) ]]-(SUM(Tabla1[[#This Row],[PENDIENTE DE ENTREGA]:[VALORES COBRADOS]]))</f>
        <v>0</v>
      </c>
      <c r="AU366" s="850" t="e">
        <f>VLOOKUP(Tabla1[[#This Row],[FECHA OC]],'TIPO DE CAMBIO'!A:B,2,TRUE)</f>
        <v>#N/A</v>
      </c>
      <c r="AV366" s="850" t="e">
        <f>+Tabla1[[#This Row],[SUBTOTAL]]/Tabla1[[#This Row],[TIPO DE CAMBIO]]</f>
        <v>#N/A</v>
      </c>
      <c r="AW366" s="851"/>
      <c r="AX366" s="850" t="str">
        <f>IFERROR(Tabla1[[#This Row],[VENTA TOTAL USD A PLAZO EN CLIENTE  (SIN IVA)]]*(1+Tabla1[[#This Row],[% IVA ]]),"")</f>
        <v/>
      </c>
      <c r="AY366" s="850" t="e">
        <f>+Tabla1[[#This Row],[VENTA TOTAL USD A PLAZO EN CLIENTE  (SIN IVA)]]/Tabla1[[#This Row],[KGS]]*1000</f>
        <v>#N/A</v>
      </c>
      <c r="AZ366" s="850" t="e">
        <f>-Tabla1[[#This Row],[COSTO FLETE $ POR BOLSA 5O KG (SIN IVA)]]*20/Tabla1[[#This Row],[TIPO DE CAMBIO]]</f>
        <v>#N/A</v>
      </c>
      <c r="BA366" s="850" t="e">
        <f>+Tabla1[[#This Row],[GASTOS FINANCIEROS $ BOLSA 50 KG (IVA INC)]]*20/Tabla1[[#This Row],[TIPO DE CAMBIO]]</f>
        <v>#VALUE!</v>
      </c>
      <c r="BB366" s="850" t="e">
        <f>+Tabla1[[#This Row],[PRECIO POR TN USD EN CLIENTE A PLAZO (SIN IVA)]]+Tabla1[[#This Row],[COSTO USD FLETE /TN (SIN IVA)]]+Tabla1[[#This Row],[COSTO FINANCIERO USD POR BOLSA 50KG (IVA INC)]]</f>
        <v>#N/A</v>
      </c>
      <c r="BC366" s="848"/>
      <c r="BD366" s="944"/>
    </row>
    <row r="367" spans="1:56" ht="15.75" customHeight="1">
      <c r="A367" s="912">
        <v>46235</v>
      </c>
      <c r="B367" s="853"/>
      <c r="C367" s="792"/>
      <c r="D367" s="829">
        <f>+Tabla1[[#This Row],[FECHA Entrega]]</f>
        <v>0</v>
      </c>
      <c r="E367" s="830"/>
      <c r="F367" s="831"/>
      <c r="G367" s="832"/>
      <c r="H367" s="852"/>
      <c r="I367" s="834"/>
      <c r="J367" s="835"/>
      <c r="K367" s="836">
        <f t="shared" si="127"/>
        <v>0</v>
      </c>
      <c r="L36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67" s="837">
        <f t="shared" si="137"/>
        <v>0</v>
      </c>
      <c r="N367" s="838">
        <f>+Tabla1[[#This Row],[VENTA TOTAL $ (IVA INC) ]]</f>
        <v>0</v>
      </c>
      <c r="O367" s="838">
        <v>0</v>
      </c>
      <c r="P367" s="838">
        <v>0</v>
      </c>
      <c r="Q367" s="839">
        <f>+Tabla1[[#This Row],[VENTA TOTAL $ (IVA INC) ]]-Tabla1[[#This Row],[PENDIENTE DE COBRO]]</f>
        <v>0</v>
      </c>
      <c r="R367" s="840">
        <f>+Tabla1[[#This Row],[FECHA FC]]+Tabla1[[#This Row],[PLAZO ENTREGA VALORES]]</f>
        <v>0</v>
      </c>
      <c r="S367" s="840">
        <f>+Tabla1[[#This Row],[FECHA FC]]+Tabla1[[#This Row],[PLAZO PAGO (DIAS)]]</f>
        <v>0</v>
      </c>
      <c r="T367" s="834">
        <f t="shared" ca="1" si="128"/>
        <v>-46181</v>
      </c>
      <c r="U367" s="831"/>
      <c r="V367" s="831"/>
      <c r="W367" s="841">
        <f>+Tabla1[[#This Row],[FECHA VTO VALORES]]+7</f>
        <v>7</v>
      </c>
      <c r="X367" s="830"/>
      <c r="Y367" s="859"/>
      <c r="Z367" s="860">
        <f>Tabla1[[#This Row],[KGS]]/50</f>
        <v>0</v>
      </c>
      <c r="AA36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67" s="844">
        <f>-Tabla1[[#This Row],[COSTO FLETE $ POR BOLSA 5O KG (SIN IVA)]]*1.21-Tabla1[[#This Row],[PRECIO $/ KG A PLAZO EN CLIENTE ( SIN IVA)]]*0.003*1.21*50</f>
        <v>0</v>
      </c>
      <c r="AC367" s="845" t="e">
        <f>+Tabla1[[#This Row],[PRECIO $ BOLSA 50 KG (IVA INC) ]]+Tabla1[[#This Row],[COSTO FLETE $ BOLSA 50 KG (IVA INC)]]</f>
        <v>#VALUE!</v>
      </c>
      <c r="AD367" s="844" t="e">
        <f>-Tabla1[[#This Row],[PRECIO $ BOLSA 50 KG (IVA INC) ]]*(Tabla1[[#This Row],[TASA FINANCIACION MENSUAL]]/365)*Tabla1[[#This Row],[PLAZO ENTREGA VALORES]]</f>
        <v>#VALUE!</v>
      </c>
      <c r="AE367" s="845" t="e">
        <f>SUM(Tabla1[[#This Row],[PRECIO $ BOLSA50 KG  FOB TUCUMAN A PLAZO (IVA INC)]]+Tabla1[[#This Row],[GASTOS FINANCIEROS $ BOLSA 50 KG (IVA INC)]])</f>
        <v>#VALUE!</v>
      </c>
      <c r="AF367" s="828"/>
      <c r="AG367" s="828"/>
      <c r="AH367" s="828"/>
      <c r="AI367" s="828"/>
      <c r="AJ36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67" s="846" t="e">
        <f>SUM(Tabla1[[#This Row],[PRECIO $ BOLSA 50KG  FOB CDO TUC (IVA INC)]]-Tabla1[[#This Row],[PRECIO REF $ BOLSA 50 KG CACTU (IVA INC)]])</f>
        <v>#VALUE!</v>
      </c>
      <c r="AL367" s="847" t="str">
        <f>IFERROR(Tabla1[[#This Row],[PRECIO $ BOLSA 50KG  FOB CDO TUC (IVA INC)]]/Tabla1[[#This Row],[PRECIO REF $ BOLSA 50 KG CACTU (IVA INC)]]-1,"")</f>
        <v/>
      </c>
      <c r="AM367" s="846" t="e">
        <f>+Tabla1[[#This Row],[DIF $ PRECIO NETO INDUSTRIA vs Neto TUCUMAN (IVA INC)]]*Tabla1[[#This Row],[Q Bolsas Equivalentes 50kg]]</f>
        <v>#VALUE!</v>
      </c>
      <c r="AN367" s="846" t="e">
        <f>Tabla1[[#This Row],[PRECIO REF $ BOLSA 50 KG CACTU (IVA INC)]]*Tabla1[[#This Row],[Q Bolsas Equivalentes 50kg]]</f>
        <v>#VALUE!</v>
      </c>
      <c r="AO367" s="846" t="e">
        <f>+Tabla1[[#This Row],[PRECIO $ BOLSA 50KG  FOB CDO TUC (IVA INC)]]*Tabla1[[#This Row],[Q Bolsas Equivalentes 50kg]]</f>
        <v>#VALUE!</v>
      </c>
      <c r="AP367" s="847"/>
      <c r="AQ367" s="846">
        <v>0</v>
      </c>
      <c r="AR367" s="828"/>
      <c r="AS367" s="849"/>
      <c r="AT367" s="923">
        <f>+Tabla1[[#This Row],[VENTA TOTAL $ (IVA INC) ]]-(SUM(Tabla1[[#This Row],[PENDIENTE DE ENTREGA]:[VALORES COBRADOS]]))</f>
        <v>0</v>
      </c>
      <c r="AU367" s="850" t="e">
        <f>VLOOKUP(Tabla1[[#This Row],[FECHA OC]],'TIPO DE CAMBIO'!A:B,2,TRUE)</f>
        <v>#N/A</v>
      </c>
      <c r="AV367" s="850" t="e">
        <f>+Tabla1[[#This Row],[SUBTOTAL]]/Tabla1[[#This Row],[TIPO DE CAMBIO]]</f>
        <v>#N/A</v>
      </c>
      <c r="AW367" s="851"/>
      <c r="AX367" s="850" t="str">
        <f>IFERROR(Tabla1[[#This Row],[VENTA TOTAL USD A PLAZO EN CLIENTE  (SIN IVA)]]*(1+Tabla1[[#This Row],[% IVA ]]),"")</f>
        <v/>
      </c>
      <c r="AY367" s="850" t="e">
        <f>+Tabla1[[#This Row],[VENTA TOTAL USD A PLAZO EN CLIENTE  (SIN IVA)]]/Tabla1[[#This Row],[KGS]]*1000</f>
        <v>#N/A</v>
      </c>
      <c r="AZ367" s="850" t="e">
        <f>-Tabla1[[#This Row],[COSTO FLETE $ POR BOLSA 5O KG (SIN IVA)]]*20/Tabla1[[#This Row],[TIPO DE CAMBIO]]</f>
        <v>#N/A</v>
      </c>
      <c r="BA367" s="850" t="e">
        <f>+Tabla1[[#This Row],[GASTOS FINANCIEROS $ BOLSA 50 KG (IVA INC)]]*20/Tabla1[[#This Row],[TIPO DE CAMBIO]]</f>
        <v>#VALUE!</v>
      </c>
      <c r="BB367" s="850" t="e">
        <f>+Tabla1[[#This Row],[PRECIO POR TN USD EN CLIENTE A PLAZO (SIN IVA)]]+Tabla1[[#This Row],[COSTO USD FLETE /TN (SIN IVA)]]+Tabla1[[#This Row],[COSTO FINANCIERO USD POR BOLSA 50KG (IVA INC)]]</f>
        <v>#N/A</v>
      </c>
      <c r="BC367" s="848"/>
      <c r="BD367" s="944"/>
    </row>
    <row r="368" spans="1:56" ht="15.75" customHeight="1">
      <c r="A368" s="912">
        <v>46235</v>
      </c>
      <c r="B368" s="853"/>
      <c r="C368" s="792"/>
      <c r="D368" s="829">
        <f>+Tabla1[[#This Row],[FECHA Entrega]]</f>
        <v>0</v>
      </c>
      <c r="E368" s="830"/>
      <c r="F368" s="831"/>
      <c r="G368" s="832"/>
      <c r="H368" s="852"/>
      <c r="I368" s="834"/>
      <c r="J368" s="835"/>
      <c r="K368" s="836">
        <f t="shared" si="127"/>
        <v>0</v>
      </c>
      <c r="L36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68" s="837">
        <f t="shared" si="137"/>
        <v>0</v>
      </c>
      <c r="N368" s="838">
        <f>+Tabla1[[#This Row],[VENTA TOTAL $ (IVA INC) ]]</f>
        <v>0</v>
      </c>
      <c r="O368" s="838">
        <v>0</v>
      </c>
      <c r="P368" s="838">
        <v>0</v>
      </c>
      <c r="Q368" s="839">
        <f>+Tabla1[[#This Row],[VENTA TOTAL $ (IVA INC) ]]-Tabla1[[#This Row],[PENDIENTE DE COBRO]]</f>
        <v>0</v>
      </c>
      <c r="R368" s="840">
        <f>+Tabla1[[#This Row],[FECHA FC]]+Tabla1[[#This Row],[PLAZO ENTREGA VALORES]]</f>
        <v>0</v>
      </c>
      <c r="S368" s="840">
        <f>+Tabla1[[#This Row],[FECHA FC]]+Tabla1[[#This Row],[PLAZO PAGO (DIAS)]]</f>
        <v>0</v>
      </c>
      <c r="T368" s="834">
        <f t="shared" ca="1" si="128"/>
        <v>-46181</v>
      </c>
      <c r="U368" s="831"/>
      <c r="V368" s="831"/>
      <c r="W368" s="841">
        <f>+Tabla1[[#This Row],[FECHA VTO VALORES]]+7</f>
        <v>7</v>
      </c>
      <c r="X368" s="830"/>
      <c r="Y368" s="859"/>
      <c r="Z368" s="860">
        <f>Tabla1[[#This Row],[KGS]]/50</f>
        <v>0</v>
      </c>
      <c r="AA36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68" s="844">
        <f>-Tabla1[[#This Row],[COSTO FLETE $ POR BOLSA 5O KG (SIN IVA)]]*1.21-Tabla1[[#This Row],[PRECIO $/ KG A PLAZO EN CLIENTE ( SIN IVA)]]*0.003*1.21*50</f>
        <v>0</v>
      </c>
      <c r="AC368" s="845" t="e">
        <f>+Tabla1[[#This Row],[PRECIO $ BOLSA 50 KG (IVA INC) ]]+Tabla1[[#This Row],[COSTO FLETE $ BOLSA 50 KG (IVA INC)]]</f>
        <v>#VALUE!</v>
      </c>
      <c r="AD368" s="844" t="e">
        <f>-Tabla1[[#This Row],[PRECIO $ BOLSA 50 KG (IVA INC) ]]*(Tabla1[[#This Row],[TASA FINANCIACION MENSUAL]]/365)*Tabla1[[#This Row],[PLAZO ENTREGA VALORES]]</f>
        <v>#VALUE!</v>
      </c>
      <c r="AE368" s="845" t="e">
        <f>SUM(Tabla1[[#This Row],[PRECIO $ BOLSA50 KG  FOB TUCUMAN A PLAZO (IVA INC)]]+Tabla1[[#This Row],[GASTOS FINANCIEROS $ BOLSA 50 KG (IVA INC)]])</f>
        <v>#VALUE!</v>
      </c>
      <c r="AF368" s="828"/>
      <c r="AG368" s="828"/>
      <c r="AH368" s="828"/>
      <c r="AI368" s="828"/>
      <c r="AJ36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68" s="846" t="e">
        <f>SUM(Tabla1[[#This Row],[PRECIO $ BOLSA 50KG  FOB CDO TUC (IVA INC)]]-Tabla1[[#This Row],[PRECIO REF $ BOLSA 50 KG CACTU (IVA INC)]])</f>
        <v>#VALUE!</v>
      </c>
      <c r="AL368" s="847" t="str">
        <f>IFERROR(Tabla1[[#This Row],[PRECIO $ BOLSA 50KG  FOB CDO TUC (IVA INC)]]/Tabla1[[#This Row],[PRECIO REF $ BOLSA 50 KG CACTU (IVA INC)]]-1,"")</f>
        <v/>
      </c>
      <c r="AM368" s="846" t="e">
        <f>+Tabla1[[#This Row],[DIF $ PRECIO NETO INDUSTRIA vs Neto TUCUMAN (IVA INC)]]*Tabla1[[#This Row],[Q Bolsas Equivalentes 50kg]]</f>
        <v>#VALUE!</v>
      </c>
      <c r="AN368" s="846" t="e">
        <f>Tabla1[[#This Row],[PRECIO REF $ BOLSA 50 KG CACTU (IVA INC)]]*Tabla1[[#This Row],[Q Bolsas Equivalentes 50kg]]</f>
        <v>#VALUE!</v>
      </c>
      <c r="AO368" s="846" t="e">
        <f>+Tabla1[[#This Row],[PRECIO $ BOLSA 50KG  FOB CDO TUC (IVA INC)]]*Tabla1[[#This Row],[Q Bolsas Equivalentes 50kg]]</f>
        <v>#VALUE!</v>
      </c>
      <c r="AP368" s="847"/>
      <c r="AQ368" s="846">
        <v>0</v>
      </c>
      <c r="AR368" s="828"/>
      <c r="AS368" s="849"/>
      <c r="AT368" s="923">
        <f>+Tabla1[[#This Row],[VENTA TOTAL $ (IVA INC) ]]-(SUM(Tabla1[[#This Row],[PENDIENTE DE ENTREGA]:[VALORES COBRADOS]]))</f>
        <v>0</v>
      </c>
      <c r="AU368" s="850" t="e">
        <f>VLOOKUP(Tabla1[[#This Row],[FECHA OC]],'TIPO DE CAMBIO'!A:B,2,TRUE)</f>
        <v>#N/A</v>
      </c>
      <c r="AV368" s="850" t="e">
        <f>+Tabla1[[#This Row],[SUBTOTAL]]/Tabla1[[#This Row],[TIPO DE CAMBIO]]</f>
        <v>#N/A</v>
      </c>
      <c r="AW368" s="851"/>
      <c r="AX368" s="850" t="str">
        <f>IFERROR(Tabla1[[#This Row],[VENTA TOTAL USD A PLAZO EN CLIENTE  (SIN IVA)]]*(1+Tabla1[[#This Row],[% IVA ]]),"")</f>
        <v/>
      </c>
      <c r="AY368" s="850" t="e">
        <f>+Tabla1[[#This Row],[VENTA TOTAL USD A PLAZO EN CLIENTE  (SIN IVA)]]/Tabla1[[#This Row],[KGS]]*1000</f>
        <v>#N/A</v>
      </c>
      <c r="AZ368" s="850" t="e">
        <f>-Tabla1[[#This Row],[COSTO FLETE $ POR BOLSA 5O KG (SIN IVA)]]*20/Tabla1[[#This Row],[TIPO DE CAMBIO]]</f>
        <v>#N/A</v>
      </c>
      <c r="BA368" s="850" t="e">
        <f>+Tabla1[[#This Row],[GASTOS FINANCIEROS $ BOLSA 50 KG (IVA INC)]]*20/Tabla1[[#This Row],[TIPO DE CAMBIO]]</f>
        <v>#VALUE!</v>
      </c>
      <c r="BB368" s="850" t="e">
        <f>+Tabla1[[#This Row],[PRECIO POR TN USD EN CLIENTE A PLAZO (SIN IVA)]]+Tabla1[[#This Row],[COSTO USD FLETE /TN (SIN IVA)]]+Tabla1[[#This Row],[COSTO FINANCIERO USD POR BOLSA 50KG (IVA INC)]]</f>
        <v>#N/A</v>
      </c>
      <c r="BC368" s="848"/>
      <c r="BD368" s="944"/>
    </row>
    <row r="369" spans="1:56" ht="15.75" customHeight="1">
      <c r="A369" s="912">
        <v>46235</v>
      </c>
      <c r="B369" s="853"/>
      <c r="C369" s="792"/>
      <c r="D369" s="829">
        <f>+Tabla1[[#This Row],[FECHA Entrega]]</f>
        <v>0</v>
      </c>
      <c r="E369" s="830"/>
      <c r="F369" s="831"/>
      <c r="G369" s="832"/>
      <c r="H369" s="852"/>
      <c r="I369" s="834"/>
      <c r="J369" s="835"/>
      <c r="K369" s="836">
        <f t="shared" si="127"/>
        <v>0</v>
      </c>
      <c r="L36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69" s="837">
        <f t="shared" si="137"/>
        <v>0</v>
      </c>
      <c r="N369" s="838">
        <f>+Tabla1[[#This Row],[VENTA TOTAL $ (IVA INC) ]]</f>
        <v>0</v>
      </c>
      <c r="O369" s="838">
        <v>0</v>
      </c>
      <c r="P369" s="838">
        <v>0</v>
      </c>
      <c r="Q369" s="839">
        <f>+Tabla1[[#This Row],[VENTA TOTAL $ (IVA INC) ]]-Tabla1[[#This Row],[PENDIENTE DE COBRO]]</f>
        <v>0</v>
      </c>
      <c r="R369" s="840">
        <f>+Tabla1[[#This Row],[FECHA FC]]+Tabla1[[#This Row],[PLAZO ENTREGA VALORES]]</f>
        <v>0</v>
      </c>
      <c r="S369" s="840">
        <f>+Tabla1[[#This Row],[FECHA FC]]+Tabla1[[#This Row],[PLAZO PAGO (DIAS)]]</f>
        <v>0</v>
      </c>
      <c r="T369" s="834">
        <f t="shared" ca="1" si="128"/>
        <v>-46181</v>
      </c>
      <c r="U369" s="831"/>
      <c r="V369" s="831"/>
      <c r="W369" s="841">
        <f>+Tabla1[[#This Row],[FECHA VTO VALORES]]+7</f>
        <v>7</v>
      </c>
      <c r="X369" s="830"/>
      <c r="Y369" s="859"/>
      <c r="Z369" s="860">
        <f>Tabla1[[#This Row],[KGS]]/50</f>
        <v>0</v>
      </c>
      <c r="AA36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69" s="844">
        <f>-Tabla1[[#This Row],[COSTO FLETE $ POR BOLSA 5O KG (SIN IVA)]]*1.21-Tabla1[[#This Row],[PRECIO $/ KG A PLAZO EN CLIENTE ( SIN IVA)]]*0.003*1.21*50</f>
        <v>0</v>
      </c>
      <c r="AC369" s="845" t="e">
        <f>+Tabla1[[#This Row],[PRECIO $ BOLSA 50 KG (IVA INC) ]]+Tabla1[[#This Row],[COSTO FLETE $ BOLSA 50 KG (IVA INC)]]</f>
        <v>#VALUE!</v>
      </c>
      <c r="AD369" s="844" t="e">
        <f>-Tabla1[[#This Row],[PRECIO $ BOLSA 50 KG (IVA INC) ]]*(Tabla1[[#This Row],[TASA FINANCIACION MENSUAL]]/365)*Tabla1[[#This Row],[PLAZO ENTREGA VALORES]]</f>
        <v>#VALUE!</v>
      </c>
      <c r="AE369" s="845" t="e">
        <f>SUM(Tabla1[[#This Row],[PRECIO $ BOLSA50 KG  FOB TUCUMAN A PLAZO (IVA INC)]]+Tabla1[[#This Row],[GASTOS FINANCIEROS $ BOLSA 50 KG (IVA INC)]])</f>
        <v>#VALUE!</v>
      </c>
      <c r="AF369" s="828"/>
      <c r="AG369" s="828"/>
      <c r="AH369" s="828"/>
      <c r="AI369" s="828"/>
      <c r="AJ36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69" s="846" t="e">
        <f>SUM(Tabla1[[#This Row],[PRECIO $ BOLSA 50KG  FOB CDO TUC (IVA INC)]]-Tabla1[[#This Row],[PRECIO REF $ BOLSA 50 KG CACTU (IVA INC)]])</f>
        <v>#VALUE!</v>
      </c>
      <c r="AL369" s="847" t="str">
        <f>IFERROR(Tabla1[[#This Row],[PRECIO $ BOLSA 50KG  FOB CDO TUC (IVA INC)]]/Tabla1[[#This Row],[PRECIO REF $ BOLSA 50 KG CACTU (IVA INC)]]-1,"")</f>
        <v/>
      </c>
      <c r="AM369" s="846" t="e">
        <f>+Tabla1[[#This Row],[DIF $ PRECIO NETO INDUSTRIA vs Neto TUCUMAN (IVA INC)]]*Tabla1[[#This Row],[Q Bolsas Equivalentes 50kg]]</f>
        <v>#VALUE!</v>
      </c>
      <c r="AN369" s="846" t="e">
        <f>Tabla1[[#This Row],[PRECIO REF $ BOLSA 50 KG CACTU (IVA INC)]]*Tabla1[[#This Row],[Q Bolsas Equivalentes 50kg]]</f>
        <v>#VALUE!</v>
      </c>
      <c r="AO369" s="846" t="e">
        <f>+Tabla1[[#This Row],[PRECIO $ BOLSA 50KG  FOB CDO TUC (IVA INC)]]*Tabla1[[#This Row],[Q Bolsas Equivalentes 50kg]]</f>
        <v>#VALUE!</v>
      </c>
      <c r="AP369" s="847"/>
      <c r="AQ369" s="846">
        <v>0</v>
      </c>
      <c r="AR369" s="828"/>
      <c r="AS369" s="849"/>
      <c r="AT369" s="923">
        <f>+Tabla1[[#This Row],[VENTA TOTAL $ (IVA INC) ]]-(SUM(Tabla1[[#This Row],[PENDIENTE DE ENTREGA]:[VALORES COBRADOS]]))</f>
        <v>0</v>
      </c>
      <c r="AU369" s="850" t="e">
        <f>VLOOKUP(Tabla1[[#This Row],[FECHA OC]],'TIPO DE CAMBIO'!A:B,2,TRUE)</f>
        <v>#N/A</v>
      </c>
      <c r="AV369" s="850" t="e">
        <f>+Tabla1[[#This Row],[SUBTOTAL]]/Tabla1[[#This Row],[TIPO DE CAMBIO]]</f>
        <v>#N/A</v>
      </c>
      <c r="AW369" s="851"/>
      <c r="AX369" s="850" t="str">
        <f>IFERROR(Tabla1[[#This Row],[VENTA TOTAL USD A PLAZO EN CLIENTE  (SIN IVA)]]*(1+Tabla1[[#This Row],[% IVA ]]),"")</f>
        <v/>
      </c>
      <c r="AY369" s="850" t="e">
        <f>+Tabla1[[#This Row],[VENTA TOTAL USD A PLAZO EN CLIENTE  (SIN IVA)]]/Tabla1[[#This Row],[KGS]]*1000</f>
        <v>#N/A</v>
      </c>
      <c r="AZ369" s="850" t="e">
        <f>-Tabla1[[#This Row],[COSTO FLETE $ POR BOLSA 5O KG (SIN IVA)]]*20/Tabla1[[#This Row],[TIPO DE CAMBIO]]</f>
        <v>#N/A</v>
      </c>
      <c r="BA369" s="850" t="e">
        <f>+Tabla1[[#This Row],[GASTOS FINANCIEROS $ BOLSA 50 KG (IVA INC)]]*20/Tabla1[[#This Row],[TIPO DE CAMBIO]]</f>
        <v>#VALUE!</v>
      </c>
      <c r="BB369" s="850" t="e">
        <f>+Tabla1[[#This Row],[PRECIO POR TN USD EN CLIENTE A PLAZO (SIN IVA)]]+Tabla1[[#This Row],[COSTO USD FLETE /TN (SIN IVA)]]+Tabla1[[#This Row],[COSTO FINANCIERO USD POR BOLSA 50KG (IVA INC)]]</f>
        <v>#N/A</v>
      </c>
      <c r="BC369" s="848"/>
      <c r="BD369" s="944"/>
    </row>
    <row r="370" spans="1:56" ht="15.75" customHeight="1">
      <c r="A370" s="912">
        <v>46235</v>
      </c>
      <c r="B370" s="853"/>
      <c r="C370" s="792"/>
      <c r="D370" s="829">
        <f>+Tabla1[[#This Row],[FECHA Entrega]]</f>
        <v>0</v>
      </c>
      <c r="E370" s="830"/>
      <c r="F370" s="831"/>
      <c r="G370" s="832"/>
      <c r="H370" s="852"/>
      <c r="I370" s="834"/>
      <c r="J370" s="835"/>
      <c r="K370" s="836">
        <f t="shared" si="127"/>
        <v>0</v>
      </c>
      <c r="L37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70" s="837">
        <f t="shared" si="137"/>
        <v>0</v>
      </c>
      <c r="N370" s="838">
        <f>+Tabla1[[#This Row],[VENTA TOTAL $ (IVA INC) ]]</f>
        <v>0</v>
      </c>
      <c r="O370" s="838">
        <v>0</v>
      </c>
      <c r="P370" s="838">
        <v>0</v>
      </c>
      <c r="Q370" s="839">
        <f>+Tabla1[[#This Row],[VENTA TOTAL $ (IVA INC) ]]-Tabla1[[#This Row],[PENDIENTE DE COBRO]]</f>
        <v>0</v>
      </c>
      <c r="R370" s="840">
        <f>+Tabla1[[#This Row],[FECHA FC]]+Tabla1[[#This Row],[PLAZO ENTREGA VALORES]]</f>
        <v>0</v>
      </c>
      <c r="S370" s="840">
        <f>+Tabla1[[#This Row],[FECHA FC]]+Tabla1[[#This Row],[PLAZO PAGO (DIAS)]]</f>
        <v>0</v>
      </c>
      <c r="T370" s="834">
        <f t="shared" ca="1" si="128"/>
        <v>-46181</v>
      </c>
      <c r="U370" s="831"/>
      <c r="V370" s="831"/>
      <c r="W370" s="841">
        <f>+Tabla1[[#This Row],[FECHA VTO VALORES]]+7</f>
        <v>7</v>
      </c>
      <c r="X370" s="830"/>
      <c r="Y370" s="859"/>
      <c r="Z370" s="860">
        <f>Tabla1[[#This Row],[KGS]]/50</f>
        <v>0</v>
      </c>
      <c r="AA37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70" s="844">
        <f>-Tabla1[[#This Row],[COSTO FLETE $ POR BOLSA 5O KG (SIN IVA)]]*1.21-Tabla1[[#This Row],[PRECIO $/ KG A PLAZO EN CLIENTE ( SIN IVA)]]*0.003*1.21*50</f>
        <v>0</v>
      </c>
      <c r="AC370" s="845" t="e">
        <f>SUM(Tabla1[[#This Row],[PRECIO $ BOLSA 50 KG (IVA INC) ]]+Tabla1[[#This Row],[COSTO FLETE $ BOLSA 50 KG (IVA INC)]])</f>
        <v>#VALUE!</v>
      </c>
      <c r="AD370" s="844" t="e">
        <f>-Tabla1[[#This Row],[PRECIO $ BOLSA 50 KG (IVA INC) ]]*(Tabla1[[#This Row],[TASA FINANCIACION MENSUAL]]/365)*Tabla1[[#This Row],[PLAZO ENTREGA VALORES]]</f>
        <v>#VALUE!</v>
      </c>
      <c r="AE370" s="845" t="e">
        <f>SUM(Tabla1[[#This Row],[PRECIO $ BOLSA50 KG  FOB TUCUMAN A PLAZO (IVA INC)]]+Tabla1[[#This Row],[GASTOS FINANCIEROS $ BOLSA 50 KG (IVA INC)]])</f>
        <v>#VALUE!</v>
      </c>
      <c r="AF370" s="828"/>
      <c r="AG370" s="828"/>
      <c r="AH370" s="828"/>
      <c r="AI370" s="828"/>
      <c r="AJ37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70" s="846" t="e">
        <f>SUM(Tabla1[[#This Row],[PRECIO $ BOLSA 50KG  FOB CDO TUC (IVA INC)]]-Tabla1[[#This Row],[PRECIO REF $ BOLSA 50 KG CACTU (IVA INC)]])</f>
        <v>#VALUE!</v>
      </c>
      <c r="AL370" s="847" t="str">
        <f>IFERROR(Tabla1[[#This Row],[PRECIO $ BOLSA 50KG  FOB CDO TUC (IVA INC)]]/Tabla1[[#This Row],[PRECIO REF $ BOLSA 50 KG CACTU (IVA INC)]]-1,"")</f>
        <v/>
      </c>
      <c r="AM370" s="846" t="e">
        <f>+Tabla1[[#This Row],[DIF $ PRECIO NETO INDUSTRIA vs Neto TUCUMAN (IVA INC)]]*Tabla1[[#This Row],[Q Bolsas Equivalentes 50kg]]</f>
        <v>#VALUE!</v>
      </c>
      <c r="AN370" s="846" t="e">
        <f>Tabla1[[#This Row],[PRECIO REF $ BOLSA 50 KG CACTU (IVA INC)]]*Tabla1[[#This Row],[Q Bolsas Equivalentes 50kg]]</f>
        <v>#VALUE!</v>
      </c>
      <c r="AO370" s="846" t="e">
        <f>+Tabla1[[#This Row],[PRECIO $ BOLSA 50KG  FOB CDO TUC (IVA INC)]]*Tabla1[[#This Row],[Q Bolsas Equivalentes 50kg]]</f>
        <v>#VALUE!</v>
      </c>
      <c r="AP370" s="847"/>
      <c r="AQ370" s="846">
        <v>0</v>
      </c>
      <c r="AR370" s="828"/>
      <c r="AS370" s="849"/>
      <c r="AT370" s="923">
        <f>+Tabla1[[#This Row],[VENTA TOTAL $ (IVA INC) ]]-(SUM(Tabla1[[#This Row],[PENDIENTE DE ENTREGA]:[VALORES COBRADOS]]))</f>
        <v>0</v>
      </c>
      <c r="AU370" s="850" t="e">
        <f>VLOOKUP(Tabla1[[#This Row],[FECHA OC]],'TIPO DE CAMBIO'!A:B,2,TRUE)</f>
        <v>#N/A</v>
      </c>
      <c r="AV370" s="850" t="e">
        <f>+Tabla1[[#This Row],[SUBTOTAL]]/Tabla1[[#This Row],[TIPO DE CAMBIO]]</f>
        <v>#N/A</v>
      </c>
      <c r="AW370" s="851"/>
      <c r="AX370" s="850" t="str">
        <f>IFERROR(Tabla1[[#This Row],[VENTA TOTAL USD A PLAZO EN CLIENTE  (SIN IVA)]]*(1+Tabla1[[#This Row],[% IVA ]]),"")</f>
        <v/>
      </c>
      <c r="AY370" s="850" t="e">
        <f>+Tabla1[[#This Row],[VENTA TOTAL USD A PLAZO EN CLIENTE  (SIN IVA)]]/Tabla1[[#This Row],[KGS]]*1000</f>
        <v>#N/A</v>
      </c>
      <c r="AZ370" s="850" t="e">
        <f>-Tabla1[[#This Row],[COSTO FLETE $ POR BOLSA 5O KG (SIN IVA)]]*20/Tabla1[[#This Row],[TIPO DE CAMBIO]]</f>
        <v>#N/A</v>
      </c>
      <c r="BA370" s="850" t="e">
        <f>+Tabla1[[#This Row],[GASTOS FINANCIEROS $ BOLSA 50 KG (IVA INC)]]*20/Tabla1[[#This Row],[TIPO DE CAMBIO]]</f>
        <v>#VALUE!</v>
      </c>
      <c r="BB370" s="850" t="e">
        <f>+Tabla1[[#This Row],[PRECIO POR TN USD EN CLIENTE A PLAZO (SIN IVA)]]+Tabla1[[#This Row],[COSTO USD FLETE /TN (SIN IVA)]]+Tabla1[[#This Row],[COSTO FINANCIERO USD POR BOLSA 50KG (IVA INC)]]</f>
        <v>#N/A</v>
      </c>
      <c r="BC370" s="848"/>
      <c r="BD370" s="944"/>
    </row>
    <row r="371" spans="1:56" ht="15.75" customHeight="1">
      <c r="A371" s="912">
        <v>46235</v>
      </c>
      <c r="B371" s="853"/>
      <c r="C371" s="792"/>
      <c r="D371" s="829">
        <f>+Tabla1[[#This Row],[FECHA Entrega]]</f>
        <v>0</v>
      </c>
      <c r="E371" s="830"/>
      <c r="F371" s="831"/>
      <c r="G371" s="832"/>
      <c r="H371" s="852"/>
      <c r="I371" s="834"/>
      <c r="J371" s="835"/>
      <c r="K371" s="836">
        <f t="shared" si="127"/>
        <v>0</v>
      </c>
      <c r="L37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71" s="837">
        <f t="shared" si="137"/>
        <v>0</v>
      </c>
      <c r="N371" s="838">
        <f>+Tabla1[[#This Row],[VENTA TOTAL $ (IVA INC) ]]</f>
        <v>0</v>
      </c>
      <c r="O371" s="838">
        <v>0</v>
      </c>
      <c r="P371" s="838">
        <v>0</v>
      </c>
      <c r="Q371" s="839">
        <f>+Tabla1[[#This Row],[VENTA TOTAL $ (IVA INC) ]]-Tabla1[[#This Row],[PENDIENTE DE COBRO]]</f>
        <v>0</v>
      </c>
      <c r="R371" s="840">
        <f>+Tabla1[[#This Row],[FECHA FC]]+Tabla1[[#This Row],[PLAZO ENTREGA VALORES]]</f>
        <v>0</v>
      </c>
      <c r="S371" s="840">
        <f>+Tabla1[[#This Row],[FECHA FC]]+Tabla1[[#This Row],[PLAZO PAGO (DIAS)]]</f>
        <v>0</v>
      </c>
      <c r="T371" s="834">
        <f t="shared" ca="1" si="128"/>
        <v>-46181</v>
      </c>
      <c r="U371" s="831"/>
      <c r="V371" s="831"/>
      <c r="W371" s="841">
        <f>+Tabla1[[#This Row],[FECHA VTO VALORES]]+7</f>
        <v>7</v>
      </c>
      <c r="X371" s="830"/>
      <c r="Y371" s="859"/>
      <c r="Z371" s="860">
        <f>Tabla1[[#This Row],[KGS]]/50</f>
        <v>0</v>
      </c>
      <c r="AA37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71" s="844">
        <f>-Tabla1[[#This Row],[COSTO FLETE $ POR BOLSA 5O KG (SIN IVA)]]*1.21-Tabla1[[#This Row],[PRECIO $/ KG A PLAZO EN CLIENTE ( SIN IVA)]]*0.003*1.21*50</f>
        <v>0</v>
      </c>
      <c r="AC371" s="845" t="e">
        <f>SUM(Tabla1[[#This Row],[PRECIO $ BOLSA 50 KG (IVA INC) ]]+Tabla1[[#This Row],[COSTO FLETE $ BOLSA 50 KG (IVA INC)]])</f>
        <v>#VALUE!</v>
      </c>
      <c r="AD371" s="844" t="e">
        <f>-Tabla1[[#This Row],[PRECIO $ BOLSA 50 KG (IVA INC) ]]*(Tabla1[[#This Row],[TASA FINANCIACION MENSUAL]]/365)*Tabla1[[#This Row],[PLAZO ENTREGA VALORES]]</f>
        <v>#VALUE!</v>
      </c>
      <c r="AE371" s="845" t="e">
        <f>SUM(Tabla1[[#This Row],[PRECIO $ BOLSA50 KG  FOB TUCUMAN A PLAZO (IVA INC)]]+Tabla1[[#This Row],[GASTOS FINANCIEROS $ BOLSA 50 KG (IVA INC)]])</f>
        <v>#VALUE!</v>
      </c>
      <c r="AF371" s="828"/>
      <c r="AG371" s="828"/>
      <c r="AH371" s="828"/>
      <c r="AI371" s="828"/>
      <c r="AJ37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71" s="846" t="e">
        <f>SUM(Tabla1[[#This Row],[PRECIO $ BOLSA 50KG  FOB CDO TUC (IVA INC)]]-Tabla1[[#This Row],[PRECIO REF $ BOLSA 50 KG CACTU (IVA INC)]])</f>
        <v>#VALUE!</v>
      </c>
      <c r="AL371" s="847" t="str">
        <f>IFERROR(Tabla1[[#This Row],[PRECIO $ BOLSA 50KG  FOB CDO TUC (IVA INC)]]/Tabla1[[#This Row],[PRECIO REF $ BOLSA 50 KG CACTU (IVA INC)]]-1,"")</f>
        <v/>
      </c>
      <c r="AM371" s="846" t="e">
        <f>+Tabla1[[#This Row],[DIF $ PRECIO NETO INDUSTRIA vs Neto TUCUMAN (IVA INC)]]*Tabla1[[#This Row],[Q Bolsas Equivalentes 50kg]]</f>
        <v>#VALUE!</v>
      </c>
      <c r="AN371" s="846" t="e">
        <f>Tabla1[[#This Row],[PRECIO REF $ BOLSA 50 KG CACTU (IVA INC)]]*Tabla1[[#This Row],[Q Bolsas Equivalentes 50kg]]</f>
        <v>#VALUE!</v>
      </c>
      <c r="AO371" s="846" t="e">
        <f>+Tabla1[[#This Row],[PRECIO $ BOLSA 50KG  FOB CDO TUC (IVA INC)]]*Tabla1[[#This Row],[Q Bolsas Equivalentes 50kg]]</f>
        <v>#VALUE!</v>
      </c>
      <c r="AP371" s="847"/>
      <c r="AQ371" s="846">
        <v>0</v>
      </c>
      <c r="AR371" s="828"/>
      <c r="AS371" s="849"/>
      <c r="AT371" s="923">
        <f>+Tabla1[[#This Row],[VENTA TOTAL $ (IVA INC) ]]-(SUM(Tabla1[[#This Row],[PENDIENTE DE ENTREGA]:[VALORES COBRADOS]]))</f>
        <v>0</v>
      </c>
      <c r="AU371" s="850" t="e">
        <f>VLOOKUP(Tabla1[[#This Row],[FECHA OC]],'TIPO DE CAMBIO'!A:B,2,TRUE)</f>
        <v>#N/A</v>
      </c>
      <c r="AV371" s="850" t="e">
        <f>+Tabla1[[#This Row],[SUBTOTAL]]/Tabla1[[#This Row],[TIPO DE CAMBIO]]</f>
        <v>#N/A</v>
      </c>
      <c r="AW371" s="851"/>
      <c r="AX371" s="850" t="str">
        <f>IFERROR(Tabla1[[#This Row],[VENTA TOTAL USD A PLAZO EN CLIENTE  (SIN IVA)]]*(1+Tabla1[[#This Row],[% IVA ]]),"")</f>
        <v/>
      </c>
      <c r="AY371" s="850" t="e">
        <f>+Tabla1[[#This Row],[VENTA TOTAL USD A PLAZO EN CLIENTE  (SIN IVA)]]/Tabla1[[#This Row],[KGS]]*1000</f>
        <v>#N/A</v>
      </c>
      <c r="AZ371" s="850" t="e">
        <f>-Tabla1[[#This Row],[COSTO FLETE $ POR BOLSA 5O KG (SIN IVA)]]*20/Tabla1[[#This Row],[TIPO DE CAMBIO]]</f>
        <v>#N/A</v>
      </c>
      <c r="BA371" s="850" t="e">
        <f>+Tabla1[[#This Row],[GASTOS FINANCIEROS $ BOLSA 50 KG (IVA INC)]]*20/Tabla1[[#This Row],[TIPO DE CAMBIO]]</f>
        <v>#VALUE!</v>
      </c>
      <c r="BB371" s="850" t="e">
        <f>+Tabla1[[#This Row],[PRECIO POR TN USD EN CLIENTE A PLAZO (SIN IVA)]]+Tabla1[[#This Row],[COSTO USD FLETE /TN (SIN IVA)]]+Tabla1[[#This Row],[COSTO FINANCIERO USD POR BOLSA 50KG (IVA INC)]]</f>
        <v>#N/A</v>
      </c>
      <c r="BC371" s="848"/>
      <c r="BD371" s="944"/>
    </row>
    <row r="372" spans="1:56" ht="15.75" customHeight="1">
      <c r="A372" s="912">
        <v>46235</v>
      </c>
      <c r="B372" s="853"/>
      <c r="C372" s="792"/>
      <c r="D372" s="829">
        <f>+Tabla1[[#This Row],[FECHA Entrega]]</f>
        <v>0</v>
      </c>
      <c r="E372" s="830"/>
      <c r="F372" s="831"/>
      <c r="G372" s="832"/>
      <c r="H372" s="852"/>
      <c r="I372" s="834"/>
      <c r="J372" s="835"/>
      <c r="K372" s="836">
        <f t="shared" si="127"/>
        <v>0</v>
      </c>
      <c r="L37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72" s="837">
        <f t="shared" si="137"/>
        <v>0</v>
      </c>
      <c r="N372" s="838">
        <f>+Tabla1[[#This Row],[VENTA TOTAL $ (IVA INC) ]]</f>
        <v>0</v>
      </c>
      <c r="O372" s="838">
        <v>0</v>
      </c>
      <c r="P372" s="838">
        <v>0</v>
      </c>
      <c r="Q372" s="839">
        <f>+Tabla1[[#This Row],[VENTA TOTAL $ (IVA INC) ]]-Tabla1[[#This Row],[PENDIENTE DE COBRO]]</f>
        <v>0</v>
      </c>
      <c r="R372" s="840">
        <f>+Tabla1[[#This Row],[FECHA FC]]+Tabla1[[#This Row],[PLAZO ENTREGA VALORES]]</f>
        <v>0</v>
      </c>
      <c r="S372" s="840">
        <f>+Tabla1[[#This Row],[FECHA FC]]+Tabla1[[#This Row],[PLAZO PAGO (DIAS)]]</f>
        <v>0</v>
      </c>
      <c r="T372" s="834">
        <f t="shared" ca="1" si="128"/>
        <v>-46181</v>
      </c>
      <c r="U372" s="831"/>
      <c r="V372" s="831"/>
      <c r="W372" s="841">
        <f>+Tabla1[[#This Row],[FECHA VTO VALORES]]+7</f>
        <v>7</v>
      </c>
      <c r="X372" s="830"/>
      <c r="Y372" s="859"/>
      <c r="Z372" s="860">
        <f>Tabla1[[#This Row],[KGS]]/50</f>
        <v>0</v>
      </c>
      <c r="AA37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72" s="844">
        <f>-Tabla1[[#This Row],[COSTO FLETE $ POR BOLSA 5O KG (SIN IVA)]]*1.21-Tabla1[[#This Row],[PRECIO $/ KG A PLAZO EN CLIENTE ( SIN IVA)]]*0.003*1.21*50</f>
        <v>0</v>
      </c>
      <c r="AC372" s="845" t="e">
        <f>SUM(Tabla1[[#This Row],[PRECIO $ BOLSA 50 KG (IVA INC) ]]+Tabla1[[#This Row],[COSTO FLETE $ BOLSA 50 KG (IVA INC)]])</f>
        <v>#VALUE!</v>
      </c>
      <c r="AD372" s="844" t="e">
        <f>-Tabla1[[#This Row],[PRECIO $ BOLSA 50 KG (IVA INC) ]]*(Tabla1[[#This Row],[TASA FINANCIACION MENSUAL]]/365)*Tabla1[[#This Row],[PLAZO ENTREGA VALORES]]</f>
        <v>#VALUE!</v>
      </c>
      <c r="AE372" s="845" t="e">
        <f>SUM(Tabla1[[#This Row],[PRECIO $ BOLSA50 KG  FOB TUCUMAN A PLAZO (IVA INC)]]+Tabla1[[#This Row],[GASTOS FINANCIEROS $ BOLSA 50 KG (IVA INC)]])</f>
        <v>#VALUE!</v>
      </c>
      <c r="AF372" s="828"/>
      <c r="AG372" s="828"/>
      <c r="AH372" s="828"/>
      <c r="AI372" s="828"/>
      <c r="AJ37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72" s="846" t="e">
        <f>SUM(Tabla1[[#This Row],[PRECIO $ BOLSA 50KG  FOB CDO TUC (IVA INC)]]-Tabla1[[#This Row],[PRECIO REF $ BOLSA 50 KG CACTU (IVA INC)]])</f>
        <v>#VALUE!</v>
      </c>
      <c r="AL372" s="847" t="str">
        <f>IFERROR(Tabla1[[#This Row],[PRECIO $ BOLSA 50KG  FOB CDO TUC (IVA INC)]]/Tabla1[[#This Row],[PRECIO REF $ BOLSA 50 KG CACTU (IVA INC)]]-1,"")</f>
        <v/>
      </c>
      <c r="AM372" s="846" t="e">
        <f>+Tabla1[[#This Row],[DIF $ PRECIO NETO INDUSTRIA vs Neto TUCUMAN (IVA INC)]]*Tabla1[[#This Row],[Q Bolsas Equivalentes 50kg]]</f>
        <v>#VALUE!</v>
      </c>
      <c r="AN372" s="846" t="e">
        <f>Tabla1[[#This Row],[PRECIO REF $ BOLSA 50 KG CACTU (IVA INC)]]*Tabla1[[#This Row],[Q Bolsas Equivalentes 50kg]]</f>
        <v>#VALUE!</v>
      </c>
      <c r="AO372" s="846" t="e">
        <f>+Tabla1[[#This Row],[PRECIO $ BOLSA 50KG  FOB CDO TUC (IVA INC)]]*Tabla1[[#This Row],[Q Bolsas Equivalentes 50kg]]</f>
        <v>#VALUE!</v>
      </c>
      <c r="AP372" s="847"/>
      <c r="AQ372" s="846">
        <v>0</v>
      </c>
      <c r="AR372" s="828"/>
      <c r="AS372" s="849"/>
      <c r="AT372" s="923">
        <f>+Tabla1[[#This Row],[VENTA TOTAL $ (IVA INC) ]]-(SUM(Tabla1[[#This Row],[PENDIENTE DE ENTREGA]:[VALORES COBRADOS]]))</f>
        <v>0</v>
      </c>
      <c r="AU372" s="850" t="e">
        <f>VLOOKUP(Tabla1[[#This Row],[FECHA OC]],'TIPO DE CAMBIO'!A:B,2,TRUE)</f>
        <v>#N/A</v>
      </c>
      <c r="AV372" s="850" t="e">
        <f>+Tabla1[[#This Row],[SUBTOTAL]]/Tabla1[[#This Row],[TIPO DE CAMBIO]]</f>
        <v>#N/A</v>
      </c>
      <c r="AW372" s="851"/>
      <c r="AX372" s="850" t="str">
        <f>IFERROR(Tabla1[[#This Row],[VENTA TOTAL USD A PLAZO EN CLIENTE  (SIN IVA)]]*(1+Tabla1[[#This Row],[% IVA ]]),"")</f>
        <v/>
      </c>
      <c r="AY372" s="850" t="e">
        <f>+Tabla1[[#This Row],[VENTA TOTAL USD A PLAZO EN CLIENTE  (SIN IVA)]]/Tabla1[[#This Row],[KGS]]*1000</f>
        <v>#N/A</v>
      </c>
      <c r="AZ372" s="850" t="e">
        <f>-Tabla1[[#This Row],[COSTO FLETE $ POR BOLSA 5O KG (SIN IVA)]]*20/Tabla1[[#This Row],[TIPO DE CAMBIO]]</f>
        <v>#N/A</v>
      </c>
      <c r="BA372" s="850" t="e">
        <f>+Tabla1[[#This Row],[GASTOS FINANCIEROS $ BOLSA 50 KG (IVA INC)]]*20/Tabla1[[#This Row],[TIPO DE CAMBIO]]</f>
        <v>#VALUE!</v>
      </c>
      <c r="BB372" s="850" t="e">
        <f>+Tabla1[[#This Row],[PRECIO POR TN USD EN CLIENTE A PLAZO (SIN IVA)]]+Tabla1[[#This Row],[COSTO USD FLETE /TN (SIN IVA)]]+Tabla1[[#This Row],[COSTO FINANCIERO USD POR BOLSA 50KG (IVA INC)]]</f>
        <v>#N/A</v>
      </c>
      <c r="BC372" s="848"/>
      <c r="BD372" s="944"/>
    </row>
    <row r="373" spans="1:56" ht="15.75" customHeight="1">
      <c r="A373" s="912">
        <v>46235</v>
      </c>
      <c r="B373" s="853"/>
      <c r="C373" s="792"/>
      <c r="D373" s="829">
        <f>+Tabla1[[#This Row],[FECHA Entrega]]</f>
        <v>0</v>
      </c>
      <c r="E373" s="830"/>
      <c r="F373" s="831"/>
      <c r="G373" s="832"/>
      <c r="H373" s="852"/>
      <c r="I373" s="834"/>
      <c r="J373" s="835"/>
      <c r="K373" s="836">
        <f t="shared" si="127"/>
        <v>0</v>
      </c>
      <c r="L37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73" s="837">
        <f t="shared" si="137"/>
        <v>0</v>
      </c>
      <c r="N373" s="838">
        <f>+Tabla1[[#This Row],[VENTA TOTAL $ (IVA INC) ]]</f>
        <v>0</v>
      </c>
      <c r="O373" s="838">
        <v>0</v>
      </c>
      <c r="P373" s="838">
        <v>0</v>
      </c>
      <c r="Q373" s="839">
        <f>+Tabla1[[#This Row],[VENTA TOTAL $ (IVA INC) ]]-Tabla1[[#This Row],[PENDIENTE DE COBRO]]</f>
        <v>0</v>
      </c>
      <c r="R373" s="840">
        <f>+Tabla1[[#This Row],[FECHA FC]]+Tabla1[[#This Row],[PLAZO ENTREGA VALORES]]</f>
        <v>0</v>
      </c>
      <c r="S373" s="840">
        <f>+Tabla1[[#This Row],[FECHA FC]]+Tabla1[[#This Row],[PLAZO PAGO (DIAS)]]</f>
        <v>0</v>
      </c>
      <c r="T373" s="834">
        <f t="shared" ca="1" si="128"/>
        <v>-46181</v>
      </c>
      <c r="U373" s="831"/>
      <c r="V373" s="831"/>
      <c r="W373" s="841">
        <f>+Tabla1[[#This Row],[FECHA VTO VALORES]]+7</f>
        <v>7</v>
      </c>
      <c r="X373" s="830"/>
      <c r="Y373" s="859"/>
      <c r="Z373" s="860">
        <f>Tabla1[[#This Row],[KGS]]/50</f>
        <v>0</v>
      </c>
      <c r="AA37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73" s="844">
        <f>-Tabla1[[#This Row],[COSTO FLETE $ POR BOLSA 5O KG (SIN IVA)]]*1.21-Tabla1[[#This Row],[PRECIO $/ KG A PLAZO EN CLIENTE ( SIN IVA)]]*0.003*1.21*50</f>
        <v>0</v>
      </c>
      <c r="AC373" s="845" t="e">
        <f>SUM(Tabla1[[#This Row],[PRECIO $ BOLSA 50 KG (IVA INC) ]]+Tabla1[[#This Row],[COSTO FLETE $ BOLSA 50 KG (IVA INC)]])</f>
        <v>#VALUE!</v>
      </c>
      <c r="AD373" s="844" t="e">
        <f>-Tabla1[[#This Row],[PRECIO $ BOLSA 50 KG (IVA INC) ]]*(Tabla1[[#This Row],[TASA FINANCIACION MENSUAL]]/365)*Tabla1[[#This Row],[PLAZO ENTREGA VALORES]]</f>
        <v>#VALUE!</v>
      </c>
      <c r="AE373" s="845" t="e">
        <f>SUM(Tabla1[[#This Row],[PRECIO $ BOLSA50 KG  FOB TUCUMAN A PLAZO (IVA INC)]]+Tabla1[[#This Row],[GASTOS FINANCIEROS $ BOLSA 50 KG (IVA INC)]])</f>
        <v>#VALUE!</v>
      </c>
      <c r="AF373" s="828"/>
      <c r="AG373" s="828"/>
      <c r="AH373" s="828"/>
      <c r="AI373" s="828"/>
      <c r="AJ37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73" s="846" t="e">
        <f>SUM(Tabla1[[#This Row],[PRECIO $ BOLSA 50KG  FOB CDO TUC (IVA INC)]]-Tabla1[[#This Row],[PRECIO REF $ BOLSA 50 KG CACTU (IVA INC)]])</f>
        <v>#VALUE!</v>
      </c>
      <c r="AL373" s="847" t="str">
        <f>IFERROR(Tabla1[[#This Row],[PRECIO $ BOLSA 50KG  FOB CDO TUC (IVA INC)]]/Tabla1[[#This Row],[PRECIO REF $ BOLSA 50 KG CACTU (IVA INC)]]-1,"")</f>
        <v/>
      </c>
      <c r="AM373" s="846" t="e">
        <f>+Tabla1[[#This Row],[DIF $ PRECIO NETO INDUSTRIA vs Neto TUCUMAN (IVA INC)]]*Tabla1[[#This Row],[Q Bolsas Equivalentes 50kg]]</f>
        <v>#VALUE!</v>
      </c>
      <c r="AN373" s="846" t="e">
        <f>Tabla1[[#This Row],[PRECIO REF $ BOLSA 50 KG CACTU (IVA INC)]]*Tabla1[[#This Row],[Q Bolsas Equivalentes 50kg]]</f>
        <v>#VALUE!</v>
      </c>
      <c r="AO373" s="846" t="e">
        <f>+Tabla1[[#This Row],[PRECIO $ BOLSA 50KG  FOB CDO TUC (IVA INC)]]*Tabla1[[#This Row],[Q Bolsas Equivalentes 50kg]]</f>
        <v>#VALUE!</v>
      </c>
      <c r="AP373" s="847"/>
      <c r="AQ373" s="846">
        <v>0</v>
      </c>
      <c r="AR373" s="828"/>
      <c r="AS373" s="849"/>
      <c r="AT373" s="923">
        <f>+Tabla1[[#This Row],[VENTA TOTAL $ (IVA INC) ]]-(SUM(Tabla1[[#This Row],[PENDIENTE DE ENTREGA]:[VALORES COBRADOS]]))</f>
        <v>0</v>
      </c>
      <c r="AU373" s="850" t="e">
        <f>VLOOKUP(Tabla1[[#This Row],[FECHA OC]],'TIPO DE CAMBIO'!A:B,2,TRUE)</f>
        <v>#N/A</v>
      </c>
      <c r="AV373" s="850" t="e">
        <f>+Tabla1[[#This Row],[SUBTOTAL]]/Tabla1[[#This Row],[TIPO DE CAMBIO]]</f>
        <v>#N/A</v>
      </c>
      <c r="AW373" s="851"/>
      <c r="AX373" s="850" t="str">
        <f>IFERROR(Tabla1[[#This Row],[VENTA TOTAL USD A PLAZO EN CLIENTE  (SIN IVA)]]*(1+Tabla1[[#This Row],[% IVA ]]),"")</f>
        <v/>
      </c>
      <c r="AY373" s="850" t="e">
        <f>+Tabla1[[#This Row],[VENTA TOTAL USD A PLAZO EN CLIENTE  (SIN IVA)]]/Tabla1[[#This Row],[KGS]]*1000</f>
        <v>#N/A</v>
      </c>
      <c r="AZ373" s="850" t="e">
        <f>-Tabla1[[#This Row],[COSTO FLETE $ POR BOLSA 5O KG (SIN IVA)]]*20/Tabla1[[#This Row],[TIPO DE CAMBIO]]</f>
        <v>#N/A</v>
      </c>
      <c r="BA373" s="850" t="e">
        <f>+Tabla1[[#This Row],[GASTOS FINANCIEROS $ BOLSA 50 KG (IVA INC)]]*20/Tabla1[[#This Row],[TIPO DE CAMBIO]]</f>
        <v>#VALUE!</v>
      </c>
      <c r="BB373" s="850" t="e">
        <f>+Tabla1[[#This Row],[PRECIO POR TN USD EN CLIENTE A PLAZO (SIN IVA)]]+Tabla1[[#This Row],[COSTO USD FLETE /TN (SIN IVA)]]+Tabla1[[#This Row],[COSTO FINANCIERO USD POR BOLSA 50KG (IVA INC)]]</f>
        <v>#N/A</v>
      </c>
      <c r="BC373" s="848"/>
      <c r="BD373" s="944"/>
    </row>
    <row r="374" spans="1:56" ht="15.75" customHeight="1">
      <c r="A374" s="912">
        <v>46235</v>
      </c>
      <c r="B374" s="853"/>
      <c r="C374" s="792"/>
      <c r="D374" s="829">
        <f>+Tabla1[[#This Row],[FECHA Entrega]]</f>
        <v>0</v>
      </c>
      <c r="E374" s="830"/>
      <c r="F374" s="831"/>
      <c r="G374" s="832"/>
      <c r="H374" s="852"/>
      <c r="I374" s="834"/>
      <c r="J374" s="835"/>
      <c r="K374" s="836">
        <f t="shared" si="127"/>
        <v>0</v>
      </c>
      <c r="L37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74" s="837">
        <f t="shared" si="137"/>
        <v>0</v>
      </c>
      <c r="N374" s="838">
        <f>+Tabla1[[#This Row],[VENTA TOTAL $ (IVA INC) ]]</f>
        <v>0</v>
      </c>
      <c r="O374" s="838">
        <v>0</v>
      </c>
      <c r="P374" s="838">
        <v>0</v>
      </c>
      <c r="Q374" s="839">
        <f>+Tabla1[[#This Row],[VENTA TOTAL $ (IVA INC) ]]-Tabla1[[#This Row],[PENDIENTE DE COBRO]]</f>
        <v>0</v>
      </c>
      <c r="R374" s="840">
        <f>+Tabla1[[#This Row],[FECHA FC]]+Tabla1[[#This Row],[PLAZO ENTREGA VALORES]]</f>
        <v>0</v>
      </c>
      <c r="S374" s="840">
        <f>+Tabla1[[#This Row],[FECHA FC]]+Tabla1[[#This Row],[PLAZO PAGO (DIAS)]]</f>
        <v>0</v>
      </c>
      <c r="T374" s="834">
        <f t="shared" ca="1" si="128"/>
        <v>-46181</v>
      </c>
      <c r="U374" s="831"/>
      <c r="V374" s="831"/>
      <c r="W374" s="841">
        <f>+Tabla1[[#This Row],[FECHA VTO VALORES]]+7</f>
        <v>7</v>
      </c>
      <c r="X374" s="830"/>
      <c r="Y374" s="859"/>
      <c r="Z374" s="860">
        <f>Tabla1[[#This Row],[KGS]]/50</f>
        <v>0</v>
      </c>
      <c r="AA37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74" s="844">
        <f>-Tabla1[[#This Row],[COSTO FLETE $ POR BOLSA 5O KG (SIN IVA)]]*1.21-Tabla1[[#This Row],[PRECIO $/ KG A PLAZO EN CLIENTE ( SIN IVA)]]*0.003*1.21*50</f>
        <v>0</v>
      </c>
      <c r="AC374" s="845" t="e">
        <f>SUM(Tabla1[[#This Row],[PRECIO $ BOLSA 50 KG (IVA INC) ]]+Tabla1[[#This Row],[COSTO FLETE $ BOLSA 50 KG (IVA INC)]])</f>
        <v>#VALUE!</v>
      </c>
      <c r="AD374" s="844" t="e">
        <f>-Tabla1[[#This Row],[PRECIO $ BOLSA 50 KG (IVA INC) ]]*(Tabla1[[#This Row],[TASA FINANCIACION MENSUAL]]/365)*Tabla1[[#This Row],[PLAZO ENTREGA VALORES]]</f>
        <v>#VALUE!</v>
      </c>
      <c r="AE374" s="845" t="e">
        <f>SUM(Tabla1[[#This Row],[PRECIO $ BOLSA50 KG  FOB TUCUMAN A PLAZO (IVA INC)]]+Tabla1[[#This Row],[GASTOS FINANCIEROS $ BOLSA 50 KG (IVA INC)]])</f>
        <v>#VALUE!</v>
      </c>
      <c r="AF374" s="828"/>
      <c r="AG374" s="828"/>
      <c r="AH374" s="828"/>
      <c r="AI374" s="828"/>
      <c r="AJ37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74" s="846" t="e">
        <f>SUM(Tabla1[[#This Row],[PRECIO $ BOLSA 50KG  FOB CDO TUC (IVA INC)]]-Tabla1[[#This Row],[PRECIO REF $ BOLSA 50 KG CACTU (IVA INC)]])</f>
        <v>#VALUE!</v>
      </c>
      <c r="AL374" s="847" t="str">
        <f>IFERROR(Tabla1[[#This Row],[PRECIO $ BOLSA 50KG  FOB CDO TUC (IVA INC)]]/Tabla1[[#This Row],[PRECIO REF $ BOLSA 50 KG CACTU (IVA INC)]]-1,"")</f>
        <v/>
      </c>
      <c r="AM374" s="846" t="e">
        <f>+Tabla1[[#This Row],[DIF $ PRECIO NETO INDUSTRIA vs Neto TUCUMAN (IVA INC)]]*Tabla1[[#This Row],[Q Bolsas Equivalentes 50kg]]</f>
        <v>#VALUE!</v>
      </c>
      <c r="AN374" s="846" t="e">
        <f>Tabla1[[#This Row],[PRECIO REF $ BOLSA 50 KG CACTU (IVA INC)]]*Tabla1[[#This Row],[Q Bolsas Equivalentes 50kg]]</f>
        <v>#VALUE!</v>
      </c>
      <c r="AO374" s="846" t="e">
        <f>+Tabla1[[#This Row],[PRECIO $ BOLSA 50KG  FOB CDO TUC (IVA INC)]]*Tabla1[[#This Row],[Q Bolsas Equivalentes 50kg]]</f>
        <v>#VALUE!</v>
      </c>
      <c r="AP374" s="847"/>
      <c r="AQ374" s="846">
        <v>0</v>
      </c>
      <c r="AR374" s="828"/>
      <c r="AS374" s="849"/>
      <c r="AT374" s="923">
        <f>+Tabla1[[#This Row],[VENTA TOTAL $ (IVA INC) ]]-(SUM(Tabla1[[#This Row],[PENDIENTE DE ENTREGA]:[VALORES COBRADOS]]))</f>
        <v>0</v>
      </c>
      <c r="AU374" s="850" t="e">
        <f>VLOOKUP(Tabla1[[#This Row],[FECHA OC]],'TIPO DE CAMBIO'!A:B,2,TRUE)</f>
        <v>#N/A</v>
      </c>
      <c r="AV374" s="850" t="e">
        <f>+Tabla1[[#This Row],[SUBTOTAL]]/Tabla1[[#This Row],[TIPO DE CAMBIO]]</f>
        <v>#N/A</v>
      </c>
      <c r="AW374" s="851"/>
      <c r="AX374" s="850" t="str">
        <f>IFERROR(Tabla1[[#This Row],[VENTA TOTAL USD A PLAZO EN CLIENTE  (SIN IVA)]]*(1+Tabla1[[#This Row],[% IVA ]]),"")</f>
        <v/>
      </c>
      <c r="AY374" s="850" t="e">
        <f>+Tabla1[[#This Row],[VENTA TOTAL USD A PLAZO EN CLIENTE  (SIN IVA)]]/Tabla1[[#This Row],[KGS]]*1000</f>
        <v>#N/A</v>
      </c>
      <c r="AZ374" s="850" t="e">
        <f>-Tabla1[[#This Row],[COSTO FLETE $ POR BOLSA 5O KG (SIN IVA)]]*20/Tabla1[[#This Row],[TIPO DE CAMBIO]]</f>
        <v>#N/A</v>
      </c>
      <c r="BA374" s="850" t="e">
        <f>+Tabla1[[#This Row],[GASTOS FINANCIEROS $ BOLSA 50 KG (IVA INC)]]*20/Tabla1[[#This Row],[TIPO DE CAMBIO]]</f>
        <v>#VALUE!</v>
      </c>
      <c r="BB374" s="850" t="e">
        <f>+Tabla1[[#This Row],[PRECIO POR TN USD EN CLIENTE A PLAZO (SIN IVA)]]+Tabla1[[#This Row],[COSTO USD FLETE /TN (SIN IVA)]]+Tabla1[[#This Row],[COSTO FINANCIERO USD POR BOLSA 50KG (IVA INC)]]</f>
        <v>#N/A</v>
      </c>
      <c r="BC374" s="848"/>
      <c r="BD374" s="944"/>
    </row>
    <row r="375" spans="1:56" ht="15.75" customHeight="1">
      <c r="A375" s="912">
        <v>46235</v>
      </c>
      <c r="B375" s="853"/>
      <c r="C375" s="792"/>
      <c r="D375" s="829">
        <f>+Tabla1[[#This Row],[FECHA Entrega]]</f>
        <v>0</v>
      </c>
      <c r="E375" s="830"/>
      <c r="F375" s="831"/>
      <c r="G375" s="832"/>
      <c r="H375" s="852"/>
      <c r="I375" s="834"/>
      <c r="J375" s="835"/>
      <c r="K375" s="836">
        <f t="shared" si="127"/>
        <v>0</v>
      </c>
      <c r="L37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75" s="837">
        <f t="shared" si="137"/>
        <v>0</v>
      </c>
      <c r="N375" s="838">
        <f>+Tabla1[[#This Row],[VENTA TOTAL $ (IVA INC) ]]</f>
        <v>0</v>
      </c>
      <c r="O375" s="838">
        <v>0</v>
      </c>
      <c r="P375" s="838">
        <v>0</v>
      </c>
      <c r="Q375" s="839">
        <f>+Tabla1[[#This Row],[VENTA TOTAL $ (IVA INC) ]]-Tabla1[[#This Row],[PENDIENTE DE COBRO]]</f>
        <v>0</v>
      </c>
      <c r="R375" s="840">
        <f>+Tabla1[[#This Row],[FECHA FC]]+Tabla1[[#This Row],[PLAZO ENTREGA VALORES]]</f>
        <v>0</v>
      </c>
      <c r="S375" s="840">
        <f>+Tabla1[[#This Row],[FECHA FC]]+Tabla1[[#This Row],[PLAZO PAGO (DIAS)]]</f>
        <v>0</v>
      </c>
      <c r="T375" s="834">
        <f t="shared" ca="1" si="128"/>
        <v>-46181</v>
      </c>
      <c r="U375" s="831"/>
      <c r="V375" s="831"/>
      <c r="W375" s="841">
        <f>+Tabla1[[#This Row],[FECHA VTO VALORES]]+7</f>
        <v>7</v>
      </c>
      <c r="X375" s="830"/>
      <c r="Y375" s="859"/>
      <c r="Z375" s="860">
        <f>Tabla1[[#This Row],[KGS]]/50</f>
        <v>0</v>
      </c>
      <c r="AA37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75" s="844">
        <f>-Tabla1[[#This Row],[COSTO FLETE $ POR BOLSA 5O KG (SIN IVA)]]*1.21-Tabla1[[#This Row],[PRECIO $/ KG A PLAZO EN CLIENTE ( SIN IVA)]]*0.003*1.21*50</f>
        <v>0</v>
      </c>
      <c r="AC375" s="845" t="e">
        <f>SUM(Tabla1[[#This Row],[PRECIO $ BOLSA 50 KG (IVA INC) ]]+Tabla1[[#This Row],[COSTO FLETE $ BOLSA 50 KG (IVA INC)]])</f>
        <v>#VALUE!</v>
      </c>
      <c r="AD375" s="844" t="e">
        <f>-Tabla1[[#This Row],[PRECIO $ BOLSA 50 KG (IVA INC) ]]*(Tabla1[[#This Row],[TASA FINANCIACION MENSUAL]]/365)*Tabla1[[#This Row],[PLAZO ENTREGA VALORES]]</f>
        <v>#VALUE!</v>
      </c>
      <c r="AE375" s="845" t="e">
        <f>SUM(Tabla1[[#This Row],[PRECIO $ BOLSA50 KG  FOB TUCUMAN A PLAZO (IVA INC)]]+Tabla1[[#This Row],[GASTOS FINANCIEROS $ BOLSA 50 KG (IVA INC)]])</f>
        <v>#VALUE!</v>
      </c>
      <c r="AF375" s="828"/>
      <c r="AG375" s="828"/>
      <c r="AH375" s="828"/>
      <c r="AI375" s="828"/>
      <c r="AJ37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75" s="846" t="e">
        <f>SUM(Tabla1[[#This Row],[PRECIO $ BOLSA 50KG  FOB CDO TUC (IVA INC)]]-Tabla1[[#This Row],[PRECIO REF $ BOLSA 50 KG CACTU (IVA INC)]])</f>
        <v>#VALUE!</v>
      </c>
      <c r="AL375" s="847" t="str">
        <f>IFERROR(Tabla1[[#This Row],[PRECIO $ BOLSA 50KG  FOB CDO TUC (IVA INC)]]/Tabla1[[#This Row],[PRECIO REF $ BOLSA 50 KG CACTU (IVA INC)]]-1,"")</f>
        <v/>
      </c>
      <c r="AM375" s="846" t="e">
        <f>+Tabla1[[#This Row],[DIF $ PRECIO NETO INDUSTRIA vs Neto TUCUMAN (IVA INC)]]*Tabla1[[#This Row],[Q Bolsas Equivalentes 50kg]]</f>
        <v>#VALUE!</v>
      </c>
      <c r="AN375" s="846" t="e">
        <f>Tabla1[[#This Row],[PRECIO REF $ BOLSA 50 KG CACTU (IVA INC)]]*Tabla1[[#This Row],[Q Bolsas Equivalentes 50kg]]</f>
        <v>#VALUE!</v>
      </c>
      <c r="AO375" s="846" t="e">
        <f>+Tabla1[[#This Row],[PRECIO $ BOLSA 50KG  FOB CDO TUC (IVA INC)]]*Tabla1[[#This Row],[Q Bolsas Equivalentes 50kg]]</f>
        <v>#VALUE!</v>
      </c>
      <c r="AP375" s="847"/>
      <c r="AQ375" s="846">
        <v>0</v>
      </c>
      <c r="AR375" s="828"/>
      <c r="AS375" s="849"/>
      <c r="AT375" s="923">
        <f>+Tabla1[[#This Row],[VENTA TOTAL $ (IVA INC) ]]-(SUM(Tabla1[[#This Row],[PENDIENTE DE ENTREGA]:[VALORES COBRADOS]]))</f>
        <v>0</v>
      </c>
      <c r="AU375" s="850" t="e">
        <f>VLOOKUP(Tabla1[[#This Row],[FECHA OC]],'TIPO DE CAMBIO'!A:B,2,TRUE)</f>
        <v>#N/A</v>
      </c>
      <c r="AV375" s="850" t="e">
        <f>+Tabla1[[#This Row],[SUBTOTAL]]/Tabla1[[#This Row],[TIPO DE CAMBIO]]</f>
        <v>#N/A</v>
      </c>
      <c r="AW375" s="851"/>
      <c r="AX375" s="850" t="str">
        <f>IFERROR(Tabla1[[#This Row],[VENTA TOTAL USD A PLAZO EN CLIENTE  (SIN IVA)]]*(1+Tabla1[[#This Row],[% IVA ]]),"")</f>
        <v/>
      </c>
      <c r="AY375" s="850" t="e">
        <f>+Tabla1[[#This Row],[VENTA TOTAL USD A PLAZO EN CLIENTE  (SIN IVA)]]/Tabla1[[#This Row],[KGS]]*1000</f>
        <v>#N/A</v>
      </c>
      <c r="AZ375" s="850" t="e">
        <f>-Tabla1[[#This Row],[COSTO FLETE $ POR BOLSA 5O KG (SIN IVA)]]*20/Tabla1[[#This Row],[TIPO DE CAMBIO]]</f>
        <v>#N/A</v>
      </c>
      <c r="BA375" s="850" t="e">
        <f>+Tabla1[[#This Row],[GASTOS FINANCIEROS $ BOLSA 50 KG (IVA INC)]]*20/Tabla1[[#This Row],[TIPO DE CAMBIO]]</f>
        <v>#VALUE!</v>
      </c>
      <c r="BB375" s="850" t="e">
        <f>+Tabla1[[#This Row],[PRECIO POR TN USD EN CLIENTE A PLAZO (SIN IVA)]]+Tabla1[[#This Row],[COSTO USD FLETE /TN (SIN IVA)]]+Tabla1[[#This Row],[COSTO FINANCIERO USD POR BOLSA 50KG (IVA INC)]]</f>
        <v>#N/A</v>
      </c>
      <c r="BC375" s="848"/>
      <c r="BD375" s="944"/>
    </row>
    <row r="376" spans="1:56" ht="15.75" customHeight="1">
      <c r="A376" s="912">
        <v>46235</v>
      </c>
      <c r="B376" s="853"/>
      <c r="C376" s="792"/>
      <c r="D376" s="829">
        <f>+Tabla1[[#This Row],[FECHA Entrega]]</f>
        <v>0</v>
      </c>
      <c r="E376" s="830"/>
      <c r="F376" s="831"/>
      <c r="G376" s="832"/>
      <c r="H376" s="852"/>
      <c r="I376" s="834"/>
      <c r="J376" s="835"/>
      <c r="K376" s="836">
        <f t="shared" si="127"/>
        <v>0</v>
      </c>
      <c r="L37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76" s="837">
        <f t="shared" si="137"/>
        <v>0</v>
      </c>
      <c r="N376" s="838">
        <f>+Tabla1[[#This Row],[VENTA TOTAL $ (IVA INC) ]]</f>
        <v>0</v>
      </c>
      <c r="O376" s="838">
        <v>0</v>
      </c>
      <c r="P376" s="838">
        <v>0</v>
      </c>
      <c r="Q376" s="839">
        <f>+Tabla1[[#This Row],[VENTA TOTAL $ (IVA INC) ]]-Tabla1[[#This Row],[PENDIENTE DE COBRO]]</f>
        <v>0</v>
      </c>
      <c r="R376" s="840">
        <f>+Tabla1[[#This Row],[FECHA FC]]+Tabla1[[#This Row],[PLAZO ENTREGA VALORES]]</f>
        <v>0</v>
      </c>
      <c r="S376" s="840">
        <f>+Tabla1[[#This Row],[FECHA FC]]+Tabla1[[#This Row],[PLAZO PAGO (DIAS)]]</f>
        <v>0</v>
      </c>
      <c r="T376" s="834">
        <f t="shared" ca="1" si="128"/>
        <v>-46181</v>
      </c>
      <c r="U376" s="831"/>
      <c r="V376" s="831"/>
      <c r="W376" s="841">
        <f>+Tabla1[[#This Row],[FECHA VTO VALORES]]+7</f>
        <v>7</v>
      </c>
      <c r="X376" s="830"/>
      <c r="Y376" s="859"/>
      <c r="Z376" s="860">
        <f>Tabla1[[#This Row],[KGS]]/50</f>
        <v>0</v>
      </c>
      <c r="AA37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76" s="844">
        <f>-Tabla1[[#This Row],[COSTO FLETE $ POR BOLSA 5O KG (SIN IVA)]]*1.21-Tabla1[[#This Row],[PRECIO $/ KG A PLAZO EN CLIENTE ( SIN IVA)]]*0.003*1.21*50</f>
        <v>0</v>
      </c>
      <c r="AC376" s="845" t="e">
        <f>SUM(Tabla1[[#This Row],[PRECIO $ BOLSA 50 KG (IVA INC) ]]+Tabla1[[#This Row],[COSTO FLETE $ BOLSA 50 KG (IVA INC)]])</f>
        <v>#VALUE!</v>
      </c>
      <c r="AD376" s="844" t="e">
        <f>-Tabla1[[#This Row],[PRECIO $ BOLSA 50 KG (IVA INC) ]]*(Tabla1[[#This Row],[TASA FINANCIACION MENSUAL]]/365)*Tabla1[[#This Row],[PLAZO ENTREGA VALORES]]</f>
        <v>#VALUE!</v>
      </c>
      <c r="AE376" s="845" t="e">
        <f>SUM(Tabla1[[#This Row],[PRECIO $ BOLSA50 KG  FOB TUCUMAN A PLAZO (IVA INC)]]+Tabla1[[#This Row],[GASTOS FINANCIEROS $ BOLSA 50 KG (IVA INC)]])</f>
        <v>#VALUE!</v>
      </c>
      <c r="AF376" s="828"/>
      <c r="AG376" s="828"/>
      <c r="AH376" s="828"/>
      <c r="AI376" s="828"/>
      <c r="AJ37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76" s="846" t="e">
        <f>SUM(Tabla1[[#This Row],[PRECIO $ BOLSA 50KG  FOB CDO TUC (IVA INC)]]-Tabla1[[#This Row],[PRECIO REF $ BOLSA 50 KG CACTU (IVA INC)]])</f>
        <v>#VALUE!</v>
      </c>
      <c r="AL376" s="847" t="str">
        <f>IFERROR(Tabla1[[#This Row],[PRECIO $ BOLSA 50KG  FOB CDO TUC (IVA INC)]]/Tabla1[[#This Row],[PRECIO REF $ BOLSA 50 KG CACTU (IVA INC)]]-1,"")</f>
        <v/>
      </c>
      <c r="AM376" s="846" t="e">
        <f>+Tabla1[[#This Row],[DIF $ PRECIO NETO INDUSTRIA vs Neto TUCUMAN (IVA INC)]]*Tabla1[[#This Row],[Q Bolsas Equivalentes 50kg]]</f>
        <v>#VALUE!</v>
      </c>
      <c r="AN376" s="846" t="e">
        <f>Tabla1[[#This Row],[PRECIO REF $ BOLSA 50 KG CACTU (IVA INC)]]*Tabla1[[#This Row],[Q Bolsas Equivalentes 50kg]]</f>
        <v>#VALUE!</v>
      </c>
      <c r="AO376" s="846" t="e">
        <f>+Tabla1[[#This Row],[PRECIO $ BOLSA 50KG  FOB CDO TUC (IVA INC)]]*Tabla1[[#This Row],[Q Bolsas Equivalentes 50kg]]</f>
        <v>#VALUE!</v>
      </c>
      <c r="AP376" s="847"/>
      <c r="AQ376" s="846">
        <v>0</v>
      </c>
      <c r="AR376" s="828"/>
      <c r="AS376" s="849"/>
      <c r="AT376" s="923">
        <f>+Tabla1[[#This Row],[VENTA TOTAL $ (IVA INC) ]]-(SUM(Tabla1[[#This Row],[PENDIENTE DE ENTREGA]:[VALORES COBRADOS]]))</f>
        <v>0</v>
      </c>
      <c r="AU376" s="850" t="e">
        <f>VLOOKUP(Tabla1[[#This Row],[FECHA OC]],'TIPO DE CAMBIO'!A:B,2,TRUE)</f>
        <v>#N/A</v>
      </c>
      <c r="AV376" s="850" t="e">
        <f>+Tabla1[[#This Row],[SUBTOTAL]]/Tabla1[[#This Row],[TIPO DE CAMBIO]]</f>
        <v>#N/A</v>
      </c>
      <c r="AW376" s="851"/>
      <c r="AX376" s="850" t="str">
        <f>IFERROR(Tabla1[[#This Row],[VENTA TOTAL USD A PLAZO EN CLIENTE  (SIN IVA)]]*(1+Tabla1[[#This Row],[% IVA ]]),"")</f>
        <v/>
      </c>
      <c r="AY376" s="850" t="e">
        <f>+Tabla1[[#This Row],[VENTA TOTAL USD A PLAZO EN CLIENTE  (SIN IVA)]]/Tabla1[[#This Row],[KGS]]*1000</f>
        <v>#N/A</v>
      </c>
      <c r="AZ376" s="850" t="e">
        <f>-Tabla1[[#This Row],[COSTO FLETE $ POR BOLSA 5O KG (SIN IVA)]]*20/Tabla1[[#This Row],[TIPO DE CAMBIO]]</f>
        <v>#N/A</v>
      </c>
      <c r="BA376" s="850" t="e">
        <f>+Tabla1[[#This Row],[GASTOS FINANCIEROS $ BOLSA 50 KG (IVA INC)]]*20/Tabla1[[#This Row],[TIPO DE CAMBIO]]</f>
        <v>#VALUE!</v>
      </c>
      <c r="BB376" s="850" t="e">
        <f>+Tabla1[[#This Row],[PRECIO POR TN USD EN CLIENTE A PLAZO (SIN IVA)]]+Tabla1[[#This Row],[COSTO USD FLETE /TN (SIN IVA)]]+Tabla1[[#This Row],[COSTO FINANCIERO USD POR BOLSA 50KG (IVA INC)]]</f>
        <v>#N/A</v>
      </c>
      <c r="BC376" s="848"/>
      <c r="BD376" s="944"/>
    </row>
    <row r="377" spans="1:56" ht="15.75" customHeight="1">
      <c r="A377" s="912">
        <v>46235</v>
      </c>
      <c r="B377" s="853"/>
      <c r="C377" s="792"/>
      <c r="D377" s="829">
        <f>+Tabla1[[#This Row],[FECHA Entrega]]</f>
        <v>0</v>
      </c>
      <c r="E377" s="830"/>
      <c r="F377" s="831"/>
      <c r="G377" s="832"/>
      <c r="H377" s="852"/>
      <c r="I377" s="834"/>
      <c r="J377" s="835"/>
      <c r="K377" s="836">
        <f t="shared" si="127"/>
        <v>0</v>
      </c>
      <c r="L37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77" s="837">
        <f t="shared" si="137"/>
        <v>0</v>
      </c>
      <c r="N377" s="838">
        <f>+Tabla1[[#This Row],[VENTA TOTAL $ (IVA INC) ]]</f>
        <v>0</v>
      </c>
      <c r="O377" s="838">
        <v>0</v>
      </c>
      <c r="P377" s="838">
        <v>0</v>
      </c>
      <c r="Q377" s="839">
        <f>+Tabla1[[#This Row],[VENTA TOTAL $ (IVA INC) ]]-Tabla1[[#This Row],[PENDIENTE DE COBRO]]</f>
        <v>0</v>
      </c>
      <c r="R377" s="840">
        <f>+Tabla1[[#This Row],[FECHA FC]]+Tabla1[[#This Row],[PLAZO ENTREGA VALORES]]</f>
        <v>0</v>
      </c>
      <c r="S377" s="840">
        <f>+Tabla1[[#This Row],[FECHA FC]]+Tabla1[[#This Row],[PLAZO PAGO (DIAS)]]</f>
        <v>0</v>
      </c>
      <c r="T377" s="834">
        <f t="shared" ca="1" si="128"/>
        <v>-46181</v>
      </c>
      <c r="U377" s="831"/>
      <c r="V377" s="831"/>
      <c r="W377" s="841">
        <f>+Tabla1[[#This Row],[FECHA VTO VALORES]]+7</f>
        <v>7</v>
      </c>
      <c r="X377" s="830"/>
      <c r="Y377" s="859"/>
      <c r="Z377" s="860">
        <f>Tabla1[[#This Row],[KGS]]/50</f>
        <v>0</v>
      </c>
      <c r="AA37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77" s="844">
        <f>-Tabla1[[#This Row],[COSTO FLETE $ POR BOLSA 5O KG (SIN IVA)]]*1.21-Tabla1[[#This Row],[PRECIO $/ KG A PLAZO EN CLIENTE ( SIN IVA)]]*0.003*1.21*50</f>
        <v>0</v>
      </c>
      <c r="AC377" s="845" t="e">
        <f>SUM(Tabla1[[#This Row],[PRECIO $ BOLSA 50 KG (IVA INC) ]]+Tabla1[[#This Row],[COSTO FLETE $ BOLSA 50 KG (IVA INC)]])</f>
        <v>#VALUE!</v>
      </c>
      <c r="AD377" s="844" t="e">
        <f>-Tabla1[[#This Row],[PRECIO $ BOLSA 50 KG (IVA INC) ]]*(Tabla1[[#This Row],[TASA FINANCIACION MENSUAL]]/365)*Tabla1[[#This Row],[PLAZO ENTREGA VALORES]]</f>
        <v>#VALUE!</v>
      </c>
      <c r="AE377" s="845" t="e">
        <f>SUM(Tabla1[[#This Row],[PRECIO $ BOLSA50 KG  FOB TUCUMAN A PLAZO (IVA INC)]]+Tabla1[[#This Row],[GASTOS FINANCIEROS $ BOLSA 50 KG (IVA INC)]])</f>
        <v>#VALUE!</v>
      </c>
      <c r="AF377" s="828"/>
      <c r="AG377" s="828"/>
      <c r="AH377" s="828"/>
      <c r="AI377" s="828"/>
      <c r="AJ37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77" s="846" t="e">
        <f>SUM(Tabla1[[#This Row],[PRECIO $ BOLSA 50KG  FOB CDO TUC (IVA INC)]]-Tabla1[[#This Row],[PRECIO REF $ BOLSA 50 KG CACTU (IVA INC)]])</f>
        <v>#VALUE!</v>
      </c>
      <c r="AL377" s="847" t="str">
        <f>IFERROR(Tabla1[[#This Row],[PRECIO $ BOLSA 50KG  FOB CDO TUC (IVA INC)]]/Tabla1[[#This Row],[PRECIO REF $ BOLSA 50 KG CACTU (IVA INC)]]-1,"")</f>
        <v/>
      </c>
      <c r="AM377" s="846" t="e">
        <f>+Tabla1[[#This Row],[DIF $ PRECIO NETO INDUSTRIA vs Neto TUCUMAN (IVA INC)]]*Tabla1[[#This Row],[Q Bolsas Equivalentes 50kg]]</f>
        <v>#VALUE!</v>
      </c>
      <c r="AN377" s="846" t="e">
        <f>Tabla1[[#This Row],[PRECIO REF $ BOLSA 50 KG CACTU (IVA INC)]]*Tabla1[[#This Row],[Q Bolsas Equivalentes 50kg]]</f>
        <v>#VALUE!</v>
      </c>
      <c r="AO377" s="846" t="e">
        <f>+Tabla1[[#This Row],[PRECIO $ BOLSA 50KG  FOB CDO TUC (IVA INC)]]*Tabla1[[#This Row],[Q Bolsas Equivalentes 50kg]]</f>
        <v>#VALUE!</v>
      </c>
      <c r="AP377" s="847"/>
      <c r="AQ377" s="846">
        <v>0</v>
      </c>
      <c r="AR377" s="828"/>
      <c r="AS377" s="849"/>
      <c r="AT377" s="923">
        <f>+Tabla1[[#This Row],[VENTA TOTAL $ (IVA INC) ]]-(SUM(Tabla1[[#This Row],[PENDIENTE DE ENTREGA]:[VALORES COBRADOS]]))</f>
        <v>0</v>
      </c>
      <c r="AU377" s="850" t="e">
        <f>VLOOKUP(Tabla1[[#This Row],[FECHA OC]],'TIPO DE CAMBIO'!A:B,2,TRUE)</f>
        <v>#N/A</v>
      </c>
      <c r="AV377" s="850" t="e">
        <f>+Tabla1[[#This Row],[SUBTOTAL]]/Tabla1[[#This Row],[TIPO DE CAMBIO]]</f>
        <v>#N/A</v>
      </c>
      <c r="AW377" s="851"/>
      <c r="AX377" s="850" t="str">
        <f>IFERROR(Tabla1[[#This Row],[VENTA TOTAL USD A PLAZO EN CLIENTE  (SIN IVA)]]*(1+Tabla1[[#This Row],[% IVA ]]),"")</f>
        <v/>
      </c>
      <c r="AY377" s="850" t="e">
        <f>+Tabla1[[#This Row],[VENTA TOTAL USD A PLAZO EN CLIENTE  (SIN IVA)]]/Tabla1[[#This Row],[KGS]]*1000</f>
        <v>#N/A</v>
      </c>
      <c r="AZ377" s="850" t="e">
        <f>-Tabla1[[#This Row],[COSTO FLETE $ POR BOLSA 5O KG (SIN IVA)]]*20/Tabla1[[#This Row],[TIPO DE CAMBIO]]</f>
        <v>#N/A</v>
      </c>
      <c r="BA377" s="850" t="e">
        <f>+Tabla1[[#This Row],[GASTOS FINANCIEROS $ BOLSA 50 KG (IVA INC)]]*20/Tabla1[[#This Row],[TIPO DE CAMBIO]]</f>
        <v>#VALUE!</v>
      </c>
      <c r="BB377" s="850" t="e">
        <f>+Tabla1[[#This Row],[PRECIO POR TN USD EN CLIENTE A PLAZO (SIN IVA)]]+Tabla1[[#This Row],[COSTO USD FLETE /TN (SIN IVA)]]+Tabla1[[#This Row],[COSTO FINANCIERO USD POR BOLSA 50KG (IVA INC)]]</f>
        <v>#N/A</v>
      </c>
      <c r="BC377" s="848"/>
      <c r="BD377" s="944"/>
    </row>
    <row r="378" spans="1:56" ht="15.75" customHeight="1">
      <c r="A378" s="912">
        <v>46235</v>
      </c>
      <c r="B378" s="853"/>
      <c r="C378" s="792"/>
      <c r="D378" s="829">
        <f>+Tabla1[[#This Row],[FECHA Entrega]]</f>
        <v>0</v>
      </c>
      <c r="E378" s="830"/>
      <c r="F378" s="831"/>
      <c r="G378" s="832"/>
      <c r="H378" s="852"/>
      <c r="I378" s="834"/>
      <c r="J378" s="835"/>
      <c r="K378" s="836">
        <f t="shared" si="127"/>
        <v>0</v>
      </c>
      <c r="L37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78" s="837">
        <f t="shared" si="137"/>
        <v>0</v>
      </c>
      <c r="N378" s="838">
        <f>+Tabla1[[#This Row],[VENTA TOTAL $ (IVA INC) ]]</f>
        <v>0</v>
      </c>
      <c r="O378" s="838">
        <v>0</v>
      </c>
      <c r="P378" s="838">
        <v>0</v>
      </c>
      <c r="Q378" s="839">
        <f>+Tabla1[[#This Row],[VENTA TOTAL $ (IVA INC) ]]-Tabla1[[#This Row],[PENDIENTE DE COBRO]]</f>
        <v>0</v>
      </c>
      <c r="R378" s="840">
        <f>+Tabla1[[#This Row],[FECHA FC]]+Tabla1[[#This Row],[PLAZO ENTREGA VALORES]]</f>
        <v>0</v>
      </c>
      <c r="S378" s="840">
        <f>+Tabla1[[#This Row],[FECHA FC]]+Tabla1[[#This Row],[PLAZO PAGO (DIAS)]]</f>
        <v>0</v>
      </c>
      <c r="T378" s="834">
        <f t="shared" ca="1" si="128"/>
        <v>-46181</v>
      </c>
      <c r="U378" s="831"/>
      <c r="V378" s="831"/>
      <c r="W378" s="841">
        <f>+Tabla1[[#This Row],[FECHA VTO VALORES]]+7</f>
        <v>7</v>
      </c>
      <c r="X378" s="830"/>
      <c r="Y378" s="859"/>
      <c r="Z378" s="860">
        <f>Tabla1[[#This Row],[KGS]]/50</f>
        <v>0</v>
      </c>
      <c r="AA37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78" s="844">
        <f>-Tabla1[[#This Row],[COSTO FLETE $ POR BOLSA 5O KG (SIN IVA)]]*1.21-Tabla1[[#This Row],[PRECIO $/ KG A PLAZO EN CLIENTE ( SIN IVA)]]*0.003*1.21*50</f>
        <v>0</v>
      </c>
      <c r="AC378" s="845" t="e">
        <f>SUM(Tabla1[[#This Row],[PRECIO $ BOLSA 50 KG (IVA INC) ]]+Tabla1[[#This Row],[COSTO FLETE $ BOLSA 50 KG (IVA INC)]])</f>
        <v>#VALUE!</v>
      </c>
      <c r="AD378" s="844" t="e">
        <f>-Tabla1[[#This Row],[PRECIO $ BOLSA 50 KG (IVA INC) ]]*(Tabla1[[#This Row],[TASA FINANCIACION MENSUAL]]/365)*Tabla1[[#This Row],[PLAZO ENTREGA VALORES]]</f>
        <v>#VALUE!</v>
      </c>
      <c r="AE378" s="845" t="e">
        <f>SUM(Tabla1[[#This Row],[PRECIO $ BOLSA50 KG  FOB TUCUMAN A PLAZO (IVA INC)]]+Tabla1[[#This Row],[GASTOS FINANCIEROS $ BOLSA 50 KG (IVA INC)]])</f>
        <v>#VALUE!</v>
      </c>
      <c r="AF378" s="828"/>
      <c r="AG378" s="828"/>
      <c r="AH378" s="828"/>
      <c r="AI378" s="828"/>
      <c r="AJ37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78" s="846" t="e">
        <f>SUM(Tabla1[[#This Row],[PRECIO $ BOLSA 50KG  FOB CDO TUC (IVA INC)]]-Tabla1[[#This Row],[PRECIO REF $ BOLSA 50 KG CACTU (IVA INC)]])</f>
        <v>#VALUE!</v>
      </c>
      <c r="AL378" s="847" t="str">
        <f>IFERROR(Tabla1[[#This Row],[PRECIO $ BOLSA 50KG  FOB CDO TUC (IVA INC)]]/Tabla1[[#This Row],[PRECIO REF $ BOLSA 50 KG CACTU (IVA INC)]]-1,"")</f>
        <v/>
      </c>
      <c r="AM378" s="846" t="e">
        <f>+Tabla1[[#This Row],[DIF $ PRECIO NETO INDUSTRIA vs Neto TUCUMAN (IVA INC)]]*Tabla1[[#This Row],[Q Bolsas Equivalentes 50kg]]</f>
        <v>#VALUE!</v>
      </c>
      <c r="AN378" s="846" t="e">
        <f>Tabla1[[#This Row],[PRECIO REF $ BOLSA 50 KG CACTU (IVA INC)]]*Tabla1[[#This Row],[Q Bolsas Equivalentes 50kg]]</f>
        <v>#VALUE!</v>
      </c>
      <c r="AO378" s="846" t="e">
        <f>+Tabla1[[#This Row],[PRECIO $ BOLSA 50KG  FOB CDO TUC (IVA INC)]]*Tabla1[[#This Row],[Q Bolsas Equivalentes 50kg]]</f>
        <v>#VALUE!</v>
      </c>
      <c r="AP378" s="847"/>
      <c r="AQ378" s="846">
        <v>0</v>
      </c>
      <c r="AR378" s="828"/>
      <c r="AS378" s="849"/>
      <c r="AT378" s="923">
        <f>+Tabla1[[#This Row],[VENTA TOTAL $ (IVA INC) ]]-(SUM(Tabla1[[#This Row],[PENDIENTE DE ENTREGA]:[VALORES COBRADOS]]))</f>
        <v>0</v>
      </c>
      <c r="AU378" s="850" t="e">
        <f>VLOOKUP(Tabla1[[#This Row],[FECHA OC]],'TIPO DE CAMBIO'!A:B,2,TRUE)</f>
        <v>#N/A</v>
      </c>
      <c r="AV378" s="850" t="e">
        <f>+Tabla1[[#This Row],[SUBTOTAL]]/Tabla1[[#This Row],[TIPO DE CAMBIO]]</f>
        <v>#N/A</v>
      </c>
      <c r="AW378" s="851"/>
      <c r="AX378" s="850" t="str">
        <f>IFERROR(Tabla1[[#This Row],[VENTA TOTAL USD A PLAZO EN CLIENTE  (SIN IVA)]]*(1+Tabla1[[#This Row],[% IVA ]]),"")</f>
        <v/>
      </c>
      <c r="AY378" s="850" t="e">
        <f>+Tabla1[[#This Row],[VENTA TOTAL USD A PLAZO EN CLIENTE  (SIN IVA)]]/Tabla1[[#This Row],[KGS]]*1000</f>
        <v>#N/A</v>
      </c>
      <c r="AZ378" s="850" t="e">
        <f>-Tabla1[[#This Row],[COSTO FLETE $ POR BOLSA 5O KG (SIN IVA)]]*20/Tabla1[[#This Row],[TIPO DE CAMBIO]]</f>
        <v>#N/A</v>
      </c>
      <c r="BA378" s="850" t="e">
        <f>+Tabla1[[#This Row],[GASTOS FINANCIEROS $ BOLSA 50 KG (IVA INC)]]*20/Tabla1[[#This Row],[TIPO DE CAMBIO]]</f>
        <v>#VALUE!</v>
      </c>
      <c r="BB378" s="850" t="e">
        <f>+Tabla1[[#This Row],[PRECIO POR TN USD EN CLIENTE A PLAZO (SIN IVA)]]+Tabla1[[#This Row],[COSTO USD FLETE /TN (SIN IVA)]]+Tabla1[[#This Row],[COSTO FINANCIERO USD POR BOLSA 50KG (IVA INC)]]</f>
        <v>#N/A</v>
      </c>
      <c r="BC378" s="848"/>
      <c r="BD378" s="944"/>
    </row>
    <row r="379" spans="1:56" ht="15.75" customHeight="1">
      <c r="A379" s="912">
        <v>46235</v>
      </c>
      <c r="B379" s="853"/>
      <c r="C379" s="792"/>
      <c r="D379" s="829">
        <f>+Tabla1[[#This Row],[FECHA Entrega]]</f>
        <v>0</v>
      </c>
      <c r="E379" s="830"/>
      <c r="F379" s="831"/>
      <c r="G379" s="832"/>
      <c r="H379" s="852"/>
      <c r="I379" s="834"/>
      <c r="J379" s="835"/>
      <c r="K379" s="836">
        <f t="shared" si="127"/>
        <v>0</v>
      </c>
      <c r="L37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79" s="837">
        <f t="shared" si="137"/>
        <v>0</v>
      </c>
      <c r="N379" s="838">
        <f>+Tabla1[[#This Row],[VENTA TOTAL $ (IVA INC) ]]</f>
        <v>0</v>
      </c>
      <c r="O379" s="838">
        <v>0</v>
      </c>
      <c r="P379" s="838">
        <v>0</v>
      </c>
      <c r="Q379" s="839">
        <f>+Tabla1[[#This Row],[VENTA TOTAL $ (IVA INC) ]]-Tabla1[[#This Row],[PENDIENTE DE COBRO]]</f>
        <v>0</v>
      </c>
      <c r="R379" s="840">
        <f>+Tabla1[[#This Row],[FECHA FC]]+Tabla1[[#This Row],[PLAZO ENTREGA VALORES]]</f>
        <v>0</v>
      </c>
      <c r="S379" s="840">
        <f>+Tabla1[[#This Row],[FECHA FC]]+Tabla1[[#This Row],[PLAZO PAGO (DIAS)]]</f>
        <v>0</v>
      </c>
      <c r="T379" s="834">
        <f t="shared" ca="1" si="128"/>
        <v>-46181</v>
      </c>
      <c r="U379" s="831"/>
      <c r="V379" s="831"/>
      <c r="W379" s="841">
        <f>+Tabla1[[#This Row],[FECHA VTO VALORES]]+7</f>
        <v>7</v>
      </c>
      <c r="X379" s="830"/>
      <c r="Y379" s="859"/>
      <c r="Z379" s="860">
        <f>Tabla1[[#This Row],[KGS]]/50</f>
        <v>0</v>
      </c>
      <c r="AA37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79" s="844">
        <f>-Tabla1[[#This Row],[COSTO FLETE $ POR BOLSA 5O KG (SIN IVA)]]*1.21-Tabla1[[#This Row],[PRECIO $/ KG A PLAZO EN CLIENTE ( SIN IVA)]]*0.003*1.21*50</f>
        <v>0</v>
      </c>
      <c r="AC379" s="845" t="e">
        <f>SUM(Tabla1[[#This Row],[PRECIO $ BOLSA 50 KG (IVA INC) ]]+Tabla1[[#This Row],[COSTO FLETE $ BOLSA 50 KG (IVA INC)]])</f>
        <v>#VALUE!</v>
      </c>
      <c r="AD379" s="844" t="e">
        <f>-Tabla1[[#This Row],[PRECIO $ BOLSA 50 KG (IVA INC) ]]*(Tabla1[[#This Row],[TASA FINANCIACION MENSUAL]]/365)*Tabla1[[#This Row],[PLAZO ENTREGA VALORES]]</f>
        <v>#VALUE!</v>
      </c>
      <c r="AE379" s="845" t="e">
        <f>SUM(Tabla1[[#This Row],[PRECIO $ BOLSA50 KG  FOB TUCUMAN A PLAZO (IVA INC)]]+Tabla1[[#This Row],[GASTOS FINANCIEROS $ BOLSA 50 KG (IVA INC)]])</f>
        <v>#VALUE!</v>
      </c>
      <c r="AF379" s="828"/>
      <c r="AG379" s="828"/>
      <c r="AH379" s="828"/>
      <c r="AI379" s="828"/>
      <c r="AJ37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79" s="846" t="e">
        <f>SUM(Tabla1[[#This Row],[PRECIO $ BOLSA 50KG  FOB CDO TUC (IVA INC)]]-Tabla1[[#This Row],[PRECIO REF $ BOLSA 50 KG CACTU (IVA INC)]])</f>
        <v>#VALUE!</v>
      </c>
      <c r="AL379" s="847" t="str">
        <f>IFERROR(Tabla1[[#This Row],[PRECIO $ BOLSA 50KG  FOB CDO TUC (IVA INC)]]/Tabla1[[#This Row],[PRECIO REF $ BOLSA 50 KG CACTU (IVA INC)]]-1,"")</f>
        <v/>
      </c>
      <c r="AM379" s="846" t="e">
        <f>+Tabla1[[#This Row],[DIF $ PRECIO NETO INDUSTRIA vs Neto TUCUMAN (IVA INC)]]*Tabla1[[#This Row],[Q Bolsas Equivalentes 50kg]]</f>
        <v>#VALUE!</v>
      </c>
      <c r="AN379" s="846" t="e">
        <f>Tabla1[[#This Row],[PRECIO REF $ BOLSA 50 KG CACTU (IVA INC)]]*Tabla1[[#This Row],[Q Bolsas Equivalentes 50kg]]</f>
        <v>#VALUE!</v>
      </c>
      <c r="AO379" s="846" t="e">
        <f>+Tabla1[[#This Row],[PRECIO $ BOLSA 50KG  FOB CDO TUC (IVA INC)]]*Tabla1[[#This Row],[Q Bolsas Equivalentes 50kg]]</f>
        <v>#VALUE!</v>
      </c>
      <c r="AP379" s="847"/>
      <c r="AQ379" s="846">
        <v>0</v>
      </c>
      <c r="AR379" s="828"/>
      <c r="AS379" s="849"/>
      <c r="AT379" s="923">
        <f>+Tabla1[[#This Row],[VENTA TOTAL $ (IVA INC) ]]-(SUM(Tabla1[[#This Row],[PENDIENTE DE ENTREGA]:[VALORES COBRADOS]]))</f>
        <v>0</v>
      </c>
      <c r="AU379" s="850" t="e">
        <f>VLOOKUP(Tabla1[[#This Row],[FECHA OC]],'TIPO DE CAMBIO'!A:B,2,TRUE)</f>
        <v>#N/A</v>
      </c>
      <c r="AV379" s="850" t="e">
        <f>+Tabla1[[#This Row],[SUBTOTAL]]/Tabla1[[#This Row],[TIPO DE CAMBIO]]</f>
        <v>#N/A</v>
      </c>
      <c r="AW379" s="851"/>
      <c r="AX379" s="850" t="str">
        <f>IFERROR(Tabla1[[#This Row],[VENTA TOTAL USD A PLAZO EN CLIENTE  (SIN IVA)]]*(1+Tabla1[[#This Row],[% IVA ]]),"")</f>
        <v/>
      </c>
      <c r="AY379" s="850" t="e">
        <f>+Tabla1[[#This Row],[VENTA TOTAL USD A PLAZO EN CLIENTE  (SIN IVA)]]/Tabla1[[#This Row],[KGS]]*1000</f>
        <v>#N/A</v>
      </c>
      <c r="AZ379" s="850" t="e">
        <f>-Tabla1[[#This Row],[COSTO FLETE $ POR BOLSA 5O KG (SIN IVA)]]*20/Tabla1[[#This Row],[TIPO DE CAMBIO]]</f>
        <v>#N/A</v>
      </c>
      <c r="BA379" s="850" t="e">
        <f>+Tabla1[[#This Row],[GASTOS FINANCIEROS $ BOLSA 50 KG (IVA INC)]]*20/Tabla1[[#This Row],[TIPO DE CAMBIO]]</f>
        <v>#VALUE!</v>
      </c>
      <c r="BB379" s="850" t="e">
        <f>+Tabla1[[#This Row],[PRECIO POR TN USD EN CLIENTE A PLAZO (SIN IVA)]]+Tabla1[[#This Row],[COSTO USD FLETE /TN (SIN IVA)]]+Tabla1[[#This Row],[COSTO FINANCIERO USD POR BOLSA 50KG (IVA INC)]]</f>
        <v>#N/A</v>
      </c>
      <c r="BC379" s="848"/>
      <c r="BD379" s="944"/>
    </row>
    <row r="380" spans="1:56" ht="15.75" customHeight="1">
      <c r="A380" s="912">
        <v>46235</v>
      </c>
      <c r="B380" s="853"/>
      <c r="C380" s="792"/>
      <c r="D380" s="829">
        <f>+Tabla1[[#This Row],[FECHA Entrega]]</f>
        <v>0</v>
      </c>
      <c r="E380" s="830"/>
      <c r="F380" s="831"/>
      <c r="G380" s="832"/>
      <c r="H380" s="852"/>
      <c r="I380" s="834"/>
      <c r="J380" s="835"/>
      <c r="K380" s="836">
        <f t="shared" si="127"/>
        <v>0</v>
      </c>
      <c r="L38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80" s="837">
        <f t="shared" si="137"/>
        <v>0</v>
      </c>
      <c r="N380" s="838">
        <f>+Tabla1[[#This Row],[VENTA TOTAL $ (IVA INC) ]]</f>
        <v>0</v>
      </c>
      <c r="O380" s="838">
        <v>0</v>
      </c>
      <c r="P380" s="838">
        <v>0</v>
      </c>
      <c r="Q380" s="839">
        <f>+Tabla1[[#This Row],[VENTA TOTAL $ (IVA INC) ]]-Tabla1[[#This Row],[PENDIENTE DE COBRO]]</f>
        <v>0</v>
      </c>
      <c r="R380" s="840">
        <f>+Tabla1[[#This Row],[FECHA FC]]+Tabla1[[#This Row],[PLAZO ENTREGA VALORES]]</f>
        <v>0</v>
      </c>
      <c r="S380" s="840">
        <f>+Tabla1[[#This Row],[FECHA FC]]+Tabla1[[#This Row],[PLAZO PAGO (DIAS)]]</f>
        <v>0</v>
      </c>
      <c r="T380" s="834">
        <f t="shared" ca="1" si="128"/>
        <v>-46181</v>
      </c>
      <c r="U380" s="831"/>
      <c r="V380" s="831"/>
      <c r="W380" s="841">
        <f>+Tabla1[[#This Row],[FECHA VTO VALORES]]+7</f>
        <v>7</v>
      </c>
      <c r="X380" s="830"/>
      <c r="Y380" s="859"/>
      <c r="Z380" s="860">
        <f>Tabla1[[#This Row],[KGS]]/50</f>
        <v>0</v>
      </c>
      <c r="AA38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80" s="844">
        <f>-Tabla1[[#This Row],[COSTO FLETE $ POR BOLSA 5O KG (SIN IVA)]]*1.21-Tabla1[[#This Row],[PRECIO $/ KG A PLAZO EN CLIENTE ( SIN IVA)]]*0.003*1.21*50</f>
        <v>0</v>
      </c>
      <c r="AC380" s="845" t="e">
        <f>SUM(Tabla1[[#This Row],[PRECIO $ BOLSA 50 KG (IVA INC) ]]+Tabla1[[#This Row],[COSTO FLETE $ BOLSA 50 KG (IVA INC)]])</f>
        <v>#VALUE!</v>
      </c>
      <c r="AD380" s="844" t="e">
        <f>-Tabla1[[#This Row],[PRECIO $ BOLSA 50 KG (IVA INC) ]]*(Tabla1[[#This Row],[TASA FINANCIACION MENSUAL]]/365)*Tabla1[[#This Row],[PLAZO ENTREGA VALORES]]</f>
        <v>#VALUE!</v>
      </c>
      <c r="AE380" s="845" t="e">
        <f>SUM(Tabla1[[#This Row],[PRECIO $ BOLSA50 KG  FOB TUCUMAN A PLAZO (IVA INC)]]+Tabla1[[#This Row],[GASTOS FINANCIEROS $ BOLSA 50 KG (IVA INC)]])</f>
        <v>#VALUE!</v>
      </c>
      <c r="AF380" s="828"/>
      <c r="AG380" s="828"/>
      <c r="AH380" s="828"/>
      <c r="AI380" s="828"/>
      <c r="AJ38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80" s="846" t="e">
        <f>SUM(Tabla1[[#This Row],[PRECIO $ BOLSA 50KG  FOB CDO TUC (IVA INC)]]-Tabla1[[#This Row],[PRECIO REF $ BOLSA 50 KG CACTU (IVA INC)]])</f>
        <v>#VALUE!</v>
      </c>
      <c r="AL380" s="847" t="str">
        <f>IFERROR(Tabla1[[#This Row],[PRECIO $ BOLSA 50KG  FOB CDO TUC (IVA INC)]]/Tabla1[[#This Row],[PRECIO REF $ BOLSA 50 KG CACTU (IVA INC)]]-1,"")</f>
        <v/>
      </c>
      <c r="AM380" s="846" t="e">
        <f>+Tabla1[[#This Row],[DIF $ PRECIO NETO INDUSTRIA vs Neto TUCUMAN (IVA INC)]]*Tabla1[[#This Row],[Q Bolsas Equivalentes 50kg]]</f>
        <v>#VALUE!</v>
      </c>
      <c r="AN380" s="846" t="e">
        <f>Tabla1[[#This Row],[PRECIO REF $ BOLSA 50 KG CACTU (IVA INC)]]*Tabla1[[#This Row],[Q Bolsas Equivalentes 50kg]]</f>
        <v>#VALUE!</v>
      </c>
      <c r="AO380" s="846" t="e">
        <f>+Tabla1[[#This Row],[PRECIO $ BOLSA 50KG  FOB CDO TUC (IVA INC)]]*Tabla1[[#This Row],[Q Bolsas Equivalentes 50kg]]</f>
        <v>#VALUE!</v>
      </c>
      <c r="AP380" s="847"/>
      <c r="AQ380" s="846">
        <v>0</v>
      </c>
      <c r="AR380" s="828"/>
      <c r="AS380" s="849"/>
      <c r="AT380" s="923">
        <f>+Tabla1[[#This Row],[VENTA TOTAL $ (IVA INC) ]]-(SUM(Tabla1[[#This Row],[PENDIENTE DE ENTREGA]:[VALORES COBRADOS]]))</f>
        <v>0</v>
      </c>
      <c r="AU380" s="850" t="e">
        <f>VLOOKUP(Tabla1[[#This Row],[FECHA OC]],'TIPO DE CAMBIO'!A:B,2,TRUE)</f>
        <v>#N/A</v>
      </c>
      <c r="AV380" s="850" t="e">
        <f>+Tabla1[[#This Row],[SUBTOTAL]]/Tabla1[[#This Row],[TIPO DE CAMBIO]]</f>
        <v>#N/A</v>
      </c>
      <c r="AW380" s="851"/>
      <c r="AX380" s="850" t="str">
        <f>IFERROR(Tabla1[[#This Row],[VENTA TOTAL USD A PLAZO EN CLIENTE  (SIN IVA)]]*(1+Tabla1[[#This Row],[% IVA ]]),"")</f>
        <v/>
      </c>
      <c r="AY380" s="850" t="e">
        <f>+Tabla1[[#This Row],[VENTA TOTAL USD A PLAZO EN CLIENTE  (SIN IVA)]]/Tabla1[[#This Row],[KGS]]*1000</f>
        <v>#N/A</v>
      </c>
      <c r="AZ380" s="850" t="e">
        <f>-Tabla1[[#This Row],[COSTO FLETE $ POR BOLSA 5O KG (SIN IVA)]]*20/Tabla1[[#This Row],[TIPO DE CAMBIO]]</f>
        <v>#N/A</v>
      </c>
      <c r="BA380" s="850" t="e">
        <f>+Tabla1[[#This Row],[GASTOS FINANCIEROS $ BOLSA 50 KG (IVA INC)]]*20/Tabla1[[#This Row],[TIPO DE CAMBIO]]</f>
        <v>#VALUE!</v>
      </c>
      <c r="BB380" s="850" t="e">
        <f>+Tabla1[[#This Row],[PRECIO POR TN USD EN CLIENTE A PLAZO (SIN IVA)]]+Tabla1[[#This Row],[COSTO USD FLETE /TN (SIN IVA)]]+Tabla1[[#This Row],[COSTO FINANCIERO USD POR BOLSA 50KG (IVA INC)]]</f>
        <v>#N/A</v>
      </c>
      <c r="BC380" s="848"/>
      <c r="BD380" s="944"/>
    </row>
    <row r="381" spans="1:56" ht="15.75" customHeight="1">
      <c r="A381" s="912">
        <v>46235</v>
      </c>
      <c r="B381" s="853"/>
      <c r="C381" s="792"/>
      <c r="D381" s="829">
        <f>+Tabla1[[#This Row],[FECHA Entrega]]</f>
        <v>0</v>
      </c>
      <c r="E381" s="830"/>
      <c r="F381" s="831"/>
      <c r="G381" s="832"/>
      <c r="H381" s="852"/>
      <c r="I381" s="834"/>
      <c r="J381" s="835"/>
      <c r="K381" s="836">
        <f t="shared" si="127"/>
        <v>0</v>
      </c>
      <c r="L38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81" s="837">
        <f t="shared" si="137"/>
        <v>0</v>
      </c>
      <c r="N381" s="838">
        <f>+Tabla1[[#This Row],[VENTA TOTAL $ (IVA INC) ]]</f>
        <v>0</v>
      </c>
      <c r="O381" s="838">
        <v>0</v>
      </c>
      <c r="P381" s="838">
        <v>0</v>
      </c>
      <c r="Q381" s="839">
        <f>+Tabla1[[#This Row],[VENTA TOTAL $ (IVA INC) ]]-Tabla1[[#This Row],[PENDIENTE DE COBRO]]</f>
        <v>0</v>
      </c>
      <c r="R381" s="840">
        <f>+Tabla1[[#This Row],[FECHA FC]]+Tabla1[[#This Row],[PLAZO ENTREGA VALORES]]</f>
        <v>0</v>
      </c>
      <c r="S381" s="840">
        <f>+Tabla1[[#This Row],[FECHA FC]]+Tabla1[[#This Row],[PLAZO PAGO (DIAS)]]</f>
        <v>0</v>
      </c>
      <c r="T381" s="834">
        <f t="shared" ca="1" si="128"/>
        <v>-46181</v>
      </c>
      <c r="U381" s="831"/>
      <c r="V381" s="831"/>
      <c r="W381" s="841">
        <f>+Tabla1[[#This Row],[FECHA VTO VALORES]]+7</f>
        <v>7</v>
      </c>
      <c r="X381" s="830"/>
      <c r="Y381" s="859"/>
      <c r="Z381" s="860">
        <f>Tabla1[[#This Row],[KGS]]/50</f>
        <v>0</v>
      </c>
      <c r="AA38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81" s="844">
        <f>-Tabla1[[#This Row],[COSTO FLETE $ POR BOLSA 5O KG (SIN IVA)]]*1.21-Tabla1[[#This Row],[PRECIO $/ KG A PLAZO EN CLIENTE ( SIN IVA)]]*0.003*1.21*50</f>
        <v>0</v>
      </c>
      <c r="AC381" s="845" t="e">
        <f>SUM(Tabla1[[#This Row],[PRECIO $ BOLSA 50 KG (IVA INC) ]]+Tabla1[[#This Row],[COSTO FLETE $ BOLSA 50 KG (IVA INC)]])</f>
        <v>#VALUE!</v>
      </c>
      <c r="AD381" s="844" t="e">
        <f>-Tabla1[[#This Row],[PRECIO $ BOLSA 50 KG (IVA INC) ]]*(Tabla1[[#This Row],[TASA FINANCIACION MENSUAL]]/365)*Tabla1[[#This Row],[PLAZO ENTREGA VALORES]]</f>
        <v>#VALUE!</v>
      </c>
      <c r="AE381" s="845" t="e">
        <f>SUM(Tabla1[[#This Row],[PRECIO $ BOLSA50 KG  FOB TUCUMAN A PLAZO (IVA INC)]]+Tabla1[[#This Row],[GASTOS FINANCIEROS $ BOLSA 50 KG (IVA INC)]])</f>
        <v>#VALUE!</v>
      </c>
      <c r="AF381" s="828"/>
      <c r="AG381" s="828"/>
      <c r="AH381" s="828"/>
      <c r="AI381" s="828"/>
      <c r="AJ38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81" s="846" t="e">
        <f>SUM(Tabla1[[#This Row],[PRECIO $ BOLSA 50KG  FOB CDO TUC (IVA INC)]]-Tabla1[[#This Row],[PRECIO REF $ BOLSA 50 KG CACTU (IVA INC)]])</f>
        <v>#VALUE!</v>
      </c>
      <c r="AL381" s="847" t="str">
        <f>IFERROR(Tabla1[[#This Row],[PRECIO $ BOLSA 50KG  FOB CDO TUC (IVA INC)]]/Tabla1[[#This Row],[PRECIO REF $ BOLSA 50 KG CACTU (IVA INC)]]-1,"")</f>
        <v/>
      </c>
      <c r="AM381" s="846" t="e">
        <f>+Tabla1[[#This Row],[DIF $ PRECIO NETO INDUSTRIA vs Neto TUCUMAN (IVA INC)]]*Tabla1[[#This Row],[Q Bolsas Equivalentes 50kg]]</f>
        <v>#VALUE!</v>
      </c>
      <c r="AN381" s="846" t="e">
        <f>Tabla1[[#This Row],[PRECIO REF $ BOLSA 50 KG CACTU (IVA INC)]]*Tabla1[[#This Row],[Q Bolsas Equivalentes 50kg]]</f>
        <v>#VALUE!</v>
      </c>
      <c r="AO381" s="846" t="e">
        <f>+Tabla1[[#This Row],[PRECIO $ BOLSA 50KG  FOB CDO TUC (IVA INC)]]*Tabla1[[#This Row],[Q Bolsas Equivalentes 50kg]]</f>
        <v>#VALUE!</v>
      </c>
      <c r="AP381" s="847"/>
      <c r="AQ381" s="846">
        <v>0</v>
      </c>
      <c r="AR381" s="828"/>
      <c r="AS381" s="849"/>
      <c r="AT381" s="923">
        <f>+Tabla1[[#This Row],[VENTA TOTAL $ (IVA INC) ]]-(SUM(Tabla1[[#This Row],[PENDIENTE DE ENTREGA]:[VALORES COBRADOS]]))</f>
        <v>0</v>
      </c>
      <c r="AU381" s="850" t="e">
        <f>VLOOKUP(Tabla1[[#This Row],[FECHA OC]],'TIPO DE CAMBIO'!A:B,2,TRUE)</f>
        <v>#N/A</v>
      </c>
      <c r="AV381" s="850" t="e">
        <f>+Tabla1[[#This Row],[SUBTOTAL]]/Tabla1[[#This Row],[TIPO DE CAMBIO]]</f>
        <v>#N/A</v>
      </c>
      <c r="AW381" s="851"/>
      <c r="AX381" s="850" t="str">
        <f>IFERROR(Tabla1[[#This Row],[VENTA TOTAL USD A PLAZO EN CLIENTE  (SIN IVA)]]*(1+Tabla1[[#This Row],[% IVA ]]),"")</f>
        <v/>
      </c>
      <c r="AY381" s="850" t="e">
        <f>+Tabla1[[#This Row],[VENTA TOTAL USD A PLAZO EN CLIENTE  (SIN IVA)]]/Tabla1[[#This Row],[KGS]]*1000</f>
        <v>#N/A</v>
      </c>
      <c r="AZ381" s="850" t="e">
        <f>-Tabla1[[#This Row],[COSTO FLETE $ POR BOLSA 5O KG (SIN IVA)]]*20/Tabla1[[#This Row],[TIPO DE CAMBIO]]</f>
        <v>#N/A</v>
      </c>
      <c r="BA381" s="850" t="e">
        <f>+Tabla1[[#This Row],[GASTOS FINANCIEROS $ BOLSA 50 KG (IVA INC)]]*20/Tabla1[[#This Row],[TIPO DE CAMBIO]]</f>
        <v>#VALUE!</v>
      </c>
      <c r="BB381" s="850" t="e">
        <f>+Tabla1[[#This Row],[PRECIO POR TN USD EN CLIENTE A PLAZO (SIN IVA)]]+Tabla1[[#This Row],[COSTO USD FLETE /TN (SIN IVA)]]+Tabla1[[#This Row],[COSTO FINANCIERO USD POR BOLSA 50KG (IVA INC)]]</f>
        <v>#N/A</v>
      </c>
      <c r="BC381" s="848"/>
      <c r="BD381" s="944"/>
    </row>
    <row r="382" spans="1:56" ht="15.75" customHeight="1">
      <c r="A382" s="912">
        <v>46235</v>
      </c>
      <c r="B382" s="853"/>
      <c r="C382" s="792"/>
      <c r="D382" s="829">
        <f>+Tabla1[[#This Row],[FECHA Entrega]]</f>
        <v>0</v>
      </c>
      <c r="E382" s="830"/>
      <c r="F382" s="831"/>
      <c r="G382" s="832"/>
      <c r="H382" s="852"/>
      <c r="I382" s="834"/>
      <c r="J382" s="835"/>
      <c r="K382" s="836">
        <f t="shared" si="127"/>
        <v>0</v>
      </c>
      <c r="L38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82" s="837">
        <f t="shared" si="137"/>
        <v>0</v>
      </c>
      <c r="N382" s="838">
        <f>+Tabla1[[#This Row],[VENTA TOTAL $ (IVA INC) ]]</f>
        <v>0</v>
      </c>
      <c r="O382" s="838">
        <v>0</v>
      </c>
      <c r="P382" s="838">
        <v>0</v>
      </c>
      <c r="Q382" s="839">
        <f>+Tabla1[[#This Row],[VENTA TOTAL $ (IVA INC) ]]-Tabla1[[#This Row],[PENDIENTE DE COBRO]]</f>
        <v>0</v>
      </c>
      <c r="R382" s="840">
        <f>+Tabla1[[#This Row],[FECHA FC]]+Tabla1[[#This Row],[PLAZO ENTREGA VALORES]]</f>
        <v>0</v>
      </c>
      <c r="S382" s="840">
        <f>+Tabla1[[#This Row],[FECHA FC]]+Tabla1[[#This Row],[PLAZO PAGO (DIAS)]]</f>
        <v>0</v>
      </c>
      <c r="T382" s="834">
        <f t="shared" ca="1" si="128"/>
        <v>-46181</v>
      </c>
      <c r="U382" s="831"/>
      <c r="V382" s="831"/>
      <c r="W382" s="841">
        <f>+Tabla1[[#This Row],[FECHA VTO VALORES]]+7</f>
        <v>7</v>
      </c>
      <c r="X382" s="830"/>
      <c r="Y382" s="859"/>
      <c r="Z382" s="860">
        <f>Tabla1[[#This Row],[KGS]]/50</f>
        <v>0</v>
      </c>
      <c r="AA38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82" s="844">
        <f>-Tabla1[[#This Row],[COSTO FLETE $ POR BOLSA 5O KG (SIN IVA)]]*1.21-Tabla1[[#This Row],[PRECIO $/ KG A PLAZO EN CLIENTE ( SIN IVA)]]*0.003*1.21*50</f>
        <v>0</v>
      </c>
      <c r="AC382" s="845" t="e">
        <f>SUM(Tabla1[[#This Row],[PRECIO $ BOLSA 50 KG (IVA INC) ]]+Tabla1[[#This Row],[COSTO FLETE $ BOLSA 50 KG (IVA INC)]])</f>
        <v>#VALUE!</v>
      </c>
      <c r="AD382" s="844" t="e">
        <f>-Tabla1[[#This Row],[PRECIO $ BOLSA 50 KG (IVA INC) ]]*(Tabla1[[#This Row],[TASA FINANCIACION MENSUAL]]/365)*Tabla1[[#This Row],[PLAZO ENTREGA VALORES]]</f>
        <v>#VALUE!</v>
      </c>
      <c r="AE382" s="845" t="e">
        <f>SUM(Tabla1[[#This Row],[PRECIO $ BOLSA50 KG  FOB TUCUMAN A PLAZO (IVA INC)]]+Tabla1[[#This Row],[GASTOS FINANCIEROS $ BOLSA 50 KG (IVA INC)]])</f>
        <v>#VALUE!</v>
      </c>
      <c r="AF382" s="828"/>
      <c r="AG382" s="828"/>
      <c r="AH382" s="828"/>
      <c r="AI382" s="828"/>
      <c r="AJ38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82" s="846" t="e">
        <f>SUM(Tabla1[[#This Row],[PRECIO $ BOLSA 50KG  FOB CDO TUC (IVA INC)]]-Tabla1[[#This Row],[PRECIO REF $ BOLSA 50 KG CACTU (IVA INC)]])</f>
        <v>#VALUE!</v>
      </c>
      <c r="AL382" s="847" t="str">
        <f>IFERROR(Tabla1[[#This Row],[PRECIO $ BOLSA 50KG  FOB CDO TUC (IVA INC)]]/Tabla1[[#This Row],[PRECIO REF $ BOLSA 50 KG CACTU (IVA INC)]]-1,"")</f>
        <v/>
      </c>
      <c r="AM382" s="846" t="e">
        <f>+Tabla1[[#This Row],[DIF $ PRECIO NETO INDUSTRIA vs Neto TUCUMAN (IVA INC)]]*Tabla1[[#This Row],[Q Bolsas Equivalentes 50kg]]</f>
        <v>#VALUE!</v>
      </c>
      <c r="AN382" s="846" t="e">
        <f>Tabla1[[#This Row],[PRECIO REF $ BOLSA 50 KG CACTU (IVA INC)]]*Tabla1[[#This Row],[Q Bolsas Equivalentes 50kg]]</f>
        <v>#VALUE!</v>
      </c>
      <c r="AO382" s="846" t="e">
        <f>+Tabla1[[#This Row],[PRECIO $ BOLSA 50KG  FOB CDO TUC (IVA INC)]]*Tabla1[[#This Row],[Q Bolsas Equivalentes 50kg]]</f>
        <v>#VALUE!</v>
      </c>
      <c r="AP382" s="847"/>
      <c r="AQ382" s="846">
        <v>0</v>
      </c>
      <c r="AR382" s="828"/>
      <c r="AS382" s="849"/>
      <c r="AT382" s="923">
        <f>+Tabla1[[#This Row],[VENTA TOTAL $ (IVA INC) ]]-(SUM(Tabla1[[#This Row],[PENDIENTE DE ENTREGA]:[VALORES COBRADOS]]))</f>
        <v>0</v>
      </c>
      <c r="AU382" s="850" t="e">
        <f>VLOOKUP(Tabla1[[#This Row],[FECHA OC]],'TIPO DE CAMBIO'!A:B,2,TRUE)</f>
        <v>#N/A</v>
      </c>
      <c r="AV382" s="850" t="e">
        <f>+Tabla1[[#This Row],[SUBTOTAL]]/Tabla1[[#This Row],[TIPO DE CAMBIO]]</f>
        <v>#N/A</v>
      </c>
      <c r="AW382" s="851"/>
      <c r="AX382" s="850" t="str">
        <f>IFERROR(Tabla1[[#This Row],[VENTA TOTAL USD A PLAZO EN CLIENTE  (SIN IVA)]]*(1+Tabla1[[#This Row],[% IVA ]]),"")</f>
        <v/>
      </c>
      <c r="AY382" s="850" t="e">
        <f>+Tabla1[[#This Row],[VENTA TOTAL USD A PLAZO EN CLIENTE  (SIN IVA)]]/Tabla1[[#This Row],[KGS]]*1000</f>
        <v>#N/A</v>
      </c>
      <c r="AZ382" s="850" t="e">
        <f>-Tabla1[[#This Row],[COSTO FLETE $ POR BOLSA 5O KG (SIN IVA)]]*20/Tabla1[[#This Row],[TIPO DE CAMBIO]]</f>
        <v>#N/A</v>
      </c>
      <c r="BA382" s="850" t="e">
        <f>+Tabla1[[#This Row],[GASTOS FINANCIEROS $ BOLSA 50 KG (IVA INC)]]*20/Tabla1[[#This Row],[TIPO DE CAMBIO]]</f>
        <v>#VALUE!</v>
      </c>
      <c r="BB382" s="850" t="e">
        <f>+Tabla1[[#This Row],[PRECIO POR TN USD EN CLIENTE A PLAZO (SIN IVA)]]+Tabla1[[#This Row],[COSTO USD FLETE /TN (SIN IVA)]]+Tabla1[[#This Row],[COSTO FINANCIERO USD POR BOLSA 50KG (IVA INC)]]</f>
        <v>#N/A</v>
      </c>
      <c r="BC382" s="848"/>
      <c r="BD382" s="944"/>
    </row>
    <row r="383" spans="1:56" ht="15.75" customHeight="1">
      <c r="A383" s="912">
        <v>46235</v>
      </c>
      <c r="B383" s="853"/>
      <c r="C383" s="792"/>
      <c r="D383" s="829">
        <f>+Tabla1[[#This Row],[FECHA Entrega]]</f>
        <v>0</v>
      </c>
      <c r="E383" s="830"/>
      <c r="F383" s="831"/>
      <c r="G383" s="832"/>
      <c r="H383" s="852"/>
      <c r="I383" s="834"/>
      <c r="J383" s="835"/>
      <c r="K383" s="836">
        <f t="shared" si="127"/>
        <v>0</v>
      </c>
      <c r="L38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83" s="837">
        <f t="shared" si="137"/>
        <v>0</v>
      </c>
      <c r="N383" s="838">
        <f>+Tabla1[[#This Row],[VENTA TOTAL $ (IVA INC) ]]</f>
        <v>0</v>
      </c>
      <c r="O383" s="838">
        <v>0</v>
      </c>
      <c r="P383" s="838">
        <v>0</v>
      </c>
      <c r="Q383" s="839">
        <f>+Tabla1[[#This Row],[VENTA TOTAL $ (IVA INC) ]]-Tabla1[[#This Row],[PENDIENTE DE COBRO]]</f>
        <v>0</v>
      </c>
      <c r="R383" s="840">
        <f>+Tabla1[[#This Row],[FECHA FC]]+Tabla1[[#This Row],[PLAZO ENTREGA VALORES]]</f>
        <v>0</v>
      </c>
      <c r="S383" s="840">
        <f>+Tabla1[[#This Row],[FECHA FC]]+Tabla1[[#This Row],[PLAZO PAGO (DIAS)]]</f>
        <v>0</v>
      </c>
      <c r="T383" s="834">
        <f t="shared" ca="1" si="128"/>
        <v>-46181</v>
      </c>
      <c r="U383" s="831"/>
      <c r="V383" s="831"/>
      <c r="W383" s="841">
        <f>+Tabla1[[#This Row],[FECHA VTO VALORES]]+7</f>
        <v>7</v>
      </c>
      <c r="X383" s="830"/>
      <c r="Y383" s="859"/>
      <c r="Z383" s="860">
        <f>Tabla1[[#This Row],[KGS]]/50</f>
        <v>0</v>
      </c>
      <c r="AA38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83" s="844">
        <f>-Tabla1[[#This Row],[COSTO FLETE $ POR BOLSA 5O KG (SIN IVA)]]*1.21-Tabla1[[#This Row],[PRECIO $/ KG A PLAZO EN CLIENTE ( SIN IVA)]]*0.003*1.21*50</f>
        <v>0</v>
      </c>
      <c r="AC383" s="845" t="e">
        <f>SUM(Tabla1[[#This Row],[PRECIO $ BOLSA 50 KG (IVA INC) ]]+Tabla1[[#This Row],[COSTO FLETE $ BOLSA 50 KG (IVA INC)]])</f>
        <v>#VALUE!</v>
      </c>
      <c r="AD383" s="844" t="e">
        <f>-Tabla1[[#This Row],[PRECIO $ BOLSA 50 KG (IVA INC) ]]*(Tabla1[[#This Row],[TASA FINANCIACION MENSUAL]]/365)*Tabla1[[#This Row],[PLAZO ENTREGA VALORES]]</f>
        <v>#VALUE!</v>
      </c>
      <c r="AE383" s="845" t="e">
        <f>SUM(Tabla1[[#This Row],[PRECIO $ BOLSA50 KG  FOB TUCUMAN A PLAZO (IVA INC)]]+Tabla1[[#This Row],[GASTOS FINANCIEROS $ BOLSA 50 KG (IVA INC)]])</f>
        <v>#VALUE!</v>
      </c>
      <c r="AF383" s="828"/>
      <c r="AG383" s="828"/>
      <c r="AH383" s="828"/>
      <c r="AI383" s="828"/>
      <c r="AJ38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83" s="846" t="e">
        <f>SUM(Tabla1[[#This Row],[PRECIO $ BOLSA 50KG  FOB CDO TUC (IVA INC)]]-Tabla1[[#This Row],[PRECIO REF $ BOLSA 50 KG CACTU (IVA INC)]])</f>
        <v>#VALUE!</v>
      </c>
      <c r="AL383" s="847" t="str">
        <f>IFERROR(Tabla1[[#This Row],[PRECIO $ BOLSA 50KG  FOB CDO TUC (IVA INC)]]/Tabla1[[#This Row],[PRECIO REF $ BOLSA 50 KG CACTU (IVA INC)]]-1,"")</f>
        <v/>
      </c>
      <c r="AM383" s="846" t="e">
        <f>+Tabla1[[#This Row],[DIF $ PRECIO NETO INDUSTRIA vs Neto TUCUMAN (IVA INC)]]*Tabla1[[#This Row],[Q Bolsas Equivalentes 50kg]]</f>
        <v>#VALUE!</v>
      </c>
      <c r="AN383" s="846" t="e">
        <f>Tabla1[[#This Row],[PRECIO REF $ BOLSA 50 KG CACTU (IVA INC)]]*Tabla1[[#This Row],[Q Bolsas Equivalentes 50kg]]</f>
        <v>#VALUE!</v>
      </c>
      <c r="AO383" s="846" t="e">
        <f>+Tabla1[[#This Row],[PRECIO $ BOLSA 50KG  FOB CDO TUC (IVA INC)]]*Tabla1[[#This Row],[Q Bolsas Equivalentes 50kg]]</f>
        <v>#VALUE!</v>
      </c>
      <c r="AP383" s="847"/>
      <c r="AQ383" s="846">
        <v>0</v>
      </c>
      <c r="AR383" s="828"/>
      <c r="AS383" s="849"/>
      <c r="AT383" s="923">
        <f>+Tabla1[[#This Row],[VENTA TOTAL $ (IVA INC) ]]-(SUM(Tabla1[[#This Row],[PENDIENTE DE ENTREGA]:[VALORES COBRADOS]]))</f>
        <v>0</v>
      </c>
      <c r="AU383" s="850" t="e">
        <f>VLOOKUP(Tabla1[[#This Row],[FECHA OC]],'TIPO DE CAMBIO'!A:B,2,TRUE)</f>
        <v>#N/A</v>
      </c>
      <c r="AV383" s="850" t="e">
        <f>+Tabla1[[#This Row],[SUBTOTAL]]/Tabla1[[#This Row],[TIPO DE CAMBIO]]</f>
        <v>#N/A</v>
      </c>
      <c r="AW383" s="851"/>
      <c r="AX383" s="850" t="str">
        <f>IFERROR(Tabla1[[#This Row],[VENTA TOTAL USD A PLAZO EN CLIENTE  (SIN IVA)]]*(1+Tabla1[[#This Row],[% IVA ]]),"")</f>
        <v/>
      </c>
      <c r="AY383" s="850" t="e">
        <f>+Tabla1[[#This Row],[VENTA TOTAL USD A PLAZO EN CLIENTE  (SIN IVA)]]/Tabla1[[#This Row],[KGS]]*1000</f>
        <v>#N/A</v>
      </c>
      <c r="AZ383" s="850" t="e">
        <f>-Tabla1[[#This Row],[COSTO FLETE $ POR BOLSA 5O KG (SIN IVA)]]*20/Tabla1[[#This Row],[TIPO DE CAMBIO]]</f>
        <v>#N/A</v>
      </c>
      <c r="BA383" s="850" t="e">
        <f>+Tabla1[[#This Row],[GASTOS FINANCIEROS $ BOLSA 50 KG (IVA INC)]]*20/Tabla1[[#This Row],[TIPO DE CAMBIO]]</f>
        <v>#VALUE!</v>
      </c>
      <c r="BB383" s="850" t="e">
        <f>+Tabla1[[#This Row],[PRECIO POR TN USD EN CLIENTE A PLAZO (SIN IVA)]]+Tabla1[[#This Row],[COSTO USD FLETE /TN (SIN IVA)]]+Tabla1[[#This Row],[COSTO FINANCIERO USD POR BOLSA 50KG (IVA INC)]]</f>
        <v>#N/A</v>
      </c>
      <c r="BC383" s="848"/>
      <c r="BD383" s="944"/>
    </row>
    <row r="384" spans="1:56" ht="15.75" customHeight="1">
      <c r="A384" s="912">
        <v>46235</v>
      </c>
      <c r="B384" s="853"/>
      <c r="C384" s="792"/>
      <c r="D384" s="829">
        <f>+Tabla1[[#This Row],[FECHA Entrega]]</f>
        <v>0</v>
      </c>
      <c r="E384" s="830"/>
      <c r="F384" s="831"/>
      <c r="G384" s="832"/>
      <c r="H384" s="852"/>
      <c r="I384" s="834"/>
      <c r="J384" s="835"/>
      <c r="K384" s="836">
        <f t="shared" si="127"/>
        <v>0</v>
      </c>
      <c r="L38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84" s="837">
        <f t="shared" si="137"/>
        <v>0</v>
      </c>
      <c r="N384" s="838">
        <f>+Tabla1[[#This Row],[VENTA TOTAL $ (IVA INC) ]]</f>
        <v>0</v>
      </c>
      <c r="O384" s="838">
        <v>0</v>
      </c>
      <c r="P384" s="838">
        <v>0</v>
      </c>
      <c r="Q384" s="839">
        <f>+Tabla1[[#This Row],[VENTA TOTAL $ (IVA INC) ]]-Tabla1[[#This Row],[PENDIENTE DE COBRO]]</f>
        <v>0</v>
      </c>
      <c r="R384" s="840">
        <f>+Tabla1[[#This Row],[FECHA FC]]+Tabla1[[#This Row],[PLAZO ENTREGA VALORES]]</f>
        <v>0</v>
      </c>
      <c r="S384" s="840">
        <f>+Tabla1[[#This Row],[FECHA FC]]+Tabla1[[#This Row],[PLAZO PAGO (DIAS)]]</f>
        <v>0</v>
      </c>
      <c r="T384" s="834">
        <f t="shared" ca="1" si="128"/>
        <v>-46181</v>
      </c>
      <c r="U384" s="831"/>
      <c r="V384" s="831"/>
      <c r="W384" s="841">
        <f>+Tabla1[[#This Row],[FECHA VTO VALORES]]+7</f>
        <v>7</v>
      </c>
      <c r="X384" s="830"/>
      <c r="Y384" s="859"/>
      <c r="Z384" s="860">
        <f>Tabla1[[#This Row],[KGS]]/50</f>
        <v>0</v>
      </c>
      <c r="AA38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84" s="844">
        <f>-Tabla1[[#This Row],[COSTO FLETE $ POR BOLSA 5O KG (SIN IVA)]]*1.21-Tabla1[[#This Row],[PRECIO $/ KG A PLAZO EN CLIENTE ( SIN IVA)]]*0.003*1.21*50</f>
        <v>0</v>
      </c>
      <c r="AC384" s="845" t="e">
        <f>SUM(Tabla1[[#This Row],[PRECIO $ BOLSA 50 KG (IVA INC) ]]+Tabla1[[#This Row],[COSTO FLETE $ BOLSA 50 KG (IVA INC)]])</f>
        <v>#VALUE!</v>
      </c>
      <c r="AD384" s="844" t="e">
        <f>-Tabla1[[#This Row],[PRECIO $ BOLSA 50 KG (IVA INC) ]]*(Tabla1[[#This Row],[TASA FINANCIACION MENSUAL]]/365)*Tabla1[[#This Row],[PLAZO ENTREGA VALORES]]</f>
        <v>#VALUE!</v>
      </c>
      <c r="AE384" s="845" t="e">
        <f>SUM(Tabla1[[#This Row],[PRECIO $ BOLSA50 KG  FOB TUCUMAN A PLAZO (IVA INC)]]+Tabla1[[#This Row],[GASTOS FINANCIEROS $ BOLSA 50 KG (IVA INC)]])</f>
        <v>#VALUE!</v>
      </c>
      <c r="AF384" s="828"/>
      <c r="AG384" s="828"/>
      <c r="AH384" s="828"/>
      <c r="AI384" s="828"/>
      <c r="AJ38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84" s="846" t="e">
        <f>SUM(Tabla1[[#This Row],[PRECIO $ BOLSA 50KG  FOB CDO TUC (IVA INC)]]-Tabla1[[#This Row],[PRECIO REF $ BOLSA 50 KG CACTU (IVA INC)]])</f>
        <v>#VALUE!</v>
      </c>
      <c r="AL384" s="847" t="str">
        <f>IFERROR(Tabla1[[#This Row],[PRECIO $ BOLSA 50KG  FOB CDO TUC (IVA INC)]]/Tabla1[[#This Row],[PRECIO REF $ BOLSA 50 KG CACTU (IVA INC)]]-1,"")</f>
        <v/>
      </c>
      <c r="AM384" s="846" t="e">
        <f>+Tabla1[[#This Row],[DIF $ PRECIO NETO INDUSTRIA vs Neto TUCUMAN (IVA INC)]]*Tabla1[[#This Row],[Q Bolsas Equivalentes 50kg]]</f>
        <v>#VALUE!</v>
      </c>
      <c r="AN384" s="846" t="e">
        <f>Tabla1[[#This Row],[PRECIO REF $ BOLSA 50 KG CACTU (IVA INC)]]*Tabla1[[#This Row],[Q Bolsas Equivalentes 50kg]]</f>
        <v>#VALUE!</v>
      </c>
      <c r="AO384" s="846" t="e">
        <f>+Tabla1[[#This Row],[PRECIO $ BOLSA 50KG  FOB CDO TUC (IVA INC)]]*Tabla1[[#This Row],[Q Bolsas Equivalentes 50kg]]</f>
        <v>#VALUE!</v>
      </c>
      <c r="AP384" s="847"/>
      <c r="AQ384" s="846">
        <v>0</v>
      </c>
      <c r="AR384" s="828"/>
      <c r="AS384" s="849"/>
      <c r="AT384" s="923">
        <f>+Tabla1[[#This Row],[VENTA TOTAL $ (IVA INC) ]]-(SUM(Tabla1[[#This Row],[PENDIENTE DE ENTREGA]:[VALORES COBRADOS]]))</f>
        <v>0</v>
      </c>
      <c r="AU384" s="850" t="e">
        <f>VLOOKUP(Tabla1[[#This Row],[FECHA OC]],'TIPO DE CAMBIO'!A:B,2,TRUE)</f>
        <v>#N/A</v>
      </c>
      <c r="AV384" s="850" t="e">
        <f>+Tabla1[[#This Row],[SUBTOTAL]]/Tabla1[[#This Row],[TIPO DE CAMBIO]]</f>
        <v>#N/A</v>
      </c>
      <c r="AW384" s="851"/>
      <c r="AX384" s="850" t="str">
        <f>IFERROR(Tabla1[[#This Row],[VENTA TOTAL USD A PLAZO EN CLIENTE  (SIN IVA)]]*(1+Tabla1[[#This Row],[% IVA ]]),"")</f>
        <v/>
      </c>
      <c r="AY384" s="850" t="e">
        <f>+Tabla1[[#This Row],[VENTA TOTAL USD A PLAZO EN CLIENTE  (SIN IVA)]]/Tabla1[[#This Row],[KGS]]*1000</f>
        <v>#N/A</v>
      </c>
      <c r="AZ384" s="850" t="e">
        <f>-Tabla1[[#This Row],[COSTO FLETE $ POR BOLSA 5O KG (SIN IVA)]]*20/Tabla1[[#This Row],[TIPO DE CAMBIO]]</f>
        <v>#N/A</v>
      </c>
      <c r="BA384" s="850" t="e">
        <f>+Tabla1[[#This Row],[GASTOS FINANCIEROS $ BOLSA 50 KG (IVA INC)]]*20/Tabla1[[#This Row],[TIPO DE CAMBIO]]</f>
        <v>#VALUE!</v>
      </c>
      <c r="BB384" s="850" t="e">
        <f>+Tabla1[[#This Row],[PRECIO POR TN USD EN CLIENTE A PLAZO (SIN IVA)]]+Tabla1[[#This Row],[COSTO USD FLETE /TN (SIN IVA)]]+Tabla1[[#This Row],[COSTO FINANCIERO USD POR BOLSA 50KG (IVA INC)]]</f>
        <v>#N/A</v>
      </c>
      <c r="BC384" s="848"/>
      <c r="BD384" s="944"/>
    </row>
    <row r="385" spans="1:56" ht="15.75" customHeight="1">
      <c r="A385" s="912">
        <v>46235</v>
      </c>
      <c r="B385" s="853"/>
      <c r="C385" s="792"/>
      <c r="D385" s="829">
        <f>+Tabla1[[#This Row],[FECHA Entrega]]</f>
        <v>0</v>
      </c>
      <c r="E385" s="830"/>
      <c r="F385" s="831"/>
      <c r="G385" s="832"/>
      <c r="H385" s="852"/>
      <c r="I385" s="834"/>
      <c r="J385" s="835"/>
      <c r="K385" s="836">
        <f t="shared" si="127"/>
        <v>0</v>
      </c>
      <c r="L38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85" s="837">
        <f t="shared" si="137"/>
        <v>0</v>
      </c>
      <c r="N385" s="838">
        <f>+Tabla1[[#This Row],[VENTA TOTAL $ (IVA INC) ]]</f>
        <v>0</v>
      </c>
      <c r="O385" s="838">
        <v>0</v>
      </c>
      <c r="P385" s="838">
        <v>0</v>
      </c>
      <c r="Q385" s="839">
        <f>+Tabla1[[#This Row],[VENTA TOTAL $ (IVA INC) ]]-Tabla1[[#This Row],[PENDIENTE DE COBRO]]</f>
        <v>0</v>
      </c>
      <c r="R385" s="840">
        <f>+Tabla1[[#This Row],[FECHA FC]]+Tabla1[[#This Row],[PLAZO ENTREGA VALORES]]</f>
        <v>0</v>
      </c>
      <c r="S385" s="840">
        <f>+Tabla1[[#This Row],[FECHA FC]]+Tabla1[[#This Row],[PLAZO PAGO (DIAS)]]</f>
        <v>0</v>
      </c>
      <c r="T385" s="834">
        <f t="shared" ca="1" si="128"/>
        <v>-46181</v>
      </c>
      <c r="U385" s="831"/>
      <c r="V385" s="831"/>
      <c r="W385" s="841">
        <f>+Tabla1[[#This Row],[FECHA VTO VALORES]]+7</f>
        <v>7</v>
      </c>
      <c r="X385" s="830"/>
      <c r="Y385" s="859"/>
      <c r="Z385" s="860">
        <f>Tabla1[[#This Row],[KGS]]/50</f>
        <v>0</v>
      </c>
      <c r="AA38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85" s="844">
        <f>-Tabla1[[#This Row],[COSTO FLETE $ POR BOLSA 5O KG (SIN IVA)]]*1.21-Tabla1[[#This Row],[PRECIO $/ KG A PLAZO EN CLIENTE ( SIN IVA)]]*0.003*1.21*50</f>
        <v>0</v>
      </c>
      <c r="AC385" s="845" t="e">
        <f>SUM(Tabla1[[#This Row],[PRECIO $ BOLSA 50 KG (IVA INC) ]]+Tabla1[[#This Row],[COSTO FLETE $ BOLSA 50 KG (IVA INC)]])</f>
        <v>#VALUE!</v>
      </c>
      <c r="AD385" s="844" t="e">
        <f>-Tabla1[[#This Row],[PRECIO $ BOLSA 50 KG (IVA INC) ]]*(Tabla1[[#This Row],[TASA FINANCIACION MENSUAL]]/365)*Tabla1[[#This Row],[PLAZO ENTREGA VALORES]]</f>
        <v>#VALUE!</v>
      </c>
      <c r="AE385" s="845" t="e">
        <f>SUM(Tabla1[[#This Row],[PRECIO $ BOLSA50 KG  FOB TUCUMAN A PLAZO (IVA INC)]]+Tabla1[[#This Row],[GASTOS FINANCIEROS $ BOLSA 50 KG (IVA INC)]])</f>
        <v>#VALUE!</v>
      </c>
      <c r="AF385" s="828"/>
      <c r="AG385" s="828"/>
      <c r="AH385" s="828"/>
      <c r="AI385" s="828"/>
      <c r="AJ38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85" s="846" t="e">
        <f>SUM(Tabla1[[#This Row],[PRECIO $ BOLSA 50KG  FOB CDO TUC (IVA INC)]]-Tabla1[[#This Row],[PRECIO REF $ BOLSA 50 KG CACTU (IVA INC)]])</f>
        <v>#VALUE!</v>
      </c>
      <c r="AL385" s="847" t="str">
        <f>IFERROR(Tabla1[[#This Row],[PRECIO $ BOLSA 50KG  FOB CDO TUC (IVA INC)]]/Tabla1[[#This Row],[PRECIO REF $ BOLSA 50 KG CACTU (IVA INC)]]-1,"")</f>
        <v/>
      </c>
      <c r="AM385" s="846" t="e">
        <f>+Tabla1[[#This Row],[DIF $ PRECIO NETO INDUSTRIA vs Neto TUCUMAN (IVA INC)]]*Tabla1[[#This Row],[Q Bolsas Equivalentes 50kg]]</f>
        <v>#VALUE!</v>
      </c>
      <c r="AN385" s="846" t="e">
        <f>Tabla1[[#This Row],[PRECIO REF $ BOLSA 50 KG CACTU (IVA INC)]]*Tabla1[[#This Row],[Q Bolsas Equivalentes 50kg]]</f>
        <v>#VALUE!</v>
      </c>
      <c r="AO385" s="846" t="e">
        <f>+Tabla1[[#This Row],[PRECIO $ BOLSA 50KG  FOB CDO TUC (IVA INC)]]*Tabla1[[#This Row],[Q Bolsas Equivalentes 50kg]]</f>
        <v>#VALUE!</v>
      </c>
      <c r="AP385" s="847"/>
      <c r="AQ385" s="846">
        <v>0</v>
      </c>
      <c r="AR385" s="828"/>
      <c r="AS385" s="849"/>
      <c r="AT385" s="923">
        <f>+Tabla1[[#This Row],[VENTA TOTAL $ (IVA INC) ]]-(SUM(Tabla1[[#This Row],[PENDIENTE DE ENTREGA]:[VALORES COBRADOS]]))</f>
        <v>0</v>
      </c>
      <c r="AU385" s="850" t="e">
        <f>VLOOKUP(Tabla1[[#This Row],[FECHA OC]],'TIPO DE CAMBIO'!A:B,2,TRUE)</f>
        <v>#N/A</v>
      </c>
      <c r="AV385" s="850" t="e">
        <f>+Tabla1[[#This Row],[SUBTOTAL]]/Tabla1[[#This Row],[TIPO DE CAMBIO]]</f>
        <v>#N/A</v>
      </c>
      <c r="AW385" s="851"/>
      <c r="AX385" s="850" t="str">
        <f>IFERROR(Tabla1[[#This Row],[VENTA TOTAL USD A PLAZO EN CLIENTE  (SIN IVA)]]*(1+Tabla1[[#This Row],[% IVA ]]),"")</f>
        <v/>
      </c>
      <c r="AY385" s="850" t="e">
        <f>+Tabla1[[#This Row],[VENTA TOTAL USD A PLAZO EN CLIENTE  (SIN IVA)]]/Tabla1[[#This Row],[KGS]]*1000</f>
        <v>#N/A</v>
      </c>
      <c r="AZ385" s="850" t="e">
        <f>-Tabla1[[#This Row],[COSTO FLETE $ POR BOLSA 5O KG (SIN IVA)]]*20/Tabla1[[#This Row],[TIPO DE CAMBIO]]</f>
        <v>#N/A</v>
      </c>
      <c r="BA385" s="850" t="e">
        <f>+Tabla1[[#This Row],[GASTOS FINANCIEROS $ BOLSA 50 KG (IVA INC)]]*20/Tabla1[[#This Row],[TIPO DE CAMBIO]]</f>
        <v>#VALUE!</v>
      </c>
      <c r="BB385" s="850" t="e">
        <f>+Tabla1[[#This Row],[PRECIO POR TN USD EN CLIENTE A PLAZO (SIN IVA)]]+Tabla1[[#This Row],[COSTO USD FLETE /TN (SIN IVA)]]+Tabla1[[#This Row],[COSTO FINANCIERO USD POR BOLSA 50KG (IVA INC)]]</f>
        <v>#N/A</v>
      </c>
      <c r="BC385" s="848"/>
      <c r="BD385" s="944"/>
    </row>
    <row r="386" spans="1:56" ht="15.75" customHeight="1">
      <c r="A386" s="912">
        <v>46235</v>
      </c>
      <c r="B386" s="853"/>
      <c r="C386" s="792"/>
      <c r="D386" s="829">
        <f>+Tabla1[[#This Row],[FECHA Entrega]]</f>
        <v>0</v>
      </c>
      <c r="E386" s="830"/>
      <c r="F386" s="831"/>
      <c r="G386" s="832"/>
      <c r="H386" s="852"/>
      <c r="I386" s="834"/>
      <c r="J386" s="835"/>
      <c r="K386" s="836">
        <f t="shared" si="127"/>
        <v>0</v>
      </c>
      <c r="L38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86" s="837">
        <f t="shared" si="137"/>
        <v>0</v>
      </c>
      <c r="N386" s="838">
        <f>+Tabla1[[#This Row],[VENTA TOTAL $ (IVA INC) ]]</f>
        <v>0</v>
      </c>
      <c r="O386" s="838">
        <v>0</v>
      </c>
      <c r="P386" s="838">
        <v>0</v>
      </c>
      <c r="Q386" s="839">
        <f>+Tabla1[[#This Row],[VENTA TOTAL $ (IVA INC) ]]-Tabla1[[#This Row],[PENDIENTE DE COBRO]]</f>
        <v>0</v>
      </c>
      <c r="R386" s="840">
        <f>+Tabla1[[#This Row],[FECHA FC]]+Tabla1[[#This Row],[PLAZO ENTREGA VALORES]]</f>
        <v>0</v>
      </c>
      <c r="S386" s="840">
        <f>+Tabla1[[#This Row],[FECHA FC]]+Tabla1[[#This Row],[PLAZO PAGO (DIAS)]]</f>
        <v>0</v>
      </c>
      <c r="T386" s="834">
        <f t="shared" ca="1" si="128"/>
        <v>-46181</v>
      </c>
      <c r="U386" s="831"/>
      <c r="V386" s="831"/>
      <c r="W386" s="841">
        <f>+Tabla1[[#This Row],[FECHA VTO VALORES]]+7</f>
        <v>7</v>
      </c>
      <c r="X386" s="830"/>
      <c r="Y386" s="859"/>
      <c r="Z386" s="860">
        <f>Tabla1[[#This Row],[KGS]]/50</f>
        <v>0</v>
      </c>
      <c r="AA38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86" s="844">
        <f>-Tabla1[[#This Row],[COSTO FLETE $ POR BOLSA 5O KG (SIN IVA)]]*1.21-Tabla1[[#This Row],[PRECIO $/ KG A PLAZO EN CLIENTE ( SIN IVA)]]*0.003*1.21*50</f>
        <v>0</v>
      </c>
      <c r="AC386" s="845" t="e">
        <f>SUM(Tabla1[[#This Row],[PRECIO $ BOLSA 50 KG (IVA INC) ]]+Tabla1[[#This Row],[COSTO FLETE $ BOLSA 50 KG (IVA INC)]])</f>
        <v>#VALUE!</v>
      </c>
      <c r="AD386" s="844" t="e">
        <f>-Tabla1[[#This Row],[PRECIO $ BOLSA 50 KG (IVA INC) ]]*(Tabla1[[#This Row],[TASA FINANCIACION MENSUAL]]/365)*Tabla1[[#This Row],[PLAZO ENTREGA VALORES]]</f>
        <v>#VALUE!</v>
      </c>
      <c r="AE386" s="845" t="e">
        <f>SUM(Tabla1[[#This Row],[PRECIO $ BOLSA50 KG  FOB TUCUMAN A PLAZO (IVA INC)]]+Tabla1[[#This Row],[GASTOS FINANCIEROS $ BOLSA 50 KG (IVA INC)]])</f>
        <v>#VALUE!</v>
      </c>
      <c r="AF386" s="828"/>
      <c r="AG386" s="828"/>
      <c r="AH386" s="828"/>
      <c r="AI386" s="828"/>
      <c r="AJ38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86" s="846" t="e">
        <f>SUM(Tabla1[[#This Row],[PRECIO $ BOLSA 50KG  FOB CDO TUC (IVA INC)]]-Tabla1[[#This Row],[PRECIO REF $ BOLSA 50 KG CACTU (IVA INC)]])</f>
        <v>#VALUE!</v>
      </c>
      <c r="AL386" s="847" t="str">
        <f>IFERROR(Tabla1[[#This Row],[PRECIO $ BOLSA 50KG  FOB CDO TUC (IVA INC)]]/Tabla1[[#This Row],[PRECIO REF $ BOLSA 50 KG CACTU (IVA INC)]]-1,"")</f>
        <v/>
      </c>
      <c r="AM386" s="846" t="e">
        <f>+Tabla1[[#This Row],[DIF $ PRECIO NETO INDUSTRIA vs Neto TUCUMAN (IVA INC)]]*Tabla1[[#This Row],[Q Bolsas Equivalentes 50kg]]</f>
        <v>#VALUE!</v>
      </c>
      <c r="AN386" s="846" t="e">
        <f>Tabla1[[#This Row],[PRECIO REF $ BOLSA 50 KG CACTU (IVA INC)]]*Tabla1[[#This Row],[Q Bolsas Equivalentes 50kg]]</f>
        <v>#VALUE!</v>
      </c>
      <c r="AO386" s="846" t="e">
        <f>+Tabla1[[#This Row],[PRECIO $ BOLSA 50KG  FOB CDO TUC (IVA INC)]]*Tabla1[[#This Row],[Q Bolsas Equivalentes 50kg]]</f>
        <v>#VALUE!</v>
      </c>
      <c r="AP386" s="847"/>
      <c r="AQ386" s="846">
        <v>0</v>
      </c>
      <c r="AR386" s="828"/>
      <c r="AS386" s="849"/>
      <c r="AT386" s="923">
        <f>+Tabla1[[#This Row],[VENTA TOTAL $ (IVA INC) ]]-(SUM(Tabla1[[#This Row],[PENDIENTE DE ENTREGA]:[VALORES COBRADOS]]))</f>
        <v>0</v>
      </c>
      <c r="AU386" s="850" t="e">
        <f>VLOOKUP(Tabla1[[#This Row],[FECHA OC]],'TIPO DE CAMBIO'!A:B,2,TRUE)</f>
        <v>#N/A</v>
      </c>
      <c r="AV386" s="850" t="e">
        <f>+Tabla1[[#This Row],[SUBTOTAL]]/Tabla1[[#This Row],[TIPO DE CAMBIO]]</f>
        <v>#N/A</v>
      </c>
      <c r="AW386" s="851"/>
      <c r="AX386" s="850" t="str">
        <f>IFERROR(Tabla1[[#This Row],[VENTA TOTAL USD A PLAZO EN CLIENTE  (SIN IVA)]]*(1+Tabla1[[#This Row],[% IVA ]]),"")</f>
        <v/>
      </c>
      <c r="AY386" s="850" t="e">
        <f>+Tabla1[[#This Row],[VENTA TOTAL USD A PLAZO EN CLIENTE  (SIN IVA)]]/Tabla1[[#This Row],[KGS]]*1000</f>
        <v>#N/A</v>
      </c>
      <c r="AZ386" s="850" t="e">
        <f>-Tabla1[[#This Row],[COSTO FLETE $ POR BOLSA 5O KG (SIN IVA)]]*20/Tabla1[[#This Row],[TIPO DE CAMBIO]]</f>
        <v>#N/A</v>
      </c>
      <c r="BA386" s="850" t="e">
        <f>+Tabla1[[#This Row],[GASTOS FINANCIEROS $ BOLSA 50 KG (IVA INC)]]*20/Tabla1[[#This Row],[TIPO DE CAMBIO]]</f>
        <v>#VALUE!</v>
      </c>
      <c r="BB386" s="850" t="e">
        <f>+Tabla1[[#This Row],[PRECIO POR TN USD EN CLIENTE A PLAZO (SIN IVA)]]+Tabla1[[#This Row],[COSTO USD FLETE /TN (SIN IVA)]]+Tabla1[[#This Row],[COSTO FINANCIERO USD POR BOLSA 50KG (IVA INC)]]</f>
        <v>#N/A</v>
      </c>
      <c r="BC386" s="848"/>
      <c r="BD386" s="944"/>
    </row>
    <row r="387" spans="1:56" ht="15.75" customHeight="1">
      <c r="A387" s="912">
        <v>46235</v>
      </c>
      <c r="B387" s="853"/>
      <c r="C387" s="792"/>
      <c r="D387" s="829">
        <f>+Tabla1[[#This Row],[FECHA Entrega]]</f>
        <v>0</v>
      </c>
      <c r="E387" s="830"/>
      <c r="F387" s="831"/>
      <c r="G387" s="832"/>
      <c r="H387" s="852"/>
      <c r="I387" s="834"/>
      <c r="J387" s="835"/>
      <c r="K387" s="836">
        <f t="shared" si="127"/>
        <v>0</v>
      </c>
      <c r="L38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87" s="837">
        <f t="shared" si="137"/>
        <v>0</v>
      </c>
      <c r="N387" s="838">
        <f>+Tabla1[[#This Row],[VENTA TOTAL $ (IVA INC) ]]</f>
        <v>0</v>
      </c>
      <c r="O387" s="838">
        <v>0</v>
      </c>
      <c r="P387" s="838">
        <v>0</v>
      </c>
      <c r="Q387" s="839">
        <f>+Tabla1[[#This Row],[VENTA TOTAL $ (IVA INC) ]]-Tabla1[[#This Row],[PENDIENTE DE COBRO]]</f>
        <v>0</v>
      </c>
      <c r="R387" s="840">
        <f>+Tabla1[[#This Row],[FECHA FC]]+Tabla1[[#This Row],[PLAZO ENTREGA VALORES]]</f>
        <v>0</v>
      </c>
      <c r="S387" s="840">
        <f>+Tabla1[[#This Row],[FECHA FC]]+Tabla1[[#This Row],[PLAZO PAGO (DIAS)]]</f>
        <v>0</v>
      </c>
      <c r="T387" s="834">
        <f t="shared" ca="1" si="128"/>
        <v>-46181</v>
      </c>
      <c r="U387" s="831"/>
      <c r="V387" s="831"/>
      <c r="W387" s="841">
        <f>+Tabla1[[#This Row],[FECHA VTO VALORES]]+7</f>
        <v>7</v>
      </c>
      <c r="X387" s="830"/>
      <c r="Y387" s="859"/>
      <c r="Z387" s="860">
        <f>Tabla1[[#This Row],[KGS]]/50</f>
        <v>0</v>
      </c>
      <c r="AA38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87" s="844">
        <f>-Tabla1[[#This Row],[COSTO FLETE $ POR BOLSA 5O KG (SIN IVA)]]*1.21-Tabla1[[#This Row],[PRECIO $/ KG A PLAZO EN CLIENTE ( SIN IVA)]]*0.003*1.21*50</f>
        <v>0</v>
      </c>
      <c r="AC387" s="845" t="e">
        <f>SUM(Tabla1[[#This Row],[PRECIO $ BOLSA 50 KG (IVA INC) ]]+Tabla1[[#This Row],[COSTO FLETE $ BOLSA 50 KG (IVA INC)]])</f>
        <v>#VALUE!</v>
      </c>
      <c r="AD387" s="844" t="e">
        <f>-Tabla1[[#This Row],[PRECIO $ BOLSA 50 KG (IVA INC) ]]*(Tabla1[[#This Row],[TASA FINANCIACION MENSUAL]]/365)*Tabla1[[#This Row],[PLAZO ENTREGA VALORES]]</f>
        <v>#VALUE!</v>
      </c>
      <c r="AE387" s="845" t="e">
        <f>SUM(Tabla1[[#This Row],[PRECIO $ BOLSA50 KG  FOB TUCUMAN A PLAZO (IVA INC)]]+Tabla1[[#This Row],[GASTOS FINANCIEROS $ BOLSA 50 KG (IVA INC)]])</f>
        <v>#VALUE!</v>
      </c>
      <c r="AF387" s="828"/>
      <c r="AG387" s="828"/>
      <c r="AH387" s="828"/>
      <c r="AI387" s="828"/>
      <c r="AJ38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87" s="846" t="e">
        <f>SUM(Tabla1[[#This Row],[PRECIO $ BOLSA 50KG  FOB CDO TUC (IVA INC)]]-Tabla1[[#This Row],[PRECIO REF $ BOLSA 50 KG CACTU (IVA INC)]])</f>
        <v>#VALUE!</v>
      </c>
      <c r="AL387" s="847" t="str">
        <f>IFERROR(Tabla1[[#This Row],[PRECIO $ BOLSA 50KG  FOB CDO TUC (IVA INC)]]/Tabla1[[#This Row],[PRECIO REF $ BOLSA 50 KG CACTU (IVA INC)]]-1,"")</f>
        <v/>
      </c>
      <c r="AM387" s="846" t="e">
        <f>+Tabla1[[#This Row],[DIF $ PRECIO NETO INDUSTRIA vs Neto TUCUMAN (IVA INC)]]*Tabla1[[#This Row],[Q Bolsas Equivalentes 50kg]]</f>
        <v>#VALUE!</v>
      </c>
      <c r="AN387" s="846" t="e">
        <f>Tabla1[[#This Row],[PRECIO REF $ BOLSA 50 KG CACTU (IVA INC)]]*Tabla1[[#This Row],[Q Bolsas Equivalentes 50kg]]</f>
        <v>#VALUE!</v>
      </c>
      <c r="AO387" s="846" t="e">
        <f>+Tabla1[[#This Row],[PRECIO $ BOLSA 50KG  FOB CDO TUC (IVA INC)]]*Tabla1[[#This Row],[Q Bolsas Equivalentes 50kg]]</f>
        <v>#VALUE!</v>
      </c>
      <c r="AP387" s="847"/>
      <c r="AQ387" s="846">
        <v>0</v>
      </c>
      <c r="AR387" s="828"/>
      <c r="AS387" s="849"/>
      <c r="AT387" s="923">
        <f>+Tabla1[[#This Row],[VENTA TOTAL $ (IVA INC) ]]-(SUM(Tabla1[[#This Row],[PENDIENTE DE ENTREGA]:[VALORES COBRADOS]]))</f>
        <v>0</v>
      </c>
      <c r="AU387" s="850" t="e">
        <f>VLOOKUP(Tabla1[[#This Row],[FECHA OC]],'TIPO DE CAMBIO'!A:B,2,TRUE)</f>
        <v>#N/A</v>
      </c>
      <c r="AV387" s="850" t="e">
        <f>+Tabla1[[#This Row],[SUBTOTAL]]/Tabla1[[#This Row],[TIPO DE CAMBIO]]</f>
        <v>#N/A</v>
      </c>
      <c r="AW387" s="851"/>
      <c r="AX387" s="850" t="str">
        <f>IFERROR(Tabla1[[#This Row],[VENTA TOTAL USD A PLAZO EN CLIENTE  (SIN IVA)]]*(1+Tabla1[[#This Row],[% IVA ]]),"")</f>
        <v/>
      </c>
      <c r="AY387" s="850" t="e">
        <f>+Tabla1[[#This Row],[VENTA TOTAL USD A PLAZO EN CLIENTE  (SIN IVA)]]/Tabla1[[#This Row],[KGS]]*1000</f>
        <v>#N/A</v>
      </c>
      <c r="AZ387" s="850" t="e">
        <f>-Tabla1[[#This Row],[COSTO FLETE $ POR BOLSA 5O KG (SIN IVA)]]*20/Tabla1[[#This Row],[TIPO DE CAMBIO]]</f>
        <v>#N/A</v>
      </c>
      <c r="BA387" s="850" t="e">
        <f>+Tabla1[[#This Row],[GASTOS FINANCIEROS $ BOLSA 50 KG (IVA INC)]]*20/Tabla1[[#This Row],[TIPO DE CAMBIO]]</f>
        <v>#VALUE!</v>
      </c>
      <c r="BB387" s="850" t="e">
        <f>+Tabla1[[#This Row],[PRECIO POR TN USD EN CLIENTE A PLAZO (SIN IVA)]]+Tabla1[[#This Row],[COSTO USD FLETE /TN (SIN IVA)]]+Tabla1[[#This Row],[COSTO FINANCIERO USD POR BOLSA 50KG (IVA INC)]]</f>
        <v>#N/A</v>
      </c>
      <c r="BC387" s="848"/>
      <c r="BD387" s="944"/>
    </row>
    <row r="388" spans="1:56" ht="15.75" customHeight="1">
      <c r="A388" s="912">
        <v>46235</v>
      </c>
      <c r="B388" s="853"/>
      <c r="C388" s="792"/>
      <c r="D388" s="829">
        <f>+Tabla1[[#This Row],[FECHA Entrega]]</f>
        <v>0</v>
      </c>
      <c r="E388" s="830"/>
      <c r="F388" s="831"/>
      <c r="G388" s="832"/>
      <c r="H388" s="852"/>
      <c r="I388" s="834"/>
      <c r="J388" s="835"/>
      <c r="K388" s="836">
        <f t="shared" si="127"/>
        <v>0</v>
      </c>
      <c r="L38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88" s="837">
        <f t="shared" si="137"/>
        <v>0</v>
      </c>
      <c r="N388" s="838">
        <f>+Tabla1[[#This Row],[VENTA TOTAL $ (IVA INC) ]]</f>
        <v>0</v>
      </c>
      <c r="O388" s="838">
        <v>0</v>
      </c>
      <c r="P388" s="838">
        <v>0</v>
      </c>
      <c r="Q388" s="839">
        <f>+Tabla1[[#This Row],[VENTA TOTAL $ (IVA INC) ]]-Tabla1[[#This Row],[PENDIENTE DE COBRO]]</f>
        <v>0</v>
      </c>
      <c r="R388" s="840">
        <f>+Tabla1[[#This Row],[FECHA FC]]+Tabla1[[#This Row],[PLAZO ENTREGA VALORES]]</f>
        <v>0</v>
      </c>
      <c r="S388" s="840">
        <f>+Tabla1[[#This Row],[FECHA FC]]+Tabla1[[#This Row],[PLAZO PAGO (DIAS)]]</f>
        <v>0</v>
      </c>
      <c r="T388" s="834">
        <f t="shared" ca="1" si="128"/>
        <v>-46181</v>
      </c>
      <c r="U388" s="831"/>
      <c r="V388" s="831"/>
      <c r="W388" s="841">
        <f>+Tabla1[[#This Row],[FECHA VTO VALORES]]+7</f>
        <v>7</v>
      </c>
      <c r="X388" s="830"/>
      <c r="Y388" s="859"/>
      <c r="Z388" s="860">
        <f>Tabla1[[#This Row],[KGS]]/50</f>
        <v>0</v>
      </c>
      <c r="AA38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88" s="844">
        <f>-Tabla1[[#This Row],[COSTO FLETE $ POR BOLSA 5O KG (SIN IVA)]]*1.21-Tabla1[[#This Row],[PRECIO $/ KG A PLAZO EN CLIENTE ( SIN IVA)]]*0.003*1.21*50</f>
        <v>0</v>
      </c>
      <c r="AC388" s="845" t="e">
        <f>SUM(Tabla1[[#This Row],[PRECIO $ BOLSA 50 KG (IVA INC) ]]+Tabla1[[#This Row],[COSTO FLETE $ BOLSA 50 KG (IVA INC)]])</f>
        <v>#VALUE!</v>
      </c>
      <c r="AD388" s="844" t="e">
        <f>-Tabla1[[#This Row],[PRECIO $ BOLSA 50 KG (IVA INC) ]]*(Tabla1[[#This Row],[TASA FINANCIACION MENSUAL]]/365)*Tabla1[[#This Row],[PLAZO ENTREGA VALORES]]</f>
        <v>#VALUE!</v>
      </c>
      <c r="AE388" s="845" t="e">
        <f>SUM(Tabla1[[#This Row],[PRECIO $ BOLSA50 KG  FOB TUCUMAN A PLAZO (IVA INC)]]+Tabla1[[#This Row],[GASTOS FINANCIEROS $ BOLSA 50 KG (IVA INC)]])</f>
        <v>#VALUE!</v>
      </c>
      <c r="AF388" s="828"/>
      <c r="AG388" s="828"/>
      <c r="AH388" s="828"/>
      <c r="AI388" s="828"/>
      <c r="AJ38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88" s="846" t="e">
        <f>SUM(Tabla1[[#This Row],[PRECIO $ BOLSA 50KG  FOB CDO TUC (IVA INC)]]-Tabla1[[#This Row],[PRECIO REF $ BOLSA 50 KG CACTU (IVA INC)]])</f>
        <v>#VALUE!</v>
      </c>
      <c r="AL388" s="847" t="str">
        <f>IFERROR(Tabla1[[#This Row],[PRECIO $ BOLSA 50KG  FOB CDO TUC (IVA INC)]]/Tabla1[[#This Row],[PRECIO REF $ BOLSA 50 KG CACTU (IVA INC)]]-1,"")</f>
        <v/>
      </c>
      <c r="AM388" s="846" t="e">
        <f>+Tabla1[[#This Row],[DIF $ PRECIO NETO INDUSTRIA vs Neto TUCUMAN (IVA INC)]]*Tabla1[[#This Row],[Q Bolsas Equivalentes 50kg]]</f>
        <v>#VALUE!</v>
      </c>
      <c r="AN388" s="846" t="e">
        <f>Tabla1[[#This Row],[PRECIO REF $ BOLSA 50 KG CACTU (IVA INC)]]*Tabla1[[#This Row],[Q Bolsas Equivalentes 50kg]]</f>
        <v>#VALUE!</v>
      </c>
      <c r="AO388" s="846" t="e">
        <f>+Tabla1[[#This Row],[PRECIO $ BOLSA 50KG  FOB CDO TUC (IVA INC)]]*Tabla1[[#This Row],[Q Bolsas Equivalentes 50kg]]</f>
        <v>#VALUE!</v>
      </c>
      <c r="AP388" s="847"/>
      <c r="AQ388" s="846">
        <v>0</v>
      </c>
      <c r="AR388" s="828"/>
      <c r="AS388" s="849"/>
      <c r="AT388" s="923">
        <f>+Tabla1[[#This Row],[VENTA TOTAL $ (IVA INC) ]]-(SUM(Tabla1[[#This Row],[PENDIENTE DE ENTREGA]:[VALORES COBRADOS]]))</f>
        <v>0</v>
      </c>
      <c r="AU388" s="850" t="e">
        <f>VLOOKUP(Tabla1[[#This Row],[FECHA OC]],'TIPO DE CAMBIO'!A:B,2,TRUE)</f>
        <v>#N/A</v>
      </c>
      <c r="AV388" s="850" t="e">
        <f>+Tabla1[[#This Row],[SUBTOTAL]]/Tabla1[[#This Row],[TIPO DE CAMBIO]]</f>
        <v>#N/A</v>
      </c>
      <c r="AW388" s="851"/>
      <c r="AX388" s="850" t="str">
        <f>IFERROR(Tabla1[[#This Row],[VENTA TOTAL USD A PLAZO EN CLIENTE  (SIN IVA)]]*(1+Tabla1[[#This Row],[% IVA ]]),"")</f>
        <v/>
      </c>
      <c r="AY388" s="850" t="e">
        <f>+Tabla1[[#This Row],[VENTA TOTAL USD A PLAZO EN CLIENTE  (SIN IVA)]]/Tabla1[[#This Row],[KGS]]*1000</f>
        <v>#N/A</v>
      </c>
      <c r="AZ388" s="850" t="e">
        <f>-Tabla1[[#This Row],[COSTO FLETE $ POR BOLSA 5O KG (SIN IVA)]]*20/Tabla1[[#This Row],[TIPO DE CAMBIO]]</f>
        <v>#N/A</v>
      </c>
      <c r="BA388" s="850" t="e">
        <f>+Tabla1[[#This Row],[GASTOS FINANCIEROS $ BOLSA 50 KG (IVA INC)]]*20/Tabla1[[#This Row],[TIPO DE CAMBIO]]</f>
        <v>#VALUE!</v>
      </c>
      <c r="BB388" s="850" t="e">
        <f>+Tabla1[[#This Row],[PRECIO POR TN USD EN CLIENTE A PLAZO (SIN IVA)]]+Tabla1[[#This Row],[COSTO USD FLETE /TN (SIN IVA)]]+Tabla1[[#This Row],[COSTO FINANCIERO USD POR BOLSA 50KG (IVA INC)]]</f>
        <v>#N/A</v>
      </c>
      <c r="BC388" s="848"/>
      <c r="BD388" s="944"/>
    </row>
    <row r="389" spans="1:56" ht="15.75" customHeight="1">
      <c r="A389" s="912">
        <v>46235</v>
      </c>
      <c r="B389" s="853"/>
      <c r="C389" s="792"/>
      <c r="D389" s="829">
        <f>+Tabla1[[#This Row],[FECHA Entrega]]</f>
        <v>0</v>
      </c>
      <c r="E389" s="830"/>
      <c r="F389" s="831"/>
      <c r="G389" s="832"/>
      <c r="H389" s="852"/>
      <c r="I389" s="834"/>
      <c r="J389" s="835"/>
      <c r="K389" s="836">
        <f t="shared" si="127"/>
        <v>0</v>
      </c>
      <c r="L38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89" s="837">
        <f t="shared" si="137"/>
        <v>0</v>
      </c>
      <c r="N389" s="838">
        <f>+Tabla1[[#This Row],[VENTA TOTAL $ (IVA INC) ]]</f>
        <v>0</v>
      </c>
      <c r="O389" s="838">
        <v>0</v>
      </c>
      <c r="P389" s="838">
        <v>0</v>
      </c>
      <c r="Q389" s="839">
        <f>+Tabla1[[#This Row],[VENTA TOTAL $ (IVA INC) ]]-Tabla1[[#This Row],[PENDIENTE DE COBRO]]</f>
        <v>0</v>
      </c>
      <c r="R389" s="840">
        <f>+Tabla1[[#This Row],[FECHA FC]]+Tabla1[[#This Row],[PLAZO ENTREGA VALORES]]</f>
        <v>0</v>
      </c>
      <c r="S389" s="840">
        <f>+Tabla1[[#This Row],[FECHA FC]]+Tabla1[[#This Row],[PLAZO PAGO (DIAS)]]</f>
        <v>0</v>
      </c>
      <c r="T389" s="834">
        <f t="shared" ca="1" si="128"/>
        <v>-46181</v>
      </c>
      <c r="U389" s="831"/>
      <c r="V389" s="831"/>
      <c r="W389" s="841">
        <f>+Tabla1[[#This Row],[FECHA VTO VALORES]]+7</f>
        <v>7</v>
      </c>
      <c r="X389" s="830"/>
      <c r="Y389" s="859"/>
      <c r="Z389" s="860">
        <f>Tabla1[[#This Row],[KGS]]/50</f>
        <v>0</v>
      </c>
      <c r="AA38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89" s="844">
        <f>-Tabla1[[#This Row],[COSTO FLETE $ POR BOLSA 5O KG (SIN IVA)]]*1.21-Tabla1[[#This Row],[PRECIO $/ KG A PLAZO EN CLIENTE ( SIN IVA)]]*0.003*1.21*50</f>
        <v>0</v>
      </c>
      <c r="AC389" s="845" t="e">
        <f>SUM(Tabla1[[#This Row],[PRECIO $ BOLSA 50 KG (IVA INC) ]]+Tabla1[[#This Row],[COSTO FLETE $ BOLSA 50 KG (IVA INC)]])</f>
        <v>#VALUE!</v>
      </c>
      <c r="AD389" s="844" t="e">
        <f>-Tabla1[[#This Row],[PRECIO $ BOLSA 50 KG (IVA INC) ]]*(Tabla1[[#This Row],[TASA FINANCIACION MENSUAL]]/365)*Tabla1[[#This Row],[PLAZO ENTREGA VALORES]]</f>
        <v>#VALUE!</v>
      </c>
      <c r="AE389" s="845" t="e">
        <f>SUM(Tabla1[[#This Row],[PRECIO $ BOLSA50 KG  FOB TUCUMAN A PLAZO (IVA INC)]]+Tabla1[[#This Row],[GASTOS FINANCIEROS $ BOLSA 50 KG (IVA INC)]])</f>
        <v>#VALUE!</v>
      </c>
      <c r="AF389" s="828"/>
      <c r="AG389" s="828"/>
      <c r="AH389" s="828"/>
      <c r="AI389" s="828"/>
      <c r="AJ38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89" s="846" t="e">
        <f>SUM(Tabla1[[#This Row],[PRECIO $ BOLSA 50KG  FOB CDO TUC (IVA INC)]]-Tabla1[[#This Row],[PRECIO REF $ BOLSA 50 KG CACTU (IVA INC)]])</f>
        <v>#VALUE!</v>
      </c>
      <c r="AL389" s="847" t="str">
        <f>IFERROR(Tabla1[[#This Row],[PRECIO $ BOLSA 50KG  FOB CDO TUC (IVA INC)]]/Tabla1[[#This Row],[PRECIO REF $ BOLSA 50 KG CACTU (IVA INC)]]-1,"")</f>
        <v/>
      </c>
      <c r="AM389" s="846" t="e">
        <f>+Tabla1[[#This Row],[DIF $ PRECIO NETO INDUSTRIA vs Neto TUCUMAN (IVA INC)]]*Tabla1[[#This Row],[Q Bolsas Equivalentes 50kg]]</f>
        <v>#VALUE!</v>
      </c>
      <c r="AN389" s="846" t="e">
        <f>Tabla1[[#This Row],[PRECIO REF $ BOLSA 50 KG CACTU (IVA INC)]]*Tabla1[[#This Row],[Q Bolsas Equivalentes 50kg]]</f>
        <v>#VALUE!</v>
      </c>
      <c r="AO389" s="846" t="e">
        <f>+Tabla1[[#This Row],[PRECIO $ BOLSA 50KG  FOB CDO TUC (IVA INC)]]*Tabla1[[#This Row],[Q Bolsas Equivalentes 50kg]]</f>
        <v>#VALUE!</v>
      </c>
      <c r="AP389" s="847"/>
      <c r="AQ389" s="846">
        <v>0</v>
      </c>
      <c r="AR389" s="828"/>
      <c r="AS389" s="849"/>
      <c r="AT389" s="923">
        <f>+Tabla1[[#This Row],[VENTA TOTAL $ (IVA INC) ]]-(SUM(Tabla1[[#This Row],[PENDIENTE DE ENTREGA]:[VALORES COBRADOS]]))</f>
        <v>0</v>
      </c>
      <c r="AU389" s="850" t="e">
        <f>VLOOKUP(Tabla1[[#This Row],[FECHA OC]],'TIPO DE CAMBIO'!A:B,2,TRUE)</f>
        <v>#N/A</v>
      </c>
      <c r="AV389" s="850" t="e">
        <f>+Tabla1[[#This Row],[SUBTOTAL]]/Tabla1[[#This Row],[TIPO DE CAMBIO]]</f>
        <v>#N/A</v>
      </c>
      <c r="AW389" s="851"/>
      <c r="AX389" s="850" t="str">
        <f>IFERROR(Tabla1[[#This Row],[VENTA TOTAL USD A PLAZO EN CLIENTE  (SIN IVA)]]*(1+Tabla1[[#This Row],[% IVA ]]),"")</f>
        <v/>
      </c>
      <c r="AY389" s="850" t="e">
        <f>+Tabla1[[#This Row],[VENTA TOTAL USD A PLAZO EN CLIENTE  (SIN IVA)]]/Tabla1[[#This Row],[KGS]]*1000</f>
        <v>#N/A</v>
      </c>
      <c r="AZ389" s="850" t="e">
        <f>-Tabla1[[#This Row],[COSTO FLETE $ POR BOLSA 5O KG (SIN IVA)]]*20/Tabla1[[#This Row],[TIPO DE CAMBIO]]</f>
        <v>#N/A</v>
      </c>
      <c r="BA389" s="850" t="e">
        <f>+Tabla1[[#This Row],[GASTOS FINANCIEROS $ BOLSA 50 KG (IVA INC)]]*20/Tabla1[[#This Row],[TIPO DE CAMBIO]]</f>
        <v>#VALUE!</v>
      </c>
      <c r="BB389" s="850" t="e">
        <f>+Tabla1[[#This Row],[PRECIO POR TN USD EN CLIENTE A PLAZO (SIN IVA)]]+Tabla1[[#This Row],[COSTO USD FLETE /TN (SIN IVA)]]+Tabla1[[#This Row],[COSTO FINANCIERO USD POR BOLSA 50KG (IVA INC)]]</f>
        <v>#N/A</v>
      </c>
      <c r="BC389" s="848"/>
      <c r="BD389" s="944"/>
    </row>
    <row r="390" spans="1:56" ht="15.75" customHeight="1">
      <c r="A390" s="912">
        <v>46235</v>
      </c>
      <c r="B390" s="853"/>
      <c r="C390" s="792"/>
      <c r="D390" s="829">
        <f>+Tabla1[[#This Row],[FECHA Entrega]]</f>
        <v>0</v>
      </c>
      <c r="E390" s="830"/>
      <c r="F390" s="831"/>
      <c r="G390" s="832"/>
      <c r="H390" s="852"/>
      <c r="I390" s="834"/>
      <c r="J390" s="835"/>
      <c r="K390" s="836">
        <f t="shared" si="127"/>
        <v>0</v>
      </c>
      <c r="L39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90" s="837">
        <f t="shared" si="137"/>
        <v>0</v>
      </c>
      <c r="N390" s="838">
        <f>+Tabla1[[#This Row],[VENTA TOTAL $ (IVA INC) ]]</f>
        <v>0</v>
      </c>
      <c r="O390" s="838">
        <v>0</v>
      </c>
      <c r="P390" s="838">
        <v>0</v>
      </c>
      <c r="Q390" s="839">
        <f>+Tabla1[[#This Row],[VENTA TOTAL $ (IVA INC) ]]-Tabla1[[#This Row],[PENDIENTE DE COBRO]]</f>
        <v>0</v>
      </c>
      <c r="R390" s="840">
        <f>+Tabla1[[#This Row],[FECHA FC]]+Tabla1[[#This Row],[PLAZO ENTREGA VALORES]]</f>
        <v>0</v>
      </c>
      <c r="S390" s="840">
        <f>+Tabla1[[#This Row],[FECHA FC]]+Tabla1[[#This Row],[PLAZO PAGO (DIAS)]]</f>
        <v>0</v>
      </c>
      <c r="T390" s="834">
        <f t="shared" ca="1" si="128"/>
        <v>-46181</v>
      </c>
      <c r="U390" s="831"/>
      <c r="V390" s="831"/>
      <c r="W390" s="841">
        <f>+Tabla1[[#This Row],[FECHA VTO VALORES]]+7</f>
        <v>7</v>
      </c>
      <c r="X390" s="830"/>
      <c r="Y390" s="859"/>
      <c r="Z390" s="860">
        <f>Tabla1[[#This Row],[KGS]]/50</f>
        <v>0</v>
      </c>
      <c r="AA39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90" s="844">
        <f>-Tabla1[[#This Row],[COSTO FLETE $ POR BOLSA 5O KG (SIN IVA)]]*1.21-Tabla1[[#This Row],[PRECIO $/ KG A PLAZO EN CLIENTE ( SIN IVA)]]*0.003*1.21*50</f>
        <v>0</v>
      </c>
      <c r="AC390" s="845" t="e">
        <f>SUM(Tabla1[[#This Row],[PRECIO $ BOLSA 50 KG (IVA INC) ]]+Tabla1[[#This Row],[COSTO FLETE $ BOLSA 50 KG (IVA INC)]])</f>
        <v>#VALUE!</v>
      </c>
      <c r="AD390" s="844" t="e">
        <f>-Tabla1[[#This Row],[PRECIO $ BOLSA 50 KG (IVA INC) ]]*(Tabla1[[#This Row],[TASA FINANCIACION MENSUAL]]/365)*Tabla1[[#This Row],[PLAZO ENTREGA VALORES]]</f>
        <v>#VALUE!</v>
      </c>
      <c r="AE390" s="845" t="e">
        <f>SUM(Tabla1[[#This Row],[PRECIO $ BOLSA50 KG  FOB TUCUMAN A PLAZO (IVA INC)]]+Tabla1[[#This Row],[GASTOS FINANCIEROS $ BOLSA 50 KG (IVA INC)]])</f>
        <v>#VALUE!</v>
      </c>
      <c r="AF390" s="828"/>
      <c r="AG390" s="828"/>
      <c r="AH390" s="828"/>
      <c r="AI390" s="828"/>
      <c r="AJ39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90" s="846" t="e">
        <f>SUM(Tabla1[[#This Row],[PRECIO $ BOLSA 50KG  FOB CDO TUC (IVA INC)]]-Tabla1[[#This Row],[PRECIO REF $ BOLSA 50 KG CACTU (IVA INC)]])</f>
        <v>#VALUE!</v>
      </c>
      <c r="AL390" s="847" t="str">
        <f>IFERROR(Tabla1[[#This Row],[PRECIO $ BOLSA 50KG  FOB CDO TUC (IVA INC)]]/Tabla1[[#This Row],[PRECIO REF $ BOLSA 50 KG CACTU (IVA INC)]]-1,"")</f>
        <v/>
      </c>
      <c r="AM390" s="846" t="e">
        <f>+Tabla1[[#This Row],[DIF $ PRECIO NETO INDUSTRIA vs Neto TUCUMAN (IVA INC)]]*Tabla1[[#This Row],[Q Bolsas Equivalentes 50kg]]</f>
        <v>#VALUE!</v>
      </c>
      <c r="AN390" s="846" t="e">
        <f>Tabla1[[#This Row],[PRECIO REF $ BOLSA 50 KG CACTU (IVA INC)]]*Tabla1[[#This Row],[Q Bolsas Equivalentes 50kg]]</f>
        <v>#VALUE!</v>
      </c>
      <c r="AO390" s="846" t="e">
        <f>+Tabla1[[#This Row],[PRECIO $ BOLSA 50KG  FOB CDO TUC (IVA INC)]]*Tabla1[[#This Row],[Q Bolsas Equivalentes 50kg]]</f>
        <v>#VALUE!</v>
      </c>
      <c r="AP390" s="847"/>
      <c r="AQ390" s="846">
        <v>0</v>
      </c>
      <c r="AR390" s="828"/>
      <c r="AS390" s="849"/>
      <c r="AT390" s="923">
        <f>+Tabla1[[#This Row],[VENTA TOTAL $ (IVA INC) ]]-(SUM(Tabla1[[#This Row],[PENDIENTE DE ENTREGA]:[VALORES COBRADOS]]))</f>
        <v>0</v>
      </c>
      <c r="AU390" s="850" t="e">
        <f>VLOOKUP(Tabla1[[#This Row],[FECHA OC]],'TIPO DE CAMBIO'!A:B,2,TRUE)</f>
        <v>#N/A</v>
      </c>
      <c r="AV390" s="850" t="e">
        <f>+Tabla1[[#This Row],[SUBTOTAL]]/Tabla1[[#This Row],[TIPO DE CAMBIO]]</f>
        <v>#N/A</v>
      </c>
      <c r="AW390" s="851"/>
      <c r="AX390" s="850" t="str">
        <f>IFERROR(Tabla1[[#This Row],[VENTA TOTAL USD A PLAZO EN CLIENTE  (SIN IVA)]]*(1+Tabla1[[#This Row],[% IVA ]]),"")</f>
        <v/>
      </c>
      <c r="AY390" s="850" t="e">
        <f>+Tabla1[[#This Row],[VENTA TOTAL USD A PLAZO EN CLIENTE  (SIN IVA)]]/Tabla1[[#This Row],[KGS]]*1000</f>
        <v>#N/A</v>
      </c>
      <c r="AZ390" s="850" t="e">
        <f>-Tabla1[[#This Row],[COSTO FLETE $ POR BOLSA 5O KG (SIN IVA)]]*20/Tabla1[[#This Row],[TIPO DE CAMBIO]]</f>
        <v>#N/A</v>
      </c>
      <c r="BA390" s="850" t="e">
        <f>+Tabla1[[#This Row],[GASTOS FINANCIEROS $ BOLSA 50 KG (IVA INC)]]*20/Tabla1[[#This Row],[TIPO DE CAMBIO]]</f>
        <v>#VALUE!</v>
      </c>
      <c r="BB390" s="850" t="e">
        <f>+Tabla1[[#This Row],[PRECIO POR TN USD EN CLIENTE A PLAZO (SIN IVA)]]+Tabla1[[#This Row],[COSTO USD FLETE /TN (SIN IVA)]]+Tabla1[[#This Row],[COSTO FINANCIERO USD POR BOLSA 50KG (IVA INC)]]</f>
        <v>#N/A</v>
      </c>
      <c r="BC390" s="848"/>
      <c r="BD390" s="944"/>
    </row>
    <row r="391" spans="1:56" ht="15.75" customHeight="1">
      <c r="A391" s="912">
        <v>46235</v>
      </c>
      <c r="B391" s="853"/>
      <c r="C391" s="792"/>
      <c r="D391" s="829">
        <f>+Tabla1[[#This Row],[FECHA Entrega]]</f>
        <v>0</v>
      </c>
      <c r="E391" s="830"/>
      <c r="F391" s="831"/>
      <c r="G391" s="832"/>
      <c r="H391" s="852"/>
      <c r="I391" s="834"/>
      <c r="J391" s="835"/>
      <c r="K391" s="836">
        <f t="shared" si="127"/>
        <v>0</v>
      </c>
      <c r="L39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91" s="837">
        <f t="shared" si="137"/>
        <v>0</v>
      </c>
      <c r="N391" s="838">
        <f>+Tabla1[[#This Row],[VENTA TOTAL $ (IVA INC) ]]</f>
        <v>0</v>
      </c>
      <c r="O391" s="838">
        <v>0</v>
      </c>
      <c r="P391" s="838">
        <v>0</v>
      </c>
      <c r="Q391" s="839">
        <f>+Tabla1[[#This Row],[VENTA TOTAL $ (IVA INC) ]]-Tabla1[[#This Row],[PENDIENTE DE COBRO]]</f>
        <v>0</v>
      </c>
      <c r="R391" s="840">
        <f>+Tabla1[[#This Row],[FECHA FC]]+Tabla1[[#This Row],[PLAZO ENTREGA VALORES]]</f>
        <v>0</v>
      </c>
      <c r="S391" s="840">
        <f>+Tabla1[[#This Row],[FECHA FC]]+Tabla1[[#This Row],[PLAZO PAGO (DIAS)]]</f>
        <v>0</v>
      </c>
      <c r="T391" s="834">
        <f t="shared" ca="1" si="128"/>
        <v>-46181</v>
      </c>
      <c r="U391" s="831"/>
      <c r="V391" s="831"/>
      <c r="W391" s="841">
        <f>+Tabla1[[#This Row],[FECHA VTO VALORES]]+7</f>
        <v>7</v>
      </c>
      <c r="X391" s="830"/>
      <c r="Y391" s="859"/>
      <c r="Z391" s="860">
        <f>Tabla1[[#This Row],[KGS]]/50</f>
        <v>0</v>
      </c>
      <c r="AA39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91" s="844">
        <f>-Tabla1[[#This Row],[COSTO FLETE $ POR BOLSA 5O KG (SIN IVA)]]*1.21-Tabla1[[#This Row],[PRECIO $/ KG A PLAZO EN CLIENTE ( SIN IVA)]]*0.003*1.21*50</f>
        <v>0</v>
      </c>
      <c r="AC391" s="845" t="e">
        <f>SUM(Tabla1[[#This Row],[PRECIO $ BOLSA 50 KG (IVA INC) ]]+Tabla1[[#This Row],[COSTO FLETE $ BOLSA 50 KG (IVA INC)]])</f>
        <v>#VALUE!</v>
      </c>
      <c r="AD391" s="844" t="e">
        <f>-Tabla1[[#This Row],[PRECIO $ BOLSA 50 KG (IVA INC) ]]*(Tabla1[[#This Row],[TASA FINANCIACION MENSUAL]]/365)*Tabla1[[#This Row],[PLAZO ENTREGA VALORES]]</f>
        <v>#VALUE!</v>
      </c>
      <c r="AE391" s="845" t="e">
        <f>SUM(Tabla1[[#This Row],[PRECIO $ BOLSA50 KG  FOB TUCUMAN A PLAZO (IVA INC)]]+Tabla1[[#This Row],[GASTOS FINANCIEROS $ BOLSA 50 KG (IVA INC)]])</f>
        <v>#VALUE!</v>
      </c>
      <c r="AF391" s="828"/>
      <c r="AG391" s="828"/>
      <c r="AH391" s="828"/>
      <c r="AI391" s="828"/>
      <c r="AJ39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91" s="846" t="e">
        <f>SUM(Tabla1[[#This Row],[PRECIO $ BOLSA 50KG  FOB CDO TUC (IVA INC)]]-Tabla1[[#This Row],[PRECIO REF $ BOLSA 50 KG CACTU (IVA INC)]])</f>
        <v>#VALUE!</v>
      </c>
      <c r="AL391" s="847" t="str">
        <f>IFERROR(Tabla1[[#This Row],[PRECIO $ BOLSA 50KG  FOB CDO TUC (IVA INC)]]/Tabla1[[#This Row],[PRECIO REF $ BOLSA 50 KG CACTU (IVA INC)]]-1,"")</f>
        <v/>
      </c>
      <c r="AM391" s="846" t="e">
        <f>+Tabla1[[#This Row],[DIF $ PRECIO NETO INDUSTRIA vs Neto TUCUMAN (IVA INC)]]*Tabla1[[#This Row],[Q Bolsas Equivalentes 50kg]]</f>
        <v>#VALUE!</v>
      </c>
      <c r="AN391" s="846" t="e">
        <f>Tabla1[[#This Row],[PRECIO REF $ BOLSA 50 KG CACTU (IVA INC)]]*Tabla1[[#This Row],[Q Bolsas Equivalentes 50kg]]</f>
        <v>#VALUE!</v>
      </c>
      <c r="AO391" s="846" t="e">
        <f>+Tabla1[[#This Row],[PRECIO $ BOLSA 50KG  FOB CDO TUC (IVA INC)]]*Tabla1[[#This Row],[Q Bolsas Equivalentes 50kg]]</f>
        <v>#VALUE!</v>
      </c>
      <c r="AP391" s="847"/>
      <c r="AQ391" s="846">
        <v>0</v>
      </c>
      <c r="AR391" s="828"/>
      <c r="AS391" s="849"/>
      <c r="AT391" s="923">
        <f>+Tabla1[[#This Row],[VENTA TOTAL $ (IVA INC) ]]-(SUM(Tabla1[[#This Row],[PENDIENTE DE ENTREGA]:[VALORES COBRADOS]]))</f>
        <v>0</v>
      </c>
      <c r="AU391" s="850" t="e">
        <f>VLOOKUP(Tabla1[[#This Row],[FECHA OC]],'TIPO DE CAMBIO'!A:B,2,TRUE)</f>
        <v>#N/A</v>
      </c>
      <c r="AV391" s="850" t="e">
        <f>+Tabla1[[#This Row],[SUBTOTAL]]/Tabla1[[#This Row],[TIPO DE CAMBIO]]</f>
        <v>#N/A</v>
      </c>
      <c r="AW391" s="851"/>
      <c r="AX391" s="850" t="str">
        <f>IFERROR(Tabla1[[#This Row],[VENTA TOTAL USD A PLAZO EN CLIENTE  (SIN IVA)]]*(1+Tabla1[[#This Row],[% IVA ]]),"")</f>
        <v/>
      </c>
      <c r="AY391" s="850" t="e">
        <f>+Tabla1[[#This Row],[VENTA TOTAL USD A PLAZO EN CLIENTE  (SIN IVA)]]/Tabla1[[#This Row],[KGS]]*1000</f>
        <v>#N/A</v>
      </c>
      <c r="AZ391" s="850" t="e">
        <f>-Tabla1[[#This Row],[COSTO FLETE $ POR BOLSA 5O KG (SIN IVA)]]*20/Tabla1[[#This Row],[TIPO DE CAMBIO]]</f>
        <v>#N/A</v>
      </c>
      <c r="BA391" s="850" t="e">
        <f>+Tabla1[[#This Row],[GASTOS FINANCIEROS $ BOLSA 50 KG (IVA INC)]]*20/Tabla1[[#This Row],[TIPO DE CAMBIO]]</f>
        <v>#VALUE!</v>
      </c>
      <c r="BB391" s="850" t="e">
        <f>+Tabla1[[#This Row],[PRECIO POR TN USD EN CLIENTE A PLAZO (SIN IVA)]]+Tabla1[[#This Row],[COSTO USD FLETE /TN (SIN IVA)]]+Tabla1[[#This Row],[COSTO FINANCIERO USD POR BOLSA 50KG (IVA INC)]]</f>
        <v>#N/A</v>
      </c>
      <c r="BC391" s="828"/>
      <c r="BD391" s="944"/>
    </row>
    <row r="392" spans="1:56" ht="15.75" customHeight="1">
      <c r="A392" s="912">
        <v>46235</v>
      </c>
      <c r="B392" s="853"/>
      <c r="C392" s="792"/>
      <c r="D392" s="829">
        <f>+Tabla1[[#This Row],[FECHA Entrega]]</f>
        <v>0</v>
      </c>
      <c r="E392" s="830"/>
      <c r="F392" s="831"/>
      <c r="G392" s="832"/>
      <c r="H392" s="852"/>
      <c r="I392" s="834"/>
      <c r="J392" s="835"/>
      <c r="K392" s="836">
        <f t="shared" si="127"/>
        <v>0</v>
      </c>
      <c r="L39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92" s="837">
        <f t="shared" si="137"/>
        <v>0</v>
      </c>
      <c r="N392" s="838">
        <f>+Tabla1[[#This Row],[VENTA TOTAL $ (IVA INC) ]]</f>
        <v>0</v>
      </c>
      <c r="O392" s="838">
        <v>0</v>
      </c>
      <c r="P392" s="838">
        <v>0</v>
      </c>
      <c r="Q392" s="839">
        <f>+Tabla1[[#This Row],[VENTA TOTAL $ (IVA INC) ]]-Tabla1[[#This Row],[PENDIENTE DE COBRO]]</f>
        <v>0</v>
      </c>
      <c r="R392" s="840">
        <f>+Tabla1[[#This Row],[FECHA FC]]+Tabla1[[#This Row],[PLAZO ENTREGA VALORES]]</f>
        <v>0</v>
      </c>
      <c r="S392" s="840">
        <f>+Tabla1[[#This Row],[FECHA FC]]+Tabla1[[#This Row],[PLAZO PAGO (DIAS)]]</f>
        <v>0</v>
      </c>
      <c r="T392" s="834">
        <f t="shared" ca="1" si="128"/>
        <v>-46181</v>
      </c>
      <c r="U392" s="831"/>
      <c r="V392" s="831"/>
      <c r="W392" s="841">
        <f>+Tabla1[[#This Row],[FECHA VTO VALORES]]+7</f>
        <v>7</v>
      </c>
      <c r="X392" s="830"/>
      <c r="Y392" s="859"/>
      <c r="Z392" s="860">
        <f>Tabla1[[#This Row],[KGS]]/50</f>
        <v>0</v>
      </c>
      <c r="AA39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92" s="844">
        <f>-Tabla1[[#This Row],[COSTO FLETE $ POR BOLSA 5O KG (SIN IVA)]]*1.21-Tabla1[[#This Row],[PRECIO $/ KG A PLAZO EN CLIENTE ( SIN IVA)]]*0.003*1.21*50</f>
        <v>0</v>
      </c>
      <c r="AC392" s="845" t="e">
        <f>SUM(Tabla1[[#This Row],[PRECIO $ BOLSA 50 KG (IVA INC) ]]+Tabla1[[#This Row],[COSTO FLETE $ BOLSA 50 KG (IVA INC)]])</f>
        <v>#VALUE!</v>
      </c>
      <c r="AD392" s="844" t="e">
        <f>-Tabla1[[#This Row],[PRECIO $ BOLSA 50 KG (IVA INC) ]]*(Tabla1[[#This Row],[TASA FINANCIACION MENSUAL]]/365)*Tabla1[[#This Row],[PLAZO ENTREGA VALORES]]</f>
        <v>#VALUE!</v>
      </c>
      <c r="AE392" s="845" t="e">
        <f>SUM(Tabla1[[#This Row],[PRECIO $ BOLSA50 KG  FOB TUCUMAN A PLAZO (IVA INC)]]+Tabla1[[#This Row],[GASTOS FINANCIEROS $ BOLSA 50 KG (IVA INC)]])</f>
        <v>#VALUE!</v>
      </c>
      <c r="AF392" s="828"/>
      <c r="AG392" s="828"/>
      <c r="AH392" s="828"/>
      <c r="AI392" s="828"/>
      <c r="AJ39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92" s="846" t="e">
        <f>SUM(Tabla1[[#This Row],[PRECIO $ BOLSA 50KG  FOB CDO TUC (IVA INC)]]-Tabla1[[#This Row],[PRECIO REF $ BOLSA 50 KG CACTU (IVA INC)]])</f>
        <v>#VALUE!</v>
      </c>
      <c r="AL392" s="847" t="str">
        <f>IFERROR(Tabla1[[#This Row],[PRECIO $ BOLSA 50KG  FOB CDO TUC (IVA INC)]]/Tabla1[[#This Row],[PRECIO REF $ BOLSA 50 KG CACTU (IVA INC)]]-1,"")</f>
        <v/>
      </c>
      <c r="AM392" s="846" t="e">
        <f>+Tabla1[[#This Row],[DIF $ PRECIO NETO INDUSTRIA vs Neto TUCUMAN (IVA INC)]]*Tabla1[[#This Row],[Q Bolsas Equivalentes 50kg]]</f>
        <v>#VALUE!</v>
      </c>
      <c r="AN392" s="846" t="e">
        <f>Tabla1[[#This Row],[PRECIO REF $ BOLSA 50 KG CACTU (IVA INC)]]*Tabla1[[#This Row],[Q Bolsas Equivalentes 50kg]]</f>
        <v>#VALUE!</v>
      </c>
      <c r="AO392" s="846" t="e">
        <f>+Tabla1[[#This Row],[PRECIO $ BOLSA 50KG  FOB CDO TUC (IVA INC)]]*Tabla1[[#This Row],[Q Bolsas Equivalentes 50kg]]</f>
        <v>#VALUE!</v>
      </c>
      <c r="AP392" s="847"/>
      <c r="AQ392" s="846">
        <v>0</v>
      </c>
      <c r="AR392" s="828"/>
      <c r="AS392" s="849"/>
      <c r="AT392" s="923">
        <f>+Tabla1[[#This Row],[VENTA TOTAL $ (IVA INC) ]]-(SUM(Tabla1[[#This Row],[PENDIENTE DE ENTREGA]:[VALORES COBRADOS]]))</f>
        <v>0</v>
      </c>
      <c r="AU392" s="850" t="e">
        <f>VLOOKUP(Tabla1[[#This Row],[FECHA OC]],'TIPO DE CAMBIO'!A:B,2,TRUE)</f>
        <v>#N/A</v>
      </c>
      <c r="AV392" s="850" t="e">
        <f>+Tabla1[[#This Row],[SUBTOTAL]]/Tabla1[[#This Row],[TIPO DE CAMBIO]]</f>
        <v>#N/A</v>
      </c>
      <c r="AW392" s="851"/>
      <c r="AX392" s="850" t="str">
        <f>IFERROR(Tabla1[[#This Row],[VENTA TOTAL USD A PLAZO EN CLIENTE  (SIN IVA)]]*(1+Tabla1[[#This Row],[% IVA ]]),"")</f>
        <v/>
      </c>
      <c r="AY392" s="850" t="e">
        <f>+Tabla1[[#This Row],[VENTA TOTAL USD A PLAZO EN CLIENTE  (SIN IVA)]]/Tabla1[[#This Row],[KGS]]*1000</f>
        <v>#N/A</v>
      </c>
      <c r="AZ392" s="850" t="e">
        <f>-Tabla1[[#This Row],[COSTO FLETE $ POR BOLSA 5O KG (SIN IVA)]]*20/Tabla1[[#This Row],[TIPO DE CAMBIO]]</f>
        <v>#N/A</v>
      </c>
      <c r="BA392" s="850" t="e">
        <f>+Tabla1[[#This Row],[GASTOS FINANCIEROS $ BOLSA 50 KG (IVA INC)]]*20/Tabla1[[#This Row],[TIPO DE CAMBIO]]</f>
        <v>#VALUE!</v>
      </c>
      <c r="BB392" s="850" t="e">
        <f>+Tabla1[[#This Row],[PRECIO POR TN USD EN CLIENTE A PLAZO (SIN IVA)]]+Tabla1[[#This Row],[COSTO USD FLETE /TN (SIN IVA)]]+Tabla1[[#This Row],[COSTO FINANCIERO USD POR BOLSA 50KG (IVA INC)]]</f>
        <v>#N/A</v>
      </c>
      <c r="BC392" s="828"/>
      <c r="BD392" s="944"/>
    </row>
    <row r="393" spans="1:56" ht="15.75" customHeight="1">
      <c r="A393" s="912">
        <v>46235</v>
      </c>
      <c r="B393" s="853"/>
      <c r="C393" s="792"/>
      <c r="D393" s="829">
        <f>+Tabla1[[#This Row],[FECHA Entrega]]</f>
        <v>0</v>
      </c>
      <c r="E393" s="830"/>
      <c r="F393" s="831"/>
      <c r="G393" s="832"/>
      <c r="H393" s="852"/>
      <c r="I393" s="834"/>
      <c r="J393" s="835"/>
      <c r="K393" s="836">
        <f t="shared" si="127"/>
        <v>0</v>
      </c>
      <c r="L39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93" s="837">
        <f t="shared" si="137"/>
        <v>0</v>
      </c>
      <c r="N393" s="838">
        <f>+Tabla1[[#This Row],[VENTA TOTAL $ (IVA INC) ]]</f>
        <v>0</v>
      </c>
      <c r="O393" s="838">
        <v>0</v>
      </c>
      <c r="P393" s="838">
        <v>0</v>
      </c>
      <c r="Q393" s="839">
        <f>+Tabla1[[#This Row],[VENTA TOTAL $ (IVA INC) ]]-Tabla1[[#This Row],[PENDIENTE DE COBRO]]</f>
        <v>0</v>
      </c>
      <c r="R393" s="840">
        <f>+Tabla1[[#This Row],[FECHA FC]]+Tabla1[[#This Row],[PLAZO ENTREGA VALORES]]</f>
        <v>0</v>
      </c>
      <c r="S393" s="840">
        <f>+Tabla1[[#This Row],[FECHA FC]]+Tabla1[[#This Row],[PLAZO PAGO (DIAS)]]</f>
        <v>0</v>
      </c>
      <c r="T393" s="834">
        <f t="shared" ca="1" si="128"/>
        <v>-46181</v>
      </c>
      <c r="U393" s="831"/>
      <c r="V393" s="831"/>
      <c r="W393" s="841">
        <f>+Tabla1[[#This Row],[FECHA VTO VALORES]]+7</f>
        <v>7</v>
      </c>
      <c r="X393" s="830"/>
      <c r="Y393" s="859"/>
      <c r="Z393" s="860">
        <f>Tabla1[[#This Row],[KGS]]/50</f>
        <v>0</v>
      </c>
      <c r="AA39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93" s="844">
        <f>-Tabla1[[#This Row],[COSTO FLETE $ POR BOLSA 5O KG (SIN IVA)]]*1.21-Tabla1[[#This Row],[PRECIO $/ KG A PLAZO EN CLIENTE ( SIN IVA)]]*0.003*1.21*50</f>
        <v>0</v>
      </c>
      <c r="AC393" s="845" t="e">
        <f>SUM(Tabla1[[#This Row],[PRECIO $ BOLSA 50 KG (IVA INC) ]]+Tabla1[[#This Row],[COSTO FLETE $ BOLSA 50 KG (IVA INC)]])</f>
        <v>#VALUE!</v>
      </c>
      <c r="AD393" s="844" t="e">
        <f>-Tabla1[[#This Row],[PRECIO $ BOLSA 50 KG (IVA INC) ]]*(Tabla1[[#This Row],[TASA FINANCIACION MENSUAL]]/365)*Tabla1[[#This Row],[PLAZO ENTREGA VALORES]]</f>
        <v>#VALUE!</v>
      </c>
      <c r="AE393" s="845" t="e">
        <f>SUM(Tabla1[[#This Row],[PRECIO $ BOLSA50 KG  FOB TUCUMAN A PLAZO (IVA INC)]]+Tabla1[[#This Row],[GASTOS FINANCIEROS $ BOLSA 50 KG (IVA INC)]])</f>
        <v>#VALUE!</v>
      </c>
      <c r="AF393" s="828"/>
      <c r="AG393" s="828"/>
      <c r="AH393" s="828"/>
      <c r="AI393" s="828"/>
      <c r="AJ39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93" s="846" t="e">
        <f>SUM(Tabla1[[#This Row],[PRECIO $ BOLSA 50KG  FOB CDO TUC (IVA INC)]]-Tabla1[[#This Row],[PRECIO REF $ BOLSA 50 KG CACTU (IVA INC)]])</f>
        <v>#VALUE!</v>
      </c>
      <c r="AL393" s="847" t="str">
        <f>IFERROR(Tabla1[[#This Row],[PRECIO $ BOLSA 50KG  FOB CDO TUC (IVA INC)]]/Tabla1[[#This Row],[PRECIO REF $ BOLSA 50 KG CACTU (IVA INC)]]-1,"")</f>
        <v/>
      </c>
      <c r="AM393" s="846" t="e">
        <f>+Tabla1[[#This Row],[DIF $ PRECIO NETO INDUSTRIA vs Neto TUCUMAN (IVA INC)]]*Tabla1[[#This Row],[Q Bolsas Equivalentes 50kg]]</f>
        <v>#VALUE!</v>
      </c>
      <c r="AN393" s="846" t="e">
        <f>Tabla1[[#This Row],[PRECIO REF $ BOLSA 50 KG CACTU (IVA INC)]]*Tabla1[[#This Row],[Q Bolsas Equivalentes 50kg]]</f>
        <v>#VALUE!</v>
      </c>
      <c r="AO393" s="846" t="e">
        <f>+Tabla1[[#This Row],[PRECIO $ BOLSA 50KG  FOB CDO TUC (IVA INC)]]*Tabla1[[#This Row],[Q Bolsas Equivalentes 50kg]]</f>
        <v>#VALUE!</v>
      </c>
      <c r="AP393" s="847"/>
      <c r="AQ393" s="846">
        <v>0</v>
      </c>
      <c r="AR393" s="828"/>
      <c r="AS393" s="849"/>
      <c r="AT393" s="923">
        <f>+Tabla1[[#This Row],[VENTA TOTAL $ (IVA INC) ]]-(SUM(Tabla1[[#This Row],[PENDIENTE DE ENTREGA]:[VALORES COBRADOS]]))</f>
        <v>0</v>
      </c>
      <c r="AU393" s="850" t="e">
        <f>VLOOKUP(Tabla1[[#This Row],[FECHA OC]],'TIPO DE CAMBIO'!A:B,2,TRUE)</f>
        <v>#N/A</v>
      </c>
      <c r="AV393" s="850" t="e">
        <f>+Tabla1[[#This Row],[SUBTOTAL]]/Tabla1[[#This Row],[TIPO DE CAMBIO]]</f>
        <v>#N/A</v>
      </c>
      <c r="AW393" s="851"/>
      <c r="AX393" s="850" t="str">
        <f>IFERROR(Tabla1[[#This Row],[VENTA TOTAL USD A PLAZO EN CLIENTE  (SIN IVA)]]*(1+Tabla1[[#This Row],[% IVA ]]),"")</f>
        <v/>
      </c>
      <c r="AY393" s="850" t="e">
        <f>+Tabla1[[#This Row],[VENTA TOTAL USD A PLAZO EN CLIENTE  (SIN IVA)]]/Tabla1[[#This Row],[KGS]]*1000</f>
        <v>#N/A</v>
      </c>
      <c r="AZ393" s="850" t="e">
        <f>-Tabla1[[#This Row],[COSTO FLETE $ POR BOLSA 5O KG (SIN IVA)]]*20/Tabla1[[#This Row],[TIPO DE CAMBIO]]</f>
        <v>#N/A</v>
      </c>
      <c r="BA393" s="850" t="e">
        <f>+Tabla1[[#This Row],[GASTOS FINANCIEROS $ BOLSA 50 KG (IVA INC)]]*20/Tabla1[[#This Row],[TIPO DE CAMBIO]]</f>
        <v>#VALUE!</v>
      </c>
      <c r="BB393" s="850" t="e">
        <f>+Tabla1[[#This Row],[PRECIO POR TN USD EN CLIENTE A PLAZO (SIN IVA)]]+Tabla1[[#This Row],[COSTO USD FLETE /TN (SIN IVA)]]+Tabla1[[#This Row],[COSTO FINANCIERO USD POR BOLSA 50KG (IVA INC)]]</f>
        <v>#N/A</v>
      </c>
      <c r="BC393" s="828"/>
      <c r="BD393" s="944"/>
    </row>
    <row r="394" spans="1:56" ht="15.75" customHeight="1">
      <c r="A394" s="912">
        <v>46235</v>
      </c>
      <c r="B394" s="853"/>
      <c r="C394" s="792"/>
      <c r="D394" s="829">
        <f>+Tabla1[[#This Row],[FECHA Entrega]]</f>
        <v>0</v>
      </c>
      <c r="E394" s="830"/>
      <c r="F394" s="831"/>
      <c r="G394" s="832"/>
      <c r="H394" s="852"/>
      <c r="I394" s="834"/>
      <c r="J394" s="835"/>
      <c r="K394" s="836">
        <f t="shared" si="127"/>
        <v>0</v>
      </c>
      <c r="L39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94" s="837">
        <f t="shared" si="137"/>
        <v>0</v>
      </c>
      <c r="N394" s="838">
        <f>+Tabla1[[#This Row],[VENTA TOTAL $ (IVA INC) ]]</f>
        <v>0</v>
      </c>
      <c r="O394" s="838">
        <v>0</v>
      </c>
      <c r="P394" s="838">
        <v>0</v>
      </c>
      <c r="Q394" s="839">
        <f>+Tabla1[[#This Row],[VENTA TOTAL $ (IVA INC) ]]-Tabla1[[#This Row],[PENDIENTE DE COBRO]]</f>
        <v>0</v>
      </c>
      <c r="R394" s="840">
        <f>+Tabla1[[#This Row],[FECHA FC]]+Tabla1[[#This Row],[PLAZO ENTREGA VALORES]]</f>
        <v>0</v>
      </c>
      <c r="S394" s="840">
        <f>+Tabla1[[#This Row],[FECHA FC]]+Tabla1[[#This Row],[PLAZO PAGO (DIAS)]]</f>
        <v>0</v>
      </c>
      <c r="T394" s="834">
        <f t="shared" ca="1" si="128"/>
        <v>-46181</v>
      </c>
      <c r="U394" s="831"/>
      <c r="V394" s="831"/>
      <c r="W394" s="841">
        <f>+Tabla1[[#This Row],[FECHA VTO VALORES]]+7</f>
        <v>7</v>
      </c>
      <c r="X394" s="830"/>
      <c r="Y394" s="859"/>
      <c r="Z394" s="860">
        <f>Tabla1[[#This Row],[KGS]]/50</f>
        <v>0</v>
      </c>
      <c r="AA39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94" s="844">
        <f>-Tabla1[[#This Row],[COSTO FLETE $ POR BOLSA 5O KG (SIN IVA)]]*1.21-Tabla1[[#This Row],[PRECIO $/ KG A PLAZO EN CLIENTE ( SIN IVA)]]*0.003*1.21*50</f>
        <v>0</v>
      </c>
      <c r="AC394" s="845" t="e">
        <f>SUM(Tabla1[[#This Row],[PRECIO $ BOLSA 50 KG (IVA INC) ]]+Tabla1[[#This Row],[COSTO FLETE $ BOLSA 50 KG (IVA INC)]])</f>
        <v>#VALUE!</v>
      </c>
      <c r="AD394" s="844" t="e">
        <f>-Tabla1[[#This Row],[PRECIO $ BOLSA 50 KG (IVA INC) ]]*(Tabla1[[#This Row],[TASA FINANCIACION MENSUAL]]/365)*Tabla1[[#This Row],[PLAZO ENTREGA VALORES]]</f>
        <v>#VALUE!</v>
      </c>
      <c r="AE394" s="845" t="e">
        <f>SUM(Tabla1[[#This Row],[PRECIO $ BOLSA50 KG  FOB TUCUMAN A PLAZO (IVA INC)]]+Tabla1[[#This Row],[GASTOS FINANCIEROS $ BOLSA 50 KG (IVA INC)]])</f>
        <v>#VALUE!</v>
      </c>
      <c r="AF394" s="828"/>
      <c r="AG394" s="828"/>
      <c r="AH394" s="828"/>
      <c r="AI394" s="828"/>
      <c r="AJ39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94" s="846" t="e">
        <f>SUM(Tabla1[[#This Row],[PRECIO $ BOLSA 50KG  FOB CDO TUC (IVA INC)]]-Tabla1[[#This Row],[PRECIO REF $ BOLSA 50 KG CACTU (IVA INC)]])</f>
        <v>#VALUE!</v>
      </c>
      <c r="AL394" s="847" t="str">
        <f>IFERROR(Tabla1[[#This Row],[PRECIO $ BOLSA 50KG  FOB CDO TUC (IVA INC)]]/Tabla1[[#This Row],[PRECIO REF $ BOLSA 50 KG CACTU (IVA INC)]]-1,"")</f>
        <v/>
      </c>
      <c r="AM394" s="846" t="e">
        <f>+Tabla1[[#This Row],[DIF $ PRECIO NETO INDUSTRIA vs Neto TUCUMAN (IVA INC)]]*Tabla1[[#This Row],[Q Bolsas Equivalentes 50kg]]</f>
        <v>#VALUE!</v>
      </c>
      <c r="AN394" s="846" t="e">
        <f>Tabla1[[#This Row],[PRECIO REF $ BOLSA 50 KG CACTU (IVA INC)]]*Tabla1[[#This Row],[Q Bolsas Equivalentes 50kg]]</f>
        <v>#VALUE!</v>
      </c>
      <c r="AO394" s="846" t="e">
        <f>+Tabla1[[#This Row],[PRECIO $ BOLSA 50KG  FOB CDO TUC (IVA INC)]]*Tabla1[[#This Row],[Q Bolsas Equivalentes 50kg]]</f>
        <v>#VALUE!</v>
      </c>
      <c r="AP394" s="847"/>
      <c r="AQ394" s="846">
        <v>0</v>
      </c>
      <c r="AR394" s="828"/>
      <c r="AS394" s="849"/>
      <c r="AT394" s="923">
        <f>+Tabla1[[#This Row],[VENTA TOTAL $ (IVA INC) ]]-(SUM(Tabla1[[#This Row],[PENDIENTE DE ENTREGA]:[VALORES COBRADOS]]))</f>
        <v>0</v>
      </c>
      <c r="AU394" s="850" t="e">
        <f>VLOOKUP(Tabla1[[#This Row],[FECHA OC]],'TIPO DE CAMBIO'!A:B,2,TRUE)</f>
        <v>#N/A</v>
      </c>
      <c r="AV394" s="850" t="e">
        <f>+Tabla1[[#This Row],[SUBTOTAL]]/Tabla1[[#This Row],[TIPO DE CAMBIO]]</f>
        <v>#N/A</v>
      </c>
      <c r="AW394" s="851"/>
      <c r="AX394" s="850" t="str">
        <f>IFERROR(Tabla1[[#This Row],[VENTA TOTAL USD A PLAZO EN CLIENTE  (SIN IVA)]]*(1+Tabla1[[#This Row],[% IVA ]]),"")</f>
        <v/>
      </c>
      <c r="AY394" s="850" t="e">
        <f>+Tabla1[[#This Row],[VENTA TOTAL USD A PLAZO EN CLIENTE  (SIN IVA)]]/Tabla1[[#This Row],[KGS]]*1000</f>
        <v>#N/A</v>
      </c>
      <c r="AZ394" s="850" t="e">
        <f>-Tabla1[[#This Row],[COSTO FLETE $ POR BOLSA 5O KG (SIN IVA)]]*20/Tabla1[[#This Row],[TIPO DE CAMBIO]]</f>
        <v>#N/A</v>
      </c>
      <c r="BA394" s="850" t="e">
        <f>+Tabla1[[#This Row],[GASTOS FINANCIEROS $ BOLSA 50 KG (IVA INC)]]*20/Tabla1[[#This Row],[TIPO DE CAMBIO]]</f>
        <v>#VALUE!</v>
      </c>
      <c r="BB394" s="850" t="e">
        <f>+Tabla1[[#This Row],[PRECIO POR TN USD EN CLIENTE A PLAZO (SIN IVA)]]+Tabla1[[#This Row],[COSTO USD FLETE /TN (SIN IVA)]]+Tabla1[[#This Row],[COSTO FINANCIERO USD POR BOLSA 50KG (IVA INC)]]</f>
        <v>#N/A</v>
      </c>
      <c r="BC394" s="828"/>
      <c r="BD394" s="944"/>
    </row>
    <row r="395" spans="1:56" ht="15.75" customHeight="1">
      <c r="A395" s="912">
        <v>46235</v>
      </c>
      <c r="B395" s="853"/>
      <c r="C395" s="792"/>
      <c r="D395" s="829">
        <f>+Tabla1[[#This Row],[FECHA Entrega]]</f>
        <v>0</v>
      </c>
      <c r="E395" s="830"/>
      <c r="F395" s="831"/>
      <c r="G395" s="832"/>
      <c r="H395" s="852"/>
      <c r="I395" s="834"/>
      <c r="J395" s="835"/>
      <c r="K395" s="836">
        <f t="shared" si="127"/>
        <v>0</v>
      </c>
      <c r="L39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95" s="837">
        <f t="shared" si="137"/>
        <v>0</v>
      </c>
      <c r="N395" s="838">
        <f>+Tabla1[[#This Row],[VENTA TOTAL $ (IVA INC) ]]</f>
        <v>0</v>
      </c>
      <c r="O395" s="838">
        <v>0</v>
      </c>
      <c r="P395" s="838">
        <v>0</v>
      </c>
      <c r="Q395" s="839">
        <f>+Tabla1[[#This Row],[VENTA TOTAL $ (IVA INC) ]]-Tabla1[[#This Row],[PENDIENTE DE COBRO]]</f>
        <v>0</v>
      </c>
      <c r="R395" s="840">
        <f>+Tabla1[[#This Row],[FECHA FC]]+Tabla1[[#This Row],[PLAZO ENTREGA VALORES]]</f>
        <v>0</v>
      </c>
      <c r="S395" s="840">
        <f>+Tabla1[[#This Row],[FECHA FC]]+Tabla1[[#This Row],[PLAZO PAGO (DIAS)]]</f>
        <v>0</v>
      </c>
      <c r="T395" s="834">
        <f t="shared" ca="1" si="128"/>
        <v>-46181</v>
      </c>
      <c r="U395" s="831"/>
      <c r="V395" s="831"/>
      <c r="W395" s="841">
        <f>+Tabla1[[#This Row],[FECHA VTO VALORES]]+7</f>
        <v>7</v>
      </c>
      <c r="X395" s="830"/>
      <c r="Y395" s="859"/>
      <c r="Z395" s="860">
        <f>Tabla1[[#This Row],[KGS]]/50</f>
        <v>0</v>
      </c>
      <c r="AA39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95" s="844">
        <f>-Tabla1[[#This Row],[COSTO FLETE $ POR BOLSA 5O KG (SIN IVA)]]*1.21-Tabla1[[#This Row],[PRECIO $/ KG A PLAZO EN CLIENTE ( SIN IVA)]]*0.003*1.21*50</f>
        <v>0</v>
      </c>
      <c r="AC395" s="845" t="e">
        <f>SUM(Tabla1[[#This Row],[PRECIO $ BOLSA 50 KG (IVA INC) ]]+Tabla1[[#This Row],[COSTO FLETE $ BOLSA 50 KG (IVA INC)]])</f>
        <v>#VALUE!</v>
      </c>
      <c r="AD395" s="844" t="e">
        <f>-Tabla1[[#This Row],[PRECIO $ BOLSA 50 KG (IVA INC) ]]*(Tabla1[[#This Row],[TASA FINANCIACION MENSUAL]]/365)*Tabla1[[#This Row],[PLAZO ENTREGA VALORES]]</f>
        <v>#VALUE!</v>
      </c>
      <c r="AE395" s="845" t="e">
        <f>SUM(Tabla1[[#This Row],[PRECIO $ BOLSA50 KG  FOB TUCUMAN A PLAZO (IVA INC)]]+Tabla1[[#This Row],[GASTOS FINANCIEROS $ BOLSA 50 KG (IVA INC)]])</f>
        <v>#VALUE!</v>
      </c>
      <c r="AF395" s="828"/>
      <c r="AG395" s="828"/>
      <c r="AH395" s="828"/>
      <c r="AI395" s="828"/>
      <c r="AJ39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95" s="846" t="e">
        <f>SUM(Tabla1[[#This Row],[PRECIO $ BOLSA 50KG  FOB CDO TUC (IVA INC)]]-Tabla1[[#This Row],[PRECIO REF $ BOLSA 50 KG CACTU (IVA INC)]])</f>
        <v>#VALUE!</v>
      </c>
      <c r="AL395" s="847" t="str">
        <f>IFERROR(Tabla1[[#This Row],[PRECIO $ BOLSA 50KG  FOB CDO TUC (IVA INC)]]/Tabla1[[#This Row],[PRECIO REF $ BOLSA 50 KG CACTU (IVA INC)]]-1,"")</f>
        <v/>
      </c>
      <c r="AM395" s="846" t="e">
        <f>+Tabla1[[#This Row],[DIF $ PRECIO NETO INDUSTRIA vs Neto TUCUMAN (IVA INC)]]*Tabla1[[#This Row],[Q Bolsas Equivalentes 50kg]]</f>
        <v>#VALUE!</v>
      </c>
      <c r="AN395" s="846" t="e">
        <f>Tabla1[[#This Row],[PRECIO REF $ BOLSA 50 KG CACTU (IVA INC)]]*Tabla1[[#This Row],[Q Bolsas Equivalentes 50kg]]</f>
        <v>#VALUE!</v>
      </c>
      <c r="AO395" s="846" t="e">
        <f>+Tabla1[[#This Row],[PRECIO $ BOLSA 50KG  FOB CDO TUC (IVA INC)]]*Tabla1[[#This Row],[Q Bolsas Equivalentes 50kg]]</f>
        <v>#VALUE!</v>
      </c>
      <c r="AP395" s="847"/>
      <c r="AQ395" s="846">
        <v>0</v>
      </c>
      <c r="AR395" s="828"/>
      <c r="AS395" s="849"/>
      <c r="AT395" s="923">
        <f>+Tabla1[[#This Row],[VENTA TOTAL $ (IVA INC) ]]-(SUM(Tabla1[[#This Row],[PENDIENTE DE ENTREGA]:[VALORES COBRADOS]]))</f>
        <v>0</v>
      </c>
      <c r="AU395" s="850" t="e">
        <f>VLOOKUP(Tabla1[[#This Row],[FECHA OC]],'TIPO DE CAMBIO'!A:B,2,TRUE)</f>
        <v>#N/A</v>
      </c>
      <c r="AV395" s="850" t="e">
        <f>+Tabla1[[#This Row],[SUBTOTAL]]/Tabla1[[#This Row],[TIPO DE CAMBIO]]</f>
        <v>#N/A</v>
      </c>
      <c r="AW395" s="851"/>
      <c r="AX395" s="850" t="str">
        <f>IFERROR(Tabla1[[#This Row],[VENTA TOTAL USD A PLAZO EN CLIENTE  (SIN IVA)]]*(1+Tabla1[[#This Row],[% IVA ]]),"")</f>
        <v/>
      </c>
      <c r="AY395" s="850" t="e">
        <f>+Tabla1[[#This Row],[VENTA TOTAL USD A PLAZO EN CLIENTE  (SIN IVA)]]/Tabla1[[#This Row],[KGS]]*1000</f>
        <v>#N/A</v>
      </c>
      <c r="AZ395" s="850" t="e">
        <f>-Tabla1[[#This Row],[COSTO FLETE $ POR BOLSA 5O KG (SIN IVA)]]*20/Tabla1[[#This Row],[TIPO DE CAMBIO]]</f>
        <v>#N/A</v>
      </c>
      <c r="BA395" s="850" t="e">
        <f>+Tabla1[[#This Row],[GASTOS FINANCIEROS $ BOLSA 50 KG (IVA INC)]]*20/Tabla1[[#This Row],[TIPO DE CAMBIO]]</f>
        <v>#VALUE!</v>
      </c>
      <c r="BB395" s="850" t="e">
        <f>+Tabla1[[#This Row],[PRECIO POR TN USD EN CLIENTE A PLAZO (SIN IVA)]]+Tabla1[[#This Row],[COSTO USD FLETE /TN (SIN IVA)]]+Tabla1[[#This Row],[COSTO FINANCIERO USD POR BOLSA 50KG (IVA INC)]]</f>
        <v>#N/A</v>
      </c>
      <c r="BC395" s="848"/>
      <c r="BD395" s="944"/>
    </row>
    <row r="396" spans="1:56" ht="15.75" customHeight="1">
      <c r="A396" s="912">
        <v>46235</v>
      </c>
      <c r="B396" s="853"/>
      <c r="C396" s="792"/>
      <c r="D396" s="829">
        <f>+Tabla1[[#This Row],[FECHA Entrega]]</f>
        <v>0</v>
      </c>
      <c r="E396" s="830"/>
      <c r="F396" s="831"/>
      <c r="G396" s="832"/>
      <c r="H396" s="852"/>
      <c r="I396" s="834"/>
      <c r="J396" s="835"/>
      <c r="K396" s="836">
        <f t="shared" si="127"/>
        <v>0</v>
      </c>
      <c r="L39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96" s="837">
        <f t="shared" si="137"/>
        <v>0</v>
      </c>
      <c r="N396" s="838">
        <f>+Tabla1[[#This Row],[VENTA TOTAL $ (IVA INC) ]]</f>
        <v>0</v>
      </c>
      <c r="O396" s="838">
        <v>0</v>
      </c>
      <c r="P396" s="838">
        <v>0</v>
      </c>
      <c r="Q396" s="839">
        <f>+Tabla1[[#This Row],[VENTA TOTAL $ (IVA INC) ]]-Tabla1[[#This Row],[PENDIENTE DE COBRO]]</f>
        <v>0</v>
      </c>
      <c r="R396" s="840">
        <f>+Tabla1[[#This Row],[FECHA FC]]+Tabla1[[#This Row],[PLAZO ENTREGA VALORES]]</f>
        <v>0</v>
      </c>
      <c r="S396" s="840">
        <f>+Tabla1[[#This Row],[FECHA FC]]+Tabla1[[#This Row],[PLAZO PAGO (DIAS)]]</f>
        <v>0</v>
      </c>
      <c r="T396" s="834">
        <f t="shared" ca="1" si="128"/>
        <v>-46181</v>
      </c>
      <c r="U396" s="831"/>
      <c r="V396" s="831"/>
      <c r="W396" s="841">
        <f>+Tabla1[[#This Row],[FECHA VTO VALORES]]+7</f>
        <v>7</v>
      </c>
      <c r="X396" s="830"/>
      <c r="Y396" s="859"/>
      <c r="Z396" s="860">
        <f>Tabla1[[#This Row],[KGS]]/50</f>
        <v>0</v>
      </c>
      <c r="AA39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96" s="844">
        <f>-Tabla1[[#This Row],[COSTO FLETE $ POR BOLSA 5O KG (SIN IVA)]]*1.21-Tabla1[[#This Row],[PRECIO $/ KG A PLAZO EN CLIENTE ( SIN IVA)]]*0.003*1.21*50</f>
        <v>0</v>
      </c>
      <c r="AC396" s="845" t="e">
        <f>SUM(Tabla1[[#This Row],[PRECIO $ BOLSA 50 KG (IVA INC) ]]+Tabla1[[#This Row],[COSTO FLETE $ BOLSA 50 KG (IVA INC)]])</f>
        <v>#VALUE!</v>
      </c>
      <c r="AD396" s="844" t="e">
        <f>-Tabla1[[#This Row],[PRECIO $ BOLSA 50 KG (IVA INC) ]]*(Tabla1[[#This Row],[TASA FINANCIACION MENSUAL]]/365)*Tabla1[[#This Row],[PLAZO ENTREGA VALORES]]</f>
        <v>#VALUE!</v>
      </c>
      <c r="AE396" s="845" t="e">
        <f>SUM(Tabla1[[#This Row],[PRECIO $ BOLSA50 KG  FOB TUCUMAN A PLAZO (IVA INC)]]+Tabla1[[#This Row],[GASTOS FINANCIEROS $ BOLSA 50 KG (IVA INC)]])</f>
        <v>#VALUE!</v>
      </c>
      <c r="AF396" s="828"/>
      <c r="AG396" s="828"/>
      <c r="AH396" s="828"/>
      <c r="AI396" s="828"/>
      <c r="AJ39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96" s="846" t="e">
        <f>SUM(Tabla1[[#This Row],[PRECIO $ BOLSA 50KG  FOB CDO TUC (IVA INC)]]-Tabla1[[#This Row],[PRECIO REF $ BOLSA 50 KG CACTU (IVA INC)]])</f>
        <v>#VALUE!</v>
      </c>
      <c r="AL396" s="847" t="str">
        <f>IFERROR(Tabla1[[#This Row],[PRECIO $ BOLSA 50KG  FOB CDO TUC (IVA INC)]]/Tabla1[[#This Row],[PRECIO REF $ BOLSA 50 KG CACTU (IVA INC)]]-1,"")</f>
        <v/>
      </c>
      <c r="AM396" s="846" t="e">
        <f>+Tabla1[[#This Row],[DIF $ PRECIO NETO INDUSTRIA vs Neto TUCUMAN (IVA INC)]]*Tabla1[[#This Row],[Q Bolsas Equivalentes 50kg]]</f>
        <v>#VALUE!</v>
      </c>
      <c r="AN396" s="846" t="e">
        <f>Tabla1[[#This Row],[PRECIO REF $ BOLSA 50 KG CACTU (IVA INC)]]*Tabla1[[#This Row],[Q Bolsas Equivalentes 50kg]]</f>
        <v>#VALUE!</v>
      </c>
      <c r="AO396" s="846" t="e">
        <f>+Tabla1[[#This Row],[PRECIO $ BOLSA 50KG  FOB CDO TUC (IVA INC)]]*Tabla1[[#This Row],[Q Bolsas Equivalentes 50kg]]</f>
        <v>#VALUE!</v>
      </c>
      <c r="AP396" s="847"/>
      <c r="AQ396" s="846">
        <v>0</v>
      </c>
      <c r="AR396" s="828"/>
      <c r="AS396" s="849"/>
      <c r="AT396" s="923">
        <f>+Tabla1[[#This Row],[VENTA TOTAL $ (IVA INC) ]]-(SUM(Tabla1[[#This Row],[PENDIENTE DE ENTREGA]:[VALORES COBRADOS]]))</f>
        <v>0</v>
      </c>
      <c r="AU396" s="850" t="e">
        <f>VLOOKUP(Tabla1[[#This Row],[FECHA OC]],'TIPO DE CAMBIO'!A:B,2,TRUE)</f>
        <v>#N/A</v>
      </c>
      <c r="AV396" s="850" t="e">
        <f>+Tabla1[[#This Row],[SUBTOTAL]]/Tabla1[[#This Row],[TIPO DE CAMBIO]]</f>
        <v>#N/A</v>
      </c>
      <c r="AW396" s="851"/>
      <c r="AX396" s="850" t="str">
        <f>IFERROR(Tabla1[[#This Row],[VENTA TOTAL USD A PLAZO EN CLIENTE  (SIN IVA)]]*(1+Tabla1[[#This Row],[% IVA ]]),"")</f>
        <v/>
      </c>
      <c r="AY396" s="850" t="e">
        <f>+Tabla1[[#This Row],[VENTA TOTAL USD A PLAZO EN CLIENTE  (SIN IVA)]]/Tabla1[[#This Row],[KGS]]*1000</f>
        <v>#N/A</v>
      </c>
      <c r="AZ396" s="850" t="e">
        <f>-Tabla1[[#This Row],[COSTO FLETE $ POR BOLSA 5O KG (SIN IVA)]]*20/Tabla1[[#This Row],[TIPO DE CAMBIO]]</f>
        <v>#N/A</v>
      </c>
      <c r="BA396" s="850" t="e">
        <f>+Tabla1[[#This Row],[GASTOS FINANCIEROS $ BOLSA 50 KG (IVA INC)]]*20/Tabla1[[#This Row],[TIPO DE CAMBIO]]</f>
        <v>#VALUE!</v>
      </c>
      <c r="BB396" s="850" t="e">
        <f>+Tabla1[[#This Row],[PRECIO POR TN USD EN CLIENTE A PLAZO (SIN IVA)]]+Tabla1[[#This Row],[COSTO USD FLETE /TN (SIN IVA)]]+Tabla1[[#This Row],[COSTO FINANCIERO USD POR BOLSA 50KG (IVA INC)]]</f>
        <v>#N/A</v>
      </c>
      <c r="BC396" s="848"/>
      <c r="BD396" s="944"/>
    </row>
    <row r="397" spans="1:56" ht="15.75" customHeight="1">
      <c r="A397" s="912">
        <v>46235</v>
      </c>
      <c r="B397" s="853"/>
      <c r="C397" s="792"/>
      <c r="D397" s="829">
        <f>+Tabla1[[#This Row],[FECHA Entrega]]</f>
        <v>0</v>
      </c>
      <c r="E397" s="830"/>
      <c r="F397" s="831"/>
      <c r="G397" s="832"/>
      <c r="H397" s="852"/>
      <c r="I397" s="834"/>
      <c r="J397" s="835"/>
      <c r="K397" s="836">
        <f t="shared" si="127"/>
        <v>0</v>
      </c>
      <c r="L39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97" s="837">
        <f t="shared" si="137"/>
        <v>0</v>
      </c>
      <c r="N397" s="838">
        <f>+Tabla1[[#This Row],[VENTA TOTAL $ (IVA INC) ]]</f>
        <v>0</v>
      </c>
      <c r="O397" s="838">
        <v>0</v>
      </c>
      <c r="P397" s="838">
        <v>0</v>
      </c>
      <c r="Q397" s="839">
        <f>+Tabla1[[#This Row],[VENTA TOTAL $ (IVA INC) ]]-Tabla1[[#This Row],[PENDIENTE DE COBRO]]</f>
        <v>0</v>
      </c>
      <c r="R397" s="840">
        <f>+Tabla1[[#This Row],[FECHA FC]]+Tabla1[[#This Row],[PLAZO ENTREGA VALORES]]</f>
        <v>0</v>
      </c>
      <c r="S397" s="840">
        <f>+Tabla1[[#This Row],[FECHA FC]]+Tabla1[[#This Row],[PLAZO PAGO (DIAS)]]</f>
        <v>0</v>
      </c>
      <c r="T397" s="834">
        <f t="shared" ca="1" si="128"/>
        <v>-46181</v>
      </c>
      <c r="U397" s="831"/>
      <c r="V397" s="831"/>
      <c r="W397" s="841">
        <f>+Tabla1[[#This Row],[FECHA VTO VALORES]]+7</f>
        <v>7</v>
      </c>
      <c r="X397" s="830"/>
      <c r="Y397" s="859"/>
      <c r="Z397" s="860">
        <f>Tabla1[[#This Row],[KGS]]/50</f>
        <v>0</v>
      </c>
      <c r="AA39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97" s="844">
        <f>-Tabla1[[#This Row],[COSTO FLETE $ POR BOLSA 5O KG (SIN IVA)]]*1.21-Tabla1[[#This Row],[PRECIO $/ KG A PLAZO EN CLIENTE ( SIN IVA)]]*0.003*1.21*50</f>
        <v>0</v>
      </c>
      <c r="AC397" s="845" t="e">
        <f>SUM(Tabla1[[#This Row],[PRECIO $ BOLSA 50 KG (IVA INC) ]]+Tabla1[[#This Row],[COSTO FLETE $ BOLSA 50 KG (IVA INC)]])</f>
        <v>#VALUE!</v>
      </c>
      <c r="AD397" s="844" t="e">
        <f>-Tabla1[[#This Row],[PRECIO $ BOLSA 50 KG (IVA INC) ]]*(Tabla1[[#This Row],[TASA FINANCIACION MENSUAL]]/365)*Tabla1[[#This Row],[PLAZO ENTREGA VALORES]]</f>
        <v>#VALUE!</v>
      </c>
      <c r="AE397" s="845" t="e">
        <f>SUM(Tabla1[[#This Row],[PRECIO $ BOLSA50 KG  FOB TUCUMAN A PLAZO (IVA INC)]]+Tabla1[[#This Row],[GASTOS FINANCIEROS $ BOLSA 50 KG (IVA INC)]])</f>
        <v>#VALUE!</v>
      </c>
      <c r="AF397" s="828"/>
      <c r="AG397" s="828"/>
      <c r="AH397" s="828"/>
      <c r="AI397" s="828"/>
      <c r="AJ39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97" s="846" t="e">
        <f>SUM(Tabla1[[#This Row],[PRECIO $ BOLSA 50KG  FOB CDO TUC (IVA INC)]]-Tabla1[[#This Row],[PRECIO REF $ BOLSA 50 KG CACTU (IVA INC)]])</f>
        <v>#VALUE!</v>
      </c>
      <c r="AL397" s="847" t="str">
        <f>IFERROR(Tabla1[[#This Row],[PRECIO $ BOLSA 50KG  FOB CDO TUC (IVA INC)]]/Tabla1[[#This Row],[PRECIO REF $ BOLSA 50 KG CACTU (IVA INC)]]-1,"")</f>
        <v/>
      </c>
      <c r="AM397" s="846" t="e">
        <f>+Tabla1[[#This Row],[DIF $ PRECIO NETO INDUSTRIA vs Neto TUCUMAN (IVA INC)]]*Tabla1[[#This Row],[Q Bolsas Equivalentes 50kg]]</f>
        <v>#VALUE!</v>
      </c>
      <c r="AN397" s="846" t="e">
        <f>Tabla1[[#This Row],[PRECIO REF $ BOLSA 50 KG CACTU (IVA INC)]]*Tabla1[[#This Row],[Q Bolsas Equivalentes 50kg]]</f>
        <v>#VALUE!</v>
      </c>
      <c r="AO397" s="846" t="e">
        <f>+Tabla1[[#This Row],[PRECIO $ BOLSA 50KG  FOB CDO TUC (IVA INC)]]*Tabla1[[#This Row],[Q Bolsas Equivalentes 50kg]]</f>
        <v>#VALUE!</v>
      </c>
      <c r="AP397" s="847"/>
      <c r="AQ397" s="846">
        <v>0</v>
      </c>
      <c r="AR397" s="828"/>
      <c r="AS397" s="849"/>
      <c r="AT397" s="923">
        <f>+Tabla1[[#This Row],[VENTA TOTAL $ (IVA INC) ]]-(SUM(Tabla1[[#This Row],[PENDIENTE DE ENTREGA]:[VALORES COBRADOS]]))</f>
        <v>0</v>
      </c>
      <c r="AU397" s="850" t="e">
        <f>VLOOKUP(Tabla1[[#This Row],[FECHA OC]],'TIPO DE CAMBIO'!A:B,2,TRUE)</f>
        <v>#N/A</v>
      </c>
      <c r="AV397" s="850" t="e">
        <f>+Tabla1[[#This Row],[SUBTOTAL]]/Tabla1[[#This Row],[TIPO DE CAMBIO]]</f>
        <v>#N/A</v>
      </c>
      <c r="AW397" s="851"/>
      <c r="AX397" s="850" t="str">
        <f>IFERROR(Tabla1[[#This Row],[VENTA TOTAL USD A PLAZO EN CLIENTE  (SIN IVA)]]*(1+Tabla1[[#This Row],[% IVA ]]),"")</f>
        <v/>
      </c>
      <c r="AY397" s="850" t="e">
        <f>+Tabla1[[#This Row],[VENTA TOTAL USD A PLAZO EN CLIENTE  (SIN IVA)]]/Tabla1[[#This Row],[KGS]]*1000</f>
        <v>#N/A</v>
      </c>
      <c r="AZ397" s="850" t="e">
        <f>-Tabla1[[#This Row],[COSTO FLETE $ POR BOLSA 5O KG (SIN IVA)]]*20/Tabla1[[#This Row],[TIPO DE CAMBIO]]</f>
        <v>#N/A</v>
      </c>
      <c r="BA397" s="850" t="e">
        <f>+Tabla1[[#This Row],[GASTOS FINANCIEROS $ BOLSA 50 KG (IVA INC)]]*20/Tabla1[[#This Row],[TIPO DE CAMBIO]]</f>
        <v>#VALUE!</v>
      </c>
      <c r="BB397" s="850" t="e">
        <f>+Tabla1[[#This Row],[PRECIO POR TN USD EN CLIENTE A PLAZO (SIN IVA)]]+Tabla1[[#This Row],[COSTO USD FLETE /TN (SIN IVA)]]+Tabla1[[#This Row],[COSTO FINANCIERO USD POR BOLSA 50KG (IVA INC)]]</f>
        <v>#N/A</v>
      </c>
      <c r="BC397" s="848"/>
      <c r="BD397" s="944"/>
    </row>
    <row r="398" spans="1:56" ht="15.75" customHeight="1">
      <c r="A398" s="912">
        <v>46235</v>
      </c>
      <c r="B398" s="853"/>
      <c r="C398" s="792"/>
      <c r="D398" s="829">
        <f>+Tabla1[[#This Row],[FECHA Entrega]]</f>
        <v>0</v>
      </c>
      <c r="E398" s="830"/>
      <c r="F398" s="831"/>
      <c r="G398" s="832"/>
      <c r="H398" s="852"/>
      <c r="I398" s="834"/>
      <c r="J398" s="835"/>
      <c r="K398" s="836">
        <f t="shared" si="127"/>
        <v>0</v>
      </c>
      <c r="L39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98" s="837">
        <f t="shared" si="137"/>
        <v>0</v>
      </c>
      <c r="N398" s="838">
        <f>+Tabla1[[#This Row],[VENTA TOTAL $ (IVA INC) ]]</f>
        <v>0</v>
      </c>
      <c r="O398" s="838">
        <v>0</v>
      </c>
      <c r="P398" s="838">
        <v>0</v>
      </c>
      <c r="Q398" s="839">
        <f>+Tabla1[[#This Row],[VENTA TOTAL $ (IVA INC) ]]-Tabla1[[#This Row],[PENDIENTE DE COBRO]]</f>
        <v>0</v>
      </c>
      <c r="R398" s="840">
        <f>+Tabla1[[#This Row],[FECHA FC]]+Tabla1[[#This Row],[PLAZO ENTREGA VALORES]]</f>
        <v>0</v>
      </c>
      <c r="S398" s="840">
        <f>+Tabla1[[#This Row],[FECHA FC]]+Tabla1[[#This Row],[PLAZO PAGO (DIAS)]]</f>
        <v>0</v>
      </c>
      <c r="T398" s="834">
        <f t="shared" ca="1" si="128"/>
        <v>-46181</v>
      </c>
      <c r="U398" s="831"/>
      <c r="V398" s="831"/>
      <c r="W398" s="841">
        <f>+Tabla1[[#This Row],[FECHA VTO VALORES]]+7</f>
        <v>7</v>
      </c>
      <c r="X398" s="830"/>
      <c r="Y398" s="859"/>
      <c r="Z398" s="860">
        <f>Tabla1[[#This Row],[KGS]]/50</f>
        <v>0</v>
      </c>
      <c r="AA39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98" s="844">
        <f>-Tabla1[[#This Row],[COSTO FLETE $ POR BOLSA 5O KG (SIN IVA)]]*1.21-Tabla1[[#This Row],[PRECIO $/ KG A PLAZO EN CLIENTE ( SIN IVA)]]*0.003*1.21*50</f>
        <v>0</v>
      </c>
      <c r="AC398" s="845" t="e">
        <f>SUM(Tabla1[[#This Row],[PRECIO $ BOLSA 50 KG (IVA INC) ]]+Tabla1[[#This Row],[COSTO FLETE $ BOLSA 50 KG (IVA INC)]])</f>
        <v>#VALUE!</v>
      </c>
      <c r="AD398" s="844" t="e">
        <f>-Tabla1[[#This Row],[PRECIO $ BOLSA 50 KG (IVA INC) ]]*(Tabla1[[#This Row],[TASA FINANCIACION MENSUAL]]/365)*Tabla1[[#This Row],[PLAZO ENTREGA VALORES]]</f>
        <v>#VALUE!</v>
      </c>
      <c r="AE398" s="845" t="e">
        <f>SUM(Tabla1[[#This Row],[PRECIO $ BOLSA50 KG  FOB TUCUMAN A PLAZO (IVA INC)]]+Tabla1[[#This Row],[GASTOS FINANCIEROS $ BOLSA 50 KG (IVA INC)]])</f>
        <v>#VALUE!</v>
      </c>
      <c r="AF398" s="828"/>
      <c r="AG398" s="828"/>
      <c r="AH398" s="828"/>
      <c r="AI398" s="828"/>
      <c r="AJ39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98" s="846" t="e">
        <f>SUM(Tabla1[[#This Row],[PRECIO $ BOLSA 50KG  FOB CDO TUC (IVA INC)]]-Tabla1[[#This Row],[PRECIO REF $ BOLSA 50 KG CACTU (IVA INC)]])</f>
        <v>#VALUE!</v>
      </c>
      <c r="AL398" s="847" t="str">
        <f>IFERROR(Tabla1[[#This Row],[PRECIO $ BOLSA 50KG  FOB CDO TUC (IVA INC)]]/Tabla1[[#This Row],[PRECIO REF $ BOLSA 50 KG CACTU (IVA INC)]]-1,"")</f>
        <v/>
      </c>
      <c r="AM398" s="846" t="e">
        <f>+Tabla1[[#This Row],[DIF $ PRECIO NETO INDUSTRIA vs Neto TUCUMAN (IVA INC)]]*Tabla1[[#This Row],[Q Bolsas Equivalentes 50kg]]</f>
        <v>#VALUE!</v>
      </c>
      <c r="AN398" s="846" t="e">
        <f>Tabla1[[#This Row],[PRECIO REF $ BOLSA 50 KG CACTU (IVA INC)]]*Tabla1[[#This Row],[Q Bolsas Equivalentes 50kg]]</f>
        <v>#VALUE!</v>
      </c>
      <c r="AO398" s="846" t="e">
        <f>+Tabla1[[#This Row],[PRECIO $ BOLSA 50KG  FOB CDO TUC (IVA INC)]]*Tabla1[[#This Row],[Q Bolsas Equivalentes 50kg]]</f>
        <v>#VALUE!</v>
      </c>
      <c r="AP398" s="847"/>
      <c r="AQ398" s="846">
        <v>0</v>
      </c>
      <c r="AR398" s="828"/>
      <c r="AS398" s="849"/>
      <c r="AT398" s="923">
        <f>+Tabla1[[#This Row],[VENTA TOTAL $ (IVA INC) ]]-(SUM(Tabla1[[#This Row],[PENDIENTE DE ENTREGA]:[VALORES COBRADOS]]))</f>
        <v>0</v>
      </c>
      <c r="AU398" s="850" t="e">
        <f>VLOOKUP(Tabla1[[#This Row],[FECHA OC]],'TIPO DE CAMBIO'!A:B,2,TRUE)</f>
        <v>#N/A</v>
      </c>
      <c r="AV398" s="850" t="e">
        <f>+Tabla1[[#This Row],[SUBTOTAL]]/Tabla1[[#This Row],[TIPO DE CAMBIO]]</f>
        <v>#N/A</v>
      </c>
      <c r="AW398" s="851"/>
      <c r="AX398" s="850" t="str">
        <f>IFERROR(Tabla1[[#This Row],[VENTA TOTAL USD A PLAZO EN CLIENTE  (SIN IVA)]]*(1+Tabla1[[#This Row],[% IVA ]]),"")</f>
        <v/>
      </c>
      <c r="AY398" s="850" t="e">
        <f>+Tabla1[[#This Row],[VENTA TOTAL USD A PLAZO EN CLIENTE  (SIN IVA)]]/Tabla1[[#This Row],[KGS]]*1000</f>
        <v>#N/A</v>
      </c>
      <c r="AZ398" s="850" t="e">
        <f>-Tabla1[[#This Row],[COSTO FLETE $ POR BOLSA 5O KG (SIN IVA)]]*20/Tabla1[[#This Row],[TIPO DE CAMBIO]]</f>
        <v>#N/A</v>
      </c>
      <c r="BA398" s="850" t="e">
        <f>+Tabla1[[#This Row],[GASTOS FINANCIEROS $ BOLSA 50 KG (IVA INC)]]*20/Tabla1[[#This Row],[TIPO DE CAMBIO]]</f>
        <v>#VALUE!</v>
      </c>
      <c r="BB398" s="850" t="e">
        <f>+Tabla1[[#This Row],[PRECIO POR TN USD EN CLIENTE A PLAZO (SIN IVA)]]+Tabla1[[#This Row],[COSTO USD FLETE /TN (SIN IVA)]]+Tabla1[[#This Row],[COSTO FINANCIERO USD POR BOLSA 50KG (IVA INC)]]</f>
        <v>#N/A</v>
      </c>
      <c r="BC398" s="848"/>
      <c r="BD398" s="944"/>
    </row>
    <row r="399" spans="1:56" ht="15.75" customHeight="1">
      <c r="A399" s="912">
        <v>46235</v>
      </c>
      <c r="B399" s="853"/>
      <c r="C399" s="792"/>
      <c r="D399" s="829">
        <f>+Tabla1[[#This Row],[FECHA Entrega]]</f>
        <v>0</v>
      </c>
      <c r="E399" s="830"/>
      <c r="F399" s="831"/>
      <c r="G399" s="832"/>
      <c r="H399" s="852"/>
      <c r="I399" s="834"/>
      <c r="J399" s="835"/>
      <c r="K399" s="836">
        <f t="shared" si="127"/>
        <v>0</v>
      </c>
      <c r="L39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399" s="837">
        <f t="shared" si="137"/>
        <v>0</v>
      </c>
      <c r="N399" s="838">
        <f>+Tabla1[[#This Row],[VENTA TOTAL $ (IVA INC) ]]</f>
        <v>0</v>
      </c>
      <c r="O399" s="838">
        <v>0</v>
      </c>
      <c r="P399" s="838">
        <v>0</v>
      </c>
      <c r="Q399" s="839">
        <f>+Tabla1[[#This Row],[VENTA TOTAL $ (IVA INC) ]]-Tabla1[[#This Row],[PENDIENTE DE COBRO]]</f>
        <v>0</v>
      </c>
      <c r="R399" s="840">
        <f>+Tabla1[[#This Row],[FECHA FC]]+Tabla1[[#This Row],[PLAZO ENTREGA VALORES]]</f>
        <v>0</v>
      </c>
      <c r="S399" s="840">
        <f>+Tabla1[[#This Row],[FECHA FC]]+Tabla1[[#This Row],[PLAZO PAGO (DIAS)]]</f>
        <v>0</v>
      </c>
      <c r="T399" s="834">
        <f t="shared" ca="1" si="128"/>
        <v>-46181</v>
      </c>
      <c r="U399" s="831"/>
      <c r="V399" s="831"/>
      <c r="W399" s="841">
        <f>+Tabla1[[#This Row],[FECHA VTO VALORES]]+7</f>
        <v>7</v>
      </c>
      <c r="X399" s="830"/>
      <c r="Y399" s="859"/>
      <c r="Z399" s="860">
        <f>Tabla1[[#This Row],[KGS]]/50</f>
        <v>0</v>
      </c>
      <c r="AA39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399" s="844">
        <f>-Tabla1[[#This Row],[COSTO FLETE $ POR BOLSA 5O KG (SIN IVA)]]*1.21-Tabla1[[#This Row],[PRECIO $/ KG A PLAZO EN CLIENTE ( SIN IVA)]]*0.003*1.21*50</f>
        <v>0</v>
      </c>
      <c r="AC399" s="845" t="e">
        <f>SUM(Tabla1[[#This Row],[PRECIO $ BOLSA 50 KG (IVA INC) ]]+Tabla1[[#This Row],[COSTO FLETE $ BOLSA 50 KG (IVA INC)]])</f>
        <v>#VALUE!</v>
      </c>
      <c r="AD399" s="844" t="e">
        <f>-Tabla1[[#This Row],[PRECIO $ BOLSA 50 KG (IVA INC) ]]*(Tabla1[[#This Row],[TASA FINANCIACION MENSUAL]]/365)*Tabla1[[#This Row],[PLAZO ENTREGA VALORES]]</f>
        <v>#VALUE!</v>
      </c>
      <c r="AE399" s="845" t="e">
        <f>SUM(Tabla1[[#This Row],[PRECIO $ BOLSA50 KG  FOB TUCUMAN A PLAZO (IVA INC)]]+Tabla1[[#This Row],[GASTOS FINANCIEROS $ BOLSA 50 KG (IVA INC)]])</f>
        <v>#VALUE!</v>
      </c>
      <c r="AF399" s="828"/>
      <c r="AG399" s="828"/>
      <c r="AH399" s="828"/>
      <c r="AI399" s="828"/>
      <c r="AJ39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399" s="846" t="e">
        <f>SUM(Tabla1[[#This Row],[PRECIO $ BOLSA 50KG  FOB CDO TUC (IVA INC)]]-Tabla1[[#This Row],[PRECIO REF $ BOLSA 50 KG CACTU (IVA INC)]])</f>
        <v>#VALUE!</v>
      </c>
      <c r="AL399" s="847" t="str">
        <f>IFERROR(Tabla1[[#This Row],[PRECIO $ BOLSA 50KG  FOB CDO TUC (IVA INC)]]/Tabla1[[#This Row],[PRECIO REF $ BOLSA 50 KG CACTU (IVA INC)]]-1,"")</f>
        <v/>
      </c>
      <c r="AM399" s="846" t="e">
        <f>+Tabla1[[#This Row],[DIF $ PRECIO NETO INDUSTRIA vs Neto TUCUMAN (IVA INC)]]*Tabla1[[#This Row],[Q Bolsas Equivalentes 50kg]]</f>
        <v>#VALUE!</v>
      </c>
      <c r="AN399" s="846" t="e">
        <f>Tabla1[[#This Row],[PRECIO REF $ BOLSA 50 KG CACTU (IVA INC)]]*Tabla1[[#This Row],[Q Bolsas Equivalentes 50kg]]</f>
        <v>#VALUE!</v>
      </c>
      <c r="AO399" s="846" t="e">
        <f>+Tabla1[[#This Row],[PRECIO $ BOLSA 50KG  FOB CDO TUC (IVA INC)]]*Tabla1[[#This Row],[Q Bolsas Equivalentes 50kg]]</f>
        <v>#VALUE!</v>
      </c>
      <c r="AP399" s="847"/>
      <c r="AQ399" s="846">
        <v>0</v>
      </c>
      <c r="AR399" s="828"/>
      <c r="AS399" s="849"/>
      <c r="AT399" s="923">
        <f>+Tabla1[[#This Row],[VENTA TOTAL $ (IVA INC) ]]-(SUM(Tabla1[[#This Row],[PENDIENTE DE ENTREGA]:[VALORES COBRADOS]]))</f>
        <v>0</v>
      </c>
      <c r="AU399" s="850" t="e">
        <f>VLOOKUP(Tabla1[[#This Row],[FECHA OC]],'TIPO DE CAMBIO'!A:B,2,TRUE)</f>
        <v>#N/A</v>
      </c>
      <c r="AV399" s="850" t="e">
        <f>+Tabla1[[#This Row],[SUBTOTAL]]/Tabla1[[#This Row],[TIPO DE CAMBIO]]</f>
        <v>#N/A</v>
      </c>
      <c r="AW399" s="851"/>
      <c r="AX399" s="850" t="str">
        <f>IFERROR(Tabla1[[#This Row],[VENTA TOTAL USD A PLAZO EN CLIENTE  (SIN IVA)]]*(1+Tabla1[[#This Row],[% IVA ]]),"")</f>
        <v/>
      </c>
      <c r="AY399" s="850" t="e">
        <f>+Tabla1[[#This Row],[VENTA TOTAL USD A PLAZO EN CLIENTE  (SIN IVA)]]/Tabla1[[#This Row],[KGS]]*1000</f>
        <v>#N/A</v>
      </c>
      <c r="AZ399" s="850" t="e">
        <f>-Tabla1[[#This Row],[COSTO FLETE $ POR BOLSA 5O KG (SIN IVA)]]*20/Tabla1[[#This Row],[TIPO DE CAMBIO]]</f>
        <v>#N/A</v>
      </c>
      <c r="BA399" s="850" t="e">
        <f>+Tabla1[[#This Row],[GASTOS FINANCIEROS $ BOLSA 50 KG (IVA INC)]]*20/Tabla1[[#This Row],[TIPO DE CAMBIO]]</f>
        <v>#VALUE!</v>
      </c>
      <c r="BB399" s="850" t="e">
        <f>+Tabla1[[#This Row],[PRECIO POR TN USD EN CLIENTE A PLAZO (SIN IVA)]]+Tabla1[[#This Row],[COSTO USD FLETE /TN (SIN IVA)]]+Tabla1[[#This Row],[COSTO FINANCIERO USD POR BOLSA 50KG (IVA INC)]]</f>
        <v>#N/A</v>
      </c>
      <c r="BC399" s="828"/>
      <c r="BD399" s="944"/>
    </row>
    <row r="400" spans="1:56" ht="15.75" customHeight="1">
      <c r="A400" s="912">
        <v>46235</v>
      </c>
      <c r="B400" s="853"/>
      <c r="C400" s="792"/>
      <c r="D400" s="829">
        <f>+Tabla1[[#This Row],[FECHA Entrega]]</f>
        <v>0</v>
      </c>
      <c r="E400" s="830"/>
      <c r="F400" s="831"/>
      <c r="G400" s="832"/>
      <c r="H400" s="852"/>
      <c r="I400" s="834"/>
      <c r="J400" s="835"/>
      <c r="K400" s="836">
        <f t="shared" si="127"/>
        <v>0</v>
      </c>
      <c r="L40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00" s="837">
        <f t="shared" si="137"/>
        <v>0</v>
      </c>
      <c r="N400" s="838">
        <f>+Tabla1[[#This Row],[VENTA TOTAL $ (IVA INC) ]]</f>
        <v>0</v>
      </c>
      <c r="O400" s="838">
        <v>0</v>
      </c>
      <c r="P400" s="838">
        <v>0</v>
      </c>
      <c r="Q400" s="839">
        <f>+Tabla1[[#This Row],[VENTA TOTAL $ (IVA INC) ]]-Tabla1[[#This Row],[PENDIENTE DE COBRO]]</f>
        <v>0</v>
      </c>
      <c r="R400" s="840">
        <f>+Tabla1[[#This Row],[FECHA FC]]+Tabla1[[#This Row],[PLAZO ENTREGA VALORES]]</f>
        <v>0</v>
      </c>
      <c r="S400" s="840">
        <f>+Tabla1[[#This Row],[FECHA FC]]+Tabla1[[#This Row],[PLAZO PAGO (DIAS)]]</f>
        <v>0</v>
      </c>
      <c r="T400" s="834">
        <f t="shared" ca="1" si="128"/>
        <v>-46181</v>
      </c>
      <c r="U400" s="831"/>
      <c r="V400" s="831"/>
      <c r="W400" s="841">
        <f>+Tabla1[[#This Row],[FECHA VTO VALORES]]+7</f>
        <v>7</v>
      </c>
      <c r="X400" s="830"/>
      <c r="Y400" s="859"/>
      <c r="Z400" s="860">
        <f>Tabla1[[#This Row],[KGS]]/50</f>
        <v>0</v>
      </c>
      <c r="AA40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00" s="844">
        <f>-Tabla1[[#This Row],[COSTO FLETE $ POR BOLSA 5O KG (SIN IVA)]]*1.21-Tabla1[[#This Row],[PRECIO $/ KG A PLAZO EN CLIENTE ( SIN IVA)]]*0.003*1.21*50</f>
        <v>0</v>
      </c>
      <c r="AC400" s="845" t="e">
        <f>SUM(Tabla1[[#This Row],[PRECIO $ BOLSA 50 KG (IVA INC) ]]+Tabla1[[#This Row],[COSTO FLETE $ BOLSA 50 KG (IVA INC)]])</f>
        <v>#VALUE!</v>
      </c>
      <c r="AD400" s="844" t="e">
        <f>-Tabla1[[#This Row],[PRECIO $ BOLSA 50 KG (IVA INC) ]]*(Tabla1[[#This Row],[TASA FINANCIACION MENSUAL]]/365)*Tabla1[[#This Row],[PLAZO ENTREGA VALORES]]</f>
        <v>#VALUE!</v>
      </c>
      <c r="AE400" s="845" t="e">
        <f>SUM(Tabla1[[#This Row],[PRECIO $ BOLSA50 KG  FOB TUCUMAN A PLAZO (IVA INC)]]+Tabla1[[#This Row],[GASTOS FINANCIEROS $ BOLSA 50 KG (IVA INC)]])</f>
        <v>#VALUE!</v>
      </c>
      <c r="AF400" s="828"/>
      <c r="AG400" s="828"/>
      <c r="AH400" s="828"/>
      <c r="AI400" s="828"/>
      <c r="AJ40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00" s="846" t="e">
        <f>SUM(Tabla1[[#This Row],[PRECIO $ BOLSA 50KG  FOB CDO TUC (IVA INC)]]-Tabla1[[#This Row],[PRECIO REF $ BOLSA 50 KG CACTU (IVA INC)]])</f>
        <v>#VALUE!</v>
      </c>
      <c r="AL400" s="847" t="str">
        <f>IFERROR(Tabla1[[#This Row],[PRECIO $ BOLSA 50KG  FOB CDO TUC (IVA INC)]]/Tabla1[[#This Row],[PRECIO REF $ BOLSA 50 KG CACTU (IVA INC)]]-1,"")</f>
        <v/>
      </c>
      <c r="AM400" s="846" t="e">
        <f>+Tabla1[[#This Row],[DIF $ PRECIO NETO INDUSTRIA vs Neto TUCUMAN (IVA INC)]]*Tabla1[[#This Row],[Q Bolsas Equivalentes 50kg]]</f>
        <v>#VALUE!</v>
      </c>
      <c r="AN400" s="846" t="e">
        <f>Tabla1[[#This Row],[PRECIO REF $ BOLSA 50 KG CACTU (IVA INC)]]*Tabla1[[#This Row],[Q Bolsas Equivalentes 50kg]]</f>
        <v>#VALUE!</v>
      </c>
      <c r="AO400" s="846" t="e">
        <f>+Tabla1[[#This Row],[PRECIO $ BOLSA 50KG  FOB CDO TUC (IVA INC)]]*Tabla1[[#This Row],[Q Bolsas Equivalentes 50kg]]</f>
        <v>#VALUE!</v>
      </c>
      <c r="AP400" s="847"/>
      <c r="AQ400" s="846">
        <v>0</v>
      </c>
      <c r="AR400" s="828"/>
      <c r="AS400" s="849"/>
      <c r="AT400" s="923">
        <f>+Tabla1[[#This Row],[VENTA TOTAL $ (IVA INC) ]]-(SUM(Tabla1[[#This Row],[PENDIENTE DE ENTREGA]:[VALORES COBRADOS]]))</f>
        <v>0</v>
      </c>
      <c r="AU400" s="850" t="e">
        <f>VLOOKUP(Tabla1[[#This Row],[FECHA OC]],'TIPO DE CAMBIO'!A:B,2,TRUE)</f>
        <v>#N/A</v>
      </c>
      <c r="AV400" s="850" t="e">
        <f>+Tabla1[[#This Row],[SUBTOTAL]]/Tabla1[[#This Row],[TIPO DE CAMBIO]]</f>
        <v>#N/A</v>
      </c>
      <c r="AW400" s="851"/>
      <c r="AX400" s="850" t="str">
        <f>IFERROR(Tabla1[[#This Row],[VENTA TOTAL USD A PLAZO EN CLIENTE  (SIN IVA)]]*(1+Tabla1[[#This Row],[% IVA ]]),"")</f>
        <v/>
      </c>
      <c r="AY400" s="850" t="e">
        <f>+Tabla1[[#This Row],[VENTA TOTAL USD A PLAZO EN CLIENTE  (SIN IVA)]]/Tabla1[[#This Row],[KGS]]*1000</f>
        <v>#N/A</v>
      </c>
      <c r="AZ400" s="850" t="e">
        <f>-Tabla1[[#This Row],[COSTO FLETE $ POR BOLSA 5O KG (SIN IVA)]]*20/Tabla1[[#This Row],[TIPO DE CAMBIO]]</f>
        <v>#N/A</v>
      </c>
      <c r="BA400" s="850" t="e">
        <f>+Tabla1[[#This Row],[GASTOS FINANCIEROS $ BOLSA 50 KG (IVA INC)]]*20/Tabla1[[#This Row],[TIPO DE CAMBIO]]</f>
        <v>#VALUE!</v>
      </c>
      <c r="BB400" s="850" t="e">
        <f>+Tabla1[[#This Row],[PRECIO POR TN USD EN CLIENTE A PLAZO (SIN IVA)]]+Tabla1[[#This Row],[COSTO USD FLETE /TN (SIN IVA)]]+Tabla1[[#This Row],[COSTO FINANCIERO USD POR BOLSA 50KG (IVA INC)]]</f>
        <v>#N/A</v>
      </c>
      <c r="BC400" s="848"/>
      <c r="BD400" s="944"/>
    </row>
    <row r="401" spans="1:56" ht="15.75" customHeight="1">
      <c r="A401" s="912">
        <v>46235</v>
      </c>
      <c r="B401" s="853"/>
      <c r="C401" s="792"/>
      <c r="D401" s="829">
        <f>+Tabla1[[#This Row],[FECHA Entrega]]</f>
        <v>0</v>
      </c>
      <c r="E401" s="830"/>
      <c r="F401" s="831"/>
      <c r="G401" s="832"/>
      <c r="H401" s="852"/>
      <c r="I401" s="834"/>
      <c r="J401" s="835"/>
      <c r="K401" s="836">
        <f t="shared" si="127"/>
        <v>0</v>
      </c>
      <c r="L40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01" s="837">
        <f t="shared" si="137"/>
        <v>0</v>
      </c>
      <c r="N401" s="838">
        <f>+Tabla1[[#This Row],[VENTA TOTAL $ (IVA INC) ]]</f>
        <v>0</v>
      </c>
      <c r="O401" s="838">
        <v>0</v>
      </c>
      <c r="P401" s="838">
        <v>0</v>
      </c>
      <c r="Q401" s="839">
        <f>+Tabla1[[#This Row],[VENTA TOTAL $ (IVA INC) ]]-Tabla1[[#This Row],[PENDIENTE DE COBRO]]</f>
        <v>0</v>
      </c>
      <c r="R401" s="840">
        <f>+Tabla1[[#This Row],[FECHA FC]]+Tabla1[[#This Row],[PLAZO ENTREGA VALORES]]</f>
        <v>0</v>
      </c>
      <c r="S401" s="840">
        <f>+Tabla1[[#This Row],[FECHA FC]]+Tabla1[[#This Row],[PLAZO PAGO (DIAS)]]</f>
        <v>0</v>
      </c>
      <c r="T401" s="834">
        <f t="shared" ca="1" si="128"/>
        <v>-46181</v>
      </c>
      <c r="U401" s="831"/>
      <c r="V401" s="831"/>
      <c r="W401" s="841">
        <f>+S401+7</f>
        <v>7</v>
      </c>
      <c r="X401" s="830"/>
      <c r="Y401" s="859"/>
      <c r="Z401" s="860">
        <f>Tabla1[[#This Row],[KGS]]/50</f>
        <v>0</v>
      </c>
      <c r="AA40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01" s="844">
        <f>-Tabla1[[#This Row],[COSTO FLETE $ POR BOLSA 5O KG (SIN IVA)]]*1.21-Tabla1[[#This Row],[PRECIO $/ KG A PLAZO EN CLIENTE ( SIN IVA)]]*0.003*1.21*50</f>
        <v>0</v>
      </c>
      <c r="AC401" s="845" t="e">
        <f>SUM(Tabla1[[#This Row],[PRECIO $ BOLSA 50 KG (IVA INC) ]]+Tabla1[[#This Row],[COSTO FLETE $ BOLSA 50 KG (IVA INC)]])</f>
        <v>#VALUE!</v>
      </c>
      <c r="AD401" s="844" t="e">
        <f>-Tabla1[[#This Row],[PRECIO $ BOLSA 50 KG (IVA INC) ]]*(Tabla1[[#This Row],[TASA FINANCIACION MENSUAL]]/365)*Tabla1[[#This Row],[PLAZO ENTREGA VALORES]]</f>
        <v>#VALUE!</v>
      </c>
      <c r="AE401" s="845" t="e">
        <f>SUM(Tabla1[[#This Row],[PRECIO $ BOLSA50 KG  FOB TUCUMAN A PLAZO (IVA INC)]]+Tabla1[[#This Row],[GASTOS FINANCIEROS $ BOLSA 50 KG (IVA INC)]])</f>
        <v>#VALUE!</v>
      </c>
      <c r="AF401" s="828"/>
      <c r="AG401" s="828"/>
      <c r="AH401" s="828"/>
      <c r="AI401" s="828"/>
      <c r="AJ40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01" s="846" t="e">
        <f>SUM(Tabla1[[#This Row],[PRECIO $ BOLSA 50KG  FOB CDO TUC (IVA INC)]]-Tabla1[[#This Row],[PRECIO REF $ BOLSA 50 KG CACTU (IVA INC)]])</f>
        <v>#VALUE!</v>
      </c>
      <c r="AL401" s="847" t="str">
        <f>IFERROR(Tabla1[[#This Row],[PRECIO $ BOLSA 50KG  FOB CDO TUC (IVA INC)]]/Tabla1[[#This Row],[PRECIO REF $ BOLSA 50 KG CACTU (IVA INC)]]-1,"")</f>
        <v/>
      </c>
      <c r="AM401" s="846" t="e">
        <f>+Tabla1[[#This Row],[DIF $ PRECIO NETO INDUSTRIA vs Neto TUCUMAN (IVA INC)]]*Tabla1[[#This Row],[Q Bolsas Equivalentes 50kg]]</f>
        <v>#VALUE!</v>
      </c>
      <c r="AN401" s="846" t="e">
        <f>Tabla1[[#This Row],[PRECIO REF $ BOLSA 50 KG CACTU (IVA INC)]]*Tabla1[[#This Row],[Q Bolsas Equivalentes 50kg]]</f>
        <v>#VALUE!</v>
      </c>
      <c r="AO401" s="846" t="e">
        <f>+Tabla1[[#This Row],[PRECIO $ BOLSA 50KG  FOB CDO TUC (IVA INC)]]*Tabla1[[#This Row],[Q Bolsas Equivalentes 50kg]]</f>
        <v>#VALUE!</v>
      </c>
      <c r="AP401" s="847"/>
      <c r="AQ401" s="846">
        <v>0</v>
      </c>
      <c r="AR401" s="828"/>
      <c r="AS401" s="849"/>
      <c r="AT401" s="923">
        <f>+Tabla1[[#This Row],[VENTA TOTAL $ (IVA INC) ]]-(SUM(Tabla1[[#This Row],[PENDIENTE DE ENTREGA]:[VALORES COBRADOS]]))</f>
        <v>0</v>
      </c>
      <c r="AU401" s="850" t="e">
        <f>VLOOKUP(Tabla1[[#This Row],[FECHA OC]],'TIPO DE CAMBIO'!A:B,2,TRUE)</f>
        <v>#N/A</v>
      </c>
      <c r="AV401" s="850" t="e">
        <f>+Tabla1[[#This Row],[SUBTOTAL]]/Tabla1[[#This Row],[TIPO DE CAMBIO]]</f>
        <v>#N/A</v>
      </c>
      <c r="AW401" s="851"/>
      <c r="AX401" s="850" t="str">
        <f>IFERROR(Tabla1[[#This Row],[VENTA TOTAL USD A PLAZO EN CLIENTE  (SIN IVA)]]*(1+Tabla1[[#This Row],[% IVA ]]),"")</f>
        <v/>
      </c>
      <c r="AY401" s="850" t="e">
        <f>+Tabla1[[#This Row],[VENTA TOTAL USD A PLAZO EN CLIENTE  (SIN IVA)]]/Tabla1[[#This Row],[KGS]]*1000</f>
        <v>#N/A</v>
      </c>
      <c r="AZ401" s="850" t="e">
        <f>-Tabla1[[#This Row],[COSTO FLETE $ POR BOLSA 5O KG (SIN IVA)]]*20/Tabla1[[#This Row],[TIPO DE CAMBIO]]</f>
        <v>#N/A</v>
      </c>
      <c r="BA401" s="850" t="e">
        <f>+Tabla1[[#This Row],[GASTOS FINANCIEROS $ BOLSA 50 KG (IVA INC)]]*20/Tabla1[[#This Row],[TIPO DE CAMBIO]]</f>
        <v>#VALUE!</v>
      </c>
      <c r="BB401" s="850" t="e">
        <f>+Tabla1[[#This Row],[PRECIO POR TN USD EN CLIENTE A PLAZO (SIN IVA)]]+Tabla1[[#This Row],[COSTO USD FLETE /TN (SIN IVA)]]+Tabla1[[#This Row],[COSTO FINANCIERO USD POR BOLSA 50KG (IVA INC)]]</f>
        <v>#N/A</v>
      </c>
      <c r="BC401" s="848"/>
      <c r="BD401" s="944"/>
    </row>
    <row r="402" spans="1:56" ht="15.75" customHeight="1">
      <c r="A402" s="912">
        <v>46235</v>
      </c>
      <c r="B402" s="853"/>
      <c r="C402" s="792"/>
      <c r="D402" s="829">
        <f>+Tabla1[[#This Row],[FECHA Entrega]]</f>
        <v>0</v>
      </c>
      <c r="E402" s="830"/>
      <c r="F402" s="831"/>
      <c r="G402" s="832"/>
      <c r="H402" s="852"/>
      <c r="I402" s="834"/>
      <c r="J402" s="835"/>
      <c r="K402" s="836">
        <f t="shared" si="127"/>
        <v>0</v>
      </c>
      <c r="L40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02" s="837">
        <f t="shared" si="137"/>
        <v>0</v>
      </c>
      <c r="N402" s="838">
        <f>+Tabla1[[#This Row],[VENTA TOTAL $ (IVA INC) ]]</f>
        <v>0</v>
      </c>
      <c r="O402" s="838">
        <v>0</v>
      </c>
      <c r="P402" s="838">
        <v>0</v>
      </c>
      <c r="Q402" s="839">
        <f>+Tabla1[[#This Row],[VENTA TOTAL $ (IVA INC) ]]-Tabla1[[#This Row],[PENDIENTE DE COBRO]]</f>
        <v>0</v>
      </c>
      <c r="R402" s="840">
        <f>+Tabla1[[#This Row],[FECHA FC]]+Tabla1[[#This Row],[PLAZO ENTREGA VALORES]]</f>
        <v>0</v>
      </c>
      <c r="S402" s="840">
        <f>+Tabla1[[#This Row],[FECHA FC]]+Tabla1[[#This Row],[PLAZO PAGO (DIAS)]]</f>
        <v>0</v>
      </c>
      <c r="T402" s="834">
        <f t="shared" ca="1" si="128"/>
        <v>-46181</v>
      </c>
      <c r="U402" s="831"/>
      <c r="V402" s="831"/>
      <c r="W402" s="841">
        <f>+S402+7</f>
        <v>7</v>
      </c>
      <c r="X402" s="830"/>
      <c r="Y402" s="859"/>
      <c r="Z402" s="860">
        <f>Tabla1[[#This Row],[KGS]]/50</f>
        <v>0</v>
      </c>
      <c r="AA40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02" s="844">
        <f>-Tabla1[[#This Row],[COSTO FLETE $ POR BOLSA 5O KG (SIN IVA)]]*1.21-Tabla1[[#This Row],[PRECIO $/ KG A PLAZO EN CLIENTE ( SIN IVA)]]*0.003*1.21*50</f>
        <v>0</v>
      </c>
      <c r="AC402" s="845" t="e">
        <f>SUM(Tabla1[[#This Row],[PRECIO $ BOLSA 50 KG (IVA INC) ]]+Tabla1[[#This Row],[COSTO FLETE $ BOLSA 50 KG (IVA INC)]])</f>
        <v>#VALUE!</v>
      </c>
      <c r="AD402" s="844" t="e">
        <f>-Tabla1[[#This Row],[PRECIO $ BOLSA 50 KG (IVA INC) ]]*(Tabla1[[#This Row],[TASA FINANCIACION MENSUAL]]/365)*Tabla1[[#This Row],[PLAZO ENTREGA VALORES]]</f>
        <v>#VALUE!</v>
      </c>
      <c r="AE402" s="845" t="e">
        <f>SUM(Tabla1[[#This Row],[PRECIO $ BOLSA50 KG  FOB TUCUMAN A PLAZO (IVA INC)]]+Tabla1[[#This Row],[GASTOS FINANCIEROS $ BOLSA 50 KG (IVA INC)]])</f>
        <v>#VALUE!</v>
      </c>
      <c r="AF402" s="828"/>
      <c r="AG402" s="828"/>
      <c r="AH402" s="828"/>
      <c r="AI402" s="828"/>
      <c r="AJ40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02" s="846" t="e">
        <f>SUM(Tabla1[[#This Row],[PRECIO $ BOLSA 50KG  FOB CDO TUC (IVA INC)]]-Tabla1[[#This Row],[PRECIO REF $ BOLSA 50 KG CACTU (IVA INC)]])</f>
        <v>#VALUE!</v>
      </c>
      <c r="AL402" s="847" t="str">
        <f>IFERROR(Tabla1[[#This Row],[PRECIO $ BOLSA 50KG  FOB CDO TUC (IVA INC)]]/Tabla1[[#This Row],[PRECIO REF $ BOLSA 50 KG CACTU (IVA INC)]]-1,"")</f>
        <v/>
      </c>
      <c r="AM402" s="846" t="e">
        <f>+Tabla1[[#This Row],[DIF $ PRECIO NETO INDUSTRIA vs Neto TUCUMAN (IVA INC)]]*Tabla1[[#This Row],[Q Bolsas Equivalentes 50kg]]</f>
        <v>#VALUE!</v>
      </c>
      <c r="AN402" s="846" t="e">
        <f>Tabla1[[#This Row],[PRECIO REF $ BOLSA 50 KG CACTU (IVA INC)]]*Tabla1[[#This Row],[Q Bolsas Equivalentes 50kg]]</f>
        <v>#VALUE!</v>
      </c>
      <c r="AO402" s="846" t="e">
        <f>+Tabla1[[#This Row],[PRECIO $ BOLSA 50KG  FOB CDO TUC (IVA INC)]]*Tabla1[[#This Row],[Q Bolsas Equivalentes 50kg]]</f>
        <v>#VALUE!</v>
      </c>
      <c r="AP402" s="847"/>
      <c r="AQ402" s="846">
        <v>0</v>
      </c>
      <c r="AR402" s="828"/>
      <c r="AS402" s="849"/>
      <c r="AT402" s="923">
        <f>+Tabla1[[#This Row],[VENTA TOTAL $ (IVA INC) ]]-(SUM(Tabla1[[#This Row],[PENDIENTE DE ENTREGA]:[VALORES COBRADOS]]))</f>
        <v>0</v>
      </c>
      <c r="AU402" s="850" t="e">
        <f>VLOOKUP(Tabla1[[#This Row],[FECHA OC]],'TIPO DE CAMBIO'!A:B,2,TRUE)</f>
        <v>#N/A</v>
      </c>
      <c r="AV402" s="850" t="e">
        <f>+Tabla1[[#This Row],[SUBTOTAL]]/Tabla1[[#This Row],[TIPO DE CAMBIO]]</f>
        <v>#N/A</v>
      </c>
      <c r="AW402" s="851"/>
      <c r="AX402" s="850" t="str">
        <f>IFERROR(Tabla1[[#This Row],[VENTA TOTAL USD A PLAZO EN CLIENTE  (SIN IVA)]]*(1+Tabla1[[#This Row],[% IVA ]]),"")</f>
        <v/>
      </c>
      <c r="AY402" s="850" t="e">
        <f>+Tabla1[[#This Row],[VENTA TOTAL USD A PLAZO EN CLIENTE  (SIN IVA)]]/Tabla1[[#This Row],[KGS]]*1000</f>
        <v>#N/A</v>
      </c>
      <c r="AZ402" s="850" t="e">
        <f>-Tabla1[[#This Row],[COSTO FLETE $ POR BOLSA 5O KG (SIN IVA)]]*20/Tabla1[[#This Row],[TIPO DE CAMBIO]]</f>
        <v>#N/A</v>
      </c>
      <c r="BA402" s="850" t="e">
        <f>+Tabla1[[#This Row],[GASTOS FINANCIEROS $ BOLSA 50 KG (IVA INC)]]*20/Tabla1[[#This Row],[TIPO DE CAMBIO]]</f>
        <v>#VALUE!</v>
      </c>
      <c r="BB402" s="850" t="e">
        <f>+Tabla1[[#This Row],[PRECIO POR TN USD EN CLIENTE A PLAZO (SIN IVA)]]+Tabla1[[#This Row],[COSTO USD FLETE /TN (SIN IVA)]]+Tabla1[[#This Row],[COSTO FINANCIERO USD POR BOLSA 50KG (IVA INC)]]</f>
        <v>#N/A</v>
      </c>
      <c r="BC402" s="848"/>
      <c r="BD402" s="944"/>
    </row>
    <row r="403" spans="1:56" ht="15.75" customHeight="1">
      <c r="A403" s="912">
        <v>46235</v>
      </c>
      <c r="B403" s="853"/>
      <c r="C403" s="792"/>
      <c r="D403" s="829">
        <f>+Tabla1[[#This Row],[FECHA Entrega]]</f>
        <v>0</v>
      </c>
      <c r="E403" s="830"/>
      <c r="F403" s="831"/>
      <c r="G403" s="832"/>
      <c r="H403" s="852"/>
      <c r="I403" s="834"/>
      <c r="J403" s="835"/>
      <c r="K403" s="836">
        <f t="shared" si="127"/>
        <v>0</v>
      </c>
      <c r="L40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03" s="837">
        <f t="shared" si="137"/>
        <v>0</v>
      </c>
      <c r="N403" s="838">
        <f>+Tabla1[[#This Row],[VENTA TOTAL $ (IVA INC) ]]</f>
        <v>0</v>
      </c>
      <c r="O403" s="838">
        <v>0</v>
      </c>
      <c r="P403" s="838">
        <v>0</v>
      </c>
      <c r="Q403" s="839">
        <f>+Tabla1[[#This Row],[VENTA TOTAL $ (IVA INC) ]]-Tabla1[[#This Row],[PENDIENTE DE COBRO]]</f>
        <v>0</v>
      </c>
      <c r="R403" s="840">
        <f>+Tabla1[[#This Row],[FECHA FC]]+Tabla1[[#This Row],[PLAZO ENTREGA VALORES]]</f>
        <v>0</v>
      </c>
      <c r="S403" s="840">
        <f>+Tabla1[[#This Row],[FECHA FC]]+Tabla1[[#This Row],[PLAZO PAGO (DIAS)]]</f>
        <v>0</v>
      </c>
      <c r="T403" s="834">
        <f t="shared" ca="1" si="128"/>
        <v>-46181</v>
      </c>
      <c r="U403" s="831"/>
      <c r="V403" s="831"/>
      <c r="W403" s="841">
        <f>+S403+7</f>
        <v>7</v>
      </c>
      <c r="X403" s="830"/>
      <c r="Y403" s="859"/>
      <c r="Z403" s="860">
        <f>Tabla1[[#This Row],[KGS]]/50</f>
        <v>0</v>
      </c>
      <c r="AA40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03" s="844">
        <f>-Tabla1[[#This Row],[COSTO FLETE $ POR BOLSA 5O KG (SIN IVA)]]*1.21-Tabla1[[#This Row],[PRECIO $/ KG A PLAZO EN CLIENTE ( SIN IVA)]]*0.003*1.21*50</f>
        <v>0</v>
      </c>
      <c r="AC403" s="845" t="e">
        <f>SUM(Tabla1[[#This Row],[PRECIO $ BOLSA 50 KG (IVA INC) ]]+Tabla1[[#This Row],[COSTO FLETE $ BOLSA 50 KG (IVA INC)]])</f>
        <v>#VALUE!</v>
      </c>
      <c r="AD403" s="844" t="e">
        <f>-Tabla1[[#This Row],[PRECIO $ BOLSA 50 KG (IVA INC) ]]*(Tabla1[[#This Row],[TASA FINANCIACION MENSUAL]]/365)*Tabla1[[#This Row],[PLAZO ENTREGA VALORES]]</f>
        <v>#VALUE!</v>
      </c>
      <c r="AE403" s="845" t="e">
        <f>SUM(Tabla1[[#This Row],[PRECIO $ BOLSA50 KG  FOB TUCUMAN A PLAZO (IVA INC)]]+Tabla1[[#This Row],[GASTOS FINANCIEROS $ BOLSA 50 KG (IVA INC)]])</f>
        <v>#VALUE!</v>
      </c>
      <c r="AF403" s="828"/>
      <c r="AG403" s="828"/>
      <c r="AH403" s="828"/>
      <c r="AI403" s="828"/>
      <c r="AJ40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03" s="846" t="e">
        <f>SUM(Tabla1[[#This Row],[PRECIO $ BOLSA 50KG  FOB CDO TUC (IVA INC)]]-Tabla1[[#This Row],[PRECIO REF $ BOLSA 50 KG CACTU (IVA INC)]])</f>
        <v>#VALUE!</v>
      </c>
      <c r="AL403" s="847" t="str">
        <f>IFERROR(Tabla1[[#This Row],[PRECIO $ BOLSA 50KG  FOB CDO TUC (IVA INC)]]/Tabla1[[#This Row],[PRECIO REF $ BOLSA 50 KG CACTU (IVA INC)]]-1,"")</f>
        <v/>
      </c>
      <c r="AM403" s="846" t="e">
        <f>+Tabla1[[#This Row],[DIF $ PRECIO NETO INDUSTRIA vs Neto TUCUMAN (IVA INC)]]*Tabla1[[#This Row],[Q Bolsas Equivalentes 50kg]]</f>
        <v>#VALUE!</v>
      </c>
      <c r="AN403" s="846" t="e">
        <f>Tabla1[[#This Row],[PRECIO REF $ BOLSA 50 KG CACTU (IVA INC)]]*Tabla1[[#This Row],[Q Bolsas Equivalentes 50kg]]</f>
        <v>#VALUE!</v>
      </c>
      <c r="AO403" s="846" t="e">
        <f>+Tabla1[[#This Row],[PRECIO $ BOLSA 50KG  FOB CDO TUC (IVA INC)]]*Tabla1[[#This Row],[Q Bolsas Equivalentes 50kg]]</f>
        <v>#VALUE!</v>
      </c>
      <c r="AP403" s="847"/>
      <c r="AQ403" s="846">
        <v>0</v>
      </c>
      <c r="AR403" s="828"/>
      <c r="AS403" s="849"/>
      <c r="AT403" s="923">
        <f>+Tabla1[[#This Row],[VENTA TOTAL $ (IVA INC) ]]-(SUM(Tabla1[[#This Row],[PENDIENTE DE ENTREGA]:[VALORES COBRADOS]]))</f>
        <v>0</v>
      </c>
      <c r="AU403" s="850" t="e">
        <f>VLOOKUP(Tabla1[[#This Row],[FECHA OC]],'TIPO DE CAMBIO'!A:B,2,TRUE)</f>
        <v>#N/A</v>
      </c>
      <c r="AV403" s="850" t="e">
        <f>+Tabla1[[#This Row],[SUBTOTAL]]/Tabla1[[#This Row],[TIPO DE CAMBIO]]</f>
        <v>#N/A</v>
      </c>
      <c r="AW403" s="851"/>
      <c r="AX403" s="850" t="str">
        <f>IFERROR(Tabla1[[#This Row],[VENTA TOTAL USD A PLAZO EN CLIENTE  (SIN IVA)]]*(1+Tabla1[[#This Row],[% IVA ]]),"")</f>
        <v/>
      </c>
      <c r="AY403" s="850" t="e">
        <f>+Tabla1[[#This Row],[VENTA TOTAL USD A PLAZO EN CLIENTE  (SIN IVA)]]/Tabla1[[#This Row],[KGS]]*1000</f>
        <v>#N/A</v>
      </c>
      <c r="AZ403" s="850" t="e">
        <f>-Tabla1[[#This Row],[COSTO FLETE $ POR BOLSA 5O KG (SIN IVA)]]*20/Tabla1[[#This Row],[TIPO DE CAMBIO]]</f>
        <v>#N/A</v>
      </c>
      <c r="BA403" s="850" t="e">
        <f>+Tabla1[[#This Row],[GASTOS FINANCIEROS $ BOLSA 50 KG (IVA INC)]]*20/Tabla1[[#This Row],[TIPO DE CAMBIO]]</f>
        <v>#VALUE!</v>
      </c>
      <c r="BB403" s="850" t="e">
        <f>+Tabla1[[#This Row],[PRECIO POR TN USD EN CLIENTE A PLAZO (SIN IVA)]]+Tabla1[[#This Row],[COSTO USD FLETE /TN (SIN IVA)]]+Tabla1[[#This Row],[COSTO FINANCIERO USD POR BOLSA 50KG (IVA INC)]]</f>
        <v>#N/A</v>
      </c>
      <c r="BC403" s="848"/>
      <c r="BD403" s="944"/>
    </row>
    <row r="404" spans="1:56" ht="15.75" customHeight="1">
      <c r="A404" s="912">
        <v>46235</v>
      </c>
      <c r="B404" s="853"/>
      <c r="C404" s="792"/>
      <c r="D404" s="829">
        <f>+Tabla1[[#This Row],[FECHA Entrega]]</f>
        <v>0</v>
      </c>
      <c r="E404" s="830"/>
      <c r="F404" s="831"/>
      <c r="G404" s="832"/>
      <c r="H404" s="852"/>
      <c r="I404" s="834"/>
      <c r="J404" s="835"/>
      <c r="K404" s="836">
        <f t="shared" si="127"/>
        <v>0</v>
      </c>
      <c r="L40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04" s="837">
        <f t="shared" si="137"/>
        <v>0</v>
      </c>
      <c r="N404" s="838">
        <f>+Tabla1[[#This Row],[VENTA TOTAL $ (IVA INC) ]]</f>
        <v>0</v>
      </c>
      <c r="O404" s="838">
        <v>0</v>
      </c>
      <c r="P404" s="838">
        <v>0</v>
      </c>
      <c r="Q404" s="839">
        <f>+Tabla1[[#This Row],[VENTA TOTAL $ (IVA INC) ]]-Tabla1[[#This Row],[PENDIENTE DE COBRO]]</f>
        <v>0</v>
      </c>
      <c r="R404" s="840">
        <f>+Tabla1[[#This Row],[FECHA FC]]+Tabla1[[#This Row],[PLAZO ENTREGA VALORES]]</f>
        <v>0</v>
      </c>
      <c r="S404" s="840">
        <f>+Tabla1[[#This Row],[FECHA FC]]+Tabla1[[#This Row],[PLAZO PAGO (DIAS)]]</f>
        <v>0</v>
      </c>
      <c r="T404" s="834">
        <f t="shared" ca="1" si="128"/>
        <v>-46181</v>
      </c>
      <c r="U404" s="831"/>
      <c r="V404" s="831"/>
      <c r="W404" s="841">
        <f>+Tabla1[[#This Row],[FECHA VTO VALORES]]+7</f>
        <v>7</v>
      </c>
      <c r="X404" s="830"/>
      <c r="Y404" s="859"/>
      <c r="Z404" s="860">
        <f>Tabla1[[#This Row],[KGS]]/50</f>
        <v>0</v>
      </c>
      <c r="AA40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04" s="844">
        <f>-Tabla1[[#This Row],[COSTO FLETE $ POR BOLSA 5O KG (SIN IVA)]]*1.21-Tabla1[[#This Row],[PRECIO $/ KG A PLAZO EN CLIENTE ( SIN IVA)]]*0.003*1.21*50</f>
        <v>0</v>
      </c>
      <c r="AC404" s="845" t="e">
        <f>SUM(Tabla1[[#This Row],[PRECIO $ BOLSA 50 KG (IVA INC) ]]+Tabla1[[#This Row],[COSTO FLETE $ BOLSA 50 KG (IVA INC)]])</f>
        <v>#VALUE!</v>
      </c>
      <c r="AD404" s="844" t="e">
        <f>-Tabla1[[#This Row],[PRECIO $ BOLSA 50 KG (IVA INC) ]]*(Tabla1[[#This Row],[TASA FINANCIACION MENSUAL]]/365)*Tabla1[[#This Row],[PLAZO ENTREGA VALORES]]</f>
        <v>#VALUE!</v>
      </c>
      <c r="AE404" s="845" t="e">
        <f>SUM(Tabla1[[#This Row],[PRECIO $ BOLSA50 KG  FOB TUCUMAN A PLAZO (IVA INC)]]+Tabla1[[#This Row],[GASTOS FINANCIEROS $ BOLSA 50 KG (IVA INC)]])</f>
        <v>#VALUE!</v>
      </c>
      <c r="AF404" s="828"/>
      <c r="AG404" s="828"/>
      <c r="AH404" s="828"/>
      <c r="AI404" s="828"/>
      <c r="AJ40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04" s="846" t="e">
        <f>SUM(Tabla1[[#This Row],[PRECIO $ BOLSA 50KG  FOB CDO TUC (IVA INC)]]-Tabla1[[#This Row],[PRECIO REF $ BOLSA 50 KG CACTU (IVA INC)]])</f>
        <v>#VALUE!</v>
      </c>
      <c r="AL404" s="847" t="str">
        <f>IFERROR(Tabla1[[#This Row],[PRECIO $ BOLSA 50KG  FOB CDO TUC (IVA INC)]]/Tabla1[[#This Row],[PRECIO REF $ BOLSA 50 KG CACTU (IVA INC)]]-1,"")</f>
        <v/>
      </c>
      <c r="AM404" s="846" t="e">
        <f>+Tabla1[[#This Row],[DIF $ PRECIO NETO INDUSTRIA vs Neto TUCUMAN (IVA INC)]]*Tabla1[[#This Row],[Q Bolsas Equivalentes 50kg]]</f>
        <v>#VALUE!</v>
      </c>
      <c r="AN404" s="846" t="e">
        <f>Tabla1[[#This Row],[PRECIO REF $ BOLSA 50 KG CACTU (IVA INC)]]*Tabla1[[#This Row],[Q Bolsas Equivalentes 50kg]]</f>
        <v>#VALUE!</v>
      </c>
      <c r="AO404" s="846" t="e">
        <f>+Tabla1[[#This Row],[PRECIO $ BOLSA 50KG  FOB CDO TUC (IVA INC)]]*Tabla1[[#This Row],[Q Bolsas Equivalentes 50kg]]</f>
        <v>#VALUE!</v>
      </c>
      <c r="AP404" s="847"/>
      <c r="AQ404" s="846">
        <v>0</v>
      </c>
      <c r="AR404" s="828"/>
      <c r="AS404" s="849"/>
      <c r="AT404" s="923">
        <f>+Tabla1[[#This Row],[VENTA TOTAL $ (IVA INC) ]]-(SUM(Tabla1[[#This Row],[PENDIENTE DE ENTREGA]:[VALORES COBRADOS]]))</f>
        <v>0</v>
      </c>
      <c r="AU404" s="850" t="e">
        <f>VLOOKUP(Tabla1[[#This Row],[FECHA OC]],'TIPO DE CAMBIO'!A:B,2,TRUE)</f>
        <v>#N/A</v>
      </c>
      <c r="AV404" s="850" t="e">
        <f>+Tabla1[[#This Row],[SUBTOTAL]]/Tabla1[[#This Row],[TIPO DE CAMBIO]]</f>
        <v>#N/A</v>
      </c>
      <c r="AW404" s="851"/>
      <c r="AX404" s="850" t="str">
        <f>IFERROR(Tabla1[[#This Row],[VENTA TOTAL USD A PLAZO EN CLIENTE  (SIN IVA)]]*(1+Tabla1[[#This Row],[% IVA ]]),"")</f>
        <v/>
      </c>
      <c r="AY404" s="850" t="e">
        <f>+Tabla1[[#This Row],[VENTA TOTAL USD A PLAZO EN CLIENTE  (SIN IVA)]]/Tabla1[[#This Row],[KGS]]*1000</f>
        <v>#N/A</v>
      </c>
      <c r="AZ404" s="850" t="e">
        <f>-Tabla1[[#This Row],[COSTO FLETE $ POR BOLSA 5O KG (SIN IVA)]]*20/Tabla1[[#This Row],[TIPO DE CAMBIO]]</f>
        <v>#N/A</v>
      </c>
      <c r="BA404" s="850" t="e">
        <f>+Tabla1[[#This Row],[GASTOS FINANCIEROS $ BOLSA 50 KG (IVA INC)]]*20/Tabla1[[#This Row],[TIPO DE CAMBIO]]</f>
        <v>#VALUE!</v>
      </c>
      <c r="BB404" s="850" t="e">
        <f>+Tabla1[[#This Row],[PRECIO POR TN USD EN CLIENTE A PLAZO (SIN IVA)]]+Tabla1[[#This Row],[COSTO USD FLETE /TN (SIN IVA)]]+Tabla1[[#This Row],[COSTO FINANCIERO USD POR BOLSA 50KG (IVA INC)]]</f>
        <v>#N/A</v>
      </c>
      <c r="BC404" s="828"/>
      <c r="BD404" s="944"/>
    </row>
    <row r="405" spans="1:56" ht="15.75" customHeight="1">
      <c r="A405" s="912">
        <v>46235</v>
      </c>
      <c r="B405" s="853"/>
      <c r="C405" s="792"/>
      <c r="D405" s="829">
        <f>+Tabla1[[#This Row],[FECHA Entrega]]</f>
        <v>0</v>
      </c>
      <c r="E405" s="830"/>
      <c r="F405" s="831"/>
      <c r="G405" s="832"/>
      <c r="H405" s="852"/>
      <c r="I405" s="834"/>
      <c r="J405" s="835"/>
      <c r="K405" s="836">
        <f t="shared" si="127"/>
        <v>0</v>
      </c>
      <c r="L40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05" s="837">
        <f t="shared" si="137"/>
        <v>0</v>
      </c>
      <c r="N405" s="838">
        <f>+Tabla1[[#This Row],[VENTA TOTAL $ (IVA INC) ]]</f>
        <v>0</v>
      </c>
      <c r="O405" s="838">
        <v>0</v>
      </c>
      <c r="P405" s="838">
        <v>0</v>
      </c>
      <c r="Q405" s="839">
        <f>+Tabla1[[#This Row],[VENTA TOTAL $ (IVA INC) ]]-Tabla1[[#This Row],[PENDIENTE DE COBRO]]</f>
        <v>0</v>
      </c>
      <c r="R405" s="840">
        <f>+Tabla1[[#This Row],[FECHA FC]]+Tabla1[[#This Row],[PLAZO ENTREGA VALORES]]</f>
        <v>0</v>
      </c>
      <c r="S405" s="840">
        <f>+Tabla1[[#This Row],[FECHA FC]]+Tabla1[[#This Row],[PLAZO PAGO (DIAS)]]</f>
        <v>0</v>
      </c>
      <c r="T405" s="834">
        <f t="shared" ca="1" si="128"/>
        <v>-46181</v>
      </c>
      <c r="U405" s="831"/>
      <c r="V405" s="831"/>
      <c r="W405" s="841">
        <f>+Tabla1[[#This Row],[FECHA VTO VALORES]]+7</f>
        <v>7</v>
      </c>
      <c r="X405" s="830"/>
      <c r="Y405" s="859"/>
      <c r="Z405" s="860">
        <f>Tabla1[[#This Row],[KGS]]/50</f>
        <v>0</v>
      </c>
      <c r="AA40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05" s="844">
        <f>-Tabla1[[#This Row],[COSTO FLETE $ POR BOLSA 5O KG (SIN IVA)]]*1.21-Tabla1[[#This Row],[PRECIO $/ KG A PLAZO EN CLIENTE ( SIN IVA)]]*0.003*1.21*50</f>
        <v>0</v>
      </c>
      <c r="AC405" s="845" t="e">
        <f>SUM(Tabla1[[#This Row],[PRECIO $ BOLSA 50 KG (IVA INC) ]]+Tabla1[[#This Row],[COSTO FLETE $ BOLSA 50 KG (IVA INC)]])</f>
        <v>#VALUE!</v>
      </c>
      <c r="AD405" s="844" t="e">
        <f>-Tabla1[[#This Row],[PRECIO $ BOLSA 50 KG (IVA INC) ]]*(Tabla1[[#This Row],[TASA FINANCIACION MENSUAL]]/365)*Tabla1[[#This Row],[PLAZO ENTREGA VALORES]]</f>
        <v>#VALUE!</v>
      </c>
      <c r="AE405" s="845" t="e">
        <f>SUM(Tabla1[[#This Row],[PRECIO $ BOLSA50 KG  FOB TUCUMAN A PLAZO (IVA INC)]]+Tabla1[[#This Row],[GASTOS FINANCIEROS $ BOLSA 50 KG (IVA INC)]])</f>
        <v>#VALUE!</v>
      </c>
      <c r="AF405" s="828"/>
      <c r="AG405" s="828"/>
      <c r="AH405" s="828"/>
      <c r="AI405" s="828"/>
      <c r="AJ40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05" s="846" t="e">
        <f>SUM(Tabla1[[#This Row],[PRECIO $ BOLSA 50KG  FOB CDO TUC (IVA INC)]]-Tabla1[[#This Row],[PRECIO REF $ BOLSA 50 KG CACTU (IVA INC)]])</f>
        <v>#VALUE!</v>
      </c>
      <c r="AL405" s="847" t="str">
        <f>IFERROR(Tabla1[[#This Row],[PRECIO $ BOLSA 50KG  FOB CDO TUC (IVA INC)]]/Tabla1[[#This Row],[PRECIO REF $ BOLSA 50 KG CACTU (IVA INC)]]-1,"")</f>
        <v/>
      </c>
      <c r="AM405" s="846" t="e">
        <f>+Tabla1[[#This Row],[DIF $ PRECIO NETO INDUSTRIA vs Neto TUCUMAN (IVA INC)]]*Tabla1[[#This Row],[Q Bolsas Equivalentes 50kg]]</f>
        <v>#VALUE!</v>
      </c>
      <c r="AN405" s="846" t="e">
        <f>Tabla1[[#This Row],[PRECIO REF $ BOLSA 50 KG CACTU (IVA INC)]]*Tabla1[[#This Row],[Q Bolsas Equivalentes 50kg]]</f>
        <v>#VALUE!</v>
      </c>
      <c r="AO405" s="846" t="e">
        <f>+Tabla1[[#This Row],[PRECIO $ BOLSA 50KG  FOB CDO TUC (IVA INC)]]*Tabla1[[#This Row],[Q Bolsas Equivalentes 50kg]]</f>
        <v>#VALUE!</v>
      </c>
      <c r="AP405" s="847"/>
      <c r="AQ405" s="846">
        <v>0</v>
      </c>
      <c r="AR405" s="828"/>
      <c r="AS405" s="849"/>
      <c r="AT405" s="923">
        <f>+Tabla1[[#This Row],[VENTA TOTAL $ (IVA INC) ]]-(SUM(Tabla1[[#This Row],[PENDIENTE DE ENTREGA]:[VALORES COBRADOS]]))</f>
        <v>0</v>
      </c>
      <c r="AU405" s="850" t="e">
        <f>VLOOKUP(Tabla1[[#This Row],[FECHA OC]],'TIPO DE CAMBIO'!A:B,2,TRUE)</f>
        <v>#N/A</v>
      </c>
      <c r="AV405" s="850" t="e">
        <f>+Tabla1[[#This Row],[SUBTOTAL]]/Tabla1[[#This Row],[TIPO DE CAMBIO]]</f>
        <v>#N/A</v>
      </c>
      <c r="AW405" s="851"/>
      <c r="AX405" s="850" t="str">
        <f>IFERROR(Tabla1[[#This Row],[VENTA TOTAL USD A PLAZO EN CLIENTE  (SIN IVA)]]*(1+Tabla1[[#This Row],[% IVA ]]),"")</f>
        <v/>
      </c>
      <c r="AY405" s="850" t="e">
        <f>+Tabla1[[#This Row],[VENTA TOTAL USD A PLAZO EN CLIENTE  (SIN IVA)]]/Tabla1[[#This Row],[KGS]]*1000</f>
        <v>#N/A</v>
      </c>
      <c r="AZ405" s="850" t="e">
        <f>-Tabla1[[#This Row],[COSTO FLETE $ POR BOLSA 5O KG (SIN IVA)]]*20/Tabla1[[#This Row],[TIPO DE CAMBIO]]</f>
        <v>#N/A</v>
      </c>
      <c r="BA405" s="850" t="e">
        <f>+Tabla1[[#This Row],[GASTOS FINANCIEROS $ BOLSA 50 KG (IVA INC)]]*20/Tabla1[[#This Row],[TIPO DE CAMBIO]]</f>
        <v>#VALUE!</v>
      </c>
      <c r="BB405" s="850" t="e">
        <f>+Tabla1[[#This Row],[PRECIO POR TN USD EN CLIENTE A PLAZO (SIN IVA)]]+Tabla1[[#This Row],[COSTO USD FLETE /TN (SIN IVA)]]+Tabla1[[#This Row],[COSTO FINANCIERO USD POR BOLSA 50KG (IVA INC)]]</f>
        <v>#N/A</v>
      </c>
      <c r="BC405" s="848"/>
      <c r="BD405" s="944"/>
    </row>
    <row r="406" spans="1:56" ht="15.75" customHeight="1">
      <c r="A406" s="912">
        <v>46235</v>
      </c>
      <c r="B406" s="853"/>
      <c r="C406" s="792"/>
      <c r="D406" s="829">
        <f>+Tabla1[[#This Row],[FECHA Entrega]]</f>
        <v>0</v>
      </c>
      <c r="E406" s="830"/>
      <c r="F406" s="831"/>
      <c r="G406" s="832"/>
      <c r="H406" s="852"/>
      <c r="I406" s="834"/>
      <c r="J406" s="835"/>
      <c r="K406" s="836">
        <f t="shared" si="127"/>
        <v>0</v>
      </c>
      <c r="L40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06" s="837">
        <f t="shared" si="137"/>
        <v>0</v>
      </c>
      <c r="N406" s="838">
        <f>+Tabla1[[#This Row],[VENTA TOTAL $ (IVA INC) ]]</f>
        <v>0</v>
      </c>
      <c r="O406" s="838">
        <v>0</v>
      </c>
      <c r="P406" s="838">
        <v>0</v>
      </c>
      <c r="Q406" s="839">
        <f>+Tabla1[[#This Row],[VENTA TOTAL $ (IVA INC) ]]-Tabla1[[#This Row],[PENDIENTE DE COBRO]]</f>
        <v>0</v>
      </c>
      <c r="R406" s="840">
        <f>+Tabla1[[#This Row],[FECHA FC]]+Tabla1[[#This Row],[PLAZO ENTREGA VALORES]]</f>
        <v>0</v>
      </c>
      <c r="S406" s="840">
        <f>+Tabla1[[#This Row],[FECHA FC]]+Tabla1[[#This Row],[PLAZO PAGO (DIAS)]]</f>
        <v>0</v>
      </c>
      <c r="T406" s="834">
        <f t="shared" ca="1" si="128"/>
        <v>-46181</v>
      </c>
      <c r="U406" s="831"/>
      <c r="V406" s="831"/>
      <c r="W406" s="841">
        <f>+Tabla1[[#This Row],[FECHA VTO VALORES]]+7</f>
        <v>7</v>
      </c>
      <c r="X406" s="830"/>
      <c r="Y406" s="859"/>
      <c r="Z406" s="860">
        <f>Tabla1[[#This Row],[KGS]]/50</f>
        <v>0</v>
      </c>
      <c r="AA40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06" s="844">
        <f>-Tabla1[[#This Row],[COSTO FLETE $ POR BOLSA 5O KG (SIN IVA)]]*1.21-Tabla1[[#This Row],[PRECIO $/ KG A PLAZO EN CLIENTE ( SIN IVA)]]*0.003*1.21*50</f>
        <v>0</v>
      </c>
      <c r="AC406" s="845" t="e">
        <f>SUM(Tabla1[[#This Row],[PRECIO $ BOLSA 50 KG (IVA INC) ]]+Tabla1[[#This Row],[COSTO FLETE $ BOLSA 50 KG (IVA INC)]])</f>
        <v>#VALUE!</v>
      </c>
      <c r="AD406" s="844" t="e">
        <f>-Tabla1[[#This Row],[PRECIO $ BOLSA 50 KG (IVA INC) ]]*(Tabla1[[#This Row],[TASA FINANCIACION MENSUAL]]/365)*Tabla1[[#This Row],[PLAZO ENTREGA VALORES]]</f>
        <v>#VALUE!</v>
      </c>
      <c r="AE406" s="845" t="e">
        <f>SUM(Tabla1[[#This Row],[PRECIO $ BOLSA50 KG  FOB TUCUMAN A PLAZO (IVA INC)]]+Tabla1[[#This Row],[GASTOS FINANCIEROS $ BOLSA 50 KG (IVA INC)]])</f>
        <v>#VALUE!</v>
      </c>
      <c r="AF406" s="828"/>
      <c r="AG406" s="828"/>
      <c r="AH406" s="828"/>
      <c r="AI406" s="828"/>
      <c r="AJ40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06" s="846" t="e">
        <f>SUM(Tabla1[[#This Row],[PRECIO $ BOLSA 50KG  FOB CDO TUC (IVA INC)]]-Tabla1[[#This Row],[PRECIO REF $ BOLSA 50 KG CACTU (IVA INC)]])</f>
        <v>#VALUE!</v>
      </c>
      <c r="AL406" s="847" t="str">
        <f>IFERROR(Tabla1[[#This Row],[PRECIO $ BOLSA 50KG  FOB CDO TUC (IVA INC)]]/Tabla1[[#This Row],[PRECIO REF $ BOLSA 50 KG CACTU (IVA INC)]]-1,"")</f>
        <v/>
      </c>
      <c r="AM406" s="846" t="e">
        <f>+Tabla1[[#This Row],[DIF $ PRECIO NETO INDUSTRIA vs Neto TUCUMAN (IVA INC)]]*Tabla1[[#This Row],[Q Bolsas Equivalentes 50kg]]</f>
        <v>#VALUE!</v>
      </c>
      <c r="AN406" s="846" t="e">
        <f>Tabla1[[#This Row],[PRECIO REF $ BOLSA 50 KG CACTU (IVA INC)]]*Tabla1[[#This Row],[Q Bolsas Equivalentes 50kg]]</f>
        <v>#VALUE!</v>
      </c>
      <c r="AO406" s="846" t="e">
        <f>+Tabla1[[#This Row],[PRECIO $ BOLSA 50KG  FOB CDO TUC (IVA INC)]]*Tabla1[[#This Row],[Q Bolsas Equivalentes 50kg]]</f>
        <v>#VALUE!</v>
      </c>
      <c r="AP406" s="847"/>
      <c r="AQ406" s="846">
        <v>0</v>
      </c>
      <c r="AR406" s="828"/>
      <c r="AS406" s="849"/>
      <c r="AT406" s="923">
        <f>+Tabla1[[#This Row],[VENTA TOTAL $ (IVA INC) ]]-(SUM(Tabla1[[#This Row],[PENDIENTE DE ENTREGA]:[VALORES COBRADOS]]))</f>
        <v>0</v>
      </c>
      <c r="AU406" s="850" t="e">
        <f>VLOOKUP(Tabla1[[#This Row],[FECHA OC]],'TIPO DE CAMBIO'!A:B,2,TRUE)</f>
        <v>#N/A</v>
      </c>
      <c r="AV406" s="850" t="e">
        <f>+Tabla1[[#This Row],[SUBTOTAL]]/Tabla1[[#This Row],[TIPO DE CAMBIO]]</f>
        <v>#N/A</v>
      </c>
      <c r="AW406" s="851"/>
      <c r="AX406" s="850" t="str">
        <f>IFERROR(Tabla1[[#This Row],[VENTA TOTAL USD A PLAZO EN CLIENTE  (SIN IVA)]]*(1+Tabla1[[#This Row],[% IVA ]]),"")</f>
        <v/>
      </c>
      <c r="AY406" s="850" t="e">
        <f>+Tabla1[[#This Row],[VENTA TOTAL USD A PLAZO EN CLIENTE  (SIN IVA)]]/Tabla1[[#This Row],[KGS]]*1000</f>
        <v>#N/A</v>
      </c>
      <c r="AZ406" s="850" t="e">
        <f>-Tabla1[[#This Row],[COSTO FLETE $ POR BOLSA 5O KG (SIN IVA)]]*20/Tabla1[[#This Row],[TIPO DE CAMBIO]]</f>
        <v>#N/A</v>
      </c>
      <c r="BA406" s="850" t="e">
        <f>+Tabla1[[#This Row],[GASTOS FINANCIEROS $ BOLSA 50 KG (IVA INC)]]*20/Tabla1[[#This Row],[TIPO DE CAMBIO]]</f>
        <v>#VALUE!</v>
      </c>
      <c r="BB406" s="850" t="e">
        <f>+Tabla1[[#This Row],[PRECIO POR TN USD EN CLIENTE A PLAZO (SIN IVA)]]+Tabla1[[#This Row],[COSTO USD FLETE /TN (SIN IVA)]]+Tabla1[[#This Row],[COSTO FINANCIERO USD POR BOLSA 50KG (IVA INC)]]</f>
        <v>#N/A</v>
      </c>
      <c r="BC406" s="848"/>
      <c r="BD406" s="944"/>
    </row>
    <row r="407" spans="1:56" ht="15.75" customHeight="1">
      <c r="A407" s="912">
        <v>46235</v>
      </c>
      <c r="B407" s="853"/>
      <c r="C407" s="792"/>
      <c r="D407" s="829">
        <f>+Tabla1[[#This Row],[FECHA Entrega]]</f>
        <v>0</v>
      </c>
      <c r="E407" s="830"/>
      <c r="F407" s="831"/>
      <c r="G407" s="832"/>
      <c r="H407" s="852"/>
      <c r="I407" s="834"/>
      <c r="J407" s="835"/>
      <c r="K407" s="836">
        <f t="shared" si="127"/>
        <v>0</v>
      </c>
      <c r="L40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07" s="837">
        <f t="shared" si="137"/>
        <v>0</v>
      </c>
      <c r="N407" s="838">
        <f>+Tabla1[[#This Row],[VENTA TOTAL $ (IVA INC) ]]</f>
        <v>0</v>
      </c>
      <c r="O407" s="838">
        <v>0</v>
      </c>
      <c r="P407" s="838">
        <v>0</v>
      </c>
      <c r="Q407" s="839">
        <f>+Tabla1[[#This Row],[VENTA TOTAL $ (IVA INC) ]]-Tabla1[[#This Row],[PENDIENTE DE COBRO]]</f>
        <v>0</v>
      </c>
      <c r="R407" s="840">
        <f>+Tabla1[[#This Row],[FECHA FC]]+Tabla1[[#This Row],[PLAZO ENTREGA VALORES]]</f>
        <v>0</v>
      </c>
      <c r="S407" s="840">
        <f>+Tabla1[[#This Row],[FECHA FC]]+Tabla1[[#This Row],[PLAZO PAGO (DIAS)]]</f>
        <v>0</v>
      </c>
      <c r="T407" s="834">
        <f t="shared" ca="1" si="128"/>
        <v>-46181</v>
      </c>
      <c r="U407" s="831"/>
      <c r="V407" s="831"/>
      <c r="W407" s="841">
        <f>+Tabla1[[#This Row],[FECHA VTO VALORES]]+7</f>
        <v>7</v>
      </c>
      <c r="X407" s="830"/>
      <c r="Y407" s="859"/>
      <c r="Z407" s="860">
        <f>Tabla1[[#This Row],[KGS]]/50</f>
        <v>0</v>
      </c>
      <c r="AA40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07" s="844">
        <f>-Tabla1[[#This Row],[COSTO FLETE $ POR BOLSA 5O KG (SIN IVA)]]*1.21-Tabla1[[#This Row],[PRECIO $/ KG A PLAZO EN CLIENTE ( SIN IVA)]]*0.003*1.21*50</f>
        <v>0</v>
      </c>
      <c r="AC407" s="845" t="e">
        <f>SUM(Tabla1[[#This Row],[PRECIO $ BOLSA 50 KG (IVA INC) ]]+Tabla1[[#This Row],[COSTO FLETE $ BOLSA 50 KG (IVA INC)]])</f>
        <v>#VALUE!</v>
      </c>
      <c r="AD407" s="844" t="e">
        <f>-Tabla1[[#This Row],[PRECIO $ BOLSA 50 KG (IVA INC) ]]*(Tabla1[[#This Row],[TASA FINANCIACION MENSUAL]]/365)*Tabla1[[#This Row],[PLAZO ENTREGA VALORES]]</f>
        <v>#VALUE!</v>
      </c>
      <c r="AE407" s="845" t="e">
        <f>SUM(Tabla1[[#This Row],[PRECIO $ BOLSA50 KG  FOB TUCUMAN A PLAZO (IVA INC)]]+Tabla1[[#This Row],[GASTOS FINANCIEROS $ BOLSA 50 KG (IVA INC)]])</f>
        <v>#VALUE!</v>
      </c>
      <c r="AF407" s="828"/>
      <c r="AG407" s="828"/>
      <c r="AH407" s="828"/>
      <c r="AI407" s="828"/>
      <c r="AJ40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07" s="846" t="e">
        <f>SUM(Tabla1[[#This Row],[PRECIO $ BOLSA 50KG  FOB CDO TUC (IVA INC)]]-Tabla1[[#This Row],[PRECIO REF $ BOLSA 50 KG CACTU (IVA INC)]])</f>
        <v>#VALUE!</v>
      </c>
      <c r="AL407" s="847" t="str">
        <f>IFERROR(Tabla1[[#This Row],[PRECIO $ BOLSA 50KG  FOB CDO TUC (IVA INC)]]/Tabla1[[#This Row],[PRECIO REF $ BOLSA 50 KG CACTU (IVA INC)]]-1,"")</f>
        <v/>
      </c>
      <c r="AM407" s="846" t="e">
        <f>+Tabla1[[#This Row],[DIF $ PRECIO NETO INDUSTRIA vs Neto TUCUMAN (IVA INC)]]*Tabla1[[#This Row],[Q Bolsas Equivalentes 50kg]]</f>
        <v>#VALUE!</v>
      </c>
      <c r="AN407" s="846" t="e">
        <f>Tabla1[[#This Row],[PRECIO REF $ BOLSA 50 KG CACTU (IVA INC)]]*Tabla1[[#This Row],[Q Bolsas Equivalentes 50kg]]</f>
        <v>#VALUE!</v>
      </c>
      <c r="AO407" s="846" t="e">
        <f>+Tabla1[[#This Row],[PRECIO $ BOLSA 50KG  FOB CDO TUC (IVA INC)]]*Tabla1[[#This Row],[Q Bolsas Equivalentes 50kg]]</f>
        <v>#VALUE!</v>
      </c>
      <c r="AP407" s="847"/>
      <c r="AQ407" s="846">
        <v>0</v>
      </c>
      <c r="AR407" s="828"/>
      <c r="AS407" s="849"/>
      <c r="AT407" s="923">
        <f>+Tabla1[[#This Row],[VENTA TOTAL $ (IVA INC) ]]-(SUM(Tabla1[[#This Row],[PENDIENTE DE ENTREGA]:[VALORES COBRADOS]]))</f>
        <v>0</v>
      </c>
      <c r="AU407" s="850" t="e">
        <f>VLOOKUP(Tabla1[[#This Row],[FECHA OC]],'TIPO DE CAMBIO'!A:B,2,TRUE)</f>
        <v>#N/A</v>
      </c>
      <c r="AV407" s="850" t="e">
        <f>+Tabla1[[#This Row],[SUBTOTAL]]/Tabla1[[#This Row],[TIPO DE CAMBIO]]</f>
        <v>#N/A</v>
      </c>
      <c r="AW407" s="851"/>
      <c r="AX407" s="850" t="str">
        <f>IFERROR(Tabla1[[#This Row],[VENTA TOTAL USD A PLAZO EN CLIENTE  (SIN IVA)]]*(1+Tabla1[[#This Row],[% IVA ]]),"")</f>
        <v/>
      </c>
      <c r="AY407" s="850" t="e">
        <f>+Tabla1[[#This Row],[VENTA TOTAL USD A PLAZO EN CLIENTE  (SIN IVA)]]/Tabla1[[#This Row],[KGS]]*1000</f>
        <v>#N/A</v>
      </c>
      <c r="AZ407" s="850" t="e">
        <f>-Tabla1[[#This Row],[COSTO FLETE $ POR BOLSA 5O KG (SIN IVA)]]*20/Tabla1[[#This Row],[TIPO DE CAMBIO]]</f>
        <v>#N/A</v>
      </c>
      <c r="BA407" s="850" t="e">
        <f>+Tabla1[[#This Row],[GASTOS FINANCIEROS $ BOLSA 50 KG (IVA INC)]]*20/Tabla1[[#This Row],[TIPO DE CAMBIO]]</f>
        <v>#VALUE!</v>
      </c>
      <c r="BB407" s="850" t="e">
        <f>+Tabla1[[#This Row],[PRECIO POR TN USD EN CLIENTE A PLAZO (SIN IVA)]]+Tabla1[[#This Row],[COSTO USD FLETE /TN (SIN IVA)]]+Tabla1[[#This Row],[COSTO FINANCIERO USD POR BOLSA 50KG (IVA INC)]]</f>
        <v>#N/A</v>
      </c>
      <c r="BC407" s="848"/>
      <c r="BD407" s="944"/>
    </row>
    <row r="408" spans="1:56" ht="15.75" customHeight="1">
      <c r="A408" s="912">
        <v>46235</v>
      </c>
      <c r="B408" s="853"/>
      <c r="C408" s="792"/>
      <c r="D408" s="829">
        <f>+Tabla1[[#This Row],[FECHA Entrega]]</f>
        <v>0</v>
      </c>
      <c r="E408" s="830"/>
      <c r="F408" s="831"/>
      <c r="G408" s="832"/>
      <c r="H408" s="852"/>
      <c r="I408" s="834"/>
      <c r="J408" s="835"/>
      <c r="K408" s="836">
        <f t="shared" si="127"/>
        <v>0</v>
      </c>
      <c r="L40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08" s="837">
        <f t="shared" si="137"/>
        <v>0</v>
      </c>
      <c r="N408" s="838">
        <f>+Tabla1[[#This Row],[VENTA TOTAL $ (IVA INC) ]]</f>
        <v>0</v>
      </c>
      <c r="O408" s="838">
        <v>0</v>
      </c>
      <c r="P408" s="838">
        <v>0</v>
      </c>
      <c r="Q408" s="839">
        <f>+Tabla1[[#This Row],[VENTA TOTAL $ (IVA INC) ]]-Tabla1[[#This Row],[PENDIENTE DE COBRO]]</f>
        <v>0</v>
      </c>
      <c r="R408" s="840">
        <f>+Tabla1[[#This Row],[FECHA FC]]+Tabla1[[#This Row],[PLAZO ENTREGA VALORES]]</f>
        <v>0</v>
      </c>
      <c r="S408" s="840">
        <f>+Tabla1[[#This Row],[FECHA FC]]+Tabla1[[#This Row],[PLAZO PAGO (DIAS)]]</f>
        <v>0</v>
      </c>
      <c r="T408" s="834">
        <f t="shared" ca="1" si="128"/>
        <v>-46181</v>
      </c>
      <c r="U408" s="831"/>
      <c r="V408" s="831"/>
      <c r="W408" s="841">
        <f>+Tabla1[[#This Row],[FECHA VTO VALORES]]+7</f>
        <v>7</v>
      </c>
      <c r="X408" s="830"/>
      <c r="Y408" s="859"/>
      <c r="Z408" s="860">
        <f>Tabla1[[#This Row],[KGS]]/50</f>
        <v>0</v>
      </c>
      <c r="AA40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08" s="844">
        <f>-Tabla1[[#This Row],[COSTO FLETE $ POR BOLSA 5O KG (SIN IVA)]]*1.21-Tabla1[[#This Row],[PRECIO $/ KG A PLAZO EN CLIENTE ( SIN IVA)]]*0.003*1.21*50</f>
        <v>0</v>
      </c>
      <c r="AC408" s="845" t="e">
        <f>SUM(Tabla1[[#This Row],[PRECIO $ BOLSA 50 KG (IVA INC) ]]+Tabla1[[#This Row],[COSTO FLETE $ BOLSA 50 KG (IVA INC)]])</f>
        <v>#VALUE!</v>
      </c>
      <c r="AD408" s="844" t="e">
        <f>-Tabla1[[#This Row],[PRECIO $ BOLSA 50 KG (IVA INC) ]]*(Tabla1[[#This Row],[TASA FINANCIACION MENSUAL]]/365)*Tabla1[[#This Row],[PLAZO ENTREGA VALORES]]</f>
        <v>#VALUE!</v>
      </c>
      <c r="AE408" s="845" t="e">
        <f>SUM(Tabla1[[#This Row],[PRECIO $ BOLSA50 KG  FOB TUCUMAN A PLAZO (IVA INC)]]+Tabla1[[#This Row],[GASTOS FINANCIEROS $ BOLSA 50 KG (IVA INC)]])</f>
        <v>#VALUE!</v>
      </c>
      <c r="AF408" s="828"/>
      <c r="AG408" s="828"/>
      <c r="AH408" s="828"/>
      <c r="AI408" s="828"/>
      <c r="AJ40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08" s="846" t="e">
        <f>SUM(Tabla1[[#This Row],[PRECIO $ BOLSA 50KG  FOB CDO TUC (IVA INC)]]-Tabla1[[#This Row],[PRECIO REF $ BOLSA 50 KG CACTU (IVA INC)]])</f>
        <v>#VALUE!</v>
      </c>
      <c r="AL408" s="847" t="str">
        <f>IFERROR(Tabla1[[#This Row],[PRECIO $ BOLSA 50KG  FOB CDO TUC (IVA INC)]]/Tabla1[[#This Row],[PRECIO REF $ BOLSA 50 KG CACTU (IVA INC)]]-1,"")</f>
        <v/>
      </c>
      <c r="AM408" s="846" t="e">
        <f>+Tabla1[[#This Row],[DIF $ PRECIO NETO INDUSTRIA vs Neto TUCUMAN (IVA INC)]]*Tabla1[[#This Row],[Q Bolsas Equivalentes 50kg]]</f>
        <v>#VALUE!</v>
      </c>
      <c r="AN408" s="846" t="e">
        <f>Tabla1[[#This Row],[PRECIO REF $ BOLSA 50 KG CACTU (IVA INC)]]*Tabla1[[#This Row],[Q Bolsas Equivalentes 50kg]]</f>
        <v>#VALUE!</v>
      </c>
      <c r="AO408" s="846" t="e">
        <f>+Tabla1[[#This Row],[PRECIO $ BOLSA 50KG  FOB CDO TUC (IVA INC)]]*Tabla1[[#This Row],[Q Bolsas Equivalentes 50kg]]</f>
        <v>#VALUE!</v>
      </c>
      <c r="AP408" s="847"/>
      <c r="AQ408" s="846">
        <v>0</v>
      </c>
      <c r="AR408" s="828"/>
      <c r="AS408" s="849"/>
      <c r="AT408" s="923">
        <f>+Tabla1[[#This Row],[VENTA TOTAL $ (IVA INC) ]]-(SUM(Tabla1[[#This Row],[PENDIENTE DE ENTREGA]:[VALORES COBRADOS]]))</f>
        <v>0</v>
      </c>
      <c r="AU408" s="850" t="e">
        <f>VLOOKUP(Tabla1[[#This Row],[FECHA OC]],'TIPO DE CAMBIO'!A:B,2,TRUE)</f>
        <v>#N/A</v>
      </c>
      <c r="AV408" s="850" t="e">
        <f>+Tabla1[[#This Row],[SUBTOTAL]]/Tabla1[[#This Row],[TIPO DE CAMBIO]]</f>
        <v>#N/A</v>
      </c>
      <c r="AW408" s="851"/>
      <c r="AX408" s="850" t="str">
        <f>IFERROR(Tabla1[[#This Row],[VENTA TOTAL USD A PLAZO EN CLIENTE  (SIN IVA)]]*(1+Tabla1[[#This Row],[% IVA ]]),"")</f>
        <v/>
      </c>
      <c r="AY408" s="850" t="e">
        <f>+Tabla1[[#This Row],[VENTA TOTAL USD A PLAZO EN CLIENTE  (SIN IVA)]]/Tabla1[[#This Row],[KGS]]*1000</f>
        <v>#N/A</v>
      </c>
      <c r="AZ408" s="850" t="e">
        <f>-Tabla1[[#This Row],[COSTO FLETE $ POR BOLSA 5O KG (SIN IVA)]]*20/Tabla1[[#This Row],[TIPO DE CAMBIO]]</f>
        <v>#N/A</v>
      </c>
      <c r="BA408" s="850" t="e">
        <f>+Tabla1[[#This Row],[GASTOS FINANCIEROS $ BOLSA 50 KG (IVA INC)]]*20/Tabla1[[#This Row],[TIPO DE CAMBIO]]</f>
        <v>#VALUE!</v>
      </c>
      <c r="BB408" s="850" t="e">
        <f>+Tabla1[[#This Row],[PRECIO POR TN USD EN CLIENTE A PLAZO (SIN IVA)]]+Tabla1[[#This Row],[COSTO USD FLETE /TN (SIN IVA)]]+Tabla1[[#This Row],[COSTO FINANCIERO USD POR BOLSA 50KG (IVA INC)]]</f>
        <v>#N/A</v>
      </c>
      <c r="BC408" s="848"/>
      <c r="BD408" s="944"/>
    </row>
    <row r="409" spans="1:56" ht="15.75" customHeight="1">
      <c r="A409" s="912">
        <v>46235</v>
      </c>
      <c r="B409" s="853"/>
      <c r="C409" s="792"/>
      <c r="D409" s="829">
        <f>+Tabla1[[#This Row],[FECHA Entrega]]</f>
        <v>0</v>
      </c>
      <c r="E409" s="830"/>
      <c r="F409" s="831"/>
      <c r="G409" s="832"/>
      <c r="H409" s="852"/>
      <c r="I409" s="834"/>
      <c r="J409" s="835"/>
      <c r="K409" s="836">
        <f t="shared" ref="K409:K472" si="138">+J409*I409</f>
        <v>0</v>
      </c>
      <c r="L40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09" s="837">
        <f t="shared" si="137"/>
        <v>0</v>
      </c>
      <c r="N409" s="838">
        <f>+Tabla1[[#This Row],[VENTA TOTAL $ (IVA INC) ]]</f>
        <v>0</v>
      </c>
      <c r="O409" s="838">
        <v>0</v>
      </c>
      <c r="P409" s="838">
        <v>0</v>
      </c>
      <c r="Q409" s="839">
        <f>+Tabla1[[#This Row],[VENTA TOTAL $ (IVA INC) ]]-Tabla1[[#This Row],[PENDIENTE DE COBRO]]</f>
        <v>0</v>
      </c>
      <c r="R409" s="840">
        <f>+Tabla1[[#This Row],[FECHA FC]]+Tabla1[[#This Row],[PLAZO ENTREGA VALORES]]</f>
        <v>0</v>
      </c>
      <c r="S409" s="840">
        <f>+Tabla1[[#This Row],[FECHA FC]]+Tabla1[[#This Row],[PLAZO PAGO (DIAS)]]</f>
        <v>0</v>
      </c>
      <c r="T409" s="834">
        <f t="shared" ref="T409:T472" ca="1" si="139">+S409-$U$2</f>
        <v>-46181</v>
      </c>
      <c r="U409" s="831"/>
      <c r="V409" s="831"/>
      <c r="W409" s="841">
        <f>+Tabla1[[#This Row],[FECHA VTO VALORES]]+7</f>
        <v>7</v>
      </c>
      <c r="X409" s="830"/>
      <c r="Y409" s="859"/>
      <c r="Z409" s="860">
        <f>Tabla1[[#This Row],[KGS]]/50</f>
        <v>0</v>
      </c>
      <c r="AA40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09" s="844">
        <f>-Tabla1[[#This Row],[COSTO FLETE $ POR BOLSA 5O KG (SIN IVA)]]*1.21-Tabla1[[#This Row],[PRECIO $/ KG A PLAZO EN CLIENTE ( SIN IVA)]]*0.003*1.21*50</f>
        <v>0</v>
      </c>
      <c r="AC409" s="845" t="e">
        <f>SUM(Tabla1[[#This Row],[PRECIO $ BOLSA 50 KG (IVA INC) ]]+Tabla1[[#This Row],[COSTO FLETE $ BOLSA 50 KG (IVA INC)]])</f>
        <v>#VALUE!</v>
      </c>
      <c r="AD409" s="844" t="e">
        <f>-Tabla1[[#This Row],[PRECIO $ BOLSA 50 KG (IVA INC) ]]*(Tabla1[[#This Row],[TASA FINANCIACION MENSUAL]]/365)*Tabla1[[#This Row],[PLAZO ENTREGA VALORES]]</f>
        <v>#VALUE!</v>
      </c>
      <c r="AE409" s="845" t="e">
        <f>SUM(Tabla1[[#This Row],[PRECIO $ BOLSA50 KG  FOB TUCUMAN A PLAZO (IVA INC)]]+Tabla1[[#This Row],[GASTOS FINANCIEROS $ BOLSA 50 KG (IVA INC)]])</f>
        <v>#VALUE!</v>
      </c>
      <c r="AF409" s="828"/>
      <c r="AG409" s="828"/>
      <c r="AH409" s="828"/>
      <c r="AI409" s="828"/>
      <c r="AJ40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09" s="846" t="e">
        <f>SUM(Tabla1[[#This Row],[PRECIO $ BOLSA 50KG  FOB CDO TUC (IVA INC)]]-Tabla1[[#This Row],[PRECIO REF $ BOLSA 50 KG CACTU (IVA INC)]])</f>
        <v>#VALUE!</v>
      </c>
      <c r="AL409" s="847" t="str">
        <f>IFERROR(Tabla1[[#This Row],[PRECIO $ BOLSA 50KG  FOB CDO TUC (IVA INC)]]/Tabla1[[#This Row],[PRECIO REF $ BOLSA 50 KG CACTU (IVA INC)]]-1,"")</f>
        <v/>
      </c>
      <c r="AM409" s="846" t="e">
        <f>+Tabla1[[#This Row],[DIF $ PRECIO NETO INDUSTRIA vs Neto TUCUMAN (IVA INC)]]*Tabla1[[#This Row],[Q Bolsas Equivalentes 50kg]]</f>
        <v>#VALUE!</v>
      </c>
      <c r="AN409" s="846" t="e">
        <f>Tabla1[[#This Row],[PRECIO REF $ BOLSA 50 KG CACTU (IVA INC)]]*Tabla1[[#This Row],[Q Bolsas Equivalentes 50kg]]</f>
        <v>#VALUE!</v>
      </c>
      <c r="AO409" s="846" t="e">
        <f>+Tabla1[[#This Row],[PRECIO $ BOLSA 50KG  FOB CDO TUC (IVA INC)]]*Tabla1[[#This Row],[Q Bolsas Equivalentes 50kg]]</f>
        <v>#VALUE!</v>
      </c>
      <c r="AP409" s="847"/>
      <c r="AQ409" s="846">
        <v>0</v>
      </c>
      <c r="AR409" s="828"/>
      <c r="AS409" s="849"/>
      <c r="AT409" s="923">
        <f>+Tabla1[[#This Row],[VENTA TOTAL $ (IVA INC) ]]-(SUM(Tabla1[[#This Row],[PENDIENTE DE ENTREGA]:[VALORES COBRADOS]]))</f>
        <v>0</v>
      </c>
      <c r="AU409" s="850" t="e">
        <f>VLOOKUP(Tabla1[[#This Row],[FECHA OC]],'TIPO DE CAMBIO'!A:B,2,TRUE)</f>
        <v>#N/A</v>
      </c>
      <c r="AV409" s="850" t="e">
        <f>+Tabla1[[#This Row],[SUBTOTAL]]/Tabla1[[#This Row],[TIPO DE CAMBIO]]</f>
        <v>#N/A</v>
      </c>
      <c r="AW409" s="851"/>
      <c r="AX409" s="850" t="str">
        <f>IFERROR(Tabla1[[#This Row],[VENTA TOTAL USD A PLAZO EN CLIENTE  (SIN IVA)]]*(1+Tabla1[[#This Row],[% IVA ]]),"")</f>
        <v/>
      </c>
      <c r="AY409" s="850" t="e">
        <f>+Tabla1[[#This Row],[VENTA TOTAL USD A PLAZO EN CLIENTE  (SIN IVA)]]/Tabla1[[#This Row],[KGS]]*1000</f>
        <v>#N/A</v>
      </c>
      <c r="AZ409" s="850" t="e">
        <f>-Tabla1[[#This Row],[COSTO FLETE $ POR BOLSA 5O KG (SIN IVA)]]*20/Tabla1[[#This Row],[TIPO DE CAMBIO]]</f>
        <v>#N/A</v>
      </c>
      <c r="BA409" s="850" t="e">
        <f>+Tabla1[[#This Row],[GASTOS FINANCIEROS $ BOLSA 50 KG (IVA INC)]]*20/Tabla1[[#This Row],[TIPO DE CAMBIO]]</f>
        <v>#VALUE!</v>
      </c>
      <c r="BB409" s="850" t="e">
        <f>+Tabla1[[#This Row],[PRECIO POR TN USD EN CLIENTE A PLAZO (SIN IVA)]]+Tabla1[[#This Row],[COSTO USD FLETE /TN (SIN IVA)]]+Tabla1[[#This Row],[COSTO FINANCIERO USD POR BOLSA 50KG (IVA INC)]]</f>
        <v>#N/A</v>
      </c>
      <c r="BC409" s="848"/>
      <c r="BD409" s="944"/>
    </row>
    <row r="410" spans="1:56" ht="15.75" customHeight="1">
      <c r="A410" s="912">
        <v>46235</v>
      </c>
      <c r="B410" s="853"/>
      <c r="C410" s="792"/>
      <c r="D410" s="829">
        <f>+Tabla1[[#This Row],[FECHA Entrega]]</f>
        <v>0</v>
      </c>
      <c r="E410" s="830"/>
      <c r="F410" s="831"/>
      <c r="G410" s="832"/>
      <c r="H410" s="852"/>
      <c r="I410" s="834"/>
      <c r="J410" s="835"/>
      <c r="K410" s="836">
        <f t="shared" si="138"/>
        <v>0</v>
      </c>
      <c r="L41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10" s="837">
        <f t="shared" si="137"/>
        <v>0</v>
      </c>
      <c r="N410" s="838">
        <f>+Tabla1[[#This Row],[VENTA TOTAL $ (IVA INC) ]]</f>
        <v>0</v>
      </c>
      <c r="O410" s="838">
        <v>0</v>
      </c>
      <c r="P410" s="838">
        <v>0</v>
      </c>
      <c r="Q410" s="839">
        <f>+Tabla1[[#This Row],[VENTA TOTAL $ (IVA INC) ]]-Tabla1[[#This Row],[PENDIENTE DE COBRO]]</f>
        <v>0</v>
      </c>
      <c r="R410" s="840">
        <f>+Tabla1[[#This Row],[FECHA FC]]+Tabla1[[#This Row],[PLAZO ENTREGA VALORES]]</f>
        <v>0</v>
      </c>
      <c r="S410" s="840">
        <f>+Tabla1[[#This Row],[FECHA FC]]+Tabla1[[#This Row],[PLAZO PAGO (DIAS)]]</f>
        <v>0</v>
      </c>
      <c r="T410" s="834">
        <f t="shared" ca="1" si="139"/>
        <v>-46181</v>
      </c>
      <c r="U410" s="831"/>
      <c r="V410" s="831"/>
      <c r="W410" s="841">
        <f>+Tabla1[[#This Row],[FECHA VTO VALORES]]+7</f>
        <v>7</v>
      </c>
      <c r="X410" s="830"/>
      <c r="Y410" s="859"/>
      <c r="Z410" s="860">
        <f>Tabla1[[#This Row],[KGS]]/50</f>
        <v>0</v>
      </c>
      <c r="AA41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10" s="844">
        <f>-Tabla1[[#This Row],[COSTO FLETE $ POR BOLSA 5O KG (SIN IVA)]]*1.21-Tabla1[[#This Row],[PRECIO $/ KG A PLAZO EN CLIENTE ( SIN IVA)]]*0.003*1.21*50</f>
        <v>0</v>
      </c>
      <c r="AC410" s="845" t="e">
        <f>SUM(Tabla1[[#This Row],[PRECIO $ BOLSA 50 KG (IVA INC) ]]+Tabla1[[#This Row],[COSTO FLETE $ BOLSA 50 KG (IVA INC)]])</f>
        <v>#VALUE!</v>
      </c>
      <c r="AD410" s="844" t="e">
        <f>-Tabla1[[#This Row],[PRECIO $ BOLSA 50 KG (IVA INC) ]]*(Tabla1[[#This Row],[TASA FINANCIACION MENSUAL]]/365)*Tabla1[[#This Row],[PLAZO ENTREGA VALORES]]</f>
        <v>#VALUE!</v>
      </c>
      <c r="AE410" s="845" t="e">
        <f>SUM(Tabla1[[#This Row],[PRECIO $ BOLSA50 KG  FOB TUCUMAN A PLAZO (IVA INC)]]+Tabla1[[#This Row],[GASTOS FINANCIEROS $ BOLSA 50 KG (IVA INC)]])</f>
        <v>#VALUE!</v>
      </c>
      <c r="AF410" s="828"/>
      <c r="AG410" s="828"/>
      <c r="AH410" s="828"/>
      <c r="AI410" s="828"/>
      <c r="AJ41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10" s="846" t="e">
        <f>SUM(Tabla1[[#This Row],[PRECIO $ BOLSA 50KG  FOB CDO TUC (IVA INC)]]-Tabla1[[#This Row],[PRECIO REF $ BOLSA 50 KG CACTU (IVA INC)]])</f>
        <v>#VALUE!</v>
      </c>
      <c r="AL410" s="847" t="str">
        <f>IFERROR(Tabla1[[#This Row],[PRECIO $ BOLSA 50KG  FOB CDO TUC (IVA INC)]]/Tabla1[[#This Row],[PRECIO REF $ BOLSA 50 KG CACTU (IVA INC)]]-1,"")</f>
        <v/>
      </c>
      <c r="AM410" s="846" t="e">
        <f>+Tabla1[[#This Row],[DIF $ PRECIO NETO INDUSTRIA vs Neto TUCUMAN (IVA INC)]]*Tabla1[[#This Row],[Q Bolsas Equivalentes 50kg]]</f>
        <v>#VALUE!</v>
      </c>
      <c r="AN410" s="846" t="e">
        <f>Tabla1[[#This Row],[PRECIO REF $ BOLSA 50 KG CACTU (IVA INC)]]*Tabla1[[#This Row],[Q Bolsas Equivalentes 50kg]]</f>
        <v>#VALUE!</v>
      </c>
      <c r="AO410" s="846" t="e">
        <f>+Tabla1[[#This Row],[PRECIO $ BOLSA 50KG  FOB CDO TUC (IVA INC)]]*Tabla1[[#This Row],[Q Bolsas Equivalentes 50kg]]</f>
        <v>#VALUE!</v>
      </c>
      <c r="AP410" s="847"/>
      <c r="AQ410" s="846">
        <v>0</v>
      </c>
      <c r="AR410" s="828"/>
      <c r="AS410" s="849"/>
      <c r="AT410" s="923">
        <f>+Tabla1[[#This Row],[VENTA TOTAL $ (IVA INC) ]]-(SUM(Tabla1[[#This Row],[PENDIENTE DE ENTREGA]:[VALORES COBRADOS]]))</f>
        <v>0</v>
      </c>
      <c r="AU410" s="850" t="e">
        <f>VLOOKUP(Tabla1[[#This Row],[FECHA OC]],'TIPO DE CAMBIO'!A:B,2,TRUE)</f>
        <v>#N/A</v>
      </c>
      <c r="AV410" s="850" t="e">
        <f>+Tabla1[[#This Row],[SUBTOTAL]]/Tabla1[[#This Row],[TIPO DE CAMBIO]]</f>
        <v>#N/A</v>
      </c>
      <c r="AW410" s="851"/>
      <c r="AX410" s="850" t="str">
        <f>IFERROR(Tabla1[[#This Row],[VENTA TOTAL USD A PLAZO EN CLIENTE  (SIN IVA)]]*(1+Tabla1[[#This Row],[% IVA ]]),"")</f>
        <v/>
      </c>
      <c r="AY410" s="850" t="e">
        <f>+Tabla1[[#This Row],[VENTA TOTAL USD A PLAZO EN CLIENTE  (SIN IVA)]]/Tabla1[[#This Row],[KGS]]*1000</f>
        <v>#N/A</v>
      </c>
      <c r="AZ410" s="850" t="e">
        <f>-Tabla1[[#This Row],[COSTO FLETE $ POR BOLSA 5O KG (SIN IVA)]]*20/Tabla1[[#This Row],[TIPO DE CAMBIO]]</f>
        <v>#N/A</v>
      </c>
      <c r="BA410" s="850" t="e">
        <f>+Tabla1[[#This Row],[GASTOS FINANCIEROS $ BOLSA 50 KG (IVA INC)]]*20/Tabla1[[#This Row],[TIPO DE CAMBIO]]</f>
        <v>#VALUE!</v>
      </c>
      <c r="BB410" s="850" t="e">
        <f>+Tabla1[[#This Row],[PRECIO POR TN USD EN CLIENTE A PLAZO (SIN IVA)]]+Tabla1[[#This Row],[COSTO USD FLETE /TN (SIN IVA)]]+Tabla1[[#This Row],[COSTO FINANCIERO USD POR BOLSA 50KG (IVA INC)]]</f>
        <v>#N/A</v>
      </c>
      <c r="BC410" s="848"/>
      <c r="BD410" s="944"/>
    </row>
    <row r="411" spans="1:56" ht="15.75" customHeight="1">
      <c r="A411" s="912">
        <v>46235</v>
      </c>
      <c r="B411" s="853"/>
      <c r="C411" s="792"/>
      <c r="D411" s="829">
        <f>+Tabla1[[#This Row],[FECHA Entrega]]</f>
        <v>0</v>
      </c>
      <c r="E411" s="830"/>
      <c r="F411" s="831"/>
      <c r="G411" s="832"/>
      <c r="H411" s="852"/>
      <c r="I411" s="834"/>
      <c r="J411" s="835"/>
      <c r="K411" s="836">
        <f t="shared" si="138"/>
        <v>0</v>
      </c>
      <c r="L41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11" s="837">
        <f t="shared" si="137"/>
        <v>0</v>
      </c>
      <c r="N411" s="838">
        <f>+Tabla1[[#This Row],[VENTA TOTAL $ (IVA INC) ]]</f>
        <v>0</v>
      </c>
      <c r="O411" s="838">
        <v>0</v>
      </c>
      <c r="P411" s="838">
        <v>0</v>
      </c>
      <c r="Q411" s="839">
        <f>+Tabla1[[#This Row],[VENTA TOTAL $ (IVA INC) ]]-Tabla1[[#This Row],[PENDIENTE DE COBRO]]</f>
        <v>0</v>
      </c>
      <c r="R411" s="840">
        <f>+Tabla1[[#This Row],[FECHA FC]]+Tabla1[[#This Row],[PLAZO ENTREGA VALORES]]</f>
        <v>0</v>
      </c>
      <c r="S411" s="840">
        <f>+Tabla1[[#This Row],[FECHA FC]]+Tabla1[[#This Row],[PLAZO PAGO (DIAS)]]</f>
        <v>0</v>
      </c>
      <c r="T411" s="834">
        <f t="shared" ca="1" si="139"/>
        <v>-46181</v>
      </c>
      <c r="U411" s="831"/>
      <c r="V411" s="831"/>
      <c r="W411" s="841">
        <f>+Tabla1[[#This Row],[FECHA VTO VALORES]]+7</f>
        <v>7</v>
      </c>
      <c r="X411" s="830"/>
      <c r="Y411" s="859"/>
      <c r="Z411" s="860">
        <f>Tabla1[[#This Row],[KGS]]/50</f>
        <v>0</v>
      </c>
      <c r="AA41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11" s="844">
        <f>-Tabla1[[#This Row],[COSTO FLETE $ POR BOLSA 5O KG (SIN IVA)]]*1.21-Tabla1[[#This Row],[PRECIO $/ KG A PLAZO EN CLIENTE ( SIN IVA)]]*0.003*1.21*50</f>
        <v>0</v>
      </c>
      <c r="AC411" s="845" t="e">
        <f>SUM(Tabla1[[#This Row],[PRECIO $ BOLSA 50 KG (IVA INC) ]]+Tabla1[[#This Row],[COSTO FLETE $ BOLSA 50 KG (IVA INC)]])</f>
        <v>#VALUE!</v>
      </c>
      <c r="AD411" s="844" t="e">
        <f>-Tabla1[[#This Row],[PRECIO $ BOLSA 50 KG (IVA INC) ]]*(Tabla1[[#This Row],[TASA FINANCIACION MENSUAL]]/365)*Tabla1[[#This Row],[PLAZO ENTREGA VALORES]]</f>
        <v>#VALUE!</v>
      </c>
      <c r="AE411" s="845" t="e">
        <f>SUM(Tabla1[[#This Row],[PRECIO $ BOLSA50 KG  FOB TUCUMAN A PLAZO (IVA INC)]]+Tabla1[[#This Row],[GASTOS FINANCIEROS $ BOLSA 50 KG (IVA INC)]])</f>
        <v>#VALUE!</v>
      </c>
      <c r="AF411" s="828"/>
      <c r="AG411" s="828"/>
      <c r="AH411" s="828"/>
      <c r="AI411" s="828"/>
      <c r="AJ41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11" s="846" t="e">
        <f>SUM(Tabla1[[#This Row],[PRECIO $ BOLSA 50KG  FOB CDO TUC (IVA INC)]]-Tabla1[[#This Row],[PRECIO REF $ BOLSA 50 KG CACTU (IVA INC)]])</f>
        <v>#VALUE!</v>
      </c>
      <c r="AL411" s="847" t="str">
        <f>IFERROR(Tabla1[[#This Row],[PRECIO $ BOLSA 50KG  FOB CDO TUC (IVA INC)]]/Tabla1[[#This Row],[PRECIO REF $ BOLSA 50 KG CACTU (IVA INC)]]-1,"")</f>
        <v/>
      </c>
      <c r="AM411" s="846" t="e">
        <f>+Tabla1[[#This Row],[DIF $ PRECIO NETO INDUSTRIA vs Neto TUCUMAN (IVA INC)]]*Tabla1[[#This Row],[Q Bolsas Equivalentes 50kg]]</f>
        <v>#VALUE!</v>
      </c>
      <c r="AN411" s="846" t="e">
        <f>Tabla1[[#This Row],[PRECIO REF $ BOLSA 50 KG CACTU (IVA INC)]]*Tabla1[[#This Row],[Q Bolsas Equivalentes 50kg]]</f>
        <v>#VALUE!</v>
      </c>
      <c r="AO411" s="846" t="e">
        <f>+Tabla1[[#This Row],[PRECIO $ BOLSA 50KG  FOB CDO TUC (IVA INC)]]*Tabla1[[#This Row],[Q Bolsas Equivalentes 50kg]]</f>
        <v>#VALUE!</v>
      </c>
      <c r="AP411" s="847"/>
      <c r="AQ411" s="846">
        <v>0</v>
      </c>
      <c r="AR411" s="828"/>
      <c r="AS411" s="849"/>
      <c r="AT411" s="923">
        <f>+Tabla1[[#This Row],[VENTA TOTAL $ (IVA INC) ]]-(SUM(Tabla1[[#This Row],[PENDIENTE DE ENTREGA]:[VALORES COBRADOS]]))</f>
        <v>0</v>
      </c>
      <c r="AU411" s="850" t="e">
        <f>VLOOKUP(Tabla1[[#This Row],[FECHA OC]],'TIPO DE CAMBIO'!A:B,2,TRUE)</f>
        <v>#N/A</v>
      </c>
      <c r="AV411" s="850" t="e">
        <f>+Tabla1[[#This Row],[SUBTOTAL]]/Tabla1[[#This Row],[TIPO DE CAMBIO]]</f>
        <v>#N/A</v>
      </c>
      <c r="AW411" s="851"/>
      <c r="AX411" s="850" t="str">
        <f>IFERROR(Tabla1[[#This Row],[VENTA TOTAL USD A PLAZO EN CLIENTE  (SIN IVA)]]*(1+Tabla1[[#This Row],[% IVA ]]),"")</f>
        <v/>
      </c>
      <c r="AY411" s="850" t="e">
        <f>+Tabla1[[#This Row],[VENTA TOTAL USD A PLAZO EN CLIENTE  (SIN IVA)]]/Tabla1[[#This Row],[KGS]]*1000</f>
        <v>#N/A</v>
      </c>
      <c r="AZ411" s="850" t="e">
        <f>-Tabla1[[#This Row],[COSTO FLETE $ POR BOLSA 5O KG (SIN IVA)]]*20/Tabla1[[#This Row],[TIPO DE CAMBIO]]</f>
        <v>#N/A</v>
      </c>
      <c r="BA411" s="850" t="e">
        <f>+Tabla1[[#This Row],[GASTOS FINANCIEROS $ BOLSA 50 KG (IVA INC)]]*20/Tabla1[[#This Row],[TIPO DE CAMBIO]]</f>
        <v>#VALUE!</v>
      </c>
      <c r="BB411" s="850" t="e">
        <f>+Tabla1[[#This Row],[PRECIO POR TN USD EN CLIENTE A PLAZO (SIN IVA)]]+Tabla1[[#This Row],[COSTO USD FLETE /TN (SIN IVA)]]+Tabla1[[#This Row],[COSTO FINANCIERO USD POR BOLSA 50KG (IVA INC)]]</f>
        <v>#N/A</v>
      </c>
      <c r="BC411" s="848"/>
      <c r="BD411" s="944"/>
    </row>
    <row r="412" spans="1:56" ht="15.75" customHeight="1">
      <c r="A412" s="912">
        <v>46235</v>
      </c>
      <c r="B412" s="853"/>
      <c r="C412" s="792"/>
      <c r="D412" s="829">
        <f>+Tabla1[[#This Row],[FECHA Entrega]]</f>
        <v>0</v>
      </c>
      <c r="E412" s="830"/>
      <c r="F412" s="831"/>
      <c r="G412" s="832"/>
      <c r="H412" s="852"/>
      <c r="I412" s="834"/>
      <c r="J412" s="835"/>
      <c r="K412" s="836">
        <f t="shared" si="138"/>
        <v>0</v>
      </c>
      <c r="L41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12" s="837">
        <f t="shared" si="137"/>
        <v>0</v>
      </c>
      <c r="N412" s="838">
        <f>+Tabla1[[#This Row],[VENTA TOTAL $ (IVA INC) ]]</f>
        <v>0</v>
      </c>
      <c r="O412" s="838">
        <v>0</v>
      </c>
      <c r="P412" s="838">
        <v>0</v>
      </c>
      <c r="Q412" s="839">
        <f>+Tabla1[[#This Row],[VENTA TOTAL $ (IVA INC) ]]-Tabla1[[#This Row],[PENDIENTE DE COBRO]]</f>
        <v>0</v>
      </c>
      <c r="R412" s="840">
        <f>+Tabla1[[#This Row],[FECHA FC]]+Tabla1[[#This Row],[PLAZO ENTREGA VALORES]]</f>
        <v>0</v>
      </c>
      <c r="S412" s="840">
        <f>+Tabla1[[#This Row],[FECHA FC]]+Tabla1[[#This Row],[PLAZO PAGO (DIAS)]]</f>
        <v>0</v>
      </c>
      <c r="T412" s="834">
        <f t="shared" ca="1" si="139"/>
        <v>-46181</v>
      </c>
      <c r="U412" s="831"/>
      <c r="V412" s="831"/>
      <c r="W412" s="841">
        <f>+Tabla1[[#This Row],[FECHA VTO VALORES]]+7</f>
        <v>7</v>
      </c>
      <c r="X412" s="830"/>
      <c r="Y412" s="859"/>
      <c r="Z412" s="860">
        <f>Tabla1[[#This Row],[KGS]]/50</f>
        <v>0</v>
      </c>
      <c r="AA41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12" s="844">
        <f>-Tabla1[[#This Row],[COSTO FLETE $ POR BOLSA 5O KG (SIN IVA)]]*1.21-Tabla1[[#This Row],[PRECIO $/ KG A PLAZO EN CLIENTE ( SIN IVA)]]*0.003*1.21*50</f>
        <v>0</v>
      </c>
      <c r="AC412" s="845" t="e">
        <f>SUM(Tabla1[[#This Row],[PRECIO $ BOLSA 50 KG (IVA INC) ]]+Tabla1[[#This Row],[COSTO FLETE $ BOLSA 50 KG (IVA INC)]])</f>
        <v>#VALUE!</v>
      </c>
      <c r="AD412" s="844" t="e">
        <f>-Tabla1[[#This Row],[PRECIO $ BOLSA 50 KG (IVA INC) ]]*(Tabla1[[#This Row],[TASA FINANCIACION MENSUAL]]/365)*Tabla1[[#This Row],[PLAZO ENTREGA VALORES]]</f>
        <v>#VALUE!</v>
      </c>
      <c r="AE412" s="845" t="e">
        <f>SUM(Tabla1[[#This Row],[PRECIO $ BOLSA50 KG  FOB TUCUMAN A PLAZO (IVA INC)]]+Tabla1[[#This Row],[GASTOS FINANCIEROS $ BOLSA 50 KG (IVA INC)]])</f>
        <v>#VALUE!</v>
      </c>
      <c r="AF412" s="828"/>
      <c r="AG412" s="828"/>
      <c r="AH412" s="828"/>
      <c r="AI412" s="828"/>
      <c r="AJ41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12" s="846" t="e">
        <f>SUM(Tabla1[[#This Row],[PRECIO $ BOLSA 50KG  FOB CDO TUC (IVA INC)]]-Tabla1[[#This Row],[PRECIO REF $ BOLSA 50 KG CACTU (IVA INC)]])</f>
        <v>#VALUE!</v>
      </c>
      <c r="AL412" s="847" t="str">
        <f>IFERROR(Tabla1[[#This Row],[PRECIO $ BOLSA 50KG  FOB CDO TUC (IVA INC)]]/Tabla1[[#This Row],[PRECIO REF $ BOLSA 50 KG CACTU (IVA INC)]]-1,"")</f>
        <v/>
      </c>
      <c r="AM412" s="846" t="e">
        <f>+Tabla1[[#This Row],[DIF $ PRECIO NETO INDUSTRIA vs Neto TUCUMAN (IVA INC)]]*Tabla1[[#This Row],[Q Bolsas Equivalentes 50kg]]</f>
        <v>#VALUE!</v>
      </c>
      <c r="AN412" s="846" t="e">
        <f>Tabla1[[#This Row],[PRECIO REF $ BOLSA 50 KG CACTU (IVA INC)]]*Tabla1[[#This Row],[Q Bolsas Equivalentes 50kg]]</f>
        <v>#VALUE!</v>
      </c>
      <c r="AO412" s="846" t="e">
        <f>+Tabla1[[#This Row],[PRECIO $ BOLSA 50KG  FOB CDO TUC (IVA INC)]]*Tabla1[[#This Row],[Q Bolsas Equivalentes 50kg]]</f>
        <v>#VALUE!</v>
      </c>
      <c r="AP412" s="847"/>
      <c r="AQ412" s="846">
        <v>0</v>
      </c>
      <c r="AR412" s="828"/>
      <c r="AS412" s="849"/>
      <c r="AT412" s="923">
        <f>+Tabla1[[#This Row],[VENTA TOTAL $ (IVA INC) ]]-(SUM(Tabla1[[#This Row],[PENDIENTE DE ENTREGA]:[VALORES COBRADOS]]))</f>
        <v>0</v>
      </c>
      <c r="AU412" s="850" t="e">
        <f>VLOOKUP(Tabla1[[#This Row],[FECHA OC]],'TIPO DE CAMBIO'!A:B,2,TRUE)</f>
        <v>#N/A</v>
      </c>
      <c r="AV412" s="850" t="e">
        <f>+Tabla1[[#This Row],[SUBTOTAL]]/Tabla1[[#This Row],[TIPO DE CAMBIO]]</f>
        <v>#N/A</v>
      </c>
      <c r="AW412" s="851"/>
      <c r="AX412" s="850" t="str">
        <f>IFERROR(Tabla1[[#This Row],[VENTA TOTAL USD A PLAZO EN CLIENTE  (SIN IVA)]]*(1+Tabla1[[#This Row],[% IVA ]]),"")</f>
        <v/>
      </c>
      <c r="AY412" s="850" t="e">
        <f>+Tabla1[[#This Row],[VENTA TOTAL USD A PLAZO EN CLIENTE  (SIN IVA)]]/Tabla1[[#This Row],[KGS]]*1000</f>
        <v>#N/A</v>
      </c>
      <c r="AZ412" s="850" t="e">
        <f>-Tabla1[[#This Row],[COSTO FLETE $ POR BOLSA 5O KG (SIN IVA)]]*20/Tabla1[[#This Row],[TIPO DE CAMBIO]]</f>
        <v>#N/A</v>
      </c>
      <c r="BA412" s="850" t="e">
        <f>+Tabla1[[#This Row],[GASTOS FINANCIEROS $ BOLSA 50 KG (IVA INC)]]*20/Tabla1[[#This Row],[TIPO DE CAMBIO]]</f>
        <v>#VALUE!</v>
      </c>
      <c r="BB412" s="850" t="e">
        <f>+Tabla1[[#This Row],[PRECIO POR TN USD EN CLIENTE A PLAZO (SIN IVA)]]+Tabla1[[#This Row],[COSTO USD FLETE /TN (SIN IVA)]]+Tabla1[[#This Row],[COSTO FINANCIERO USD POR BOLSA 50KG (IVA INC)]]</f>
        <v>#N/A</v>
      </c>
      <c r="BC412" s="848"/>
      <c r="BD412" s="944"/>
    </row>
    <row r="413" spans="1:56" ht="15.75" customHeight="1">
      <c r="A413" s="912">
        <v>46235</v>
      </c>
      <c r="B413" s="853"/>
      <c r="C413" s="792"/>
      <c r="D413" s="829">
        <f>+Tabla1[[#This Row],[FECHA Entrega]]</f>
        <v>0</v>
      </c>
      <c r="E413" s="830"/>
      <c r="F413" s="831"/>
      <c r="G413" s="832"/>
      <c r="H413" s="852"/>
      <c r="I413" s="834"/>
      <c r="J413" s="835"/>
      <c r="K413" s="836">
        <f t="shared" si="138"/>
        <v>0</v>
      </c>
      <c r="L41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13" s="837">
        <f t="shared" si="137"/>
        <v>0</v>
      </c>
      <c r="N413" s="838">
        <f>+Tabla1[[#This Row],[VENTA TOTAL $ (IVA INC) ]]</f>
        <v>0</v>
      </c>
      <c r="O413" s="838">
        <v>0</v>
      </c>
      <c r="P413" s="838">
        <v>0</v>
      </c>
      <c r="Q413" s="839">
        <f>+Tabla1[[#This Row],[VENTA TOTAL $ (IVA INC) ]]-Tabla1[[#This Row],[PENDIENTE DE COBRO]]</f>
        <v>0</v>
      </c>
      <c r="R413" s="840">
        <f>+Tabla1[[#This Row],[FECHA FC]]+Tabla1[[#This Row],[PLAZO ENTREGA VALORES]]</f>
        <v>0</v>
      </c>
      <c r="S413" s="840">
        <f>+Tabla1[[#This Row],[FECHA FC]]+Tabla1[[#This Row],[PLAZO PAGO (DIAS)]]</f>
        <v>0</v>
      </c>
      <c r="T413" s="834">
        <f t="shared" ca="1" si="139"/>
        <v>-46181</v>
      </c>
      <c r="U413" s="831"/>
      <c r="V413" s="831"/>
      <c r="W413" s="841">
        <f>+S413+7</f>
        <v>7</v>
      </c>
      <c r="X413" s="830"/>
      <c r="Y413" s="859"/>
      <c r="Z413" s="860">
        <f>Tabla1[[#This Row],[KGS]]/50</f>
        <v>0</v>
      </c>
      <c r="AA41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13" s="844">
        <f>-Tabla1[[#This Row],[COSTO FLETE $ POR BOLSA 5O KG (SIN IVA)]]*1.21-Tabla1[[#This Row],[PRECIO $/ KG A PLAZO EN CLIENTE ( SIN IVA)]]*0.003*1.21*50</f>
        <v>0</v>
      </c>
      <c r="AC413" s="845" t="e">
        <f>SUM(Tabla1[[#This Row],[PRECIO $ BOLSA 50 KG (IVA INC) ]]+Tabla1[[#This Row],[COSTO FLETE $ BOLSA 50 KG (IVA INC)]])</f>
        <v>#VALUE!</v>
      </c>
      <c r="AD413" s="844" t="e">
        <f>-Tabla1[[#This Row],[PRECIO $ BOLSA 50 KG (IVA INC) ]]*(Tabla1[[#This Row],[TASA FINANCIACION MENSUAL]]/365)*Tabla1[[#This Row],[PLAZO ENTREGA VALORES]]</f>
        <v>#VALUE!</v>
      </c>
      <c r="AE413" s="845" t="e">
        <f>SUM(Tabla1[[#This Row],[PRECIO $ BOLSA50 KG  FOB TUCUMAN A PLAZO (IVA INC)]]+Tabla1[[#This Row],[GASTOS FINANCIEROS $ BOLSA 50 KG (IVA INC)]])</f>
        <v>#VALUE!</v>
      </c>
      <c r="AF413" s="828"/>
      <c r="AG413" s="828"/>
      <c r="AH413" s="828"/>
      <c r="AI413" s="828"/>
      <c r="AJ41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13" s="846" t="e">
        <f>SUM(Tabla1[[#This Row],[PRECIO $ BOLSA 50KG  FOB CDO TUC (IVA INC)]]-Tabla1[[#This Row],[PRECIO REF $ BOLSA 50 KG CACTU (IVA INC)]])</f>
        <v>#VALUE!</v>
      </c>
      <c r="AL413" s="847" t="str">
        <f>IFERROR(Tabla1[[#This Row],[PRECIO $ BOLSA 50KG  FOB CDO TUC (IVA INC)]]/Tabla1[[#This Row],[PRECIO REF $ BOLSA 50 KG CACTU (IVA INC)]]-1,"")</f>
        <v/>
      </c>
      <c r="AM413" s="846" t="e">
        <f>+Tabla1[[#This Row],[DIF $ PRECIO NETO INDUSTRIA vs Neto TUCUMAN (IVA INC)]]*Tabla1[[#This Row],[Q Bolsas Equivalentes 50kg]]</f>
        <v>#VALUE!</v>
      </c>
      <c r="AN413" s="846" t="e">
        <f>Tabla1[[#This Row],[PRECIO REF $ BOLSA 50 KG CACTU (IVA INC)]]*Tabla1[[#This Row],[Q Bolsas Equivalentes 50kg]]</f>
        <v>#VALUE!</v>
      </c>
      <c r="AO413" s="846" t="e">
        <f>+Tabla1[[#This Row],[PRECIO $ BOLSA 50KG  FOB CDO TUC (IVA INC)]]*Tabla1[[#This Row],[Q Bolsas Equivalentes 50kg]]</f>
        <v>#VALUE!</v>
      </c>
      <c r="AP413" s="847"/>
      <c r="AQ413" s="846">
        <v>0</v>
      </c>
      <c r="AR413" s="828"/>
      <c r="AS413" s="849"/>
      <c r="AT413" s="923">
        <f>+Tabla1[[#This Row],[VENTA TOTAL $ (IVA INC) ]]-(SUM(Tabla1[[#This Row],[PENDIENTE DE ENTREGA]:[VALORES COBRADOS]]))</f>
        <v>0</v>
      </c>
      <c r="AU413" s="850" t="e">
        <f>VLOOKUP(Tabla1[[#This Row],[FECHA OC]],'TIPO DE CAMBIO'!A:B,2,TRUE)</f>
        <v>#N/A</v>
      </c>
      <c r="AV413" s="850" t="e">
        <f>+Tabla1[[#This Row],[SUBTOTAL]]/Tabla1[[#This Row],[TIPO DE CAMBIO]]</f>
        <v>#N/A</v>
      </c>
      <c r="AW413" s="851"/>
      <c r="AX413" s="850" t="str">
        <f>IFERROR(Tabla1[[#This Row],[VENTA TOTAL USD A PLAZO EN CLIENTE  (SIN IVA)]]*(1+Tabla1[[#This Row],[% IVA ]]),"")</f>
        <v/>
      </c>
      <c r="AY413" s="850" t="e">
        <f>+Tabla1[[#This Row],[VENTA TOTAL USD A PLAZO EN CLIENTE  (SIN IVA)]]/Tabla1[[#This Row],[KGS]]*1000</f>
        <v>#N/A</v>
      </c>
      <c r="AZ413" s="850" t="e">
        <f>-Tabla1[[#This Row],[COSTO FLETE $ POR BOLSA 5O KG (SIN IVA)]]*20/Tabla1[[#This Row],[TIPO DE CAMBIO]]</f>
        <v>#N/A</v>
      </c>
      <c r="BA413" s="850" t="e">
        <f>+Tabla1[[#This Row],[GASTOS FINANCIEROS $ BOLSA 50 KG (IVA INC)]]*20/Tabla1[[#This Row],[TIPO DE CAMBIO]]</f>
        <v>#VALUE!</v>
      </c>
      <c r="BB413" s="850" t="e">
        <f>+Tabla1[[#This Row],[PRECIO POR TN USD EN CLIENTE A PLAZO (SIN IVA)]]+Tabla1[[#This Row],[COSTO USD FLETE /TN (SIN IVA)]]+Tabla1[[#This Row],[COSTO FINANCIERO USD POR BOLSA 50KG (IVA INC)]]</f>
        <v>#N/A</v>
      </c>
      <c r="BC413" s="848"/>
      <c r="BD413" s="944"/>
    </row>
    <row r="414" spans="1:56" ht="15.75" customHeight="1">
      <c r="A414" s="912">
        <v>46235</v>
      </c>
      <c r="B414" s="853"/>
      <c r="C414" s="792"/>
      <c r="D414" s="829">
        <f>+Tabla1[[#This Row],[FECHA Entrega]]</f>
        <v>0</v>
      </c>
      <c r="E414" s="830"/>
      <c r="F414" s="831"/>
      <c r="G414" s="832"/>
      <c r="H414" s="852"/>
      <c r="I414" s="834"/>
      <c r="J414" s="835"/>
      <c r="K414" s="836">
        <f t="shared" si="138"/>
        <v>0</v>
      </c>
      <c r="L41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14" s="837">
        <f t="shared" si="137"/>
        <v>0</v>
      </c>
      <c r="N414" s="838">
        <f>+Tabla1[[#This Row],[VENTA TOTAL $ (IVA INC) ]]</f>
        <v>0</v>
      </c>
      <c r="O414" s="838">
        <v>0</v>
      </c>
      <c r="P414" s="838">
        <v>0</v>
      </c>
      <c r="Q414" s="839">
        <f>+Tabla1[[#This Row],[VENTA TOTAL $ (IVA INC) ]]-Tabla1[[#This Row],[PENDIENTE DE COBRO]]</f>
        <v>0</v>
      </c>
      <c r="R414" s="840">
        <f>+Tabla1[[#This Row],[FECHA FC]]+Tabla1[[#This Row],[PLAZO ENTREGA VALORES]]</f>
        <v>0</v>
      </c>
      <c r="S414" s="840">
        <f>+Tabla1[[#This Row],[FECHA FC]]+Tabla1[[#This Row],[PLAZO PAGO (DIAS)]]</f>
        <v>0</v>
      </c>
      <c r="T414" s="834">
        <f t="shared" ca="1" si="139"/>
        <v>-46181</v>
      </c>
      <c r="U414" s="831"/>
      <c r="V414" s="831"/>
      <c r="W414" s="841">
        <f>+Tabla1[[#This Row],[FECHA VTO VALORES]]+7</f>
        <v>7</v>
      </c>
      <c r="X414" s="830"/>
      <c r="Y414" s="859"/>
      <c r="Z414" s="860">
        <f>Tabla1[[#This Row],[KGS]]/50</f>
        <v>0</v>
      </c>
      <c r="AA41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14" s="844">
        <f>-Tabla1[[#This Row],[COSTO FLETE $ POR BOLSA 5O KG (SIN IVA)]]*1.21-Tabla1[[#This Row],[PRECIO $/ KG A PLAZO EN CLIENTE ( SIN IVA)]]*0.003*1.21*50</f>
        <v>0</v>
      </c>
      <c r="AC414" s="845" t="e">
        <f>SUM(Tabla1[[#This Row],[PRECIO $ BOLSA 50 KG (IVA INC) ]]+Tabla1[[#This Row],[COSTO FLETE $ BOLSA 50 KG (IVA INC)]])</f>
        <v>#VALUE!</v>
      </c>
      <c r="AD414" s="844" t="e">
        <f>-Tabla1[[#This Row],[PRECIO $ BOLSA 50 KG (IVA INC) ]]*(Tabla1[[#This Row],[TASA FINANCIACION MENSUAL]]/365)*Tabla1[[#This Row],[PLAZO ENTREGA VALORES]]</f>
        <v>#VALUE!</v>
      </c>
      <c r="AE414" s="845" t="e">
        <f>SUM(Tabla1[[#This Row],[PRECIO $ BOLSA50 KG  FOB TUCUMAN A PLAZO (IVA INC)]]+Tabla1[[#This Row],[GASTOS FINANCIEROS $ BOLSA 50 KG (IVA INC)]])</f>
        <v>#VALUE!</v>
      </c>
      <c r="AF414" s="828"/>
      <c r="AG414" s="828"/>
      <c r="AH414" s="828"/>
      <c r="AI414" s="828"/>
      <c r="AJ41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14" s="846" t="e">
        <f>SUM(Tabla1[[#This Row],[PRECIO $ BOLSA 50KG  FOB CDO TUC (IVA INC)]]-Tabla1[[#This Row],[PRECIO REF $ BOLSA 50 KG CACTU (IVA INC)]])</f>
        <v>#VALUE!</v>
      </c>
      <c r="AL414" s="847" t="str">
        <f>IFERROR(Tabla1[[#This Row],[PRECIO $ BOLSA 50KG  FOB CDO TUC (IVA INC)]]/Tabla1[[#This Row],[PRECIO REF $ BOLSA 50 KG CACTU (IVA INC)]]-1,"")</f>
        <v/>
      </c>
      <c r="AM414" s="846" t="e">
        <f>+Tabla1[[#This Row],[DIF $ PRECIO NETO INDUSTRIA vs Neto TUCUMAN (IVA INC)]]*Tabla1[[#This Row],[Q Bolsas Equivalentes 50kg]]</f>
        <v>#VALUE!</v>
      </c>
      <c r="AN414" s="846" t="e">
        <f>Tabla1[[#This Row],[PRECIO REF $ BOLSA 50 KG CACTU (IVA INC)]]*Tabla1[[#This Row],[Q Bolsas Equivalentes 50kg]]</f>
        <v>#VALUE!</v>
      </c>
      <c r="AO414" s="846" t="e">
        <f>+Tabla1[[#This Row],[PRECIO $ BOLSA 50KG  FOB CDO TUC (IVA INC)]]*Tabla1[[#This Row],[Q Bolsas Equivalentes 50kg]]</f>
        <v>#VALUE!</v>
      </c>
      <c r="AP414" s="847"/>
      <c r="AQ414" s="846">
        <v>0</v>
      </c>
      <c r="AR414" s="828"/>
      <c r="AS414" s="849"/>
      <c r="AT414" s="923">
        <f>+Tabla1[[#This Row],[VENTA TOTAL $ (IVA INC) ]]-(SUM(Tabla1[[#This Row],[PENDIENTE DE ENTREGA]:[VALORES COBRADOS]]))</f>
        <v>0</v>
      </c>
      <c r="AU414" s="850" t="e">
        <f>VLOOKUP(Tabla1[[#This Row],[FECHA OC]],'TIPO DE CAMBIO'!A:B,2,TRUE)</f>
        <v>#N/A</v>
      </c>
      <c r="AV414" s="850" t="e">
        <f>+Tabla1[[#This Row],[SUBTOTAL]]/Tabla1[[#This Row],[TIPO DE CAMBIO]]</f>
        <v>#N/A</v>
      </c>
      <c r="AW414" s="851"/>
      <c r="AX414" s="850" t="str">
        <f>IFERROR(Tabla1[[#This Row],[VENTA TOTAL USD A PLAZO EN CLIENTE  (SIN IVA)]]*(1+Tabla1[[#This Row],[% IVA ]]),"")</f>
        <v/>
      </c>
      <c r="AY414" s="850" t="e">
        <f>+Tabla1[[#This Row],[VENTA TOTAL USD A PLAZO EN CLIENTE  (SIN IVA)]]/Tabla1[[#This Row],[KGS]]*1000</f>
        <v>#N/A</v>
      </c>
      <c r="AZ414" s="850" t="e">
        <f>-Tabla1[[#This Row],[COSTO FLETE $ POR BOLSA 5O KG (SIN IVA)]]*20/Tabla1[[#This Row],[TIPO DE CAMBIO]]</f>
        <v>#N/A</v>
      </c>
      <c r="BA414" s="850" t="e">
        <f>+Tabla1[[#This Row],[GASTOS FINANCIEROS $ BOLSA 50 KG (IVA INC)]]*20/Tabla1[[#This Row],[TIPO DE CAMBIO]]</f>
        <v>#VALUE!</v>
      </c>
      <c r="BB414" s="850" t="e">
        <f>+Tabla1[[#This Row],[PRECIO POR TN USD EN CLIENTE A PLAZO (SIN IVA)]]+Tabla1[[#This Row],[COSTO USD FLETE /TN (SIN IVA)]]+Tabla1[[#This Row],[COSTO FINANCIERO USD POR BOLSA 50KG (IVA INC)]]</f>
        <v>#N/A</v>
      </c>
      <c r="BC414" s="848"/>
      <c r="BD414" s="944"/>
    </row>
    <row r="415" spans="1:56" ht="15.75" customHeight="1">
      <c r="A415" s="912">
        <v>46235</v>
      </c>
      <c r="B415" s="853"/>
      <c r="C415" s="792"/>
      <c r="D415" s="829">
        <f>+Tabla1[[#This Row],[FECHA Entrega]]</f>
        <v>0</v>
      </c>
      <c r="E415" s="830"/>
      <c r="F415" s="831"/>
      <c r="G415" s="832"/>
      <c r="H415" s="852"/>
      <c r="I415" s="834"/>
      <c r="J415" s="835"/>
      <c r="K415" s="836">
        <f t="shared" si="138"/>
        <v>0</v>
      </c>
      <c r="L41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15" s="837">
        <f t="shared" si="137"/>
        <v>0</v>
      </c>
      <c r="N415" s="838">
        <f>+Tabla1[[#This Row],[VENTA TOTAL $ (IVA INC) ]]</f>
        <v>0</v>
      </c>
      <c r="O415" s="838">
        <v>0</v>
      </c>
      <c r="P415" s="838">
        <v>0</v>
      </c>
      <c r="Q415" s="839">
        <f>+Tabla1[[#This Row],[VENTA TOTAL $ (IVA INC) ]]-Tabla1[[#This Row],[PENDIENTE DE COBRO]]</f>
        <v>0</v>
      </c>
      <c r="R415" s="840">
        <f>+Tabla1[[#This Row],[FECHA FC]]+Tabla1[[#This Row],[PLAZO ENTREGA VALORES]]</f>
        <v>0</v>
      </c>
      <c r="S415" s="840">
        <f>+Tabla1[[#This Row],[FECHA FC]]+Tabla1[[#This Row],[PLAZO PAGO (DIAS)]]</f>
        <v>0</v>
      </c>
      <c r="T415" s="834">
        <f t="shared" ca="1" si="139"/>
        <v>-46181</v>
      </c>
      <c r="U415" s="831"/>
      <c r="V415" s="831"/>
      <c r="W415" s="841">
        <f>+Tabla1[[#This Row],[FECHA VTO VALORES]]+7</f>
        <v>7</v>
      </c>
      <c r="X415" s="830"/>
      <c r="Y415" s="859"/>
      <c r="Z415" s="860">
        <f>Tabla1[[#This Row],[KGS]]/50</f>
        <v>0</v>
      </c>
      <c r="AA41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15" s="844">
        <f>-Tabla1[[#This Row],[COSTO FLETE $ POR BOLSA 5O KG (SIN IVA)]]*1.21-Tabla1[[#This Row],[PRECIO $/ KG A PLAZO EN CLIENTE ( SIN IVA)]]*0.003*1.21*50</f>
        <v>0</v>
      </c>
      <c r="AC415" s="845" t="e">
        <f>SUM(Tabla1[[#This Row],[PRECIO $ BOLSA 50 KG (IVA INC) ]]+Tabla1[[#This Row],[COSTO FLETE $ BOLSA 50 KG (IVA INC)]])</f>
        <v>#VALUE!</v>
      </c>
      <c r="AD415" s="844" t="e">
        <f>-Tabla1[[#This Row],[PRECIO $ BOLSA 50 KG (IVA INC) ]]*(Tabla1[[#This Row],[TASA FINANCIACION MENSUAL]]/365)*Tabla1[[#This Row],[PLAZO ENTREGA VALORES]]</f>
        <v>#VALUE!</v>
      </c>
      <c r="AE415" s="845" t="e">
        <f>SUM(Tabla1[[#This Row],[PRECIO $ BOLSA50 KG  FOB TUCUMAN A PLAZO (IVA INC)]]+Tabla1[[#This Row],[GASTOS FINANCIEROS $ BOLSA 50 KG (IVA INC)]])</f>
        <v>#VALUE!</v>
      </c>
      <c r="AF415" s="828"/>
      <c r="AG415" s="828"/>
      <c r="AH415" s="828"/>
      <c r="AI415" s="828"/>
      <c r="AJ41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15" s="846" t="e">
        <f>SUM(Tabla1[[#This Row],[PRECIO $ BOLSA 50KG  FOB CDO TUC (IVA INC)]]-Tabla1[[#This Row],[PRECIO REF $ BOLSA 50 KG CACTU (IVA INC)]])</f>
        <v>#VALUE!</v>
      </c>
      <c r="AL415" s="847" t="str">
        <f>IFERROR(Tabla1[[#This Row],[PRECIO $ BOLSA 50KG  FOB CDO TUC (IVA INC)]]/Tabla1[[#This Row],[PRECIO REF $ BOLSA 50 KG CACTU (IVA INC)]]-1,"")</f>
        <v/>
      </c>
      <c r="AM415" s="846" t="e">
        <f>+Tabla1[[#This Row],[DIF $ PRECIO NETO INDUSTRIA vs Neto TUCUMAN (IVA INC)]]*Tabla1[[#This Row],[Q Bolsas Equivalentes 50kg]]</f>
        <v>#VALUE!</v>
      </c>
      <c r="AN415" s="846" t="e">
        <f>Tabla1[[#This Row],[PRECIO REF $ BOLSA 50 KG CACTU (IVA INC)]]*Tabla1[[#This Row],[Q Bolsas Equivalentes 50kg]]</f>
        <v>#VALUE!</v>
      </c>
      <c r="AO415" s="846" t="e">
        <f>+Tabla1[[#This Row],[PRECIO $ BOLSA 50KG  FOB CDO TUC (IVA INC)]]*Tabla1[[#This Row],[Q Bolsas Equivalentes 50kg]]</f>
        <v>#VALUE!</v>
      </c>
      <c r="AP415" s="847"/>
      <c r="AQ415" s="846">
        <v>0</v>
      </c>
      <c r="AR415" s="828"/>
      <c r="AS415" s="849"/>
      <c r="AT415" s="923">
        <f>+Tabla1[[#This Row],[VENTA TOTAL $ (IVA INC) ]]-(SUM(Tabla1[[#This Row],[PENDIENTE DE ENTREGA]:[VALORES COBRADOS]]))</f>
        <v>0</v>
      </c>
      <c r="AU415" s="850" t="e">
        <f>VLOOKUP(Tabla1[[#This Row],[FECHA OC]],'TIPO DE CAMBIO'!A:B,2,TRUE)</f>
        <v>#N/A</v>
      </c>
      <c r="AV415" s="850" t="e">
        <f>+Tabla1[[#This Row],[SUBTOTAL]]/Tabla1[[#This Row],[TIPO DE CAMBIO]]</f>
        <v>#N/A</v>
      </c>
      <c r="AW415" s="851"/>
      <c r="AX415" s="850" t="str">
        <f>IFERROR(Tabla1[[#This Row],[VENTA TOTAL USD A PLAZO EN CLIENTE  (SIN IVA)]]*(1+Tabla1[[#This Row],[% IVA ]]),"")</f>
        <v/>
      </c>
      <c r="AY415" s="850" t="e">
        <f>+Tabla1[[#This Row],[VENTA TOTAL USD A PLAZO EN CLIENTE  (SIN IVA)]]/Tabla1[[#This Row],[KGS]]*1000</f>
        <v>#N/A</v>
      </c>
      <c r="AZ415" s="850" t="e">
        <f>-Tabla1[[#This Row],[COSTO FLETE $ POR BOLSA 5O KG (SIN IVA)]]*20/Tabla1[[#This Row],[TIPO DE CAMBIO]]</f>
        <v>#N/A</v>
      </c>
      <c r="BA415" s="850" t="e">
        <f>+Tabla1[[#This Row],[GASTOS FINANCIEROS $ BOLSA 50 KG (IVA INC)]]*20/Tabla1[[#This Row],[TIPO DE CAMBIO]]</f>
        <v>#VALUE!</v>
      </c>
      <c r="BB415" s="850" t="e">
        <f>+Tabla1[[#This Row],[PRECIO POR TN USD EN CLIENTE A PLAZO (SIN IVA)]]+Tabla1[[#This Row],[COSTO USD FLETE /TN (SIN IVA)]]+Tabla1[[#This Row],[COSTO FINANCIERO USD POR BOLSA 50KG (IVA INC)]]</f>
        <v>#N/A</v>
      </c>
      <c r="BC415" s="848"/>
      <c r="BD415" s="944"/>
    </row>
    <row r="416" spans="1:56" ht="15.75" customHeight="1">
      <c r="A416" s="912">
        <v>46235</v>
      </c>
      <c r="B416" s="853"/>
      <c r="C416" s="792"/>
      <c r="D416" s="829">
        <f>+Tabla1[[#This Row],[FECHA Entrega]]</f>
        <v>0</v>
      </c>
      <c r="E416" s="830"/>
      <c r="F416" s="831"/>
      <c r="G416" s="832"/>
      <c r="H416" s="852"/>
      <c r="I416" s="834"/>
      <c r="J416" s="835"/>
      <c r="K416" s="836">
        <f t="shared" si="138"/>
        <v>0</v>
      </c>
      <c r="L41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16" s="837">
        <f t="shared" si="137"/>
        <v>0</v>
      </c>
      <c r="N416" s="838">
        <f>+Tabla1[[#This Row],[VENTA TOTAL $ (IVA INC) ]]</f>
        <v>0</v>
      </c>
      <c r="O416" s="838">
        <v>0</v>
      </c>
      <c r="P416" s="838">
        <v>0</v>
      </c>
      <c r="Q416" s="839">
        <f>+Tabla1[[#This Row],[VENTA TOTAL $ (IVA INC) ]]-Tabla1[[#This Row],[PENDIENTE DE COBRO]]</f>
        <v>0</v>
      </c>
      <c r="R416" s="840">
        <f>+Tabla1[[#This Row],[FECHA FC]]+Tabla1[[#This Row],[PLAZO ENTREGA VALORES]]</f>
        <v>0</v>
      </c>
      <c r="S416" s="840">
        <f>+Tabla1[[#This Row],[FECHA FC]]+Tabla1[[#This Row],[PLAZO PAGO (DIAS)]]</f>
        <v>0</v>
      </c>
      <c r="T416" s="834">
        <f t="shared" ca="1" si="139"/>
        <v>-46181</v>
      </c>
      <c r="U416" s="831"/>
      <c r="V416" s="831"/>
      <c r="W416" s="841">
        <f>+Tabla1[[#This Row],[FECHA VTO VALORES]]+7</f>
        <v>7</v>
      </c>
      <c r="X416" s="830"/>
      <c r="Y416" s="859"/>
      <c r="Z416" s="860">
        <f>Tabla1[[#This Row],[KGS]]/50</f>
        <v>0</v>
      </c>
      <c r="AA41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16" s="844">
        <f>-Tabla1[[#This Row],[COSTO FLETE $ POR BOLSA 5O KG (SIN IVA)]]*1.21-Tabla1[[#This Row],[PRECIO $/ KG A PLAZO EN CLIENTE ( SIN IVA)]]*0.003*1.21*50</f>
        <v>0</v>
      </c>
      <c r="AC416" s="845" t="e">
        <f>SUM(Tabla1[[#This Row],[PRECIO $ BOLSA 50 KG (IVA INC) ]]+Tabla1[[#This Row],[COSTO FLETE $ BOLSA 50 KG (IVA INC)]])</f>
        <v>#VALUE!</v>
      </c>
      <c r="AD416" s="844" t="e">
        <f>-Tabla1[[#This Row],[PRECIO $ BOLSA 50 KG (IVA INC) ]]*(Tabla1[[#This Row],[TASA FINANCIACION MENSUAL]]/365)*Tabla1[[#This Row],[PLAZO ENTREGA VALORES]]</f>
        <v>#VALUE!</v>
      </c>
      <c r="AE416" s="845" t="e">
        <f>SUM(Tabla1[[#This Row],[PRECIO $ BOLSA50 KG  FOB TUCUMAN A PLAZO (IVA INC)]]+Tabla1[[#This Row],[GASTOS FINANCIEROS $ BOLSA 50 KG (IVA INC)]])</f>
        <v>#VALUE!</v>
      </c>
      <c r="AF416" s="828"/>
      <c r="AG416" s="828"/>
      <c r="AH416" s="828"/>
      <c r="AI416" s="828"/>
      <c r="AJ41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16" s="846" t="e">
        <f>SUM(Tabla1[[#This Row],[PRECIO $ BOLSA 50KG  FOB CDO TUC (IVA INC)]]-Tabla1[[#This Row],[PRECIO REF $ BOLSA 50 KG CACTU (IVA INC)]])</f>
        <v>#VALUE!</v>
      </c>
      <c r="AL416" s="847" t="str">
        <f>IFERROR(Tabla1[[#This Row],[PRECIO $ BOLSA 50KG  FOB CDO TUC (IVA INC)]]/Tabla1[[#This Row],[PRECIO REF $ BOLSA 50 KG CACTU (IVA INC)]]-1,"")</f>
        <v/>
      </c>
      <c r="AM416" s="846" t="e">
        <f>+Tabla1[[#This Row],[DIF $ PRECIO NETO INDUSTRIA vs Neto TUCUMAN (IVA INC)]]*Tabla1[[#This Row],[Q Bolsas Equivalentes 50kg]]</f>
        <v>#VALUE!</v>
      </c>
      <c r="AN416" s="846" t="e">
        <f>Tabla1[[#This Row],[PRECIO REF $ BOLSA 50 KG CACTU (IVA INC)]]*Tabla1[[#This Row],[Q Bolsas Equivalentes 50kg]]</f>
        <v>#VALUE!</v>
      </c>
      <c r="AO416" s="846" t="e">
        <f>+Tabla1[[#This Row],[PRECIO $ BOLSA 50KG  FOB CDO TUC (IVA INC)]]*Tabla1[[#This Row],[Q Bolsas Equivalentes 50kg]]</f>
        <v>#VALUE!</v>
      </c>
      <c r="AP416" s="847"/>
      <c r="AQ416" s="846">
        <v>0</v>
      </c>
      <c r="AR416" s="828"/>
      <c r="AS416" s="849"/>
      <c r="AT416" s="923">
        <f>+Tabla1[[#This Row],[VENTA TOTAL $ (IVA INC) ]]-(SUM(Tabla1[[#This Row],[PENDIENTE DE ENTREGA]:[VALORES COBRADOS]]))</f>
        <v>0</v>
      </c>
      <c r="AU416" s="850" t="e">
        <f>VLOOKUP(Tabla1[[#This Row],[FECHA OC]],'TIPO DE CAMBIO'!A:B,2,TRUE)</f>
        <v>#N/A</v>
      </c>
      <c r="AV416" s="850" t="e">
        <f>+Tabla1[[#This Row],[SUBTOTAL]]/Tabla1[[#This Row],[TIPO DE CAMBIO]]</f>
        <v>#N/A</v>
      </c>
      <c r="AW416" s="851"/>
      <c r="AX416" s="850" t="str">
        <f>IFERROR(Tabla1[[#This Row],[VENTA TOTAL USD A PLAZO EN CLIENTE  (SIN IVA)]]*(1+Tabla1[[#This Row],[% IVA ]]),"")</f>
        <v/>
      </c>
      <c r="AY416" s="850" t="e">
        <f>+Tabla1[[#This Row],[VENTA TOTAL USD A PLAZO EN CLIENTE  (SIN IVA)]]/Tabla1[[#This Row],[KGS]]*1000</f>
        <v>#N/A</v>
      </c>
      <c r="AZ416" s="850" t="e">
        <f>-Tabla1[[#This Row],[COSTO FLETE $ POR BOLSA 5O KG (SIN IVA)]]*20/Tabla1[[#This Row],[TIPO DE CAMBIO]]</f>
        <v>#N/A</v>
      </c>
      <c r="BA416" s="850" t="e">
        <f>+Tabla1[[#This Row],[GASTOS FINANCIEROS $ BOLSA 50 KG (IVA INC)]]*20/Tabla1[[#This Row],[TIPO DE CAMBIO]]</f>
        <v>#VALUE!</v>
      </c>
      <c r="BB416" s="850" t="e">
        <f>+Tabla1[[#This Row],[PRECIO POR TN USD EN CLIENTE A PLAZO (SIN IVA)]]+Tabla1[[#This Row],[COSTO USD FLETE /TN (SIN IVA)]]+Tabla1[[#This Row],[COSTO FINANCIERO USD POR BOLSA 50KG (IVA INC)]]</f>
        <v>#N/A</v>
      </c>
      <c r="BC416" s="848"/>
      <c r="BD416" s="944"/>
    </row>
    <row r="417" spans="1:56" ht="15.75" customHeight="1">
      <c r="A417" s="912">
        <v>46235</v>
      </c>
      <c r="B417" s="853"/>
      <c r="C417" s="792"/>
      <c r="D417" s="829">
        <f>+Tabla1[[#This Row],[FECHA Entrega]]</f>
        <v>0</v>
      </c>
      <c r="E417" s="830"/>
      <c r="F417" s="831"/>
      <c r="G417" s="832"/>
      <c r="H417" s="852"/>
      <c r="I417" s="834"/>
      <c r="J417" s="835"/>
      <c r="K417" s="836">
        <f t="shared" si="138"/>
        <v>0</v>
      </c>
      <c r="L41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17" s="837">
        <f t="shared" ref="M417:M480" si="140">SUM(K417:L417)</f>
        <v>0</v>
      </c>
      <c r="N417" s="838">
        <f>+Tabla1[[#This Row],[VENTA TOTAL $ (IVA INC) ]]</f>
        <v>0</v>
      </c>
      <c r="O417" s="838">
        <v>0</v>
      </c>
      <c r="P417" s="838">
        <v>0</v>
      </c>
      <c r="Q417" s="839">
        <f>+Tabla1[[#This Row],[VENTA TOTAL $ (IVA INC) ]]-Tabla1[[#This Row],[PENDIENTE DE COBRO]]</f>
        <v>0</v>
      </c>
      <c r="R417" s="840">
        <f>+Tabla1[[#This Row],[FECHA FC]]+Tabla1[[#This Row],[PLAZO ENTREGA VALORES]]</f>
        <v>0</v>
      </c>
      <c r="S417" s="840">
        <f>+Tabla1[[#This Row],[FECHA FC]]+Tabla1[[#This Row],[PLAZO PAGO (DIAS)]]</f>
        <v>0</v>
      </c>
      <c r="T417" s="834">
        <f t="shared" ca="1" si="139"/>
        <v>-46181</v>
      </c>
      <c r="U417" s="831"/>
      <c r="V417" s="831"/>
      <c r="W417" s="841">
        <f>+Tabla1[[#This Row],[FECHA VTO VALORES]]+7</f>
        <v>7</v>
      </c>
      <c r="X417" s="830"/>
      <c r="Y417" s="859"/>
      <c r="Z417" s="860">
        <f>Tabla1[[#This Row],[KGS]]/50</f>
        <v>0</v>
      </c>
      <c r="AA41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17" s="844">
        <f>-Tabla1[[#This Row],[COSTO FLETE $ POR BOLSA 5O KG (SIN IVA)]]*1.21-Tabla1[[#This Row],[PRECIO $/ KG A PLAZO EN CLIENTE ( SIN IVA)]]*0.003*1.21*50</f>
        <v>0</v>
      </c>
      <c r="AC417" s="845" t="e">
        <f>SUM(Tabla1[[#This Row],[PRECIO $ BOLSA 50 KG (IVA INC) ]]+Tabla1[[#This Row],[COSTO FLETE $ BOLSA 50 KG (IVA INC)]])</f>
        <v>#VALUE!</v>
      </c>
      <c r="AD417" s="844" t="e">
        <f>-Tabla1[[#This Row],[PRECIO $ BOLSA 50 KG (IVA INC) ]]*(Tabla1[[#This Row],[TASA FINANCIACION MENSUAL]]/365)*Tabla1[[#This Row],[PLAZO ENTREGA VALORES]]</f>
        <v>#VALUE!</v>
      </c>
      <c r="AE417" s="845" t="e">
        <f>SUM(Tabla1[[#This Row],[PRECIO $ BOLSA50 KG  FOB TUCUMAN A PLAZO (IVA INC)]]+Tabla1[[#This Row],[GASTOS FINANCIEROS $ BOLSA 50 KG (IVA INC)]])</f>
        <v>#VALUE!</v>
      </c>
      <c r="AF417" s="828"/>
      <c r="AG417" s="828"/>
      <c r="AH417" s="828"/>
      <c r="AI417" s="828"/>
      <c r="AJ41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17" s="846" t="e">
        <f>SUM(Tabla1[[#This Row],[PRECIO $ BOLSA 50KG  FOB CDO TUC (IVA INC)]]-Tabla1[[#This Row],[PRECIO REF $ BOLSA 50 KG CACTU (IVA INC)]])</f>
        <v>#VALUE!</v>
      </c>
      <c r="AL417" s="847" t="str">
        <f>IFERROR(Tabla1[[#This Row],[PRECIO $ BOLSA 50KG  FOB CDO TUC (IVA INC)]]/Tabla1[[#This Row],[PRECIO REF $ BOLSA 50 KG CACTU (IVA INC)]]-1,"")</f>
        <v/>
      </c>
      <c r="AM417" s="846" t="e">
        <f>+Tabla1[[#This Row],[DIF $ PRECIO NETO INDUSTRIA vs Neto TUCUMAN (IVA INC)]]*Tabla1[[#This Row],[Q Bolsas Equivalentes 50kg]]</f>
        <v>#VALUE!</v>
      </c>
      <c r="AN417" s="846" t="e">
        <f>Tabla1[[#This Row],[PRECIO REF $ BOLSA 50 KG CACTU (IVA INC)]]*Tabla1[[#This Row],[Q Bolsas Equivalentes 50kg]]</f>
        <v>#VALUE!</v>
      </c>
      <c r="AO417" s="846" t="e">
        <f>+Tabla1[[#This Row],[PRECIO $ BOLSA 50KG  FOB CDO TUC (IVA INC)]]*Tabla1[[#This Row],[Q Bolsas Equivalentes 50kg]]</f>
        <v>#VALUE!</v>
      </c>
      <c r="AP417" s="847"/>
      <c r="AQ417" s="846">
        <v>0</v>
      </c>
      <c r="AR417" s="828"/>
      <c r="AS417" s="849"/>
      <c r="AT417" s="923">
        <f>+Tabla1[[#This Row],[VENTA TOTAL $ (IVA INC) ]]-(SUM(Tabla1[[#This Row],[PENDIENTE DE ENTREGA]:[VALORES COBRADOS]]))</f>
        <v>0</v>
      </c>
      <c r="AU417" s="850" t="e">
        <f>VLOOKUP(Tabla1[[#This Row],[FECHA OC]],'TIPO DE CAMBIO'!A:B,2,TRUE)</f>
        <v>#N/A</v>
      </c>
      <c r="AV417" s="850" t="e">
        <f>+Tabla1[[#This Row],[SUBTOTAL]]/Tabla1[[#This Row],[TIPO DE CAMBIO]]</f>
        <v>#N/A</v>
      </c>
      <c r="AW417" s="851"/>
      <c r="AX417" s="850" t="str">
        <f>IFERROR(Tabla1[[#This Row],[VENTA TOTAL USD A PLAZO EN CLIENTE  (SIN IVA)]]*(1+Tabla1[[#This Row],[% IVA ]]),"")</f>
        <v/>
      </c>
      <c r="AY417" s="850" t="e">
        <f>+Tabla1[[#This Row],[VENTA TOTAL USD A PLAZO EN CLIENTE  (SIN IVA)]]/Tabla1[[#This Row],[KGS]]*1000</f>
        <v>#N/A</v>
      </c>
      <c r="AZ417" s="850" t="e">
        <f>-Tabla1[[#This Row],[COSTO FLETE $ POR BOLSA 5O KG (SIN IVA)]]*20/Tabla1[[#This Row],[TIPO DE CAMBIO]]</f>
        <v>#N/A</v>
      </c>
      <c r="BA417" s="850" t="e">
        <f>+Tabla1[[#This Row],[GASTOS FINANCIEROS $ BOLSA 50 KG (IVA INC)]]*20/Tabla1[[#This Row],[TIPO DE CAMBIO]]</f>
        <v>#VALUE!</v>
      </c>
      <c r="BB417" s="850" t="e">
        <f>+Tabla1[[#This Row],[PRECIO POR TN USD EN CLIENTE A PLAZO (SIN IVA)]]+Tabla1[[#This Row],[COSTO USD FLETE /TN (SIN IVA)]]+Tabla1[[#This Row],[COSTO FINANCIERO USD POR BOLSA 50KG (IVA INC)]]</f>
        <v>#N/A</v>
      </c>
      <c r="BC417" s="848"/>
      <c r="BD417" s="944"/>
    </row>
    <row r="418" spans="1:56" ht="15.75" customHeight="1">
      <c r="A418" s="912">
        <v>46235</v>
      </c>
      <c r="B418" s="853"/>
      <c r="C418" s="792"/>
      <c r="D418" s="829">
        <f>+Tabla1[[#This Row],[FECHA Entrega]]</f>
        <v>0</v>
      </c>
      <c r="E418" s="830"/>
      <c r="F418" s="831"/>
      <c r="G418" s="832"/>
      <c r="H418" s="852"/>
      <c r="I418" s="834"/>
      <c r="J418" s="835"/>
      <c r="K418" s="836">
        <f t="shared" si="138"/>
        <v>0</v>
      </c>
      <c r="L41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18" s="837">
        <f t="shared" si="140"/>
        <v>0</v>
      </c>
      <c r="N418" s="838">
        <f>+Tabla1[[#This Row],[VENTA TOTAL $ (IVA INC) ]]</f>
        <v>0</v>
      </c>
      <c r="O418" s="838">
        <v>0</v>
      </c>
      <c r="P418" s="838">
        <v>0</v>
      </c>
      <c r="Q418" s="839">
        <f>+Tabla1[[#This Row],[VENTA TOTAL $ (IVA INC) ]]-Tabla1[[#This Row],[PENDIENTE DE COBRO]]</f>
        <v>0</v>
      </c>
      <c r="R418" s="840">
        <f>+Tabla1[[#This Row],[FECHA FC]]+Tabla1[[#This Row],[PLAZO ENTREGA VALORES]]</f>
        <v>0</v>
      </c>
      <c r="S418" s="840">
        <f>+Tabla1[[#This Row],[FECHA FC]]+Tabla1[[#This Row],[PLAZO PAGO (DIAS)]]</f>
        <v>0</v>
      </c>
      <c r="T418" s="834">
        <f t="shared" ca="1" si="139"/>
        <v>-46181</v>
      </c>
      <c r="U418" s="831"/>
      <c r="V418" s="831"/>
      <c r="W418" s="841">
        <f>+Tabla1[[#This Row],[FECHA VTO VALORES]]+7</f>
        <v>7</v>
      </c>
      <c r="X418" s="830"/>
      <c r="Y418" s="859"/>
      <c r="Z418" s="860">
        <f>Tabla1[[#This Row],[KGS]]/50</f>
        <v>0</v>
      </c>
      <c r="AA41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18" s="844">
        <f>-Tabla1[[#This Row],[COSTO FLETE $ POR BOLSA 5O KG (SIN IVA)]]*1.21-Tabla1[[#This Row],[PRECIO $/ KG A PLAZO EN CLIENTE ( SIN IVA)]]*0.003*1.21*50</f>
        <v>0</v>
      </c>
      <c r="AC418" s="845" t="e">
        <f>SUM(Tabla1[[#This Row],[PRECIO $ BOLSA 50 KG (IVA INC) ]]+Tabla1[[#This Row],[COSTO FLETE $ BOLSA 50 KG (IVA INC)]])</f>
        <v>#VALUE!</v>
      </c>
      <c r="AD418" s="844" t="e">
        <f>-Tabla1[[#This Row],[PRECIO $ BOLSA 50 KG (IVA INC) ]]*(Tabla1[[#This Row],[TASA FINANCIACION MENSUAL]]/365)*Tabla1[[#This Row],[PLAZO ENTREGA VALORES]]</f>
        <v>#VALUE!</v>
      </c>
      <c r="AE418" s="845" t="e">
        <f>SUM(Tabla1[[#This Row],[PRECIO $ BOLSA50 KG  FOB TUCUMAN A PLAZO (IVA INC)]]+Tabla1[[#This Row],[GASTOS FINANCIEROS $ BOLSA 50 KG (IVA INC)]])</f>
        <v>#VALUE!</v>
      </c>
      <c r="AF418" s="828"/>
      <c r="AG418" s="828"/>
      <c r="AH418" s="828"/>
      <c r="AI418" s="828"/>
      <c r="AJ41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18" s="846" t="e">
        <f>SUM(Tabla1[[#This Row],[PRECIO $ BOLSA 50KG  FOB CDO TUC (IVA INC)]]-Tabla1[[#This Row],[PRECIO REF $ BOLSA 50 KG CACTU (IVA INC)]])</f>
        <v>#VALUE!</v>
      </c>
      <c r="AL418" s="847" t="str">
        <f>IFERROR(Tabla1[[#This Row],[PRECIO $ BOLSA 50KG  FOB CDO TUC (IVA INC)]]/Tabla1[[#This Row],[PRECIO REF $ BOLSA 50 KG CACTU (IVA INC)]]-1,"")</f>
        <v/>
      </c>
      <c r="AM418" s="846" t="e">
        <f>+Tabla1[[#This Row],[DIF $ PRECIO NETO INDUSTRIA vs Neto TUCUMAN (IVA INC)]]*Tabla1[[#This Row],[Q Bolsas Equivalentes 50kg]]</f>
        <v>#VALUE!</v>
      </c>
      <c r="AN418" s="846" t="e">
        <f>Tabla1[[#This Row],[PRECIO REF $ BOLSA 50 KG CACTU (IVA INC)]]*Tabla1[[#This Row],[Q Bolsas Equivalentes 50kg]]</f>
        <v>#VALUE!</v>
      </c>
      <c r="AO418" s="846" t="e">
        <f>+Tabla1[[#This Row],[PRECIO $ BOLSA 50KG  FOB CDO TUC (IVA INC)]]*Tabla1[[#This Row],[Q Bolsas Equivalentes 50kg]]</f>
        <v>#VALUE!</v>
      </c>
      <c r="AP418" s="847"/>
      <c r="AQ418" s="846">
        <v>0</v>
      </c>
      <c r="AR418" s="828"/>
      <c r="AS418" s="849"/>
      <c r="AT418" s="923">
        <f>+Tabla1[[#This Row],[VENTA TOTAL $ (IVA INC) ]]-(SUM(Tabla1[[#This Row],[PENDIENTE DE ENTREGA]:[VALORES COBRADOS]]))</f>
        <v>0</v>
      </c>
      <c r="AU418" s="850" t="e">
        <f>VLOOKUP(Tabla1[[#This Row],[FECHA OC]],'TIPO DE CAMBIO'!A:B,2,TRUE)</f>
        <v>#N/A</v>
      </c>
      <c r="AV418" s="850" t="e">
        <f>+Tabla1[[#This Row],[SUBTOTAL]]/Tabla1[[#This Row],[TIPO DE CAMBIO]]</f>
        <v>#N/A</v>
      </c>
      <c r="AW418" s="851"/>
      <c r="AX418" s="850" t="str">
        <f>IFERROR(Tabla1[[#This Row],[VENTA TOTAL USD A PLAZO EN CLIENTE  (SIN IVA)]]*(1+Tabla1[[#This Row],[% IVA ]]),"")</f>
        <v/>
      </c>
      <c r="AY418" s="850" t="e">
        <f>+Tabla1[[#This Row],[VENTA TOTAL USD A PLAZO EN CLIENTE  (SIN IVA)]]/Tabla1[[#This Row],[KGS]]*1000</f>
        <v>#N/A</v>
      </c>
      <c r="AZ418" s="850" t="e">
        <f>-Tabla1[[#This Row],[COSTO FLETE $ POR BOLSA 5O KG (SIN IVA)]]*20/Tabla1[[#This Row],[TIPO DE CAMBIO]]</f>
        <v>#N/A</v>
      </c>
      <c r="BA418" s="850" t="e">
        <f>+Tabla1[[#This Row],[GASTOS FINANCIEROS $ BOLSA 50 KG (IVA INC)]]*20/Tabla1[[#This Row],[TIPO DE CAMBIO]]</f>
        <v>#VALUE!</v>
      </c>
      <c r="BB418" s="850" t="e">
        <f>+Tabla1[[#This Row],[PRECIO POR TN USD EN CLIENTE A PLAZO (SIN IVA)]]+Tabla1[[#This Row],[COSTO USD FLETE /TN (SIN IVA)]]+Tabla1[[#This Row],[COSTO FINANCIERO USD POR BOLSA 50KG (IVA INC)]]</f>
        <v>#N/A</v>
      </c>
      <c r="BC418" s="848"/>
      <c r="BD418" s="944"/>
    </row>
    <row r="419" spans="1:56" ht="15.75" customHeight="1">
      <c r="A419" s="912">
        <v>46235</v>
      </c>
      <c r="B419" s="853"/>
      <c r="C419" s="792"/>
      <c r="D419" s="829">
        <f>+Tabla1[[#This Row],[FECHA Entrega]]</f>
        <v>0</v>
      </c>
      <c r="E419" s="830"/>
      <c r="F419" s="831"/>
      <c r="G419" s="832"/>
      <c r="H419" s="852"/>
      <c r="I419" s="834"/>
      <c r="J419" s="835"/>
      <c r="K419" s="836">
        <f t="shared" si="138"/>
        <v>0</v>
      </c>
      <c r="L41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19" s="837">
        <f t="shared" si="140"/>
        <v>0</v>
      </c>
      <c r="N419" s="838">
        <f>+Tabla1[[#This Row],[VENTA TOTAL $ (IVA INC) ]]</f>
        <v>0</v>
      </c>
      <c r="O419" s="838">
        <v>0</v>
      </c>
      <c r="P419" s="838">
        <v>0</v>
      </c>
      <c r="Q419" s="839">
        <f>+Tabla1[[#This Row],[VENTA TOTAL $ (IVA INC) ]]-Tabla1[[#This Row],[PENDIENTE DE COBRO]]</f>
        <v>0</v>
      </c>
      <c r="R419" s="840">
        <f>+Tabla1[[#This Row],[FECHA FC]]+Tabla1[[#This Row],[PLAZO ENTREGA VALORES]]</f>
        <v>0</v>
      </c>
      <c r="S419" s="840">
        <f>+Tabla1[[#This Row],[FECHA FC]]+Tabla1[[#This Row],[PLAZO PAGO (DIAS)]]</f>
        <v>0</v>
      </c>
      <c r="T419" s="834">
        <f t="shared" ca="1" si="139"/>
        <v>-46181</v>
      </c>
      <c r="U419" s="831"/>
      <c r="V419" s="831"/>
      <c r="W419" s="841">
        <f>+Tabla1[[#This Row],[FECHA VTO VALORES]]+7</f>
        <v>7</v>
      </c>
      <c r="X419" s="830"/>
      <c r="Y419" s="859"/>
      <c r="Z419" s="860">
        <f>Tabla1[[#This Row],[KGS]]/50</f>
        <v>0</v>
      </c>
      <c r="AA41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19" s="844">
        <f>-Tabla1[[#This Row],[COSTO FLETE $ POR BOLSA 5O KG (SIN IVA)]]*1.21-Tabla1[[#This Row],[PRECIO $/ KG A PLAZO EN CLIENTE ( SIN IVA)]]*0.003*1.21*50</f>
        <v>0</v>
      </c>
      <c r="AC419" s="845" t="e">
        <f>SUM(Tabla1[[#This Row],[PRECIO $ BOLSA 50 KG (IVA INC) ]]+Tabla1[[#This Row],[COSTO FLETE $ BOLSA 50 KG (IVA INC)]])</f>
        <v>#VALUE!</v>
      </c>
      <c r="AD419" s="844" t="e">
        <f>-Tabla1[[#This Row],[PRECIO $ BOLSA 50 KG (IVA INC) ]]*(Tabla1[[#This Row],[TASA FINANCIACION MENSUAL]]/365)*Tabla1[[#This Row],[PLAZO ENTREGA VALORES]]</f>
        <v>#VALUE!</v>
      </c>
      <c r="AE419" s="845" t="e">
        <f>SUM(Tabla1[[#This Row],[PRECIO $ BOLSA50 KG  FOB TUCUMAN A PLAZO (IVA INC)]]+Tabla1[[#This Row],[GASTOS FINANCIEROS $ BOLSA 50 KG (IVA INC)]])</f>
        <v>#VALUE!</v>
      </c>
      <c r="AF419" s="828"/>
      <c r="AG419" s="828"/>
      <c r="AH419" s="828"/>
      <c r="AI419" s="828"/>
      <c r="AJ41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19" s="846" t="e">
        <f>SUM(Tabla1[[#This Row],[PRECIO $ BOLSA 50KG  FOB CDO TUC (IVA INC)]]-Tabla1[[#This Row],[PRECIO REF $ BOLSA 50 KG CACTU (IVA INC)]])</f>
        <v>#VALUE!</v>
      </c>
      <c r="AL419" s="847" t="str">
        <f>IFERROR(Tabla1[[#This Row],[PRECIO $ BOLSA 50KG  FOB CDO TUC (IVA INC)]]/Tabla1[[#This Row],[PRECIO REF $ BOLSA 50 KG CACTU (IVA INC)]]-1,"")</f>
        <v/>
      </c>
      <c r="AM419" s="846" t="e">
        <f>+Tabla1[[#This Row],[DIF $ PRECIO NETO INDUSTRIA vs Neto TUCUMAN (IVA INC)]]*Tabla1[[#This Row],[Q Bolsas Equivalentes 50kg]]</f>
        <v>#VALUE!</v>
      </c>
      <c r="AN419" s="846" t="e">
        <f>Tabla1[[#This Row],[PRECIO REF $ BOLSA 50 KG CACTU (IVA INC)]]*Tabla1[[#This Row],[Q Bolsas Equivalentes 50kg]]</f>
        <v>#VALUE!</v>
      </c>
      <c r="AO419" s="846" t="e">
        <f>+Tabla1[[#This Row],[PRECIO $ BOLSA 50KG  FOB CDO TUC (IVA INC)]]*Tabla1[[#This Row],[Q Bolsas Equivalentes 50kg]]</f>
        <v>#VALUE!</v>
      </c>
      <c r="AP419" s="847"/>
      <c r="AQ419" s="846">
        <v>0</v>
      </c>
      <c r="AR419" s="828"/>
      <c r="AS419" s="849"/>
      <c r="AT419" s="923">
        <f>+Tabla1[[#This Row],[VENTA TOTAL $ (IVA INC) ]]-(SUM(Tabla1[[#This Row],[PENDIENTE DE ENTREGA]:[VALORES COBRADOS]]))</f>
        <v>0</v>
      </c>
      <c r="AU419" s="850" t="e">
        <f>VLOOKUP(Tabla1[[#This Row],[FECHA OC]],'TIPO DE CAMBIO'!A:B,2,TRUE)</f>
        <v>#N/A</v>
      </c>
      <c r="AV419" s="850" t="e">
        <f>+Tabla1[[#This Row],[SUBTOTAL]]/Tabla1[[#This Row],[TIPO DE CAMBIO]]</f>
        <v>#N/A</v>
      </c>
      <c r="AW419" s="851"/>
      <c r="AX419" s="850" t="str">
        <f>IFERROR(Tabla1[[#This Row],[VENTA TOTAL USD A PLAZO EN CLIENTE  (SIN IVA)]]*(1+Tabla1[[#This Row],[% IVA ]]),"")</f>
        <v/>
      </c>
      <c r="AY419" s="850" t="e">
        <f>+Tabla1[[#This Row],[VENTA TOTAL USD A PLAZO EN CLIENTE  (SIN IVA)]]/Tabla1[[#This Row],[KGS]]*1000</f>
        <v>#N/A</v>
      </c>
      <c r="AZ419" s="850" t="e">
        <f>-Tabla1[[#This Row],[COSTO FLETE $ POR BOLSA 5O KG (SIN IVA)]]*20/Tabla1[[#This Row],[TIPO DE CAMBIO]]</f>
        <v>#N/A</v>
      </c>
      <c r="BA419" s="850" t="e">
        <f>+Tabla1[[#This Row],[GASTOS FINANCIEROS $ BOLSA 50 KG (IVA INC)]]*20/Tabla1[[#This Row],[TIPO DE CAMBIO]]</f>
        <v>#VALUE!</v>
      </c>
      <c r="BB419" s="850" t="e">
        <f>+Tabla1[[#This Row],[PRECIO POR TN USD EN CLIENTE A PLAZO (SIN IVA)]]+Tabla1[[#This Row],[COSTO USD FLETE /TN (SIN IVA)]]+Tabla1[[#This Row],[COSTO FINANCIERO USD POR BOLSA 50KG (IVA INC)]]</f>
        <v>#N/A</v>
      </c>
      <c r="BC419" s="848"/>
      <c r="BD419" s="944"/>
    </row>
    <row r="420" spans="1:56" ht="15.75" customHeight="1">
      <c r="A420" s="912">
        <v>46235</v>
      </c>
      <c r="B420" s="853"/>
      <c r="C420" s="792"/>
      <c r="D420" s="829">
        <f>+Tabla1[[#This Row],[FECHA Entrega]]</f>
        <v>0</v>
      </c>
      <c r="E420" s="830"/>
      <c r="F420" s="831"/>
      <c r="G420" s="832"/>
      <c r="H420" s="852"/>
      <c r="I420" s="834"/>
      <c r="J420" s="835"/>
      <c r="K420" s="836">
        <f t="shared" si="138"/>
        <v>0</v>
      </c>
      <c r="L42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20" s="837">
        <f t="shared" si="140"/>
        <v>0</v>
      </c>
      <c r="N420" s="838">
        <f>+Tabla1[[#This Row],[VENTA TOTAL $ (IVA INC) ]]</f>
        <v>0</v>
      </c>
      <c r="O420" s="838">
        <v>0</v>
      </c>
      <c r="P420" s="838">
        <v>0</v>
      </c>
      <c r="Q420" s="839">
        <f>+Tabla1[[#This Row],[VENTA TOTAL $ (IVA INC) ]]-Tabla1[[#This Row],[PENDIENTE DE COBRO]]</f>
        <v>0</v>
      </c>
      <c r="R420" s="840">
        <f>+Tabla1[[#This Row],[FECHA FC]]+Tabla1[[#This Row],[PLAZO ENTREGA VALORES]]</f>
        <v>0</v>
      </c>
      <c r="S420" s="840">
        <f>+Tabla1[[#This Row],[FECHA FC]]+Tabla1[[#This Row],[PLAZO PAGO (DIAS)]]</f>
        <v>0</v>
      </c>
      <c r="T420" s="834">
        <f t="shared" ca="1" si="139"/>
        <v>-46181</v>
      </c>
      <c r="U420" s="831"/>
      <c r="V420" s="831"/>
      <c r="W420" s="841">
        <f>+Tabla1[[#This Row],[FECHA VTO VALORES]]+7</f>
        <v>7</v>
      </c>
      <c r="X420" s="830"/>
      <c r="Y420" s="859"/>
      <c r="Z420" s="860">
        <f>Tabla1[[#This Row],[KGS]]/50</f>
        <v>0</v>
      </c>
      <c r="AA42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20" s="844">
        <f>-Tabla1[[#This Row],[COSTO FLETE $ POR BOLSA 5O KG (SIN IVA)]]*1.21-Tabla1[[#This Row],[PRECIO $/ KG A PLAZO EN CLIENTE ( SIN IVA)]]*0.003*1.21*50</f>
        <v>0</v>
      </c>
      <c r="AC420" s="845" t="e">
        <f>SUM(Tabla1[[#This Row],[PRECIO $ BOLSA 50 KG (IVA INC) ]]+Tabla1[[#This Row],[COSTO FLETE $ BOLSA 50 KG (IVA INC)]])</f>
        <v>#VALUE!</v>
      </c>
      <c r="AD420" s="844" t="e">
        <f>-Tabla1[[#This Row],[PRECIO $ BOLSA 50 KG (IVA INC) ]]*(Tabla1[[#This Row],[TASA FINANCIACION MENSUAL]]/365)*Tabla1[[#This Row],[PLAZO ENTREGA VALORES]]</f>
        <v>#VALUE!</v>
      </c>
      <c r="AE420" s="845" t="e">
        <f>SUM(Tabla1[[#This Row],[PRECIO $ BOLSA50 KG  FOB TUCUMAN A PLAZO (IVA INC)]]+Tabla1[[#This Row],[GASTOS FINANCIEROS $ BOLSA 50 KG (IVA INC)]])</f>
        <v>#VALUE!</v>
      </c>
      <c r="AF420" s="828"/>
      <c r="AG420" s="828"/>
      <c r="AH420" s="828"/>
      <c r="AI420" s="828"/>
      <c r="AJ42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20" s="846" t="e">
        <f>SUM(Tabla1[[#This Row],[PRECIO $ BOLSA 50KG  FOB CDO TUC (IVA INC)]]-Tabla1[[#This Row],[PRECIO REF $ BOLSA 50 KG CACTU (IVA INC)]])</f>
        <v>#VALUE!</v>
      </c>
      <c r="AL420" s="847" t="str">
        <f>IFERROR(Tabla1[[#This Row],[PRECIO $ BOLSA 50KG  FOB CDO TUC (IVA INC)]]/Tabla1[[#This Row],[PRECIO REF $ BOLSA 50 KG CACTU (IVA INC)]]-1,"")</f>
        <v/>
      </c>
      <c r="AM420" s="846" t="e">
        <f>+Tabla1[[#This Row],[DIF $ PRECIO NETO INDUSTRIA vs Neto TUCUMAN (IVA INC)]]*Tabla1[[#This Row],[Q Bolsas Equivalentes 50kg]]</f>
        <v>#VALUE!</v>
      </c>
      <c r="AN420" s="846" t="e">
        <f>Tabla1[[#This Row],[PRECIO REF $ BOLSA 50 KG CACTU (IVA INC)]]*Tabla1[[#This Row],[Q Bolsas Equivalentes 50kg]]</f>
        <v>#VALUE!</v>
      </c>
      <c r="AO420" s="846" t="e">
        <f>+Tabla1[[#This Row],[PRECIO $ BOLSA 50KG  FOB CDO TUC (IVA INC)]]*Tabla1[[#This Row],[Q Bolsas Equivalentes 50kg]]</f>
        <v>#VALUE!</v>
      </c>
      <c r="AP420" s="847"/>
      <c r="AQ420" s="846">
        <v>0</v>
      </c>
      <c r="AR420" s="828"/>
      <c r="AS420" s="849"/>
      <c r="AT420" s="923">
        <f>+Tabla1[[#This Row],[VENTA TOTAL $ (IVA INC) ]]-(SUM(Tabla1[[#This Row],[PENDIENTE DE ENTREGA]:[VALORES COBRADOS]]))</f>
        <v>0</v>
      </c>
      <c r="AU420" s="850" t="e">
        <f>VLOOKUP(Tabla1[[#This Row],[FECHA OC]],'TIPO DE CAMBIO'!A:B,2,TRUE)</f>
        <v>#N/A</v>
      </c>
      <c r="AV420" s="850" t="e">
        <f>+Tabla1[[#This Row],[SUBTOTAL]]/Tabla1[[#This Row],[TIPO DE CAMBIO]]</f>
        <v>#N/A</v>
      </c>
      <c r="AW420" s="851"/>
      <c r="AX420" s="850" t="str">
        <f>IFERROR(Tabla1[[#This Row],[VENTA TOTAL USD A PLAZO EN CLIENTE  (SIN IVA)]]*(1+Tabla1[[#This Row],[% IVA ]]),"")</f>
        <v/>
      </c>
      <c r="AY420" s="850" t="e">
        <f>+Tabla1[[#This Row],[VENTA TOTAL USD A PLAZO EN CLIENTE  (SIN IVA)]]/Tabla1[[#This Row],[KGS]]*1000</f>
        <v>#N/A</v>
      </c>
      <c r="AZ420" s="850" t="e">
        <f>-Tabla1[[#This Row],[COSTO FLETE $ POR BOLSA 5O KG (SIN IVA)]]*20/Tabla1[[#This Row],[TIPO DE CAMBIO]]</f>
        <v>#N/A</v>
      </c>
      <c r="BA420" s="850" t="e">
        <f>+Tabla1[[#This Row],[GASTOS FINANCIEROS $ BOLSA 50 KG (IVA INC)]]*20/Tabla1[[#This Row],[TIPO DE CAMBIO]]</f>
        <v>#VALUE!</v>
      </c>
      <c r="BB420" s="850" t="e">
        <f>+Tabla1[[#This Row],[PRECIO POR TN USD EN CLIENTE A PLAZO (SIN IVA)]]+Tabla1[[#This Row],[COSTO USD FLETE /TN (SIN IVA)]]+Tabla1[[#This Row],[COSTO FINANCIERO USD POR BOLSA 50KG (IVA INC)]]</f>
        <v>#N/A</v>
      </c>
      <c r="BC420" s="848"/>
      <c r="BD420" s="944"/>
    </row>
    <row r="421" spans="1:56" ht="15.75" customHeight="1">
      <c r="A421" s="912">
        <v>46235</v>
      </c>
      <c r="B421" s="853"/>
      <c r="C421" s="792"/>
      <c r="D421" s="829">
        <f>+Tabla1[[#This Row],[FECHA Entrega]]</f>
        <v>0</v>
      </c>
      <c r="E421" s="830"/>
      <c r="F421" s="831"/>
      <c r="G421" s="832"/>
      <c r="H421" s="852"/>
      <c r="I421" s="834"/>
      <c r="J421" s="835"/>
      <c r="K421" s="836">
        <f t="shared" si="138"/>
        <v>0</v>
      </c>
      <c r="L42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21" s="837">
        <f t="shared" si="140"/>
        <v>0</v>
      </c>
      <c r="N421" s="838">
        <f>+Tabla1[[#This Row],[VENTA TOTAL $ (IVA INC) ]]</f>
        <v>0</v>
      </c>
      <c r="O421" s="838">
        <v>0</v>
      </c>
      <c r="P421" s="838">
        <v>0</v>
      </c>
      <c r="Q421" s="839">
        <f>+Tabla1[[#This Row],[VENTA TOTAL $ (IVA INC) ]]-Tabla1[[#This Row],[PENDIENTE DE COBRO]]</f>
        <v>0</v>
      </c>
      <c r="R421" s="840">
        <f>+Tabla1[[#This Row],[FECHA FC]]+Tabla1[[#This Row],[PLAZO ENTREGA VALORES]]</f>
        <v>0</v>
      </c>
      <c r="S421" s="840">
        <f>+Tabla1[[#This Row],[FECHA FC]]+Tabla1[[#This Row],[PLAZO PAGO (DIAS)]]</f>
        <v>0</v>
      </c>
      <c r="T421" s="834">
        <f t="shared" ca="1" si="139"/>
        <v>-46181</v>
      </c>
      <c r="U421" s="831"/>
      <c r="V421" s="831"/>
      <c r="W421" s="841">
        <f>+Tabla1[[#This Row],[FECHA VTO VALORES]]+7</f>
        <v>7</v>
      </c>
      <c r="X421" s="830"/>
      <c r="Y421" s="859"/>
      <c r="Z421" s="860">
        <f>Tabla1[[#This Row],[KGS]]/50</f>
        <v>0</v>
      </c>
      <c r="AA42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21" s="844">
        <f>-Tabla1[[#This Row],[COSTO FLETE $ POR BOLSA 5O KG (SIN IVA)]]*1.21-Tabla1[[#This Row],[PRECIO $/ KG A PLAZO EN CLIENTE ( SIN IVA)]]*0.003*1.21*50</f>
        <v>0</v>
      </c>
      <c r="AC421" s="845" t="e">
        <f>SUM(Tabla1[[#This Row],[PRECIO $ BOLSA 50 KG (IVA INC) ]]+Tabla1[[#This Row],[COSTO FLETE $ BOLSA 50 KG (IVA INC)]])</f>
        <v>#VALUE!</v>
      </c>
      <c r="AD421" s="844" t="e">
        <f>-Tabla1[[#This Row],[PRECIO $ BOLSA 50 KG (IVA INC) ]]*(Tabla1[[#This Row],[TASA FINANCIACION MENSUAL]]/365)*Tabla1[[#This Row],[PLAZO ENTREGA VALORES]]</f>
        <v>#VALUE!</v>
      </c>
      <c r="AE421" s="845" t="e">
        <f>SUM(Tabla1[[#This Row],[PRECIO $ BOLSA50 KG  FOB TUCUMAN A PLAZO (IVA INC)]]+Tabla1[[#This Row],[GASTOS FINANCIEROS $ BOLSA 50 KG (IVA INC)]])</f>
        <v>#VALUE!</v>
      </c>
      <c r="AF421" s="828"/>
      <c r="AG421" s="828"/>
      <c r="AH421" s="828"/>
      <c r="AI421" s="828"/>
      <c r="AJ42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21" s="846" t="e">
        <f>SUM(Tabla1[[#This Row],[PRECIO $ BOLSA 50KG  FOB CDO TUC (IVA INC)]]-Tabla1[[#This Row],[PRECIO REF $ BOLSA 50 KG CACTU (IVA INC)]])</f>
        <v>#VALUE!</v>
      </c>
      <c r="AL421" s="847" t="str">
        <f>IFERROR(Tabla1[[#This Row],[PRECIO $ BOLSA 50KG  FOB CDO TUC (IVA INC)]]/Tabla1[[#This Row],[PRECIO REF $ BOLSA 50 KG CACTU (IVA INC)]]-1,"")</f>
        <v/>
      </c>
      <c r="AM421" s="846" t="e">
        <f>+Tabla1[[#This Row],[DIF $ PRECIO NETO INDUSTRIA vs Neto TUCUMAN (IVA INC)]]*Tabla1[[#This Row],[Q Bolsas Equivalentes 50kg]]</f>
        <v>#VALUE!</v>
      </c>
      <c r="AN421" s="846" t="e">
        <f>Tabla1[[#This Row],[PRECIO REF $ BOLSA 50 KG CACTU (IVA INC)]]*Tabla1[[#This Row],[Q Bolsas Equivalentes 50kg]]</f>
        <v>#VALUE!</v>
      </c>
      <c r="AO421" s="846" t="e">
        <f>+Tabla1[[#This Row],[PRECIO $ BOLSA 50KG  FOB CDO TUC (IVA INC)]]*Tabla1[[#This Row],[Q Bolsas Equivalentes 50kg]]</f>
        <v>#VALUE!</v>
      </c>
      <c r="AP421" s="847"/>
      <c r="AQ421" s="846">
        <v>0</v>
      </c>
      <c r="AR421" s="828"/>
      <c r="AS421" s="849"/>
      <c r="AT421" s="923">
        <f>+Tabla1[[#This Row],[VENTA TOTAL $ (IVA INC) ]]-(SUM(Tabla1[[#This Row],[PENDIENTE DE ENTREGA]:[VALORES COBRADOS]]))</f>
        <v>0</v>
      </c>
      <c r="AU421" s="850" t="e">
        <f>VLOOKUP(Tabla1[[#This Row],[FECHA OC]],'TIPO DE CAMBIO'!A:B,2,TRUE)</f>
        <v>#N/A</v>
      </c>
      <c r="AV421" s="850" t="e">
        <f>+Tabla1[[#This Row],[SUBTOTAL]]/Tabla1[[#This Row],[TIPO DE CAMBIO]]</f>
        <v>#N/A</v>
      </c>
      <c r="AW421" s="851"/>
      <c r="AX421" s="850" t="str">
        <f>IFERROR(Tabla1[[#This Row],[VENTA TOTAL USD A PLAZO EN CLIENTE  (SIN IVA)]]*(1+Tabla1[[#This Row],[% IVA ]]),"")</f>
        <v/>
      </c>
      <c r="AY421" s="850" t="e">
        <f>+Tabla1[[#This Row],[VENTA TOTAL USD A PLAZO EN CLIENTE  (SIN IVA)]]/Tabla1[[#This Row],[KGS]]*1000</f>
        <v>#N/A</v>
      </c>
      <c r="AZ421" s="850" t="e">
        <f>-Tabla1[[#This Row],[COSTO FLETE $ POR BOLSA 5O KG (SIN IVA)]]*20/Tabla1[[#This Row],[TIPO DE CAMBIO]]</f>
        <v>#N/A</v>
      </c>
      <c r="BA421" s="850" t="e">
        <f>+Tabla1[[#This Row],[GASTOS FINANCIEROS $ BOLSA 50 KG (IVA INC)]]*20/Tabla1[[#This Row],[TIPO DE CAMBIO]]</f>
        <v>#VALUE!</v>
      </c>
      <c r="BB421" s="850" t="e">
        <f>+Tabla1[[#This Row],[PRECIO POR TN USD EN CLIENTE A PLAZO (SIN IVA)]]+Tabla1[[#This Row],[COSTO USD FLETE /TN (SIN IVA)]]+Tabla1[[#This Row],[COSTO FINANCIERO USD POR BOLSA 50KG (IVA INC)]]</f>
        <v>#N/A</v>
      </c>
      <c r="BC421" s="848"/>
      <c r="BD421" s="944"/>
    </row>
    <row r="422" spans="1:56" ht="15.75" customHeight="1">
      <c r="A422" s="912">
        <v>46235</v>
      </c>
      <c r="B422" s="853"/>
      <c r="C422" s="792"/>
      <c r="D422" s="829">
        <f>+Tabla1[[#This Row],[FECHA Entrega]]</f>
        <v>0</v>
      </c>
      <c r="E422" s="830"/>
      <c r="F422" s="831"/>
      <c r="G422" s="832"/>
      <c r="H422" s="852"/>
      <c r="I422" s="834"/>
      <c r="J422" s="835"/>
      <c r="K422" s="836">
        <f t="shared" si="138"/>
        <v>0</v>
      </c>
      <c r="L42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22" s="837">
        <f t="shared" si="140"/>
        <v>0</v>
      </c>
      <c r="N422" s="838">
        <f>+Tabla1[[#This Row],[VENTA TOTAL $ (IVA INC) ]]</f>
        <v>0</v>
      </c>
      <c r="O422" s="838">
        <v>0</v>
      </c>
      <c r="P422" s="838">
        <v>0</v>
      </c>
      <c r="Q422" s="839">
        <f>+Tabla1[[#This Row],[VENTA TOTAL $ (IVA INC) ]]-Tabla1[[#This Row],[PENDIENTE DE COBRO]]</f>
        <v>0</v>
      </c>
      <c r="R422" s="840">
        <f>+Tabla1[[#This Row],[FECHA FC]]+Tabla1[[#This Row],[PLAZO ENTREGA VALORES]]</f>
        <v>0</v>
      </c>
      <c r="S422" s="840">
        <f>+Tabla1[[#This Row],[FECHA FC]]+Tabla1[[#This Row],[PLAZO PAGO (DIAS)]]</f>
        <v>0</v>
      </c>
      <c r="T422" s="834">
        <f t="shared" ca="1" si="139"/>
        <v>-46181</v>
      </c>
      <c r="U422" s="831"/>
      <c r="V422" s="831"/>
      <c r="W422" s="841">
        <f>+Tabla1[[#This Row],[FECHA VTO VALORES]]+7</f>
        <v>7</v>
      </c>
      <c r="X422" s="830"/>
      <c r="Y422" s="859"/>
      <c r="Z422" s="860">
        <f>Tabla1[[#This Row],[KGS]]/50</f>
        <v>0</v>
      </c>
      <c r="AA42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22" s="844">
        <f>-Tabla1[[#This Row],[COSTO FLETE $ POR BOLSA 5O KG (SIN IVA)]]*1.21-Tabla1[[#This Row],[PRECIO $/ KG A PLAZO EN CLIENTE ( SIN IVA)]]*0.003*1.21*50</f>
        <v>0</v>
      </c>
      <c r="AC422" s="845" t="e">
        <f>SUM(Tabla1[[#This Row],[PRECIO $ BOLSA 50 KG (IVA INC) ]]+Tabla1[[#This Row],[COSTO FLETE $ BOLSA 50 KG (IVA INC)]])</f>
        <v>#VALUE!</v>
      </c>
      <c r="AD422" s="844" t="e">
        <f>-Tabla1[[#This Row],[PRECIO $ BOLSA 50 KG (IVA INC) ]]*(Tabla1[[#This Row],[TASA FINANCIACION MENSUAL]]/365)*Tabla1[[#This Row],[PLAZO ENTREGA VALORES]]</f>
        <v>#VALUE!</v>
      </c>
      <c r="AE422" s="845" t="e">
        <f>SUM(Tabla1[[#This Row],[PRECIO $ BOLSA50 KG  FOB TUCUMAN A PLAZO (IVA INC)]]+Tabla1[[#This Row],[GASTOS FINANCIEROS $ BOLSA 50 KG (IVA INC)]])</f>
        <v>#VALUE!</v>
      </c>
      <c r="AF422" s="828"/>
      <c r="AG422" s="828"/>
      <c r="AH422" s="828"/>
      <c r="AI422" s="828"/>
      <c r="AJ42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22" s="846" t="e">
        <f>SUM(Tabla1[[#This Row],[PRECIO $ BOLSA 50KG  FOB CDO TUC (IVA INC)]]-Tabla1[[#This Row],[PRECIO REF $ BOLSA 50 KG CACTU (IVA INC)]])</f>
        <v>#VALUE!</v>
      </c>
      <c r="AL422" s="847" t="str">
        <f>IFERROR(Tabla1[[#This Row],[PRECIO $ BOLSA 50KG  FOB CDO TUC (IVA INC)]]/Tabla1[[#This Row],[PRECIO REF $ BOLSA 50 KG CACTU (IVA INC)]]-1,"")</f>
        <v/>
      </c>
      <c r="AM422" s="846" t="e">
        <f>+Tabla1[[#This Row],[DIF $ PRECIO NETO INDUSTRIA vs Neto TUCUMAN (IVA INC)]]*Tabla1[[#This Row],[Q Bolsas Equivalentes 50kg]]</f>
        <v>#VALUE!</v>
      </c>
      <c r="AN422" s="846" t="e">
        <f>Tabla1[[#This Row],[PRECIO REF $ BOLSA 50 KG CACTU (IVA INC)]]*Tabla1[[#This Row],[Q Bolsas Equivalentes 50kg]]</f>
        <v>#VALUE!</v>
      </c>
      <c r="AO422" s="846" t="e">
        <f>+Tabla1[[#This Row],[PRECIO $ BOLSA 50KG  FOB CDO TUC (IVA INC)]]*Tabla1[[#This Row],[Q Bolsas Equivalentes 50kg]]</f>
        <v>#VALUE!</v>
      </c>
      <c r="AP422" s="847"/>
      <c r="AQ422" s="846">
        <v>0</v>
      </c>
      <c r="AR422" s="828"/>
      <c r="AS422" s="849"/>
      <c r="AT422" s="923">
        <f>+Tabla1[[#This Row],[VENTA TOTAL $ (IVA INC) ]]-(SUM(Tabla1[[#This Row],[PENDIENTE DE ENTREGA]:[VALORES COBRADOS]]))</f>
        <v>0</v>
      </c>
      <c r="AU422" s="850" t="e">
        <f>VLOOKUP(Tabla1[[#This Row],[FECHA OC]],'TIPO DE CAMBIO'!A:B,2,TRUE)</f>
        <v>#N/A</v>
      </c>
      <c r="AV422" s="850" t="e">
        <f>+Tabla1[[#This Row],[SUBTOTAL]]/Tabla1[[#This Row],[TIPO DE CAMBIO]]</f>
        <v>#N/A</v>
      </c>
      <c r="AW422" s="851"/>
      <c r="AX422" s="850" t="str">
        <f>IFERROR(Tabla1[[#This Row],[VENTA TOTAL USD A PLAZO EN CLIENTE  (SIN IVA)]]*(1+Tabla1[[#This Row],[% IVA ]]),"")</f>
        <v/>
      </c>
      <c r="AY422" s="850" t="e">
        <f>+Tabla1[[#This Row],[VENTA TOTAL USD A PLAZO EN CLIENTE  (SIN IVA)]]/Tabla1[[#This Row],[KGS]]*1000</f>
        <v>#N/A</v>
      </c>
      <c r="AZ422" s="850" t="e">
        <f>-Tabla1[[#This Row],[COSTO FLETE $ POR BOLSA 5O KG (SIN IVA)]]*20/Tabla1[[#This Row],[TIPO DE CAMBIO]]</f>
        <v>#N/A</v>
      </c>
      <c r="BA422" s="850" t="e">
        <f>+Tabla1[[#This Row],[GASTOS FINANCIEROS $ BOLSA 50 KG (IVA INC)]]*20/Tabla1[[#This Row],[TIPO DE CAMBIO]]</f>
        <v>#VALUE!</v>
      </c>
      <c r="BB422" s="850" t="e">
        <f>+Tabla1[[#This Row],[PRECIO POR TN USD EN CLIENTE A PLAZO (SIN IVA)]]+Tabla1[[#This Row],[COSTO USD FLETE /TN (SIN IVA)]]+Tabla1[[#This Row],[COSTO FINANCIERO USD POR BOLSA 50KG (IVA INC)]]</f>
        <v>#N/A</v>
      </c>
      <c r="BC422" s="848"/>
      <c r="BD422" s="944"/>
    </row>
    <row r="423" spans="1:56" ht="15.75" customHeight="1">
      <c r="A423" s="912">
        <v>46235</v>
      </c>
      <c r="B423" s="853"/>
      <c r="C423" s="792"/>
      <c r="D423" s="829">
        <f>+Tabla1[[#This Row],[FECHA Entrega]]</f>
        <v>0</v>
      </c>
      <c r="E423" s="830"/>
      <c r="F423" s="831"/>
      <c r="G423" s="832"/>
      <c r="H423" s="852"/>
      <c r="I423" s="834"/>
      <c r="J423" s="835"/>
      <c r="K423" s="836">
        <f t="shared" si="138"/>
        <v>0</v>
      </c>
      <c r="L42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23" s="837">
        <f t="shared" si="140"/>
        <v>0</v>
      </c>
      <c r="N423" s="838">
        <f>+Tabla1[[#This Row],[VENTA TOTAL $ (IVA INC) ]]</f>
        <v>0</v>
      </c>
      <c r="O423" s="838">
        <v>0</v>
      </c>
      <c r="P423" s="838">
        <v>0</v>
      </c>
      <c r="Q423" s="839">
        <f>+Tabla1[[#This Row],[VENTA TOTAL $ (IVA INC) ]]-Tabla1[[#This Row],[PENDIENTE DE COBRO]]</f>
        <v>0</v>
      </c>
      <c r="R423" s="840">
        <f>+Tabla1[[#This Row],[FECHA FC]]+Tabla1[[#This Row],[PLAZO ENTREGA VALORES]]</f>
        <v>0</v>
      </c>
      <c r="S423" s="840">
        <f>+Tabla1[[#This Row],[FECHA FC]]+Tabla1[[#This Row],[PLAZO PAGO (DIAS)]]</f>
        <v>0</v>
      </c>
      <c r="T423" s="834">
        <f t="shared" ca="1" si="139"/>
        <v>-46181</v>
      </c>
      <c r="U423" s="831"/>
      <c r="V423" s="831"/>
      <c r="W423" s="841">
        <f>+Tabla1[[#This Row],[FECHA VTO VALORES]]+7</f>
        <v>7</v>
      </c>
      <c r="X423" s="830"/>
      <c r="Y423" s="859"/>
      <c r="Z423" s="860">
        <f>Tabla1[[#This Row],[KGS]]/50</f>
        <v>0</v>
      </c>
      <c r="AA42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23" s="844">
        <f>-Tabla1[[#This Row],[COSTO FLETE $ POR BOLSA 5O KG (SIN IVA)]]*1.21-Tabla1[[#This Row],[PRECIO $/ KG A PLAZO EN CLIENTE ( SIN IVA)]]*0.003*1.21*50</f>
        <v>0</v>
      </c>
      <c r="AC423" s="845" t="e">
        <f>SUM(Tabla1[[#This Row],[PRECIO $ BOLSA 50 KG (IVA INC) ]]+Tabla1[[#This Row],[COSTO FLETE $ BOLSA 50 KG (IVA INC)]])</f>
        <v>#VALUE!</v>
      </c>
      <c r="AD423" s="844" t="e">
        <f>-Tabla1[[#This Row],[PRECIO $ BOLSA 50 KG (IVA INC) ]]*(Tabla1[[#This Row],[TASA FINANCIACION MENSUAL]]/365)*Tabla1[[#This Row],[PLAZO ENTREGA VALORES]]</f>
        <v>#VALUE!</v>
      </c>
      <c r="AE423" s="845" t="e">
        <f>SUM(Tabla1[[#This Row],[PRECIO $ BOLSA50 KG  FOB TUCUMAN A PLAZO (IVA INC)]]+Tabla1[[#This Row],[GASTOS FINANCIEROS $ BOLSA 50 KG (IVA INC)]])</f>
        <v>#VALUE!</v>
      </c>
      <c r="AF423" s="828"/>
      <c r="AG423" s="828"/>
      <c r="AH423" s="828"/>
      <c r="AI423" s="828"/>
      <c r="AJ42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23" s="846" t="e">
        <f>SUM(Tabla1[[#This Row],[PRECIO $ BOLSA 50KG  FOB CDO TUC (IVA INC)]]-Tabla1[[#This Row],[PRECIO REF $ BOLSA 50 KG CACTU (IVA INC)]])</f>
        <v>#VALUE!</v>
      </c>
      <c r="AL423" s="847" t="str">
        <f>IFERROR(Tabla1[[#This Row],[PRECIO $ BOLSA 50KG  FOB CDO TUC (IVA INC)]]/Tabla1[[#This Row],[PRECIO REF $ BOLSA 50 KG CACTU (IVA INC)]]-1,"")</f>
        <v/>
      </c>
      <c r="AM423" s="846" t="e">
        <f>+Tabla1[[#This Row],[DIF $ PRECIO NETO INDUSTRIA vs Neto TUCUMAN (IVA INC)]]*Tabla1[[#This Row],[Q Bolsas Equivalentes 50kg]]</f>
        <v>#VALUE!</v>
      </c>
      <c r="AN423" s="846" t="e">
        <f>Tabla1[[#This Row],[PRECIO REF $ BOLSA 50 KG CACTU (IVA INC)]]*Tabla1[[#This Row],[Q Bolsas Equivalentes 50kg]]</f>
        <v>#VALUE!</v>
      </c>
      <c r="AO423" s="846" t="e">
        <f>+Tabla1[[#This Row],[PRECIO $ BOLSA 50KG  FOB CDO TUC (IVA INC)]]*Tabla1[[#This Row],[Q Bolsas Equivalentes 50kg]]</f>
        <v>#VALUE!</v>
      </c>
      <c r="AP423" s="847"/>
      <c r="AQ423" s="846">
        <v>0</v>
      </c>
      <c r="AR423" s="828"/>
      <c r="AS423" s="849"/>
      <c r="AT423" s="923">
        <f>+Tabla1[[#This Row],[VENTA TOTAL $ (IVA INC) ]]-(SUM(Tabla1[[#This Row],[PENDIENTE DE ENTREGA]:[VALORES COBRADOS]]))</f>
        <v>0</v>
      </c>
      <c r="AU423" s="850" t="e">
        <f>VLOOKUP(Tabla1[[#This Row],[FECHA OC]],'TIPO DE CAMBIO'!A:B,2,TRUE)</f>
        <v>#N/A</v>
      </c>
      <c r="AV423" s="850" t="e">
        <f>+Tabla1[[#This Row],[SUBTOTAL]]/Tabla1[[#This Row],[TIPO DE CAMBIO]]</f>
        <v>#N/A</v>
      </c>
      <c r="AW423" s="851"/>
      <c r="AX423" s="850" t="str">
        <f>IFERROR(Tabla1[[#This Row],[VENTA TOTAL USD A PLAZO EN CLIENTE  (SIN IVA)]]*(1+Tabla1[[#This Row],[% IVA ]]),"")</f>
        <v/>
      </c>
      <c r="AY423" s="850" t="e">
        <f>+Tabla1[[#This Row],[VENTA TOTAL USD A PLAZO EN CLIENTE  (SIN IVA)]]/Tabla1[[#This Row],[KGS]]*1000</f>
        <v>#N/A</v>
      </c>
      <c r="AZ423" s="850" t="e">
        <f>-Tabla1[[#This Row],[COSTO FLETE $ POR BOLSA 5O KG (SIN IVA)]]*20/Tabla1[[#This Row],[TIPO DE CAMBIO]]</f>
        <v>#N/A</v>
      </c>
      <c r="BA423" s="850" t="e">
        <f>+Tabla1[[#This Row],[GASTOS FINANCIEROS $ BOLSA 50 KG (IVA INC)]]*20/Tabla1[[#This Row],[TIPO DE CAMBIO]]</f>
        <v>#VALUE!</v>
      </c>
      <c r="BB423" s="850" t="e">
        <f>+Tabla1[[#This Row],[PRECIO POR TN USD EN CLIENTE A PLAZO (SIN IVA)]]+Tabla1[[#This Row],[COSTO USD FLETE /TN (SIN IVA)]]+Tabla1[[#This Row],[COSTO FINANCIERO USD POR BOLSA 50KG (IVA INC)]]</f>
        <v>#N/A</v>
      </c>
      <c r="BC423" s="828"/>
      <c r="BD423" s="944"/>
    </row>
    <row r="424" spans="1:56" ht="15.75" customHeight="1">
      <c r="A424" s="912">
        <v>46235</v>
      </c>
      <c r="B424" s="853"/>
      <c r="C424" s="792"/>
      <c r="D424" s="829">
        <f>+Tabla1[[#This Row],[FECHA Entrega]]</f>
        <v>0</v>
      </c>
      <c r="E424" s="830"/>
      <c r="F424" s="831"/>
      <c r="G424" s="832"/>
      <c r="H424" s="852"/>
      <c r="I424" s="834"/>
      <c r="J424" s="835"/>
      <c r="K424" s="836">
        <f t="shared" si="138"/>
        <v>0</v>
      </c>
      <c r="L42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24" s="837">
        <f t="shared" si="140"/>
        <v>0</v>
      </c>
      <c r="N424" s="838">
        <f>+Tabla1[[#This Row],[VENTA TOTAL $ (IVA INC) ]]</f>
        <v>0</v>
      </c>
      <c r="O424" s="838">
        <v>0</v>
      </c>
      <c r="P424" s="838">
        <v>0</v>
      </c>
      <c r="Q424" s="839">
        <f>+Tabla1[[#This Row],[VENTA TOTAL $ (IVA INC) ]]-Tabla1[[#This Row],[PENDIENTE DE COBRO]]</f>
        <v>0</v>
      </c>
      <c r="R424" s="840">
        <f>+Tabla1[[#This Row],[FECHA FC]]+Tabla1[[#This Row],[PLAZO ENTREGA VALORES]]</f>
        <v>0</v>
      </c>
      <c r="S424" s="840">
        <f>+Tabla1[[#This Row],[FECHA FC]]+Tabla1[[#This Row],[PLAZO PAGO (DIAS)]]</f>
        <v>0</v>
      </c>
      <c r="T424" s="834">
        <f t="shared" ca="1" si="139"/>
        <v>-46181</v>
      </c>
      <c r="U424" s="831"/>
      <c r="V424" s="831"/>
      <c r="W424" s="841">
        <f>+Tabla1[[#This Row],[FECHA VTO VALORES]]+7</f>
        <v>7</v>
      </c>
      <c r="X424" s="830"/>
      <c r="Y424" s="859"/>
      <c r="Z424" s="860">
        <f>Tabla1[[#This Row],[KGS]]/50</f>
        <v>0</v>
      </c>
      <c r="AA42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24" s="844">
        <f>-Tabla1[[#This Row],[COSTO FLETE $ POR BOLSA 5O KG (SIN IVA)]]*1.21-Tabla1[[#This Row],[PRECIO $/ KG A PLAZO EN CLIENTE ( SIN IVA)]]*0.003*1.21*50</f>
        <v>0</v>
      </c>
      <c r="AC424" s="845" t="e">
        <f>SUM(Tabla1[[#This Row],[PRECIO $ BOLSA 50 KG (IVA INC) ]]+Tabla1[[#This Row],[COSTO FLETE $ BOLSA 50 KG (IVA INC)]])</f>
        <v>#VALUE!</v>
      </c>
      <c r="AD424" s="844" t="e">
        <f>-Tabla1[[#This Row],[PRECIO $ BOLSA 50 KG (IVA INC) ]]*(Tabla1[[#This Row],[TASA FINANCIACION MENSUAL]]/365)*Tabla1[[#This Row],[PLAZO ENTREGA VALORES]]</f>
        <v>#VALUE!</v>
      </c>
      <c r="AE424" s="845" t="e">
        <f>SUM(Tabla1[[#This Row],[PRECIO $ BOLSA50 KG  FOB TUCUMAN A PLAZO (IVA INC)]]+Tabla1[[#This Row],[GASTOS FINANCIEROS $ BOLSA 50 KG (IVA INC)]])</f>
        <v>#VALUE!</v>
      </c>
      <c r="AF424" s="828"/>
      <c r="AG424" s="828"/>
      <c r="AH424" s="828"/>
      <c r="AI424" s="828"/>
      <c r="AJ42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24" s="846" t="e">
        <f>SUM(Tabla1[[#This Row],[PRECIO $ BOLSA 50KG  FOB CDO TUC (IVA INC)]]-Tabla1[[#This Row],[PRECIO REF $ BOLSA 50 KG CACTU (IVA INC)]])</f>
        <v>#VALUE!</v>
      </c>
      <c r="AL424" s="847" t="str">
        <f>IFERROR(Tabla1[[#This Row],[PRECIO $ BOLSA 50KG  FOB CDO TUC (IVA INC)]]/Tabla1[[#This Row],[PRECIO REF $ BOLSA 50 KG CACTU (IVA INC)]]-1,"")</f>
        <v/>
      </c>
      <c r="AM424" s="846" t="e">
        <f>+Tabla1[[#This Row],[DIF $ PRECIO NETO INDUSTRIA vs Neto TUCUMAN (IVA INC)]]*Tabla1[[#This Row],[Q Bolsas Equivalentes 50kg]]</f>
        <v>#VALUE!</v>
      </c>
      <c r="AN424" s="846" t="e">
        <f>Tabla1[[#This Row],[PRECIO REF $ BOLSA 50 KG CACTU (IVA INC)]]*Tabla1[[#This Row],[Q Bolsas Equivalentes 50kg]]</f>
        <v>#VALUE!</v>
      </c>
      <c r="AO424" s="846" t="e">
        <f>+Tabla1[[#This Row],[PRECIO $ BOLSA 50KG  FOB CDO TUC (IVA INC)]]*Tabla1[[#This Row],[Q Bolsas Equivalentes 50kg]]</f>
        <v>#VALUE!</v>
      </c>
      <c r="AP424" s="847"/>
      <c r="AQ424" s="846">
        <v>0</v>
      </c>
      <c r="AR424" s="828"/>
      <c r="AS424" s="849"/>
      <c r="AT424" s="923">
        <f>+Tabla1[[#This Row],[VENTA TOTAL $ (IVA INC) ]]-(SUM(Tabla1[[#This Row],[PENDIENTE DE ENTREGA]:[VALORES COBRADOS]]))</f>
        <v>0</v>
      </c>
      <c r="AU424" s="850" t="e">
        <f>VLOOKUP(Tabla1[[#This Row],[FECHA OC]],'TIPO DE CAMBIO'!A:B,2,TRUE)</f>
        <v>#N/A</v>
      </c>
      <c r="AV424" s="850" t="e">
        <f>+Tabla1[[#This Row],[SUBTOTAL]]/Tabla1[[#This Row],[TIPO DE CAMBIO]]</f>
        <v>#N/A</v>
      </c>
      <c r="AW424" s="851"/>
      <c r="AX424" s="850" t="str">
        <f>IFERROR(Tabla1[[#This Row],[VENTA TOTAL USD A PLAZO EN CLIENTE  (SIN IVA)]]*(1+Tabla1[[#This Row],[% IVA ]]),"")</f>
        <v/>
      </c>
      <c r="AY424" s="850" t="e">
        <f>+Tabla1[[#This Row],[VENTA TOTAL USD A PLAZO EN CLIENTE  (SIN IVA)]]/Tabla1[[#This Row],[KGS]]*1000</f>
        <v>#N/A</v>
      </c>
      <c r="AZ424" s="850" t="e">
        <f>-Tabla1[[#This Row],[COSTO FLETE $ POR BOLSA 5O KG (SIN IVA)]]*20/Tabla1[[#This Row],[TIPO DE CAMBIO]]</f>
        <v>#N/A</v>
      </c>
      <c r="BA424" s="850" t="e">
        <f>+Tabla1[[#This Row],[GASTOS FINANCIEROS $ BOLSA 50 KG (IVA INC)]]*20/Tabla1[[#This Row],[TIPO DE CAMBIO]]</f>
        <v>#VALUE!</v>
      </c>
      <c r="BB424" s="850" t="e">
        <f>+Tabla1[[#This Row],[PRECIO POR TN USD EN CLIENTE A PLAZO (SIN IVA)]]+Tabla1[[#This Row],[COSTO USD FLETE /TN (SIN IVA)]]+Tabla1[[#This Row],[COSTO FINANCIERO USD POR BOLSA 50KG (IVA INC)]]</f>
        <v>#N/A</v>
      </c>
      <c r="BC424" s="828"/>
      <c r="BD424" s="944"/>
    </row>
    <row r="425" spans="1:56" ht="15.75" customHeight="1">
      <c r="A425" s="912">
        <v>46235</v>
      </c>
      <c r="B425" s="853"/>
      <c r="C425" s="792"/>
      <c r="D425" s="829">
        <f>+Tabla1[[#This Row],[FECHA Entrega]]</f>
        <v>0</v>
      </c>
      <c r="E425" s="830"/>
      <c r="F425" s="831"/>
      <c r="G425" s="832"/>
      <c r="H425" s="852"/>
      <c r="I425" s="834"/>
      <c r="J425" s="835"/>
      <c r="K425" s="836">
        <f t="shared" si="138"/>
        <v>0</v>
      </c>
      <c r="L42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25" s="837">
        <f t="shared" si="140"/>
        <v>0</v>
      </c>
      <c r="N425" s="838">
        <f>+Tabla1[[#This Row],[VENTA TOTAL $ (IVA INC) ]]</f>
        <v>0</v>
      </c>
      <c r="O425" s="838">
        <v>0</v>
      </c>
      <c r="P425" s="838">
        <v>0</v>
      </c>
      <c r="Q425" s="839">
        <f>+Tabla1[[#This Row],[VENTA TOTAL $ (IVA INC) ]]-Tabla1[[#This Row],[PENDIENTE DE COBRO]]</f>
        <v>0</v>
      </c>
      <c r="R425" s="840">
        <f>+Tabla1[[#This Row],[FECHA FC]]+Tabla1[[#This Row],[PLAZO ENTREGA VALORES]]</f>
        <v>0</v>
      </c>
      <c r="S425" s="840">
        <f>+Tabla1[[#This Row],[FECHA FC]]+Tabla1[[#This Row],[PLAZO PAGO (DIAS)]]</f>
        <v>0</v>
      </c>
      <c r="T425" s="834">
        <f t="shared" ca="1" si="139"/>
        <v>-46181</v>
      </c>
      <c r="U425" s="831"/>
      <c r="V425" s="831"/>
      <c r="W425" s="841">
        <f>+Tabla1[[#This Row],[FECHA VTO VALORES]]+7</f>
        <v>7</v>
      </c>
      <c r="X425" s="830"/>
      <c r="Y425" s="859"/>
      <c r="Z425" s="860">
        <f>Tabla1[[#This Row],[KGS]]/50</f>
        <v>0</v>
      </c>
      <c r="AA42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25" s="844">
        <f>-Tabla1[[#This Row],[COSTO FLETE $ POR BOLSA 5O KG (SIN IVA)]]*1.21-Tabla1[[#This Row],[PRECIO $/ KG A PLAZO EN CLIENTE ( SIN IVA)]]*0.003*1.21*50</f>
        <v>0</v>
      </c>
      <c r="AC425" s="845" t="e">
        <f>SUM(Tabla1[[#This Row],[PRECIO $ BOLSA 50 KG (IVA INC) ]]+Tabla1[[#This Row],[COSTO FLETE $ BOLSA 50 KG (IVA INC)]])</f>
        <v>#VALUE!</v>
      </c>
      <c r="AD425" s="844" t="e">
        <f>-Tabla1[[#This Row],[PRECIO $ BOLSA 50 KG (IVA INC) ]]*(Tabla1[[#This Row],[TASA FINANCIACION MENSUAL]]/365)*Tabla1[[#This Row],[PLAZO ENTREGA VALORES]]</f>
        <v>#VALUE!</v>
      </c>
      <c r="AE425" s="845" t="e">
        <f>SUM(Tabla1[[#This Row],[PRECIO $ BOLSA50 KG  FOB TUCUMAN A PLAZO (IVA INC)]]+Tabla1[[#This Row],[GASTOS FINANCIEROS $ BOLSA 50 KG (IVA INC)]])</f>
        <v>#VALUE!</v>
      </c>
      <c r="AF425" s="828"/>
      <c r="AG425" s="828"/>
      <c r="AH425" s="828"/>
      <c r="AI425" s="828"/>
      <c r="AJ42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25" s="846" t="e">
        <f>SUM(Tabla1[[#This Row],[PRECIO $ BOLSA 50KG  FOB CDO TUC (IVA INC)]]-Tabla1[[#This Row],[PRECIO REF $ BOLSA 50 KG CACTU (IVA INC)]])</f>
        <v>#VALUE!</v>
      </c>
      <c r="AL425" s="847" t="str">
        <f>IFERROR(Tabla1[[#This Row],[PRECIO $ BOLSA 50KG  FOB CDO TUC (IVA INC)]]/Tabla1[[#This Row],[PRECIO REF $ BOLSA 50 KG CACTU (IVA INC)]]-1,"")</f>
        <v/>
      </c>
      <c r="AM425" s="846" t="e">
        <f>+Tabla1[[#This Row],[DIF $ PRECIO NETO INDUSTRIA vs Neto TUCUMAN (IVA INC)]]*Tabla1[[#This Row],[Q Bolsas Equivalentes 50kg]]</f>
        <v>#VALUE!</v>
      </c>
      <c r="AN425" s="846" t="e">
        <f>Tabla1[[#This Row],[PRECIO REF $ BOLSA 50 KG CACTU (IVA INC)]]*Tabla1[[#This Row],[Q Bolsas Equivalentes 50kg]]</f>
        <v>#VALUE!</v>
      </c>
      <c r="AO425" s="846" t="e">
        <f>+Tabla1[[#This Row],[PRECIO $ BOLSA 50KG  FOB CDO TUC (IVA INC)]]*Tabla1[[#This Row],[Q Bolsas Equivalentes 50kg]]</f>
        <v>#VALUE!</v>
      </c>
      <c r="AP425" s="847"/>
      <c r="AQ425" s="846">
        <v>0</v>
      </c>
      <c r="AR425" s="828"/>
      <c r="AS425" s="849"/>
      <c r="AT425" s="923">
        <f>+Tabla1[[#This Row],[VENTA TOTAL $ (IVA INC) ]]-(SUM(Tabla1[[#This Row],[PENDIENTE DE ENTREGA]:[VALORES COBRADOS]]))</f>
        <v>0</v>
      </c>
      <c r="AU425" s="850" t="e">
        <f>VLOOKUP(Tabla1[[#This Row],[FECHA OC]],'TIPO DE CAMBIO'!A:B,2,TRUE)</f>
        <v>#N/A</v>
      </c>
      <c r="AV425" s="850" t="e">
        <f>+Tabla1[[#This Row],[SUBTOTAL]]/Tabla1[[#This Row],[TIPO DE CAMBIO]]</f>
        <v>#N/A</v>
      </c>
      <c r="AW425" s="851"/>
      <c r="AX425" s="850" t="str">
        <f>IFERROR(Tabla1[[#This Row],[VENTA TOTAL USD A PLAZO EN CLIENTE  (SIN IVA)]]*(1+Tabla1[[#This Row],[% IVA ]]),"")</f>
        <v/>
      </c>
      <c r="AY425" s="850" t="e">
        <f>+Tabla1[[#This Row],[VENTA TOTAL USD A PLAZO EN CLIENTE  (SIN IVA)]]/Tabla1[[#This Row],[KGS]]*1000</f>
        <v>#N/A</v>
      </c>
      <c r="AZ425" s="850" t="e">
        <f>-Tabla1[[#This Row],[COSTO FLETE $ POR BOLSA 5O KG (SIN IVA)]]*20/Tabla1[[#This Row],[TIPO DE CAMBIO]]</f>
        <v>#N/A</v>
      </c>
      <c r="BA425" s="850" t="e">
        <f>+Tabla1[[#This Row],[GASTOS FINANCIEROS $ BOLSA 50 KG (IVA INC)]]*20/Tabla1[[#This Row],[TIPO DE CAMBIO]]</f>
        <v>#VALUE!</v>
      </c>
      <c r="BB425" s="850" t="e">
        <f>+Tabla1[[#This Row],[PRECIO POR TN USD EN CLIENTE A PLAZO (SIN IVA)]]+Tabla1[[#This Row],[COSTO USD FLETE /TN (SIN IVA)]]+Tabla1[[#This Row],[COSTO FINANCIERO USD POR BOLSA 50KG (IVA INC)]]</f>
        <v>#N/A</v>
      </c>
      <c r="BC425" s="848"/>
      <c r="BD425" s="944"/>
    </row>
    <row r="426" spans="1:56" ht="15.75" customHeight="1">
      <c r="A426" s="912">
        <v>46235</v>
      </c>
      <c r="B426" s="853"/>
      <c r="C426" s="792"/>
      <c r="D426" s="829">
        <f>+Tabla1[[#This Row],[FECHA Entrega]]</f>
        <v>0</v>
      </c>
      <c r="E426" s="830"/>
      <c r="F426" s="831"/>
      <c r="G426" s="832"/>
      <c r="H426" s="852"/>
      <c r="I426" s="834"/>
      <c r="J426" s="835"/>
      <c r="K426" s="836">
        <f t="shared" si="138"/>
        <v>0</v>
      </c>
      <c r="L42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26" s="837">
        <f t="shared" si="140"/>
        <v>0</v>
      </c>
      <c r="N426" s="838">
        <f>+Tabla1[[#This Row],[VENTA TOTAL $ (IVA INC) ]]</f>
        <v>0</v>
      </c>
      <c r="O426" s="838">
        <v>0</v>
      </c>
      <c r="P426" s="838">
        <v>0</v>
      </c>
      <c r="Q426" s="839">
        <f>+Tabla1[[#This Row],[VENTA TOTAL $ (IVA INC) ]]-Tabla1[[#This Row],[PENDIENTE DE COBRO]]</f>
        <v>0</v>
      </c>
      <c r="R426" s="840">
        <f>+Tabla1[[#This Row],[FECHA FC]]+Tabla1[[#This Row],[PLAZO ENTREGA VALORES]]</f>
        <v>0</v>
      </c>
      <c r="S426" s="840">
        <f>+Tabla1[[#This Row],[FECHA FC]]+Tabla1[[#This Row],[PLAZO PAGO (DIAS)]]</f>
        <v>0</v>
      </c>
      <c r="T426" s="834">
        <f t="shared" ca="1" si="139"/>
        <v>-46181</v>
      </c>
      <c r="U426" s="831"/>
      <c r="V426" s="831"/>
      <c r="W426" s="841">
        <f>+Tabla1[[#This Row],[FECHA VTO VALORES]]+7</f>
        <v>7</v>
      </c>
      <c r="X426" s="830"/>
      <c r="Y426" s="859"/>
      <c r="Z426" s="860">
        <f>Tabla1[[#This Row],[KGS]]/50</f>
        <v>0</v>
      </c>
      <c r="AA42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26" s="844">
        <f>-Tabla1[[#This Row],[COSTO FLETE $ POR BOLSA 5O KG (SIN IVA)]]*1.21-Tabla1[[#This Row],[PRECIO $/ KG A PLAZO EN CLIENTE ( SIN IVA)]]*0.003*1.21*50</f>
        <v>0</v>
      </c>
      <c r="AC426" s="845" t="e">
        <f>SUM(Tabla1[[#This Row],[PRECIO $ BOLSA 50 KG (IVA INC) ]]+Tabla1[[#This Row],[COSTO FLETE $ BOLSA 50 KG (IVA INC)]])</f>
        <v>#VALUE!</v>
      </c>
      <c r="AD426" s="844" t="e">
        <f>-Tabla1[[#This Row],[PRECIO $ BOLSA 50 KG (IVA INC) ]]*(Tabla1[[#This Row],[TASA FINANCIACION MENSUAL]]/365)*Tabla1[[#This Row],[PLAZO ENTREGA VALORES]]</f>
        <v>#VALUE!</v>
      </c>
      <c r="AE426" s="845" t="e">
        <f>SUM(Tabla1[[#This Row],[PRECIO $ BOLSA50 KG  FOB TUCUMAN A PLAZO (IVA INC)]]+Tabla1[[#This Row],[GASTOS FINANCIEROS $ BOLSA 50 KG (IVA INC)]])</f>
        <v>#VALUE!</v>
      </c>
      <c r="AF426" s="828"/>
      <c r="AG426" s="828"/>
      <c r="AH426" s="828"/>
      <c r="AI426" s="828"/>
      <c r="AJ42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26" s="846" t="e">
        <f>SUM(Tabla1[[#This Row],[PRECIO $ BOLSA 50KG  FOB CDO TUC (IVA INC)]]-Tabla1[[#This Row],[PRECIO REF $ BOLSA 50 KG CACTU (IVA INC)]])</f>
        <v>#VALUE!</v>
      </c>
      <c r="AL426" s="847" t="str">
        <f>IFERROR(Tabla1[[#This Row],[PRECIO $ BOLSA 50KG  FOB CDO TUC (IVA INC)]]/Tabla1[[#This Row],[PRECIO REF $ BOLSA 50 KG CACTU (IVA INC)]]-1,"")</f>
        <v/>
      </c>
      <c r="AM426" s="846" t="e">
        <f>+Tabla1[[#This Row],[DIF $ PRECIO NETO INDUSTRIA vs Neto TUCUMAN (IVA INC)]]*Tabla1[[#This Row],[Q Bolsas Equivalentes 50kg]]</f>
        <v>#VALUE!</v>
      </c>
      <c r="AN426" s="846" t="e">
        <f>Tabla1[[#This Row],[PRECIO REF $ BOLSA 50 KG CACTU (IVA INC)]]*Tabla1[[#This Row],[Q Bolsas Equivalentes 50kg]]</f>
        <v>#VALUE!</v>
      </c>
      <c r="AO426" s="846" t="e">
        <f>+Tabla1[[#This Row],[PRECIO $ BOLSA 50KG  FOB CDO TUC (IVA INC)]]*Tabla1[[#This Row],[Q Bolsas Equivalentes 50kg]]</f>
        <v>#VALUE!</v>
      </c>
      <c r="AP426" s="847"/>
      <c r="AQ426" s="846">
        <v>0</v>
      </c>
      <c r="AR426" s="828"/>
      <c r="AS426" s="849"/>
      <c r="AT426" s="923">
        <f>+Tabla1[[#This Row],[VENTA TOTAL $ (IVA INC) ]]-(SUM(Tabla1[[#This Row],[PENDIENTE DE ENTREGA]:[VALORES COBRADOS]]))</f>
        <v>0</v>
      </c>
      <c r="AU426" s="850" t="e">
        <f>VLOOKUP(Tabla1[[#This Row],[FECHA OC]],'TIPO DE CAMBIO'!A:B,2,TRUE)</f>
        <v>#N/A</v>
      </c>
      <c r="AV426" s="850" t="e">
        <f>+Tabla1[[#This Row],[SUBTOTAL]]/Tabla1[[#This Row],[TIPO DE CAMBIO]]</f>
        <v>#N/A</v>
      </c>
      <c r="AW426" s="851"/>
      <c r="AX426" s="850" t="str">
        <f>IFERROR(Tabla1[[#This Row],[VENTA TOTAL USD A PLAZO EN CLIENTE  (SIN IVA)]]*(1+Tabla1[[#This Row],[% IVA ]]),"")</f>
        <v/>
      </c>
      <c r="AY426" s="850" t="e">
        <f>+Tabla1[[#This Row],[VENTA TOTAL USD A PLAZO EN CLIENTE  (SIN IVA)]]/Tabla1[[#This Row],[KGS]]*1000</f>
        <v>#N/A</v>
      </c>
      <c r="AZ426" s="850" t="e">
        <f>-Tabla1[[#This Row],[COSTO FLETE $ POR BOLSA 5O KG (SIN IVA)]]*20/Tabla1[[#This Row],[TIPO DE CAMBIO]]</f>
        <v>#N/A</v>
      </c>
      <c r="BA426" s="850" t="e">
        <f>+Tabla1[[#This Row],[GASTOS FINANCIEROS $ BOLSA 50 KG (IVA INC)]]*20/Tabla1[[#This Row],[TIPO DE CAMBIO]]</f>
        <v>#VALUE!</v>
      </c>
      <c r="BB426" s="850" t="e">
        <f>+Tabla1[[#This Row],[PRECIO POR TN USD EN CLIENTE A PLAZO (SIN IVA)]]+Tabla1[[#This Row],[COSTO USD FLETE /TN (SIN IVA)]]+Tabla1[[#This Row],[COSTO FINANCIERO USD POR BOLSA 50KG (IVA INC)]]</f>
        <v>#N/A</v>
      </c>
      <c r="BC426" s="848"/>
      <c r="BD426" s="944"/>
    </row>
    <row r="427" spans="1:56" ht="15.75" customHeight="1">
      <c r="A427" s="912">
        <v>46235</v>
      </c>
      <c r="B427" s="853"/>
      <c r="C427" s="792"/>
      <c r="D427" s="829">
        <f>+Tabla1[[#This Row],[FECHA Entrega]]</f>
        <v>0</v>
      </c>
      <c r="E427" s="830"/>
      <c r="F427" s="831"/>
      <c r="G427" s="832"/>
      <c r="H427" s="852"/>
      <c r="I427" s="834"/>
      <c r="J427" s="835"/>
      <c r="K427" s="836">
        <f t="shared" si="138"/>
        <v>0</v>
      </c>
      <c r="L42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27" s="837">
        <f t="shared" si="140"/>
        <v>0</v>
      </c>
      <c r="N427" s="838">
        <f>+Tabla1[[#This Row],[VENTA TOTAL $ (IVA INC) ]]</f>
        <v>0</v>
      </c>
      <c r="O427" s="838">
        <v>0</v>
      </c>
      <c r="P427" s="838">
        <v>0</v>
      </c>
      <c r="Q427" s="839">
        <f>+Tabla1[[#This Row],[VENTA TOTAL $ (IVA INC) ]]-Tabla1[[#This Row],[PENDIENTE DE COBRO]]</f>
        <v>0</v>
      </c>
      <c r="R427" s="840">
        <f>+Tabla1[[#This Row],[FECHA FC]]+Tabla1[[#This Row],[PLAZO ENTREGA VALORES]]</f>
        <v>0</v>
      </c>
      <c r="S427" s="840">
        <f>+Tabla1[[#This Row],[FECHA FC]]+Tabla1[[#This Row],[PLAZO PAGO (DIAS)]]</f>
        <v>0</v>
      </c>
      <c r="T427" s="834">
        <f t="shared" ca="1" si="139"/>
        <v>-46181</v>
      </c>
      <c r="U427" s="831"/>
      <c r="V427" s="831"/>
      <c r="W427" s="841">
        <f>+Tabla1[[#This Row],[FECHA VTO VALORES]]+7</f>
        <v>7</v>
      </c>
      <c r="X427" s="830"/>
      <c r="Y427" s="859"/>
      <c r="Z427" s="860">
        <f>Tabla1[[#This Row],[KGS]]/50</f>
        <v>0</v>
      </c>
      <c r="AA42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27" s="844">
        <f>-Tabla1[[#This Row],[COSTO FLETE $ POR BOLSA 5O KG (SIN IVA)]]*1.21-Tabla1[[#This Row],[PRECIO $/ KG A PLAZO EN CLIENTE ( SIN IVA)]]*0.003*1.21*50</f>
        <v>0</v>
      </c>
      <c r="AC427" s="845" t="e">
        <f>SUM(Tabla1[[#This Row],[PRECIO $ BOLSA 50 KG (IVA INC) ]]+Tabla1[[#This Row],[COSTO FLETE $ BOLSA 50 KG (IVA INC)]])</f>
        <v>#VALUE!</v>
      </c>
      <c r="AD427" s="844" t="e">
        <f>-Tabla1[[#This Row],[PRECIO $ BOLSA 50 KG (IVA INC) ]]*(Tabla1[[#This Row],[TASA FINANCIACION MENSUAL]]/365)*Tabla1[[#This Row],[PLAZO ENTREGA VALORES]]</f>
        <v>#VALUE!</v>
      </c>
      <c r="AE427" s="845" t="e">
        <f>SUM(Tabla1[[#This Row],[PRECIO $ BOLSA50 KG  FOB TUCUMAN A PLAZO (IVA INC)]]+Tabla1[[#This Row],[GASTOS FINANCIEROS $ BOLSA 50 KG (IVA INC)]])</f>
        <v>#VALUE!</v>
      </c>
      <c r="AF427" s="828"/>
      <c r="AG427" s="828"/>
      <c r="AH427" s="828"/>
      <c r="AI427" s="828"/>
      <c r="AJ42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27" s="846" t="e">
        <f>SUM(Tabla1[[#This Row],[PRECIO $ BOLSA 50KG  FOB CDO TUC (IVA INC)]]-Tabla1[[#This Row],[PRECIO REF $ BOLSA 50 KG CACTU (IVA INC)]])</f>
        <v>#VALUE!</v>
      </c>
      <c r="AL427" s="847" t="str">
        <f>IFERROR(Tabla1[[#This Row],[PRECIO $ BOLSA 50KG  FOB CDO TUC (IVA INC)]]/Tabla1[[#This Row],[PRECIO REF $ BOLSA 50 KG CACTU (IVA INC)]]-1,"")</f>
        <v/>
      </c>
      <c r="AM427" s="846" t="e">
        <f>+Tabla1[[#This Row],[DIF $ PRECIO NETO INDUSTRIA vs Neto TUCUMAN (IVA INC)]]*Tabla1[[#This Row],[Q Bolsas Equivalentes 50kg]]</f>
        <v>#VALUE!</v>
      </c>
      <c r="AN427" s="846" t="e">
        <f>Tabla1[[#This Row],[PRECIO REF $ BOLSA 50 KG CACTU (IVA INC)]]*Tabla1[[#This Row],[Q Bolsas Equivalentes 50kg]]</f>
        <v>#VALUE!</v>
      </c>
      <c r="AO427" s="846" t="e">
        <f>+Tabla1[[#This Row],[PRECIO $ BOLSA 50KG  FOB CDO TUC (IVA INC)]]*Tabla1[[#This Row],[Q Bolsas Equivalentes 50kg]]</f>
        <v>#VALUE!</v>
      </c>
      <c r="AP427" s="847"/>
      <c r="AQ427" s="846">
        <v>0</v>
      </c>
      <c r="AR427" s="828"/>
      <c r="AS427" s="849"/>
      <c r="AT427" s="923">
        <f>+Tabla1[[#This Row],[VENTA TOTAL $ (IVA INC) ]]-(SUM(Tabla1[[#This Row],[PENDIENTE DE ENTREGA]:[VALORES COBRADOS]]))</f>
        <v>0</v>
      </c>
      <c r="AU427" s="850" t="e">
        <f>VLOOKUP(Tabla1[[#This Row],[FECHA OC]],'TIPO DE CAMBIO'!A:B,2,TRUE)</f>
        <v>#N/A</v>
      </c>
      <c r="AV427" s="850" t="e">
        <f>+Tabla1[[#This Row],[SUBTOTAL]]/Tabla1[[#This Row],[TIPO DE CAMBIO]]</f>
        <v>#N/A</v>
      </c>
      <c r="AW427" s="851"/>
      <c r="AX427" s="850" t="str">
        <f>IFERROR(Tabla1[[#This Row],[VENTA TOTAL USD A PLAZO EN CLIENTE  (SIN IVA)]]*(1+Tabla1[[#This Row],[% IVA ]]),"")</f>
        <v/>
      </c>
      <c r="AY427" s="850" t="e">
        <f>+Tabla1[[#This Row],[VENTA TOTAL USD A PLAZO EN CLIENTE  (SIN IVA)]]/Tabla1[[#This Row],[KGS]]*1000</f>
        <v>#N/A</v>
      </c>
      <c r="AZ427" s="850" t="e">
        <f>-Tabla1[[#This Row],[COSTO FLETE $ POR BOLSA 5O KG (SIN IVA)]]*20/Tabla1[[#This Row],[TIPO DE CAMBIO]]</f>
        <v>#N/A</v>
      </c>
      <c r="BA427" s="850" t="e">
        <f>+Tabla1[[#This Row],[GASTOS FINANCIEROS $ BOLSA 50 KG (IVA INC)]]*20/Tabla1[[#This Row],[TIPO DE CAMBIO]]</f>
        <v>#VALUE!</v>
      </c>
      <c r="BB427" s="850" t="e">
        <f>+Tabla1[[#This Row],[PRECIO POR TN USD EN CLIENTE A PLAZO (SIN IVA)]]+Tabla1[[#This Row],[COSTO USD FLETE /TN (SIN IVA)]]+Tabla1[[#This Row],[COSTO FINANCIERO USD POR BOLSA 50KG (IVA INC)]]</f>
        <v>#N/A</v>
      </c>
      <c r="BC427" s="848"/>
      <c r="BD427" s="944"/>
    </row>
    <row r="428" spans="1:56" ht="15.75" customHeight="1">
      <c r="A428" s="912">
        <v>46235</v>
      </c>
      <c r="B428" s="853"/>
      <c r="C428" s="792"/>
      <c r="D428" s="829">
        <f>+Tabla1[[#This Row],[FECHA Entrega]]</f>
        <v>0</v>
      </c>
      <c r="E428" s="830"/>
      <c r="F428" s="831"/>
      <c r="G428" s="832"/>
      <c r="H428" s="852"/>
      <c r="I428" s="834"/>
      <c r="J428" s="835"/>
      <c r="K428" s="836">
        <f t="shared" si="138"/>
        <v>0</v>
      </c>
      <c r="L42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28" s="837">
        <f t="shared" si="140"/>
        <v>0</v>
      </c>
      <c r="N428" s="838">
        <f>+Tabla1[[#This Row],[VENTA TOTAL $ (IVA INC) ]]</f>
        <v>0</v>
      </c>
      <c r="O428" s="838">
        <v>0</v>
      </c>
      <c r="P428" s="838">
        <v>0</v>
      </c>
      <c r="Q428" s="839">
        <f>+Tabla1[[#This Row],[VENTA TOTAL $ (IVA INC) ]]-Tabla1[[#This Row],[PENDIENTE DE COBRO]]</f>
        <v>0</v>
      </c>
      <c r="R428" s="840">
        <f>+Tabla1[[#This Row],[FECHA FC]]+Tabla1[[#This Row],[PLAZO ENTREGA VALORES]]</f>
        <v>0</v>
      </c>
      <c r="S428" s="840">
        <f>+Tabla1[[#This Row],[FECHA FC]]+Tabla1[[#This Row],[PLAZO PAGO (DIAS)]]</f>
        <v>0</v>
      </c>
      <c r="T428" s="834">
        <f t="shared" ca="1" si="139"/>
        <v>-46181</v>
      </c>
      <c r="U428" s="831"/>
      <c r="V428" s="831"/>
      <c r="W428" s="841">
        <f>+Tabla1[[#This Row],[FECHA VTO VALORES]]+7</f>
        <v>7</v>
      </c>
      <c r="X428" s="830"/>
      <c r="Y428" s="859"/>
      <c r="Z428" s="860">
        <f>Tabla1[[#This Row],[KGS]]/50</f>
        <v>0</v>
      </c>
      <c r="AA42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28" s="844">
        <f>-Tabla1[[#This Row],[COSTO FLETE $ POR BOLSA 5O KG (SIN IVA)]]*1.21-Tabla1[[#This Row],[PRECIO $/ KG A PLAZO EN CLIENTE ( SIN IVA)]]*0.003*1.21*50</f>
        <v>0</v>
      </c>
      <c r="AC428" s="845" t="e">
        <f>SUM(Tabla1[[#This Row],[PRECIO $ BOLSA 50 KG (IVA INC) ]]+Tabla1[[#This Row],[COSTO FLETE $ BOLSA 50 KG (IVA INC)]])</f>
        <v>#VALUE!</v>
      </c>
      <c r="AD428" s="844" t="e">
        <f>-Tabla1[[#This Row],[PRECIO $ BOLSA 50 KG (IVA INC) ]]*(Tabla1[[#This Row],[TASA FINANCIACION MENSUAL]]/365)*Tabla1[[#This Row],[PLAZO ENTREGA VALORES]]</f>
        <v>#VALUE!</v>
      </c>
      <c r="AE428" s="845" t="e">
        <f>SUM(Tabla1[[#This Row],[PRECIO $ BOLSA50 KG  FOB TUCUMAN A PLAZO (IVA INC)]]+Tabla1[[#This Row],[GASTOS FINANCIEROS $ BOLSA 50 KG (IVA INC)]])</f>
        <v>#VALUE!</v>
      </c>
      <c r="AF428" s="828"/>
      <c r="AG428" s="828"/>
      <c r="AH428" s="828"/>
      <c r="AI428" s="828"/>
      <c r="AJ42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28" s="846" t="e">
        <f>SUM(Tabla1[[#This Row],[PRECIO $ BOLSA 50KG  FOB CDO TUC (IVA INC)]]-Tabla1[[#This Row],[PRECIO REF $ BOLSA 50 KG CACTU (IVA INC)]])</f>
        <v>#VALUE!</v>
      </c>
      <c r="AL428" s="847" t="str">
        <f>IFERROR(Tabla1[[#This Row],[PRECIO $ BOLSA 50KG  FOB CDO TUC (IVA INC)]]/Tabla1[[#This Row],[PRECIO REF $ BOLSA 50 KG CACTU (IVA INC)]]-1,"")</f>
        <v/>
      </c>
      <c r="AM428" s="846" t="e">
        <f>+Tabla1[[#This Row],[DIF $ PRECIO NETO INDUSTRIA vs Neto TUCUMAN (IVA INC)]]*Tabla1[[#This Row],[Q Bolsas Equivalentes 50kg]]</f>
        <v>#VALUE!</v>
      </c>
      <c r="AN428" s="846" t="e">
        <f>Tabla1[[#This Row],[PRECIO REF $ BOLSA 50 KG CACTU (IVA INC)]]*Tabla1[[#This Row],[Q Bolsas Equivalentes 50kg]]</f>
        <v>#VALUE!</v>
      </c>
      <c r="AO428" s="846" t="e">
        <f>+Tabla1[[#This Row],[PRECIO $ BOLSA 50KG  FOB CDO TUC (IVA INC)]]*Tabla1[[#This Row],[Q Bolsas Equivalentes 50kg]]</f>
        <v>#VALUE!</v>
      </c>
      <c r="AP428" s="847"/>
      <c r="AQ428" s="846">
        <v>0</v>
      </c>
      <c r="AR428" s="828"/>
      <c r="AS428" s="849"/>
      <c r="AT428" s="923">
        <f>+Tabla1[[#This Row],[VENTA TOTAL $ (IVA INC) ]]-(SUM(Tabla1[[#This Row],[PENDIENTE DE ENTREGA]:[VALORES COBRADOS]]))</f>
        <v>0</v>
      </c>
      <c r="AU428" s="850" t="e">
        <f>VLOOKUP(Tabla1[[#This Row],[FECHA OC]],'TIPO DE CAMBIO'!A:B,2,TRUE)</f>
        <v>#N/A</v>
      </c>
      <c r="AV428" s="850" t="e">
        <f>+Tabla1[[#This Row],[SUBTOTAL]]/Tabla1[[#This Row],[TIPO DE CAMBIO]]</f>
        <v>#N/A</v>
      </c>
      <c r="AW428" s="851"/>
      <c r="AX428" s="850" t="str">
        <f>IFERROR(Tabla1[[#This Row],[VENTA TOTAL USD A PLAZO EN CLIENTE  (SIN IVA)]]*(1+Tabla1[[#This Row],[% IVA ]]),"")</f>
        <v/>
      </c>
      <c r="AY428" s="850" t="e">
        <f>+Tabla1[[#This Row],[VENTA TOTAL USD A PLAZO EN CLIENTE  (SIN IVA)]]/Tabla1[[#This Row],[KGS]]*1000</f>
        <v>#N/A</v>
      </c>
      <c r="AZ428" s="850" t="e">
        <f>-Tabla1[[#This Row],[COSTO FLETE $ POR BOLSA 5O KG (SIN IVA)]]*20/Tabla1[[#This Row],[TIPO DE CAMBIO]]</f>
        <v>#N/A</v>
      </c>
      <c r="BA428" s="850" t="e">
        <f>+Tabla1[[#This Row],[GASTOS FINANCIEROS $ BOLSA 50 KG (IVA INC)]]*20/Tabla1[[#This Row],[TIPO DE CAMBIO]]</f>
        <v>#VALUE!</v>
      </c>
      <c r="BB428" s="850" t="e">
        <f>+Tabla1[[#This Row],[PRECIO POR TN USD EN CLIENTE A PLAZO (SIN IVA)]]+Tabla1[[#This Row],[COSTO USD FLETE /TN (SIN IVA)]]+Tabla1[[#This Row],[COSTO FINANCIERO USD POR BOLSA 50KG (IVA INC)]]</f>
        <v>#N/A</v>
      </c>
      <c r="BC428" s="848"/>
      <c r="BD428" s="944"/>
    </row>
    <row r="429" spans="1:56" ht="15.75" customHeight="1">
      <c r="A429" s="912">
        <v>46235</v>
      </c>
      <c r="B429" s="853"/>
      <c r="C429" s="792"/>
      <c r="D429" s="829">
        <f>+Tabla1[[#This Row],[FECHA Entrega]]</f>
        <v>0</v>
      </c>
      <c r="E429" s="830"/>
      <c r="F429" s="831"/>
      <c r="G429" s="832"/>
      <c r="H429" s="852"/>
      <c r="I429" s="834"/>
      <c r="J429" s="835"/>
      <c r="K429" s="836">
        <f t="shared" si="138"/>
        <v>0</v>
      </c>
      <c r="L42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29" s="837">
        <f t="shared" si="140"/>
        <v>0</v>
      </c>
      <c r="N429" s="838">
        <f>+Tabla1[[#This Row],[VENTA TOTAL $ (IVA INC) ]]</f>
        <v>0</v>
      </c>
      <c r="O429" s="838">
        <v>0</v>
      </c>
      <c r="P429" s="838">
        <v>0</v>
      </c>
      <c r="Q429" s="839">
        <f>+Tabla1[[#This Row],[VENTA TOTAL $ (IVA INC) ]]-Tabla1[[#This Row],[PENDIENTE DE COBRO]]</f>
        <v>0</v>
      </c>
      <c r="R429" s="840">
        <f>+Tabla1[[#This Row],[FECHA FC]]+Tabla1[[#This Row],[PLAZO ENTREGA VALORES]]</f>
        <v>0</v>
      </c>
      <c r="S429" s="840">
        <f>+Tabla1[[#This Row],[FECHA FC]]+Tabla1[[#This Row],[PLAZO PAGO (DIAS)]]</f>
        <v>0</v>
      </c>
      <c r="T429" s="834">
        <f t="shared" ca="1" si="139"/>
        <v>-46181</v>
      </c>
      <c r="U429" s="831"/>
      <c r="V429" s="831"/>
      <c r="W429" s="841">
        <f>+Tabla1[[#This Row],[FECHA VTO VALORES]]+7</f>
        <v>7</v>
      </c>
      <c r="X429" s="830"/>
      <c r="Y429" s="859"/>
      <c r="Z429" s="860">
        <f>Tabla1[[#This Row],[KGS]]/50</f>
        <v>0</v>
      </c>
      <c r="AA42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29" s="844">
        <f>-Tabla1[[#This Row],[COSTO FLETE $ POR BOLSA 5O KG (SIN IVA)]]*1.21-Tabla1[[#This Row],[PRECIO $/ KG A PLAZO EN CLIENTE ( SIN IVA)]]*0.003*1.21*50</f>
        <v>0</v>
      </c>
      <c r="AC429" s="845" t="e">
        <f>SUM(Tabla1[[#This Row],[PRECIO $ BOLSA 50 KG (IVA INC) ]]+Tabla1[[#This Row],[COSTO FLETE $ BOLSA 50 KG (IVA INC)]])</f>
        <v>#VALUE!</v>
      </c>
      <c r="AD429" s="844" t="e">
        <f>-Tabla1[[#This Row],[PRECIO $ BOLSA 50 KG (IVA INC) ]]*(Tabla1[[#This Row],[TASA FINANCIACION MENSUAL]]/365)*Tabla1[[#This Row],[PLAZO ENTREGA VALORES]]</f>
        <v>#VALUE!</v>
      </c>
      <c r="AE429" s="845" t="e">
        <f>SUM(Tabla1[[#This Row],[PRECIO $ BOLSA50 KG  FOB TUCUMAN A PLAZO (IVA INC)]]+Tabla1[[#This Row],[GASTOS FINANCIEROS $ BOLSA 50 KG (IVA INC)]])</f>
        <v>#VALUE!</v>
      </c>
      <c r="AF429" s="828"/>
      <c r="AG429" s="828"/>
      <c r="AH429" s="828"/>
      <c r="AI429" s="828"/>
      <c r="AJ42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29" s="846" t="e">
        <f>SUM(Tabla1[[#This Row],[PRECIO $ BOLSA 50KG  FOB CDO TUC (IVA INC)]]-Tabla1[[#This Row],[PRECIO REF $ BOLSA 50 KG CACTU (IVA INC)]])</f>
        <v>#VALUE!</v>
      </c>
      <c r="AL429" s="847" t="str">
        <f>IFERROR(Tabla1[[#This Row],[PRECIO $ BOLSA 50KG  FOB CDO TUC (IVA INC)]]/Tabla1[[#This Row],[PRECIO REF $ BOLSA 50 KG CACTU (IVA INC)]]-1,"")</f>
        <v/>
      </c>
      <c r="AM429" s="846" t="e">
        <f>+Tabla1[[#This Row],[DIF $ PRECIO NETO INDUSTRIA vs Neto TUCUMAN (IVA INC)]]*Tabla1[[#This Row],[Q Bolsas Equivalentes 50kg]]</f>
        <v>#VALUE!</v>
      </c>
      <c r="AN429" s="846" t="e">
        <f>Tabla1[[#This Row],[PRECIO REF $ BOLSA 50 KG CACTU (IVA INC)]]*Tabla1[[#This Row],[Q Bolsas Equivalentes 50kg]]</f>
        <v>#VALUE!</v>
      </c>
      <c r="AO429" s="846" t="e">
        <f>+Tabla1[[#This Row],[PRECIO $ BOLSA 50KG  FOB CDO TUC (IVA INC)]]*Tabla1[[#This Row],[Q Bolsas Equivalentes 50kg]]</f>
        <v>#VALUE!</v>
      </c>
      <c r="AP429" s="847"/>
      <c r="AQ429" s="846">
        <v>0</v>
      </c>
      <c r="AR429" s="828"/>
      <c r="AS429" s="849"/>
      <c r="AT429" s="923">
        <f>+Tabla1[[#This Row],[VENTA TOTAL $ (IVA INC) ]]-(SUM(Tabla1[[#This Row],[PENDIENTE DE ENTREGA]:[VALORES COBRADOS]]))</f>
        <v>0</v>
      </c>
      <c r="AU429" s="850" t="e">
        <f>VLOOKUP(Tabla1[[#This Row],[FECHA OC]],'TIPO DE CAMBIO'!A:B,2,TRUE)</f>
        <v>#N/A</v>
      </c>
      <c r="AV429" s="850" t="e">
        <f>+Tabla1[[#This Row],[SUBTOTAL]]/Tabla1[[#This Row],[TIPO DE CAMBIO]]</f>
        <v>#N/A</v>
      </c>
      <c r="AW429" s="851"/>
      <c r="AX429" s="850" t="str">
        <f>IFERROR(Tabla1[[#This Row],[VENTA TOTAL USD A PLAZO EN CLIENTE  (SIN IVA)]]*(1+Tabla1[[#This Row],[% IVA ]]),"")</f>
        <v/>
      </c>
      <c r="AY429" s="850" t="e">
        <f>+Tabla1[[#This Row],[VENTA TOTAL USD A PLAZO EN CLIENTE  (SIN IVA)]]/Tabla1[[#This Row],[KGS]]*1000</f>
        <v>#N/A</v>
      </c>
      <c r="AZ429" s="850" t="e">
        <f>-Tabla1[[#This Row],[COSTO FLETE $ POR BOLSA 5O KG (SIN IVA)]]*20/Tabla1[[#This Row],[TIPO DE CAMBIO]]</f>
        <v>#N/A</v>
      </c>
      <c r="BA429" s="850" t="e">
        <f>+Tabla1[[#This Row],[GASTOS FINANCIEROS $ BOLSA 50 KG (IVA INC)]]*20/Tabla1[[#This Row],[TIPO DE CAMBIO]]</f>
        <v>#VALUE!</v>
      </c>
      <c r="BB429" s="850" t="e">
        <f>+Tabla1[[#This Row],[PRECIO POR TN USD EN CLIENTE A PLAZO (SIN IVA)]]+Tabla1[[#This Row],[COSTO USD FLETE /TN (SIN IVA)]]+Tabla1[[#This Row],[COSTO FINANCIERO USD POR BOLSA 50KG (IVA INC)]]</f>
        <v>#N/A</v>
      </c>
      <c r="BC429" s="848"/>
      <c r="BD429" s="944"/>
    </row>
    <row r="430" spans="1:56" ht="15.75" customHeight="1">
      <c r="A430" s="912">
        <v>46235</v>
      </c>
      <c r="B430" s="853"/>
      <c r="C430" s="792"/>
      <c r="D430" s="829">
        <f>+Tabla1[[#This Row],[FECHA Entrega]]</f>
        <v>0</v>
      </c>
      <c r="E430" s="830"/>
      <c r="F430" s="831"/>
      <c r="G430" s="832"/>
      <c r="H430" s="852"/>
      <c r="I430" s="834"/>
      <c r="J430" s="835"/>
      <c r="K430" s="836">
        <f t="shared" si="138"/>
        <v>0</v>
      </c>
      <c r="L43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30" s="837">
        <f t="shared" si="140"/>
        <v>0</v>
      </c>
      <c r="N430" s="838">
        <f>+Tabla1[[#This Row],[VENTA TOTAL $ (IVA INC) ]]</f>
        <v>0</v>
      </c>
      <c r="O430" s="838">
        <v>0</v>
      </c>
      <c r="P430" s="838">
        <v>0</v>
      </c>
      <c r="Q430" s="839">
        <f>+Tabla1[[#This Row],[VENTA TOTAL $ (IVA INC) ]]-Tabla1[[#This Row],[PENDIENTE DE COBRO]]</f>
        <v>0</v>
      </c>
      <c r="R430" s="840">
        <f>+Tabla1[[#This Row],[FECHA FC]]+Tabla1[[#This Row],[PLAZO ENTREGA VALORES]]</f>
        <v>0</v>
      </c>
      <c r="S430" s="840">
        <f>+Tabla1[[#This Row],[FECHA FC]]+Tabla1[[#This Row],[PLAZO PAGO (DIAS)]]</f>
        <v>0</v>
      </c>
      <c r="T430" s="834">
        <f t="shared" ca="1" si="139"/>
        <v>-46181</v>
      </c>
      <c r="U430" s="831"/>
      <c r="V430" s="831"/>
      <c r="W430" s="841">
        <f>+Tabla1[[#This Row],[FECHA VTO VALORES]]+7</f>
        <v>7</v>
      </c>
      <c r="X430" s="830"/>
      <c r="Y430" s="859"/>
      <c r="Z430" s="860">
        <f>Tabla1[[#This Row],[KGS]]/50</f>
        <v>0</v>
      </c>
      <c r="AA43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30" s="844">
        <f>-Tabla1[[#This Row],[COSTO FLETE $ POR BOLSA 5O KG (SIN IVA)]]*1.21-Tabla1[[#This Row],[PRECIO $/ KG A PLAZO EN CLIENTE ( SIN IVA)]]*0.003*1.21*50</f>
        <v>0</v>
      </c>
      <c r="AC430" s="845" t="e">
        <f>SUM(Tabla1[[#This Row],[PRECIO $ BOLSA 50 KG (IVA INC) ]]+Tabla1[[#This Row],[COSTO FLETE $ BOLSA 50 KG (IVA INC)]])</f>
        <v>#VALUE!</v>
      </c>
      <c r="AD430" s="844" t="e">
        <f>-Tabla1[[#This Row],[PRECIO $ BOLSA 50 KG (IVA INC) ]]*(Tabla1[[#This Row],[TASA FINANCIACION MENSUAL]]/365)*Tabla1[[#This Row],[PLAZO ENTREGA VALORES]]</f>
        <v>#VALUE!</v>
      </c>
      <c r="AE430" s="845" t="e">
        <f>SUM(Tabla1[[#This Row],[PRECIO $ BOLSA50 KG  FOB TUCUMAN A PLAZO (IVA INC)]]+Tabla1[[#This Row],[GASTOS FINANCIEROS $ BOLSA 50 KG (IVA INC)]])</f>
        <v>#VALUE!</v>
      </c>
      <c r="AF430" s="828"/>
      <c r="AG430" s="828"/>
      <c r="AH430" s="828"/>
      <c r="AI430" s="828"/>
      <c r="AJ43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30" s="846" t="e">
        <f>SUM(Tabla1[[#This Row],[PRECIO $ BOLSA 50KG  FOB CDO TUC (IVA INC)]]-Tabla1[[#This Row],[PRECIO REF $ BOLSA 50 KG CACTU (IVA INC)]])</f>
        <v>#VALUE!</v>
      </c>
      <c r="AL430" s="847" t="str">
        <f>IFERROR(Tabla1[[#This Row],[PRECIO $ BOLSA 50KG  FOB CDO TUC (IVA INC)]]/Tabla1[[#This Row],[PRECIO REF $ BOLSA 50 KG CACTU (IVA INC)]]-1,"")</f>
        <v/>
      </c>
      <c r="AM430" s="846" t="e">
        <f>+Tabla1[[#This Row],[DIF $ PRECIO NETO INDUSTRIA vs Neto TUCUMAN (IVA INC)]]*Tabla1[[#This Row],[Q Bolsas Equivalentes 50kg]]</f>
        <v>#VALUE!</v>
      </c>
      <c r="AN430" s="846" t="e">
        <f>Tabla1[[#This Row],[PRECIO REF $ BOLSA 50 KG CACTU (IVA INC)]]*Tabla1[[#This Row],[Q Bolsas Equivalentes 50kg]]</f>
        <v>#VALUE!</v>
      </c>
      <c r="AO430" s="846" t="e">
        <f>+Tabla1[[#This Row],[PRECIO $ BOLSA 50KG  FOB CDO TUC (IVA INC)]]*Tabla1[[#This Row],[Q Bolsas Equivalentes 50kg]]</f>
        <v>#VALUE!</v>
      </c>
      <c r="AP430" s="847"/>
      <c r="AQ430" s="846">
        <v>0</v>
      </c>
      <c r="AR430" s="828"/>
      <c r="AS430" s="849"/>
      <c r="AT430" s="923">
        <f>+Tabla1[[#This Row],[VENTA TOTAL $ (IVA INC) ]]-(SUM(Tabla1[[#This Row],[PENDIENTE DE ENTREGA]:[VALORES COBRADOS]]))</f>
        <v>0</v>
      </c>
      <c r="AU430" s="850" t="e">
        <f>VLOOKUP(Tabla1[[#This Row],[FECHA OC]],'TIPO DE CAMBIO'!A:B,2,TRUE)</f>
        <v>#N/A</v>
      </c>
      <c r="AV430" s="850" t="e">
        <f>+Tabla1[[#This Row],[SUBTOTAL]]/Tabla1[[#This Row],[TIPO DE CAMBIO]]</f>
        <v>#N/A</v>
      </c>
      <c r="AW430" s="851"/>
      <c r="AX430" s="850" t="str">
        <f>IFERROR(Tabla1[[#This Row],[VENTA TOTAL USD A PLAZO EN CLIENTE  (SIN IVA)]]*(1+Tabla1[[#This Row],[% IVA ]]),"")</f>
        <v/>
      </c>
      <c r="AY430" s="850" t="e">
        <f>+Tabla1[[#This Row],[VENTA TOTAL USD A PLAZO EN CLIENTE  (SIN IVA)]]/Tabla1[[#This Row],[KGS]]*1000</f>
        <v>#N/A</v>
      </c>
      <c r="AZ430" s="850" t="e">
        <f>-Tabla1[[#This Row],[COSTO FLETE $ POR BOLSA 5O KG (SIN IVA)]]*20/Tabla1[[#This Row],[TIPO DE CAMBIO]]</f>
        <v>#N/A</v>
      </c>
      <c r="BA430" s="850" t="e">
        <f>+Tabla1[[#This Row],[GASTOS FINANCIEROS $ BOLSA 50 KG (IVA INC)]]*20/Tabla1[[#This Row],[TIPO DE CAMBIO]]</f>
        <v>#VALUE!</v>
      </c>
      <c r="BB430" s="850" t="e">
        <f>+Tabla1[[#This Row],[PRECIO POR TN USD EN CLIENTE A PLAZO (SIN IVA)]]+Tabla1[[#This Row],[COSTO USD FLETE /TN (SIN IVA)]]+Tabla1[[#This Row],[COSTO FINANCIERO USD POR BOLSA 50KG (IVA INC)]]</f>
        <v>#N/A</v>
      </c>
      <c r="BC430" s="848"/>
      <c r="BD430" s="944"/>
    </row>
    <row r="431" spans="1:56" ht="15.75" customHeight="1">
      <c r="A431" s="912">
        <v>46235</v>
      </c>
      <c r="B431" s="853"/>
      <c r="C431" s="792"/>
      <c r="D431" s="829">
        <f>+Tabla1[[#This Row],[FECHA Entrega]]</f>
        <v>0</v>
      </c>
      <c r="E431" s="830"/>
      <c r="F431" s="831"/>
      <c r="G431" s="832"/>
      <c r="H431" s="852"/>
      <c r="I431" s="834"/>
      <c r="J431" s="835"/>
      <c r="K431" s="836">
        <f t="shared" si="138"/>
        <v>0</v>
      </c>
      <c r="L43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31" s="837">
        <f t="shared" si="140"/>
        <v>0</v>
      </c>
      <c r="N431" s="838">
        <f>+Tabla1[[#This Row],[VENTA TOTAL $ (IVA INC) ]]</f>
        <v>0</v>
      </c>
      <c r="O431" s="838">
        <v>0</v>
      </c>
      <c r="P431" s="838">
        <v>0</v>
      </c>
      <c r="Q431" s="839">
        <f>+Tabla1[[#This Row],[VENTA TOTAL $ (IVA INC) ]]-Tabla1[[#This Row],[PENDIENTE DE COBRO]]</f>
        <v>0</v>
      </c>
      <c r="R431" s="840">
        <f>+Tabla1[[#This Row],[FECHA FC]]+Tabla1[[#This Row],[PLAZO ENTREGA VALORES]]</f>
        <v>0</v>
      </c>
      <c r="S431" s="840">
        <f>+Tabla1[[#This Row],[FECHA FC]]+Tabla1[[#This Row],[PLAZO PAGO (DIAS)]]</f>
        <v>0</v>
      </c>
      <c r="T431" s="834">
        <f t="shared" ca="1" si="139"/>
        <v>-46181</v>
      </c>
      <c r="U431" s="831"/>
      <c r="V431" s="831"/>
      <c r="W431" s="841">
        <f>+Tabla1[[#This Row],[FECHA VTO VALORES]]+7</f>
        <v>7</v>
      </c>
      <c r="X431" s="830"/>
      <c r="Y431" s="859"/>
      <c r="Z431" s="860">
        <f>Tabla1[[#This Row],[KGS]]/50</f>
        <v>0</v>
      </c>
      <c r="AA43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31" s="844">
        <f>-Tabla1[[#This Row],[COSTO FLETE $ POR BOLSA 5O KG (SIN IVA)]]*1.21-Tabla1[[#This Row],[PRECIO $/ KG A PLAZO EN CLIENTE ( SIN IVA)]]*0.003*1.21*50</f>
        <v>0</v>
      </c>
      <c r="AC431" s="845" t="e">
        <f>SUM(Tabla1[[#This Row],[PRECIO $ BOLSA 50 KG (IVA INC) ]]+Tabla1[[#This Row],[COSTO FLETE $ BOLSA 50 KG (IVA INC)]])</f>
        <v>#VALUE!</v>
      </c>
      <c r="AD431" s="844" t="e">
        <f>-Tabla1[[#This Row],[PRECIO $ BOLSA 50 KG (IVA INC) ]]*(Tabla1[[#This Row],[TASA FINANCIACION MENSUAL]]/365)*Tabla1[[#This Row],[PLAZO ENTREGA VALORES]]</f>
        <v>#VALUE!</v>
      </c>
      <c r="AE431" s="845" t="e">
        <f>SUM(Tabla1[[#This Row],[PRECIO $ BOLSA50 KG  FOB TUCUMAN A PLAZO (IVA INC)]]+Tabla1[[#This Row],[GASTOS FINANCIEROS $ BOLSA 50 KG (IVA INC)]])</f>
        <v>#VALUE!</v>
      </c>
      <c r="AF431" s="828"/>
      <c r="AG431" s="828"/>
      <c r="AH431" s="828"/>
      <c r="AI431" s="828"/>
      <c r="AJ43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31" s="846" t="e">
        <f>SUM(Tabla1[[#This Row],[PRECIO $ BOLSA 50KG  FOB CDO TUC (IVA INC)]]-Tabla1[[#This Row],[PRECIO REF $ BOLSA 50 KG CACTU (IVA INC)]])</f>
        <v>#VALUE!</v>
      </c>
      <c r="AL431" s="847" t="str">
        <f>IFERROR(Tabla1[[#This Row],[PRECIO $ BOLSA 50KG  FOB CDO TUC (IVA INC)]]/Tabla1[[#This Row],[PRECIO REF $ BOLSA 50 KG CACTU (IVA INC)]]-1,"")</f>
        <v/>
      </c>
      <c r="AM431" s="846" t="e">
        <f>+Tabla1[[#This Row],[DIF $ PRECIO NETO INDUSTRIA vs Neto TUCUMAN (IVA INC)]]*Tabla1[[#This Row],[Q Bolsas Equivalentes 50kg]]</f>
        <v>#VALUE!</v>
      </c>
      <c r="AN431" s="846" t="e">
        <f>Tabla1[[#This Row],[PRECIO REF $ BOLSA 50 KG CACTU (IVA INC)]]*Tabla1[[#This Row],[Q Bolsas Equivalentes 50kg]]</f>
        <v>#VALUE!</v>
      </c>
      <c r="AO431" s="846" t="e">
        <f>+Tabla1[[#This Row],[PRECIO $ BOLSA 50KG  FOB CDO TUC (IVA INC)]]*Tabla1[[#This Row],[Q Bolsas Equivalentes 50kg]]</f>
        <v>#VALUE!</v>
      </c>
      <c r="AP431" s="847"/>
      <c r="AQ431" s="846">
        <v>0</v>
      </c>
      <c r="AR431" s="828"/>
      <c r="AS431" s="849"/>
      <c r="AT431" s="923">
        <f>+Tabla1[[#This Row],[VENTA TOTAL $ (IVA INC) ]]-(SUM(Tabla1[[#This Row],[PENDIENTE DE ENTREGA]:[VALORES COBRADOS]]))</f>
        <v>0</v>
      </c>
      <c r="AU431" s="850" t="e">
        <f>VLOOKUP(Tabla1[[#This Row],[FECHA OC]],'TIPO DE CAMBIO'!A:B,2,TRUE)</f>
        <v>#N/A</v>
      </c>
      <c r="AV431" s="850" t="e">
        <f>+Tabla1[[#This Row],[SUBTOTAL]]/Tabla1[[#This Row],[TIPO DE CAMBIO]]</f>
        <v>#N/A</v>
      </c>
      <c r="AW431" s="851"/>
      <c r="AX431" s="850" t="str">
        <f>IFERROR(Tabla1[[#This Row],[VENTA TOTAL USD A PLAZO EN CLIENTE  (SIN IVA)]]*(1+Tabla1[[#This Row],[% IVA ]]),"")</f>
        <v/>
      </c>
      <c r="AY431" s="850" t="e">
        <f>+Tabla1[[#This Row],[VENTA TOTAL USD A PLAZO EN CLIENTE  (SIN IVA)]]/Tabla1[[#This Row],[KGS]]*1000</f>
        <v>#N/A</v>
      </c>
      <c r="AZ431" s="850" t="e">
        <f>-Tabla1[[#This Row],[COSTO FLETE $ POR BOLSA 5O KG (SIN IVA)]]*20/Tabla1[[#This Row],[TIPO DE CAMBIO]]</f>
        <v>#N/A</v>
      </c>
      <c r="BA431" s="850" t="e">
        <f>+Tabla1[[#This Row],[GASTOS FINANCIEROS $ BOLSA 50 KG (IVA INC)]]*20/Tabla1[[#This Row],[TIPO DE CAMBIO]]</f>
        <v>#VALUE!</v>
      </c>
      <c r="BB431" s="850" t="e">
        <f>+Tabla1[[#This Row],[PRECIO POR TN USD EN CLIENTE A PLAZO (SIN IVA)]]+Tabla1[[#This Row],[COSTO USD FLETE /TN (SIN IVA)]]+Tabla1[[#This Row],[COSTO FINANCIERO USD POR BOLSA 50KG (IVA INC)]]</f>
        <v>#N/A</v>
      </c>
      <c r="BC431" s="848"/>
      <c r="BD431" s="944"/>
    </row>
    <row r="432" spans="1:56" ht="15.75" customHeight="1">
      <c r="A432" s="912">
        <v>46235</v>
      </c>
      <c r="B432" s="853"/>
      <c r="C432" s="792"/>
      <c r="D432" s="829">
        <f>+Tabla1[[#This Row],[FECHA Entrega]]</f>
        <v>0</v>
      </c>
      <c r="E432" s="830"/>
      <c r="F432" s="831"/>
      <c r="G432" s="832"/>
      <c r="H432" s="852"/>
      <c r="I432" s="834"/>
      <c r="J432" s="835"/>
      <c r="K432" s="836">
        <f t="shared" si="138"/>
        <v>0</v>
      </c>
      <c r="L43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32" s="837">
        <f t="shared" si="140"/>
        <v>0</v>
      </c>
      <c r="N432" s="838">
        <f>+Tabla1[[#This Row],[VENTA TOTAL $ (IVA INC) ]]</f>
        <v>0</v>
      </c>
      <c r="O432" s="838">
        <v>0</v>
      </c>
      <c r="P432" s="838">
        <v>0</v>
      </c>
      <c r="Q432" s="839">
        <f>+Tabla1[[#This Row],[VENTA TOTAL $ (IVA INC) ]]-Tabla1[[#This Row],[PENDIENTE DE COBRO]]</f>
        <v>0</v>
      </c>
      <c r="R432" s="840">
        <f>+Tabla1[[#This Row],[FECHA FC]]+Tabla1[[#This Row],[PLAZO ENTREGA VALORES]]</f>
        <v>0</v>
      </c>
      <c r="S432" s="840">
        <f>+Tabla1[[#This Row],[FECHA FC]]+Tabla1[[#This Row],[PLAZO PAGO (DIAS)]]</f>
        <v>0</v>
      </c>
      <c r="T432" s="834">
        <f t="shared" ca="1" si="139"/>
        <v>-46181</v>
      </c>
      <c r="U432" s="831"/>
      <c r="V432" s="831"/>
      <c r="W432" s="841">
        <f>+Tabla1[[#This Row],[FECHA VTO VALORES]]+7</f>
        <v>7</v>
      </c>
      <c r="X432" s="830"/>
      <c r="Y432" s="859"/>
      <c r="Z432" s="860">
        <f>Tabla1[[#This Row],[KGS]]/50</f>
        <v>0</v>
      </c>
      <c r="AA43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32" s="844">
        <f>-Tabla1[[#This Row],[COSTO FLETE $ POR BOLSA 5O KG (SIN IVA)]]*1.21-Tabla1[[#This Row],[PRECIO $/ KG A PLAZO EN CLIENTE ( SIN IVA)]]*0.003*1.21*50</f>
        <v>0</v>
      </c>
      <c r="AC432" s="845" t="e">
        <f>SUM(Tabla1[[#This Row],[PRECIO $ BOLSA 50 KG (IVA INC) ]]+Tabla1[[#This Row],[COSTO FLETE $ BOLSA 50 KG (IVA INC)]])</f>
        <v>#VALUE!</v>
      </c>
      <c r="AD432" s="844" t="e">
        <f>-Tabla1[[#This Row],[PRECIO $ BOLSA 50 KG (IVA INC) ]]*(Tabla1[[#This Row],[TASA FINANCIACION MENSUAL]]/365)*Tabla1[[#This Row],[PLAZO ENTREGA VALORES]]</f>
        <v>#VALUE!</v>
      </c>
      <c r="AE432" s="845" t="e">
        <f>SUM(Tabla1[[#This Row],[PRECIO $ BOLSA50 KG  FOB TUCUMAN A PLAZO (IVA INC)]]+Tabla1[[#This Row],[GASTOS FINANCIEROS $ BOLSA 50 KG (IVA INC)]])</f>
        <v>#VALUE!</v>
      </c>
      <c r="AF432" s="828"/>
      <c r="AG432" s="828"/>
      <c r="AH432" s="828"/>
      <c r="AI432" s="828"/>
      <c r="AJ43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32" s="846" t="e">
        <f>SUM(Tabla1[[#This Row],[PRECIO $ BOLSA 50KG  FOB CDO TUC (IVA INC)]]-Tabla1[[#This Row],[PRECIO REF $ BOLSA 50 KG CACTU (IVA INC)]])</f>
        <v>#VALUE!</v>
      </c>
      <c r="AL432" s="847" t="str">
        <f>IFERROR(Tabla1[[#This Row],[PRECIO $ BOLSA 50KG  FOB CDO TUC (IVA INC)]]/Tabla1[[#This Row],[PRECIO REF $ BOLSA 50 KG CACTU (IVA INC)]]-1,"")</f>
        <v/>
      </c>
      <c r="AM432" s="846" t="e">
        <f>+Tabla1[[#This Row],[DIF $ PRECIO NETO INDUSTRIA vs Neto TUCUMAN (IVA INC)]]*Tabla1[[#This Row],[Q Bolsas Equivalentes 50kg]]</f>
        <v>#VALUE!</v>
      </c>
      <c r="AN432" s="846" t="e">
        <f>Tabla1[[#This Row],[PRECIO REF $ BOLSA 50 KG CACTU (IVA INC)]]*Tabla1[[#This Row],[Q Bolsas Equivalentes 50kg]]</f>
        <v>#VALUE!</v>
      </c>
      <c r="AO432" s="846" t="e">
        <f>+Tabla1[[#This Row],[PRECIO $ BOLSA 50KG  FOB CDO TUC (IVA INC)]]*Tabla1[[#This Row],[Q Bolsas Equivalentes 50kg]]</f>
        <v>#VALUE!</v>
      </c>
      <c r="AP432" s="847"/>
      <c r="AQ432" s="846">
        <v>0</v>
      </c>
      <c r="AR432" s="828"/>
      <c r="AS432" s="849"/>
      <c r="AT432" s="923">
        <f>+Tabla1[[#This Row],[VENTA TOTAL $ (IVA INC) ]]-(SUM(Tabla1[[#This Row],[PENDIENTE DE ENTREGA]:[VALORES COBRADOS]]))</f>
        <v>0</v>
      </c>
      <c r="AU432" s="850" t="e">
        <f>VLOOKUP(Tabla1[[#This Row],[FECHA OC]],'TIPO DE CAMBIO'!A:B,2,TRUE)</f>
        <v>#N/A</v>
      </c>
      <c r="AV432" s="850" t="e">
        <f>+Tabla1[[#This Row],[SUBTOTAL]]/Tabla1[[#This Row],[TIPO DE CAMBIO]]</f>
        <v>#N/A</v>
      </c>
      <c r="AW432" s="851"/>
      <c r="AX432" s="850" t="str">
        <f>IFERROR(Tabla1[[#This Row],[VENTA TOTAL USD A PLAZO EN CLIENTE  (SIN IVA)]]*(1+Tabla1[[#This Row],[% IVA ]]),"")</f>
        <v/>
      </c>
      <c r="AY432" s="850" t="e">
        <f>+Tabla1[[#This Row],[VENTA TOTAL USD A PLAZO EN CLIENTE  (SIN IVA)]]/Tabla1[[#This Row],[KGS]]*1000</f>
        <v>#N/A</v>
      </c>
      <c r="AZ432" s="850" t="e">
        <f>-Tabla1[[#This Row],[COSTO FLETE $ POR BOLSA 5O KG (SIN IVA)]]*20/Tabla1[[#This Row],[TIPO DE CAMBIO]]</f>
        <v>#N/A</v>
      </c>
      <c r="BA432" s="850" t="e">
        <f>+Tabla1[[#This Row],[GASTOS FINANCIEROS $ BOLSA 50 KG (IVA INC)]]*20/Tabla1[[#This Row],[TIPO DE CAMBIO]]</f>
        <v>#VALUE!</v>
      </c>
      <c r="BB432" s="850" t="e">
        <f>+Tabla1[[#This Row],[PRECIO POR TN USD EN CLIENTE A PLAZO (SIN IVA)]]+Tabla1[[#This Row],[COSTO USD FLETE /TN (SIN IVA)]]+Tabla1[[#This Row],[COSTO FINANCIERO USD POR BOLSA 50KG (IVA INC)]]</f>
        <v>#N/A</v>
      </c>
      <c r="BC432" s="828"/>
      <c r="BD432" s="944"/>
    </row>
    <row r="433" spans="1:56" ht="15.75" customHeight="1">
      <c r="A433" s="912">
        <v>46235</v>
      </c>
      <c r="B433" s="853"/>
      <c r="C433" s="792"/>
      <c r="D433" s="829">
        <f>+Tabla1[[#This Row],[FECHA Entrega]]</f>
        <v>0</v>
      </c>
      <c r="E433" s="830"/>
      <c r="F433" s="831"/>
      <c r="G433" s="832"/>
      <c r="H433" s="852"/>
      <c r="I433" s="834"/>
      <c r="J433" s="835"/>
      <c r="K433" s="836">
        <f t="shared" si="138"/>
        <v>0</v>
      </c>
      <c r="L43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33" s="837">
        <f t="shared" si="140"/>
        <v>0</v>
      </c>
      <c r="N433" s="838">
        <f>+Tabla1[[#This Row],[VENTA TOTAL $ (IVA INC) ]]</f>
        <v>0</v>
      </c>
      <c r="O433" s="838">
        <v>0</v>
      </c>
      <c r="P433" s="838">
        <v>0</v>
      </c>
      <c r="Q433" s="839">
        <f>+Tabla1[[#This Row],[VENTA TOTAL $ (IVA INC) ]]-Tabla1[[#This Row],[PENDIENTE DE COBRO]]</f>
        <v>0</v>
      </c>
      <c r="R433" s="840">
        <f>+Tabla1[[#This Row],[FECHA FC]]+Tabla1[[#This Row],[PLAZO ENTREGA VALORES]]</f>
        <v>0</v>
      </c>
      <c r="S433" s="840">
        <f>+Tabla1[[#This Row],[FECHA FC]]+Tabla1[[#This Row],[PLAZO PAGO (DIAS)]]</f>
        <v>0</v>
      </c>
      <c r="T433" s="834">
        <f t="shared" ca="1" si="139"/>
        <v>-46181</v>
      </c>
      <c r="U433" s="831"/>
      <c r="V433" s="831"/>
      <c r="W433" s="841">
        <f>+Tabla1[[#This Row],[FECHA VTO VALORES]]+7</f>
        <v>7</v>
      </c>
      <c r="X433" s="830"/>
      <c r="Y433" s="859"/>
      <c r="Z433" s="860">
        <f>Tabla1[[#This Row],[KGS]]/50</f>
        <v>0</v>
      </c>
      <c r="AA43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33" s="844">
        <f>-Tabla1[[#This Row],[COSTO FLETE $ POR BOLSA 5O KG (SIN IVA)]]*1.21-Tabla1[[#This Row],[PRECIO $/ KG A PLAZO EN CLIENTE ( SIN IVA)]]*0.003*1.21*50</f>
        <v>0</v>
      </c>
      <c r="AC433" s="845" t="e">
        <f>SUM(Tabla1[[#This Row],[PRECIO $ BOLSA 50 KG (IVA INC) ]]+Tabla1[[#This Row],[COSTO FLETE $ BOLSA 50 KG (IVA INC)]])</f>
        <v>#VALUE!</v>
      </c>
      <c r="AD433" s="844" t="e">
        <f>-Tabla1[[#This Row],[PRECIO $ BOLSA 50 KG (IVA INC) ]]*(Tabla1[[#This Row],[TASA FINANCIACION MENSUAL]]/365)*Tabla1[[#This Row],[PLAZO ENTREGA VALORES]]</f>
        <v>#VALUE!</v>
      </c>
      <c r="AE433" s="845" t="e">
        <f>SUM(Tabla1[[#This Row],[PRECIO $ BOLSA50 KG  FOB TUCUMAN A PLAZO (IVA INC)]]+Tabla1[[#This Row],[GASTOS FINANCIEROS $ BOLSA 50 KG (IVA INC)]])</f>
        <v>#VALUE!</v>
      </c>
      <c r="AF433" s="828"/>
      <c r="AG433" s="828"/>
      <c r="AH433" s="828"/>
      <c r="AI433" s="828"/>
      <c r="AJ43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33" s="846" t="e">
        <f>SUM(Tabla1[[#This Row],[PRECIO $ BOLSA 50KG  FOB CDO TUC (IVA INC)]]-Tabla1[[#This Row],[PRECIO REF $ BOLSA 50 KG CACTU (IVA INC)]])</f>
        <v>#VALUE!</v>
      </c>
      <c r="AL433" s="847" t="str">
        <f>IFERROR(Tabla1[[#This Row],[PRECIO $ BOLSA 50KG  FOB CDO TUC (IVA INC)]]/Tabla1[[#This Row],[PRECIO REF $ BOLSA 50 KG CACTU (IVA INC)]]-1,"")</f>
        <v/>
      </c>
      <c r="AM433" s="846" t="e">
        <f>+Tabla1[[#This Row],[DIF $ PRECIO NETO INDUSTRIA vs Neto TUCUMAN (IVA INC)]]*Tabla1[[#This Row],[Q Bolsas Equivalentes 50kg]]</f>
        <v>#VALUE!</v>
      </c>
      <c r="AN433" s="846" t="e">
        <f>Tabla1[[#This Row],[PRECIO REF $ BOLSA 50 KG CACTU (IVA INC)]]*Tabla1[[#This Row],[Q Bolsas Equivalentes 50kg]]</f>
        <v>#VALUE!</v>
      </c>
      <c r="AO433" s="846" t="e">
        <f>+Tabla1[[#This Row],[PRECIO $ BOLSA 50KG  FOB CDO TUC (IVA INC)]]*Tabla1[[#This Row],[Q Bolsas Equivalentes 50kg]]</f>
        <v>#VALUE!</v>
      </c>
      <c r="AP433" s="847"/>
      <c r="AQ433" s="846">
        <v>0</v>
      </c>
      <c r="AR433" s="828"/>
      <c r="AS433" s="849"/>
      <c r="AT433" s="923">
        <f>+Tabla1[[#This Row],[VENTA TOTAL $ (IVA INC) ]]-(SUM(Tabla1[[#This Row],[PENDIENTE DE ENTREGA]:[VALORES COBRADOS]]))</f>
        <v>0</v>
      </c>
      <c r="AU433" s="850" t="e">
        <f>VLOOKUP(Tabla1[[#This Row],[FECHA OC]],'TIPO DE CAMBIO'!A:B,2,TRUE)</f>
        <v>#N/A</v>
      </c>
      <c r="AV433" s="850" t="e">
        <f>+Tabla1[[#This Row],[SUBTOTAL]]/Tabla1[[#This Row],[TIPO DE CAMBIO]]</f>
        <v>#N/A</v>
      </c>
      <c r="AW433" s="851"/>
      <c r="AX433" s="850" t="str">
        <f>IFERROR(Tabla1[[#This Row],[VENTA TOTAL USD A PLAZO EN CLIENTE  (SIN IVA)]]*(1+Tabla1[[#This Row],[% IVA ]]),"")</f>
        <v/>
      </c>
      <c r="AY433" s="850" t="e">
        <f>+Tabla1[[#This Row],[VENTA TOTAL USD A PLAZO EN CLIENTE  (SIN IVA)]]/Tabla1[[#This Row],[KGS]]*1000</f>
        <v>#N/A</v>
      </c>
      <c r="AZ433" s="850" t="e">
        <f>-Tabla1[[#This Row],[COSTO FLETE $ POR BOLSA 5O KG (SIN IVA)]]*20/Tabla1[[#This Row],[TIPO DE CAMBIO]]</f>
        <v>#N/A</v>
      </c>
      <c r="BA433" s="850" t="e">
        <f>+Tabla1[[#This Row],[GASTOS FINANCIEROS $ BOLSA 50 KG (IVA INC)]]*20/Tabla1[[#This Row],[TIPO DE CAMBIO]]</f>
        <v>#VALUE!</v>
      </c>
      <c r="BB433" s="850" t="e">
        <f>+Tabla1[[#This Row],[PRECIO POR TN USD EN CLIENTE A PLAZO (SIN IVA)]]+Tabla1[[#This Row],[COSTO USD FLETE /TN (SIN IVA)]]+Tabla1[[#This Row],[COSTO FINANCIERO USD POR BOLSA 50KG (IVA INC)]]</f>
        <v>#N/A</v>
      </c>
      <c r="BC433" s="828"/>
      <c r="BD433" s="944"/>
    </row>
    <row r="434" spans="1:56" ht="15.75" customHeight="1">
      <c r="A434" s="912">
        <v>46235</v>
      </c>
      <c r="B434" s="853"/>
      <c r="C434" s="792"/>
      <c r="D434" s="829">
        <f>+Tabla1[[#This Row],[FECHA Entrega]]</f>
        <v>0</v>
      </c>
      <c r="E434" s="830"/>
      <c r="F434" s="831"/>
      <c r="G434" s="832"/>
      <c r="H434" s="852"/>
      <c r="I434" s="834"/>
      <c r="J434" s="835"/>
      <c r="K434" s="836">
        <f t="shared" si="138"/>
        <v>0</v>
      </c>
      <c r="L43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34" s="837">
        <f t="shared" si="140"/>
        <v>0</v>
      </c>
      <c r="N434" s="838">
        <f>+Tabla1[[#This Row],[VENTA TOTAL $ (IVA INC) ]]</f>
        <v>0</v>
      </c>
      <c r="O434" s="838">
        <v>0</v>
      </c>
      <c r="P434" s="838">
        <v>0</v>
      </c>
      <c r="Q434" s="839">
        <f>+Tabla1[[#This Row],[VENTA TOTAL $ (IVA INC) ]]-Tabla1[[#This Row],[PENDIENTE DE COBRO]]</f>
        <v>0</v>
      </c>
      <c r="R434" s="840">
        <f>+Tabla1[[#This Row],[FECHA FC]]+Tabla1[[#This Row],[PLAZO ENTREGA VALORES]]</f>
        <v>0</v>
      </c>
      <c r="S434" s="840">
        <f>+Tabla1[[#This Row],[FECHA FC]]+Tabla1[[#This Row],[PLAZO PAGO (DIAS)]]</f>
        <v>0</v>
      </c>
      <c r="T434" s="834">
        <f t="shared" ca="1" si="139"/>
        <v>-46181</v>
      </c>
      <c r="U434" s="831"/>
      <c r="V434" s="831"/>
      <c r="W434" s="841">
        <f>+Tabla1[[#This Row],[FECHA VTO VALORES]]+7</f>
        <v>7</v>
      </c>
      <c r="X434" s="830"/>
      <c r="Y434" s="859"/>
      <c r="Z434" s="860">
        <f>Tabla1[[#This Row],[KGS]]/50</f>
        <v>0</v>
      </c>
      <c r="AA43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34" s="844">
        <f>-Tabla1[[#This Row],[COSTO FLETE $ POR BOLSA 5O KG (SIN IVA)]]*1.21-Tabla1[[#This Row],[PRECIO $/ KG A PLAZO EN CLIENTE ( SIN IVA)]]*0.003*1.21*50</f>
        <v>0</v>
      </c>
      <c r="AC434" s="845" t="e">
        <f>SUM(Tabla1[[#This Row],[PRECIO $ BOLSA 50 KG (IVA INC) ]]+Tabla1[[#This Row],[COSTO FLETE $ BOLSA 50 KG (IVA INC)]])</f>
        <v>#VALUE!</v>
      </c>
      <c r="AD434" s="844" t="e">
        <f>-Tabla1[[#This Row],[PRECIO $ BOLSA 50 KG (IVA INC) ]]*(Tabla1[[#This Row],[TASA FINANCIACION MENSUAL]]/365)*Tabla1[[#This Row],[PLAZO ENTREGA VALORES]]</f>
        <v>#VALUE!</v>
      </c>
      <c r="AE434" s="845" t="e">
        <f>SUM(Tabla1[[#This Row],[PRECIO $ BOLSA50 KG  FOB TUCUMAN A PLAZO (IVA INC)]]+Tabla1[[#This Row],[GASTOS FINANCIEROS $ BOLSA 50 KG (IVA INC)]])</f>
        <v>#VALUE!</v>
      </c>
      <c r="AF434" s="828"/>
      <c r="AG434" s="828"/>
      <c r="AH434" s="828"/>
      <c r="AI434" s="828"/>
      <c r="AJ43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34" s="846" t="e">
        <f>SUM(Tabla1[[#This Row],[PRECIO $ BOLSA 50KG  FOB CDO TUC (IVA INC)]]-Tabla1[[#This Row],[PRECIO REF $ BOLSA 50 KG CACTU (IVA INC)]])</f>
        <v>#VALUE!</v>
      </c>
      <c r="AL434" s="847" t="str">
        <f>IFERROR(Tabla1[[#This Row],[PRECIO $ BOLSA 50KG  FOB CDO TUC (IVA INC)]]/Tabla1[[#This Row],[PRECIO REF $ BOLSA 50 KG CACTU (IVA INC)]]-1,"")</f>
        <v/>
      </c>
      <c r="AM434" s="846" t="e">
        <f>+Tabla1[[#This Row],[DIF $ PRECIO NETO INDUSTRIA vs Neto TUCUMAN (IVA INC)]]*Tabla1[[#This Row],[Q Bolsas Equivalentes 50kg]]</f>
        <v>#VALUE!</v>
      </c>
      <c r="AN434" s="846" t="e">
        <f>Tabla1[[#This Row],[PRECIO REF $ BOLSA 50 KG CACTU (IVA INC)]]*Tabla1[[#This Row],[Q Bolsas Equivalentes 50kg]]</f>
        <v>#VALUE!</v>
      </c>
      <c r="AO434" s="846" t="e">
        <f>+Tabla1[[#This Row],[PRECIO $ BOLSA 50KG  FOB CDO TUC (IVA INC)]]*Tabla1[[#This Row],[Q Bolsas Equivalentes 50kg]]</f>
        <v>#VALUE!</v>
      </c>
      <c r="AP434" s="847"/>
      <c r="AQ434" s="846">
        <v>0</v>
      </c>
      <c r="AR434" s="828"/>
      <c r="AS434" s="849"/>
      <c r="AT434" s="923">
        <f>+Tabla1[[#This Row],[VENTA TOTAL $ (IVA INC) ]]-(SUM(Tabla1[[#This Row],[PENDIENTE DE ENTREGA]:[VALORES COBRADOS]]))</f>
        <v>0</v>
      </c>
      <c r="AU434" s="850" t="e">
        <f>VLOOKUP(Tabla1[[#This Row],[FECHA OC]],'TIPO DE CAMBIO'!A:B,2,TRUE)</f>
        <v>#N/A</v>
      </c>
      <c r="AV434" s="850" t="e">
        <f>+Tabla1[[#This Row],[SUBTOTAL]]/Tabla1[[#This Row],[TIPO DE CAMBIO]]</f>
        <v>#N/A</v>
      </c>
      <c r="AW434" s="851"/>
      <c r="AX434" s="850" t="str">
        <f>IFERROR(Tabla1[[#This Row],[VENTA TOTAL USD A PLAZO EN CLIENTE  (SIN IVA)]]*(1+Tabla1[[#This Row],[% IVA ]]),"")</f>
        <v/>
      </c>
      <c r="AY434" s="850" t="e">
        <f>+Tabla1[[#This Row],[VENTA TOTAL USD A PLAZO EN CLIENTE  (SIN IVA)]]/Tabla1[[#This Row],[KGS]]*1000</f>
        <v>#N/A</v>
      </c>
      <c r="AZ434" s="850" t="e">
        <f>-Tabla1[[#This Row],[COSTO FLETE $ POR BOLSA 5O KG (SIN IVA)]]*20/Tabla1[[#This Row],[TIPO DE CAMBIO]]</f>
        <v>#N/A</v>
      </c>
      <c r="BA434" s="850" t="e">
        <f>+Tabla1[[#This Row],[GASTOS FINANCIEROS $ BOLSA 50 KG (IVA INC)]]*20/Tabla1[[#This Row],[TIPO DE CAMBIO]]</f>
        <v>#VALUE!</v>
      </c>
      <c r="BB434" s="850" t="e">
        <f>+Tabla1[[#This Row],[PRECIO POR TN USD EN CLIENTE A PLAZO (SIN IVA)]]+Tabla1[[#This Row],[COSTO USD FLETE /TN (SIN IVA)]]+Tabla1[[#This Row],[COSTO FINANCIERO USD POR BOLSA 50KG (IVA INC)]]</f>
        <v>#N/A</v>
      </c>
      <c r="BC434" s="848"/>
      <c r="BD434" s="944"/>
    </row>
    <row r="435" spans="1:56" ht="15.75" customHeight="1">
      <c r="A435" s="912">
        <v>46235</v>
      </c>
      <c r="B435" s="853"/>
      <c r="C435" s="792"/>
      <c r="D435" s="829">
        <f>+Tabla1[[#This Row],[FECHA Entrega]]</f>
        <v>0</v>
      </c>
      <c r="E435" s="830"/>
      <c r="F435" s="831"/>
      <c r="G435" s="832"/>
      <c r="H435" s="852"/>
      <c r="I435" s="834"/>
      <c r="J435" s="835"/>
      <c r="K435" s="836">
        <f t="shared" si="138"/>
        <v>0</v>
      </c>
      <c r="L43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35" s="837">
        <f t="shared" si="140"/>
        <v>0</v>
      </c>
      <c r="N435" s="838">
        <f>+Tabla1[[#This Row],[VENTA TOTAL $ (IVA INC) ]]</f>
        <v>0</v>
      </c>
      <c r="O435" s="838">
        <v>0</v>
      </c>
      <c r="P435" s="838">
        <v>0</v>
      </c>
      <c r="Q435" s="839">
        <f>+Tabla1[[#This Row],[VENTA TOTAL $ (IVA INC) ]]-Tabla1[[#This Row],[PENDIENTE DE COBRO]]</f>
        <v>0</v>
      </c>
      <c r="R435" s="840">
        <f>+Tabla1[[#This Row],[FECHA FC]]+Tabla1[[#This Row],[PLAZO ENTREGA VALORES]]</f>
        <v>0</v>
      </c>
      <c r="S435" s="840">
        <f>+Tabla1[[#This Row],[FECHA FC]]+Tabla1[[#This Row],[PLAZO PAGO (DIAS)]]</f>
        <v>0</v>
      </c>
      <c r="T435" s="834">
        <f t="shared" ca="1" si="139"/>
        <v>-46181</v>
      </c>
      <c r="U435" s="831"/>
      <c r="V435" s="831"/>
      <c r="W435" s="841">
        <f>+Tabla1[[#This Row],[FECHA VTO VALORES]]+7</f>
        <v>7</v>
      </c>
      <c r="X435" s="830"/>
      <c r="Y435" s="859"/>
      <c r="Z435" s="860">
        <f>Tabla1[[#This Row],[KGS]]/50</f>
        <v>0</v>
      </c>
      <c r="AA43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35" s="844">
        <f>-Tabla1[[#This Row],[COSTO FLETE $ POR BOLSA 5O KG (SIN IVA)]]*1.21-Tabla1[[#This Row],[PRECIO $/ KG A PLAZO EN CLIENTE ( SIN IVA)]]*0.003*1.21*50</f>
        <v>0</v>
      </c>
      <c r="AC435" s="845" t="e">
        <f>SUM(Tabla1[[#This Row],[PRECIO $ BOLSA 50 KG (IVA INC) ]]+Tabla1[[#This Row],[COSTO FLETE $ BOLSA 50 KG (IVA INC)]])</f>
        <v>#VALUE!</v>
      </c>
      <c r="AD435" s="844" t="e">
        <f>-Tabla1[[#This Row],[PRECIO $ BOLSA 50 KG (IVA INC) ]]*(Tabla1[[#This Row],[TASA FINANCIACION MENSUAL]]/365)*Tabla1[[#This Row],[PLAZO ENTREGA VALORES]]</f>
        <v>#VALUE!</v>
      </c>
      <c r="AE435" s="845" t="e">
        <f>SUM(Tabla1[[#This Row],[PRECIO $ BOLSA50 KG  FOB TUCUMAN A PLAZO (IVA INC)]]+Tabla1[[#This Row],[GASTOS FINANCIEROS $ BOLSA 50 KG (IVA INC)]])</f>
        <v>#VALUE!</v>
      </c>
      <c r="AF435" s="828"/>
      <c r="AG435" s="828"/>
      <c r="AH435" s="828"/>
      <c r="AI435" s="828"/>
      <c r="AJ43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35" s="846" t="e">
        <f>SUM(Tabla1[[#This Row],[PRECIO $ BOLSA 50KG  FOB CDO TUC (IVA INC)]]-Tabla1[[#This Row],[PRECIO REF $ BOLSA 50 KG CACTU (IVA INC)]])</f>
        <v>#VALUE!</v>
      </c>
      <c r="AL435" s="847" t="str">
        <f>IFERROR(Tabla1[[#This Row],[PRECIO $ BOLSA 50KG  FOB CDO TUC (IVA INC)]]/Tabla1[[#This Row],[PRECIO REF $ BOLSA 50 KG CACTU (IVA INC)]]-1,"")</f>
        <v/>
      </c>
      <c r="AM435" s="846" t="e">
        <f>+Tabla1[[#This Row],[DIF $ PRECIO NETO INDUSTRIA vs Neto TUCUMAN (IVA INC)]]*Tabla1[[#This Row],[Q Bolsas Equivalentes 50kg]]</f>
        <v>#VALUE!</v>
      </c>
      <c r="AN435" s="846" t="e">
        <f>Tabla1[[#This Row],[PRECIO REF $ BOLSA 50 KG CACTU (IVA INC)]]*Tabla1[[#This Row],[Q Bolsas Equivalentes 50kg]]</f>
        <v>#VALUE!</v>
      </c>
      <c r="AO435" s="846" t="e">
        <f>+Tabla1[[#This Row],[PRECIO $ BOLSA 50KG  FOB CDO TUC (IVA INC)]]*Tabla1[[#This Row],[Q Bolsas Equivalentes 50kg]]</f>
        <v>#VALUE!</v>
      </c>
      <c r="AP435" s="847"/>
      <c r="AQ435" s="846">
        <v>0</v>
      </c>
      <c r="AR435" s="828"/>
      <c r="AS435" s="849"/>
      <c r="AT435" s="923">
        <f>+Tabla1[[#This Row],[VENTA TOTAL $ (IVA INC) ]]-(SUM(Tabla1[[#This Row],[PENDIENTE DE ENTREGA]:[VALORES COBRADOS]]))</f>
        <v>0</v>
      </c>
      <c r="AU435" s="850" t="e">
        <f>VLOOKUP(Tabla1[[#This Row],[FECHA OC]],'TIPO DE CAMBIO'!A:B,2,TRUE)</f>
        <v>#N/A</v>
      </c>
      <c r="AV435" s="850" t="e">
        <f>+Tabla1[[#This Row],[SUBTOTAL]]/Tabla1[[#This Row],[TIPO DE CAMBIO]]</f>
        <v>#N/A</v>
      </c>
      <c r="AW435" s="851"/>
      <c r="AX435" s="850" t="str">
        <f>IFERROR(Tabla1[[#This Row],[VENTA TOTAL USD A PLAZO EN CLIENTE  (SIN IVA)]]*(1+Tabla1[[#This Row],[% IVA ]]),"")</f>
        <v/>
      </c>
      <c r="AY435" s="850" t="e">
        <f>+Tabla1[[#This Row],[VENTA TOTAL USD A PLAZO EN CLIENTE  (SIN IVA)]]/Tabla1[[#This Row],[KGS]]*1000</f>
        <v>#N/A</v>
      </c>
      <c r="AZ435" s="850" t="e">
        <f>-Tabla1[[#This Row],[COSTO FLETE $ POR BOLSA 5O KG (SIN IVA)]]*20/Tabla1[[#This Row],[TIPO DE CAMBIO]]</f>
        <v>#N/A</v>
      </c>
      <c r="BA435" s="850" t="e">
        <f>+Tabla1[[#This Row],[GASTOS FINANCIEROS $ BOLSA 50 KG (IVA INC)]]*20/Tabla1[[#This Row],[TIPO DE CAMBIO]]</f>
        <v>#VALUE!</v>
      </c>
      <c r="BB435" s="850" t="e">
        <f>+Tabla1[[#This Row],[PRECIO POR TN USD EN CLIENTE A PLAZO (SIN IVA)]]+Tabla1[[#This Row],[COSTO USD FLETE /TN (SIN IVA)]]+Tabla1[[#This Row],[COSTO FINANCIERO USD POR BOLSA 50KG (IVA INC)]]</f>
        <v>#N/A</v>
      </c>
      <c r="BC435" s="848"/>
      <c r="BD435" s="944"/>
    </row>
    <row r="436" spans="1:56" ht="15.75" customHeight="1">
      <c r="A436" s="912">
        <v>46235</v>
      </c>
      <c r="B436" s="853"/>
      <c r="C436" s="792"/>
      <c r="D436" s="829">
        <f>+Tabla1[[#This Row],[FECHA Entrega]]</f>
        <v>0</v>
      </c>
      <c r="E436" s="830"/>
      <c r="F436" s="831"/>
      <c r="G436" s="832"/>
      <c r="H436" s="852"/>
      <c r="I436" s="834"/>
      <c r="J436" s="835"/>
      <c r="K436" s="836">
        <f t="shared" si="138"/>
        <v>0</v>
      </c>
      <c r="L43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36" s="837">
        <f t="shared" si="140"/>
        <v>0</v>
      </c>
      <c r="N436" s="838">
        <f>+Tabla1[[#This Row],[VENTA TOTAL $ (IVA INC) ]]</f>
        <v>0</v>
      </c>
      <c r="O436" s="838">
        <v>0</v>
      </c>
      <c r="P436" s="838">
        <v>0</v>
      </c>
      <c r="Q436" s="839">
        <f>+Tabla1[[#This Row],[VENTA TOTAL $ (IVA INC) ]]-Tabla1[[#This Row],[PENDIENTE DE COBRO]]</f>
        <v>0</v>
      </c>
      <c r="R436" s="840">
        <f>+Tabla1[[#This Row],[FECHA FC]]+Tabla1[[#This Row],[PLAZO ENTREGA VALORES]]</f>
        <v>0</v>
      </c>
      <c r="S436" s="840">
        <f>+Tabla1[[#This Row],[FECHA FC]]+Tabla1[[#This Row],[PLAZO PAGO (DIAS)]]</f>
        <v>0</v>
      </c>
      <c r="T436" s="834">
        <f t="shared" ca="1" si="139"/>
        <v>-46181</v>
      </c>
      <c r="U436" s="831"/>
      <c r="V436" s="831"/>
      <c r="W436" s="841">
        <f>+Tabla1[[#This Row],[FECHA VTO VALORES]]+7</f>
        <v>7</v>
      </c>
      <c r="X436" s="830"/>
      <c r="Y436" s="859"/>
      <c r="Z436" s="860">
        <f>Tabla1[[#This Row],[KGS]]/50</f>
        <v>0</v>
      </c>
      <c r="AA43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36" s="844">
        <f>-Tabla1[[#This Row],[COSTO FLETE $ POR BOLSA 5O KG (SIN IVA)]]*1.21-Tabla1[[#This Row],[PRECIO $/ KG A PLAZO EN CLIENTE ( SIN IVA)]]*0.003*1.21*50</f>
        <v>0</v>
      </c>
      <c r="AC436" s="845" t="e">
        <f>SUM(Tabla1[[#This Row],[PRECIO $ BOLSA 50 KG (IVA INC) ]]+Tabla1[[#This Row],[COSTO FLETE $ BOLSA 50 KG (IVA INC)]])</f>
        <v>#VALUE!</v>
      </c>
      <c r="AD436" s="844" t="e">
        <f>-Tabla1[[#This Row],[PRECIO $ BOLSA 50 KG (IVA INC) ]]*(Tabla1[[#This Row],[TASA FINANCIACION MENSUAL]]/365)*Tabla1[[#This Row],[PLAZO ENTREGA VALORES]]</f>
        <v>#VALUE!</v>
      </c>
      <c r="AE436" s="845" t="e">
        <f>SUM(Tabla1[[#This Row],[PRECIO $ BOLSA50 KG  FOB TUCUMAN A PLAZO (IVA INC)]]+Tabla1[[#This Row],[GASTOS FINANCIEROS $ BOLSA 50 KG (IVA INC)]])</f>
        <v>#VALUE!</v>
      </c>
      <c r="AF436" s="828"/>
      <c r="AG436" s="828"/>
      <c r="AH436" s="828"/>
      <c r="AI436" s="828"/>
      <c r="AJ43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36" s="846" t="e">
        <f>SUM(Tabla1[[#This Row],[PRECIO $ BOLSA 50KG  FOB CDO TUC (IVA INC)]]-Tabla1[[#This Row],[PRECIO REF $ BOLSA 50 KG CACTU (IVA INC)]])</f>
        <v>#VALUE!</v>
      </c>
      <c r="AL436" s="847" t="str">
        <f>IFERROR(Tabla1[[#This Row],[PRECIO $ BOLSA 50KG  FOB CDO TUC (IVA INC)]]/Tabla1[[#This Row],[PRECIO REF $ BOLSA 50 KG CACTU (IVA INC)]]-1,"")</f>
        <v/>
      </c>
      <c r="AM436" s="846" t="e">
        <f>+Tabla1[[#This Row],[DIF $ PRECIO NETO INDUSTRIA vs Neto TUCUMAN (IVA INC)]]*Tabla1[[#This Row],[Q Bolsas Equivalentes 50kg]]</f>
        <v>#VALUE!</v>
      </c>
      <c r="AN436" s="846" t="e">
        <f>Tabla1[[#This Row],[PRECIO REF $ BOLSA 50 KG CACTU (IVA INC)]]*Tabla1[[#This Row],[Q Bolsas Equivalentes 50kg]]</f>
        <v>#VALUE!</v>
      </c>
      <c r="AO436" s="846" t="e">
        <f>+Tabla1[[#This Row],[PRECIO $ BOLSA 50KG  FOB CDO TUC (IVA INC)]]*Tabla1[[#This Row],[Q Bolsas Equivalentes 50kg]]</f>
        <v>#VALUE!</v>
      </c>
      <c r="AP436" s="847"/>
      <c r="AQ436" s="846">
        <v>0</v>
      </c>
      <c r="AR436" s="828"/>
      <c r="AS436" s="849"/>
      <c r="AT436" s="923">
        <f>+Tabla1[[#This Row],[VENTA TOTAL $ (IVA INC) ]]-(SUM(Tabla1[[#This Row],[PENDIENTE DE ENTREGA]:[VALORES COBRADOS]]))</f>
        <v>0</v>
      </c>
      <c r="AU436" s="850" t="e">
        <f>VLOOKUP(Tabla1[[#This Row],[FECHA OC]],'TIPO DE CAMBIO'!A:B,2,TRUE)</f>
        <v>#N/A</v>
      </c>
      <c r="AV436" s="850" t="e">
        <f>+Tabla1[[#This Row],[SUBTOTAL]]/Tabla1[[#This Row],[TIPO DE CAMBIO]]</f>
        <v>#N/A</v>
      </c>
      <c r="AW436" s="851"/>
      <c r="AX436" s="850" t="str">
        <f>IFERROR(Tabla1[[#This Row],[VENTA TOTAL USD A PLAZO EN CLIENTE  (SIN IVA)]]*(1+Tabla1[[#This Row],[% IVA ]]),"")</f>
        <v/>
      </c>
      <c r="AY436" s="850" t="e">
        <f>+Tabla1[[#This Row],[VENTA TOTAL USD A PLAZO EN CLIENTE  (SIN IVA)]]/Tabla1[[#This Row],[KGS]]*1000</f>
        <v>#N/A</v>
      </c>
      <c r="AZ436" s="850" t="e">
        <f>-Tabla1[[#This Row],[COSTO FLETE $ POR BOLSA 5O KG (SIN IVA)]]*20/Tabla1[[#This Row],[TIPO DE CAMBIO]]</f>
        <v>#N/A</v>
      </c>
      <c r="BA436" s="850" t="e">
        <f>+Tabla1[[#This Row],[GASTOS FINANCIEROS $ BOLSA 50 KG (IVA INC)]]*20/Tabla1[[#This Row],[TIPO DE CAMBIO]]</f>
        <v>#VALUE!</v>
      </c>
      <c r="BB436" s="850" t="e">
        <f>+Tabla1[[#This Row],[PRECIO POR TN USD EN CLIENTE A PLAZO (SIN IVA)]]+Tabla1[[#This Row],[COSTO USD FLETE /TN (SIN IVA)]]+Tabla1[[#This Row],[COSTO FINANCIERO USD POR BOLSA 50KG (IVA INC)]]</f>
        <v>#N/A</v>
      </c>
      <c r="BC436" s="848"/>
      <c r="BD436" s="944"/>
    </row>
    <row r="437" spans="1:56" ht="15.75" customHeight="1">
      <c r="A437" s="912">
        <v>46235</v>
      </c>
      <c r="B437" s="853"/>
      <c r="C437" s="792"/>
      <c r="D437" s="829">
        <f>+Tabla1[[#This Row],[FECHA Entrega]]</f>
        <v>0</v>
      </c>
      <c r="E437" s="830"/>
      <c r="F437" s="831"/>
      <c r="G437" s="832"/>
      <c r="H437" s="852"/>
      <c r="I437" s="834"/>
      <c r="J437" s="835"/>
      <c r="K437" s="836">
        <f t="shared" si="138"/>
        <v>0</v>
      </c>
      <c r="L43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37" s="837">
        <f t="shared" si="140"/>
        <v>0</v>
      </c>
      <c r="N437" s="838">
        <f>+Tabla1[[#This Row],[VENTA TOTAL $ (IVA INC) ]]</f>
        <v>0</v>
      </c>
      <c r="O437" s="838">
        <v>0</v>
      </c>
      <c r="P437" s="838">
        <v>0</v>
      </c>
      <c r="Q437" s="839">
        <f>+Tabla1[[#This Row],[VENTA TOTAL $ (IVA INC) ]]-Tabla1[[#This Row],[PENDIENTE DE COBRO]]</f>
        <v>0</v>
      </c>
      <c r="R437" s="840">
        <f>+Tabla1[[#This Row],[FECHA FC]]+Tabla1[[#This Row],[PLAZO ENTREGA VALORES]]</f>
        <v>0</v>
      </c>
      <c r="S437" s="840">
        <f>+Tabla1[[#This Row],[FECHA FC]]+Tabla1[[#This Row],[PLAZO PAGO (DIAS)]]</f>
        <v>0</v>
      </c>
      <c r="T437" s="834">
        <f t="shared" ca="1" si="139"/>
        <v>-46181</v>
      </c>
      <c r="U437" s="831"/>
      <c r="V437" s="831"/>
      <c r="W437" s="841">
        <f>+Tabla1[[#This Row],[FECHA VTO VALORES]]+7</f>
        <v>7</v>
      </c>
      <c r="X437" s="830"/>
      <c r="Y437" s="859"/>
      <c r="Z437" s="860">
        <f>Tabla1[[#This Row],[KGS]]/50</f>
        <v>0</v>
      </c>
      <c r="AA43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37" s="844">
        <f>-Tabla1[[#This Row],[COSTO FLETE $ POR BOLSA 5O KG (SIN IVA)]]*1.21-Tabla1[[#This Row],[PRECIO $/ KG A PLAZO EN CLIENTE ( SIN IVA)]]*0.003*1.21*50</f>
        <v>0</v>
      </c>
      <c r="AC437" s="845" t="e">
        <f>SUM(Tabla1[[#This Row],[PRECIO $ BOLSA 50 KG (IVA INC) ]]+Tabla1[[#This Row],[COSTO FLETE $ BOLSA 50 KG (IVA INC)]])</f>
        <v>#VALUE!</v>
      </c>
      <c r="AD437" s="844" t="e">
        <f>-Tabla1[[#This Row],[PRECIO $ BOLSA 50 KG (IVA INC) ]]*(Tabla1[[#This Row],[TASA FINANCIACION MENSUAL]]/365)*Tabla1[[#This Row],[PLAZO ENTREGA VALORES]]</f>
        <v>#VALUE!</v>
      </c>
      <c r="AE437" s="845" t="e">
        <f>SUM(Tabla1[[#This Row],[PRECIO $ BOLSA50 KG  FOB TUCUMAN A PLAZO (IVA INC)]]+Tabla1[[#This Row],[GASTOS FINANCIEROS $ BOLSA 50 KG (IVA INC)]])</f>
        <v>#VALUE!</v>
      </c>
      <c r="AF437" s="828"/>
      <c r="AG437" s="828"/>
      <c r="AH437" s="828"/>
      <c r="AI437" s="828"/>
      <c r="AJ43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37" s="846" t="e">
        <f>SUM(Tabla1[[#This Row],[PRECIO $ BOLSA 50KG  FOB CDO TUC (IVA INC)]]-Tabla1[[#This Row],[PRECIO REF $ BOLSA 50 KG CACTU (IVA INC)]])</f>
        <v>#VALUE!</v>
      </c>
      <c r="AL437" s="847" t="str">
        <f>IFERROR(Tabla1[[#This Row],[PRECIO $ BOLSA 50KG  FOB CDO TUC (IVA INC)]]/Tabla1[[#This Row],[PRECIO REF $ BOLSA 50 KG CACTU (IVA INC)]]-1,"")</f>
        <v/>
      </c>
      <c r="AM437" s="846" t="e">
        <f>+Tabla1[[#This Row],[DIF $ PRECIO NETO INDUSTRIA vs Neto TUCUMAN (IVA INC)]]*Tabla1[[#This Row],[Q Bolsas Equivalentes 50kg]]</f>
        <v>#VALUE!</v>
      </c>
      <c r="AN437" s="846" t="e">
        <f>Tabla1[[#This Row],[PRECIO REF $ BOLSA 50 KG CACTU (IVA INC)]]*Tabla1[[#This Row],[Q Bolsas Equivalentes 50kg]]</f>
        <v>#VALUE!</v>
      </c>
      <c r="AO437" s="846" t="e">
        <f>+Tabla1[[#This Row],[PRECIO $ BOLSA 50KG  FOB CDO TUC (IVA INC)]]*Tabla1[[#This Row],[Q Bolsas Equivalentes 50kg]]</f>
        <v>#VALUE!</v>
      </c>
      <c r="AP437" s="847"/>
      <c r="AQ437" s="846">
        <v>0</v>
      </c>
      <c r="AR437" s="828"/>
      <c r="AS437" s="849"/>
      <c r="AT437" s="923">
        <f>+Tabla1[[#This Row],[VENTA TOTAL $ (IVA INC) ]]-(SUM(Tabla1[[#This Row],[PENDIENTE DE ENTREGA]:[VALORES COBRADOS]]))</f>
        <v>0</v>
      </c>
      <c r="AU437" s="850" t="e">
        <f>VLOOKUP(Tabla1[[#This Row],[FECHA OC]],'TIPO DE CAMBIO'!A:B,2,TRUE)</f>
        <v>#N/A</v>
      </c>
      <c r="AV437" s="850" t="e">
        <f>+Tabla1[[#This Row],[SUBTOTAL]]/Tabla1[[#This Row],[TIPO DE CAMBIO]]</f>
        <v>#N/A</v>
      </c>
      <c r="AW437" s="851"/>
      <c r="AX437" s="850" t="str">
        <f>IFERROR(Tabla1[[#This Row],[VENTA TOTAL USD A PLAZO EN CLIENTE  (SIN IVA)]]*(1+Tabla1[[#This Row],[% IVA ]]),"")</f>
        <v/>
      </c>
      <c r="AY437" s="850" t="e">
        <f>+Tabla1[[#This Row],[VENTA TOTAL USD A PLAZO EN CLIENTE  (SIN IVA)]]/Tabla1[[#This Row],[KGS]]*1000</f>
        <v>#N/A</v>
      </c>
      <c r="AZ437" s="850" t="e">
        <f>-Tabla1[[#This Row],[COSTO FLETE $ POR BOLSA 5O KG (SIN IVA)]]*20/Tabla1[[#This Row],[TIPO DE CAMBIO]]</f>
        <v>#N/A</v>
      </c>
      <c r="BA437" s="850" t="e">
        <f>+Tabla1[[#This Row],[GASTOS FINANCIEROS $ BOLSA 50 KG (IVA INC)]]*20/Tabla1[[#This Row],[TIPO DE CAMBIO]]</f>
        <v>#VALUE!</v>
      </c>
      <c r="BB437" s="850" t="e">
        <f>+Tabla1[[#This Row],[PRECIO POR TN USD EN CLIENTE A PLAZO (SIN IVA)]]+Tabla1[[#This Row],[COSTO USD FLETE /TN (SIN IVA)]]+Tabla1[[#This Row],[COSTO FINANCIERO USD POR BOLSA 50KG (IVA INC)]]</f>
        <v>#N/A</v>
      </c>
      <c r="BC437" s="848"/>
      <c r="BD437" s="944"/>
    </row>
    <row r="438" spans="1:56" ht="15.75" customHeight="1">
      <c r="A438" s="912">
        <v>46235</v>
      </c>
      <c r="B438" s="853"/>
      <c r="C438" s="792"/>
      <c r="D438" s="829">
        <f>+Tabla1[[#This Row],[FECHA Entrega]]</f>
        <v>0</v>
      </c>
      <c r="E438" s="830"/>
      <c r="F438" s="831"/>
      <c r="G438" s="832"/>
      <c r="H438" s="852"/>
      <c r="I438" s="834"/>
      <c r="J438" s="835"/>
      <c r="K438" s="836">
        <f t="shared" si="138"/>
        <v>0</v>
      </c>
      <c r="L43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38" s="837">
        <f t="shared" si="140"/>
        <v>0</v>
      </c>
      <c r="N438" s="838">
        <f>+Tabla1[[#This Row],[VENTA TOTAL $ (IVA INC) ]]</f>
        <v>0</v>
      </c>
      <c r="O438" s="838">
        <v>0</v>
      </c>
      <c r="P438" s="838">
        <v>0</v>
      </c>
      <c r="Q438" s="839">
        <f>+Tabla1[[#This Row],[VENTA TOTAL $ (IVA INC) ]]-Tabla1[[#This Row],[PENDIENTE DE COBRO]]</f>
        <v>0</v>
      </c>
      <c r="R438" s="840">
        <f>+Tabla1[[#This Row],[FECHA FC]]+Tabla1[[#This Row],[PLAZO ENTREGA VALORES]]</f>
        <v>0</v>
      </c>
      <c r="S438" s="840">
        <f>+Tabla1[[#This Row],[FECHA FC]]+Tabla1[[#This Row],[PLAZO PAGO (DIAS)]]</f>
        <v>0</v>
      </c>
      <c r="T438" s="834">
        <f t="shared" ca="1" si="139"/>
        <v>-46181</v>
      </c>
      <c r="U438" s="831"/>
      <c r="V438" s="831"/>
      <c r="W438" s="841">
        <f>+Tabla1[[#This Row],[FECHA VTO VALORES]]+7</f>
        <v>7</v>
      </c>
      <c r="X438" s="830"/>
      <c r="Y438" s="859"/>
      <c r="Z438" s="860">
        <f>Tabla1[[#This Row],[KGS]]/50</f>
        <v>0</v>
      </c>
      <c r="AA43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38" s="844">
        <f>-Tabla1[[#This Row],[COSTO FLETE $ POR BOLSA 5O KG (SIN IVA)]]*1.21-Tabla1[[#This Row],[PRECIO $/ KG A PLAZO EN CLIENTE ( SIN IVA)]]*0.003*1.21*50</f>
        <v>0</v>
      </c>
      <c r="AC438" s="845" t="e">
        <f>SUM(Tabla1[[#This Row],[PRECIO $ BOLSA 50 KG (IVA INC) ]]+Tabla1[[#This Row],[COSTO FLETE $ BOLSA 50 KG (IVA INC)]])</f>
        <v>#VALUE!</v>
      </c>
      <c r="AD438" s="844" t="e">
        <f>-Tabla1[[#This Row],[PRECIO $ BOLSA 50 KG (IVA INC) ]]*(Tabla1[[#This Row],[TASA FINANCIACION MENSUAL]]/365)*Tabla1[[#This Row],[PLAZO ENTREGA VALORES]]</f>
        <v>#VALUE!</v>
      </c>
      <c r="AE438" s="845" t="e">
        <f>SUM(Tabla1[[#This Row],[PRECIO $ BOLSA50 KG  FOB TUCUMAN A PLAZO (IVA INC)]]+Tabla1[[#This Row],[GASTOS FINANCIEROS $ BOLSA 50 KG (IVA INC)]])</f>
        <v>#VALUE!</v>
      </c>
      <c r="AF438" s="828"/>
      <c r="AG438" s="828"/>
      <c r="AH438" s="828"/>
      <c r="AI438" s="828"/>
      <c r="AJ43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38" s="846" t="e">
        <f>SUM(Tabla1[[#This Row],[PRECIO $ BOLSA 50KG  FOB CDO TUC (IVA INC)]]-Tabla1[[#This Row],[PRECIO REF $ BOLSA 50 KG CACTU (IVA INC)]])</f>
        <v>#VALUE!</v>
      </c>
      <c r="AL438" s="847" t="str">
        <f>IFERROR(Tabla1[[#This Row],[PRECIO $ BOLSA 50KG  FOB CDO TUC (IVA INC)]]/Tabla1[[#This Row],[PRECIO REF $ BOLSA 50 KG CACTU (IVA INC)]]-1,"")</f>
        <v/>
      </c>
      <c r="AM438" s="846" t="e">
        <f>+Tabla1[[#This Row],[DIF $ PRECIO NETO INDUSTRIA vs Neto TUCUMAN (IVA INC)]]*Tabla1[[#This Row],[Q Bolsas Equivalentes 50kg]]</f>
        <v>#VALUE!</v>
      </c>
      <c r="AN438" s="846" t="e">
        <f>Tabla1[[#This Row],[PRECIO REF $ BOLSA 50 KG CACTU (IVA INC)]]*Tabla1[[#This Row],[Q Bolsas Equivalentes 50kg]]</f>
        <v>#VALUE!</v>
      </c>
      <c r="AO438" s="846" t="e">
        <f>+Tabla1[[#This Row],[PRECIO $ BOLSA 50KG  FOB CDO TUC (IVA INC)]]*Tabla1[[#This Row],[Q Bolsas Equivalentes 50kg]]</f>
        <v>#VALUE!</v>
      </c>
      <c r="AP438" s="847"/>
      <c r="AQ438" s="846">
        <v>0</v>
      </c>
      <c r="AR438" s="828"/>
      <c r="AS438" s="849"/>
      <c r="AT438" s="923">
        <f>+Tabla1[[#This Row],[VENTA TOTAL $ (IVA INC) ]]-(SUM(Tabla1[[#This Row],[PENDIENTE DE ENTREGA]:[VALORES COBRADOS]]))</f>
        <v>0</v>
      </c>
      <c r="AU438" s="850" t="e">
        <f>VLOOKUP(Tabla1[[#This Row],[FECHA OC]],'TIPO DE CAMBIO'!A:B,2,TRUE)</f>
        <v>#N/A</v>
      </c>
      <c r="AV438" s="850" t="e">
        <f>+Tabla1[[#This Row],[SUBTOTAL]]/Tabla1[[#This Row],[TIPO DE CAMBIO]]</f>
        <v>#N/A</v>
      </c>
      <c r="AW438" s="851"/>
      <c r="AX438" s="850" t="str">
        <f>IFERROR(Tabla1[[#This Row],[VENTA TOTAL USD A PLAZO EN CLIENTE  (SIN IVA)]]*(1+Tabla1[[#This Row],[% IVA ]]),"")</f>
        <v/>
      </c>
      <c r="AY438" s="850" t="e">
        <f>+Tabla1[[#This Row],[VENTA TOTAL USD A PLAZO EN CLIENTE  (SIN IVA)]]/Tabla1[[#This Row],[KGS]]*1000</f>
        <v>#N/A</v>
      </c>
      <c r="AZ438" s="850" t="e">
        <f>-Tabla1[[#This Row],[COSTO FLETE $ POR BOLSA 5O KG (SIN IVA)]]*20/Tabla1[[#This Row],[TIPO DE CAMBIO]]</f>
        <v>#N/A</v>
      </c>
      <c r="BA438" s="850" t="e">
        <f>+Tabla1[[#This Row],[GASTOS FINANCIEROS $ BOLSA 50 KG (IVA INC)]]*20/Tabla1[[#This Row],[TIPO DE CAMBIO]]</f>
        <v>#VALUE!</v>
      </c>
      <c r="BB438" s="850" t="e">
        <f>+Tabla1[[#This Row],[PRECIO POR TN USD EN CLIENTE A PLAZO (SIN IVA)]]+Tabla1[[#This Row],[COSTO USD FLETE /TN (SIN IVA)]]+Tabla1[[#This Row],[COSTO FINANCIERO USD POR BOLSA 50KG (IVA INC)]]</f>
        <v>#N/A</v>
      </c>
      <c r="BC438" s="828"/>
      <c r="BD438" s="944"/>
    </row>
    <row r="439" spans="1:56" ht="15.75" customHeight="1">
      <c r="A439" s="912">
        <v>46235</v>
      </c>
      <c r="B439" s="853"/>
      <c r="C439" s="792"/>
      <c r="D439" s="829">
        <f>+Tabla1[[#This Row],[FECHA Entrega]]</f>
        <v>0</v>
      </c>
      <c r="E439" s="830"/>
      <c r="F439" s="831"/>
      <c r="G439" s="832"/>
      <c r="H439" s="852"/>
      <c r="I439" s="834"/>
      <c r="J439" s="835"/>
      <c r="K439" s="836">
        <f t="shared" si="138"/>
        <v>0</v>
      </c>
      <c r="L43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39" s="837">
        <f t="shared" si="140"/>
        <v>0</v>
      </c>
      <c r="N439" s="838">
        <f>+Tabla1[[#This Row],[VENTA TOTAL $ (IVA INC) ]]</f>
        <v>0</v>
      </c>
      <c r="O439" s="838">
        <v>0</v>
      </c>
      <c r="P439" s="838">
        <v>0</v>
      </c>
      <c r="Q439" s="839">
        <f>+Tabla1[[#This Row],[VENTA TOTAL $ (IVA INC) ]]-Tabla1[[#This Row],[PENDIENTE DE COBRO]]</f>
        <v>0</v>
      </c>
      <c r="R439" s="840">
        <f>+Tabla1[[#This Row],[FECHA FC]]+Tabla1[[#This Row],[PLAZO ENTREGA VALORES]]</f>
        <v>0</v>
      </c>
      <c r="S439" s="840">
        <f>+Tabla1[[#This Row],[FECHA FC]]+Tabla1[[#This Row],[PLAZO PAGO (DIAS)]]</f>
        <v>0</v>
      </c>
      <c r="T439" s="834">
        <f t="shared" ca="1" si="139"/>
        <v>-46181</v>
      </c>
      <c r="U439" s="831"/>
      <c r="V439" s="831"/>
      <c r="W439" s="841">
        <f>+Tabla1[[#This Row],[FECHA VTO VALORES]]+7</f>
        <v>7</v>
      </c>
      <c r="X439" s="830"/>
      <c r="Y439" s="859"/>
      <c r="Z439" s="860">
        <f>Tabla1[[#This Row],[KGS]]/50</f>
        <v>0</v>
      </c>
      <c r="AA43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39" s="844">
        <f>-Tabla1[[#This Row],[COSTO FLETE $ POR BOLSA 5O KG (SIN IVA)]]*1.21-Tabla1[[#This Row],[PRECIO $/ KG A PLAZO EN CLIENTE ( SIN IVA)]]*0.003*1.21*50</f>
        <v>0</v>
      </c>
      <c r="AC439" s="845" t="e">
        <f>SUM(Tabla1[[#This Row],[PRECIO $ BOLSA 50 KG (IVA INC) ]]+Tabla1[[#This Row],[COSTO FLETE $ BOLSA 50 KG (IVA INC)]])</f>
        <v>#VALUE!</v>
      </c>
      <c r="AD439" s="844" t="e">
        <f>-Tabla1[[#This Row],[PRECIO $ BOLSA 50 KG (IVA INC) ]]*(Tabla1[[#This Row],[TASA FINANCIACION MENSUAL]]/365)*Tabla1[[#This Row],[PLAZO ENTREGA VALORES]]</f>
        <v>#VALUE!</v>
      </c>
      <c r="AE439" s="845" t="e">
        <f>SUM(Tabla1[[#This Row],[PRECIO $ BOLSA50 KG  FOB TUCUMAN A PLAZO (IVA INC)]]+Tabla1[[#This Row],[GASTOS FINANCIEROS $ BOLSA 50 KG (IVA INC)]])</f>
        <v>#VALUE!</v>
      </c>
      <c r="AF439" s="828"/>
      <c r="AG439" s="828"/>
      <c r="AH439" s="828"/>
      <c r="AI439" s="828"/>
      <c r="AJ43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39" s="846" t="e">
        <f>SUM(Tabla1[[#This Row],[PRECIO $ BOLSA 50KG  FOB CDO TUC (IVA INC)]]-Tabla1[[#This Row],[PRECIO REF $ BOLSA 50 KG CACTU (IVA INC)]])</f>
        <v>#VALUE!</v>
      </c>
      <c r="AL439" s="847" t="str">
        <f>IFERROR(Tabla1[[#This Row],[PRECIO $ BOLSA 50KG  FOB CDO TUC (IVA INC)]]/Tabla1[[#This Row],[PRECIO REF $ BOLSA 50 KG CACTU (IVA INC)]]-1,"")</f>
        <v/>
      </c>
      <c r="AM439" s="846" t="e">
        <f>+Tabla1[[#This Row],[DIF $ PRECIO NETO INDUSTRIA vs Neto TUCUMAN (IVA INC)]]*Tabla1[[#This Row],[Q Bolsas Equivalentes 50kg]]</f>
        <v>#VALUE!</v>
      </c>
      <c r="AN439" s="846" t="e">
        <f>Tabla1[[#This Row],[PRECIO REF $ BOLSA 50 KG CACTU (IVA INC)]]*Tabla1[[#This Row],[Q Bolsas Equivalentes 50kg]]</f>
        <v>#VALUE!</v>
      </c>
      <c r="AO439" s="846" t="e">
        <f>+Tabla1[[#This Row],[PRECIO $ BOLSA 50KG  FOB CDO TUC (IVA INC)]]*Tabla1[[#This Row],[Q Bolsas Equivalentes 50kg]]</f>
        <v>#VALUE!</v>
      </c>
      <c r="AP439" s="847"/>
      <c r="AQ439" s="846">
        <v>0</v>
      </c>
      <c r="AR439" s="828"/>
      <c r="AS439" s="849"/>
      <c r="AT439" s="923">
        <f>+Tabla1[[#This Row],[VENTA TOTAL $ (IVA INC) ]]-(SUM(Tabla1[[#This Row],[PENDIENTE DE ENTREGA]:[VALORES COBRADOS]]))</f>
        <v>0</v>
      </c>
      <c r="AU439" s="850" t="e">
        <f>VLOOKUP(Tabla1[[#This Row],[FECHA OC]],'TIPO DE CAMBIO'!A:B,2,TRUE)</f>
        <v>#N/A</v>
      </c>
      <c r="AV439" s="850" t="e">
        <f>+Tabla1[[#This Row],[SUBTOTAL]]/Tabla1[[#This Row],[TIPO DE CAMBIO]]</f>
        <v>#N/A</v>
      </c>
      <c r="AW439" s="851"/>
      <c r="AX439" s="850" t="str">
        <f>IFERROR(Tabla1[[#This Row],[VENTA TOTAL USD A PLAZO EN CLIENTE  (SIN IVA)]]*(1+Tabla1[[#This Row],[% IVA ]]),"")</f>
        <v/>
      </c>
      <c r="AY439" s="850" t="e">
        <f>+Tabla1[[#This Row],[VENTA TOTAL USD A PLAZO EN CLIENTE  (SIN IVA)]]/Tabla1[[#This Row],[KGS]]*1000</f>
        <v>#N/A</v>
      </c>
      <c r="AZ439" s="850" t="e">
        <f>-Tabla1[[#This Row],[COSTO FLETE $ POR BOLSA 5O KG (SIN IVA)]]*20/Tabla1[[#This Row],[TIPO DE CAMBIO]]</f>
        <v>#N/A</v>
      </c>
      <c r="BA439" s="850" t="e">
        <f>+Tabla1[[#This Row],[GASTOS FINANCIEROS $ BOLSA 50 KG (IVA INC)]]*20/Tabla1[[#This Row],[TIPO DE CAMBIO]]</f>
        <v>#VALUE!</v>
      </c>
      <c r="BB439" s="850" t="e">
        <f>+Tabla1[[#This Row],[PRECIO POR TN USD EN CLIENTE A PLAZO (SIN IVA)]]+Tabla1[[#This Row],[COSTO USD FLETE /TN (SIN IVA)]]+Tabla1[[#This Row],[COSTO FINANCIERO USD POR BOLSA 50KG (IVA INC)]]</f>
        <v>#N/A</v>
      </c>
      <c r="BC439" s="828"/>
      <c r="BD439" s="944"/>
    </row>
    <row r="440" spans="1:56" ht="15.75" customHeight="1">
      <c r="A440" s="912">
        <v>46235</v>
      </c>
      <c r="B440" s="853"/>
      <c r="C440" s="792"/>
      <c r="D440" s="829">
        <f>+Tabla1[[#This Row],[FECHA Entrega]]</f>
        <v>0</v>
      </c>
      <c r="E440" s="830"/>
      <c r="F440" s="831"/>
      <c r="G440" s="832"/>
      <c r="H440" s="852"/>
      <c r="I440" s="834"/>
      <c r="J440" s="835"/>
      <c r="K440" s="836">
        <f t="shared" si="138"/>
        <v>0</v>
      </c>
      <c r="L44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40" s="837">
        <f t="shared" si="140"/>
        <v>0</v>
      </c>
      <c r="N440" s="838">
        <f>+Tabla1[[#This Row],[VENTA TOTAL $ (IVA INC) ]]</f>
        <v>0</v>
      </c>
      <c r="O440" s="838">
        <v>0</v>
      </c>
      <c r="P440" s="838">
        <v>0</v>
      </c>
      <c r="Q440" s="839">
        <f>+Tabla1[[#This Row],[VENTA TOTAL $ (IVA INC) ]]-Tabla1[[#This Row],[PENDIENTE DE COBRO]]</f>
        <v>0</v>
      </c>
      <c r="R440" s="840">
        <f>+Tabla1[[#This Row],[FECHA FC]]+Tabla1[[#This Row],[PLAZO ENTREGA VALORES]]</f>
        <v>0</v>
      </c>
      <c r="S440" s="840">
        <f>+Tabla1[[#This Row],[FECHA FC]]+Tabla1[[#This Row],[PLAZO PAGO (DIAS)]]</f>
        <v>0</v>
      </c>
      <c r="T440" s="834">
        <f t="shared" ca="1" si="139"/>
        <v>-46181</v>
      </c>
      <c r="U440" s="831"/>
      <c r="V440" s="831"/>
      <c r="W440" s="841">
        <f>+Tabla1[[#This Row],[FECHA VTO VALORES]]+7</f>
        <v>7</v>
      </c>
      <c r="X440" s="830"/>
      <c r="Y440" s="859"/>
      <c r="Z440" s="860">
        <f>Tabla1[[#This Row],[KGS]]/50</f>
        <v>0</v>
      </c>
      <c r="AA44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40" s="844">
        <f>-Tabla1[[#This Row],[COSTO FLETE $ POR BOLSA 5O KG (SIN IVA)]]*1.21-Tabla1[[#This Row],[PRECIO $/ KG A PLAZO EN CLIENTE ( SIN IVA)]]*0.003*1.21*50</f>
        <v>0</v>
      </c>
      <c r="AC440" s="845" t="e">
        <f>SUM(Tabla1[[#This Row],[PRECIO $ BOLSA 50 KG (IVA INC) ]]+Tabla1[[#This Row],[COSTO FLETE $ BOLSA 50 KG (IVA INC)]])</f>
        <v>#VALUE!</v>
      </c>
      <c r="AD440" s="844" t="e">
        <f>-Tabla1[[#This Row],[PRECIO $ BOLSA 50 KG (IVA INC) ]]*(Tabla1[[#This Row],[TASA FINANCIACION MENSUAL]]/365)*Tabla1[[#This Row],[PLAZO ENTREGA VALORES]]</f>
        <v>#VALUE!</v>
      </c>
      <c r="AE440" s="845" t="e">
        <f>SUM(Tabla1[[#This Row],[PRECIO $ BOLSA50 KG  FOB TUCUMAN A PLAZO (IVA INC)]]+Tabla1[[#This Row],[GASTOS FINANCIEROS $ BOLSA 50 KG (IVA INC)]])</f>
        <v>#VALUE!</v>
      </c>
      <c r="AF440" s="828"/>
      <c r="AG440" s="828"/>
      <c r="AH440" s="828"/>
      <c r="AI440" s="828"/>
      <c r="AJ44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40" s="846" t="e">
        <f>SUM(Tabla1[[#This Row],[PRECIO $ BOLSA 50KG  FOB CDO TUC (IVA INC)]]-Tabla1[[#This Row],[PRECIO REF $ BOLSA 50 KG CACTU (IVA INC)]])</f>
        <v>#VALUE!</v>
      </c>
      <c r="AL440" s="847" t="str">
        <f>IFERROR(Tabla1[[#This Row],[PRECIO $ BOLSA 50KG  FOB CDO TUC (IVA INC)]]/Tabla1[[#This Row],[PRECIO REF $ BOLSA 50 KG CACTU (IVA INC)]]-1,"")</f>
        <v/>
      </c>
      <c r="AM440" s="846" t="e">
        <f>+Tabla1[[#This Row],[DIF $ PRECIO NETO INDUSTRIA vs Neto TUCUMAN (IVA INC)]]*Tabla1[[#This Row],[Q Bolsas Equivalentes 50kg]]</f>
        <v>#VALUE!</v>
      </c>
      <c r="AN440" s="846" t="e">
        <f>Tabla1[[#This Row],[PRECIO REF $ BOLSA 50 KG CACTU (IVA INC)]]*Tabla1[[#This Row],[Q Bolsas Equivalentes 50kg]]</f>
        <v>#VALUE!</v>
      </c>
      <c r="AO440" s="846" t="e">
        <f>+Tabla1[[#This Row],[PRECIO $ BOLSA 50KG  FOB CDO TUC (IVA INC)]]*Tabla1[[#This Row],[Q Bolsas Equivalentes 50kg]]</f>
        <v>#VALUE!</v>
      </c>
      <c r="AP440" s="847"/>
      <c r="AQ440" s="846">
        <v>0</v>
      </c>
      <c r="AR440" s="828"/>
      <c r="AS440" s="849"/>
      <c r="AT440" s="923">
        <f>+Tabla1[[#This Row],[VENTA TOTAL $ (IVA INC) ]]-(SUM(Tabla1[[#This Row],[PENDIENTE DE ENTREGA]:[VALORES COBRADOS]]))</f>
        <v>0</v>
      </c>
      <c r="AU440" s="850" t="e">
        <f>VLOOKUP(Tabla1[[#This Row],[FECHA OC]],'TIPO DE CAMBIO'!A:B,2,TRUE)</f>
        <v>#N/A</v>
      </c>
      <c r="AV440" s="850" t="e">
        <f>+Tabla1[[#This Row],[SUBTOTAL]]/Tabla1[[#This Row],[TIPO DE CAMBIO]]</f>
        <v>#N/A</v>
      </c>
      <c r="AW440" s="851"/>
      <c r="AX440" s="850" t="str">
        <f>IFERROR(Tabla1[[#This Row],[VENTA TOTAL USD A PLAZO EN CLIENTE  (SIN IVA)]]*(1+Tabla1[[#This Row],[% IVA ]]),"")</f>
        <v/>
      </c>
      <c r="AY440" s="850" t="e">
        <f>+Tabla1[[#This Row],[VENTA TOTAL USD A PLAZO EN CLIENTE  (SIN IVA)]]/Tabla1[[#This Row],[KGS]]*1000</f>
        <v>#N/A</v>
      </c>
      <c r="AZ440" s="850" t="e">
        <f>-Tabla1[[#This Row],[COSTO FLETE $ POR BOLSA 5O KG (SIN IVA)]]*20/Tabla1[[#This Row],[TIPO DE CAMBIO]]</f>
        <v>#N/A</v>
      </c>
      <c r="BA440" s="850" t="e">
        <f>+Tabla1[[#This Row],[GASTOS FINANCIEROS $ BOLSA 50 KG (IVA INC)]]*20/Tabla1[[#This Row],[TIPO DE CAMBIO]]</f>
        <v>#VALUE!</v>
      </c>
      <c r="BB440" s="850" t="e">
        <f>+Tabla1[[#This Row],[PRECIO POR TN USD EN CLIENTE A PLAZO (SIN IVA)]]+Tabla1[[#This Row],[COSTO USD FLETE /TN (SIN IVA)]]+Tabla1[[#This Row],[COSTO FINANCIERO USD POR BOLSA 50KG (IVA INC)]]</f>
        <v>#N/A</v>
      </c>
      <c r="BC440" s="828"/>
      <c r="BD440" s="944"/>
    </row>
    <row r="441" spans="1:56" ht="15.75" customHeight="1">
      <c r="A441" s="912">
        <v>46235</v>
      </c>
      <c r="B441" s="853"/>
      <c r="C441" s="792"/>
      <c r="D441" s="829">
        <f>+Tabla1[[#This Row],[FECHA Entrega]]</f>
        <v>0</v>
      </c>
      <c r="E441" s="830"/>
      <c r="F441" s="831"/>
      <c r="G441" s="832"/>
      <c r="H441" s="852"/>
      <c r="I441" s="834"/>
      <c r="J441" s="835"/>
      <c r="K441" s="836">
        <f t="shared" si="138"/>
        <v>0</v>
      </c>
      <c r="L44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41" s="837">
        <f t="shared" si="140"/>
        <v>0</v>
      </c>
      <c r="N441" s="838">
        <f>+Tabla1[[#This Row],[VENTA TOTAL $ (IVA INC) ]]</f>
        <v>0</v>
      </c>
      <c r="O441" s="838">
        <v>0</v>
      </c>
      <c r="P441" s="838">
        <v>0</v>
      </c>
      <c r="Q441" s="839">
        <f>+Tabla1[[#This Row],[VENTA TOTAL $ (IVA INC) ]]-Tabla1[[#This Row],[PENDIENTE DE COBRO]]</f>
        <v>0</v>
      </c>
      <c r="R441" s="840">
        <f>+Tabla1[[#This Row],[FECHA FC]]+Tabla1[[#This Row],[PLAZO ENTREGA VALORES]]</f>
        <v>0</v>
      </c>
      <c r="S441" s="840">
        <f>+Tabla1[[#This Row],[FECHA FC]]+Tabla1[[#This Row],[PLAZO PAGO (DIAS)]]</f>
        <v>0</v>
      </c>
      <c r="T441" s="834">
        <f t="shared" ca="1" si="139"/>
        <v>-46181</v>
      </c>
      <c r="U441" s="831"/>
      <c r="V441" s="831"/>
      <c r="W441" s="841">
        <f>+Tabla1[[#This Row],[FECHA VTO VALORES]]+7</f>
        <v>7</v>
      </c>
      <c r="X441" s="830"/>
      <c r="Y441" s="859"/>
      <c r="Z441" s="860">
        <f>Tabla1[[#This Row],[KGS]]/50</f>
        <v>0</v>
      </c>
      <c r="AA44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41" s="844">
        <f>-Tabla1[[#This Row],[COSTO FLETE $ POR BOLSA 5O KG (SIN IVA)]]*1.21-Tabla1[[#This Row],[PRECIO $/ KG A PLAZO EN CLIENTE ( SIN IVA)]]*0.003*1.21*50</f>
        <v>0</v>
      </c>
      <c r="AC441" s="845" t="e">
        <f>SUM(Tabla1[[#This Row],[PRECIO $ BOLSA 50 KG (IVA INC) ]]+Tabla1[[#This Row],[COSTO FLETE $ BOLSA 50 KG (IVA INC)]])</f>
        <v>#VALUE!</v>
      </c>
      <c r="AD441" s="844" t="e">
        <f>-Tabla1[[#This Row],[PRECIO $ BOLSA 50 KG (IVA INC) ]]*(Tabla1[[#This Row],[TASA FINANCIACION MENSUAL]]/365)*Tabla1[[#This Row],[PLAZO ENTREGA VALORES]]</f>
        <v>#VALUE!</v>
      </c>
      <c r="AE441" s="845" t="e">
        <f>SUM(Tabla1[[#This Row],[PRECIO $ BOLSA50 KG  FOB TUCUMAN A PLAZO (IVA INC)]]+Tabla1[[#This Row],[GASTOS FINANCIEROS $ BOLSA 50 KG (IVA INC)]])</f>
        <v>#VALUE!</v>
      </c>
      <c r="AF441" s="828"/>
      <c r="AG441" s="828"/>
      <c r="AH441" s="828"/>
      <c r="AI441" s="828"/>
      <c r="AJ44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41" s="846" t="e">
        <f>SUM(Tabla1[[#This Row],[PRECIO $ BOLSA 50KG  FOB CDO TUC (IVA INC)]]-Tabla1[[#This Row],[PRECIO REF $ BOLSA 50 KG CACTU (IVA INC)]])</f>
        <v>#VALUE!</v>
      </c>
      <c r="AL441" s="847" t="str">
        <f>IFERROR(Tabla1[[#This Row],[PRECIO $ BOLSA 50KG  FOB CDO TUC (IVA INC)]]/Tabla1[[#This Row],[PRECIO REF $ BOLSA 50 KG CACTU (IVA INC)]]-1,"")</f>
        <v/>
      </c>
      <c r="AM441" s="846" t="e">
        <f>+Tabla1[[#This Row],[DIF $ PRECIO NETO INDUSTRIA vs Neto TUCUMAN (IVA INC)]]*Tabla1[[#This Row],[Q Bolsas Equivalentes 50kg]]</f>
        <v>#VALUE!</v>
      </c>
      <c r="AN441" s="846" t="e">
        <f>Tabla1[[#This Row],[PRECIO REF $ BOLSA 50 KG CACTU (IVA INC)]]*Tabla1[[#This Row],[Q Bolsas Equivalentes 50kg]]</f>
        <v>#VALUE!</v>
      </c>
      <c r="AO441" s="846" t="e">
        <f>+Tabla1[[#This Row],[PRECIO $ BOLSA 50KG  FOB CDO TUC (IVA INC)]]*Tabla1[[#This Row],[Q Bolsas Equivalentes 50kg]]</f>
        <v>#VALUE!</v>
      </c>
      <c r="AP441" s="847"/>
      <c r="AQ441" s="846">
        <v>0</v>
      </c>
      <c r="AR441" s="828"/>
      <c r="AS441" s="849"/>
      <c r="AT441" s="923">
        <f>+Tabla1[[#This Row],[VENTA TOTAL $ (IVA INC) ]]-(SUM(Tabla1[[#This Row],[PENDIENTE DE ENTREGA]:[VALORES COBRADOS]]))</f>
        <v>0</v>
      </c>
      <c r="AU441" s="850" t="e">
        <f>VLOOKUP(Tabla1[[#This Row],[FECHA OC]],'TIPO DE CAMBIO'!A:B,2,TRUE)</f>
        <v>#N/A</v>
      </c>
      <c r="AV441" s="850" t="e">
        <f>+Tabla1[[#This Row],[SUBTOTAL]]/Tabla1[[#This Row],[TIPO DE CAMBIO]]</f>
        <v>#N/A</v>
      </c>
      <c r="AW441" s="851"/>
      <c r="AX441" s="850" t="str">
        <f>IFERROR(Tabla1[[#This Row],[VENTA TOTAL USD A PLAZO EN CLIENTE  (SIN IVA)]]*(1+Tabla1[[#This Row],[% IVA ]]),"")</f>
        <v/>
      </c>
      <c r="AY441" s="850" t="e">
        <f>+Tabla1[[#This Row],[VENTA TOTAL USD A PLAZO EN CLIENTE  (SIN IVA)]]/Tabla1[[#This Row],[KGS]]*1000</f>
        <v>#N/A</v>
      </c>
      <c r="AZ441" s="850" t="e">
        <f>-Tabla1[[#This Row],[COSTO FLETE $ POR BOLSA 5O KG (SIN IVA)]]*20/Tabla1[[#This Row],[TIPO DE CAMBIO]]</f>
        <v>#N/A</v>
      </c>
      <c r="BA441" s="850" t="e">
        <f>+Tabla1[[#This Row],[GASTOS FINANCIEROS $ BOLSA 50 KG (IVA INC)]]*20/Tabla1[[#This Row],[TIPO DE CAMBIO]]</f>
        <v>#VALUE!</v>
      </c>
      <c r="BB441" s="850" t="e">
        <f>+Tabla1[[#This Row],[PRECIO POR TN USD EN CLIENTE A PLAZO (SIN IVA)]]+Tabla1[[#This Row],[COSTO USD FLETE /TN (SIN IVA)]]+Tabla1[[#This Row],[COSTO FINANCIERO USD POR BOLSA 50KG (IVA INC)]]</f>
        <v>#N/A</v>
      </c>
      <c r="BC441" s="828"/>
      <c r="BD441" s="944"/>
    </row>
    <row r="442" spans="1:56" ht="15.75" customHeight="1">
      <c r="A442" s="912">
        <v>46235</v>
      </c>
      <c r="B442" s="853"/>
      <c r="C442" s="792"/>
      <c r="D442" s="829">
        <f>+Tabla1[[#This Row],[FECHA Entrega]]</f>
        <v>0</v>
      </c>
      <c r="E442" s="830"/>
      <c r="F442" s="831"/>
      <c r="G442" s="832"/>
      <c r="H442" s="852"/>
      <c r="I442" s="834"/>
      <c r="J442" s="835"/>
      <c r="K442" s="836">
        <f t="shared" si="138"/>
        <v>0</v>
      </c>
      <c r="L44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42" s="837">
        <f t="shared" si="140"/>
        <v>0</v>
      </c>
      <c r="N442" s="838">
        <f>+Tabla1[[#This Row],[VENTA TOTAL $ (IVA INC) ]]</f>
        <v>0</v>
      </c>
      <c r="O442" s="838">
        <v>0</v>
      </c>
      <c r="P442" s="838">
        <v>0</v>
      </c>
      <c r="Q442" s="839">
        <f>+Tabla1[[#This Row],[VENTA TOTAL $ (IVA INC) ]]-Tabla1[[#This Row],[PENDIENTE DE COBRO]]</f>
        <v>0</v>
      </c>
      <c r="R442" s="840">
        <f>+Tabla1[[#This Row],[FECHA FC]]+Tabla1[[#This Row],[PLAZO ENTREGA VALORES]]</f>
        <v>0</v>
      </c>
      <c r="S442" s="840">
        <f>+Tabla1[[#This Row],[FECHA FC]]+Tabla1[[#This Row],[PLAZO PAGO (DIAS)]]</f>
        <v>0</v>
      </c>
      <c r="T442" s="834">
        <f t="shared" ca="1" si="139"/>
        <v>-46181</v>
      </c>
      <c r="U442" s="831"/>
      <c r="V442" s="831"/>
      <c r="W442" s="841">
        <f>+Tabla1[[#This Row],[FECHA VTO VALORES]]+7</f>
        <v>7</v>
      </c>
      <c r="X442" s="830"/>
      <c r="Y442" s="859"/>
      <c r="Z442" s="860">
        <f>Tabla1[[#This Row],[KGS]]/50</f>
        <v>0</v>
      </c>
      <c r="AA44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42" s="844">
        <f>-Tabla1[[#This Row],[COSTO FLETE $ POR BOLSA 5O KG (SIN IVA)]]*1.21-Tabla1[[#This Row],[PRECIO $/ KG A PLAZO EN CLIENTE ( SIN IVA)]]*0.003*1.21*50</f>
        <v>0</v>
      </c>
      <c r="AC442" s="845" t="e">
        <f>SUM(Tabla1[[#This Row],[PRECIO $ BOLSA 50 KG (IVA INC) ]]+Tabla1[[#This Row],[COSTO FLETE $ BOLSA 50 KG (IVA INC)]])</f>
        <v>#VALUE!</v>
      </c>
      <c r="AD442" s="844" t="e">
        <f>-Tabla1[[#This Row],[PRECIO $ BOLSA 50 KG (IVA INC) ]]*(Tabla1[[#This Row],[TASA FINANCIACION MENSUAL]]/365)*Tabla1[[#This Row],[PLAZO ENTREGA VALORES]]</f>
        <v>#VALUE!</v>
      </c>
      <c r="AE442" s="845" t="e">
        <f>SUM(Tabla1[[#This Row],[PRECIO $ BOLSA50 KG  FOB TUCUMAN A PLAZO (IVA INC)]]+Tabla1[[#This Row],[GASTOS FINANCIEROS $ BOLSA 50 KG (IVA INC)]])</f>
        <v>#VALUE!</v>
      </c>
      <c r="AF442" s="828"/>
      <c r="AG442" s="828"/>
      <c r="AH442" s="828"/>
      <c r="AI442" s="828"/>
      <c r="AJ44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42" s="846" t="e">
        <f>SUM(Tabla1[[#This Row],[PRECIO $ BOLSA 50KG  FOB CDO TUC (IVA INC)]]-Tabla1[[#This Row],[PRECIO REF $ BOLSA 50 KG CACTU (IVA INC)]])</f>
        <v>#VALUE!</v>
      </c>
      <c r="AL442" s="847" t="str">
        <f>IFERROR(Tabla1[[#This Row],[PRECIO $ BOLSA 50KG  FOB CDO TUC (IVA INC)]]/Tabla1[[#This Row],[PRECIO REF $ BOLSA 50 KG CACTU (IVA INC)]]-1,"")</f>
        <v/>
      </c>
      <c r="AM442" s="846" t="e">
        <f>+Tabla1[[#This Row],[DIF $ PRECIO NETO INDUSTRIA vs Neto TUCUMAN (IVA INC)]]*Tabla1[[#This Row],[Q Bolsas Equivalentes 50kg]]</f>
        <v>#VALUE!</v>
      </c>
      <c r="AN442" s="846" t="e">
        <f>Tabla1[[#This Row],[PRECIO REF $ BOLSA 50 KG CACTU (IVA INC)]]*Tabla1[[#This Row],[Q Bolsas Equivalentes 50kg]]</f>
        <v>#VALUE!</v>
      </c>
      <c r="AO442" s="846" t="e">
        <f>+Tabla1[[#This Row],[PRECIO $ BOLSA 50KG  FOB CDO TUC (IVA INC)]]*Tabla1[[#This Row],[Q Bolsas Equivalentes 50kg]]</f>
        <v>#VALUE!</v>
      </c>
      <c r="AP442" s="847"/>
      <c r="AQ442" s="846">
        <v>0</v>
      </c>
      <c r="AR442" s="828"/>
      <c r="AS442" s="849"/>
      <c r="AT442" s="923">
        <f>+Tabla1[[#This Row],[VENTA TOTAL $ (IVA INC) ]]-(SUM(Tabla1[[#This Row],[PENDIENTE DE ENTREGA]:[VALORES COBRADOS]]))</f>
        <v>0</v>
      </c>
      <c r="AU442" s="850" t="e">
        <f>VLOOKUP(Tabla1[[#This Row],[FECHA OC]],'TIPO DE CAMBIO'!A:B,2,TRUE)</f>
        <v>#N/A</v>
      </c>
      <c r="AV442" s="850" t="e">
        <f>+Tabla1[[#This Row],[SUBTOTAL]]/Tabla1[[#This Row],[TIPO DE CAMBIO]]</f>
        <v>#N/A</v>
      </c>
      <c r="AW442" s="851"/>
      <c r="AX442" s="850" t="str">
        <f>IFERROR(Tabla1[[#This Row],[VENTA TOTAL USD A PLAZO EN CLIENTE  (SIN IVA)]]*(1+Tabla1[[#This Row],[% IVA ]]),"")</f>
        <v/>
      </c>
      <c r="AY442" s="850" t="e">
        <f>+Tabla1[[#This Row],[VENTA TOTAL USD A PLAZO EN CLIENTE  (SIN IVA)]]/Tabla1[[#This Row],[KGS]]*1000</f>
        <v>#N/A</v>
      </c>
      <c r="AZ442" s="850" t="e">
        <f>-Tabla1[[#This Row],[COSTO FLETE $ POR BOLSA 5O KG (SIN IVA)]]*20/Tabla1[[#This Row],[TIPO DE CAMBIO]]</f>
        <v>#N/A</v>
      </c>
      <c r="BA442" s="850" t="e">
        <f>+Tabla1[[#This Row],[GASTOS FINANCIEROS $ BOLSA 50 KG (IVA INC)]]*20/Tabla1[[#This Row],[TIPO DE CAMBIO]]</f>
        <v>#VALUE!</v>
      </c>
      <c r="BB442" s="850" t="e">
        <f>+Tabla1[[#This Row],[PRECIO POR TN USD EN CLIENTE A PLAZO (SIN IVA)]]+Tabla1[[#This Row],[COSTO USD FLETE /TN (SIN IVA)]]+Tabla1[[#This Row],[COSTO FINANCIERO USD POR BOLSA 50KG (IVA INC)]]</f>
        <v>#N/A</v>
      </c>
      <c r="BC442" s="828"/>
      <c r="BD442" s="944"/>
    </row>
    <row r="443" spans="1:56" ht="15.75" customHeight="1">
      <c r="A443" s="912">
        <v>46235</v>
      </c>
      <c r="B443" s="853"/>
      <c r="C443" s="792"/>
      <c r="D443" s="829">
        <f>+Tabla1[[#This Row],[FECHA Entrega]]</f>
        <v>0</v>
      </c>
      <c r="E443" s="830"/>
      <c r="F443" s="831"/>
      <c r="G443" s="832"/>
      <c r="H443" s="852"/>
      <c r="I443" s="834"/>
      <c r="J443" s="835"/>
      <c r="K443" s="836">
        <f t="shared" si="138"/>
        <v>0</v>
      </c>
      <c r="L44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43" s="837">
        <f t="shared" si="140"/>
        <v>0</v>
      </c>
      <c r="N443" s="838">
        <f>+Tabla1[[#This Row],[VENTA TOTAL $ (IVA INC) ]]</f>
        <v>0</v>
      </c>
      <c r="O443" s="838">
        <v>0</v>
      </c>
      <c r="P443" s="838">
        <v>0</v>
      </c>
      <c r="Q443" s="839">
        <f>+Tabla1[[#This Row],[VENTA TOTAL $ (IVA INC) ]]-Tabla1[[#This Row],[PENDIENTE DE COBRO]]</f>
        <v>0</v>
      </c>
      <c r="R443" s="840">
        <f>+Tabla1[[#This Row],[FECHA FC]]+Tabla1[[#This Row],[PLAZO ENTREGA VALORES]]</f>
        <v>0</v>
      </c>
      <c r="S443" s="840">
        <f>+Tabla1[[#This Row],[FECHA FC]]+Tabla1[[#This Row],[PLAZO PAGO (DIAS)]]</f>
        <v>0</v>
      </c>
      <c r="T443" s="834">
        <f t="shared" ca="1" si="139"/>
        <v>-46181</v>
      </c>
      <c r="U443" s="831"/>
      <c r="V443" s="831"/>
      <c r="W443" s="841">
        <f>+Tabla1[[#This Row],[FECHA VTO VALORES]]+7</f>
        <v>7</v>
      </c>
      <c r="X443" s="830"/>
      <c r="Y443" s="859"/>
      <c r="Z443" s="860">
        <f>Tabla1[[#This Row],[KGS]]/50</f>
        <v>0</v>
      </c>
      <c r="AA44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43" s="844">
        <f>-Tabla1[[#This Row],[COSTO FLETE $ POR BOLSA 5O KG (SIN IVA)]]*1.21-Tabla1[[#This Row],[PRECIO $/ KG A PLAZO EN CLIENTE ( SIN IVA)]]*0.003*1.21*50</f>
        <v>0</v>
      </c>
      <c r="AC443" s="845" t="e">
        <f>SUM(Tabla1[[#This Row],[PRECIO $ BOLSA 50 KG (IVA INC) ]]+Tabla1[[#This Row],[COSTO FLETE $ BOLSA 50 KG (IVA INC)]])</f>
        <v>#VALUE!</v>
      </c>
      <c r="AD443" s="844" t="e">
        <f>-Tabla1[[#This Row],[PRECIO $ BOLSA 50 KG (IVA INC) ]]*(Tabla1[[#This Row],[TASA FINANCIACION MENSUAL]]/365)*Tabla1[[#This Row],[PLAZO ENTREGA VALORES]]</f>
        <v>#VALUE!</v>
      </c>
      <c r="AE443" s="845" t="e">
        <f>SUM(Tabla1[[#This Row],[PRECIO $ BOLSA50 KG  FOB TUCUMAN A PLAZO (IVA INC)]]+Tabla1[[#This Row],[GASTOS FINANCIEROS $ BOLSA 50 KG (IVA INC)]])</f>
        <v>#VALUE!</v>
      </c>
      <c r="AF443" s="828"/>
      <c r="AG443" s="828"/>
      <c r="AH443" s="828"/>
      <c r="AI443" s="828"/>
      <c r="AJ44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43" s="846" t="e">
        <f>SUM(Tabla1[[#This Row],[PRECIO $ BOLSA 50KG  FOB CDO TUC (IVA INC)]]-Tabla1[[#This Row],[PRECIO REF $ BOLSA 50 KG CACTU (IVA INC)]])</f>
        <v>#VALUE!</v>
      </c>
      <c r="AL443" s="847" t="str">
        <f>IFERROR(Tabla1[[#This Row],[PRECIO $ BOLSA 50KG  FOB CDO TUC (IVA INC)]]/Tabla1[[#This Row],[PRECIO REF $ BOLSA 50 KG CACTU (IVA INC)]]-1,"")</f>
        <v/>
      </c>
      <c r="AM443" s="846" t="e">
        <f>+Tabla1[[#This Row],[DIF $ PRECIO NETO INDUSTRIA vs Neto TUCUMAN (IVA INC)]]*Tabla1[[#This Row],[Q Bolsas Equivalentes 50kg]]</f>
        <v>#VALUE!</v>
      </c>
      <c r="AN443" s="846" t="e">
        <f>Tabla1[[#This Row],[PRECIO REF $ BOLSA 50 KG CACTU (IVA INC)]]*Tabla1[[#This Row],[Q Bolsas Equivalentes 50kg]]</f>
        <v>#VALUE!</v>
      </c>
      <c r="AO443" s="846" t="e">
        <f>+Tabla1[[#This Row],[PRECIO $ BOLSA 50KG  FOB CDO TUC (IVA INC)]]*Tabla1[[#This Row],[Q Bolsas Equivalentes 50kg]]</f>
        <v>#VALUE!</v>
      </c>
      <c r="AP443" s="847"/>
      <c r="AQ443" s="846">
        <v>0</v>
      </c>
      <c r="AR443" s="828"/>
      <c r="AS443" s="849"/>
      <c r="AT443" s="923">
        <f>+Tabla1[[#This Row],[VENTA TOTAL $ (IVA INC) ]]-(SUM(Tabla1[[#This Row],[PENDIENTE DE ENTREGA]:[VALORES COBRADOS]]))</f>
        <v>0</v>
      </c>
      <c r="AU443" s="850" t="e">
        <f>VLOOKUP(Tabla1[[#This Row],[FECHA OC]],'TIPO DE CAMBIO'!A:B,2,TRUE)</f>
        <v>#N/A</v>
      </c>
      <c r="AV443" s="850" t="e">
        <f>+Tabla1[[#This Row],[SUBTOTAL]]/Tabla1[[#This Row],[TIPO DE CAMBIO]]</f>
        <v>#N/A</v>
      </c>
      <c r="AW443" s="851"/>
      <c r="AX443" s="850" t="str">
        <f>IFERROR(Tabla1[[#This Row],[VENTA TOTAL USD A PLAZO EN CLIENTE  (SIN IVA)]]*(1+Tabla1[[#This Row],[% IVA ]]),"")</f>
        <v/>
      </c>
      <c r="AY443" s="850" t="e">
        <f>+Tabla1[[#This Row],[VENTA TOTAL USD A PLAZO EN CLIENTE  (SIN IVA)]]/Tabla1[[#This Row],[KGS]]*1000</f>
        <v>#N/A</v>
      </c>
      <c r="AZ443" s="850" t="e">
        <f>-Tabla1[[#This Row],[COSTO FLETE $ POR BOLSA 5O KG (SIN IVA)]]*20/Tabla1[[#This Row],[TIPO DE CAMBIO]]</f>
        <v>#N/A</v>
      </c>
      <c r="BA443" s="850" t="e">
        <f>+Tabla1[[#This Row],[GASTOS FINANCIEROS $ BOLSA 50 KG (IVA INC)]]*20/Tabla1[[#This Row],[TIPO DE CAMBIO]]</f>
        <v>#VALUE!</v>
      </c>
      <c r="BB443" s="850" t="e">
        <f>+Tabla1[[#This Row],[PRECIO POR TN USD EN CLIENTE A PLAZO (SIN IVA)]]+Tabla1[[#This Row],[COSTO USD FLETE /TN (SIN IVA)]]+Tabla1[[#This Row],[COSTO FINANCIERO USD POR BOLSA 50KG (IVA INC)]]</f>
        <v>#N/A</v>
      </c>
      <c r="BC443" s="828"/>
      <c r="BD443" s="944"/>
    </row>
    <row r="444" spans="1:56" ht="15.75" customHeight="1">
      <c r="A444" s="912">
        <v>46235</v>
      </c>
      <c r="B444" s="853"/>
      <c r="C444" s="792"/>
      <c r="D444" s="829">
        <f>+Tabla1[[#This Row],[FECHA Entrega]]</f>
        <v>0</v>
      </c>
      <c r="E444" s="830"/>
      <c r="F444" s="831"/>
      <c r="G444" s="832"/>
      <c r="H444" s="852"/>
      <c r="I444" s="834"/>
      <c r="J444" s="835"/>
      <c r="K444" s="836">
        <f t="shared" si="138"/>
        <v>0</v>
      </c>
      <c r="L44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44" s="837">
        <f t="shared" si="140"/>
        <v>0</v>
      </c>
      <c r="N444" s="838">
        <f>+Tabla1[[#This Row],[VENTA TOTAL $ (IVA INC) ]]</f>
        <v>0</v>
      </c>
      <c r="O444" s="838">
        <v>0</v>
      </c>
      <c r="P444" s="838">
        <v>0</v>
      </c>
      <c r="Q444" s="839">
        <f>+Tabla1[[#This Row],[VENTA TOTAL $ (IVA INC) ]]-Tabla1[[#This Row],[PENDIENTE DE COBRO]]</f>
        <v>0</v>
      </c>
      <c r="R444" s="840">
        <f>+Tabla1[[#This Row],[FECHA FC]]+Tabla1[[#This Row],[PLAZO ENTREGA VALORES]]</f>
        <v>0</v>
      </c>
      <c r="S444" s="840">
        <f>+Tabla1[[#This Row],[FECHA FC]]+Tabla1[[#This Row],[PLAZO PAGO (DIAS)]]</f>
        <v>0</v>
      </c>
      <c r="T444" s="834">
        <f t="shared" ca="1" si="139"/>
        <v>-46181</v>
      </c>
      <c r="U444" s="831"/>
      <c r="V444" s="831"/>
      <c r="W444" s="841">
        <f>+Tabla1[[#This Row],[FECHA VTO VALORES]]+7</f>
        <v>7</v>
      </c>
      <c r="X444" s="830"/>
      <c r="Y444" s="859"/>
      <c r="Z444" s="860">
        <f>Tabla1[[#This Row],[KGS]]/50</f>
        <v>0</v>
      </c>
      <c r="AA44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44" s="844">
        <f>-Tabla1[[#This Row],[COSTO FLETE $ POR BOLSA 5O KG (SIN IVA)]]*1.21-Tabla1[[#This Row],[PRECIO $/ KG A PLAZO EN CLIENTE ( SIN IVA)]]*0.003*1.21*50</f>
        <v>0</v>
      </c>
      <c r="AC444" s="845" t="e">
        <f>SUM(Tabla1[[#This Row],[PRECIO $ BOLSA 50 KG (IVA INC) ]]+Tabla1[[#This Row],[COSTO FLETE $ BOLSA 50 KG (IVA INC)]])</f>
        <v>#VALUE!</v>
      </c>
      <c r="AD444" s="844" t="e">
        <f>-Tabla1[[#This Row],[PRECIO $ BOLSA 50 KG (IVA INC) ]]*(Tabla1[[#This Row],[TASA FINANCIACION MENSUAL]]/365)*Tabla1[[#This Row],[PLAZO ENTREGA VALORES]]</f>
        <v>#VALUE!</v>
      </c>
      <c r="AE444" s="845" t="e">
        <f>SUM(Tabla1[[#This Row],[PRECIO $ BOLSA50 KG  FOB TUCUMAN A PLAZO (IVA INC)]]+Tabla1[[#This Row],[GASTOS FINANCIEROS $ BOLSA 50 KG (IVA INC)]])</f>
        <v>#VALUE!</v>
      </c>
      <c r="AF444" s="828"/>
      <c r="AG444" s="828"/>
      <c r="AH444" s="828"/>
      <c r="AI444" s="828"/>
      <c r="AJ44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44" s="846" t="e">
        <f>SUM(Tabla1[[#This Row],[PRECIO $ BOLSA 50KG  FOB CDO TUC (IVA INC)]]-Tabla1[[#This Row],[PRECIO REF $ BOLSA 50 KG CACTU (IVA INC)]])</f>
        <v>#VALUE!</v>
      </c>
      <c r="AL444" s="847" t="str">
        <f>IFERROR(Tabla1[[#This Row],[PRECIO $ BOLSA 50KG  FOB CDO TUC (IVA INC)]]/Tabla1[[#This Row],[PRECIO REF $ BOLSA 50 KG CACTU (IVA INC)]]-1,"")</f>
        <v/>
      </c>
      <c r="AM444" s="846" t="e">
        <f>+Tabla1[[#This Row],[DIF $ PRECIO NETO INDUSTRIA vs Neto TUCUMAN (IVA INC)]]*Tabla1[[#This Row],[Q Bolsas Equivalentes 50kg]]</f>
        <v>#VALUE!</v>
      </c>
      <c r="AN444" s="846" t="e">
        <f>Tabla1[[#This Row],[PRECIO REF $ BOLSA 50 KG CACTU (IVA INC)]]*Tabla1[[#This Row],[Q Bolsas Equivalentes 50kg]]</f>
        <v>#VALUE!</v>
      </c>
      <c r="AO444" s="846" t="e">
        <f>+Tabla1[[#This Row],[PRECIO $ BOLSA 50KG  FOB CDO TUC (IVA INC)]]*Tabla1[[#This Row],[Q Bolsas Equivalentes 50kg]]</f>
        <v>#VALUE!</v>
      </c>
      <c r="AP444" s="847"/>
      <c r="AQ444" s="846">
        <v>0</v>
      </c>
      <c r="AR444" s="828"/>
      <c r="AS444" s="849"/>
      <c r="AT444" s="923">
        <f>+Tabla1[[#This Row],[VENTA TOTAL $ (IVA INC) ]]-(SUM(Tabla1[[#This Row],[PENDIENTE DE ENTREGA]:[VALORES COBRADOS]]))</f>
        <v>0</v>
      </c>
      <c r="AU444" s="850" t="e">
        <f>VLOOKUP(Tabla1[[#This Row],[FECHA OC]],'TIPO DE CAMBIO'!A:B,2,TRUE)</f>
        <v>#N/A</v>
      </c>
      <c r="AV444" s="850" t="e">
        <f>+Tabla1[[#This Row],[SUBTOTAL]]/Tabla1[[#This Row],[TIPO DE CAMBIO]]</f>
        <v>#N/A</v>
      </c>
      <c r="AW444" s="851"/>
      <c r="AX444" s="850" t="str">
        <f>IFERROR(Tabla1[[#This Row],[VENTA TOTAL USD A PLAZO EN CLIENTE  (SIN IVA)]]*(1+Tabla1[[#This Row],[% IVA ]]),"")</f>
        <v/>
      </c>
      <c r="AY444" s="850" t="e">
        <f>+Tabla1[[#This Row],[VENTA TOTAL USD A PLAZO EN CLIENTE  (SIN IVA)]]/Tabla1[[#This Row],[KGS]]*1000</f>
        <v>#N/A</v>
      </c>
      <c r="AZ444" s="850" t="e">
        <f>-Tabla1[[#This Row],[COSTO FLETE $ POR BOLSA 5O KG (SIN IVA)]]*20/Tabla1[[#This Row],[TIPO DE CAMBIO]]</f>
        <v>#N/A</v>
      </c>
      <c r="BA444" s="850" t="e">
        <f>+Tabla1[[#This Row],[GASTOS FINANCIEROS $ BOLSA 50 KG (IVA INC)]]*20/Tabla1[[#This Row],[TIPO DE CAMBIO]]</f>
        <v>#VALUE!</v>
      </c>
      <c r="BB444" s="850" t="e">
        <f>+Tabla1[[#This Row],[PRECIO POR TN USD EN CLIENTE A PLAZO (SIN IVA)]]+Tabla1[[#This Row],[COSTO USD FLETE /TN (SIN IVA)]]+Tabla1[[#This Row],[COSTO FINANCIERO USD POR BOLSA 50KG (IVA INC)]]</f>
        <v>#N/A</v>
      </c>
      <c r="BC444" s="828"/>
      <c r="BD444" s="944"/>
    </row>
    <row r="445" spans="1:56" ht="15.75" customHeight="1">
      <c r="A445" s="912">
        <v>46235</v>
      </c>
      <c r="B445" s="853"/>
      <c r="C445" s="792"/>
      <c r="D445" s="829">
        <f>+Tabla1[[#This Row],[FECHA Entrega]]</f>
        <v>0</v>
      </c>
      <c r="E445" s="830"/>
      <c r="F445" s="831"/>
      <c r="G445" s="832"/>
      <c r="H445" s="852"/>
      <c r="I445" s="834"/>
      <c r="J445" s="835"/>
      <c r="K445" s="836">
        <f t="shared" si="138"/>
        <v>0</v>
      </c>
      <c r="L44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45" s="837">
        <f t="shared" si="140"/>
        <v>0</v>
      </c>
      <c r="N445" s="838">
        <f>+Tabla1[[#This Row],[VENTA TOTAL $ (IVA INC) ]]</f>
        <v>0</v>
      </c>
      <c r="O445" s="838">
        <v>0</v>
      </c>
      <c r="P445" s="838">
        <v>0</v>
      </c>
      <c r="Q445" s="839">
        <f>+Tabla1[[#This Row],[VENTA TOTAL $ (IVA INC) ]]-Tabla1[[#This Row],[PENDIENTE DE COBRO]]</f>
        <v>0</v>
      </c>
      <c r="R445" s="840">
        <f>+Tabla1[[#This Row],[FECHA FC]]+Tabla1[[#This Row],[PLAZO ENTREGA VALORES]]</f>
        <v>0</v>
      </c>
      <c r="S445" s="840">
        <f>+Tabla1[[#This Row],[FECHA FC]]+Tabla1[[#This Row],[PLAZO PAGO (DIAS)]]</f>
        <v>0</v>
      </c>
      <c r="T445" s="834">
        <f t="shared" ca="1" si="139"/>
        <v>-46181</v>
      </c>
      <c r="U445" s="831"/>
      <c r="V445" s="831"/>
      <c r="W445" s="841">
        <f>+Tabla1[[#This Row],[FECHA VTO VALORES]]+7</f>
        <v>7</v>
      </c>
      <c r="X445" s="830"/>
      <c r="Y445" s="859"/>
      <c r="Z445" s="860">
        <f>Tabla1[[#This Row],[KGS]]/50</f>
        <v>0</v>
      </c>
      <c r="AA44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45" s="844">
        <f>-Tabla1[[#This Row],[COSTO FLETE $ POR BOLSA 5O KG (SIN IVA)]]*1.21-Tabla1[[#This Row],[PRECIO $/ KG A PLAZO EN CLIENTE ( SIN IVA)]]*0.003*1.21*50</f>
        <v>0</v>
      </c>
      <c r="AC445" s="845" t="e">
        <f>SUM(Tabla1[[#This Row],[PRECIO $ BOLSA 50 KG (IVA INC) ]]+Tabla1[[#This Row],[COSTO FLETE $ BOLSA 50 KG (IVA INC)]])</f>
        <v>#VALUE!</v>
      </c>
      <c r="AD445" s="844" t="e">
        <f>-Tabla1[[#This Row],[PRECIO $ BOLSA 50 KG (IVA INC) ]]*(Tabla1[[#This Row],[TASA FINANCIACION MENSUAL]]/365)*Tabla1[[#This Row],[PLAZO ENTREGA VALORES]]</f>
        <v>#VALUE!</v>
      </c>
      <c r="AE445" s="845" t="e">
        <f>SUM(Tabla1[[#This Row],[PRECIO $ BOLSA50 KG  FOB TUCUMAN A PLAZO (IVA INC)]]+Tabla1[[#This Row],[GASTOS FINANCIEROS $ BOLSA 50 KG (IVA INC)]])</f>
        <v>#VALUE!</v>
      </c>
      <c r="AF445" s="828"/>
      <c r="AG445" s="828"/>
      <c r="AH445" s="828"/>
      <c r="AI445" s="828"/>
      <c r="AJ44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45" s="846" t="e">
        <f>SUM(Tabla1[[#This Row],[PRECIO $ BOLSA 50KG  FOB CDO TUC (IVA INC)]]-Tabla1[[#This Row],[PRECIO REF $ BOLSA 50 KG CACTU (IVA INC)]])</f>
        <v>#VALUE!</v>
      </c>
      <c r="AL445" s="847" t="str">
        <f>IFERROR(Tabla1[[#This Row],[PRECIO $ BOLSA 50KG  FOB CDO TUC (IVA INC)]]/Tabla1[[#This Row],[PRECIO REF $ BOLSA 50 KG CACTU (IVA INC)]]-1,"")</f>
        <v/>
      </c>
      <c r="AM445" s="846" t="e">
        <f>+Tabla1[[#This Row],[DIF $ PRECIO NETO INDUSTRIA vs Neto TUCUMAN (IVA INC)]]*Tabla1[[#This Row],[Q Bolsas Equivalentes 50kg]]</f>
        <v>#VALUE!</v>
      </c>
      <c r="AN445" s="846" t="e">
        <f>Tabla1[[#This Row],[PRECIO REF $ BOLSA 50 KG CACTU (IVA INC)]]*Tabla1[[#This Row],[Q Bolsas Equivalentes 50kg]]</f>
        <v>#VALUE!</v>
      </c>
      <c r="AO445" s="846" t="e">
        <f>+Tabla1[[#This Row],[PRECIO $ BOLSA 50KG  FOB CDO TUC (IVA INC)]]*Tabla1[[#This Row],[Q Bolsas Equivalentes 50kg]]</f>
        <v>#VALUE!</v>
      </c>
      <c r="AP445" s="847"/>
      <c r="AQ445" s="846">
        <v>0</v>
      </c>
      <c r="AR445" s="828"/>
      <c r="AS445" s="849"/>
      <c r="AT445" s="923">
        <f>+Tabla1[[#This Row],[VENTA TOTAL $ (IVA INC) ]]-(SUM(Tabla1[[#This Row],[PENDIENTE DE ENTREGA]:[VALORES COBRADOS]]))</f>
        <v>0</v>
      </c>
      <c r="AU445" s="850" t="e">
        <f>VLOOKUP(Tabla1[[#This Row],[FECHA OC]],'TIPO DE CAMBIO'!A:B,2,TRUE)</f>
        <v>#N/A</v>
      </c>
      <c r="AV445" s="850" t="e">
        <f>+Tabla1[[#This Row],[SUBTOTAL]]/Tabla1[[#This Row],[TIPO DE CAMBIO]]</f>
        <v>#N/A</v>
      </c>
      <c r="AW445" s="851"/>
      <c r="AX445" s="850" t="str">
        <f>IFERROR(Tabla1[[#This Row],[VENTA TOTAL USD A PLAZO EN CLIENTE  (SIN IVA)]]*(1+Tabla1[[#This Row],[% IVA ]]),"")</f>
        <v/>
      </c>
      <c r="AY445" s="850" t="e">
        <f>+Tabla1[[#This Row],[VENTA TOTAL USD A PLAZO EN CLIENTE  (SIN IVA)]]/Tabla1[[#This Row],[KGS]]*1000</f>
        <v>#N/A</v>
      </c>
      <c r="AZ445" s="850" t="e">
        <f>-Tabla1[[#This Row],[COSTO FLETE $ POR BOLSA 5O KG (SIN IVA)]]*20/Tabla1[[#This Row],[TIPO DE CAMBIO]]</f>
        <v>#N/A</v>
      </c>
      <c r="BA445" s="850" t="e">
        <f>+Tabla1[[#This Row],[GASTOS FINANCIEROS $ BOLSA 50 KG (IVA INC)]]*20/Tabla1[[#This Row],[TIPO DE CAMBIO]]</f>
        <v>#VALUE!</v>
      </c>
      <c r="BB445" s="850" t="e">
        <f>+Tabla1[[#This Row],[PRECIO POR TN USD EN CLIENTE A PLAZO (SIN IVA)]]+Tabla1[[#This Row],[COSTO USD FLETE /TN (SIN IVA)]]+Tabla1[[#This Row],[COSTO FINANCIERO USD POR BOLSA 50KG (IVA INC)]]</f>
        <v>#N/A</v>
      </c>
      <c r="BC445" s="828"/>
      <c r="BD445" s="944"/>
    </row>
    <row r="446" spans="1:56" ht="15.75" customHeight="1">
      <c r="A446" s="912">
        <v>46235</v>
      </c>
      <c r="B446" s="853"/>
      <c r="C446" s="792"/>
      <c r="D446" s="829">
        <f>+Tabla1[[#This Row],[FECHA Entrega]]</f>
        <v>0</v>
      </c>
      <c r="E446" s="830"/>
      <c r="F446" s="831"/>
      <c r="G446" s="832"/>
      <c r="H446" s="852"/>
      <c r="I446" s="834"/>
      <c r="J446" s="835"/>
      <c r="K446" s="836">
        <f t="shared" si="138"/>
        <v>0</v>
      </c>
      <c r="L44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46" s="837">
        <f t="shared" si="140"/>
        <v>0</v>
      </c>
      <c r="N446" s="838">
        <f>+Tabla1[[#This Row],[VENTA TOTAL $ (IVA INC) ]]</f>
        <v>0</v>
      </c>
      <c r="O446" s="838">
        <v>0</v>
      </c>
      <c r="P446" s="838">
        <v>0</v>
      </c>
      <c r="Q446" s="839">
        <f>+Tabla1[[#This Row],[VENTA TOTAL $ (IVA INC) ]]-Tabla1[[#This Row],[PENDIENTE DE COBRO]]</f>
        <v>0</v>
      </c>
      <c r="R446" s="840">
        <f>+Tabla1[[#This Row],[FECHA FC]]+Tabla1[[#This Row],[PLAZO ENTREGA VALORES]]</f>
        <v>0</v>
      </c>
      <c r="S446" s="840">
        <f>+Tabla1[[#This Row],[FECHA FC]]+Tabla1[[#This Row],[PLAZO PAGO (DIAS)]]</f>
        <v>0</v>
      </c>
      <c r="T446" s="834">
        <f t="shared" ca="1" si="139"/>
        <v>-46181</v>
      </c>
      <c r="U446" s="831"/>
      <c r="V446" s="831"/>
      <c r="W446" s="841">
        <f>+Tabla1[[#This Row],[FECHA VTO VALORES]]+7</f>
        <v>7</v>
      </c>
      <c r="X446" s="830"/>
      <c r="Y446" s="859"/>
      <c r="Z446" s="860">
        <f>Tabla1[[#This Row],[KGS]]/50</f>
        <v>0</v>
      </c>
      <c r="AA44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46" s="844">
        <f>-Tabla1[[#This Row],[COSTO FLETE $ POR BOLSA 5O KG (SIN IVA)]]*1.21-Tabla1[[#This Row],[PRECIO $/ KG A PLAZO EN CLIENTE ( SIN IVA)]]*0.003*1.21*50</f>
        <v>0</v>
      </c>
      <c r="AC446" s="845" t="e">
        <f>SUM(Tabla1[[#This Row],[PRECIO $ BOLSA 50 KG (IVA INC) ]]+Tabla1[[#This Row],[COSTO FLETE $ BOLSA 50 KG (IVA INC)]])</f>
        <v>#VALUE!</v>
      </c>
      <c r="AD446" s="844" t="e">
        <f>-Tabla1[[#This Row],[PRECIO $ BOLSA 50 KG (IVA INC) ]]*(Tabla1[[#This Row],[TASA FINANCIACION MENSUAL]]/365)*Tabla1[[#This Row],[PLAZO ENTREGA VALORES]]</f>
        <v>#VALUE!</v>
      </c>
      <c r="AE446" s="845" t="e">
        <f>SUM(Tabla1[[#This Row],[PRECIO $ BOLSA50 KG  FOB TUCUMAN A PLAZO (IVA INC)]]+Tabla1[[#This Row],[GASTOS FINANCIEROS $ BOLSA 50 KG (IVA INC)]])</f>
        <v>#VALUE!</v>
      </c>
      <c r="AF446" s="828"/>
      <c r="AG446" s="828"/>
      <c r="AH446" s="828"/>
      <c r="AI446" s="828"/>
      <c r="AJ44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46" s="846" t="e">
        <f>SUM(Tabla1[[#This Row],[PRECIO $ BOLSA 50KG  FOB CDO TUC (IVA INC)]]-Tabla1[[#This Row],[PRECIO REF $ BOLSA 50 KG CACTU (IVA INC)]])</f>
        <v>#VALUE!</v>
      </c>
      <c r="AL446" s="847" t="str">
        <f>IFERROR(Tabla1[[#This Row],[PRECIO $ BOLSA 50KG  FOB CDO TUC (IVA INC)]]/Tabla1[[#This Row],[PRECIO REF $ BOLSA 50 KG CACTU (IVA INC)]]-1,"")</f>
        <v/>
      </c>
      <c r="AM446" s="846" t="e">
        <f>+Tabla1[[#This Row],[DIF $ PRECIO NETO INDUSTRIA vs Neto TUCUMAN (IVA INC)]]*Tabla1[[#This Row],[Q Bolsas Equivalentes 50kg]]</f>
        <v>#VALUE!</v>
      </c>
      <c r="AN446" s="846" t="e">
        <f>Tabla1[[#This Row],[PRECIO REF $ BOLSA 50 KG CACTU (IVA INC)]]*Tabla1[[#This Row],[Q Bolsas Equivalentes 50kg]]</f>
        <v>#VALUE!</v>
      </c>
      <c r="AO446" s="846" t="e">
        <f>+Tabla1[[#This Row],[PRECIO $ BOLSA 50KG  FOB CDO TUC (IVA INC)]]*Tabla1[[#This Row],[Q Bolsas Equivalentes 50kg]]</f>
        <v>#VALUE!</v>
      </c>
      <c r="AP446" s="847"/>
      <c r="AQ446" s="846">
        <v>0</v>
      </c>
      <c r="AR446" s="828"/>
      <c r="AS446" s="849"/>
      <c r="AT446" s="923">
        <f>+Tabla1[[#This Row],[VENTA TOTAL $ (IVA INC) ]]-(SUM(Tabla1[[#This Row],[PENDIENTE DE ENTREGA]:[VALORES COBRADOS]]))</f>
        <v>0</v>
      </c>
      <c r="AU446" s="850" t="e">
        <f>VLOOKUP(Tabla1[[#This Row],[FECHA OC]],'TIPO DE CAMBIO'!A:B,2,TRUE)</f>
        <v>#N/A</v>
      </c>
      <c r="AV446" s="850" t="e">
        <f>+Tabla1[[#This Row],[SUBTOTAL]]/Tabla1[[#This Row],[TIPO DE CAMBIO]]</f>
        <v>#N/A</v>
      </c>
      <c r="AW446" s="851"/>
      <c r="AX446" s="850" t="str">
        <f>IFERROR(Tabla1[[#This Row],[VENTA TOTAL USD A PLAZO EN CLIENTE  (SIN IVA)]]*(1+Tabla1[[#This Row],[% IVA ]]),"")</f>
        <v/>
      </c>
      <c r="AY446" s="850" t="e">
        <f>+Tabla1[[#This Row],[VENTA TOTAL USD A PLAZO EN CLIENTE  (SIN IVA)]]/Tabla1[[#This Row],[KGS]]*1000</f>
        <v>#N/A</v>
      </c>
      <c r="AZ446" s="850" t="e">
        <f>-Tabla1[[#This Row],[COSTO FLETE $ POR BOLSA 5O KG (SIN IVA)]]*20/Tabla1[[#This Row],[TIPO DE CAMBIO]]</f>
        <v>#N/A</v>
      </c>
      <c r="BA446" s="850" t="e">
        <f>+Tabla1[[#This Row],[GASTOS FINANCIEROS $ BOLSA 50 KG (IVA INC)]]*20/Tabla1[[#This Row],[TIPO DE CAMBIO]]</f>
        <v>#VALUE!</v>
      </c>
      <c r="BB446" s="850" t="e">
        <f>+Tabla1[[#This Row],[PRECIO POR TN USD EN CLIENTE A PLAZO (SIN IVA)]]+Tabla1[[#This Row],[COSTO USD FLETE /TN (SIN IVA)]]+Tabla1[[#This Row],[COSTO FINANCIERO USD POR BOLSA 50KG (IVA INC)]]</f>
        <v>#N/A</v>
      </c>
      <c r="BC446" s="828"/>
      <c r="BD446" s="944"/>
    </row>
    <row r="447" spans="1:56" ht="15.75" customHeight="1">
      <c r="A447" s="912">
        <v>46235</v>
      </c>
      <c r="B447" s="853"/>
      <c r="C447" s="792"/>
      <c r="D447" s="829">
        <f>+Tabla1[[#This Row],[FECHA Entrega]]</f>
        <v>0</v>
      </c>
      <c r="E447" s="830"/>
      <c r="F447" s="831"/>
      <c r="G447" s="832"/>
      <c r="H447" s="852"/>
      <c r="I447" s="834"/>
      <c r="J447" s="835"/>
      <c r="K447" s="836">
        <f t="shared" si="138"/>
        <v>0</v>
      </c>
      <c r="L44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47" s="837">
        <f t="shared" si="140"/>
        <v>0</v>
      </c>
      <c r="N447" s="838">
        <f>+Tabla1[[#This Row],[VENTA TOTAL $ (IVA INC) ]]</f>
        <v>0</v>
      </c>
      <c r="O447" s="838">
        <v>0</v>
      </c>
      <c r="P447" s="838">
        <v>0</v>
      </c>
      <c r="Q447" s="839">
        <f>+Tabla1[[#This Row],[VENTA TOTAL $ (IVA INC) ]]-Tabla1[[#This Row],[PENDIENTE DE COBRO]]</f>
        <v>0</v>
      </c>
      <c r="R447" s="840">
        <f>+Tabla1[[#This Row],[FECHA FC]]+Tabla1[[#This Row],[PLAZO ENTREGA VALORES]]</f>
        <v>0</v>
      </c>
      <c r="S447" s="840">
        <f>+Tabla1[[#This Row],[FECHA FC]]+Tabla1[[#This Row],[PLAZO PAGO (DIAS)]]</f>
        <v>0</v>
      </c>
      <c r="T447" s="834">
        <f t="shared" ca="1" si="139"/>
        <v>-46181</v>
      </c>
      <c r="U447" s="831"/>
      <c r="V447" s="831"/>
      <c r="W447" s="841">
        <f t="shared" ref="W447:W456" si="141">+S447+7</f>
        <v>7</v>
      </c>
      <c r="X447" s="830"/>
      <c r="Y447" s="859"/>
      <c r="Z447" s="860">
        <f>Tabla1[[#This Row],[KGS]]/50</f>
        <v>0</v>
      </c>
      <c r="AA44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47" s="844">
        <f>-Tabla1[[#This Row],[COSTO FLETE $ POR BOLSA 5O KG (SIN IVA)]]*1.21-Tabla1[[#This Row],[PRECIO $/ KG A PLAZO EN CLIENTE ( SIN IVA)]]*0.003*1.21*50</f>
        <v>0</v>
      </c>
      <c r="AC447" s="845" t="e">
        <f>SUM(Tabla1[[#This Row],[PRECIO $ BOLSA 50 KG (IVA INC) ]]+Tabla1[[#This Row],[COSTO FLETE $ BOLSA 50 KG (IVA INC)]])</f>
        <v>#VALUE!</v>
      </c>
      <c r="AD447" s="844" t="e">
        <f>-Tabla1[[#This Row],[PRECIO $ BOLSA 50 KG (IVA INC) ]]*(Tabla1[[#This Row],[TASA FINANCIACION MENSUAL]]/365)*Tabla1[[#This Row],[PLAZO ENTREGA VALORES]]</f>
        <v>#VALUE!</v>
      </c>
      <c r="AE447" s="845" t="e">
        <f>SUM(Tabla1[[#This Row],[PRECIO $ BOLSA50 KG  FOB TUCUMAN A PLAZO (IVA INC)]]+Tabla1[[#This Row],[GASTOS FINANCIEROS $ BOLSA 50 KG (IVA INC)]])</f>
        <v>#VALUE!</v>
      </c>
      <c r="AF447" s="828"/>
      <c r="AG447" s="828"/>
      <c r="AH447" s="828"/>
      <c r="AI447" s="828"/>
      <c r="AJ44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47" s="846" t="e">
        <f>SUM(Tabla1[[#This Row],[PRECIO $ BOLSA 50KG  FOB CDO TUC (IVA INC)]]-Tabla1[[#This Row],[PRECIO REF $ BOLSA 50 KG CACTU (IVA INC)]])</f>
        <v>#VALUE!</v>
      </c>
      <c r="AL447" s="847" t="str">
        <f>IFERROR(Tabla1[[#This Row],[PRECIO $ BOLSA 50KG  FOB CDO TUC (IVA INC)]]/Tabla1[[#This Row],[PRECIO REF $ BOLSA 50 KG CACTU (IVA INC)]]-1,"")</f>
        <v/>
      </c>
      <c r="AM447" s="846" t="e">
        <f>+Tabla1[[#This Row],[DIF $ PRECIO NETO INDUSTRIA vs Neto TUCUMAN (IVA INC)]]*Tabla1[[#This Row],[Q Bolsas Equivalentes 50kg]]</f>
        <v>#VALUE!</v>
      </c>
      <c r="AN447" s="846" t="e">
        <f>Tabla1[[#This Row],[PRECIO REF $ BOLSA 50 KG CACTU (IVA INC)]]*Tabla1[[#This Row],[Q Bolsas Equivalentes 50kg]]</f>
        <v>#VALUE!</v>
      </c>
      <c r="AO447" s="846" t="e">
        <f>+Tabla1[[#This Row],[PRECIO $ BOLSA 50KG  FOB CDO TUC (IVA INC)]]*Tabla1[[#This Row],[Q Bolsas Equivalentes 50kg]]</f>
        <v>#VALUE!</v>
      </c>
      <c r="AP447" s="847"/>
      <c r="AQ447" s="846">
        <v>0</v>
      </c>
      <c r="AR447" s="828"/>
      <c r="AS447" s="849"/>
      <c r="AT447" s="923">
        <f>+Tabla1[[#This Row],[VENTA TOTAL $ (IVA INC) ]]-(SUM(Tabla1[[#This Row],[PENDIENTE DE ENTREGA]:[VALORES COBRADOS]]))</f>
        <v>0</v>
      </c>
      <c r="AU447" s="850" t="e">
        <f>VLOOKUP(Tabla1[[#This Row],[FECHA OC]],'TIPO DE CAMBIO'!A:B,2,TRUE)</f>
        <v>#N/A</v>
      </c>
      <c r="AV447" s="850" t="e">
        <f>+Tabla1[[#This Row],[SUBTOTAL]]/Tabla1[[#This Row],[TIPO DE CAMBIO]]</f>
        <v>#N/A</v>
      </c>
      <c r="AW447" s="851"/>
      <c r="AX447" s="850" t="str">
        <f>IFERROR(Tabla1[[#This Row],[VENTA TOTAL USD A PLAZO EN CLIENTE  (SIN IVA)]]*(1+Tabla1[[#This Row],[% IVA ]]),"")</f>
        <v/>
      </c>
      <c r="AY447" s="850" t="e">
        <f>+Tabla1[[#This Row],[VENTA TOTAL USD A PLAZO EN CLIENTE  (SIN IVA)]]/Tabla1[[#This Row],[KGS]]*1000</f>
        <v>#N/A</v>
      </c>
      <c r="AZ447" s="850" t="e">
        <f>-Tabla1[[#This Row],[COSTO FLETE $ POR BOLSA 5O KG (SIN IVA)]]*20/Tabla1[[#This Row],[TIPO DE CAMBIO]]</f>
        <v>#N/A</v>
      </c>
      <c r="BA447" s="850" t="e">
        <f>+Tabla1[[#This Row],[GASTOS FINANCIEROS $ BOLSA 50 KG (IVA INC)]]*20/Tabla1[[#This Row],[TIPO DE CAMBIO]]</f>
        <v>#VALUE!</v>
      </c>
      <c r="BB447" s="850" t="e">
        <f>+Tabla1[[#This Row],[PRECIO POR TN USD EN CLIENTE A PLAZO (SIN IVA)]]+Tabla1[[#This Row],[COSTO USD FLETE /TN (SIN IVA)]]+Tabla1[[#This Row],[COSTO FINANCIERO USD POR BOLSA 50KG (IVA INC)]]</f>
        <v>#N/A</v>
      </c>
      <c r="BC447" s="828"/>
      <c r="BD447" s="944"/>
    </row>
    <row r="448" spans="1:56" ht="15.75" customHeight="1">
      <c r="A448" s="912">
        <v>46235</v>
      </c>
      <c r="B448" s="853"/>
      <c r="C448" s="792"/>
      <c r="D448" s="829">
        <f>+Tabla1[[#This Row],[FECHA Entrega]]</f>
        <v>0</v>
      </c>
      <c r="E448" s="830"/>
      <c r="F448" s="831"/>
      <c r="G448" s="832"/>
      <c r="H448" s="852"/>
      <c r="I448" s="834"/>
      <c r="J448" s="835"/>
      <c r="K448" s="836">
        <f t="shared" si="138"/>
        <v>0</v>
      </c>
      <c r="L44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48" s="837">
        <f t="shared" si="140"/>
        <v>0</v>
      </c>
      <c r="N448" s="838">
        <f>+Tabla1[[#This Row],[VENTA TOTAL $ (IVA INC) ]]</f>
        <v>0</v>
      </c>
      <c r="O448" s="838">
        <v>0</v>
      </c>
      <c r="P448" s="838">
        <v>0</v>
      </c>
      <c r="Q448" s="839">
        <f>+Tabla1[[#This Row],[VENTA TOTAL $ (IVA INC) ]]-Tabla1[[#This Row],[PENDIENTE DE COBRO]]</f>
        <v>0</v>
      </c>
      <c r="R448" s="840">
        <f>+Tabla1[[#This Row],[FECHA FC]]+Tabla1[[#This Row],[PLAZO ENTREGA VALORES]]</f>
        <v>0</v>
      </c>
      <c r="S448" s="840">
        <f>+Tabla1[[#This Row],[FECHA FC]]+Tabla1[[#This Row],[PLAZO PAGO (DIAS)]]</f>
        <v>0</v>
      </c>
      <c r="T448" s="834">
        <f t="shared" ca="1" si="139"/>
        <v>-46181</v>
      </c>
      <c r="U448" s="831"/>
      <c r="V448" s="831"/>
      <c r="W448" s="841">
        <f t="shared" si="141"/>
        <v>7</v>
      </c>
      <c r="X448" s="830"/>
      <c r="Y448" s="859"/>
      <c r="Z448" s="860">
        <f>Tabla1[[#This Row],[KGS]]/50</f>
        <v>0</v>
      </c>
      <c r="AA44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48" s="844">
        <f>-Tabla1[[#This Row],[COSTO FLETE $ POR BOLSA 5O KG (SIN IVA)]]*1.21-Tabla1[[#This Row],[PRECIO $/ KG A PLAZO EN CLIENTE ( SIN IVA)]]*0.003*1.21*50</f>
        <v>0</v>
      </c>
      <c r="AC448" s="845" t="e">
        <f>SUM(Tabla1[[#This Row],[PRECIO $ BOLSA 50 KG (IVA INC) ]]+Tabla1[[#This Row],[COSTO FLETE $ BOLSA 50 KG (IVA INC)]])</f>
        <v>#VALUE!</v>
      </c>
      <c r="AD448" s="844" t="e">
        <f>-Tabla1[[#This Row],[PRECIO $ BOLSA 50 KG (IVA INC) ]]*(Tabla1[[#This Row],[TASA FINANCIACION MENSUAL]]/365)*Tabla1[[#This Row],[PLAZO ENTREGA VALORES]]</f>
        <v>#VALUE!</v>
      </c>
      <c r="AE448" s="845" t="e">
        <f>SUM(Tabla1[[#This Row],[PRECIO $ BOLSA50 KG  FOB TUCUMAN A PLAZO (IVA INC)]]+Tabla1[[#This Row],[GASTOS FINANCIEROS $ BOLSA 50 KG (IVA INC)]])</f>
        <v>#VALUE!</v>
      </c>
      <c r="AF448" s="828"/>
      <c r="AG448" s="828"/>
      <c r="AH448" s="828"/>
      <c r="AI448" s="828"/>
      <c r="AJ44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48" s="846" t="e">
        <f>SUM(Tabla1[[#This Row],[PRECIO $ BOLSA 50KG  FOB CDO TUC (IVA INC)]]-Tabla1[[#This Row],[PRECIO REF $ BOLSA 50 KG CACTU (IVA INC)]])</f>
        <v>#VALUE!</v>
      </c>
      <c r="AL448" s="847" t="str">
        <f>IFERROR(Tabla1[[#This Row],[PRECIO $ BOLSA 50KG  FOB CDO TUC (IVA INC)]]/Tabla1[[#This Row],[PRECIO REF $ BOLSA 50 KG CACTU (IVA INC)]]-1,"")</f>
        <v/>
      </c>
      <c r="AM448" s="846" t="e">
        <f>+Tabla1[[#This Row],[DIF $ PRECIO NETO INDUSTRIA vs Neto TUCUMAN (IVA INC)]]*Tabla1[[#This Row],[Q Bolsas Equivalentes 50kg]]</f>
        <v>#VALUE!</v>
      </c>
      <c r="AN448" s="846" t="e">
        <f>Tabla1[[#This Row],[PRECIO REF $ BOLSA 50 KG CACTU (IVA INC)]]*Tabla1[[#This Row],[Q Bolsas Equivalentes 50kg]]</f>
        <v>#VALUE!</v>
      </c>
      <c r="AO448" s="846" t="e">
        <f>+Tabla1[[#This Row],[PRECIO $ BOLSA 50KG  FOB CDO TUC (IVA INC)]]*Tabla1[[#This Row],[Q Bolsas Equivalentes 50kg]]</f>
        <v>#VALUE!</v>
      </c>
      <c r="AP448" s="847"/>
      <c r="AQ448" s="846">
        <v>0</v>
      </c>
      <c r="AR448" s="828"/>
      <c r="AS448" s="849"/>
      <c r="AT448" s="923">
        <f>+Tabla1[[#This Row],[VENTA TOTAL $ (IVA INC) ]]-(SUM(Tabla1[[#This Row],[PENDIENTE DE ENTREGA]:[VALORES COBRADOS]]))</f>
        <v>0</v>
      </c>
      <c r="AU448" s="850" t="e">
        <f>VLOOKUP(Tabla1[[#This Row],[FECHA OC]],'TIPO DE CAMBIO'!A:B,2,TRUE)</f>
        <v>#N/A</v>
      </c>
      <c r="AV448" s="850" t="e">
        <f>+Tabla1[[#This Row],[SUBTOTAL]]/Tabla1[[#This Row],[TIPO DE CAMBIO]]</f>
        <v>#N/A</v>
      </c>
      <c r="AW448" s="851"/>
      <c r="AX448" s="850" t="str">
        <f>IFERROR(Tabla1[[#This Row],[VENTA TOTAL USD A PLAZO EN CLIENTE  (SIN IVA)]]*(1+Tabla1[[#This Row],[% IVA ]]),"")</f>
        <v/>
      </c>
      <c r="AY448" s="850" t="e">
        <f>+Tabla1[[#This Row],[VENTA TOTAL USD A PLAZO EN CLIENTE  (SIN IVA)]]/Tabla1[[#This Row],[KGS]]*1000</f>
        <v>#N/A</v>
      </c>
      <c r="AZ448" s="850" t="e">
        <f>-Tabla1[[#This Row],[COSTO FLETE $ POR BOLSA 5O KG (SIN IVA)]]*20/Tabla1[[#This Row],[TIPO DE CAMBIO]]</f>
        <v>#N/A</v>
      </c>
      <c r="BA448" s="850" t="e">
        <f>+Tabla1[[#This Row],[GASTOS FINANCIEROS $ BOLSA 50 KG (IVA INC)]]*20/Tabla1[[#This Row],[TIPO DE CAMBIO]]</f>
        <v>#VALUE!</v>
      </c>
      <c r="BB448" s="850" t="e">
        <f>+Tabla1[[#This Row],[PRECIO POR TN USD EN CLIENTE A PLAZO (SIN IVA)]]+Tabla1[[#This Row],[COSTO USD FLETE /TN (SIN IVA)]]+Tabla1[[#This Row],[COSTO FINANCIERO USD POR BOLSA 50KG (IVA INC)]]</f>
        <v>#N/A</v>
      </c>
      <c r="BC448" s="828"/>
      <c r="BD448" s="944"/>
    </row>
    <row r="449" spans="1:56" ht="15.75" customHeight="1">
      <c r="A449" s="912">
        <v>46235</v>
      </c>
      <c r="B449" s="853"/>
      <c r="C449" s="792"/>
      <c r="D449" s="829">
        <f>+Tabla1[[#This Row],[FECHA Entrega]]</f>
        <v>0</v>
      </c>
      <c r="E449" s="830"/>
      <c r="F449" s="831"/>
      <c r="G449" s="832"/>
      <c r="H449" s="852"/>
      <c r="I449" s="834"/>
      <c r="J449" s="835"/>
      <c r="K449" s="836">
        <f t="shared" si="138"/>
        <v>0</v>
      </c>
      <c r="L44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49" s="837">
        <f t="shared" si="140"/>
        <v>0</v>
      </c>
      <c r="N449" s="838">
        <f>+Tabla1[[#This Row],[VENTA TOTAL $ (IVA INC) ]]</f>
        <v>0</v>
      </c>
      <c r="O449" s="838">
        <v>0</v>
      </c>
      <c r="P449" s="838">
        <v>0</v>
      </c>
      <c r="Q449" s="839">
        <f>+Tabla1[[#This Row],[VENTA TOTAL $ (IVA INC) ]]-Tabla1[[#This Row],[PENDIENTE DE COBRO]]</f>
        <v>0</v>
      </c>
      <c r="R449" s="840">
        <f>+Tabla1[[#This Row],[FECHA FC]]+Tabla1[[#This Row],[PLAZO ENTREGA VALORES]]</f>
        <v>0</v>
      </c>
      <c r="S449" s="840">
        <f>+Tabla1[[#This Row],[FECHA FC]]+Tabla1[[#This Row],[PLAZO PAGO (DIAS)]]</f>
        <v>0</v>
      </c>
      <c r="T449" s="834">
        <f t="shared" ca="1" si="139"/>
        <v>-46181</v>
      </c>
      <c r="U449" s="831"/>
      <c r="V449" s="831"/>
      <c r="W449" s="841">
        <f t="shared" si="141"/>
        <v>7</v>
      </c>
      <c r="X449" s="830"/>
      <c r="Y449" s="859"/>
      <c r="Z449" s="860">
        <f>Tabla1[[#This Row],[KGS]]/50</f>
        <v>0</v>
      </c>
      <c r="AA44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49" s="844">
        <f>-Tabla1[[#This Row],[COSTO FLETE $ POR BOLSA 5O KG (SIN IVA)]]*1.21-Tabla1[[#This Row],[PRECIO $/ KG A PLAZO EN CLIENTE ( SIN IVA)]]*0.003*1.21*50</f>
        <v>0</v>
      </c>
      <c r="AC449" s="845" t="e">
        <f>SUM(Tabla1[[#This Row],[PRECIO $ BOLSA 50 KG (IVA INC) ]]+Tabla1[[#This Row],[COSTO FLETE $ BOLSA 50 KG (IVA INC)]])</f>
        <v>#VALUE!</v>
      </c>
      <c r="AD449" s="844" t="e">
        <f>-Tabla1[[#This Row],[PRECIO $ BOLSA 50 KG (IVA INC) ]]*(Tabla1[[#This Row],[TASA FINANCIACION MENSUAL]]/365)*Tabla1[[#This Row],[PLAZO ENTREGA VALORES]]</f>
        <v>#VALUE!</v>
      </c>
      <c r="AE449" s="845" t="e">
        <f>SUM(Tabla1[[#This Row],[PRECIO $ BOLSA50 KG  FOB TUCUMAN A PLAZO (IVA INC)]]+Tabla1[[#This Row],[GASTOS FINANCIEROS $ BOLSA 50 KG (IVA INC)]])</f>
        <v>#VALUE!</v>
      </c>
      <c r="AF449" s="828"/>
      <c r="AG449" s="828"/>
      <c r="AH449" s="828"/>
      <c r="AI449" s="828"/>
      <c r="AJ44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49" s="846" t="e">
        <f>SUM(Tabla1[[#This Row],[PRECIO $ BOLSA 50KG  FOB CDO TUC (IVA INC)]]-Tabla1[[#This Row],[PRECIO REF $ BOLSA 50 KG CACTU (IVA INC)]])</f>
        <v>#VALUE!</v>
      </c>
      <c r="AL449" s="847" t="str">
        <f>IFERROR(Tabla1[[#This Row],[PRECIO $ BOLSA 50KG  FOB CDO TUC (IVA INC)]]/Tabla1[[#This Row],[PRECIO REF $ BOLSA 50 KG CACTU (IVA INC)]]-1,"")</f>
        <v/>
      </c>
      <c r="AM449" s="846" t="e">
        <f>+Tabla1[[#This Row],[DIF $ PRECIO NETO INDUSTRIA vs Neto TUCUMAN (IVA INC)]]*Tabla1[[#This Row],[Q Bolsas Equivalentes 50kg]]</f>
        <v>#VALUE!</v>
      </c>
      <c r="AN449" s="846" t="e">
        <f>Tabla1[[#This Row],[PRECIO REF $ BOLSA 50 KG CACTU (IVA INC)]]*Tabla1[[#This Row],[Q Bolsas Equivalentes 50kg]]</f>
        <v>#VALUE!</v>
      </c>
      <c r="AO449" s="846" t="e">
        <f>+Tabla1[[#This Row],[PRECIO $ BOLSA 50KG  FOB CDO TUC (IVA INC)]]*Tabla1[[#This Row],[Q Bolsas Equivalentes 50kg]]</f>
        <v>#VALUE!</v>
      </c>
      <c r="AP449" s="847"/>
      <c r="AQ449" s="846">
        <v>0</v>
      </c>
      <c r="AR449" s="828"/>
      <c r="AS449" s="849"/>
      <c r="AT449" s="923">
        <f>+Tabla1[[#This Row],[VENTA TOTAL $ (IVA INC) ]]-(SUM(Tabla1[[#This Row],[PENDIENTE DE ENTREGA]:[VALORES COBRADOS]]))</f>
        <v>0</v>
      </c>
      <c r="AU449" s="850" t="e">
        <f>VLOOKUP(Tabla1[[#This Row],[FECHA OC]],'TIPO DE CAMBIO'!A:B,2,TRUE)</f>
        <v>#N/A</v>
      </c>
      <c r="AV449" s="850" t="e">
        <f>+Tabla1[[#This Row],[SUBTOTAL]]/Tabla1[[#This Row],[TIPO DE CAMBIO]]</f>
        <v>#N/A</v>
      </c>
      <c r="AW449" s="851"/>
      <c r="AX449" s="850" t="str">
        <f>IFERROR(Tabla1[[#This Row],[VENTA TOTAL USD A PLAZO EN CLIENTE  (SIN IVA)]]*(1+Tabla1[[#This Row],[% IVA ]]),"")</f>
        <v/>
      </c>
      <c r="AY449" s="850" t="e">
        <f>+Tabla1[[#This Row],[VENTA TOTAL USD A PLAZO EN CLIENTE  (SIN IVA)]]/Tabla1[[#This Row],[KGS]]*1000</f>
        <v>#N/A</v>
      </c>
      <c r="AZ449" s="850" t="e">
        <f>-Tabla1[[#This Row],[COSTO FLETE $ POR BOLSA 5O KG (SIN IVA)]]*20/Tabla1[[#This Row],[TIPO DE CAMBIO]]</f>
        <v>#N/A</v>
      </c>
      <c r="BA449" s="850" t="e">
        <f>+Tabla1[[#This Row],[GASTOS FINANCIEROS $ BOLSA 50 KG (IVA INC)]]*20/Tabla1[[#This Row],[TIPO DE CAMBIO]]</f>
        <v>#VALUE!</v>
      </c>
      <c r="BB449" s="850" t="e">
        <f>+Tabla1[[#This Row],[PRECIO POR TN USD EN CLIENTE A PLAZO (SIN IVA)]]+Tabla1[[#This Row],[COSTO USD FLETE /TN (SIN IVA)]]+Tabla1[[#This Row],[COSTO FINANCIERO USD POR BOLSA 50KG (IVA INC)]]</f>
        <v>#N/A</v>
      </c>
      <c r="BC449" s="828"/>
      <c r="BD449" s="944"/>
    </row>
    <row r="450" spans="1:56" ht="15.75" customHeight="1">
      <c r="A450" s="912">
        <v>46235</v>
      </c>
      <c r="B450" s="853"/>
      <c r="C450" s="792"/>
      <c r="D450" s="829">
        <f>+Tabla1[[#This Row],[FECHA Entrega]]</f>
        <v>0</v>
      </c>
      <c r="E450" s="830"/>
      <c r="F450" s="831"/>
      <c r="G450" s="832"/>
      <c r="H450" s="852"/>
      <c r="I450" s="834"/>
      <c r="J450" s="835"/>
      <c r="K450" s="836">
        <f t="shared" si="138"/>
        <v>0</v>
      </c>
      <c r="L45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50" s="837">
        <f t="shared" si="140"/>
        <v>0</v>
      </c>
      <c r="N450" s="838">
        <f>+Tabla1[[#This Row],[VENTA TOTAL $ (IVA INC) ]]</f>
        <v>0</v>
      </c>
      <c r="O450" s="838">
        <v>0</v>
      </c>
      <c r="P450" s="838">
        <v>0</v>
      </c>
      <c r="Q450" s="839">
        <f>+Tabla1[[#This Row],[VENTA TOTAL $ (IVA INC) ]]-Tabla1[[#This Row],[PENDIENTE DE COBRO]]</f>
        <v>0</v>
      </c>
      <c r="R450" s="840">
        <f>+Tabla1[[#This Row],[FECHA FC]]+Tabla1[[#This Row],[PLAZO ENTREGA VALORES]]</f>
        <v>0</v>
      </c>
      <c r="S450" s="840">
        <f>+Tabla1[[#This Row],[FECHA FC]]+Tabla1[[#This Row],[PLAZO PAGO (DIAS)]]</f>
        <v>0</v>
      </c>
      <c r="T450" s="834">
        <f t="shared" ca="1" si="139"/>
        <v>-46181</v>
      </c>
      <c r="U450" s="831"/>
      <c r="V450" s="831"/>
      <c r="W450" s="841">
        <f t="shared" si="141"/>
        <v>7</v>
      </c>
      <c r="X450" s="830"/>
      <c r="Y450" s="859"/>
      <c r="Z450" s="860">
        <f>Tabla1[[#This Row],[KGS]]/50</f>
        <v>0</v>
      </c>
      <c r="AA45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50" s="844">
        <f>-Tabla1[[#This Row],[COSTO FLETE $ POR BOLSA 5O KG (SIN IVA)]]*1.21-Tabla1[[#This Row],[PRECIO $/ KG A PLAZO EN CLIENTE ( SIN IVA)]]*0.003*1.21*50</f>
        <v>0</v>
      </c>
      <c r="AC450" s="845" t="e">
        <f>SUM(Tabla1[[#This Row],[PRECIO $ BOLSA 50 KG (IVA INC) ]]+Tabla1[[#This Row],[COSTO FLETE $ BOLSA 50 KG (IVA INC)]])</f>
        <v>#VALUE!</v>
      </c>
      <c r="AD450" s="844" t="e">
        <f>-Tabla1[[#This Row],[PRECIO $ BOLSA 50 KG (IVA INC) ]]*(Tabla1[[#This Row],[TASA FINANCIACION MENSUAL]]/365)*Tabla1[[#This Row],[PLAZO ENTREGA VALORES]]</f>
        <v>#VALUE!</v>
      </c>
      <c r="AE450" s="845" t="e">
        <f>SUM(Tabla1[[#This Row],[PRECIO $ BOLSA50 KG  FOB TUCUMAN A PLAZO (IVA INC)]]+Tabla1[[#This Row],[GASTOS FINANCIEROS $ BOLSA 50 KG (IVA INC)]])</f>
        <v>#VALUE!</v>
      </c>
      <c r="AF450" s="828"/>
      <c r="AG450" s="828"/>
      <c r="AH450" s="828"/>
      <c r="AI450" s="828"/>
      <c r="AJ45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50" s="846" t="e">
        <f>SUM(Tabla1[[#This Row],[PRECIO $ BOLSA 50KG  FOB CDO TUC (IVA INC)]]-Tabla1[[#This Row],[PRECIO REF $ BOLSA 50 KG CACTU (IVA INC)]])</f>
        <v>#VALUE!</v>
      </c>
      <c r="AL450" s="847" t="str">
        <f>IFERROR(Tabla1[[#This Row],[PRECIO $ BOLSA 50KG  FOB CDO TUC (IVA INC)]]/Tabla1[[#This Row],[PRECIO REF $ BOLSA 50 KG CACTU (IVA INC)]]-1,"")</f>
        <v/>
      </c>
      <c r="AM450" s="846" t="e">
        <f>+Tabla1[[#This Row],[DIF $ PRECIO NETO INDUSTRIA vs Neto TUCUMAN (IVA INC)]]*Tabla1[[#This Row],[Q Bolsas Equivalentes 50kg]]</f>
        <v>#VALUE!</v>
      </c>
      <c r="AN450" s="846" t="e">
        <f>Tabla1[[#This Row],[PRECIO REF $ BOLSA 50 KG CACTU (IVA INC)]]*Tabla1[[#This Row],[Q Bolsas Equivalentes 50kg]]</f>
        <v>#VALUE!</v>
      </c>
      <c r="AO450" s="846" t="e">
        <f>+Tabla1[[#This Row],[PRECIO $ BOLSA 50KG  FOB CDO TUC (IVA INC)]]*Tabla1[[#This Row],[Q Bolsas Equivalentes 50kg]]</f>
        <v>#VALUE!</v>
      </c>
      <c r="AP450" s="847"/>
      <c r="AQ450" s="846">
        <v>0</v>
      </c>
      <c r="AR450" s="828"/>
      <c r="AS450" s="849"/>
      <c r="AT450" s="923">
        <f>+Tabla1[[#This Row],[VENTA TOTAL $ (IVA INC) ]]-(SUM(Tabla1[[#This Row],[PENDIENTE DE ENTREGA]:[VALORES COBRADOS]]))</f>
        <v>0</v>
      </c>
      <c r="AU450" s="850" t="e">
        <f>VLOOKUP(Tabla1[[#This Row],[FECHA OC]],'TIPO DE CAMBIO'!A:B,2,TRUE)</f>
        <v>#N/A</v>
      </c>
      <c r="AV450" s="850" t="e">
        <f>+Tabla1[[#This Row],[SUBTOTAL]]/Tabla1[[#This Row],[TIPO DE CAMBIO]]</f>
        <v>#N/A</v>
      </c>
      <c r="AW450" s="851"/>
      <c r="AX450" s="850" t="str">
        <f>IFERROR(Tabla1[[#This Row],[VENTA TOTAL USD A PLAZO EN CLIENTE  (SIN IVA)]]*(1+Tabla1[[#This Row],[% IVA ]]),"")</f>
        <v/>
      </c>
      <c r="AY450" s="850" t="e">
        <f>+Tabla1[[#This Row],[VENTA TOTAL USD A PLAZO EN CLIENTE  (SIN IVA)]]/Tabla1[[#This Row],[KGS]]*1000</f>
        <v>#N/A</v>
      </c>
      <c r="AZ450" s="850" t="e">
        <f>-Tabla1[[#This Row],[COSTO FLETE $ POR BOLSA 5O KG (SIN IVA)]]*20/Tabla1[[#This Row],[TIPO DE CAMBIO]]</f>
        <v>#N/A</v>
      </c>
      <c r="BA450" s="850" t="e">
        <f>+Tabla1[[#This Row],[GASTOS FINANCIEROS $ BOLSA 50 KG (IVA INC)]]*20/Tabla1[[#This Row],[TIPO DE CAMBIO]]</f>
        <v>#VALUE!</v>
      </c>
      <c r="BB450" s="850" t="e">
        <f>+Tabla1[[#This Row],[PRECIO POR TN USD EN CLIENTE A PLAZO (SIN IVA)]]+Tabla1[[#This Row],[COSTO USD FLETE /TN (SIN IVA)]]+Tabla1[[#This Row],[COSTO FINANCIERO USD POR BOLSA 50KG (IVA INC)]]</f>
        <v>#N/A</v>
      </c>
      <c r="BC450" s="828"/>
      <c r="BD450" s="944"/>
    </row>
    <row r="451" spans="1:56" ht="15.75" customHeight="1">
      <c r="A451" s="912">
        <v>46235</v>
      </c>
      <c r="B451" s="853"/>
      <c r="C451" s="792"/>
      <c r="D451" s="829">
        <f>+Tabla1[[#This Row],[FECHA Entrega]]</f>
        <v>0</v>
      </c>
      <c r="E451" s="830"/>
      <c r="F451" s="831"/>
      <c r="G451" s="832"/>
      <c r="H451" s="852"/>
      <c r="I451" s="834"/>
      <c r="J451" s="835"/>
      <c r="K451" s="836">
        <f t="shared" si="138"/>
        <v>0</v>
      </c>
      <c r="L45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51" s="837">
        <f t="shared" si="140"/>
        <v>0</v>
      </c>
      <c r="N451" s="838">
        <f>+Tabla1[[#This Row],[VENTA TOTAL $ (IVA INC) ]]</f>
        <v>0</v>
      </c>
      <c r="O451" s="838">
        <v>0</v>
      </c>
      <c r="P451" s="838">
        <v>0</v>
      </c>
      <c r="Q451" s="839">
        <f>+Tabla1[[#This Row],[VENTA TOTAL $ (IVA INC) ]]-Tabla1[[#This Row],[PENDIENTE DE COBRO]]</f>
        <v>0</v>
      </c>
      <c r="R451" s="840">
        <f>+Tabla1[[#This Row],[FECHA FC]]+Tabla1[[#This Row],[PLAZO ENTREGA VALORES]]</f>
        <v>0</v>
      </c>
      <c r="S451" s="840">
        <f>+Tabla1[[#This Row],[FECHA FC]]+Tabla1[[#This Row],[PLAZO PAGO (DIAS)]]</f>
        <v>0</v>
      </c>
      <c r="T451" s="834">
        <f t="shared" ca="1" si="139"/>
        <v>-46181</v>
      </c>
      <c r="U451" s="831"/>
      <c r="V451" s="831"/>
      <c r="W451" s="841">
        <f t="shared" si="141"/>
        <v>7</v>
      </c>
      <c r="X451" s="830"/>
      <c r="Y451" s="859"/>
      <c r="Z451" s="860">
        <f>Tabla1[[#This Row],[KGS]]/50</f>
        <v>0</v>
      </c>
      <c r="AA45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51" s="844">
        <f>-Tabla1[[#This Row],[COSTO FLETE $ POR BOLSA 5O KG (SIN IVA)]]*1.21-Tabla1[[#This Row],[PRECIO $/ KG A PLAZO EN CLIENTE ( SIN IVA)]]*0.003*1.21*50</f>
        <v>0</v>
      </c>
      <c r="AC451" s="845" t="e">
        <f>SUM(Tabla1[[#This Row],[PRECIO $ BOLSA 50 KG (IVA INC) ]]+Tabla1[[#This Row],[COSTO FLETE $ BOLSA 50 KG (IVA INC)]])</f>
        <v>#VALUE!</v>
      </c>
      <c r="AD451" s="844" t="e">
        <f>-Tabla1[[#This Row],[PRECIO $ BOLSA 50 KG (IVA INC) ]]*(Tabla1[[#This Row],[TASA FINANCIACION MENSUAL]]/365)*Tabla1[[#This Row],[PLAZO ENTREGA VALORES]]</f>
        <v>#VALUE!</v>
      </c>
      <c r="AE451" s="845" t="e">
        <f>SUM(Tabla1[[#This Row],[PRECIO $ BOLSA50 KG  FOB TUCUMAN A PLAZO (IVA INC)]]+Tabla1[[#This Row],[GASTOS FINANCIEROS $ BOLSA 50 KG (IVA INC)]])</f>
        <v>#VALUE!</v>
      </c>
      <c r="AF451" s="828"/>
      <c r="AG451" s="828"/>
      <c r="AH451" s="828"/>
      <c r="AI451" s="828"/>
      <c r="AJ45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51" s="846" t="e">
        <f>SUM(Tabla1[[#This Row],[PRECIO $ BOLSA 50KG  FOB CDO TUC (IVA INC)]]-Tabla1[[#This Row],[PRECIO REF $ BOLSA 50 KG CACTU (IVA INC)]])</f>
        <v>#VALUE!</v>
      </c>
      <c r="AL451" s="847" t="str">
        <f>IFERROR(Tabla1[[#This Row],[PRECIO $ BOLSA 50KG  FOB CDO TUC (IVA INC)]]/Tabla1[[#This Row],[PRECIO REF $ BOLSA 50 KG CACTU (IVA INC)]]-1,"")</f>
        <v/>
      </c>
      <c r="AM451" s="846" t="e">
        <f>+Tabla1[[#This Row],[DIF $ PRECIO NETO INDUSTRIA vs Neto TUCUMAN (IVA INC)]]*Tabla1[[#This Row],[Q Bolsas Equivalentes 50kg]]</f>
        <v>#VALUE!</v>
      </c>
      <c r="AN451" s="846" t="e">
        <f>Tabla1[[#This Row],[PRECIO REF $ BOLSA 50 KG CACTU (IVA INC)]]*Tabla1[[#This Row],[Q Bolsas Equivalentes 50kg]]</f>
        <v>#VALUE!</v>
      </c>
      <c r="AO451" s="846" t="e">
        <f>+Tabla1[[#This Row],[PRECIO $ BOLSA 50KG  FOB CDO TUC (IVA INC)]]*Tabla1[[#This Row],[Q Bolsas Equivalentes 50kg]]</f>
        <v>#VALUE!</v>
      </c>
      <c r="AP451" s="847"/>
      <c r="AQ451" s="846">
        <v>0</v>
      </c>
      <c r="AR451" s="828"/>
      <c r="AS451" s="849"/>
      <c r="AT451" s="923">
        <f>+Tabla1[[#This Row],[VENTA TOTAL $ (IVA INC) ]]-(SUM(Tabla1[[#This Row],[PENDIENTE DE ENTREGA]:[VALORES COBRADOS]]))</f>
        <v>0</v>
      </c>
      <c r="AU451" s="850" t="e">
        <f>VLOOKUP(Tabla1[[#This Row],[FECHA OC]],'TIPO DE CAMBIO'!A:B,2,TRUE)</f>
        <v>#N/A</v>
      </c>
      <c r="AV451" s="850" t="e">
        <f>+Tabla1[[#This Row],[SUBTOTAL]]/Tabla1[[#This Row],[TIPO DE CAMBIO]]</f>
        <v>#N/A</v>
      </c>
      <c r="AW451" s="851"/>
      <c r="AX451" s="850" t="str">
        <f>IFERROR(Tabla1[[#This Row],[VENTA TOTAL USD A PLAZO EN CLIENTE  (SIN IVA)]]*(1+Tabla1[[#This Row],[% IVA ]]),"")</f>
        <v/>
      </c>
      <c r="AY451" s="850" t="e">
        <f>+Tabla1[[#This Row],[VENTA TOTAL USD A PLAZO EN CLIENTE  (SIN IVA)]]/Tabla1[[#This Row],[KGS]]*1000</f>
        <v>#N/A</v>
      </c>
      <c r="AZ451" s="850" t="e">
        <f>-Tabla1[[#This Row],[COSTO FLETE $ POR BOLSA 5O KG (SIN IVA)]]*20/Tabla1[[#This Row],[TIPO DE CAMBIO]]</f>
        <v>#N/A</v>
      </c>
      <c r="BA451" s="850" t="e">
        <f>+Tabla1[[#This Row],[GASTOS FINANCIEROS $ BOLSA 50 KG (IVA INC)]]*20/Tabla1[[#This Row],[TIPO DE CAMBIO]]</f>
        <v>#VALUE!</v>
      </c>
      <c r="BB451" s="850" t="e">
        <f>+Tabla1[[#This Row],[PRECIO POR TN USD EN CLIENTE A PLAZO (SIN IVA)]]+Tabla1[[#This Row],[COSTO USD FLETE /TN (SIN IVA)]]+Tabla1[[#This Row],[COSTO FINANCIERO USD POR BOLSA 50KG (IVA INC)]]</f>
        <v>#N/A</v>
      </c>
      <c r="BC451" s="828"/>
      <c r="BD451" s="944"/>
    </row>
    <row r="452" spans="1:56" ht="15.75" customHeight="1">
      <c r="A452" s="912">
        <v>46235</v>
      </c>
      <c r="B452" s="853"/>
      <c r="C452" s="792"/>
      <c r="D452" s="829">
        <f>+Tabla1[[#This Row],[FECHA Entrega]]</f>
        <v>0</v>
      </c>
      <c r="E452" s="830"/>
      <c r="F452" s="831"/>
      <c r="G452" s="832"/>
      <c r="H452" s="852"/>
      <c r="I452" s="834"/>
      <c r="J452" s="835"/>
      <c r="K452" s="836">
        <f t="shared" si="138"/>
        <v>0</v>
      </c>
      <c r="L45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52" s="837">
        <f t="shared" si="140"/>
        <v>0</v>
      </c>
      <c r="N452" s="838">
        <f>+Tabla1[[#This Row],[VENTA TOTAL $ (IVA INC) ]]</f>
        <v>0</v>
      </c>
      <c r="O452" s="838">
        <v>0</v>
      </c>
      <c r="P452" s="838">
        <v>0</v>
      </c>
      <c r="Q452" s="839">
        <f>+Tabla1[[#This Row],[VENTA TOTAL $ (IVA INC) ]]-Tabla1[[#This Row],[PENDIENTE DE COBRO]]</f>
        <v>0</v>
      </c>
      <c r="R452" s="840">
        <f>+Tabla1[[#This Row],[FECHA FC]]+Tabla1[[#This Row],[PLAZO ENTREGA VALORES]]</f>
        <v>0</v>
      </c>
      <c r="S452" s="840">
        <f>+Tabla1[[#This Row],[FECHA FC]]+Tabla1[[#This Row],[PLAZO PAGO (DIAS)]]</f>
        <v>0</v>
      </c>
      <c r="T452" s="834">
        <f t="shared" ca="1" si="139"/>
        <v>-46181</v>
      </c>
      <c r="U452" s="831"/>
      <c r="V452" s="831"/>
      <c r="W452" s="841">
        <f t="shared" si="141"/>
        <v>7</v>
      </c>
      <c r="X452" s="830"/>
      <c r="Y452" s="859"/>
      <c r="Z452" s="860">
        <f>Tabla1[[#This Row],[KGS]]/50</f>
        <v>0</v>
      </c>
      <c r="AA45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52" s="844">
        <f>-Tabla1[[#This Row],[COSTO FLETE $ POR BOLSA 5O KG (SIN IVA)]]*1.21-Tabla1[[#This Row],[PRECIO $/ KG A PLAZO EN CLIENTE ( SIN IVA)]]*0.003*1.21*50</f>
        <v>0</v>
      </c>
      <c r="AC452" s="845" t="e">
        <f>SUM(Tabla1[[#This Row],[PRECIO $ BOLSA 50 KG (IVA INC) ]]+Tabla1[[#This Row],[COSTO FLETE $ BOLSA 50 KG (IVA INC)]])</f>
        <v>#VALUE!</v>
      </c>
      <c r="AD452" s="844" t="e">
        <f>-Tabla1[[#This Row],[PRECIO $ BOLSA 50 KG (IVA INC) ]]*(Tabla1[[#This Row],[TASA FINANCIACION MENSUAL]]/365)*Tabla1[[#This Row],[PLAZO ENTREGA VALORES]]</f>
        <v>#VALUE!</v>
      </c>
      <c r="AE452" s="845" t="e">
        <f>SUM(Tabla1[[#This Row],[PRECIO $ BOLSA50 KG  FOB TUCUMAN A PLAZO (IVA INC)]]+Tabla1[[#This Row],[GASTOS FINANCIEROS $ BOLSA 50 KG (IVA INC)]])</f>
        <v>#VALUE!</v>
      </c>
      <c r="AF452" s="828"/>
      <c r="AG452" s="828"/>
      <c r="AH452" s="828"/>
      <c r="AI452" s="828"/>
      <c r="AJ45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52" s="846" t="e">
        <f>SUM(Tabla1[[#This Row],[PRECIO $ BOLSA 50KG  FOB CDO TUC (IVA INC)]]-Tabla1[[#This Row],[PRECIO REF $ BOLSA 50 KG CACTU (IVA INC)]])</f>
        <v>#VALUE!</v>
      </c>
      <c r="AL452" s="847" t="str">
        <f>IFERROR(Tabla1[[#This Row],[PRECIO $ BOLSA 50KG  FOB CDO TUC (IVA INC)]]/Tabla1[[#This Row],[PRECIO REF $ BOLSA 50 KG CACTU (IVA INC)]]-1,"")</f>
        <v/>
      </c>
      <c r="AM452" s="846" t="e">
        <f>+Tabla1[[#This Row],[DIF $ PRECIO NETO INDUSTRIA vs Neto TUCUMAN (IVA INC)]]*Tabla1[[#This Row],[Q Bolsas Equivalentes 50kg]]</f>
        <v>#VALUE!</v>
      </c>
      <c r="AN452" s="846" t="e">
        <f>Tabla1[[#This Row],[PRECIO REF $ BOLSA 50 KG CACTU (IVA INC)]]*Tabla1[[#This Row],[Q Bolsas Equivalentes 50kg]]</f>
        <v>#VALUE!</v>
      </c>
      <c r="AO452" s="846" t="e">
        <f>+Tabla1[[#This Row],[PRECIO $ BOLSA 50KG  FOB CDO TUC (IVA INC)]]*Tabla1[[#This Row],[Q Bolsas Equivalentes 50kg]]</f>
        <v>#VALUE!</v>
      </c>
      <c r="AP452" s="847"/>
      <c r="AQ452" s="846">
        <v>0</v>
      </c>
      <c r="AR452" s="828"/>
      <c r="AS452" s="849"/>
      <c r="AT452" s="923">
        <f>+Tabla1[[#This Row],[VENTA TOTAL $ (IVA INC) ]]-(SUM(Tabla1[[#This Row],[PENDIENTE DE ENTREGA]:[VALORES COBRADOS]]))</f>
        <v>0</v>
      </c>
      <c r="AU452" s="850" t="e">
        <f>VLOOKUP(Tabla1[[#This Row],[FECHA OC]],'TIPO DE CAMBIO'!A:B,2,TRUE)</f>
        <v>#N/A</v>
      </c>
      <c r="AV452" s="850" t="e">
        <f>+Tabla1[[#This Row],[SUBTOTAL]]/Tabla1[[#This Row],[TIPO DE CAMBIO]]</f>
        <v>#N/A</v>
      </c>
      <c r="AW452" s="851"/>
      <c r="AX452" s="850" t="str">
        <f>IFERROR(Tabla1[[#This Row],[VENTA TOTAL USD A PLAZO EN CLIENTE  (SIN IVA)]]*(1+Tabla1[[#This Row],[% IVA ]]),"")</f>
        <v/>
      </c>
      <c r="AY452" s="850" t="e">
        <f>+Tabla1[[#This Row],[VENTA TOTAL USD A PLAZO EN CLIENTE  (SIN IVA)]]/Tabla1[[#This Row],[KGS]]*1000</f>
        <v>#N/A</v>
      </c>
      <c r="AZ452" s="850" t="e">
        <f>-Tabla1[[#This Row],[COSTO FLETE $ POR BOLSA 5O KG (SIN IVA)]]*20/Tabla1[[#This Row],[TIPO DE CAMBIO]]</f>
        <v>#N/A</v>
      </c>
      <c r="BA452" s="850" t="e">
        <f>+Tabla1[[#This Row],[GASTOS FINANCIEROS $ BOLSA 50 KG (IVA INC)]]*20/Tabla1[[#This Row],[TIPO DE CAMBIO]]</f>
        <v>#VALUE!</v>
      </c>
      <c r="BB452" s="850" t="e">
        <f>+Tabla1[[#This Row],[PRECIO POR TN USD EN CLIENTE A PLAZO (SIN IVA)]]+Tabla1[[#This Row],[COSTO USD FLETE /TN (SIN IVA)]]+Tabla1[[#This Row],[COSTO FINANCIERO USD POR BOLSA 50KG (IVA INC)]]</f>
        <v>#N/A</v>
      </c>
      <c r="BC452" s="828"/>
      <c r="BD452" s="944"/>
    </row>
    <row r="453" spans="1:56" ht="15.75" customHeight="1">
      <c r="A453" s="912">
        <v>46235</v>
      </c>
      <c r="B453" s="853"/>
      <c r="C453" s="792"/>
      <c r="D453" s="829">
        <f>+Tabla1[[#This Row],[FECHA Entrega]]</f>
        <v>0</v>
      </c>
      <c r="E453" s="830"/>
      <c r="F453" s="831"/>
      <c r="G453" s="832"/>
      <c r="H453" s="852"/>
      <c r="I453" s="834"/>
      <c r="J453" s="835"/>
      <c r="K453" s="836">
        <f t="shared" si="138"/>
        <v>0</v>
      </c>
      <c r="L45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53" s="837">
        <f t="shared" si="140"/>
        <v>0</v>
      </c>
      <c r="N453" s="838">
        <f>+Tabla1[[#This Row],[VENTA TOTAL $ (IVA INC) ]]</f>
        <v>0</v>
      </c>
      <c r="O453" s="838">
        <v>0</v>
      </c>
      <c r="P453" s="838">
        <v>0</v>
      </c>
      <c r="Q453" s="839">
        <f>+Tabla1[[#This Row],[VENTA TOTAL $ (IVA INC) ]]-Tabla1[[#This Row],[PENDIENTE DE COBRO]]</f>
        <v>0</v>
      </c>
      <c r="R453" s="840">
        <f>+Tabla1[[#This Row],[FECHA FC]]+Tabla1[[#This Row],[PLAZO ENTREGA VALORES]]</f>
        <v>0</v>
      </c>
      <c r="S453" s="840">
        <f>+Tabla1[[#This Row],[FECHA FC]]+Tabla1[[#This Row],[PLAZO PAGO (DIAS)]]</f>
        <v>0</v>
      </c>
      <c r="T453" s="834">
        <f t="shared" ca="1" si="139"/>
        <v>-46181</v>
      </c>
      <c r="U453" s="831"/>
      <c r="V453" s="831"/>
      <c r="W453" s="841">
        <f t="shared" si="141"/>
        <v>7</v>
      </c>
      <c r="X453" s="830"/>
      <c r="Y453" s="859"/>
      <c r="Z453" s="860">
        <f>Tabla1[[#This Row],[KGS]]/50</f>
        <v>0</v>
      </c>
      <c r="AA45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53" s="844">
        <f>-Tabla1[[#This Row],[COSTO FLETE $ POR BOLSA 5O KG (SIN IVA)]]*1.21-Tabla1[[#This Row],[PRECIO $/ KG A PLAZO EN CLIENTE ( SIN IVA)]]*0.003*1.21*50</f>
        <v>0</v>
      </c>
      <c r="AC453" s="845" t="e">
        <f>SUM(Tabla1[[#This Row],[PRECIO $ BOLSA 50 KG (IVA INC) ]]+Tabla1[[#This Row],[COSTO FLETE $ BOLSA 50 KG (IVA INC)]])</f>
        <v>#VALUE!</v>
      </c>
      <c r="AD453" s="844" t="e">
        <f>-Tabla1[[#This Row],[PRECIO $ BOLSA 50 KG (IVA INC) ]]*(Tabla1[[#This Row],[TASA FINANCIACION MENSUAL]]/365)*Tabla1[[#This Row],[PLAZO ENTREGA VALORES]]</f>
        <v>#VALUE!</v>
      </c>
      <c r="AE453" s="845" t="e">
        <f>SUM(Tabla1[[#This Row],[PRECIO $ BOLSA50 KG  FOB TUCUMAN A PLAZO (IVA INC)]]+Tabla1[[#This Row],[GASTOS FINANCIEROS $ BOLSA 50 KG (IVA INC)]])</f>
        <v>#VALUE!</v>
      </c>
      <c r="AF453" s="828"/>
      <c r="AG453" s="828"/>
      <c r="AH453" s="828"/>
      <c r="AI453" s="828"/>
      <c r="AJ45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53" s="846" t="e">
        <f>SUM(Tabla1[[#This Row],[PRECIO $ BOLSA 50KG  FOB CDO TUC (IVA INC)]]-Tabla1[[#This Row],[PRECIO REF $ BOLSA 50 KG CACTU (IVA INC)]])</f>
        <v>#VALUE!</v>
      </c>
      <c r="AL453" s="847" t="str">
        <f>IFERROR(Tabla1[[#This Row],[PRECIO $ BOLSA 50KG  FOB CDO TUC (IVA INC)]]/Tabla1[[#This Row],[PRECIO REF $ BOLSA 50 KG CACTU (IVA INC)]]-1,"")</f>
        <v/>
      </c>
      <c r="AM453" s="846" t="e">
        <f>+Tabla1[[#This Row],[DIF $ PRECIO NETO INDUSTRIA vs Neto TUCUMAN (IVA INC)]]*Tabla1[[#This Row],[Q Bolsas Equivalentes 50kg]]</f>
        <v>#VALUE!</v>
      </c>
      <c r="AN453" s="846" t="e">
        <f>Tabla1[[#This Row],[PRECIO REF $ BOLSA 50 KG CACTU (IVA INC)]]*Tabla1[[#This Row],[Q Bolsas Equivalentes 50kg]]</f>
        <v>#VALUE!</v>
      </c>
      <c r="AO453" s="846" t="e">
        <f>+Tabla1[[#This Row],[PRECIO $ BOLSA 50KG  FOB CDO TUC (IVA INC)]]*Tabla1[[#This Row],[Q Bolsas Equivalentes 50kg]]</f>
        <v>#VALUE!</v>
      </c>
      <c r="AP453" s="847"/>
      <c r="AQ453" s="846">
        <v>0</v>
      </c>
      <c r="AR453" s="828"/>
      <c r="AS453" s="849"/>
      <c r="AT453" s="923">
        <f>+Tabla1[[#This Row],[VENTA TOTAL $ (IVA INC) ]]-(SUM(Tabla1[[#This Row],[PENDIENTE DE ENTREGA]:[VALORES COBRADOS]]))</f>
        <v>0</v>
      </c>
      <c r="AU453" s="850" t="e">
        <f>VLOOKUP(Tabla1[[#This Row],[FECHA OC]],'TIPO DE CAMBIO'!A:B,2,TRUE)</f>
        <v>#N/A</v>
      </c>
      <c r="AV453" s="850" t="e">
        <f>+Tabla1[[#This Row],[SUBTOTAL]]/Tabla1[[#This Row],[TIPO DE CAMBIO]]</f>
        <v>#N/A</v>
      </c>
      <c r="AW453" s="851"/>
      <c r="AX453" s="850" t="str">
        <f>IFERROR(Tabla1[[#This Row],[VENTA TOTAL USD A PLAZO EN CLIENTE  (SIN IVA)]]*(1+Tabla1[[#This Row],[% IVA ]]),"")</f>
        <v/>
      </c>
      <c r="AY453" s="850" t="e">
        <f>+Tabla1[[#This Row],[VENTA TOTAL USD A PLAZO EN CLIENTE  (SIN IVA)]]/Tabla1[[#This Row],[KGS]]*1000</f>
        <v>#N/A</v>
      </c>
      <c r="AZ453" s="850" t="e">
        <f>-Tabla1[[#This Row],[COSTO FLETE $ POR BOLSA 5O KG (SIN IVA)]]*20/Tabla1[[#This Row],[TIPO DE CAMBIO]]</f>
        <v>#N/A</v>
      </c>
      <c r="BA453" s="850" t="e">
        <f>+Tabla1[[#This Row],[GASTOS FINANCIEROS $ BOLSA 50 KG (IVA INC)]]*20/Tabla1[[#This Row],[TIPO DE CAMBIO]]</f>
        <v>#VALUE!</v>
      </c>
      <c r="BB453" s="850" t="e">
        <f>+Tabla1[[#This Row],[PRECIO POR TN USD EN CLIENTE A PLAZO (SIN IVA)]]+Tabla1[[#This Row],[COSTO USD FLETE /TN (SIN IVA)]]+Tabla1[[#This Row],[COSTO FINANCIERO USD POR BOLSA 50KG (IVA INC)]]</f>
        <v>#N/A</v>
      </c>
      <c r="BC453" s="828"/>
      <c r="BD453" s="944"/>
    </row>
    <row r="454" spans="1:56" ht="15.75" customHeight="1">
      <c r="A454" s="912">
        <v>46235</v>
      </c>
      <c r="B454" s="853"/>
      <c r="C454" s="792"/>
      <c r="D454" s="829">
        <f>+Tabla1[[#This Row],[FECHA Entrega]]</f>
        <v>0</v>
      </c>
      <c r="E454" s="830"/>
      <c r="F454" s="831"/>
      <c r="G454" s="832"/>
      <c r="H454" s="852"/>
      <c r="I454" s="834"/>
      <c r="J454" s="835"/>
      <c r="K454" s="836">
        <f t="shared" si="138"/>
        <v>0</v>
      </c>
      <c r="L45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54" s="837">
        <f t="shared" si="140"/>
        <v>0</v>
      </c>
      <c r="N454" s="838">
        <f>+Tabla1[[#This Row],[VENTA TOTAL $ (IVA INC) ]]</f>
        <v>0</v>
      </c>
      <c r="O454" s="838">
        <v>0</v>
      </c>
      <c r="P454" s="838">
        <v>0</v>
      </c>
      <c r="Q454" s="839">
        <f>+Tabla1[[#This Row],[VENTA TOTAL $ (IVA INC) ]]-Tabla1[[#This Row],[PENDIENTE DE COBRO]]</f>
        <v>0</v>
      </c>
      <c r="R454" s="840">
        <f>+Tabla1[[#This Row],[FECHA FC]]+Tabla1[[#This Row],[PLAZO ENTREGA VALORES]]</f>
        <v>0</v>
      </c>
      <c r="S454" s="840">
        <f>+Tabla1[[#This Row],[FECHA FC]]+Tabla1[[#This Row],[PLAZO PAGO (DIAS)]]</f>
        <v>0</v>
      </c>
      <c r="T454" s="834">
        <f t="shared" ca="1" si="139"/>
        <v>-46181</v>
      </c>
      <c r="U454" s="831"/>
      <c r="V454" s="831"/>
      <c r="W454" s="841">
        <f t="shared" si="141"/>
        <v>7</v>
      </c>
      <c r="X454" s="830"/>
      <c r="Y454" s="859"/>
      <c r="Z454" s="860">
        <f>Tabla1[[#This Row],[KGS]]/50</f>
        <v>0</v>
      </c>
      <c r="AA45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54" s="844">
        <f>-Tabla1[[#This Row],[COSTO FLETE $ POR BOLSA 5O KG (SIN IVA)]]*1.21-Tabla1[[#This Row],[PRECIO $/ KG A PLAZO EN CLIENTE ( SIN IVA)]]*0.003*1.21*50</f>
        <v>0</v>
      </c>
      <c r="AC454" s="845" t="e">
        <f>SUM(Tabla1[[#This Row],[PRECIO $ BOLSA 50 KG (IVA INC) ]]+Tabla1[[#This Row],[COSTO FLETE $ BOLSA 50 KG (IVA INC)]])</f>
        <v>#VALUE!</v>
      </c>
      <c r="AD454" s="844" t="e">
        <f>-Tabla1[[#This Row],[PRECIO $ BOLSA 50 KG (IVA INC) ]]*(Tabla1[[#This Row],[TASA FINANCIACION MENSUAL]]/365)*Tabla1[[#This Row],[PLAZO ENTREGA VALORES]]</f>
        <v>#VALUE!</v>
      </c>
      <c r="AE454" s="845" t="e">
        <f>SUM(Tabla1[[#This Row],[PRECIO $ BOLSA50 KG  FOB TUCUMAN A PLAZO (IVA INC)]]+Tabla1[[#This Row],[GASTOS FINANCIEROS $ BOLSA 50 KG (IVA INC)]])</f>
        <v>#VALUE!</v>
      </c>
      <c r="AF454" s="828"/>
      <c r="AG454" s="828"/>
      <c r="AH454" s="828"/>
      <c r="AI454" s="828"/>
      <c r="AJ45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54" s="846" t="e">
        <f>SUM(Tabla1[[#This Row],[PRECIO $ BOLSA 50KG  FOB CDO TUC (IVA INC)]]-Tabla1[[#This Row],[PRECIO REF $ BOLSA 50 KG CACTU (IVA INC)]])</f>
        <v>#VALUE!</v>
      </c>
      <c r="AL454" s="847" t="str">
        <f>IFERROR(Tabla1[[#This Row],[PRECIO $ BOLSA 50KG  FOB CDO TUC (IVA INC)]]/Tabla1[[#This Row],[PRECIO REF $ BOLSA 50 KG CACTU (IVA INC)]]-1,"")</f>
        <v/>
      </c>
      <c r="AM454" s="846" t="e">
        <f>+Tabla1[[#This Row],[DIF $ PRECIO NETO INDUSTRIA vs Neto TUCUMAN (IVA INC)]]*Tabla1[[#This Row],[Q Bolsas Equivalentes 50kg]]</f>
        <v>#VALUE!</v>
      </c>
      <c r="AN454" s="846" t="e">
        <f>Tabla1[[#This Row],[PRECIO REF $ BOLSA 50 KG CACTU (IVA INC)]]*Tabla1[[#This Row],[Q Bolsas Equivalentes 50kg]]</f>
        <v>#VALUE!</v>
      </c>
      <c r="AO454" s="846" t="e">
        <f>+Tabla1[[#This Row],[PRECIO $ BOLSA 50KG  FOB CDO TUC (IVA INC)]]*Tabla1[[#This Row],[Q Bolsas Equivalentes 50kg]]</f>
        <v>#VALUE!</v>
      </c>
      <c r="AP454" s="847"/>
      <c r="AQ454" s="846">
        <v>0</v>
      </c>
      <c r="AR454" s="828"/>
      <c r="AS454" s="849"/>
      <c r="AT454" s="923">
        <f>+Tabla1[[#This Row],[VENTA TOTAL $ (IVA INC) ]]-(SUM(Tabla1[[#This Row],[PENDIENTE DE ENTREGA]:[VALORES COBRADOS]]))</f>
        <v>0</v>
      </c>
      <c r="AU454" s="850" t="e">
        <f>VLOOKUP(Tabla1[[#This Row],[FECHA OC]],'TIPO DE CAMBIO'!A:B,2,TRUE)</f>
        <v>#N/A</v>
      </c>
      <c r="AV454" s="850" t="e">
        <f>+Tabla1[[#This Row],[SUBTOTAL]]/Tabla1[[#This Row],[TIPO DE CAMBIO]]</f>
        <v>#N/A</v>
      </c>
      <c r="AW454" s="851"/>
      <c r="AX454" s="850" t="str">
        <f>IFERROR(Tabla1[[#This Row],[VENTA TOTAL USD A PLAZO EN CLIENTE  (SIN IVA)]]*(1+Tabla1[[#This Row],[% IVA ]]),"")</f>
        <v/>
      </c>
      <c r="AY454" s="850" t="e">
        <f>+Tabla1[[#This Row],[VENTA TOTAL USD A PLAZO EN CLIENTE  (SIN IVA)]]/Tabla1[[#This Row],[KGS]]*1000</f>
        <v>#N/A</v>
      </c>
      <c r="AZ454" s="850" t="e">
        <f>-Tabla1[[#This Row],[COSTO FLETE $ POR BOLSA 5O KG (SIN IVA)]]*20/Tabla1[[#This Row],[TIPO DE CAMBIO]]</f>
        <v>#N/A</v>
      </c>
      <c r="BA454" s="850" t="e">
        <f>+Tabla1[[#This Row],[GASTOS FINANCIEROS $ BOLSA 50 KG (IVA INC)]]*20/Tabla1[[#This Row],[TIPO DE CAMBIO]]</f>
        <v>#VALUE!</v>
      </c>
      <c r="BB454" s="850" t="e">
        <f>+Tabla1[[#This Row],[PRECIO POR TN USD EN CLIENTE A PLAZO (SIN IVA)]]+Tabla1[[#This Row],[COSTO USD FLETE /TN (SIN IVA)]]+Tabla1[[#This Row],[COSTO FINANCIERO USD POR BOLSA 50KG (IVA INC)]]</f>
        <v>#N/A</v>
      </c>
      <c r="BC454" s="828"/>
      <c r="BD454" s="944"/>
    </row>
    <row r="455" spans="1:56" ht="15.75" customHeight="1">
      <c r="A455" s="912">
        <v>46235</v>
      </c>
      <c r="B455" s="853"/>
      <c r="C455" s="792"/>
      <c r="D455" s="829">
        <f>+Tabla1[[#This Row],[FECHA Entrega]]</f>
        <v>0</v>
      </c>
      <c r="E455" s="830"/>
      <c r="F455" s="831"/>
      <c r="G455" s="832"/>
      <c r="H455" s="852"/>
      <c r="I455" s="834"/>
      <c r="J455" s="835"/>
      <c r="K455" s="836">
        <f t="shared" si="138"/>
        <v>0</v>
      </c>
      <c r="L45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55" s="837">
        <f t="shared" si="140"/>
        <v>0</v>
      </c>
      <c r="N455" s="838">
        <f>+Tabla1[[#This Row],[VENTA TOTAL $ (IVA INC) ]]</f>
        <v>0</v>
      </c>
      <c r="O455" s="838">
        <v>0</v>
      </c>
      <c r="P455" s="838">
        <v>0</v>
      </c>
      <c r="Q455" s="839">
        <f>+Tabla1[[#This Row],[VENTA TOTAL $ (IVA INC) ]]-Tabla1[[#This Row],[PENDIENTE DE COBRO]]</f>
        <v>0</v>
      </c>
      <c r="R455" s="840">
        <f>+Tabla1[[#This Row],[FECHA FC]]+Tabla1[[#This Row],[PLAZO ENTREGA VALORES]]</f>
        <v>0</v>
      </c>
      <c r="S455" s="840">
        <f>+Tabla1[[#This Row],[FECHA FC]]+Tabla1[[#This Row],[PLAZO PAGO (DIAS)]]</f>
        <v>0</v>
      </c>
      <c r="T455" s="834">
        <f t="shared" ca="1" si="139"/>
        <v>-46181</v>
      </c>
      <c r="U455" s="831"/>
      <c r="V455" s="831"/>
      <c r="W455" s="841">
        <f t="shared" si="141"/>
        <v>7</v>
      </c>
      <c r="X455" s="830"/>
      <c r="Y455" s="859"/>
      <c r="Z455" s="860">
        <f>Tabla1[[#This Row],[KGS]]/50</f>
        <v>0</v>
      </c>
      <c r="AA45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55" s="844">
        <f>-Tabla1[[#This Row],[COSTO FLETE $ POR BOLSA 5O KG (SIN IVA)]]*1.21-Tabla1[[#This Row],[PRECIO $/ KG A PLAZO EN CLIENTE ( SIN IVA)]]*0.003*1.21*50</f>
        <v>0</v>
      </c>
      <c r="AC455" s="845" t="e">
        <f>SUM(Tabla1[[#This Row],[PRECIO $ BOLSA 50 KG (IVA INC) ]]+Tabla1[[#This Row],[COSTO FLETE $ BOLSA 50 KG (IVA INC)]])</f>
        <v>#VALUE!</v>
      </c>
      <c r="AD455" s="844" t="e">
        <f>-Tabla1[[#This Row],[PRECIO $ BOLSA 50 KG (IVA INC) ]]*(Tabla1[[#This Row],[TASA FINANCIACION MENSUAL]]/365)*Tabla1[[#This Row],[PLAZO ENTREGA VALORES]]</f>
        <v>#VALUE!</v>
      </c>
      <c r="AE455" s="845" t="e">
        <f>SUM(Tabla1[[#This Row],[PRECIO $ BOLSA50 KG  FOB TUCUMAN A PLAZO (IVA INC)]]+Tabla1[[#This Row],[GASTOS FINANCIEROS $ BOLSA 50 KG (IVA INC)]])</f>
        <v>#VALUE!</v>
      </c>
      <c r="AF455" s="828"/>
      <c r="AG455" s="828"/>
      <c r="AH455" s="828"/>
      <c r="AI455" s="828"/>
      <c r="AJ45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55" s="846" t="e">
        <f>SUM(Tabla1[[#This Row],[PRECIO $ BOLSA 50KG  FOB CDO TUC (IVA INC)]]-Tabla1[[#This Row],[PRECIO REF $ BOLSA 50 KG CACTU (IVA INC)]])</f>
        <v>#VALUE!</v>
      </c>
      <c r="AL455" s="847" t="str">
        <f>IFERROR(Tabla1[[#This Row],[PRECIO $ BOLSA 50KG  FOB CDO TUC (IVA INC)]]/Tabla1[[#This Row],[PRECIO REF $ BOLSA 50 KG CACTU (IVA INC)]]-1,"")</f>
        <v/>
      </c>
      <c r="AM455" s="846" t="e">
        <f>+Tabla1[[#This Row],[DIF $ PRECIO NETO INDUSTRIA vs Neto TUCUMAN (IVA INC)]]*Tabla1[[#This Row],[Q Bolsas Equivalentes 50kg]]</f>
        <v>#VALUE!</v>
      </c>
      <c r="AN455" s="846" t="e">
        <f>Tabla1[[#This Row],[PRECIO REF $ BOLSA 50 KG CACTU (IVA INC)]]*Tabla1[[#This Row],[Q Bolsas Equivalentes 50kg]]</f>
        <v>#VALUE!</v>
      </c>
      <c r="AO455" s="846" t="e">
        <f>+Tabla1[[#This Row],[PRECIO $ BOLSA 50KG  FOB CDO TUC (IVA INC)]]*Tabla1[[#This Row],[Q Bolsas Equivalentes 50kg]]</f>
        <v>#VALUE!</v>
      </c>
      <c r="AP455" s="847"/>
      <c r="AQ455" s="846">
        <v>0</v>
      </c>
      <c r="AR455" s="828"/>
      <c r="AS455" s="849"/>
      <c r="AT455" s="923">
        <f>+Tabla1[[#This Row],[VENTA TOTAL $ (IVA INC) ]]-(SUM(Tabla1[[#This Row],[PENDIENTE DE ENTREGA]:[VALORES COBRADOS]]))</f>
        <v>0</v>
      </c>
      <c r="AU455" s="850" t="e">
        <f>VLOOKUP(Tabla1[[#This Row],[FECHA OC]],'TIPO DE CAMBIO'!A:B,2,TRUE)</f>
        <v>#N/A</v>
      </c>
      <c r="AV455" s="850" t="e">
        <f>+Tabla1[[#This Row],[SUBTOTAL]]/Tabla1[[#This Row],[TIPO DE CAMBIO]]</f>
        <v>#N/A</v>
      </c>
      <c r="AW455" s="851"/>
      <c r="AX455" s="850" t="str">
        <f>IFERROR(Tabla1[[#This Row],[VENTA TOTAL USD A PLAZO EN CLIENTE  (SIN IVA)]]*(1+Tabla1[[#This Row],[% IVA ]]),"")</f>
        <v/>
      </c>
      <c r="AY455" s="850" t="e">
        <f>+Tabla1[[#This Row],[VENTA TOTAL USD A PLAZO EN CLIENTE  (SIN IVA)]]/Tabla1[[#This Row],[KGS]]*1000</f>
        <v>#N/A</v>
      </c>
      <c r="AZ455" s="850" t="e">
        <f>-Tabla1[[#This Row],[COSTO FLETE $ POR BOLSA 5O KG (SIN IVA)]]*20/Tabla1[[#This Row],[TIPO DE CAMBIO]]</f>
        <v>#N/A</v>
      </c>
      <c r="BA455" s="850" t="e">
        <f>+Tabla1[[#This Row],[GASTOS FINANCIEROS $ BOLSA 50 KG (IVA INC)]]*20/Tabla1[[#This Row],[TIPO DE CAMBIO]]</f>
        <v>#VALUE!</v>
      </c>
      <c r="BB455" s="850" t="e">
        <f>+Tabla1[[#This Row],[PRECIO POR TN USD EN CLIENTE A PLAZO (SIN IVA)]]+Tabla1[[#This Row],[COSTO USD FLETE /TN (SIN IVA)]]+Tabla1[[#This Row],[COSTO FINANCIERO USD POR BOLSA 50KG (IVA INC)]]</f>
        <v>#N/A</v>
      </c>
      <c r="BC455" s="848"/>
      <c r="BD455" s="944"/>
    </row>
    <row r="456" spans="1:56" ht="15.75" customHeight="1">
      <c r="A456" s="912">
        <v>46235</v>
      </c>
      <c r="B456" s="853"/>
      <c r="C456" s="792"/>
      <c r="D456" s="829">
        <f>+Tabla1[[#This Row],[FECHA Entrega]]</f>
        <v>0</v>
      </c>
      <c r="E456" s="830"/>
      <c r="F456" s="831"/>
      <c r="G456" s="832"/>
      <c r="H456" s="852"/>
      <c r="I456" s="834"/>
      <c r="J456" s="835"/>
      <c r="K456" s="836">
        <f t="shared" si="138"/>
        <v>0</v>
      </c>
      <c r="L45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56" s="837">
        <f t="shared" si="140"/>
        <v>0</v>
      </c>
      <c r="N456" s="838">
        <f>+Tabla1[[#This Row],[VENTA TOTAL $ (IVA INC) ]]</f>
        <v>0</v>
      </c>
      <c r="O456" s="838">
        <v>0</v>
      </c>
      <c r="P456" s="838">
        <v>0</v>
      </c>
      <c r="Q456" s="839">
        <f>+Tabla1[[#This Row],[VENTA TOTAL $ (IVA INC) ]]-Tabla1[[#This Row],[PENDIENTE DE COBRO]]</f>
        <v>0</v>
      </c>
      <c r="R456" s="840">
        <f>+Tabla1[[#This Row],[FECHA FC]]+Tabla1[[#This Row],[PLAZO ENTREGA VALORES]]</f>
        <v>0</v>
      </c>
      <c r="S456" s="840">
        <f>+Tabla1[[#This Row],[FECHA FC]]+Tabla1[[#This Row],[PLAZO PAGO (DIAS)]]</f>
        <v>0</v>
      </c>
      <c r="T456" s="834">
        <f t="shared" ca="1" si="139"/>
        <v>-46181</v>
      </c>
      <c r="U456" s="831"/>
      <c r="V456" s="831"/>
      <c r="W456" s="841">
        <f t="shared" si="141"/>
        <v>7</v>
      </c>
      <c r="X456" s="830"/>
      <c r="Y456" s="859"/>
      <c r="Z456" s="860">
        <f>Tabla1[[#This Row],[KGS]]/50</f>
        <v>0</v>
      </c>
      <c r="AA45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56" s="844">
        <f>-Tabla1[[#This Row],[COSTO FLETE $ POR BOLSA 5O KG (SIN IVA)]]*1.21-Tabla1[[#This Row],[PRECIO $/ KG A PLAZO EN CLIENTE ( SIN IVA)]]*0.003*1.21*50</f>
        <v>0</v>
      </c>
      <c r="AC456" s="845" t="e">
        <f>SUM(Tabla1[[#This Row],[PRECIO $ BOLSA 50 KG (IVA INC) ]]+Tabla1[[#This Row],[COSTO FLETE $ BOLSA 50 KG (IVA INC)]])</f>
        <v>#VALUE!</v>
      </c>
      <c r="AD456" s="844" t="e">
        <f>-Tabla1[[#This Row],[PRECIO $ BOLSA 50 KG (IVA INC) ]]*(Tabla1[[#This Row],[TASA FINANCIACION MENSUAL]]/365)*Tabla1[[#This Row],[PLAZO ENTREGA VALORES]]</f>
        <v>#VALUE!</v>
      </c>
      <c r="AE456" s="845" t="e">
        <f>SUM(Tabla1[[#This Row],[PRECIO $ BOLSA50 KG  FOB TUCUMAN A PLAZO (IVA INC)]]+Tabla1[[#This Row],[GASTOS FINANCIEROS $ BOLSA 50 KG (IVA INC)]])</f>
        <v>#VALUE!</v>
      </c>
      <c r="AF456" s="828"/>
      <c r="AG456" s="828"/>
      <c r="AH456" s="828"/>
      <c r="AI456" s="828"/>
      <c r="AJ45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56" s="846" t="e">
        <f>SUM(Tabla1[[#This Row],[PRECIO $ BOLSA 50KG  FOB CDO TUC (IVA INC)]]-Tabla1[[#This Row],[PRECIO REF $ BOLSA 50 KG CACTU (IVA INC)]])</f>
        <v>#VALUE!</v>
      </c>
      <c r="AL456" s="847" t="str">
        <f>IFERROR(Tabla1[[#This Row],[PRECIO $ BOLSA 50KG  FOB CDO TUC (IVA INC)]]/Tabla1[[#This Row],[PRECIO REF $ BOLSA 50 KG CACTU (IVA INC)]]-1,"")</f>
        <v/>
      </c>
      <c r="AM456" s="846" t="e">
        <f>+Tabla1[[#This Row],[DIF $ PRECIO NETO INDUSTRIA vs Neto TUCUMAN (IVA INC)]]*Tabla1[[#This Row],[Q Bolsas Equivalentes 50kg]]</f>
        <v>#VALUE!</v>
      </c>
      <c r="AN456" s="846" t="e">
        <f>Tabla1[[#This Row],[PRECIO REF $ BOLSA 50 KG CACTU (IVA INC)]]*Tabla1[[#This Row],[Q Bolsas Equivalentes 50kg]]</f>
        <v>#VALUE!</v>
      </c>
      <c r="AO456" s="846" t="e">
        <f>+Tabla1[[#This Row],[PRECIO $ BOLSA 50KG  FOB CDO TUC (IVA INC)]]*Tabla1[[#This Row],[Q Bolsas Equivalentes 50kg]]</f>
        <v>#VALUE!</v>
      </c>
      <c r="AP456" s="847"/>
      <c r="AQ456" s="846">
        <v>0</v>
      </c>
      <c r="AR456" s="828"/>
      <c r="AS456" s="849"/>
      <c r="AT456" s="923">
        <f>+Tabla1[[#This Row],[VENTA TOTAL $ (IVA INC) ]]-(SUM(Tabla1[[#This Row],[PENDIENTE DE ENTREGA]:[VALORES COBRADOS]]))</f>
        <v>0</v>
      </c>
      <c r="AU456" s="850" t="e">
        <f>VLOOKUP(Tabla1[[#This Row],[FECHA OC]],'TIPO DE CAMBIO'!A:B,2,TRUE)</f>
        <v>#N/A</v>
      </c>
      <c r="AV456" s="850" t="e">
        <f>+Tabla1[[#This Row],[SUBTOTAL]]/Tabla1[[#This Row],[TIPO DE CAMBIO]]</f>
        <v>#N/A</v>
      </c>
      <c r="AW456" s="851"/>
      <c r="AX456" s="850" t="str">
        <f>IFERROR(Tabla1[[#This Row],[VENTA TOTAL USD A PLAZO EN CLIENTE  (SIN IVA)]]*(1+Tabla1[[#This Row],[% IVA ]]),"")</f>
        <v/>
      </c>
      <c r="AY456" s="850" t="e">
        <f>+Tabla1[[#This Row],[VENTA TOTAL USD A PLAZO EN CLIENTE  (SIN IVA)]]/Tabla1[[#This Row],[KGS]]*1000</f>
        <v>#N/A</v>
      </c>
      <c r="AZ456" s="850" t="e">
        <f>-Tabla1[[#This Row],[COSTO FLETE $ POR BOLSA 5O KG (SIN IVA)]]*20/Tabla1[[#This Row],[TIPO DE CAMBIO]]</f>
        <v>#N/A</v>
      </c>
      <c r="BA456" s="850" t="e">
        <f>+Tabla1[[#This Row],[GASTOS FINANCIEROS $ BOLSA 50 KG (IVA INC)]]*20/Tabla1[[#This Row],[TIPO DE CAMBIO]]</f>
        <v>#VALUE!</v>
      </c>
      <c r="BB456" s="850" t="e">
        <f>+Tabla1[[#This Row],[PRECIO POR TN USD EN CLIENTE A PLAZO (SIN IVA)]]+Tabla1[[#This Row],[COSTO USD FLETE /TN (SIN IVA)]]+Tabla1[[#This Row],[COSTO FINANCIERO USD POR BOLSA 50KG (IVA INC)]]</f>
        <v>#N/A</v>
      </c>
      <c r="BC456" s="848"/>
      <c r="BD456" s="944"/>
    </row>
    <row r="457" spans="1:56" ht="15.75" customHeight="1">
      <c r="A457" s="912">
        <v>46235</v>
      </c>
      <c r="B457" s="853"/>
      <c r="C457" s="792"/>
      <c r="D457" s="829">
        <f>+Tabla1[[#This Row],[FECHA Entrega]]</f>
        <v>0</v>
      </c>
      <c r="E457" s="830"/>
      <c r="F457" s="831"/>
      <c r="G457" s="832"/>
      <c r="H457" s="852"/>
      <c r="I457" s="834"/>
      <c r="J457" s="835"/>
      <c r="K457" s="836">
        <f t="shared" si="138"/>
        <v>0</v>
      </c>
      <c r="L45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57" s="837">
        <f t="shared" si="140"/>
        <v>0</v>
      </c>
      <c r="N457" s="838">
        <f>+Tabla1[[#This Row],[VENTA TOTAL $ (IVA INC) ]]</f>
        <v>0</v>
      </c>
      <c r="O457" s="838">
        <v>0</v>
      </c>
      <c r="P457" s="838">
        <v>0</v>
      </c>
      <c r="Q457" s="839">
        <f>+Tabla1[[#This Row],[VENTA TOTAL $ (IVA INC) ]]-Tabla1[[#This Row],[PENDIENTE DE COBRO]]</f>
        <v>0</v>
      </c>
      <c r="R457" s="840">
        <f>+Tabla1[[#This Row],[FECHA FC]]+Tabla1[[#This Row],[PLAZO ENTREGA VALORES]]</f>
        <v>0</v>
      </c>
      <c r="S457" s="840">
        <f>+Tabla1[[#This Row],[FECHA FC]]+Tabla1[[#This Row],[PLAZO PAGO (DIAS)]]</f>
        <v>0</v>
      </c>
      <c r="T457" s="834">
        <f t="shared" ca="1" si="139"/>
        <v>-46181</v>
      </c>
      <c r="U457" s="831"/>
      <c r="V457" s="831"/>
      <c r="W457" s="841">
        <f>+Tabla1[[#This Row],[FECHA VTO VALORES]]+7</f>
        <v>7</v>
      </c>
      <c r="X457" s="830"/>
      <c r="Y457" s="859"/>
      <c r="Z457" s="860">
        <f>Tabla1[[#This Row],[KGS]]/50</f>
        <v>0</v>
      </c>
      <c r="AA45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57" s="844">
        <f>-Tabla1[[#This Row],[COSTO FLETE $ POR BOLSA 5O KG (SIN IVA)]]*1.21-Tabla1[[#This Row],[PRECIO $/ KG A PLAZO EN CLIENTE ( SIN IVA)]]*0.003*1.21*50</f>
        <v>0</v>
      </c>
      <c r="AC457" s="845" t="e">
        <f>SUM(Tabla1[[#This Row],[PRECIO $ BOLSA 50 KG (IVA INC) ]]+Tabla1[[#This Row],[COSTO FLETE $ BOLSA 50 KG (IVA INC)]])</f>
        <v>#VALUE!</v>
      </c>
      <c r="AD457" s="844" t="e">
        <f>-Tabla1[[#This Row],[PRECIO $ BOLSA 50 KG (IVA INC) ]]*(Tabla1[[#This Row],[TASA FINANCIACION MENSUAL]]/365)*Tabla1[[#This Row],[PLAZO ENTREGA VALORES]]</f>
        <v>#VALUE!</v>
      </c>
      <c r="AE457" s="845" t="e">
        <f>SUM(Tabla1[[#This Row],[PRECIO $ BOLSA50 KG  FOB TUCUMAN A PLAZO (IVA INC)]]+Tabla1[[#This Row],[GASTOS FINANCIEROS $ BOLSA 50 KG (IVA INC)]])</f>
        <v>#VALUE!</v>
      </c>
      <c r="AF457" s="828"/>
      <c r="AG457" s="828"/>
      <c r="AH457" s="828"/>
      <c r="AI457" s="828"/>
      <c r="AJ45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57" s="846" t="e">
        <f>SUM(Tabla1[[#This Row],[PRECIO $ BOLSA 50KG  FOB CDO TUC (IVA INC)]]-Tabla1[[#This Row],[PRECIO REF $ BOLSA 50 KG CACTU (IVA INC)]])</f>
        <v>#VALUE!</v>
      </c>
      <c r="AL457" s="847" t="str">
        <f>IFERROR(Tabla1[[#This Row],[PRECIO $ BOLSA 50KG  FOB CDO TUC (IVA INC)]]/Tabla1[[#This Row],[PRECIO REF $ BOLSA 50 KG CACTU (IVA INC)]]-1,"")</f>
        <v/>
      </c>
      <c r="AM457" s="846" t="e">
        <f>+Tabla1[[#This Row],[DIF $ PRECIO NETO INDUSTRIA vs Neto TUCUMAN (IVA INC)]]*Tabla1[[#This Row],[Q Bolsas Equivalentes 50kg]]</f>
        <v>#VALUE!</v>
      </c>
      <c r="AN457" s="846" t="e">
        <f>Tabla1[[#This Row],[PRECIO REF $ BOLSA 50 KG CACTU (IVA INC)]]*Tabla1[[#This Row],[Q Bolsas Equivalentes 50kg]]</f>
        <v>#VALUE!</v>
      </c>
      <c r="AO457" s="846" t="e">
        <f>+Tabla1[[#This Row],[PRECIO $ BOLSA 50KG  FOB CDO TUC (IVA INC)]]*Tabla1[[#This Row],[Q Bolsas Equivalentes 50kg]]</f>
        <v>#VALUE!</v>
      </c>
      <c r="AP457" s="847"/>
      <c r="AQ457" s="846">
        <v>0</v>
      </c>
      <c r="AR457" s="828"/>
      <c r="AS457" s="849"/>
      <c r="AT457" s="923">
        <f>+Tabla1[[#This Row],[VENTA TOTAL $ (IVA INC) ]]-(SUM(Tabla1[[#This Row],[PENDIENTE DE ENTREGA]:[VALORES COBRADOS]]))</f>
        <v>0</v>
      </c>
      <c r="AU457" s="850" t="e">
        <f>VLOOKUP(Tabla1[[#This Row],[FECHA OC]],'TIPO DE CAMBIO'!A:B,2,TRUE)</f>
        <v>#N/A</v>
      </c>
      <c r="AV457" s="850" t="e">
        <f>+Tabla1[[#This Row],[SUBTOTAL]]/Tabla1[[#This Row],[TIPO DE CAMBIO]]</f>
        <v>#N/A</v>
      </c>
      <c r="AW457" s="851"/>
      <c r="AX457" s="850" t="str">
        <f>IFERROR(Tabla1[[#This Row],[VENTA TOTAL USD A PLAZO EN CLIENTE  (SIN IVA)]]*(1+Tabla1[[#This Row],[% IVA ]]),"")</f>
        <v/>
      </c>
      <c r="AY457" s="850" t="e">
        <f>+Tabla1[[#This Row],[VENTA TOTAL USD A PLAZO EN CLIENTE  (SIN IVA)]]/Tabla1[[#This Row],[KGS]]*1000</f>
        <v>#N/A</v>
      </c>
      <c r="AZ457" s="850" t="e">
        <f>-Tabla1[[#This Row],[COSTO FLETE $ POR BOLSA 5O KG (SIN IVA)]]*20/Tabla1[[#This Row],[TIPO DE CAMBIO]]</f>
        <v>#N/A</v>
      </c>
      <c r="BA457" s="850" t="e">
        <f>+Tabla1[[#This Row],[GASTOS FINANCIEROS $ BOLSA 50 KG (IVA INC)]]*20/Tabla1[[#This Row],[TIPO DE CAMBIO]]</f>
        <v>#VALUE!</v>
      </c>
      <c r="BB457" s="850" t="e">
        <f>+Tabla1[[#This Row],[PRECIO POR TN USD EN CLIENTE A PLAZO (SIN IVA)]]+Tabla1[[#This Row],[COSTO USD FLETE /TN (SIN IVA)]]+Tabla1[[#This Row],[COSTO FINANCIERO USD POR BOLSA 50KG (IVA INC)]]</f>
        <v>#N/A</v>
      </c>
      <c r="BC457" s="848"/>
      <c r="BD457" s="944"/>
    </row>
    <row r="458" spans="1:56" ht="15.75" customHeight="1">
      <c r="A458" s="912">
        <v>46266</v>
      </c>
      <c r="B458" s="853"/>
      <c r="C458" s="792"/>
      <c r="D458" s="829">
        <f>+Tabla1[[#This Row],[FECHA Entrega]]</f>
        <v>0</v>
      </c>
      <c r="E458" s="830"/>
      <c r="F458" s="831"/>
      <c r="G458" s="832"/>
      <c r="H458" s="852"/>
      <c r="I458" s="834"/>
      <c r="J458" s="835"/>
      <c r="K458" s="836">
        <f t="shared" si="138"/>
        <v>0</v>
      </c>
      <c r="L45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58" s="837">
        <f t="shared" si="140"/>
        <v>0</v>
      </c>
      <c r="N458" s="838">
        <f>+Tabla1[[#This Row],[VENTA TOTAL $ (IVA INC) ]]</f>
        <v>0</v>
      </c>
      <c r="O458" s="838">
        <v>0</v>
      </c>
      <c r="P458" s="838">
        <v>0</v>
      </c>
      <c r="Q458" s="839">
        <f>+Tabla1[[#This Row],[VENTA TOTAL $ (IVA INC) ]]-Tabla1[[#This Row],[PENDIENTE DE COBRO]]</f>
        <v>0</v>
      </c>
      <c r="R458" s="840">
        <f>+Tabla1[[#This Row],[FECHA FC]]+Tabla1[[#This Row],[PLAZO ENTREGA VALORES]]</f>
        <v>0</v>
      </c>
      <c r="S458" s="840">
        <f>+Tabla1[[#This Row],[FECHA FC]]+Tabla1[[#This Row],[PLAZO PAGO (DIAS)]]</f>
        <v>0</v>
      </c>
      <c r="T458" s="834">
        <f t="shared" ca="1" si="139"/>
        <v>-46181</v>
      </c>
      <c r="U458" s="831"/>
      <c r="V458" s="831"/>
      <c r="W458" s="841">
        <f>+Tabla1[[#This Row],[FECHA VTO VALORES]]+7</f>
        <v>7</v>
      </c>
      <c r="X458" s="830"/>
      <c r="Y458" s="859"/>
      <c r="Z458" s="860">
        <f>Tabla1[[#This Row],[KGS]]/50</f>
        <v>0</v>
      </c>
      <c r="AA45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58" s="844">
        <f>-Tabla1[[#This Row],[COSTO FLETE $ POR BOLSA 5O KG (SIN IVA)]]*1.21-Tabla1[[#This Row],[PRECIO $/ KG A PLAZO EN CLIENTE ( SIN IVA)]]*0.003*1.21*50</f>
        <v>0</v>
      </c>
      <c r="AC458" s="845" t="e">
        <f>SUM(Tabla1[[#This Row],[PRECIO $ BOLSA 50 KG (IVA INC) ]]+Tabla1[[#This Row],[COSTO FLETE $ BOLSA 50 KG (IVA INC)]])</f>
        <v>#VALUE!</v>
      </c>
      <c r="AD458" s="844" t="e">
        <f>-Tabla1[[#This Row],[PRECIO $ BOLSA 50 KG (IVA INC) ]]*(Tabla1[[#This Row],[TASA FINANCIACION MENSUAL]]/365)*Tabla1[[#This Row],[PLAZO ENTREGA VALORES]]</f>
        <v>#VALUE!</v>
      </c>
      <c r="AE458" s="845" t="e">
        <f>SUM(Tabla1[[#This Row],[PRECIO $ BOLSA50 KG  FOB TUCUMAN A PLAZO (IVA INC)]]+Tabla1[[#This Row],[GASTOS FINANCIEROS $ BOLSA 50 KG (IVA INC)]])</f>
        <v>#VALUE!</v>
      </c>
      <c r="AF458" s="828"/>
      <c r="AG458" s="828"/>
      <c r="AH458" s="828"/>
      <c r="AI458" s="828"/>
      <c r="AJ45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58" s="846" t="e">
        <f>SUM(Tabla1[[#This Row],[PRECIO $ BOLSA 50KG  FOB CDO TUC (IVA INC)]]-Tabla1[[#This Row],[PRECIO REF $ BOLSA 50 KG CACTU (IVA INC)]])</f>
        <v>#VALUE!</v>
      </c>
      <c r="AL458" s="847" t="str">
        <f>IFERROR(Tabla1[[#This Row],[PRECIO $ BOLSA 50KG  FOB CDO TUC (IVA INC)]]/Tabla1[[#This Row],[PRECIO REF $ BOLSA 50 KG CACTU (IVA INC)]]-1,"")</f>
        <v/>
      </c>
      <c r="AM458" s="846" t="e">
        <f>+Tabla1[[#This Row],[DIF $ PRECIO NETO INDUSTRIA vs Neto TUCUMAN (IVA INC)]]*Tabla1[[#This Row],[Q Bolsas Equivalentes 50kg]]</f>
        <v>#VALUE!</v>
      </c>
      <c r="AN458" s="846" t="e">
        <f>Tabla1[[#This Row],[PRECIO REF $ BOLSA 50 KG CACTU (IVA INC)]]*Tabla1[[#This Row],[Q Bolsas Equivalentes 50kg]]</f>
        <v>#VALUE!</v>
      </c>
      <c r="AO458" s="846" t="e">
        <f>+Tabla1[[#This Row],[PRECIO $ BOLSA 50KG  FOB CDO TUC (IVA INC)]]*Tabla1[[#This Row],[Q Bolsas Equivalentes 50kg]]</f>
        <v>#VALUE!</v>
      </c>
      <c r="AP458" s="847"/>
      <c r="AQ458" s="846">
        <v>0</v>
      </c>
      <c r="AR458" s="828"/>
      <c r="AS458" s="849"/>
      <c r="AT458" s="923">
        <f>+Tabla1[[#This Row],[VENTA TOTAL $ (IVA INC) ]]-(SUM(Tabla1[[#This Row],[PENDIENTE DE ENTREGA]:[VALORES COBRADOS]]))</f>
        <v>0</v>
      </c>
      <c r="AU458" s="850" t="e">
        <f>VLOOKUP(Tabla1[[#This Row],[FECHA OC]],'TIPO DE CAMBIO'!A:B,2,TRUE)</f>
        <v>#N/A</v>
      </c>
      <c r="AV458" s="850" t="e">
        <f>+Tabla1[[#This Row],[SUBTOTAL]]/Tabla1[[#This Row],[TIPO DE CAMBIO]]</f>
        <v>#N/A</v>
      </c>
      <c r="AW458" s="851"/>
      <c r="AX458" s="850" t="str">
        <f>IFERROR(Tabla1[[#This Row],[VENTA TOTAL USD A PLAZO EN CLIENTE  (SIN IVA)]]*(1+Tabla1[[#This Row],[% IVA ]]),"")</f>
        <v/>
      </c>
      <c r="AY458" s="850" t="e">
        <f>+Tabla1[[#This Row],[VENTA TOTAL USD A PLAZO EN CLIENTE  (SIN IVA)]]/Tabla1[[#This Row],[KGS]]*1000</f>
        <v>#N/A</v>
      </c>
      <c r="AZ458" s="850" t="e">
        <f>-Tabla1[[#This Row],[COSTO FLETE $ POR BOLSA 5O KG (SIN IVA)]]*20/Tabla1[[#This Row],[TIPO DE CAMBIO]]</f>
        <v>#N/A</v>
      </c>
      <c r="BA458" s="850" t="e">
        <f>+Tabla1[[#This Row],[GASTOS FINANCIEROS $ BOLSA 50 KG (IVA INC)]]*20/Tabla1[[#This Row],[TIPO DE CAMBIO]]</f>
        <v>#VALUE!</v>
      </c>
      <c r="BB458" s="850" t="e">
        <f>+Tabla1[[#This Row],[PRECIO POR TN USD EN CLIENTE A PLAZO (SIN IVA)]]+Tabla1[[#This Row],[COSTO USD FLETE /TN (SIN IVA)]]+Tabla1[[#This Row],[COSTO FINANCIERO USD POR BOLSA 50KG (IVA INC)]]</f>
        <v>#N/A</v>
      </c>
      <c r="BC458" s="828"/>
      <c r="BD458" s="944"/>
    </row>
    <row r="459" spans="1:56" ht="15.75" customHeight="1">
      <c r="A459" s="912">
        <v>46266</v>
      </c>
      <c r="B459" s="853"/>
      <c r="C459" s="792"/>
      <c r="D459" s="829">
        <f>+Tabla1[[#This Row],[FECHA Entrega]]</f>
        <v>0</v>
      </c>
      <c r="E459" s="830"/>
      <c r="F459" s="831"/>
      <c r="G459" s="832"/>
      <c r="H459" s="852"/>
      <c r="I459" s="834"/>
      <c r="J459" s="835"/>
      <c r="K459" s="836">
        <f t="shared" si="138"/>
        <v>0</v>
      </c>
      <c r="L45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59" s="837">
        <f t="shared" si="140"/>
        <v>0</v>
      </c>
      <c r="N459" s="838">
        <f>+Tabla1[[#This Row],[VENTA TOTAL $ (IVA INC) ]]</f>
        <v>0</v>
      </c>
      <c r="O459" s="838">
        <v>0</v>
      </c>
      <c r="P459" s="838">
        <v>0</v>
      </c>
      <c r="Q459" s="839">
        <f>+Tabla1[[#This Row],[VENTA TOTAL $ (IVA INC) ]]-Tabla1[[#This Row],[PENDIENTE DE COBRO]]</f>
        <v>0</v>
      </c>
      <c r="R459" s="840">
        <f>+Tabla1[[#This Row],[FECHA FC]]+Tabla1[[#This Row],[PLAZO ENTREGA VALORES]]</f>
        <v>0</v>
      </c>
      <c r="S459" s="840">
        <f>+Tabla1[[#This Row],[FECHA FC]]+Tabla1[[#This Row],[PLAZO PAGO (DIAS)]]</f>
        <v>0</v>
      </c>
      <c r="T459" s="834">
        <f t="shared" ca="1" si="139"/>
        <v>-46181</v>
      </c>
      <c r="U459" s="831"/>
      <c r="V459" s="831"/>
      <c r="W459" s="841">
        <f>+Tabla1[[#This Row],[FECHA VTO VALORES]]+7</f>
        <v>7</v>
      </c>
      <c r="X459" s="830"/>
      <c r="Y459" s="859"/>
      <c r="Z459" s="860">
        <f>Tabla1[[#This Row],[KGS]]/50</f>
        <v>0</v>
      </c>
      <c r="AA45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59" s="844">
        <f>-Tabla1[[#This Row],[COSTO FLETE $ POR BOLSA 5O KG (SIN IVA)]]*1.21-Tabla1[[#This Row],[PRECIO $/ KG A PLAZO EN CLIENTE ( SIN IVA)]]*0.003*1.21*50</f>
        <v>0</v>
      </c>
      <c r="AC459" s="845" t="e">
        <f>SUM(Tabla1[[#This Row],[PRECIO $ BOLSA 50 KG (IVA INC) ]]+Tabla1[[#This Row],[COSTO FLETE $ BOLSA 50 KG (IVA INC)]])</f>
        <v>#VALUE!</v>
      </c>
      <c r="AD459" s="844" t="e">
        <f>-Tabla1[[#This Row],[PRECIO $ BOLSA 50 KG (IVA INC) ]]*(Tabla1[[#This Row],[TASA FINANCIACION MENSUAL]]/365)*Tabla1[[#This Row],[PLAZO ENTREGA VALORES]]</f>
        <v>#VALUE!</v>
      </c>
      <c r="AE459" s="845" t="e">
        <f>SUM(Tabla1[[#This Row],[PRECIO $ BOLSA50 KG  FOB TUCUMAN A PLAZO (IVA INC)]]+Tabla1[[#This Row],[GASTOS FINANCIEROS $ BOLSA 50 KG (IVA INC)]])</f>
        <v>#VALUE!</v>
      </c>
      <c r="AF459" s="828"/>
      <c r="AG459" s="828"/>
      <c r="AH459" s="828"/>
      <c r="AI459" s="828"/>
      <c r="AJ45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59" s="846" t="e">
        <f>SUM(Tabla1[[#This Row],[PRECIO $ BOLSA 50KG  FOB CDO TUC (IVA INC)]]-Tabla1[[#This Row],[PRECIO REF $ BOLSA 50 KG CACTU (IVA INC)]])</f>
        <v>#VALUE!</v>
      </c>
      <c r="AL459" s="847" t="str">
        <f>IFERROR(Tabla1[[#This Row],[PRECIO $ BOLSA 50KG  FOB CDO TUC (IVA INC)]]/Tabla1[[#This Row],[PRECIO REF $ BOLSA 50 KG CACTU (IVA INC)]]-1,"")</f>
        <v/>
      </c>
      <c r="AM459" s="846" t="e">
        <f>+Tabla1[[#This Row],[DIF $ PRECIO NETO INDUSTRIA vs Neto TUCUMAN (IVA INC)]]*Tabla1[[#This Row],[Q Bolsas Equivalentes 50kg]]</f>
        <v>#VALUE!</v>
      </c>
      <c r="AN459" s="846" t="e">
        <f>Tabla1[[#This Row],[PRECIO REF $ BOLSA 50 KG CACTU (IVA INC)]]*Tabla1[[#This Row],[Q Bolsas Equivalentes 50kg]]</f>
        <v>#VALUE!</v>
      </c>
      <c r="AO459" s="846" t="e">
        <f>+Tabla1[[#This Row],[PRECIO $ BOLSA 50KG  FOB CDO TUC (IVA INC)]]*Tabla1[[#This Row],[Q Bolsas Equivalentes 50kg]]</f>
        <v>#VALUE!</v>
      </c>
      <c r="AP459" s="847"/>
      <c r="AQ459" s="846">
        <v>0</v>
      </c>
      <c r="AR459" s="828"/>
      <c r="AS459" s="849"/>
      <c r="AT459" s="923">
        <f>+Tabla1[[#This Row],[VENTA TOTAL $ (IVA INC) ]]-(SUM(Tabla1[[#This Row],[PENDIENTE DE ENTREGA]:[VALORES COBRADOS]]))</f>
        <v>0</v>
      </c>
      <c r="AU459" s="850" t="e">
        <f>VLOOKUP(Tabla1[[#This Row],[FECHA OC]],'TIPO DE CAMBIO'!A:B,2,TRUE)</f>
        <v>#N/A</v>
      </c>
      <c r="AV459" s="850" t="e">
        <f>+Tabla1[[#This Row],[SUBTOTAL]]/Tabla1[[#This Row],[TIPO DE CAMBIO]]</f>
        <v>#N/A</v>
      </c>
      <c r="AW459" s="851"/>
      <c r="AX459" s="850" t="str">
        <f>IFERROR(Tabla1[[#This Row],[VENTA TOTAL USD A PLAZO EN CLIENTE  (SIN IVA)]]*(1+Tabla1[[#This Row],[% IVA ]]),"")</f>
        <v/>
      </c>
      <c r="AY459" s="850" t="e">
        <f>+Tabla1[[#This Row],[VENTA TOTAL USD A PLAZO EN CLIENTE  (SIN IVA)]]/Tabla1[[#This Row],[KGS]]*1000</f>
        <v>#N/A</v>
      </c>
      <c r="AZ459" s="850" t="e">
        <f>-Tabla1[[#This Row],[COSTO FLETE $ POR BOLSA 5O KG (SIN IVA)]]*20/Tabla1[[#This Row],[TIPO DE CAMBIO]]</f>
        <v>#N/A</v>
      </c>
      <c r="BA459" s="850" t="e">
        <f>+Tabla1[[#This Row],[GASTOS FINANCIEROS $ BOLSA 50 KG (IVA INC)]]*20/Tabla1[[#This Row],[TIPO DE CAMBIO]]</f>
        <v>#VALUE!</v>
      </c>
      <c r="BB459" s="850" t="e">
        <f>+Tabla1[[#This Row],[PRECIO POR TN USD EN CLIENTE A PLAZO (SIN IVA)]]+Tabla1[[#This Row],[COSTO USD FLETE /TN (SIN IVA)]]+Tabla1[[#This Row],[COSTO FINANCIERO USD POR BOLSA 50KG (IVA INC)]]</f>
        <v>#N/A</v>
      </c>
      <c r="BC459" s="828"/>
      <c r="BD459" s="944"/>
    </row>
    <row r="460" spans="1:56" ht="15.75" customHeight="1">
      <c r="A460" s="912">
        <v>46266</v>
      </c>
      <c r="B460" s="853"/>
      <c r="C460" s="792"/>
      <c r="D460" s="829">
        <f>+Tabla1[[#This Row],[FECHA Entrega]]</f>
        <v>0</v>
      </c>
      <c r="E460" s="830"/>
      <c r="F460" s="831"/>
      <c r="G460" s="832"/>
      <c r="H460" s="852"/>
      <c r="I460" s="834"/>
      <c r="J460" s="835"/>
      <c r="K460" s="836">
        <f t="shared" si="138"/>
        <v>0</v>
      </c>
      <c r="L46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60" s="837">
        <f t="shared" si="140"/>
        <v>0</v>
      </c>
      <c r="N460" s="838">
        <f>+Tabla1[[#This Row],[VENTA TOTAL $ (IVA INC) ]]</f>
        <v>0</v>
      </c>
      <c r="O460" s="838">
        <v>0</v>
      </c>
      <c r="P460" s="838">
        <v>0</v>
      </c>
      <c r="Q460" s="839">
        <f>+Tabla1[[#This Row],[VENTA TOTAL $ (IVA INC) ]]-Tabla1[[#This Row],[PENDIENTE DE COBRO]]</f>
        <v>0</v>
      </c>
      <c r="R460" s="840">
        <f>+Tabla1[[#This Row],[FECHA FC]]+Tabla1[[#This Row],[PLAZO ENTREGA VALORES]]</f>
        <v>0</v>
      </c>
      <c r="S460" s="840">
        <f>+Tabla1[[#This Row],[FECHA FC]]+Tabla1[[#This Row],[PLAZO PAGO (DIAS)]]</f>
        <v>0</v>
      </c>
      <c r="T460" s="834">
        <f t="shared" ca="1" si="139"/>
        <v>-46181</v>
      </c>
      <c r="U460" s="831"/>
      <c r="V460" s="831"/>
      <c r="W460" s="841">
        <f>+Tabla1[[#This Row],[FECHA VTO VALORES]]+7</f>
        <v>7</v>
      </c>
      <c r="X460" s="830"/>
      <c r="Y460" s="859"/>
      <c r="Z460" s="860">
        <f>Tabla1[[#This Row],[KGS]]/50</f>
        <v>0</v>
      </c>
      <c r="AA46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60" s="844">
        <f>-Tabla1[[#This Row],[COSTO FLETE $ POR BOLSA 5O KG (SIN IVA)]]*1.21-Tabla1[[#This Row],[PRECIO $/ KG A PLAZO EN CLIENTE ( SIN IVA)]]*0.003*1.21*50</f>
        <v>0</v>
      </c>
      <c r="AC460" s="845" t="e">
        <f>SUM(Tabla1[[#This Row],[PRECIO $ BOLSA 50 KG (IVA INC) ]]+Tabla1[[#This Row],[COSTO FLETE $ BOLSA 50 KG (IVA INC)]])</f>
        <v>#VALUE!</v>
      </c>
      <c r="AD460" s="844" t="e">
        <f>-Tabla1[[#This Row],[PRECIO $ BOLSA 50 KG (IVA INC) ]]*(Tabla1[[#This Row],[TASA FINANCIACION MENSUAL]]/365)*Tabla1[[#This Row],[PLAZO ENTREGA VALORES]]</f>
        <v>#VALUE!</v>
      </c>
      <c r="AE460" s="845" t="e">
        <f>SUM(Tabla1[[#This Row],[PRECIO $ BOLSA50 KG  FOB TUCUMAN A PLAZO (IVA INC)]]+Tabla1[[#This Row],[GASTOS FINANCIEROS $ BOLSA 50 KG (IVA INC)]])</f>
        <v>#VALUE!</v>
      </c>
      <c r="AF460" s="828"/>
      <c r="AG460" s="828"/>
      <c r="AH460" s="828"/>
      <c r="AI460" s="828"/>
      <c r="AJ46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60" s="846" t="e">
        <f>SUM(Tabla1[[#This Row],[PRECIO $ BOLSA 50KG  FOB CDO TUC (IVA INC)]]-Tabla1[[#This Row],[PRECIO REF $ BOLSA 50 KG CACTU (IVA INC)]])</f>
        <v>#VALUE!</v>
      </c>
      <c r="AL460" s="847" t="str">
        <f>IFERROR(Tabla1[[#This Row],[PRECIO $ BOLSA 50KG  FOB CDO TUC (IVA INC)]]/Tabla1[[#This Row],[PRECIO REF $ BOLSA 50 KG CACTU (IVA INC)]]-1,"")</f>
        <v/>
      </c>
      <c r="AM460" s="846" t="e">
        <f>+Tabla1[[#This Row],[DIF $ PRECIO NETO INDUSTRIA vs Neto TUCUMAN (IVA INC)]]*Tabla1[[#This Row],[Q Bolsas Equivalentes 50kg]]</f>
        <v>#VALUE!</v>
      </c>
      <c r="AN460" s="846" t="e">
        <f>Tabla1[[#This Row],[PRECIO REF $ BOLSA 50 KG CACTU (IVA INC)]]*Tabla1[[#This Row],[Q Bolsas Equivalentes 50kg]]</f>
        <v>#VALUE!</v>
      </c>
      <c r="AO460" s="846" t="e">
        <f>+Tabla1[[#This Row],[PRECIO $ BOLSA 50KG  FOB CDO TUC (IVA INC)]]*Tabla1[[#This Row],[Q Bolsas Equivalentes 50kg]]</f>
        <v>#VALUE!</v>
      </c>
      <c r="AP460" s="847"/>
      <c r="AQ460" s="846">
        <v>0</v>
      </c>
      <c r="AR460" s="828"/>
      <c r="AS460" s="849"/>
      <c r="AT460" s="923">
        <f>+Tabla1[[#This Row],[VENTA TOTAL $ (IVA INC) ]]-(SUM(Tabla1[[#This Row],[PENDIENTE DE ENTREGA]:[VALORES COBRADOS]]))</f>
        <v>0</v>
      </c>
      <c r="AU460" s="850" t="e">
        <f>VLOOKUP(Tabla1[[#This Row],[FECHA OC]],'TIPO DE CAMBIO'!A:B,2,TRUE)</f>
        <v>#N/A</v>
      </c>
      <c r="AV460" s="850" t="e">
        <f>+Tabla1[[#This Row],[SUBTOTAL]]/Tabla1[[#This Row],[TIPO DE CAMBIO]]</f>
        <v>#N/A</v>
      </c>
      <c r="AW460" s="851"/>
      <c r="AX460" s="850" t="str">
        <f>IFERROR(Tabla1[[#This Row],[VENTA TOTAL USD A PLAZO EN CLIENTE  (SIN IVA)]]*(1+Tabla1[[#This Row],[% IVA ]]),"")</f>
        <v/>
      </c>
      <c r="AY460" s="850" t="e">
        <f>+Tabla1[[#This Row],[VENTA TOTAL USD A PLAZO EN CLIENTE  (SIN IVA)]]/Tabla1[[#This Row],[KGS]]*1000</f>
        <v>#N/A</v>
      </c>
      <c r="AZ460" s="850" t="e">
        <f>-Tabla1[[#This Row],[COSTO FLETE $ POR BOLSA 5O KG (SIN IVA)]]*20/Tabla1[[#This Row],[TIPO DE CAMBIO]]</f>
        <v>#N/A</v>
      </c>
      <c r="BA460" s="850" t="e">
        <f>+Tabla1[[#This Row],[GASTOS FINANCIEROS $ BOLSA 50 KG (IVA INC)]]*20/Tabla1[[#This Row],[TIPO DE CAMBIO]]</f>
        <v>#VALUE!</v>
      </c>
      <c r="BB460" s="850" t="e">
        <f>+Tabla1[[#This Row],[PRECIO POR TN USD EN CLIENTE A PLAZO (SIN IVA)]]+Tabla1[[#This Row],[COSTO USD FLETE /TN (SIN IVA)]]+Tabla1[[#This Row],[COSTO FINANCIERO USD POR BOLSA 50KG (IVA INC)]]</f>
        <v>#N/A</v>
      </c>
      <c r="BC460" s="828"/>
      <c r="BD460" s="944"/>
    </row>
    <row r="461" spans="1:56" ht="15.75" customHeight="1">
      <c r="A461" s="912">
        <v>46266</v>
      </c>
      <c r="B461" s="853"/>
      <c r="C461" s="792"/>
      <c r="D461" s="829">
        <f>+Tabla1[[#This Row],[FECHA Entrega]]</f>
        <v>0</v>
      </c>
      <c r="E461" s="830"/>
      <c r="F461" s="831"/>
      <c r="G461" s="832"/>
      <c r="H461" s="852"/>
      <c r="I461" s="834"/>
      <c r="J461" s="835"/>
      <c r="K461" s="836">
        <f t="shared" si="138"/>
        <v>0</v>
      </c>
      <c r="L46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61" s="837">
        <f t="shared" si="140"/>
        <v>0</v>
      </c>
      <c r="N461" s="838">
        <f>+Tabla1[[#This Row],[VENTA TOTAL $ (IVA INC) ]]</f>
        <v>0</v>
      </c>
      <c r="O461" s="838">
        <v>0</v>
      </c>
      <c r="P461" s="838">
        <v>0</v>
      </c>
      <c r="Q461" s="839">
        <f>+Tabla1[[#This Row],[VENTA TOTAL $ (IVA INC) ]]-Tabla1[[#This Row],[PENDIENTE DE COBRO]]</f>
        <v>0</v>
      </c>
      <c r="R461" s="840">
        <f>+Tabla1[[#This Row],[FECHA FC]]+Tabla1[[#This Row],[PLAZO ENTREGA VALORES]]</f>
        <v>0</v>
      </c>
      <c r="S461" s="840">
        <f>+Tabla1[[#This Row],[FECHA FC]]+Tabla1[[#This Row],[PLAZO PAGO (DIAS)]]</f>
        <v>0</v>
      </c>
      <c r="T461" s="834">
        <f t="shared" ca="1" si="139"/>
        <v>-46181</v>
      </c>
      <c r="U461" s="831"/>
      <c r="V461" s="831"/>
      <c r="W461" s="841">
        <f>+Tabla1[[#This Row],[FECHA VTO VALORES]]+7</f>
        <v>7</v>
      </c>
      <c r="X461" s="830"/>
      <c r="Y461" s="859"/>
      <c r="Z461" s="860">
        <f>Tabla1[[#This Row],[KGS]]/50</f>
        <v>0</v>
      </c>
      <c r="AA46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61" s="844">
        <f>-Tabla1[[#This Row],[COSTO FLETE $ POR BOLSA 5O KG (SIN IVA)]]*1.21-Tabla1[[#This Row],[PRECIO $/ KG A PLAZO EN CLIENTE ( SIN IVA)]]*0.003*1.21*50</f>
        <v>0</v>
      </c>
      <c r="AC461" s="845" t="e">
        <f>SUM(Tabla1[[#This Row],[PRECIO $ BOLSA 50 KG (IVA INC) ]]+Tabla1[[#This Row],[COSTO FLETE $ BOLSA 50 KG (IVA INC)]])</f>
        <v>#VALUE!</v>
      </c>
      <c r="AD461" s="844" t="e">
        <f>-Tabla1[[#This Row],[PRECIO $ BOLSA 50 KG (IVA INC) ]]*(Tabla1[[#This Row],[TASA FINANCIACION MENSUAL]]/365)*Tabla1[[#This Row],[PLAZO ENTREGA VALORES]]</f>
        <v>#VALUE!</v>
      </c>
      <c r="AE461" s="845" t="e">
        <f>SUM(Tabla1[[#This Row],[PRECIO $ BOLSA50 KG  FOB TUCUMAN A PLAZO (IVA INC)]]+Tabla1[[#This Row],[GASTOS FINANCIEROS $ BOLSA 50 KG (IVA INC)]])</f>
        <v>#VALUE!</v>
      </c>
      <c r="AF461" s="828"/>
      <c r="AG461" s="828"/>
      <c r="AH461" s="828"/>
      <c r="AI461" s="828"/>
      <c r="AJ46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61" s="846" t="e">
        <f>SUM(Tabla1[[#This Row],[PRECIO $ BOLSA 50KG  FOB CDO TUC (IVA INC)]]-Tabla1[[#This Row],[PRECIO REF $ BOLSA 50 KG CACTU (IVA INC)]])</f>
        <v>#VALUE!</v>
      </c>
      <c r="AL461" s="847" t="str">
        <f>IFERROR(Tabla1[[#This Row],[PRECIO $ BOLSA 50KG  FOB CDO TUC (IVA INC)]]/Tabla1[[#This Row],[PRECIO REF $ BOLSA 50 KG CACTU (IVA INC)]]-1,"")</f>
        <v/>
      </c>
      <c r="AM461" s="846" t="e">
        <f>+Tabla1[[#This Row],[DIF $ PRECIO NETO INDUSTRIA vs Neto TUCUMAN (IVA INC)]]*Tabla1[[#This Row],[Q Bolsas Equivalentes 50kg]]</f>
        <v>#VALUE!</v>
      </c>
      <c r="AN461" s="846" t="e">
        <f>Tabla1[[#This Row],[PRECIO REF $ BOLSA 50 KG CACTU (IVA INC)]]*Tabla1[[#This Row],[Q Bolsas Equivalentes 50kg]]</f>
        <v>#VALUE!</v>
      </c>
      <c r="AO461" s="846" t="e">
        <f>+Tabla1[[#This Row],[PRECIO $ BOLSA 50KG  FOB CDO TUC (IVA INC)]]*Tabla1[[#This Row],[Q Bolsas Equivalentes 50kg]]</f>
        <v>#VALUE!</v>
      </c>
      <c r="AP461" s="847"/>
      <c r="AQ461" s="846">
        <v>0</v>
      </c>
      <c r="AR461" s="828"/>
      <c r="AS461" s="849"/>
      <c r="AT461" s="923">
        <f>+Tabla1[[#This Row],[VENTA TOTAL $ (IVA INC) ]]-(SUM(Tabla1[[#This Row],[PENDIENTE DE ENTREGA]:[VALORES COBRADOS]]))</f>
        <v>0</v>
      </c>
      <c r="AU461" s="850" t="e">
        <f>VLOOKUP(Tabla1[[#This Row],[FECHA OC]],'TIPO DE CAMBIO'!A:B,2,TRUE)</f>
        <v>#N/A</v>
      </c>
      <c r="AV461" s="850" t="e">
        <f>+Tabla1[[#This Row],[SUBTOTAL]]/Tabla1[[#This Row],[TIPO DE CAMBIO]]</f>
        <v>#N/A</v>
      </c>
      <c r="AW461" s="851"/>
      <c r="AX461" s="850" t="str">
        <f>IFERROR(Tabla1[[#This Row],[VENTA TOTAL USD A PLAZO EN CLIENTE  (SIN IVA)]]*(1+Tabla1[[#This Row],[% IVA ]]),"")</f>
        <v/>
      </c>
      <c r="AY461" s="850" t="e">
        <f>+Tabla1[[#This Row],[VENTA TOTAL USD A PLAZO EN CLIENTE  (SIN IVA)]]/Tabla1[[#This Row],[KGS]]*1000</f>
        <v>#N/A</v>
      </c>
      <c r="AZ461" s="850" t="e">
        <f>-Tabla1[[#This Row],[COSTO FLETE $ POR BOLSA 5O KG (SIN IVA)]]*20/Tabla1[[#This Row],[TIPO DE CAMBIO]]</f>
        <v>#N/A</v>
      </c>
      <c r="BA461" s="850" t="e">
        <f>+Tabla1[[#This Row],[GASTOS FINANCIEROS $ BOLSA 50 KG (IVA INC)]]*20/Tabla1[[#This Row],[TIPO DE CAMBIO]]</f>
        <v>#VALUE!</v>
      </c>
      <c r="BB461" s="850" t="e">
        <f>+Tabla1[[#This Row],[PRECIO POR TN USD EN CLIENTE A PLAZO (SIN IVA)]]+Tabla1[[#This Row],[COSTO USD FLETE /TN (SIN IVA)]]+Tabla1[[#This Row],[COSTO FINANCIERO USD POR BOLSA 50KG (IVA INC)]]</f>
        <v>#N/A</v>
      </c>
      <c r="BC461" s="828"/>
      <c r="BD461" s="944"/>
    </row>
    <row r="462" spans="1:56" ht="15.75" customHeight="1">
      <c r="A462" s="912">
        <v>46266</v>
      </c>
      <c r="B462" s="853"/>
      <c r="C462" s="792"/>
      <c r="D462" s="829">
        <f>+Tabla1[[#This Row],[FECHA Entrega]]</f>
        <v>0</v>
      </c>
      <c r="E462" s="830"/>
      <c r="F462" s="831"/>
      <c r="G462" s="832"/>
      <c r="H462" s="852"/>
      <c r="I462" s="834"/>
      <c r="J462" s="835"/>
      <c r="K462" s="836">
        <f t="shared" si="138"/>
        <v>0</v>
      </c>
      <c r="L46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62" s="837">
        <f t="shared" si="140"/>
        <v>0</v>
      </c>
      <c r="N462" s="838">
        <f>+Tabla1[[#This Row],[VENTA TOTAL $ (IVA INC) ]]</f>
        <v>0</v>
      </c>
      <c r="O462" s="838">
        <v>0</v>
      </c>
      <c r="P462" s="838">
        <v>0</v>
      </c>
      <c r="Q462" s="839">
        <f>+Tabla1[[#This Row],[VENTA TOTAL $ (IVA INC) ]]-Tabla1[[#This Row],[PENDIENTE DE COBRO]]</f>
        <v>0</v>
      </c>
      <c r="R462" s="840">
        <f>+Tabla1[[#This Row],[FECHA FC]]+Tabla1[[#This Row],[PLAZO ENTREGA VALORES]]</f>
        <v>0</v>
      </c>
      <c r="S462" s="840">
        <f>+Tabla1[[#This Row],[FECHA FC]]+Tabla1[[#This Row],[PLAZO PAGO (DIAS)]]</f>
        <v>0</v>
      </c>
      <c r="T462" s="834">
        <f t="shared" ca="1" si="139"/>
        <v>-46181</v>
      </c>
      <c r="U462" s="831"/>
      <c r="V462" s="831"/>
      <c r="W462" s="841">
        <f>+Tabla1[[#This Row],[FECHA VTO VALORES]]+7</f>
        <v>7</v>
      </c>
      <c r="X462" s="830"/>
      <c r="Y462" s="859"/>
      <c r="Z462" s="860">
        <f>Tabla1[[#This Row],[KGS]]/50</f>
        <v>0</v>
      </c>
      <c r="AA46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62" s="844">
        <f>-Tabla1[[#This Row],[COSTO FLETE $ POR BOLSA 5O KG (SIN IVA)]]*1.21-Tabla1[[#This Row],[PRECIO $/ KG A PLAZO EN CLIENTE ( SIN IVA)]]*0.003*1.21*50</f>
        <v>0</v>
      </c>
      <c r="AC462" s="845" t="e">
        <f>SUM(Tabla1[[#This Row],[PRECIO $ BOLSA 50 KG (IVA INC) ]]+Tabla1[[#This Row],[COSTO FLETE $ BOLSA 50 KG (IVA INC)]])</f>
        <v>#VALUE!</v>
      </c>
      <c r="AD462" s="844" t="e">
        <f>-Tabla1[[#This Row],[PRECIO $ BOLSA 50 KG (IVA INC) ]]*(Tabla1[[#This Row],[TASA FINANCIACION MENSUAL]]/365)*Tabla1[[#This Row],[PLAZO ENTREGA VALORES]]</f>
        <v>#VALUE!</v>
      </c>
      <c r="AE462" s="845" t="e">
        <f>SUM(Tabla1[[#This Row],[PRECIO $ BOLSA50 KG  FOB TUCUMAN A PLAZO (IVA INC)]]+Tabla1[[#This Row],[GASTOS FINANCIEROS $ BOLSA 50 KG (IVA INC)]])</f>
        <v>#VALUE!</v>
      </c>
      <c r="AF462" s="828"/>
      <c r="AG462" s="828"/>
      <c r="AH462" s="828"/>
      <c r="AI462" s="828"/>
      <c r="AJ46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62" s="846" t="e">
        <f>SUM(Tabla1[[#This Row],[PRECIO $ BOLSA 50KG  FOB CDO TUC (IVA INC)]]-Tabla1[[#This Row],[PRECIO REF $ BOLSA 50 KG CACTU (IVA INC)]])</f>
        <v>#VALUE!</v>
      </c>
      <c r="AL462" s="847" t="str">
        <f>IFERROR(Tabla1[[#This Row],[PRECIO $ BOLSA 50KG  FOB CDO TUC (IVA INC)]]/Tabla1[[#This Row],[PRECIO REF $ BOLSA 50 KG CACTU (IVA INC)]]-1,"")</f>
        <v/>
      </c>
      <c r="AM462" s="846" t="e">
        <f>+Tabla1[[#This Row],[DIF $ PRECIO NETO INDUSTRIA vs Neto TUCUMAN (IVA INC)]]*Tabla1[[#This Row],[Q Bolsas Equivalentes 50kg]]</f>
        <v>#VALUE!</v>
      </c>
      <c r="AN462" s="846" t="e">
        <f>Tabla1[[#This Row],[PRECIO REF $ BOLSA 50 KG CACTU (IVA INC)]]*Tabla1[[#This Row],[Q Bolsas Equivalentes 50kg]]</f>
        <v>#VALUE!</v>
      </c>
      <c r="AO462" s="846" t="e">
        <f>+Tabla1[[#This Row],[PRECIO $ BOLSA 50KG  FOB CDO TUC (IVA INC)]]*Tabla1[[#This Row],[Q Bolsas Equivalentes 50kg]]</f>
        <v>#VALUE!</v>
      </c>
      <c r="AP462" s="847"/>
      <c r="AQ462" s="846">
        <v>0</v>
      </c>
      <c r="AR462" s="828"/>
      <c r="AS462" s="849"/>
      <c r="AT462" s="923">
        <f>+Tabla1[[#This Row],[VENTA TOTAL $ (IVA INC) ]]-(SUM(Tabla1[[#This Row],[PENDIENTE DE ENTREGA]:[VALORES COBRADOS]]))</f>
        <v>0</v>
      </c>
      <c r="AU462" s="850" t="e">
        <f>VLOOKUP(Tabla1[[#This Row],[FECHA OC]],'TIPO DE CAMBIO'!A:B,2,TRUE)</f>
        <v>#N/A</v>
      </c>
      <c r="AV462" s="850" t="e">
        <f>+Tabla1[[#This Row],[SUBTOTAL]]/Tabla1[[#This Row],[TIPO DE CAMBIO]]</f>
        <v>#N/A</v>
      </c>
      <c r="AW462" s="851"/>
      <c r="AX462" s="850" t="str">
        <f>IFERROR(Tabla1[[#This Row],[VENTA TOTAL USD A PLAZO EN CLIENTE  (SIN IVA)]]*(1+Tabla1[[#This Row],[% IVA ]]),"")</f>
        <v/>
      </c>
      <c r="AY462" s="850" t="e">
        <f>+Tabla1[[#This Row],[VENTA TOTAL USD A PLAZO EN CLIENTE  (SIN IVA)]]/Tabla1[[#This Row],[KGS]]*1000</f>
        <v>#N/A</v>
      </c>
      <c r="AZ462" s="850" t="e">
        <f>-Tabla1[[#This Row],[COSTO FLETE $ POR BOLSA 5O KG (SIN IVA)]]*20/Tabla1[[#This Row],[TIPO DE CAMBIO]]</f>
        <v>#N/A</v>
      </c>
      <c r="BA462" s="850" t="e">
        <f>+Tabla1[[#This Row],[GASTOS FINANCIEROS $ BOLSA 50 KG (IVA INC)]]*20/Tabla1[[#This Row],[TIPO DE CAMBIO]]</f>
        <v>#VALUE!</v>
      </c>
      <c r="BB462" s="850" t="e">
        <f>+Tabla1[[#This Row],[PRECIO POR TN USD EN CLIENTE A PLAZO (SIN IVA)]]+Tabla1[[#This Row],[COSTO USD FLETE /TN (SIN IVA)]]+Tabla1[[#This Row],[COSTO FINANCIERO USD POR BOLSA 50KG (IVA INC)]]</f>
        <v>#N/A</v>
      </c>
      <c r="BC462" s="828"/>
      <c r="BD462" s="944"/>
    </row>
    <row r="463" spans="1:56" ht="15.75" customHeight="1">
      <c r="A463" s="912">
        <v>46266</v>
      </c>
      <c r="B463" s="853"/>
      <c r="C463" s="792"/>
      <c r="D463" s="829">
        <f>+Tabla1[[#This Row],[FECHA Entrega]]</f>
        <v>0</v>
      </c>
      <c r="E463" s="830"/>
      <c r="F463" s="831"/>
      <c r="G463" s="832"/>
      <c r="H463" s="852"/>
      <c r="I463" s="834"/>
      <c r="J463" s="835"/>
      <c r="K463" s="836">
        <f t="shared" si="138"/>
        <v>0</v>
      </c>
      <c r="L46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63" s="837">
        <f t="shared" si="140"/>
        <v>0</v>
      </c>
      <c r="N463" s="838">
        <f>+Tabla1[[#This Row],[VENTA TOTAL $ (IVA INC) ]]</f>
        <v>0</v>
      </c>
      <c r="O463" s="838">
        <v>0</v>
      </c>
      <c r="P463" s="838">
        <v>0</v>
      </c>
      <c r="Q463" s="839">
        <f>+Tabla1[[#This Row],[VENTA TOTAL $ (IVA INC) ]]-Tabla1[[#This Row],[PENDIENTE DE COBRO]]</f>
        <v>0</v>
      </c>
      <c r="R463" s="840">
        <f>+Tabla1[[#This Row],[FECHA FC]]+Tabla1[[#This Row],[PLAZO ENTREGA VALORES]]</f>
        <v>0</v>
      </c>
      <c r="S463" s="840">
        <f>+Tabla1[[#This Row],[FECHA FC]]+Tabla1[[#This Row],[PLAZO PAGO (DIAS)]]</f>
        <v>0</v>
      </c>
      <c r="T463" s="834">
        <f t="shared" ca="1" si="139"/>
        <v>-46181</v>
      </c>
      <c r="U463" s="831"/>
      <c r="V463" s="831"/>
      <c r="W463" s="841">
        <f>+Tabla1[[#This Row],[FECHA VTO VALORES]]+7</f>
        <v>7</v>
      </c>
      <c r="X463" s="830"/>
      <c r="Y463" s="859"/>
      <c r="Z463" s="860">
        <f>Tabla1[[#This Row],[KGS]]/50</f>
        <v>0</v>
      </c>
      <c r="AA46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63" s="844">
        <f>-Tabla1[[#This Row],[COSTO FLETE $ POR BOLSA 5O KG (SIN IVA)]]*1.21-Tabla1[[#This Row],[PRECIO $/ KG A PLAZO EN CLIENTE ( SIN IVA)]]*0.003*1.21*50</f>
        <v>0</v>
      </c>
      <c r="AC463" s="845" t="e">
        <f>SUM(Tabla1[[#This Row],[PRECIO $ BOLSA 50 KG (IVA INC) ]]+Tabla1[[#This Row],[COSTO FLETE $ BOLSA 50 KG (IVA INC)]])</f>
        <v>#VALUE!</v>
      </c>
      <c r="AD463" s="844" t="e">
        <f>-Tabla1[[#This Row],[PRECIO $ BOLSA 50 KG (IVA INC) ]]*(Tabla1[[#This Row],[TASA FINANCIACION MENSUAL]]/365)*Tabla1[[#This Row],[PLAZO ENTREGA VALORES]]</f>
        <v>#VALUE!</v>
      </c>
      <c r="AE463" s="845" t="e">
        <f>SUM(Tabla1[[#This Row],[PRECIO $ BOLSA50 KG  FOB TUCUMAN A PLAZO (IVA INC)]]+Tabla1[[#This Row],[GASTOS FINANCIEROS $ BOLSA 50 KG (IVA INC)]])</f>
        <v>#VALUE!</v>
      </c>
      <c r="AF463" s="828"/>
      <c r="AG463" s="828"/>
      <c r="AH463" s="828"/>
      <c r="AI463" s="828"/>
      <c r="AJ46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63" s="846" t="e">
        <f>SUM(Tabla1[[#This Row],[PRECIO $ BOLSA 50KG  FOB CDO TUC (IVA INC)]]-Tabla1[[#This Row],[PRECIO REF $ BOLSA 50 KG CACTU (IVA INC)]])</f>
        <v>#VALUE!</v>
      </c>
      <c r="AL463" s="847" t="str">
        <f>IFERROR(Tabla1[[#This Row],[PRECIO $ BOLSA 50KG  FOB CDO TUC (IVA INC)]]/Tabla1[[#This Row],[PRECIO REF $ BOLSA 50 KG CACTU (IVA INC)]]-1,"")</f>
        <v/>
      </c>
      <c r="AM463" s="846" t="e">
        <f>+Tabla1[[#This Row],[DIF $ PRECIO NETO INDUSTRIA vs Neto TUCUMAN (IVA INC)]]*Tabla1[[#This Row],[Q Bolsas Equivalentes 50kg]]</f>
        <v>#VALUE!</v>
      </c>
      <c r="AN463" s="846" t="e">
        <f>Tabla1[[#This Row],[PRECIO REF $ BOLSA 50 KG CACTU (IVA INC)]]*Tabla1[[#This Row],[Q Bolsas Equivalentes 50kg]]</f>
        <v>#VALUE!</v>
      </c>
      <c r="AO463" s="846" t="e">
        <f>+Tabla1[[#This Row],[PRECIO $ BOLSA 50KG  FOB CDO TUC (IVA INC)]]*Tabla1[[#This Row],[Q Bolsas Equivalentes 50kg]]</f>
        <v>#VALUE!</v>
      </c>
      <c r="AP463" s="847"/>
      <c r="AQ463" s="846">
        <v>0</v>
      </c>
      <c r="AR463" s="828"/>
      <c r="AS463" s="849"/>
      <c r="AT463" s="923">
        <f>+Tabla1[[#This Row],[VENTA TOTAL $ (IVA INC) ]]-(SUM(Tabla1[[#This Row],[PENDIENTE DE ENTREGA]:[VALORES COBRADOS]]))</f>
        <v>0</v>
      </c>
      <c r="AU463" s="850" t="e">
        <f>VLOOKUP(Tabla1[[#This Row],[FECHA OC]],'TIPO DE CAMBIO'!A:B,2,TRUE)</f>
        <v>#N/A</v>
      </c>
      <c r="AV463" s="850" t="e">
        <f>+Tabla1[[#This Row],[SUBTOTAL]]/Tabla1[[#This Row],[TIPO DE CAMBIO]]</f>
        <v>#N/A</v>
      </c>
      <c r="AW463" s="851"/>
      <c r="AX463" s="850" t="str">
        <f>IFERROR(Tabla1[[#This Row],[VENTA TOTAL USD A PLAZO EN CLIENTE  (SIN IVA)]]*(1+Tabla1[[#This Row],[% IVA ]]),"")</f>
        <v/>
      </c>
      <c r="AY463" s="850" t="e">
        <f>+Tabla1[[#This Row],[VENTA TOTAL USD A PLAZO EN CLIENTE  (SIN IVA)]]/Tabla1[[#This Row],[KGS]]*1000</f>
        <v>#N/A</v>
      </c>
      <c r="AZ463" s="850" t="e">
        <f>-Tabla1[[#This Row],[COSTO FLETE $ POR BOLSA 5O KG (SIN IVA)]]*20/Tabla1[[#This Row],[TIPO DE CAMBIO]]</f>
        <v>#N/A</v>
      </c>
      <c r="BA463" s="850" t="e">
        <f>+Tabla1[[#This Row],[GASTOS FINANCIEROS $ BOLSA 50 KG (IVA INC)]]*20/Tabla1[[#This Row],[TIPO DE CAMBIO]]</f>
        <v>#VALUE!</v>
      </c>
      <c r="BB463" s="850" t="e">
        <f>+Tabla1[[#This Row],[PRECIO POR TN USD EN CLIENTE A PLAZO (SIN IVA)]]+Tabla1[[#This Row],[COSTO USD FLETE /TN (SIN IVA)]]+Tabla1[[#This Row],[COSTO FINANCIERO USD POR BOLSA 50KG (IVA INC)]]</f>
        <v>#N/A</v>
      </c>
      <c r="BC463" s="828"/>
      <c r="BD463" s="944"/>
    </row>
    <row r="464" spans="1:56" ht="15.75" customHeight="1">
      <c r="A464" s="912">
        <v>46266</v>
      </c>
      <c r="B464" s="853"/>
      <c r="C464" s="792"/>
      <c r="D464" s="829">
        <f>+Tabla1[[#This Row],[FECHA Entrega]]</f>
        <v>0</v>
      </c>
      <c r="E464" s="830"/>
      <c r="F464" s="831"/>
      <c r="G464" s="832"/>
      <c r="H464" s="852"/>
      <c r="I464" s="834"/>
      <c r="J464" s="835"/>
      <c r="K464" s="836">
        <f t="shared" si="138"/>
        <v>0</v>
      </c>
      <c r="L46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64" s="837">
        <f t="shared" si="140"/>
        <v>0</v>
      </c>
      <c r="N464" s="838">
        <f>+Tabla1[[#This Row],[VENTA TOTAL $ (IVA INC) ]]</f>
        <v>0</v>
      </c>
      <c r="O464" s="838">
        <v>0</v>
      </c>
      <c r="P464" s="838">
        <v>0</v>
      </c>
      <c r="Q464" s="839">
        <f>+Tabla1[[#This Row],[VENTA TOTAL $ (IVA INC) ]]-Tabla1[[#This Row],[PENDIENTE DE COBRO]]</f>
        <v>0</v>
      </c>
      <c r="R464" s="840">
        <f>+Tabla1[[#This Row],[FECHA FC]]+Tabla1[[#This Row],[PLAZO ENTREGA VALORES]]</f>
        <v>0</v>
      </c>
      <c r="S464" s="840">
        <f>+Tabla1[[#This Row],[FECHA FC]]+Tabla1[[#This Row],[PLAZO PAGO (DIAS)]]</f>
        <v>0</v>
      </c>
      <c r="T464" s="834">
        <f t="shared" ca="1" si="139"/>
        <v>-46181</v>
      </c>
      <c r="U464" s="831"/>
      <c r="V464" s="831"/>
      <c r="W464" s="841">
        <f>+Tabla1[[#This Row],[FECHA VTO VALORES]]+7</f>
        <v>7</v>
      </c>
      <c r="X464" s="830"/>
      <c r="Y464" s="859"/>
      <c r="Z464" s="860">
        <f>Tabla1[[#This Row],[KGS]]/50</f>
        <v>0</v>
      </c>
      <c r="AA46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64" s="844">
        <f>-Tabla1[[#This Row],[COSTO FLETE $ POR BOLSA 5O KG (SIN IVA)]]*1.21-Tabla1[[#This Row],[PRECIO $/ KG A PLAZO EN CLIENTE ( SIN IVA)]]*0.003*1.21*50</f>
        <v>0</v>
      </c>
      <c r="AC464" s="845" t="e">
        <f>SUM(Tabla1[[#This Row],[PRECIO $ BOLSA 50 KG (IVA INC) ]]+Tabla1[[#This Row],[COSTO FLETE $ BOLSA 50 KG (IVA INC)]])</f>
        <v>#VALUE!</v>
      </c>
      <c r="AD464" s="844" t="e">
        <f>-Tabla1[[#This Row],[PRECIO $ BOLSA 50 KG (IVA INC) ]]*(Tabla1[[#This Row],[TASA FINANCIACION MENSUAL]]/365)*Tabla1[[#This Row],[PLAZO ENTREGA VALORES]]</f>
        <v>#VALUE!</v>
      </c>
      <c r="AE464" s="845" t="e">
        <f>SUM(Tabla1[[#This Row],[PRECIO $ BOLSA50 KG  FOB TUCUMAN A PLAZO (IVA INC)]]+Tabla1[[#This Row],[GASTOS FINANCIEROS $ BOLSA 50 KG (IVA INC)]])</f>
        <v>#VALUE!</v>
      </c>
      <c r="AF464" s="828"/>
      <c r="AG464" s="828"/>
      <c r="AH464" s="828"/>
      <c r="AI464" s="828"/>
      <c r="AJ46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64" s="846" t="e">
        <f>SUM(Tabla1[[#This Row],[PRECIO $ BOLSA 50KG  FOB CDO TUC (IVA INC)]]-Tabla1[[#This Row],[PRECIO REF $ BOLSA 50 KG CACTU (IVA INC)]])</f>
        <v>#VALUE!</v>
      </c>
      <c r="AL464" s="847" t="str">
        <f>IFERROR(Tabla1[[#This Row],[PRECIO $ BOLSA 50KG  FOB CDO TUC (IVA INC)]]/Tabla1[[#This Row],[PRECIO REF $ BOLSA 50 KG CACTU (IVA INC)]]-1,"")</f>
        <v/>
      </c>
      <c r="AM464" s="846" t="e">
        <f>+Tabla1[[#This Row],[DIF $ PRECIO NETO INDUSTRIA vs Neto TUCUMAN (IVA INC)]]*Tabla1[[#This Row],[Q Bolsas Equivalentes 50kg]]</f>
        <v>#VALUE!</v>
      </c>
      <c r="AN464" s="846" t="e">
        <f>Tabla1[[#This Row],[PRECIO REF $ BOLSA 50 KG CACTU (IVA INC)]]*Tabla1[[#This Row],[Q Bolsas Equivalentes 50kg]]</f>
        <v>#VALUE!</v>
      </c>
      <c r="AO464" s="846" t="e">
        <f>+Tabla1[[#This Row],[PRECIO $ BOLSA 50KG  FOB CDO TUC (IVA INC)]]*Tabla1[[#This Row],[Q Bolsas Equivalentes 50kg]]</f>
        <v>#VALUE!</v>
      </c>
      <c r="AP464" s="847"/>
      <c r="AQ464" s="846">
        <v>0</v>
      </c>
      <c r="AR464" s="828"/>
      <c r="AS464" s="849"/>
      <c r="AT464" s="923">
        <f>+Tabla1[[#This Row],[VENTA TOTAL $ (IVA INC) ]]-(SUM(Tabla1[[#This Row],[PENDIENTE DE ENTREGA]:[VALORES COBRADOS]]))</f>
        <v>0</v>
      </c>
      <c r="AU464" s="850" t="e">
        <f>VLOOKUP(Tabla1[[#This Row],[FECHA OC]],'TIPO DE CAMBIO'!A:B,2,TRUE)</f>
        <v>#N/A</v>
      </c>
      <c r="AV464" s="850" t="e">
        <f>+Tabla1[[#This Row],[SUBTOTAL]]/Tabla1[[#This Row],[TIPO DE CAMBIO]]</f>
        <v>#N/A</v>
      </c>
      <c r="AW464" s="851"/>
      <c r="AX464" s="850" t="str">
        <f>IFERROR(Tabla1[[#This Row],[VENTA TOTAL USD A PLAZO EN CLIENTE  (SIN IVA)]]*(1+Tabla1[[#This Row],[% IVA ]]),"")</f>
        <v/>
      </c>
      <c r="AY464" s="850" t="e">
        <f>+Tabla1[[#This Row],[VENTA TOTAL USD A PLAZO EN CLIENTE  (SIN IVA)]]/Tabla1[[#This Row],[KGS]]*1000</f>
        <v>#N/A</v>
      </c>
      <c r="AZ464" s="850" t="e">
        <f>-Tabla1[[#This Row],[COSTO FLETE $ POR BOLSA 5O KG (SIN IVA)]]*20/Tabla1[[#This Row],[TIPO DE CAMBIO]]</f>
        <v>#N/A</v>
      </c>
      <c r="BA464" s="850" t="e">
        <f>+Tabla1[[#This Row],[GASTOS FINANCIEROS $ BOLSA 50 KG (IVA INC)]]*20/Tabla1[[#This Row],[TIPO DE CAMBIO]]</f>
        <v>#VALUE!</v>
      </c>
      <c r="BB464" s="850" t="e">
        <f>+Tabla1[[#This Row],[PRECIO POR TN USD EN CLIENTE A PLAZO (SIN IVA)]]+Tabla1[[#This Row],[COSTO USD FLETE /TN (SIN IVA)]]+Tabla1[[#This Row],[COSTO FINANCIERO USD POR BOLSA 50KG (IVA INC)]]</f>
        <v>#N/A</v>
      </c>
      <c r="BC464" s="828"/>
      <c r="BD464" s="944"/>
    </row>
    <row r="465" spans="1:56" ht="15.75" customHeight="1">
      <c r="A465" s="912">
        <v>46266</v>
      </c>
      <c r="B465" s="853"/>
      <c r="C465" s="792"/>
      <c r="D465" s="829">
        <f>+Tabla1[[#This Row],[FECHA Entrega]]</f>
        <v>0</v>
      </c>
      <c r="E465" s="830"/>
      <c r="F465" s="831"/>
      <c r="G465" s="832"/>
      <c r="H465" s="852"/>
      <c r="I465" s="834"/>
      <c r="J465" s="835"/>
      <c r="K465" s="836">
        <f t="shared" si="138"/>
        <v>0</v>
      </c>
      <c r="L46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65" s="837">
        <f t="shared" si="140"/>
        <v>0</v>
      </c>
      <c r="N465" s="838">
        <f>+Tabla1[[#This Row],[VENTA TOTAL $ (IVA INC) ]]</f>
        <v>0</v>
      </c>
      <c r="O465" s="838">
        <v>0</v>
      </c>
      <c r="P465" s="838">
        <v>0</v>
      </c>
      <c r="Q465" s="839">
        <f>+Tabla1[[#This Row],[VENTA TOTAL $ (IVA INC) ]]-Tabla1[[#This Row],[PENDIENTE DE COBRO]]</f>
        <v>0</v>
      </c>
      <c r="R465" s="840">
        <f>+Tabla1[[#This Row],[FECHA FC]]+Tabla1[[#This Row],[PLAZO ENTREGA VALORES]]</f>
        <v>0</v>
      </c>
      <c r="S465" s="840">
        <f>+Tabla1[[#This Row],[FECHA FC]]+Tabla1[[#This Row],[PLAZO PAGO (DIAS)]]</f>
        <v>0</v>
      </c>
      <c r="T465" s="834">
        <f t="shared" ca="1" si="139"/>
        <v>-46181</v>
      </c>
      <c r="U465" s="831"/>
      <c r="V465" s="831"/>
      <c r="W465" s="841">
        <f>+Tabla1[[#This Row],[FECHA VTO VALORES]]+7</f>
        <v>7</v>
      </c>
      <c r="X465" s="830"/>
      <c r="Y465" s="859"/>
      <c r="Z465" s="860">
        <f>Tabla1[[#This Row],[KGS]]/50</f>
        <v>0</v>
      </c>
      <c r="AA46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65" s="844">
        <f>-Tabla1[[#This Row],[COSTO FLETE $ POR BOLSA 5O KG (SIN IVA)]]*1.21-Tabla1[[#This Row],[PRECIO $/ KG A PLAZO EN CLIENTE ( SIN IVA)]]*0.003*1.21*50</f>
        <v>0</v>
      </c>
      <c r="AC465" s="845" t="e">
        <f>SUM(Tabla1[[#This Row],[PRECIO $ BOLSA 50 KG (IVA INC) ]]+Tabla1[[#This Row],[COSTO FLETE $ BOLSA 50 KG (IVA INC)]])</f>
        <v>#VALUE!</v>
      </c>
      <c r="AD465" s="844" t="e">
        <f>-Tabla1[[#This Row],[PRECIO $ BOLSA 50 KG (IVA INC) ]]*(Tabla1[[#This Row],[TASA FINANCIACION MENSUAL]]/365)*Tabla1[[#This Row],[PLAZO ENTREGA VALORES]]</f>
        <v>#VALUE!</v>
      </c>
      <c r="AE465" s="845" t="e">
        <f>SUM(Tabla1[[#This Row],[PRECIO $ BOLSA50 KG  FOB TUCUMAN A PLAZO (IVA INC)]]+Tabla1[[#This Row],[GASTOS FINANCIEROS $ BOLSA 50 KG (IVA INC)]])</f>
        <v>#VALUE!</v>
      </c>
      <c r="AF465" s="828"/>
      <c r="AG465" s="828"/>
      <c r="AH465" s="828"/>
      <c r="AI465" s="828"/>
      <c r="AJ46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65" s="846" t="e">
        <f>SUM(Tabla1[[#This Row],[PRECIO $ BOLSA 50KG  FOB CDO TUC (IVA INC)]]-Tabla1[[#This Row],[PRECIO REF $ BOLSA 50 KG CACTU (IVA INC)]])</f>
        <v>#VALUE!</v>
      </c>
      <c r="AL465" s="847" t="str">
        <f>IFERROR(Tabla1[[#This Row],[PRECIO $ BOLSA 50KG  FOB CDO TUC (IVA INC)]]/Tabla1[[#This Row],[PRECIO REF $ BOLSA 50 KG CACTU (IVA INC)]]-1,"")</f>
        <v/>
      </c>
      <c r="AM465" s="846" t="e">
        <f>+Tabla1[[#This Row],[DIF $ PRECIO NETO INDUSTRIA vs Neto TUCUMAN (IVA INC)]]*Tabla1[[#This Row],[Q Bolsas Equivalentes 50kg]]</f>
        <v>#VALUE!</v>
      </c>
      <c r="AN465" s="846" t="e">
        <f>Tabla1[[#This Row],[PRECIO REF $ BOLSA 50 KG CACTU (IVA INC)]]*Tabla1[[#This Row],[Q Bolsas Equivalentes 50kg]]</f>
        <v>#VALUE!</v>
      </c>
      <c r="AO465" s="846" t="e">
        <f>+Tabla1[[#This Row],[PRECIO $ BOLSA 50KG  FOB CDO TUC (IVA INC)]]*Tabla1[[#This Row],[Q Bolsas Equivalentes 50kg]]</f>
        <v>#VALUE!</v>
      </c>
      <c r="AP465" s="847"/>
      <c r="AQ465" s="846">
        <v>0</v>
      </c>
      <c r="AR465" s="828"/>
      <c r="AS465" s="849"/>
      <c r="AT465" s="923">
        <f>+Tabla1[[#This Row],[VENTA TOTAL $ (IVA INC) ]]-(SUM(Tabla1[[#This Row],[PENDIENTE DE ENTREGA]:[VALORES COBRADOS]]))</f>
        <v>0</v>
      </c>
      <c r="AU465" s="850" t="e">
        <f>VLOOKUP(Tabla1[[#This Row],[FECHA OC]],'TIPO DE CAMBIO'!A:B,2,TRUE)</f>
        <v>#N/A</v>
      </c>
      <c r="AV465" s="850" t="e">
        <f>+Tabla1[[#This Row],[SUBTOTAL]]/Tabla1[[#This Row],[TIPO DE CAMBIO]]</f>
        <v>#N/A</v>
      </c>
      <c r="AW465" s="851"/>
      <c r="AX465" s="850" t="str">
        <f>IFERROR(Tabla1[[#This Row],[VENTA TOTAL USD A PLAZO EN CLIENTE  (SIN IVA)]]*(1+Tabla1[[#This Row],[% IVA ]]),"")</f>
        <v/>
      </c>
      <c r="AY465" s="850" t="e">
        <f>+Tabla1[[#This Row],[VENTA TOTAL USD A PLAZO EN CLIENTE  (SIN IVA)]]/Tabla1[[#This Row],[KGS]]*1000</f>
        <v>#N/A</v>
      </c>
      <c r="AZ465" s="850" t="e">
        <f>-Tabla1[[#This Row],[COSTO FLETE $ POR BOLSA 5O KG (SIN IVA)]]*20/Tabla1[[#This Row],[TIPO DE CAMBIO]]</f>
        <v>#N/A</v>
      </c>
      <c r="BA465" s="850" t="e">
        <f>+Tabla1[[#This Row],[GASTOS FINANCIEROS $ BOLSA 50 KG (IVA INC)]]*20/Tabla1[[#This Row],[TIPO DE CAMBIO]]</f>
        <v>#VALUE!</v>
      </c>
      <c r="BB465" s="850" t="e">
        <f>+Tabla1[[#This Row],[PRECIO POR TN USD EN CLIENTE A PLAZO (SIN IVA)]]+Tabla1[[#This Row],[COSTO USD FLETE /TN (SIN IVA)]]+Tabla1[[#This Row],[COSTO FINANCIERO USD POR BOLSA 50KG (IVA INC)]]</f>
        <v>#N/A</v>
      </c>
      <c r="BC465" s="828"/>
      <c r="BD465" s="944"/>
    </row>
    <row r="466" spans="1:56" ht="15.75" customHeight="1">
      <c r="A466" s="912">
        <v>46266</v>
      </c>
      <c r="B466" s="853"/>
      <c r="C466" s="792"/>
      <c r="D466" s="829">
        <f>+Tabla1[[#This Row],[FECHA Entrega]]</f>
        <v>0</v>
      </c>
      <c r="E466" s="830"/>
      <c r="F466" s="831"/>
      <c r="G466" s="832"/>
      <c r="H466" s="852"/>
      <c r="I466" s="834"/>
      <c r="J466" s="835"/>
      <c r="K466" s="836">
        <f t="shared" si="138"/>
        <v>0</v>
      </c>
      <c r="L46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66" s="837">
        <f t="shared" si="140"/>
        <v>0</v>
      </c>
      <c r="N466" s="838">
        <f>+Tabla1[[#This Row],[VENTA TOTAL $ (IVA INC) ]]</f>
        <v>0</v>
      </c>
      <c r="O466" s="838">
        <v>0</v>
      </c>
      <c r="P466" s="838">
        <v>0</v>
      </c>
      <c r="Q466" s="839">
        <f>+Tabla1[[#This Row],[VENTA TOTAL $ (IVA INC) ]]-Tabla1[[#This Row],[PENDIENTE DE COBRO]]</f>
        <v>0</v>
      </c>
      <c r="R466" s="840">
        <f>+Tabla1[[#This Row],[FECHA FC]]+Tabla1[[#This Row],[PLAZO ENTREGA VALORES]]</f>
        <v>0</v>
      </c>
      <c r="S466" s="840">
        <f>+Tabla1[[#This Row],[FECHA FC]]+Tabla1[[#This Row],[PLAZO PAGO (DIAS)]]</f>
        <v>0</v>
      </c>
      <c r="T466" s="834">
        <f t="shared" ca="1" si="139"/>
        <v>-46181</v>
      </c>
      <c r="U466" s="831"/>
      <c r="V466" s="831"/>
      <c r="W466" s="841">
        <f>+Tabla1[[#This Row],[FECHA VTO VALORES]]+7</f>
        <v>7</v>
      </c>
      <c r="X466" s="830"/>
      <c r="Y466" s="859"/>
      <c r="Z466" s="860">
        <f>Tabla1[[#This Row],[KGS]]/50</f>
        <v>0</v>
      </c>
      <c r="AA46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66" s="844">
        <f>-Tabla1[[#This Row],[COSTO FLETE $ POR BOLSA 5O KG (SIN IVA)]]*1.21-Tabla1[[#This Row],[PRECIO $/ KG A PLAZO EN CLIENTE ( SIN IVA)]]*0.003*1.21*50</f>
        <v>0</v>
      </c>
      <c r="AC466" s="845" t="e">
        <f>SUM(Tabla1[[#This Row],[PRECIO $ BOLSA 50 KG (IVA INC) ]]+Tabla1[[#This Row],[COSTO FLETE $ BOLSA 50 KG (IVA INC)]])</f>
        <v>#VALUE!</v>
      </c>
      <c r="AD466" s="844" t="e">
        <f>-Tabla1[[#This Row],[PRECIO $ BOLSA 50 KG (IVA INC) ]]*(Tabla1[[#This Row],[TASA FINANCIACION MENSUAL]]/365)*Tabla1[[#This Row],[PLAZO ENTREGA VALORES]]</f>
        <v>#VALUE!</v>
      </c>
      <c r="AE466" s="845" t="e">
        <f>SUM(Tabla1[[#This Row],[PRECIO $ BOLSA50 KG  FOB TUCUMAN A PLAZO (IVA INC)]]+Tabla1[[#This Row],[GASTOS FINANCIEROS $ BOLSA 50 KG (IVA INC)]])</f>
        <v>#VALUE!</v>
      </c>
      <c r="AF466" s="828"/>
      <c r="AG466" s="828"/>
      <c r="AH466" s="828"/>
      <c r="AI466" s="828"/>
      <c r="AJ46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66" s="846" t="e">
        <f>SUM(Tabla1[[#This Row],[PRECIO $ BOLSA 50KG  FOB CDO TUC (IVA INC)]]-Tabla1[[#This Row],[PRECIO REF $ BOLSA 50 KG CACTU (IVA INC)]])</f>
        <v>#VALUE!</v>
      </c>
      <c r="AL466" s="847" t="str">
        <f>IFERROR(Tabla1[[#This Row],[PRECIO $ BOLSA 50KG  FOB CDO TUC (IVA INC)]]/Tabla1[[#This Row],[PRECIO REF $ BOLSA 50 KG CACTU (IVA INC)]]-1,"")</f>
        <v/>
      </c>
      <c r="AM466" s="846" t="e">
        <f>+Tabla1[[#This Row],[DIF $ PRECIO NETO INDUSTRIA vs Neto TUCUMAN (IVA INC)]]*Tabla1[[#This Row],[Q Bolsas Equivalentes 50kg]]</f>
        <v>#VALUE!</v>
      </c>
      <c r="AN466" s="846" t="e">
        <f>Tabla1[[#This Row],[PRECIO REF $ BOLSA 50 KG CACTU (IVA INC)]]*Tabla1[[#This Row],[Q Bolsas Equivalentes 50kg]]</f>
        <v>#VALUE!</v>
      </c>
      <c r="AO466" s="846" t="e">
        <f>+Tabla1[[#This Row],[PRECIO $ BOLSA 50KG  FOB CDO TUC (IVA INC)]]*Tabla1[[#This Row],[Q Bolsas Equivalentes 50kg]]</f>
        <v>#VALUE!</v>
      </c>
      <c r="AP466" s="847"/>
      <c r="AQ466" s="846">
        <v>0</v>
      </c>
      <c r="AR466" s="828"/>
      <c r="AS466" s="849"/>
      <c r="AT466" s="923">
        <f>+Tabla1[[#This Row],[VENTA TOTAL $ (IVA INC) ]]-(SUM(Tabla1[[#This Row],[PENDIENTE DE ENTREGA]:[VALORES COBRADOS]]))</f>
        <v>0</v>
      </c>
      <c r="AU466" s="850" t="e">
        <f>VLOOKUP(Tabla1[[#This Row],[FECHA OC]],'TIPO DE CAMBIO'!A:B,2,TRUE)</f>
        <v>#N/A</v>
      </c>
      <c r="AV466" s="850" t="e">
        <f>+Tabla1[[#This Row],[SUBTOTAL]]/Tabla1[[#This Row],[TIPO DE CAMBIO]]</f>
        <v>#N/A</v>
      </c>
      <c r="AW466" s="851"/>
      <c r="AX466" s="850" t="str">
        <f>IFERROR(Tabla1[[#This Row],[VENTA TOTAL USD A PLAZO EN CLIENTE  (SIN IVA)]]*(1+Tabla1[[#This Row],[% IVA ]]),"")</f>
        <v/>
      </c>
      <c r="AY466" s="850" t="e">
        <f>+Tabla1[[#This Row],[VENTA TOTAL USD A PLAZO EN CLIENTE  (SIN IVA)]]/Tabla1[[#This Row],[KGS]]*1000</f>
        <v>#N/A</v>
      </c>
      <c r="AZ466" s="850" t="e">
        <f>-Tabla1[[#This Row],[COSTO FLETE $ POR BOLSA 5O KG (SIN IVA)]]*20/Tabla1[[#This Row],[TIPO DE CAMBIO]]</f>
        <v>#N/A</v>
      </c>
      <c r="BA466" s="850" t="e">
        <f>+Tabla1[[#This Row],[GASTOS FINANCIEROS $ BOLSA 50 KG (IVA INC)]]*20/Tabla1[[#This Row],[TIPO DE CAMBIO]]</f>
        <v>#VALUE!</v>
      </c>
      <c r="BB466" s="850" t="e">
        <f>+Tabla1[[#This Row],[PRECIO POR TN USD EN CLIENTE A PLAZO (SIN IVA)]]+Tabla1[[#This Row],[COSTO USD FLETE /TN (SIN IVA)]]+Tabla1[[#This Row],[COSTO FINANCIERO USD POR BOLSA 50KG (IVA INC)]]</f>
        <v>#N/A</v>
      </c>
      <c r="BC466" s="848"/>
      <c r="BD466" s="944"/>
    </row>
    <row r="467" spans="1:56" ht="15.75" customHeight="1">
      <c r="A467" s="912">
        <v>46266</v>
      </c>
      <c r="B467" s="853"/>
      <c r="C467" s="792"/>
      <c r="D467" s="829">
        <f>+Tabla1[[#This Row],[FECHA Entrega]]</f>
        <v>0</v>
      </c>
      <c r="E467" s="830"/>
      <c r="F467" s="831"/>
      <c r="G467" s="832"/>
      <c r="H467" s="852"/>
      <c r="I467" s="834"/>
      <c r="J467" s="835"/>
      <c r="K467" s="836">
        <f t="shared" si="138"/>
        <v>0</v>
      </c>
      <c r="L46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67" s="837">
        <f t="shared" si="140"/>
        <v>0</v>
      </c>
      <c r="N467" s="838">
        <f>+Tabla1[[#This Row],[VENTA TOTAL $ (IVA INC) ]]</f>
        <v>0</v>
      </c>
      <c r="O467" s="838">
        <v>0</v>
      </c>
      <c r="P467" s="838">
        <v>0</v>
      </c>
      <c r="Q467" s="839">
        <f>+Tabla1[[#This Row],[VENTA TOTAL $ (IVA INC) ]]-Tabla1[[#This Row],[PENDIENTE DE COBRO]]</f>
        <v>0</v>
      </c>
      <c r="R467" s="840">
        <f>+Tabla1[[#This Row],[FECHA FC]]+Tabla1[[#This Row],[PLAZO ENTREGA VALORES]]</f>
        <v>0</v>
      </c>
      <c r="S467" s="840">
        <f>+Tabla1[[#This Row],[FECHA FC]]+Tabla1[[#This Row],[PLAZO PAGO (DIAS)]]</f>
        <v>0</v>
      </c>
      <c r="T467" s="834">
        <f t="shared" ca="1" si="139"/>
        <v>-46181</v>
      </c>
      <c r="U467" s="831"/>
      <c r="V467" s="831"/>
      <c r="W467" s="841">
        <f>+Tabla1[[#This Row],[FECHA VTO VALORES]]+7</f>
        <v>7</v>
      </c>
      <c r="X467" s="830"/>
      <c r="Y467" s="859"/>
      <c r="Z467" s="860">
        <f>Tabla1[[#This Row],[KGS]]/50</f>
        <v>0</v>
      </c>
      <c r="AA46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67" s="844">
        <f>-Tabla1[[#This Row],[COSTO FLETE $ POR BOLSA 5O KG (SIN IVA)]]*1.21-Tabla1[[#This Row],[PRECIO $/ KG A PLAZO EN CLIENTE ( SIN IVA)]]*0.003*1.21*50</f>
        <v>0</v>
      </c>
      <c r="AC467" s="845" t="e">
        <f>SUM(Tabla1[[#This Row],[PRECIO $ BOLSA 50 KG (IVA INC) ]]+Tabla1[[#This Row],[COSTO FLETE $ BOLSA 50 KG (IVA INC)]])</f>
        <v>#VALUE!</v>
      </c>
      <c r="AD467" s="844" t="e">
        <f>-Tabla1[[#This Row],[PRECIO $ BOLSA 50 KG (IVA INC) ]]*(Tabla1[[#This Row],[TASA FINANCIACION MENSUAL]]/365)*Tabla1[[#This Row],[PLAZO ENTREGA VALORES]]</f>
        <v>#VALUE!</v>
      </c>
      <c r="AE467" s="845" t="e">
        <f>SUM(Tabla1[[#This Row],[PRECIO $ BOLSA50 KG  FOB TUCUMAN A PLAZO (IVA INC)]]+Tabla1[[#This Row],[GASTOS FINANCIEROS $ BOLSA 50 KG (IVA INC)]])</f>
        <v>#VALUE!</v>
      </c>
      <c r="AF467" s="828"/>
      <c r="AG467" s="828"/>
      <c r="AH467" s="828"/>
      <c r="AI467" s="828"/>
      <c r="AJ46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67" s="846" t="e">
        <f>SUM(Tabla1[[#This Row],[PRECIO $ BOLSA 50KG  FOB CDO TUC (IVA INC)]]-Tabla1[[#This Row],[PRECIO REF $ BOLSA 50 KG CACTU (IVA INC)]])</f>
        <v>#VALUE!</v>
      </c>
      <c r="AL467" s="847" t="str">
        <f>IFERROR(Tabla1[[#This Row],[PRECIO $ BOLSA 50KG  FOB CDO TUC (IVA INC)]]/Tabla1[[#This Row],[PRECIO REF $ BOLSA 50 KG CACTU (IVA INC)]]-1,"")</f>
        <v/>
      </c>
      <c r="AM467" s="846" t="e">
        <f>+Tabla1[[#This Row],[DIF $ PRECIO NETO INDUSTRIA vs Neto TUCUMAN (IVA INC)]]*Tabla1[[#This Row],[Q Bolsas Equivalentes 50kg]]</f>
        <v>#VALUE!</v>
      </c>
      <c r="AN467" s="846" t="e">
        <f>Tabla1[[#This Row],[PRECIO REF $ BOLSA 50 KG CACTU (IVA INC)]]*Tabla1[[#This Row],[Q Bolsas Equivalentes 50kg]]</f>
        <v>#VALUE!</v>
      </c>
      <c r="AO467" s="846" t="e">
        <f>+Tabla1[[#This Row],[PRECIO $ BOLSA 50KG  FOB CDO TUC (IVA INC)]]*Tabla1[[#This Row],[Q Bolsas Equivalentes 50kg]]</f>
        <v>#VALUE!</v>
      </c>
      <c r="AP467" s="847"/>
      <c r="AQ467" s="846">
        <v>0</v>
      </c>
      <c r="AR467" s="828"/>
      <c r="AS467" s="849"/>
      <c r="AT467" s="923">
        <f>+Tabla1[[#This Row],[VENTA TOTAL $ (IVA INC) ]]-(SUM(Tabla1[[#This Row],[PENDIENTE DE ENTREGA]:[VALORES COBRADOS]]))</f>
        <v>0</v>
      </c>
      <c r="AU467" s="850" t="e">
        <f>VLOOKUP(Tabla1[[#This Row],[FECHA OC]],'TIPO DE CAMBIO'!A:B,2,TRUE)</f>
        <v>#N/A</v>
      </c>
      <c r="AV467" s="850" t="e">
        <f>+Tabla1[[#This Row],[SUBTOTAL]]/Tabla1[[#This Row],[TIPO DE CAMBIO]]</f>
        <v>#N/A</v>
      </c>
      <c r="AW467" s="851"/>
      <c r="AX467" s="850" t="str">
        <f>IFERROR(Tabla1[[#This Row],[VENTA TOTAL USD A PLAZO EN CLIENTE  (SIN IVA)]]*(1+Tabla1[[#This Row],[% IVA ]]),"")</f>
        <v/>
      </c>
      <c r="AY467" s="850" t="e">
        <f>+Tabla1[[#This Row],[VENTA TOTAL USD A PLAZO EN CLIENTE  (SIN IVA)]]/Tabla1[[#This Row],[KGS]]*1000</f>
        <v>#N/A</v>
      </c>
      <c r="AZ467" s="850" t="e">
        <f>-Tabla1[[#This Row],[COSTO FLETE $ POR BOLSA 5O KG (SIN IVA)]]*20/Tabla1[[#This Row],[TIPO DE CAMBIO]]</f>
        <v>#N/A</v>
      </c>
      <c r="BA467" s="850" t="e">
        <f>+Tabla1[[#This Row],[GASTOS FINANCIEROS $ BOLSA 50 KG (IVA INC)]]*20/Tabla1[[#This Row],[TIPO DE CAMBIO]]</f>
        <v>#VALUE!</v>
      </c>
      <c r="BB467" s="850" t="e">
        <f>+Tabla1[[#This Row],[PRECIO POR TN USD EN CLIENTE A PLAZO (SIN IVA)]]+Tabla1[[#This Row],[COSTO USD FLETE /TN (SIN IVA)]]+Tabla1[[#This Row],[COSTO FINANCIERO USD POR BOLSA 50KG (IVA INC)]]</f>
        <v>#N/A</v>
      </c>
      <c r="BC467" s="848"/>
      <c r="BD467" s="944"/>
    </row>
    <row r="468" spans="1:56" ht="15.75" customHeight="1">
      <c r="A468" s="912">
        <v>46266</v>
      </c>
      <c r="B468" s="853"/>
      <c r="C468" s="792"/>
      <c r="D468" s="829">
        <f>+Tabla1[[#This Row],[FECHA Entrega]]</f>
        <v>0</v>
      </c>
      <c r="E468" s="830"/>
      <c r="F468" s="831"/>
      <c r="G468" s="832"/>
      <c r="H468" s="852"/>
      <c r="I468" s="834"/>
      <c r="J468" s="835"/>
      <c r="K468" s="836">
        <f t="shared" si="138"/>
        <v>0</v>
      </c>
      <c r="L46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68" s="837">
        <f t="shared" si="140"/>
        <v>0</v>
      </c>
      <c r="N468" s="838">
        <f>+Tabla1[[#This Row],[VENTA TOTAL $ (IVA INC) ]]</f>
        <v>0</v>
      </c>
      <c r="O468" s="838">
        <v>0</v>
      </c>
      <c r="P468" s="838">
        <v>0</v>
      </c>
      <c r="Q468" s="839">
        <f>+Tabla1[[#This Row],[VENTA TOTAL $ (IVA INC) ]]-Tabla1[[#This Row],[PENDIENTE DE COBRO]]</f>
        <v>0</v>
      </c>
      <c r="R468" s="840">
        <f>+Tabla1[[#This Row],[FECHA FC]]+Tabla1[[#This Row],[PLAZO ENTREGA VALORES]]</f>
        <v>0</v>
      </c>
      <c r="S468" s="840">
        <f>+Tabla1[[#This Row],[FECHA FC]]+Tabla1[[#This Row],[PLAZO PAGO (DIAS)]]</f>
        <v>0</v>
      </c>
      <c r="T468" s="834">
        <f t="shared" ca="1" si="139"/>
        <v>-46181</v>
      </c>
      <c r="U468" s="831"/>
      <c r="V468" s="831"/>
      <c r="W468" s="841">
        <f>+Tabla1[[#This Row],[FECHA VTO VALORES]]+7</f>
        <v>7</v>
      </c>
      <c r="X468" s="830"/>
      <c r="Y468" s="859"/>
      <c r="Z468" s="860">
        <f>Tabla1[[#This Row],[KGS]]/50</f>
        <v>0</v>
      </c>
      <c r="AA46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68" s="844">
        <f>-Tabla1[[#This Row],[COSTO FLETE $ POR BOLSA 5O KG (SIN IVA)]]*1.21-Tabla1[[#This Row],[PRECIO $/ KG A PLAZO EN CLIENTE ( SIN IVA)]]*0.003*1.21*50</f>
        <v>0</v>
      </c>
      <c r="AC468" s="845" t="e">
        <f>SUM(Tabla1[[#This Row],[PRECIO $ BOLSA 50 KG (IVA INC) ]]+Tabla1[[#This Row],[COSTO FLETE $ BOLSA 50 KG (IVA INC)]])</f>
        <v>#VALUE!</v>
      </c>
      <c r="AD468" s="844" t="e">
        <f>-Tabla1[[#This Row],[PRECIO $ BOLSA 50 KG (IVA INC) ]]*(Tabla1[[#This Row],[TASA FINANCIACION MENSUAL]]/365)*Tabla1[[#This Row],[PLAZO ENTREGA VALORES]]</f>
        <v>#VALUE!</v>
      </c>
      <c r="AE468" s="845" t="e">
        <f>SUM(Tabla1[[#This Row],[PRECIO $ BOLSA50 KG  FOB TUCUMAN A PLAZO (IVA INC)]]+Tabla1[[#This Row],[GASTOS FINANCIEROS $ BOLSA 50 KG (IVA INC)]])</f>
        <v>#VALUE!</v>
      </c>
      <c r="AF468" s="828"/>
      <c r="AG468" s="828"/>
      <c r="AH468" s="828"/>
      <c r="AI468" s="828"/>
      <c r="AJ46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68" s="846" t="e">
        <f>SUM(Tabla1[[#This Row],[PRECIO $ BOLSA 50KG  FOB CDO TUC (IVA INC)]]-Tabla1[[#This Row],[PRECIO REF $ BOLSA 50 KG CACTU (IVA INC)]])</f>
        <v>#VALUE!</v>
      </c>
      <c r="AL468" s="847" t="str">
        <f>IFERROR(Tabla1[[#This Row],[PRECIO $ BOLSA 50KG  FOB CDO TUC (IVA INC)]]/Tabla1[[#This Row],[PRECIO REF $ BOLSA 50 KG CACTU (IVA INC)]]-1,"")</f>
        <v/>
      </c>
      <c r="AM468" s="846" t="e">
        <f>+Tabla1[[#This Row],[DIF $ PRECIO NETO INDUSTRIA vs Neto TUCUMAN (IVA INC)]]*Tabla1[[#This Row],[Q Bolsas Equivalentes 50kg]]</f>
        <v>#VALUE!</v>
      </c>
      <c r="AN468" s="846" t="e">
        <f>Tabla1[[#This Row],[PRECIO REF $ BOLSA 50 KG CACTU (IVA INC)]]*Tabla1[[#This Row],[Q Bolsas Equivalentes 50kg]]</f>
        <v>#VALUE!</v>
      </c>
      <c r="AO468" s="846" t="e">
        <f>+Tabla1[[#This Row],[PRECIO $ BOLSA 50KG  FOB CDO TUC (IVA INC)]]*Tabla1[[#This Row],[Q Bolsas Equivalentes 50kg]]</f>
        <v>#VALUE!</v>
      </c>
      <c r="AP468" s="847"/>
      <c r="AQ468" s="846">
        <v>0</v>
      </c>
      <c r="AR468" s="828"/>
      <c r="AS468" s="849"/>
      <c r="AT468" s="923">
        <f>+Tabla1[[#This Row],[VENTA TOTAL $ (IVA INC) ]]-(SUM(Tabla1[[#This Row],[PENDIENTE DE ENTREGA]:[VALORES COBRADOS]]))</f>
        <v>0</v>
      </c>
      <c r="AU468" s="850" t="e">
        <f>VLOOKUP(Tabla1[[#This Row],[FECHA OC]],'TIPO DE CAMBIO'!A:B,2,TRUE)</f>
        <v>#N/A</v>
      </c>
      <c r="AV468" s="850" t="e">
        <f>+Tabla1[[#This Row],[SUBTOTAL]]/Tabla1[[#This Row],[TIPO DE CAMBIO]]</f>
        <v>#N/A</v>
      </c>
      <c r="AW468" s="851"/>
      <c r="AX468" s="850" t="str">
        <f>IFERROR(Tabla1[[#This Row],[VENTA TOTAL USD A PLAZO EN CLIENTE  (SIN IVA)]]*(1+Tabla1[[#This Row],[% IVA ]]),"")</f>
        <v/>
      </c>
      <c r="AY468" s="850" t="e">
        <f>+Tabla1[[#This Row],[VENTA TOTAL USD A PLAZO EN CLIENTE  (SIN IVA)]]/Tabla1[[#This Row],[KGS]]*1000</f>
        <v>#N/A</v>
      </c>
      <c r="AZ468" s="850" t="e">
        <f>-Tabla1[[#This Row],[COSTO FLETE $ POR BOLSA 5O KG (SIN IVA)]]*20/Tabla1[[#This Row],[TIPO DE CAMBIO]]</f>
        <v>#N/A</v>
      </c>
      <c r="BA468" s="850" t="e">
        <f>+Tabla1[[#This Row],[GASTOS FINANCIEROS $ BOLSA 50 KG (IVA INC)]]*20/Tabla1[[#This Row],[TIPO DE CAMBIO]]</f>
        <v>#VALUE!</v>
      </c>
      <c r="BB468" s="850" t="e">
        <f>+Tabla1[[#This Row],[PRECIO POR TN USD EN CLIENTE A PLAZO (SIN IVA)]]+Tabla1[[#This Row],[COSTO USD FLETE /TN (SIN IVA)]]+Tabla1[[#This Row],[COSTO FINANCIERO USD POR BOLSA 50KG (IVA INC)]]</f>
        <v>#N/A</v>
      </c>
      <c r="BC468" s="848"/>
      <c r="BD468" s="944"/>
    </row>
    <row r="469" spans="1:56" ht="15.75" customHeight="1">
      <c r="A469" s="912">
        <v>46266</v>
      </c>
      <c r="B469" s="853"/>
      <c r="C469" s="792"/>
      <c r="D469" s="829">
        <f>+Tabla1[[#This Row],[FECHA Entrega]]</f>
        <v>0</v>
      </c>
      <c r="E469" s="830"/>
      <c r="F469" s="831"/>
      <c r="G469" s="832"/>
      <c r="H469" s="852"/>
      <c r="I469" s="834"/>
      <c r="J469" s="835"/>
      <c r="K469" s="836">
        <f t="shared" si="138"/>
        <v>0</v>
      </c>
      <c r="L46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69" s="837">
        <f t="shared" si="140"/>
        <v>0</v>
      </c>
      <c r="N469" s="838">
        <f>+Tabla1[[#This Row],[VENTA TOTAL $ (IVA INC) ]]</f>
        <v>0</v>
      </c>
      <c r="O469" s="838">
        <v>0</v>
      </c>
      <c r="P469" s="838">
        <v>0</v>
      </c>
      <c r="Q469" s="839">
        <f>+Tabla1[[#This Row],[VENTA TOTAL $ (IVA INC) ]]-Tabla1[[#This Row],[PENDIENTE DE COBRO]]</f>
        <v>0</v>
      </c>
      <c r="R469" s="840">
        <f>+Tabla1[[#This Row],[FECHA FC]]+Tabla1[[#This Row],[PLAZO ENTREGA VALORES]]</f>
        <v>0</v>
      </c>
      <c r="S469" s="840">
        <f>+Tabla1[[#This Row],[FECHA FC]]+Tabla1[[#This Row],[PLAZO PAGO (DIAS)]]</f>
        <v>0</v>
      </c>
      <c r="T469" s="834">
        <f t="shared" ca="1" si="139"/>
        <v>-46181</v>
      </c>
      <c r="U469" s="831"/>
      <c r="V469" s="831"/>
      <c r="W469" s="841">
        <f>+Tabla1[[#This Row],[FECHA VTO VALORES]]+7</f>
        <v>7</v>
      </c>
      <c r="X469" s="830"/>
      <c r="Y469" s="859"/>
      <c r="Z469" s="860">
        <f>Tabla1[[#This Row],[KGS]]/50</f>
        <v>0</v>
      </c>
      <c r="AA46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69" s="844">
        <f>-Tabla1[[#This Row],[COSTO FLETE $ POR BOLSA 5O KG (SIN IVA)]]*1.21-Tabla1[[#This Row],[PRECIO $/ KG A PLAZO EN CLIENTE ( SIN IVA)]]*0.003*1.21*50</f>
        <v>0</v>
      </c>
      <c r="AC469" s="845" t="e">
        <f>SUM(Tabla1[[#This Row],[PRECIO $ BOLSA 50 KG (IVA INC) ]]+Tabla1[[#This Row],[COSTO FLETE $ BOLSA 50 KG (IVA INC)]])</f>
        <v>#VALUE!</v>
      </c>
      <c r="AD469" s="844" t="e">
        <f>-Tabla1[[#This Row],[PRECIO $ BOLSA 50 KG (IVA INC) ]]*(Tabla1[[#This Row],[TASA FINANCIACION MENSUAL]]/365)*Tabla1[[#This Row],[PLAZO ENTREGA VALORES]]</f>
        <v>#VALUE!</v>
      </c>
      <c r="AE469" s="845" t="e">
        <f>SUM(Tabla1[[#This Row],[PRECIO $ BOLSA50 KG  FOB TUCUMAN A PLAZO (IVA INC)]]+Tabla1[[#This Row],[GASTOS FINANCIEROS $ BOLSA 50 KG (IVA INC)]])</f>
        <v>#VALUE!</v>
      </c>
      <c r="AF469" s="828"/>
      <c r="AG469" s="828"/>
      <c r="AH469" s="828"/>
      <c r="AI469" s="828"/>
      <c r="AJ46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69" s="846" t="e">
        <f>SUM(Tabla1[[#This Row],[PRECIO $ BOLSA 50KG  FOB CDO TUC (IVA INC)]]-Tabla1[[#This Row],[PRECIO REF $ BOLSA 50 KG CACTU (IVA INC)]])</f>
        <v>#VALUE!</v>
      </c>
      <c r="AL469" s="847" t="str">
        <f>IFERROR(Tabla1[[#This Row],[PRECIO $ BOLSA 50KG  FOB CDO TUC (IVA INC)]]/Tabla1[[#This Row],[PRECIO REF $ BOLSA 50 KG CACTU (IVA INC)]]-1,"")</f>
        <v/>
      </c>
      <c r="AM469" s="846" t="e">
        <f>+Tabla1[[#This Row],[DIF $ PRECIO NETO INDUSTRIA vs Neto TUCUMAN (IVA INC)]]*Tabla1[[#This Row],[Q Bolsas Equivalentes 50kg]]</f>
        <v>#VALUE!</v>
      </c>
      <c r="AN469" s="846" t="e">
        <f>Tabla1[[#This Row],[PRECIO REF $ BOLSA 50 KG CACTU (IVA INC)]]*Tabla1[[#This Row],[Q Bolsas Equivalentes 50kg]]</f>
        <v>#VALUE!</v>
      </c>
      <c r="AO469" s="846" t="e">
        <f>+Tabla1[[#This Row],[PRECIO $ BOLSA 50KG  FOB CDO TUC (IVA INC)]]*Tabla1[[#This Row],[Q Bolsas Equivalentes 50kg]]</f>
        <v>#VALUE!</v>
      </c>
      <c r="AP469" s="847"/>
      <c r="AQ469" s="846">
        <v>0</v>
      </c>
      <c r="AR469" s="828"/>
      <c r="AS469" s="849"/>
      <c r="AT469" s="923">
        <f>+Tabla1[[#This Row],[VENTA TOTAL $ (IVA INC) ]]-(SUM(Tabla1[[#This Row],[PENDIENTE DE ENTREGA]:[VALORES COBRADOS]]))</f>
        <v>0</v>
      </c>
      <c r="AU469" s="850" t="e">
        <f>VLOOKUP(Tabla1[[#This Row],[FECHA OC]],'TIPO DE CAMBIO'!A:B,2,TRUE)</f>
        <v>#N/A</v>
      </c>
      <c r="AV469" s="850" t="e">
        <f>+Tabla1[[#This Row],[SUBTOTAL]]/Tabla1[[#This Row],[TIPO DE CAMBIO]]</f>
        <v>#N/A</v>
      </c>
      <c r="AW469" s="851"/>
      <c r="AX469" s="850" t="str">
        <f>IFERROR(Tabla1[[#This Row],[VENTA TOTAL USD A PLAZO EN CLIENTE  (SIN IVA)]]*(1+Tabla1[[#This Row],[% IVA ]]),"")</f>
        <v/>
      </c>
      <c r="AY469" s="850" t="e">
        <f>+Tabla1[[#This Row],[VENTA TOTAL USD A PLAZO EN CLIENTE  (SIN IVA)]]/Tabla1[[#This Row],[KGS]]*1000</f>
        <v>#N/A</v>
      </c>
      <c r="AZ469" s="850" t="e">
        <f>-Tabla1[[#This Row],[COSTO FLETE $ POR BOLSA 5O KG (SIN IVA)]]*20/Tabla1[[#This Row],[TIPO DE CAMBIO]]</f>
        <v>#N/A</v>
      </c>
      <c r="BA469" s="850" t="e">
        <f>+Tabla1[[#This Row],[GASTOS FINANCIEROS $ BOLSA 50 KG (IVA INC)]]*20/Tabla1[[#This Row],[TIPO DE CAMBIO]]</f>
        <v>#VALUE!</v>
      </c>
      <c r="BB469" s="850" t="e">
        <f>+Tabla1[[#This Row],[PRECIO POR TN USD EN CLIENTE A PLAZO (SIN IVA)]]+Tabla1[[#This Row],[COSTO USD FLETE /TN (SIN IVA)]]+Tabla1[[#This Row],[COSTO FINANCIERO USD POR BOLSA 50KG (IVA INC)]]</f>
        <v>#N/A</v>
      </c>
      <c r="BC469" s="848"/>
      <c r="BD469" s="944"/>
    </row>
    <row r="470" spans="1:56" ht="15.75" customHeight="1">
      <c r="A470" s="912">
        <v>46266</v>
      </c>
      <c r="B470" s="853"/>
      <c r="C470" s="792"/>
      <c r="D470" s="829">
        <f>+Tabla1[[#This Row],[FECHA Entrega]]</f>
        <v>0</v>
      </c>
      <c r="E470" s="830"/>
      <c r="F470" s="831"/>
      <c r="G470" s="832"/>
      <c r="H470" s="852"/>
      <c r="I470" s="834"/>
      <c r="J470" s="835"/>
      <c r="K470" s="836">
        <f t="shared" si="138"/>
        <v>0</v>
      </c>
      <c r="L47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70" s="837">
        <f t="shared" si="140"/>
        <v>0</v>
      </c>
      <c r="N470" s="838">
        <f>+Tabla1[[#This Row],[VENTA TOTAL $ (IVA INC) ]]</f>
        <v>0</v>
      </c>
      <c r="O470" s="838">
        <v>0</v>
      </c>
      <c r="P470" s="838">
        <v>0</v>
      </c>
      <c r="Q470" s="839">
        <f>+Tabla1[[#This Row],[VENTA TOTAL $ (IVA INC) ]]-Tabla1[[#This Row],[PENDIENTE DE COBRO]]</f>
        <v>0</v>
      </c>
      <c r="R470" s="840">
        <f>+Tabla1[[#This Row],[FECHA FC]]+Tabla1[[#This Row],[PLAZO ENTREGA VALORES]]</f>
        <v>0</v>
      </c>
      <c r="S470" s="840">
        <f>+Tabla1[[#This Row],[FECHA FC]]+Tabla1[[#This Row],[PLAZO PAGO (DIAS)]]</f>
        <v>0</v>
      </c>
      <c r="T470" s="834">
        <f t="shared" ca="1" si="139"/>
        <v>-46181</v>
      </c>
      <c r="U470" s="831"/>
      <c r="V470" s="831"/>
      <c r="W470" s="841">
        <f>+Tabla1[[#This Row],[FECHA VTO VALORES]]+7</f>
        <v>7</v>
      </c>
      <c r="X470" s="830"/>
      <c r="Y470" s="859"/>
      <c r="Z470" s="860">
        <f>Tabla1[[#This Row],[KGS]]/50</f>
        <v>0</v>
      </c>
      <c r="AA47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70" s="844">
        <f>-Tabla1[[#This Row],[COSTO FLETE $ POR BOLSA 5O KG (SIN IVA)]]*1.21-Tabla1[[#This Row],[PRECIO $/ KG A PLAZO EN CLIENTE ( SIN IVA)]]*0.003*1.21*50</f>
        <v>0</v>
      </c>
      <c r="AC470" s="845" t="e">
        <f>SUM(Tabla1[[#This Row],[PRECIO $ BOLSA 50 KG (IVA INC) ]]+Tabla1[[#This Row],[COSTO FLETE $ BOLSA 50 KG (IVA INC)]])</f>
        <v>#VALUE!</v>
      </c>
      <c r="AD470" s="844" t="e">
        <f>-Tabla1[[#This Row],[PRECIO $ BOLSA 50 KG (IVA INC) ]]*(Tabla1[[#This Row],[TASA FINANCIACION MENSUAL]]/365)*Tabla1[[#This Row],[PLAZO ENTREGA VALORES]]</f>
        <v>#VALUE!</v>
      </c>
      <c r="AE470" s="845" t="e">
        <f>SUM(Tabla1[[#This Row],[PRECIO $ BOLSA50 KG  FOB TUCUMAN A PLAZO (IVA INC)]]+Tabla1[[#This Row],[GASTOS FINANCIEROS $ BOLSA 50 KG (IVA INC)]])</f>
        <v>#VALUE!</v>
      </c>
      <c r="AF470" s="828"/>
      <c r="AG470" s="828"/>
      <c r="AH470" s="828"/>
      <c r="AI470" s="828"/>
      <c r="AJ47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70" s="846" t="e">
        <f>SUM(Tabla1[[#This Row],[PRECIO $ BOLSA 50KG  FOB CDO TUC (IVA INC)]]-Tabla1[[#This Row],[PRECIO REF $ BOLSA 50 KG CACTU (IVA INC)]])</f>
        <v>#VALUE!</v>
      </c>
      <c r="AL470" s="847" t="str">
        <f>IFERROR(Tabla1[[#This Row],[PRECIO $ BOLSA 50KG  FOB CDO TUC (IVA INC)]]/Tabla1[[#This Row],[PRECIO REF $ BOLSA 50 KG CACTU (IVA INC)]]-1,"")</f>
        <v/>
      </c>
      <c r="AM470" s="846" t="e">
        <f>+Tabla1[[#This Row],[DIF $ PRECIO NETO INDUSTRIA vs Neto TUCUMAN (IVA INC)]]*Tabla1[[#This Row],[Q Bolsas Equivalentes 50kg]]</f>
        <v>#VALUE!</v>
      </c>
      <c r="AN470" s="846" t="e">
        <f>Tabla1[[#This Row],[PRECIO REF $ BOLSA 50 KG CACTU (IVA INC)]]*Tabla1[[#This Row],[Q Bolsas Equivalentes 50kg]]</f>
        <v>#VALUE!</v>
      </c>
      <c r="AO470" s="846" t="e">
        <f>+Tabla1[[#This Row],[PRECIO $ BOLSA 50KG  FOB CDO TUC (IVA INC)]]*Tabla1[[#This Row],[Q Bolsas Equivalentes 50kg]]</f>
        <v>#VALUE!</v>
      </c>
      <c r="AP470" s="847"/>
      <c r="AQ470" s="846">
        <v>0</v>
      </c>
      <c r="AR470" s="828"/>
      <c r="AS470" s="849"/>
      <c r="AT470" s="923">
        <f>+Tabla1[[#This Row],[VENTA TOTAL $ (IVA INC) ]]-(SUM(Tabla1[[#This Row],[PENDIENTE DE ENTREGA]:[VALORES COBRADOS]]))</f>
        <v>0</v>
      </c>
      <c r="AU470" s="850" t="e">
        <f>VLOOKUP(Tabla1[[#This Row],[FECHA OC]],'TIPO DE CAMBIO'!A:B,2,TRUE)</f>
        <v>#N/A</v>
      </c>
      <c r="AV470" s="850" t="e">
        <f>+Tabla1[[#This Row],[SUBTOTAL]]/Tabla1[[#This Row],[TIPO DE CAMBIO]]</f>
        <v>#N/A</v>
      </c>
      <c r="AW470" s="851"/>
      <c r="AX470" s="850" t="str">
        <f>IFERROR(Tabla1[[#This Row],[VENTA TOTAL USD A PLAZO EN CLIENTE  (SIN IVA)]]*(1+Tabla1[[#This Row],[% IVA ]]),"")</f>
        <v/>
      </c>
      <c r="AY470" s="850" t="e">
        <f>+Tabla1[[#This Row],[VENTA TOTAL USD A PLAZO EN CLIENTE  (SIN IVA)]]/Tabla1[[#This Row],[KGS]]*1000</f>
        <v>#N/A</v>
      </c>
      <c r="AZ470" s="850" t="e">
        <f>-Tabla1[[#This Row],[COSTO FLETE $ POR BOLSA 5O KG (SIN IVA)]]*20/Tabla1[[#This Row],[TIPO DE CAMBIO]]</f>
        <v>#N/A</v>
      </c>
      <c r="BA470" s="850" t="e">
        <f>+Tabla1[[#This Row],[GASTOS FINANCIEROS $ BOLSA 50 KG (IVA INC)]]*20/Tabla1[[#This Row],[TIPO DE CAMBIO]]</f>
        <v>#VALUE!</v>
      </c>
      <c r="BB470" s="850" t="e">
        <f>+Tabla1[[#This Row],[PRECIO POR TN USD EN CLIENTE A PLAZO (SIN IVA)]]+Tabla1[[#This Row],[COSTO USD FLETE /TN (SIN IVA)]]+Tabla1[[#This Row],[COSTO FINANCIERO USD POR BOLSA 50KG (IVA INC)]]</f>
        <v>#N/A</v>
      </c>
      <c r="BC470" s="848"/>
      <c r="BD470" s="944"/>
    </row>
    <row r="471" spans="1:56" ht="15.75" customHeight="1">
      <c r="A471" s="912">
        <v>46266</v>
      </c>
      <c r="B471" s="853"/>
      <c r="C471" s="792"/>
      <c r="D471" s="829">
        <f>+Tabla1[[#This Row],[FECHA Entrega]]</f>
        <v>0</v>
      </c>
      <c r="E471" s="830"/>
      <c r="F471" s="831"/>
      <c r="G471" s="832"/>
      <c r="H471" s="852"/>
      <c r="I471" s="834"/>
      <c r="J471" s="835"/>
      <c r="K471" s="836">
        <f t="shared" si="138"/>
        <v>0</v>
      </c>
      <c r="L47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71" s="837">
        <f t="shared" si="140"/>
        <v>0</v>
      </c>
      <c r="N471" s="838">
        <f>+Tabla1[[#This Row],[VENTA TOTAL $ (IVA INC) ]]</f>
        <v>0</v>
      </c>
      <c r="O471" s="838">
        <v>0</v>
      </c>
      <c r="P471" s="838">
        <v>0</v>
      </c>
      <c r="Q471" s="839">
        <f>+Tabla1[[#This Row],[VENTA TOTAL $ (IVA INC) ]]-Tabla1[[#This Row],[PENDIENTE DE COBRO]]</f>
        <v>0</v>
      </c>
      <c r="R471" s="840">
        <f>+Tabla1[[#This Row],[FECHA FC]]+Tabla1[[#This Row],[PLAZO ENTREGA VALORES]]</f>
        <v>0</v>
      </c>
      <c r="S471" s="840">
        <f>+Tabla1[[#This Row],[FECHA FC]]+Tabla1[[#This Row],[PLAZO PAGO (DIAS)]]</f>
        <v>0</v>
      </c>
      <c r="T471" s="834">
        <f t="shared" ca="1" si="139"/>
        <v>-46181</v>
      </c>
      <c r="U471" s="831"/>
      <c r="V471" s="831"/>
      <c r="W471" s="841">
        <f>+Tabla1[[#This Row],[FECHA VTO VALORES]]+7</f>
        <v>7</v>
      </c>
      <c r="X471" s="830"/>
      <c r="Y471" s="859"/>
      <c r="Z471" s="860">
        <f>Tabla1[[#This Row],[KGS]]/50</f>
        <v>0</v>
      </c>
      <c r="AA47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71" s="844">
        <f>-Tabla1[[#This Row],[COSTO FLETE $ POR BOLSA 5O KG (SIN IVA)]]*1.21-Tabla1[[#This Row],[PRECIO $/ KG A PLAZO EN CLIENTE ( SIN IVA)]]*0.003*1.21*50</f>
        <v>0</v>
      </c>
      <c r="AC471" s="845" t="e">
        <f>SUM(Tabla1[[#This Row],[PRECIO $ BOLSA 50 KG (IVA INC) ]]+Tabla1[[#This Row],[COSTO FLETE $ BOLSA 50 KG (IVA INC)]])</f>
        <v>#VALUE!</v>
      </c>
      <c r="AD471" s="844" t="e">
        <f>-Tabla1[[#This Row],[PRECIO $ BOLSA 50 KG (IVA INC) ]]*(Tabla1[[#This Row],[TASA FINANCIACION MENSUAL]]/365)*Tabla1[[#This Row],[PLAZO ENTREGA VALORES]]</f>
        <v>#VALUE!</v>
      </c>
      <c r="AE471" s="845" t="e">
        <f>SUM(Tabla1[[#This Row],[PRECIO $ BOLSA50 KG  FOB TUCUMAN A PLAZO (IVA INC)]]+Tabla1[[#This Row],[GASTOS FINANCIEROS $ BOLSA 50 KG (IVA INC)]])</f>
        <v>#VALUE!</v>
      </c>
      <c r="AF471" s="828"/>
      <c r="AG471" s="828"/>
      <c r="AH471" s="828"/>
      <c r="AI471" s="828"/>
      <c r="AJ47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71" s="846" t="e">
        <f>SUM(Tabla1[[#This Row],[PRECIO $ BOLSA 50KG  FOB CDO TUC (IVA INC)]]-Tabla1[[#This Row],[PRECIO REF $ BOLSA 50 KG CACTU (IVA INC)]])</f>
        <v>#VALUE!</v>
      </c>
      <c r="AL471" s="847" t="str">
        <f>IFERROR(Tabla1[[#This Row],[PRECIO $ BOLSA 50KG  FOB CDO TUC (IVA INC)]]/Tabla1[[#This Row],[PRECIO REF $ BOLSA 50 KG CACTU (IVA INC)]]-1,"")</f>
        <v/>
      </c>
      <c r="AM471" s="846" t="e">
        <f>+Tabla1[[#This Row],[DIF $ PRECIO NETO INDUSTRIA vs Neto TUCUMAN (IVA INC)]]*Tabla1[[#This Row],[Q Bolsas Equivalentes 50kg]]</f>
        <v>#VALUE!</v>
      </c>
      <c r="AN471" s="846" t="e">
        <f>Tabla1[[#This Row],[PRECIO REF $ BOLSA 50 KG CACTU (IVA INC)]]*Tabla1[[#This Row],[Q Bolsas Equivalentes 50kg]]</f>
        <v>#VALUE!</v>
      </c>
      <c r="AO471" s="846" t="e">
        <f>+Tabla1[[#This Row],[PRECIO $ BOLSA 50KG  FOB CDO TUC (IVA INC)]]*Tabla1[[#This Row],[Q Bolsas Equivalentes 50kg]]</f>
        <v>#VALUE!</v>
      </c>
      <c r="AP471" s="847"/>
      <c r="AQ471" s="846">
        <v>0</v>
      </c>
      <c r="AR471" s="828"/>
      <c r="AS471" s="849"/>
      <c r="AT471" s="923">
        <f>+Tabla1[[#This Row],[VENTA TOTAL $ (IVA INC) ]]-(SUM(Tabla1[[#This Row],[PENDIENTE DE ENTREGA]:[VALORES COBRADOS]]))</f>
        <v>0</v>
      </c>
      <c r="AU471" s="850" t="e">
        <f>VLOOKUP(Tabla1[[#This Row],[FECHA OC]],'TIPO DE CAMBIO'!A:B,2,TRUE)</f>
        <v>#N/A</v>
      </c>
      <c r="AV471" s="850" t="e">
        <f>+Tabla1[[#This Row],[SUBTOTAL]]/Tabla1[[#This Row],[TIPO DE CAMBIO]]</f>
        <v>#N/A</v>
      </c>
      <c r="AW471" s="851"/>
      <c r="AX471" s="850" t="str">
        <f>IFERROR(Tabla1[[#This Row],[VENTA TOTAL USD A PLAZO EN CLIENTE  (SIN IVA)]]*(1+Tabla1[[#This Row],[% IVA ]]),"")</f>
        <v/>
      </c>
      <c r="AY471" s="850" t="e">
        <f>+Tabla1[[#This Row],[VENTA TOTAL USD A PLAZO EN CLIENTE  (SIN IVA)]]/Tabla1[[#This Row],[KGS]]*1000</f>
        <v>#N/A</v>
      </c>
      <c r="AZ471" s="850" t="e">
        <f>-Tabla1[[#This Row],[COSTO FLETE $ POR BOLSA 5O KG (SIN IVA)]]*20/Tabla1[[#This Row],[TIPO DE CAMBIO]]</f>
        <v>#N/A</v>
      </c>
      <c r="BA471" s="850" t="e">
        <f>+Tabla1[[#This Row],[GASTOS FINANCIEROS $ BOLSA 50 KG (IVA INC)]]*20/Tabla1[[#This Row],[TIPO DE CAMBIO]]</f>
        <v>#VALUE!</v>
      </c>
      <c r="BB471" s="850" t="e">
        <f>+Tabla1[[#This Row],[PRECIO POR TN USD EN CLIENTE A PLAZO (SIN IVA)]]+Tabla1[[#This Row],[COSTO USD FLETE /TN (SIN IVA)]]+Tabla1[[#This Row],[COSTO FINANCIERO USD POR BOLSA 50KG (IVA INC)]]</f>
        <v>#N/A</v>
      </c>
      <c r="BC471" s="848"/>
      <c r="BD471" s="944"/>
    </row>
    <row r="472" spans="1:56" ht="15.75" customHeight="1">
      <c r="A472" s="912">
        <v>46266</v>
      </c>
      <c r="B472" s="853"/>
      <c r="C472" s="792"/>
      <c r="D472" s="829">
        <f>+Tabla1[[#This Row],[FECHA Entrega]]</f>
        <v>0</v>
      </c>
      <c r="E472" s="830"/>
      <c r="F472" s="831"/>
      <c r="G472" s="832"/>
      <c r="H472" s="852"/>
      <c r="I472" s="834"/>
      <c r="J472" s="835"/>
      <c r="K472" s="836">
        <f t="shared" si="138"/>
        <v>0</v>
      </c>
      <c r="L47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72" s="837">
        <f t="shared" si="140"/>
        <v>0</v>
      </c>
      <c r="N472" s="838">
        <f>+Tabla1[[#This Row],[VENTA TOTAL $ (IVA INC) ]]</f>
        <v>0</v>
      </c>
      <c r="O472" s="838">
        <v>0</v>
      </c>
      <c r="P472" s="838">
        <v>0</v>
      </c>
      <c r="Q472" s="839">
        <f>+Tabla1[[#This Row],[VENTA TOTAL $ (IVA INC) ]]-Tabla1[[#This Row],[PENDIENTE DE COBRO]]</f>
        <v>0</v>
      </c>
      <c r="R472" s="840">
        <f>+Tabla1[[#This Row],[FECHA FC]]+Tabla1[[#This Row],[PLAZO ENTREGA VALORES]]</f>
        <v>0</v>
      </c>
      <c r="S472" s="840">
        <f>+Tabla1[[#This Row],[FECHA FC]]+Tabla1[[#This Row],[PLAZO PAGO (DIAS)]]</f>
        <v>0</v>
      </c>
      <c r="T472" s="834">
        <f t="shared" ca="1" si="139"/>
        <v>-46181</v>
      </c>
      <c r="U472" s="831"/>
      <c r="V472" s="831"/>
      <c r="W472" s="841">
        <f>+Tabla1[[#This Row],[FECHA VTO VALORES]]+7</f>
        <v>7</v>
      </c>
      <c r="X472" s="830"/>
      <c r="Y472" s="859"/>
      <c r="Z472" s="860">
        <f>Tabla1[[#This Row],[KGS]]/50</f>
        <v>0</v>
      </c>
      <c r="AA47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72" s="844">
        <f>-Tabla1[[#This Row],[COSTO FLETE $ POR BOLSA 5O KG (SIN IVA)]]*1.21-Tabla1[[#This Row],[PRECIO $/ KG A PLAZO EN CLIENTE ( SIN IVA)]]*0.003*1.21*50</f>
        <v>0</v>
      </c>
      <c r="AC472" s="845" t="e">
        <f>SUM(Tabla1[[#This Row],[PRECIO $ BOLSA 50 KG (IVA INC) ]]+Tabla1[[#This Row],[COSTO FLETE $ BOLSA 50 KG (IVA INC)]])</f>
        <v>#VALUE!</v>
      </c>
      <c r="AD472" s="844" t="e">
        <f>-Tabla1[[#This Row],[PRECIO $ BOLSA 50 KG (IVA INC) ]]*(Tabla1[[#This Row],[TASA FINANCIACION MENSUAL]]/365)*Tabla1[[#This Row],[PLAZO ENTREGA VALORES]]</f>
        <v>#VALUE!</v>
      </c>
      <c r="AE472" s="845" t="e">
        <f>SUM(Tabla1[[#This Row],[PRECIO $ BOLSA50 KG  FOB TUCUMAN A PLAZO (IVA INC)]]+Tabla1[[#This Row],[GASTOS FINANCIEROS $ BOLSA 50 KG (IVA INC)]])</f>
        <v>#VALUE!</v>
      </c>
      <c r="AF472" s="828"/>
      <c r="AG472" s="828"/>
      <c r="AH472" s="828"/>
      <c r="AI472" s="828"/>
      <c r="AJ47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72" s="846" t="e">
        <f>SUM(Tabla1[[#This Row],[PRECIO $ BOLSA 50KG  FOB CDO TUC (IVA INC)]]-Tabla1[[#This Row],[PRECIO REF $ BOLSA 50 KG CACTU (IVA INC)]])</f>
        <v>#VALUE!</v>
      </c>
      <c r="AL472" s="847" t="str">
        <f>IFERROR(Tabla1[[#This Row],[PRECIO $ BOLSA 50KG  FOB CDO TUC (IVA INC)]]/Tabla1[[#This Row],[PRECIO REF $ BOLSA 50 KG CACTU (IVA INC)]]-1,"")</f>
        <v/>
      </c>
      <c r="AM472" s="846" t="e">
        <f>+Tabla1[[#This Row],[DIF $ PRECIO NETO INDUSTRIA vs Neto TUCUMAN (IVA INC)]]*Tabla1[[#This Row],[Q Bolsas Equivalentes 50kg]]</f>
        <v>#VALUE!</v>
      </c>
      <c r="AN472" s="846" t="e">
        <f>Tabla1[[#This Row],[PRECIO REF $ BOLSA 50 KG CACTU (IVA INC)]]*Tabla1[[#This Row],[Q Bolsas Equivalentes 50kg]]</f>
        <v>#VALUE!</v>
      </c>
      <c r="AO472" s="846" t="e">
        <f>+Tabla1[[#This Row],[PRECIO $ BOLSA 50KG  FOB CDO TUC (IVA INC)]]*Tabla1[[#This Row],[Q Bolsas Equivalentes 50kg]]</f>
        <v>#VALUE!</v>
      </c>
      <c r="AP472" s="847"/>
      <c r="AQ472" s="846">
        <v>0</v>
      </c>
      <c r="AR472" s="828"/>
      <c r="AS472" s="849"/>
      <c r="AT472" s="923">
        <f>+Tabla1[[#This Row],[VENTA TOTAL $ (IVA INC) ]]-(SUM(Tabla1[[#This Row],[PENDIENTE DE ENTREGA]:[VALORES COBRADOS]]))</f>
        <v>0</v>
      </c>
      <c r="AU472" s="850" t="e">
        <f>VLOOKUP(Tabla1[[#This Row],[FECHA OC]],'TIPO DE CAMBIO'!A:B,2,TRUE)</f>
        <v>#N/A</v>
      </c>
      <c r="AV472" s="850" t="e">
        <f>+Tabla1[[#This Row],[SUBTOTAL]]/Tabla1[[#This Row],[TIPO DE CAMBIO]]</f>
        <v>#N/A</v>
      </c>
      <c r="AW472" s="851"/>
      <c r="AX472" s="850" t="str">
        <f>IFERROR(Tabla1[[#This Row],[VENTA TOTAL USD A PLAZO EN CLIENTE  (SIN IVA)]]*(1+Tabla1[[#This Row],[% IVA ]]),"")</f>
        <v/>
      </c>
      <c r="AY472" s="850" t="e">
        <f>+Tabla1[[#This Row],[VENTA TOTAL USD A PLAZO EN CLIENTE  (SIN IVA)]]/Tabla1[[#This Row],[KGS]]*1000</f>
        <v>#N/A</v>
      </c>
      <c r="AZ472" s="850" t="e">
        <f>-Tabla1[[#This Row],[COSTO FLETE $ POR BOLSA 5O KG (SIN IVA)]]*20/Tabla1[[#This Row],[TIPO DE CAMBIO]]</f>
        <v>#N/A</v>
      </c>
      <c r="BA472" s="850" t="e">
        <f>+Tabla1[[#This Row],[GASTOS FINANCIEROS $ BOLSA 50 KG (IVA INC)]]*20/Tabla1[[#This Row],[TIPO DE CAMBIO]]</f>
        <v>#VALUE!</v>
      </c>
      <c r="BB472" s="850" t="e">
        <f>+Tabla1[[#This Row],[PRECIO POR TN USD EN CLIENTE A PLAZO (SIN IVA)]]+Tabla1[[#This Row],[COSTO USD FLETE /TN (SIN IVA)]]+Tabla1[[#This Row],[COSTO FINANCIERO USD POR BOLSA 50KG (IVA INC)]]</f>
        <v>#N/A</v>
      </c>
      <c r="BC472" s="848"/>
      <c r="BD472" s="944"/>
    </row>
    <row r="473" spans="1:56" ht="15.75" customHeight="1">
      <c r="A473" s="912">
        <v>46266</v>
      </c>
      <c r="B473" s="853"/>
      <c r="C473" s="792"/>
      <c r="D473" s="829">
        <f>+Tabla1[[#This Row],[FECHA Entrega]]</f>
        <v>0</v>
      </c>
      <c r="E473" s="830"/>
      <c r="F473" s="831"/>
      <c r="G473" s="832"/>
      <c r="H473" s="852"/>
      <c r="I473" s="834"/>
      <c r="J473" s="835"/>
      <c r="K473" s="836">
        <f t="shared" ref="K473:K536" si="142">+J473*I473</f>
        <v>0</v>
      </c>
      <c r="L47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73" s="837">
        <f t="shared" si="140"/>
        <v>0</v>
      </c>
      <c r="N473" s="838">
        <f>+Tabla1[[#This Row],[VENTA TOTAL $ (IVA INC) ]]</f>
        <v>0</v>
      </c>
      <c r="O473" s="838">
        <v>0</v>
      </c>
      <c r="P473" s="838">
        <v>0</v>
      </c>
      <c r="Q473" s="839">
        <f>+Tabla1[[#This Row],[VENTA TOTAL $ (IVA INC) ]]-Tabla1[[#This Row],[PENDIENTE DE COBRO]]</f>
        <v>0</v>
      </c>
      <c r="R473" s="840">
        <f>+Tabla1[[#This Row],[FECHA FC]]+Tabla1[[#This Row],[PLAZO ENTREGA VALORES]]</f>
        <v>0</v>
      </c>
      <c r="S473" s="840">
        <f>+Tabla1[[#This Row],[FECHA FC]]+Tabla1[[#This Row],[PLAZO PAGO (DIAS)]]</f>
        <v>0</v>
      </c>
      <c r="T473" s="834">
        <f t="shared" ref="T473:T536" ca="1" si="143">+S473-$U$2</f>
        <v>-46181</v>
      </c>
      <c r="U473" s="831"/>
      <c r="V473" s="831"/>
      <c r="W473" s="841">
        <f>+Tabla1[[#This Row],[FECHA VTO VALORES]]+7</f>
        <v>7</v>
      </c>
      <c r="X473" s="830"/>
      <c r="Y473" s="859"/>
      <c r="Z473" s="860">
        <f>Tabla1[[#This Row],[KGS]]/50</f>
        <v>0</v>
      </c>
      <c r="AA47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73" s="844">
        <f>-Tabla1[[#This Row],[COSTO FLETE $ POR BOLSA 5O KG (SIN IVA)]]*1.21-Tabla1[[#This Row],[PRECIO $/ KG A PLAZO EN CLIENTE ( SIN IVA)]]*0.003*1.21*50</f>
        <v>0</v>
      </c>
      <c r="AC473" s="845" t="e">
        <f>SUM(Tabla1[[#This Row],[PRECIO $ BOLSA 50 KG (IVA INC) ]]+Tabla1[[#This Row],[COSTO FLETE $ BOLSA 50 KG (IVA INC)]])</f>
        <v>#VALUE!</v>
      </c>
      <c r="AD473" s="844" t="e">
        <f>-Tabla1[[#This Row],[PRECIO $ BOLSA 50 KG (IVA INC) ]]*(Tabla1[[#This Row],[TASA FINANCIACION MENSUAL]]/365)*Tabla1[[#This Row],[PLAZO ENTREGA VALORES]]</f>
        <v>#VALUE!</v>
      </c>
      <c r="AE473" s="845" t="e">
        <f>SUM(Tabla1[[#This Row],[PRECIO $ BOLSA50 KG  FOB TUCUMAN A PLAZO (IVA INC)]]+Tabla1[[#This Row],[GASTOS FINANCIEROS $ BOLSA 50 KG (IVA INC)]])</f>
        <v>#VALUE!</v>
      </c>
      <c r="AF473" s="828"/>
      <c r="AG473" s="828"/>
      <c r="AH473" s="828"/>
      <c r="AI473" s="828"/>
      <c r="AJ47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73" s="846" t="e">
        <f>SUM(Tabla1[[#This Row],[PRECIO $ BOLSA 50KG  FOB CDO TUC (IVA INC)]]-Tabla1[[#This Row],[PRECIO REF $ BOLSA 50 KG CACTU (IVA INC)]])</f>
        <v>#VALUE!</v>
      </c>
      <c r="AL473" s="847" t="str">
        <f>IFERROR(Tabla1[[#This Row],[PRECIO $ BOLSA 50KG  FOB CDO TUC (IVA INC)]]/Tabla1[[#This Row],[PRECIO REF $ BOLSA 50 KG CACTU (IVA INC)]]-1,"")</f>
        <v/>
      </c>
      <c r="AM473" s="846" t="e">
        <f>+Tabla1[[#This Row],[DIF $ PRECIO NETO INDUSTRIA vs Neto TUCUMAN (IVA INC)]]*Tabla1[[#This Row],[Q Bolsas Equivalentes 50kg]]</f>
        <v>#VALUE!</v>
      </c>
      <c r="AN473" s="846" t="e">
        <f>Tabla1[[#This Row],[PRECIO REF $ BOLSA 50 KG CACTU (IVA INC)]]*Tabla1[[#This Row],[Q Bolsas Equivalentes 50kg]]</f>
        <v>#VALUE!</v>
      </c>
      <c r="AO473" s="846" t="e">
        <f>+Tabla1[[#This Row],[PRECIO $ BOLSA 50KG  FOB CDO TUC (IVA INC)]]*Tabla1[[#This Row],[Q Bolsas Equivalentes 50kg]]</f>
        <v>#VALUE!</v>
      </c>
      <c r="AP473" s="847"/>
      <c r="AQ473" s="846">
        <v>0</v>
      </c>
      <c r="AR473" s="828"/>
      <c r="AS473" s="849"/>
      <c r="AT473" s="923">
        <f>+Tabla1[[#This Row],[VENTA TOTAL $ (IVA INC) ]]-(SUM(Tabla1[[#This Row],[PENDIENTE DE ENTREGA]:[VALORES COBRADOS]]))</f>
        <v>0</v>
      </c>
      <c r="AU473" s="850" t="e">
        <f>VLOOKUP(Tabla1[[#This Row],[FECHA OC]],'TIPO DE CAMBIO'!A:B,2,TRUE)</f>
        <v>#N/A</v>
      </c>
      <c r="AV473" s="850" t="e">
        <f>+Tabla1[[#This Row],[SUBTOTAL]]/Tabla1[[#This Row],[TIPO DE CAMBIO]]</f>
        <v>#N/A</v>
      </c>
      <c r="AW473" s="851"/>
      <c r="AX473" s="850" t="str">
        <f>IFERROR(Tabla1[[#This Row],[VENTA TOTAL USD A PLAZO EN CLIENTE  (SIN IVA)]]*(1+Tabla1[[#This Row],[% IVA ]]),"")</f>
        <v/>
      </c>
      <c r="AY473" s="850" t="e">
        <f>+Tabla1[[#This Row],[VENTA TOTAL USD A PLAZO EN CLIENTE  (SIN IVA)]]/Tabla1[[#This Row],[KGS]]*1000</f>
        <v>#N/A</v>
      </c>
      <c r="AZ473" s="850" t="e">
        <f>-Tabla1[[#This Row],[COSTO FLETE $ POR BOLSA 5O KG (SIN IVA)]]*20/Tabla1[[#This Row],[TIPO DE CAMBIO]]</f>
        <v>#N/A</v>
      </c>
      <c r="BA473" s="850" t="e">
        <f>+Tabla1[[#This Row],[GASTOS FINANCIEROS $ BOLSA 50 KG (IVA INC)]]*20/Tabla1[[#This Row],[TIPO DE CAMBIO]]</f>
        <v>#VALUE!</v>
      </c>
      <c r="BB473" s="850" t="e">
        <f>+Tabla1[[#This Row],[PRECIO POR TN USD EN CLIENTE A PLAZO (SIN IVA)]]+Tabla1[[#This Row],[COSTO USD FLETE /TN (SIN IVA)]]+Tabla1[[#This Row],[COSTO FINANCIERO USD POR BOLSA 50KG (IVA INC)]]</f>
        <v>#N/A</v>
      </c>
      <c r="BC473" s="848"/>
      <c r="BD473" s="944"/>
    </row>
    <row r="474" spans="1:56" ht="15.75" customHeight="1">
      <c r="A474" s="912">
        <v>46266</v>
      </c>
      <c r="B474" s="853"/>
      <c r="C474" s="792"/>
      <c r="D474" s="829">
        <f>+Tabla1[[#This Row],[FECHA Entrega]]</f>
        <v>0</v>
      </c>
      <c r="E474" s="830"/>
      <c r="F474" s="831"/>
      <c r="G474" s="832"/>
      <c r="H474" s="852"/>
      <c r="I474" s="834"/>
      <c r="J474" s="835"/>
      <c r="K474" s="836">
        <f t="shared" si="142"/>
        <v>0</v>
      </c>
      <c r="L47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74" s="837">
        <f t="shared" si="140"/>
        <v>0</v>
      </c>
      <c r="N474" s="838">
        <f>+Tabla1[[#This Row],[VENTA TOTAL $ (IVA INC) ]]</f>
        <v>0</v>
      </c>
      <c r="O474" s="838">
        <v>0</v>
      </c>
      <c r="P474" s="838">
        <v>0</v>
      </c>
      <c r="Q474" s="839">
        <f>+Tabla1[[#This Row],[VENTA TOTAL $ (IVA INC) ]]-Tabla1[[#This Row],[PENDIENTE DE COBRO]]</f>
        <v>0</v>
      </c>
      <c r="R474" s="840">
        <f>+Tabla1[[#This Row],[FECHA FC]]+Tabla1[[#This Row],[PLAZO ENTREGA VALORES]]</f>
        <v>0</v>
      </c>
      <c r="S474" s="840">
        <f>+Tabla1[[#This Row],[FECHA FC]]+Tabla1[[#This Row],[PLAZO PAGO (DIAS)]]</f>
        <v>0</v>
      </c>
      <c r="T474" s="834">
        <f t="shared" ca="1" si="143"/>
        <v>-46181</v>
      </c>
      <c r="U474" s="831"/>
      <c r="V474" s="831"/>
      <c r="W474" s="841">
        <f>+Tabla1[[#This Row],[FECHA VTO VALORES]]+7</f>
        <v>7</v>
      </c>
      <c r="X474" s="830"/>
      <c r="Y474" s="859"/>
      <c r="Z474" s="860">
        <f>Tabla1[[#This Row],[KGS]]/50</f>
        <v>0</v>
      </c>
      <c r="AA47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74" s="844">
        <f>-Tabla1[[#This Row],[COSTO FLETE $ POR BOLSA 5O KG (SIN IVA)]]*1.21-Tabla1[[#This Row],[PRECIO $/ KG A PLAZO EN CLIENTE ( SIN IVA)]]*0.003*1.21*50</f>
        <v>0</v>
      </c>
      <c r="AC474" s="845" t="e">
        <f>SUM(Tabla1[[#This Row],[PRECIO $ BOLSA 50 KG (IVA INC) ]]+Tabla1[[#This Row],[COSTO FLETE $ BOLSA 50 KG (IVA INC)]])</f>
        <v>#VALUE!</v>
      </c>
      <c r="AD474" s="844" t="e">
        <f>-Tabla1[[#This Row],[PRECIO $ BOLSA 50 KG (IVA INC) ]]*(Tabla1[[#This Row],[TASA FINANCIACION MENSUAL]]/365)*Tabla1[[#This Row],[PLAZO ENTREGA VALORES]]</f>
        <v>#VALUE!</v>
      </c>
      <c r="AE474" s="845" t="e">
        <f>SUM(Tabla1[[#This Row],[PRECIO $ BOLSA50 KG  FOB TUCUMAN A PLAZO (IVA INC)]]+Tabla1[[#This Row],[GASTOS FINANCIEROS $ BOLSA 50 KG (IVA INC)]])</f>
        <v>#VALUE!</v>
      </c>
      <c r="AF474" s="828"/>
      <c r="AG474" s="828"/>
      <c r="AH474" s="828"/>
      <c r="AI474" s="828"/>
      <c r="AJ47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74" s="846" t="e">
        <f>SUM(Tabla1[[#This Row],[PRECIO $ BOLSA 50KG  FOB CDO TUC (IVA INC)]]-Tabla1[[#This Row],[PRECIO REF $ BOLSA 50 KG CACTU (IVA INC)]])</f>
        <v>#VALUE!</v>
      </c>
      <c r="AL474" s="847" t="str">
        <f>IFERROR(Tabla1[[#This Row],[PRECIO $ BOLSA 50KG  FOB CDO TUC (IVA INC)]]/Tabla1[[#This Row],[PRECIO REF $ BOLSA 50 KG CACTU (IVA INC)]]-1,"")</f>
        <v/>
      </c>
      <c r="AM474" s="846" t="e">
        <f>+Tabla1[[#This Row],[DIF $ PRECIO NETO INDUSTRIA vs Neto TUCUMAN (IVA INC)]]*Tabla1[[#This Row],[Q Bolsas Equivalentes 50kg]]</f>
        <v>#VALUE!</v>
      </c>
      <c r="AN474" s="846" t="e">
        <f>Tabla1[[#This Row],[PRECIO REF $ BOLSA 50 KG CACTU (IVA INC)]]*Tabla1[[#This Row],[Q Bolsas Equivalentes 50kg]]</f>
        <v>#VALUE!</v>
      </c>
      <c r="AO474" s="846" t="e">
        <f>+Tabla1[[#This Row],[PRECIO $ BOLSA 50KG  FOB CDO TUC (IVA INC)]]*Tabla1[[#This Row],[Q Bolsas Equivalentes 50kg]]</f>
        <v>#VALUE!</v>
      </c>
      <c r="AP474" s="847"/>
      <c r="AQ474" s="846">
        <v>0</v>
      </c>
      <c r="AR474" s="828"/>
      <c r="AS474" s="849"/>
      <c r="AT474" s="923">
        <f>+Tabla1[[#This Row],[VENTA TOTAL $ (IVA INC) ]]-(SUM(Tabla1[[#This Row],[PENDIENTE DE ENTREGA]:[VALORES COBRADOS]]))</f>
        <v>0</v>
      </c>
      <c r="AU474" s="850" t="e">
        <f>VLOOKUP(Tabla1[[#This Row],[FECHA OC]],'TIPO DE CAMBIO'!A:B,2,TRUE)</f>
        <v>#N/A</v>
      </c>
      <c r="AV474" s="850" t="e">
        <f>+Tabla1[[#This Row],[SUBTOTAL]]/Tabla1[[#This Row],[TIPO DE CAMBIO]]</f>
        <v>#N/A</v>
      </c>
      <c r="AW474" s="851"/>
      <c r="AX474" s="850" t="str">
        <f>IFERROR(Tabla1[[#This Row],[VENTA TOTAL USD A PLAZO EN CLIENTE  (SIN IVA)]]*(1+Tabla1[[#This Row],[% IVA ]]),"")</f>
        <v/>
      </c>
      <c r="AY474" s="850" t="e">
        <f>+Tabla1[[#This Row],[VENTA TOTAL USD A PLAZO EN CLIENTE  (SIN IVA)]]/Tabla1[[#This Row],[KGS]]*1000</f>
        <v>#N/A</v>
      </c>
      <c r="AZ474" s="850" t="e">
        <f>-Tabla1[[#This Row],[COSTO FLETE $ POR BOLSA 5O KG (SIN IVA)]]*20/Tabla1[[#This Row],[TIPO DE CAMBIO]]</f>
        <v>#N/A</v>
      </c>
      <c r="BA474" s="850" t="e">
        <f>+Tabla1[[#This Row],[GASTOS FINANCIEROS $ BOLSA 50 KG (IVA INC)]]*20/Tabla1[[#This Row],[TIPO DE CAMBIO]]</f>
        <v>#VALUE!</v>
      </c>
      <c r="BB474" s="850" t="e">
        <f>+Tabla1[[#This Row],[PRECIO POR TN USD EN CLIENTE A PLAZO (SIN IVA)]]+Tabla1[[#This Row],[COSTO USD FLETE /TN (SIN IVA)]]+Tabla1[[#This Row],[COSTO FINANCIERO USD POR BOLSA 50KG (IVA INC)]]</f>
        <v>#N/A</v>
      </c>
      <c r="BC474" s="848"/>
      <c r="BD474" s="944"/>
    </row>
    <row r="475" spans="1:56" ht="15.75" customHeight="1">
      <c r="A475" s="912">
        <v>46266</v>
      </c>
      <c r="B475" s="853"/>
      <c r="C475" s="792"/>
      <c r="D475" s="829">
        <f>+Tabla1[[#This Row],[FECHA Entrega]]</f>
        <v>0</v>
      </c>
      <c r="E475" s="830"/>
      <c r="F475" s="831"/>
      <c r="G475" s="832"/>
      <c r="H475" s="852"/>
      <c r="I475" s="834"/>
      <c r="J475" s="835"/>
      <c r="K475" s="836">
        <f t="shared" si="142"/>
        <v>0</v>
      </c>
      <c r="L47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75" s="837">
        <f t="shared" si="140"/>
        <v>0</v>
      </c>
      <c r="N475" s="838">
        <f>+Tabla1[[#This Row],[VENTA TOTAL $ (IVA INC) ]]</f>
        <v>0</v>
      </c>
      <c r="O475" s="838">
        <v>0</v>
      </c>
      <c r="P475" s="838">
        <v>0</v>
      </c>
      <c r="Q475" s="839">
        <f>+Tabla1[[#This Row],[VENTA TOTAL $ (IVA INC) ]]-Tabla1[[#This Row],[PENDIENTE DE COBRO]]</f>
        <v>0</v>
      </c>
      <c r="R475" s="840">
        <f>+Tabla1[[#This Row],[FECHA FC]]+Tabla1[[#This Row],[PLAZO ENTREGA VALORES]]</f>
        <v>0</v>
      </c>
      <c r="S475" s="840">
        <f>+Tabla1[[#This Row],[FECHA FC]]+Tabla1[[#This Row],[PLAZO PAGO (DIAS)]]</f>
        <v>0</v>
      </c>
      <c r="T475" s="834">
        <f t="shared" ca="1" si="143"/>
        <v>-46181</v>
      </c>
      <c r="U475" s="831"/>
      <c r="V475" s="831"/>
      <c r="W475" s="841">
        <f>+Tabla1[[#This Row],[FECHA VTO VALORES]]+7</f>
        <v>7</v>
      </c>
      <c r="X475" s="830"/>
      <c r="Y475" s="859"/>
      <c r="Z475" s="860">
        <f>Tabla1[[#This Row],[KGS]]/50</f>
        <v>0</v>
      </c>
      <c r="AA47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75" s="844">
        <f>-Tabla1[[#This Row],[COSTO FLETE $ POR BOLSA 5O KG (SIN IVA)]]*1.21-Tabla1[[#This Row],[PRECIO $/ KG A PLAZO EN CLIENTE ( SIN IVA)]]*0.003*1.21*50</f>
        <v>0</v>
      </c>
      <c r="AC475" s="845" t="e">
        <f>SUM(Tabla1[[#This Row],[PRECIO $ BOLSA 50 KG (IVA INC) ]]+Tabla1[[#This Row],[COSTO FLETE $ BOLSA 50 KG (IVA INC)]])</f>
        <v>#VALUE!</v>
      </c>
      <c r="AD475" s="844" t="e">
        <f>-Tabla1[[#This Row],[PRECIO $ BOLSA 50 KG (IVA INC) ]]*(Tabla1[[#This Row],[TASA FINANCIACION MENSUAL]]/365)*Tabla1[[#This Row],[PLAZO ENTREGA VALORES]]</f>
        <v>#VALUE!</v>
      </c>
      <c r="AE475" s="845" t="e">
        <f>SUM(Tabla1[[#This Row],[PRECIO $ BOLSA50 KG  FOB TUCUMAN A PLAZO (IVA INC)]]+Tabla1[[#This Row],[GASTOS FINANCIEROS $ BOLSA 50 KG (IVA INC)]])</f>
        <v>#VALUE!</v>
      </c>
      <c r="AF475" s="828"/>
      <c r="AG475" s="828"/>
      <c r="AH475" s="828"/>
      <c r="AI475" s="828"/>
      <c r="AJ47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75" s="846" t="e">
        <f>SUM(Tabla1[[#This Row],[PRECIO $ BOLSA 50KG  FOB CDO TUC (IVA INC)]]-Tabla1[[#This Row],[PRECIO REF $ BOLSA 50 KG CACTU (IVA INC)]])</f>
        <v>#VALUE!</v>
      </c>
      <c r="AL475" s="847" t="str">
        <f>IFERROR(Tabla1[[#This Row],[PRECIO $ BOLSA 50KG  FOB CDO TUC (IVA INC)]]/Tabla1[[#This Row],[PRECIO REF $ BOLSA 50 KG CACTU (IVA INC)]]-1,"")</f>
        <v/>
      </c>
      <c r="AM475" s="846" t="e">
        <f>+Tabla1[[#This Row],[DIF $ PRECIO NETO INDUSTRIA vs Neto TUCUMAN (IVA INC)]]*Tabla1[[#This Row],[Q Bolsas Equivalentes 50kg]]</f>
        <v>#VALUE!</v>
      </c>
      <c r="AN475" s="846" t="e">
        <f>Tabla1[[#This Row],[PRECIO REF $ BOLSA 50 KG CACTU (IVA INC)]]*Tabla1[[#This Row],[Q Bolsas Equivalentes 50kg]]</f>
        <v>#VALUE!</v>
      </c>
      <c r="AO475" s="846" t="e">
        <f>+Tabla1[[#This Row],[PRECIO $ BOLSA 50KG  FOB CDO TUC (IVA INC)]]*Tabla1[[#This Row],[Q Bolsas Equivalentes 50kg]]</f>
        <v>#VALUE!</v>
      </c>
      <c r="AP475" s="847"/>
      <c r="AQ475" s="846">
        <v>0</v>
      </c>
      <c r="AR475" s="828"/>
      <c r="AS475" s="849"/>
      <c r="AT475" s="923">
        <f>+Tabla1[[#This Row],[VENTA TOTAL $ (IVA INC) ]]-(SUM(Tabla1[[#This Row],[PENDIENTE DE ENTREGA]:[VALORES COBRADOS]]))</f>
        <v>0</v>
      </c>
      <c r="AU475" s="850" t="e">
        <f>VLOOKUP(Tabla1[[#This Row],[FECHA OC]],'TIPO DE CAMBIO'!A:B,2,TRUE)</f>
        <v>#N/A</v>
      </c>
      <c r="AV475" s="850" t="e">
        <f>+Tabla1[[#This Row],[SUBTOTAL]]/Tabla1[[#This Row],[TIPO DE CAMBIO]]</f>
        <v>#N/A</v>
      </c>
      <c r="AW475" s="851"/>
      <c r="AX475" s="850" t="str">
        <f>IFERROR(Tabla1[[#This Row],[VENTA TOTAL USD A PLAZO EN CLIENTE  (SIN IVA)]]*(1+Tabla1[[#This Row],[% IVA ]]),"")</f>
        <v/>
      </c>
      <c r="AY475" s="850" t="e">
        <f>+Tabla1[[#This Row],[VENTA TOTAL USD A PLAZO EN CLIENTE  (SIN IVA)]]/Tabla1[[#This Row],[KGS]]*1000</f>
        <v>#N/A</v>
      </c>
      <c r="AZ475" s="850" t="e">
        <f>-Tabla1[[#This Row],[COSTO FLETE $ POR BOLSA 5O KG (SIN IVA)]]*20/Tabla1[[#This Row],[TIPO DE CAMBIO]]</f>
        <v>#N/A</v>
      </c>
      <c r="BA475" s="850" t="e">
        <f>+Tabla1[[#This Row],[GASTOS FINANCIEROS $ BOLSA 50 KG (IVA INC)]]*20/Tabla1[[#This Row],[TIPO DE CAMBIO]]</f>
        <v>#VALUE!</v>
      </c>
      <c r="BB475" s="850" t="e">
        <f>+Tabla1[[#This Row],[PRECIO POR TN USD EN CLIENTE A PLAZO (SIN IVA)]]+Tabla1[[#This Row],[COSTO USD FLETE /TN (SIN IVA)]]+Tabla1[[#This Row],[COSTO FINANCIERO USD POR BOLSA 50KG (IVA INC)]]</f>
        <v>#N/A</v>
      </c>
      <c r="BC475" s="848"/>
      <c r="BD475" s="944"/>
    </row>
    <row r="476" spans="1:56" ht="15.75" customHeight="1">
      <c r="A476" s="912">
        <v>46266</v>
      </c>
      <c r="B476" s="853"/>
      <c r="C476" s="792"/>
      <c r="D476" s="829">
        <f>+Tabla1[[#This Row],[FECHA Entrega]]</f>
        <v>0</v>
      </c>
      <c r="E476" s="830"/>
      <c r="F476" s="831"/>
      <c r="G476" s="832"/>
      <c r="H476" s="852"/>
      <c r="I476" s="834"/>
      <c r="J476" s="835"/>
      <c r="K476" s="836">
        <f t="shared" si="142"/>
        <v>0</v>
      </c>
      <c r="L47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76" s="837">
        <f t="shared" si="140"/>
        <v>0</v>
      </c>
      <c r="N476" s="838">
        <f>+Tabla1[[#This Row],[VENTA TOTAL $ (IVA INC) ]]</f>
        <v>0</v>
      </c>
      <c r="O476" s="838">
        <v>0</v>
      </c>
      <c r="P476" s="838">
        <v>0</v>
      </c>
      <c r="Q476" s="839">
        <f>+Tabla1[[#This Row],[VENTA TOTAL $ (IVA INC) ]]-Tabla1[[#This Row],[PENDIENTE DE COBRO]]</f>
        <v>0</v>
      </c>
      <c r="R476" s="840">
        <f>+Tabla1[[#This Row],[FECHA FC]]+Tabla1[[#This Row],[PLAZO ENTREGA VALORES]]</f>
        <v>0</v>
      </c>
      <c r="S476" s="840">
        <f>+Tabla1[[#This Row],[FECHA FC]]+Tabla1[[#This Row],[PLAZO PAGO (DIAS)]]</f>
        <v>0</v>
      </c>
      <c r="T476" s="834">
        <f t="shared" ca="1" si="143"/>
        <v>-46181</v>
      </c>
      <c r="U476" s="831"/>
      <c r="V476" s="831"/>
      <c r="W476" s="841">
        <f>+Tabla1[[#This Row],[FECHA VTO VALORES]]+7</f>
        <v>7</v>
      </c>
      <c r="X476" s="830"/>
      <c r="Y476" s="859"/>
      <c r="Z476" s="860">
        <f>Tabla1[[#This Row],[KGS]]/50</f>
        <v>0</v>
      </c>
      <c r="AA47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76" s="844">
        <f>-Tabla1[[#This Row],[COSTO FLETE $ POR BOLSA 5O KG (SIN IVA)]]*1.21-Tabla1[[#This Row],[PRECIO $/ KG A PLAZO EN CLIENTE ( SIN IVA)]]*0.003*1.21*50</f>
        <v>0</v>
      </c>
      <c r="AC476" s="845" t="e">
        <f>SUM(Tabla1[[#This Row],[PRECIO $ BOLSA 50 KG (IVA INC) ]]+Tabla1[[#This Row],[COSTO FLETE $ BOLSA 50 KG (IVA INC)]])</f>
        <v>#VALUE!</v>
      </c>
      <c r="AD476" s="844" t="e">
        <f>-Tabla1[[#This Row],[PRECIO $ BOLSA 50 KG (IVA INC) ]]*(Tabla1[[#This Row],[TASA FINANCIACION MENSUAL]]/365)*Tabla1[[#This Row],[PLAZO ENTREGA VALORES]]</f>
        <v>#VALUE!</v>
      </c>
      <c r="AE476" s="845" t="e">
        <f>SUM(Tabla1[[#This Row],[PRECIO $ BOLSA50 KG  FOB TUCUMAN A PLAZO (IVA INC)]]+Tabla1[[#This Row],[GASTOS FINANCIEROS $ BOLSA 50 KG (IVA INC)]])</f>
        <v>#VALUE!</v>
      </c>
      <c r="AF476" s="828"/>
      <c r="AG476" s="828"/>
      <c r="AH476" s="828"/>
      <c r="AI476" s="828"/>
      <c r="AJ47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76" s="846" t="e">
        <f>SUM(Tabla1[[#This Row],[PRECIO $ BOLSA 50KG  FOB CDO TUC (IVA INC)]]-Tabla1[[#This Row],[PRECIO REF $ BOLSA 50 KG CACTU (IVA INC)]])</f>
        <v>#VALUE!</v>
      </c>
      <c r="AL476" s="847" t="str">
        <f>IFERROR(Tabla1[[#This Row],[PRECIO $ BOLSA 50KG  FOB CDO TUC (IVA INC)]]/Tabla1[[#This Row],[PRECIO REF $ BOLSA 50 KG CACTU (IVA INC)]]-1,"")</f>
        <v/>
      </c>
      <c r="AM476" s="846" t="e">
        <f>+Tabla1[[#This Row],[DIF $ PRECIO NETO INDUSTRIA vs Neto TUCUMAN (IVA INC)]]*Tabla1[[#This Row],[Q Bolsas Equivalentes 50kg]]</f>
        <v>#VALUE!</v>
      </c>
      <c r="AN476" s="846" t="e">
        <f>Tabla1[[#This Row],[PRECIO REF $ BOLSA 50 KG CACTU (IVA INC)]]*Tabla1[[#This Row],[Q Bolsas Equivalentes 50kg]]</f>
        <v>#VALUE!</v>
      </c>
      <c r="AO476" s="846" t="e">
        <f>+Tabla1[[#This Row],[PRECIO $ BOLSA 50KG  FOB CDO TUC (IVA INC)]]*Tabla1[[#This Row],[Q Bolsas Equivalentes 50kg]]</f>
        <v>#VALUE!</v>
      </c>
      <c r="AP476" s="847"/>
      <c r="AQ476" s="846">
        <v>0</v>
      </c>
      <c r="AR476" s="828"/>
      <c r="AS476" s="849"/>
      <c r="AT476" s="923">
        <f>+Tabla1[[#This Row],[VENTA TOTAL $ (IVA INC) ]]-(SUM(Tabla1[[#This Row],[PENDIENTE DE ENTREGA]:[VALORES COBRADOS]]))</f>
        <v>0</v>
      </c>
      <c r="AU476" s="850" t="e">
        <f>VLOOKUP(Tabla1[[#This Row],[FECHA OC]],'TIPO DE CAMBIO'!A:B,2,TRUE)</f>
        <v>#N/A</v>
      </c>
      <c r="AV476" s="850" t="e">
        <f>+Tabla1[[#This Row],[SUBTOTAL]]/Tabla1[[#This Row],[TIPO DE CAMBIO]]</f>
        <v>#N/A</v>
      </c>
      <c r="AW476" s="851"/>
      <c r="AX476" s="850" t="str">
        <f>IFERROR(Tabla1[[#This Row],[VENTA TOTAL USD A PLAZO EN CLIENTE  (SIN IVA)]]*(1+Tabla1[[#This Row],[% IVA ]]),"")</f>
        <v/>
      </c>
      <c r="AY476" s="850" t="e">
        <f>+Tabla1[[#This Row],[VENTA TOTAL USD A PLAZO EN CLIENTE  (SIN IVA)]]/Tabla1[[#This Row],[KGS]]*1000</f>
        <v>#N/A</v>
      </c>
      <c r="AZ476" s="850" t="e">
        <f>-Tabla1[[#This Row],[COSTO FLETE $ POR BOLSA 5O KG (SIN IVA)]]*20/Tabla1[[#This Row],[TIPO DE CAMBIO]]</f>
        <v>#N/A</v>
      </c>
      <c r="BA476" s="850" t="e">
        <f>+Tabla1[[#This Row],[GASTOS FINANCIEROS $ BOLSA 50 KG (IVA INC)]]*20/Tabla1[[#This Row],[TIPO DE CAMBIO]]</f>
        <v>#VALUE!</v>
      </c>
      <c r="BB476" s="850" t="e">
        <f>+Tabla1[[#This Row],[PRECIO POR TN USD EN CLIENTE A PLAZO (SIN IVA)]]+Tabla1[[#This Row],[COSTO USD FLETE /TN (SIN IVA)]]+Tabla1[[#This Row],[COSTO FINANCIERO USD POR BOLSA 50KG (IVA INC)]]</f>
        <v>#N/A</v>
      </c>
      <c r="BC476" s="848"/>
      <c r="BD476" s="944"/>
    </row>
    <row r="477" spans="1:56" ht="15.75" customHeight="1">
      <c r="A477" s="912">
        <v>46266</v>
      </c>
      <c r="B477" s="853"/>
      <c r="C477" s="792"/>
      <c r="D477" s="829">
        <f>+Tabla1[[#This Row],[FECHA Entrega]]</f>
        <v>0</v>
      </c>
      <c r="E477" s="830"/>
      <c r="F477" s="831"/>
      <c r="G477" s="832"/>
      <c r="H477" s="852"/>
      <c r="I477" s="834"/>
      <c r="J477" s="835"/>
      <c r="K477" s="836">
        <f t="shared" si="142"/>
        <v>0</v>
      </c>
      <c r="L47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77" s="837">
        <f t="shared" si="140"/>
        <v>0</v>
      </c>
      <c r="N477" s="838">
        <f>+Tabla1[[#This Row],[VENTA TOTAL $ (IVA INC) ]]</f>
        <v>0</v>
      </c>
      <c r="O477" s="838">
        <v>0</v>
      </c>
      <c r="P477" s="838">
        <v>0</v>
      </c>
      <c r="Q477" s="839">
        <f>+Tabla1[[#This Row],[VENTA TOTAL $ (IVA INC) ]]-Tabla1[[#This Row],[PENDIENTE DE COBRO]]</f>
        <v>0</v>
      </c>
      <c r="R477" s="840">
        <f>+Tabla1[[#This Row],[FECHA FC]]+Tabla1[[#This Row],[PLAZO ENTREGA VALORES]]</f>
        <v>0</v>
      </c>
      <c r="S477" s="840">
        <f>+Tabla1[[#This Row],[FECHA FC]]+Tabla1[[#This Row],[PLAZO PAGO (DIAS)]]</f>
        <v>0</v>
      </c>
      <c r="T477" s="834">
        <f t="shared" ca="1" si="143"/>
        <v>-46181</v>
      </c>
      <c r="U477" s="831"/>
      <c r="V477" s="831"/>
      <c r="W477" s="841">
        <f>+Tabla1[[#This Row],[FECHA VTO VALORES]]+7</f>
        <v>7</v>
      </c>
      <c r="X477" s="830"/>
      <c r="Y477" s="859"/>
      <c r="Z477" s="860">
        <f>Tabla1[[#This Row],[KGS]]/50</f>
        <v>0</v>
      </c>
      <c r="AA47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77" s="844">
        <f>-Tabla1[[#This Row],[COSTO FLETE $ POR BOLSA 5O KG (SIN IVA)]]*1.21-Tabla1[[#This Row],[PRECIO $/ KG A PLAZO EN CLIENTE ( SIN IVA)]]*0.003*1.21*50</f>
        <v>0</v>
      </c>
      <c r="AC477" s="845" t="e">
        <f>SUM(Tabla1[[#This Row],[PRECIO $ BOLSA 50 KG (IVA INC) ]]+Tabla1[[#This Row],[COSTO FLETE $ BOLSA 50 KG (IVA INC)]])</f>
        <v>#VALUE!</v>
      </c>
      <c r="AD477" s="844" t="e">
        <f>-Tabla1[[#This Row],[PRECIO $ BOLSA 50 KG (IVA INC) ]]*(Tabla1[[#This Row],[TASA FINANCIACION MENSUAL]]/365)*Tabla1[[#This Row],[PLAZO ENTREGA VALORES]]</f>
        <v>#VALUE!</v>
      </c>
      <c r="AE477" s="845" t="e">
        <f>SUM(Tabla1[[#This Row],[PRECIO $ BOLSA50 KG  FOB TUCUMAN A PLAZO (IVA INC)]]+Tabla1[[#This Row],[GASTOS FINANCIEROS $ BOLSA 50 KG (IVA INC)]])</f>
        <v>#VALUE!</v>
      </c>
      <c r="AF477" s="828"/>
      <c r="AG477" s="828"/>
      <c r="AH477" s="828"/>
      <c r="AI477" s="828"/>
      <c r="AJ47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77" s="846" t="e">
        <f>SUM(Tabla1[[#This Row],[PRECIO $ BOLSA 50KG  FOB CDO TUC (IVA INC)]]-Tabla1[[#This Row],[PRECIO REF $ BOLSA 50 KG CACTU (IVA INC)]])</f>
        <v>#VALUE!</v>
      </c>
      <c r="AL477" s="847" t="str">
        <f>IFERROR(Tabla1[[#This Row],[PRECIO $ BOLSA 50KG  FOB CDO TUC (IVA INC)]]/Tabla1[[#This Row],[PRECIO REF $ BOLSA 50 KG CACTU (IVA INC)]]-1,"")</f>
        <v/>
      </c>
      <c r="AM477" s="846" t="e">
        <f>+Tabla1[[#This Row],[DIF $ PRECIO NETO INDUSTRIA vs Neto TUCUMAN (IVA INC)]]*Tabla1[[#This Row],[Q Bolsas Equivalentes 50kg]]</f>
        <v>#VALUE!</v>
      </c>
      <c r="AN477" s="846" t="e">
        <f>Tabla1[[#This Row],[PRECIO REF $ BOLSA 50 KG CACTU (IVA INC)]]*Tabla1[[#This Row],[Q Bolsas Equivalentes 50kg]]</f>
        <v>#VALUE!</v>
      </c>
      <c r="AO477" s="846" t="e">
        <f>+Tabla1[[#This Row],[PRECIO $ BOLSA 50KG  FOB CDO TUC (IVA INC)]]*Tabla1[[#This Row],[Q Bolsas Equivalentes 50kg]]</f>
        <v>#VALUE!</v>
      </c>
      <c r="AP477" s="847"/>
      <c r="AQ477" s="846">
        <v>0</v>
      </c>
      <c r="AR477" s="828"/>
      <c r="AS477" s="849"/>
      <c r="AT477" s="923">
        <f>+Tabla1[[#This Row],[VENTA TOTAL $ (IVA INC) ]]-(SUM(Tabla1[[#This Row],[PENDIENTE DE ENTREGA]:[VALORES COBRADOS]]))</f>
        <v>0</v>
      </c>
      <c r="AU477" s="850" t="e">
        <f>VLOOKUP(Tabla1[[#This Row],[FECHA OC]],'TIPO DE CAMBIO'!A:B,2,TRUE)</f>
        <v>#N/A</v>
      </c>
      <c r="AV477" s="850" t="e">
        <f>+Tabla1[[#This Row],[SUBTOTAL]]/Tabla1[[#This Row],[TIPO DE CAMBIO]]</f>
        <v>#N/A</v>
      </c>
      <c r="AW477" s="851"/>
      <c r="AX477" s="850" t="str">
        <f>IFERROR(Tabla1[[#This Row],[VENTA TOTAL USD A PLAZO EN CLIENTE  (SIN IVA)]]*(1+Tabla1[[#This Row],[% IVA ]]),"")</f>
        <v/>
      </c>
      <c r="AY477" s="850" t="e">
        <f>+Tabla1[[#This Row],[VENTA TOTAL USD A PLAZO EN CLIENTE  (SIN IVA)]]/Tabla1[[#This Row],[KGS]]*1000</f>
        <v>#N/A</v>
      </c>
      <c r="AZ477" s="850" t="e">
        <f>-Tabla1[[#This Row],[COSTO FLETE $ POR BOLSA 5O KG (SIN IVA)]]*20/Tabla1[[#This Row],[TIPO DE CAMBIO]]</f>
        <v>#N/A</v>
      </c>
      <c r="BA477" s="850" t="e">
        <f>+Tabla1[[#This Row],[GASTOS FINANCIEROS $ BOLSA 50 KG (IVA INC)]]*20/Tabla1[[#This Row],[TIPO DE CAMBIO]]</f>
        <v>#VALUE!</v>
      </c>
      <c r="BB477" s="850" t="e">
        <f>+Tabla1[[#This Row],[PRECIO POR TN USD EN CLIENTE A PLAZO (SIN IVA)]]+Tabla1[[#This Row],[COSTO USD FLETE /TN (SIN IVA)]]+Tabla1[[#This Row],[COSTO FINANCIERO USD POR BOLSA 50KG (IVA INC)]]</f>
        <v>#N/A</v>
      </c>
      <c r="BC477" s="848"/>
      <c r="BD477" s="944"/>
    </row>
    <row r="478" spans="1:56" ht="15.75" customHeight="1">
      <c r="A478" s="912">
        <v>46266</v>
      </c>
      <c r="B478" s="853"/>
      <c r="C478" s="792"/>
      <c r="D478" s="829">
        <f>+Tabla1[[#This Row],[FECHA Entrega]]</f>
        <v>0</v>
      </c>
      <c r="E478" s="830"/>
      <c r="F478" s="831"/>
      <c r="G478" s="832"/>
      <c r="H478" s="852"/>
      <c r="I478" s="834"/>
      <c r="J478" s="835"/>
      <c r="K478" s="836">
        <f t="shared" si="142"/>
        <v>0</v>
      </c>
      <c r="L47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78" s="837">
        <f t="shared" si="140"/>
        <v>0</v>
      </c>
      <c r="N478" s="838">
        <f>+Tabla1[[#This Row],[VENTA TOTAL $ (IVA INC) ]]</f>
        <v>0</v>
      </c>
      <c r="O478" s="838">
        <v>0</v>
      </c>
      <c r="P478" s="838">
        <v>0</v>
      </c>
      <c r="Q478" s="839">
        <f>+Tabla1[[#This Row],[VENTA TOTAL $ (IVA INC) ]]-Tabla1[[#This Row],[PENDIENTE DE COBRO]]</f>
        <v>0</v>
      </c>
      <c r="R478" s="840">
        <f>+Tabla1[[#This Row],[FECHA FC]]+Tabla1[[#This Row],[PLAZO ENTREGA VALORES]]</f>
        <v>0</v>
      </c>
      <c r="S478" s="840">
        <f>+Tabla1[[#This Row],[FECHA FC]]+Tabla1[[#This Row],[PLAZO PAGO (DIAS)]]</f>
        <v>0</v>
      </c>
      <c r="T478" s="834">
        <f t="shared" ca="1" si="143"/>
        <v>-46181</v>
      </c>
      <c r="U478" s="831"/>
      <c r="V478" s="831"/>
      <c r="W478" s="841">
        <f>+Tabla1[[#This Row],[FECHA VTO VALORES]]+7</f>
        <v>7</v>
      </c>
      <c r="X478" s="830"/>
      <c r="Y478" s="859"/>
      <c r="Z478" s="860">
        <f>Tabla1[[#This Row],[KGS]]/50</f>
        <v>0</v>
      </c>
      <c r="AA47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78" s="844">
        <f>-Tabla1[[#This Row],[COSTO FLETE $ POR BOLSA 5O KG (SIN IVA)]]*1.21-Tabla1[[#This Row],[PRECIO $/ KG A PLAZO EN CLIENTE ( SIN IVA)]]*0.003*1.21*50</f>
        <v>0</v>
      </c>
      <c r="AC478" s="845" t="e">
        <f>SUM(Tabla1[[#This Row],[PRECIO $ BOLSA 50 KG (IVA INC) ]]+Tabla1[[#This Row],[COSTO FLETE $ BOLSA 50 KG (IVA INC)]])</f>
        <v>#VALUE!</v>
      </c>
      <c r="AD478" s="844" t="e">
        <f>-Tabla1[[#This Row],[PRECIO $ BOLSA 50 KG (IVA INC) ]]*(Tabla1[[#This Row],[TASA FINANCIACION MENSUAL]]/365)*Tabla1[[#This Row],[PLAZO ENTREGA VALORES]]</f>
        <v>#VALUE!</v>
      </c>
      <c r="AE478" s="845" t="e">
        <f>SUM(Tabla1[[#This Row],[PRECIO $ BOLSA50 KG  FOB TUCUMAN A PLAZO (IVA INC)]]+Tabla1[[#This Row],[GASTOS FINANCIEROS $ BOLSA 50 KG (IVA INC)]])</f>
        <v>#VALUE!</v>
      </c>
      <c r="AF478" s="828"/>
      <c r="AG478" s="828"/>
      <c r="AH478" s="828"/>
      <c r="AI478" s="828"/>
      <c r="AJ47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78" s="846" t="e">
        <f>SUM(Tabla1[[#This Row],[PRECIO $ BOLSA 50KG  FOB CDO TUC (IVA INC)]]-Tabla1[[#This Row],[PRECIO REF $ BOLSA 50 KG CACTU (IVA INC)]])</f>
        <v>#VALUE!</v>
      </c>
      <c r="AL478" s="847" t="str">
        <f>IFERROR(Tabla1[[#This Row],[PRECIO $ BOLSA 50KG  FOB CDO TUC (IVA INC)]]/Tabla1[[#This Row],[PRECIO REF $ BOLSA 50 KG CACTU (IVA INC)]]-1,"")</f>
        <v/>
      </c>
      <c r="AM478" s="846" t="e">
        <f>+Tabla1[[#This Row],[DIF $ PRECIO NETO INDUSTRIA vs Neto TUCUMAN (IVA INC)]]*Tabla1[[#This Row],[Q Bolsas Equivalentes 50kg]]</f>
        <v>#VALUE!</v>
      </c>
      <c r="AN478" s="846" t="e">
        <f>Tabla1[[#This Row],[PRECIO REF $ BOLSA 50 KG CACTU (IVA INC)]]*Tabla1[[#This Row],[Q Bolsas Equivalentes 50kg]]</f>
        <v>#VALUE!</v>
      </c>
      <c r="AO478" s="846" t="e">
        <f>+Tabla1[[#This Row],[PRECIO $ BOLSA 50KG  FOB CDO TUC (IVA INC)]]*Tabla1[[#This Row],[Q Bolsas Equivalentes 50kg]]</f>
        <v>#VALUE!</v>
      </c>
      <c r="AP478" s="847"/>
      <c r="AQ478" s="846">
        <v>0</v>
      </c>
      <c r="AR478" s="828"/>
      <c r="AS478" s="849"/>
      <c r="AT478" s="923">
        <f>+Tabla1[[#This Row],[VENTA TOTAL $ (IVA INC) ]]-(SUM(Tabla1[[#This Row],[PENDIENTE DE ENTREGA]:[VALORES COBRADOS]]))</f>
        <v>0</v>
      </c>
      <c r="AU478" s="850" t="e">
        <f>VLOOKUP(Tabla1[[#This Row],[FECHA OC]],'TIPO DE CAMBIO'!A:B,2,TRUE)</f>
        <v>#N/A</v>
      </c>
      <c r="AV478" s="850" t="e">
        <f>+Tabla1[[#This Row],[SUBTOTAL]]/Tabla1[[#This Row],[TIPO DE CAMBIO]]</f>
        <v>#N/A</v>
      </c>
      <c r="AW478" s="851"/>
      <c r="AX478" s="850" t="str">
        <f>IFERROR(Tabla1[[#This Row],[VENTA TOTAL USD A PLAZO EN CLIENTE  (SIN IVA)]]*(1+Tabla1[[#This Row],[% IVA ]]),"")</f>
        <v/>
      </c>
      <c r="AY478" s="850" t="e">
        <f>+Tabla1[[#This Row],[VENTA TOTAL USD A PLAZO EN CLIENTE  (SIN IVA)]]/Tabla1[[#This Row],[KGS]]*1000</f>
        <v>#N/A</v>
      </c>
      <c r="AZ478" s="850" t="e">
        <f>-Tabla1[[#This Row],[COSTO FLETE $ POR BOLSA 5O KG (SIN IVA)]]*20/Tabla1[[#This Row],[TIPO DE CAMBIO]]</f>
        <v>#N/A</v>
      </c>
      <c r="BA478" s="850" t="e">
        <f>+Tabla1[[#This Row],[GASTOS FINANCIEROS $ BOLSA 50 KG (IVA INC)]]*20/Tabla1[[#This Row],[TIPO DE CAMBIO]]</f>
        <v>#VALUE!</v>
      </c>
      <c r="BB478" s="850" t="e">
        <f>+Tabla1[[#This Row],[PRECIO POR TN USD EN CLIENTE A PLAZO (SIN IVA)]]+Tabla1[[#This Row],[COSTO USD FLETE /TN (SIN IVA)]]+Tabla1[[#This Row],[COSTO FINANCIERO USD POR BOLSA 50KG (IVA INC)]]</f>
        <v>#N/A</v>
      </c>
      <c r="BC478" s="848"/>
      <c r="BD478" s="944"/>
    </row>
    <row r="479" spans="1:56" ht="15.75" customHeight="1">
      <c r="A479" s="912">
        <v>46266</v>
      </c>
      <c r="B479" s="853"/>
      <c r="C479" s="792"/>
      <c r="D479" s="829">
        <f>+Tabla1[[#This Row],[FECHA Entrega]]</f>
        <v>0</v>
      </c>
      <c r="E479" s="830"/>
      <c r="F479" s="831"/>
      <c r="G479" s="832"/>
      <c r="H479" s="852"/>
      <c r="I479" s="834"/>
      <c r="J479" s="835"/>
      <c r="K479" s="836">
        <f t="shared" si="142"/>
        <v>0</v>
      </c>
      <c r="L47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79" s="837">
        <f t="shared" si="140"/>
        <v>0</v>
      </c>
      <c r="N479" s="838">
        <f>+Tabla1[[#This Row],[VENTA TOTAL $ (IVA INC) ]]</f>
        <v>0</v>
      </c>
      <c r="O479" s="838">
        <v>0</v>
      </c>
      <c r="P479" s="838">
        <v>0</v>
      </c>
      <c r="Q479" s="839">
        <f>+Tabla1[[#This Row],[VENTA TOTAL $ (IVA INC) ]]-Tabla1[[#This Row],[PENDIENTE DE COBRO]]</f>
        <v>0</v>
      </c>
      <c r="R479" s="840">
        <f>+Tabla1[[#This Row],[FECHA FC]]+Tabla1[[#This Row],[PLAZO ENTREGA VALORES]]</f>
        <v>0</v>
      </c>
      <c r="S479" s="840">
        <f>+Tabla1[[#This Row],[FECHA FC]]+Tabla1[[#This Row],[PLAZO PAGO (DIAS)]]</f>
        <v>0</v>
      </c>
      <c r="T479" s="834">
        <f t="shared" ca="1" si="143"/>
        <v>-46181</v>
      </c>
      <c r="U479" s="831"/>
      <c r="V479" s="831"/>
      <c r="W479" s="841">
        <f>+Tabla1[[#This Row],[FECHA VTO VALORES]]+7</f>
        <v>7</v>
      </c>
      <c r="X479" s="830"/>
      <c r="Y479" s="859"/>
      <c r="Z479" s="860">
        <f>Tabla1[[#This Row],[KGS]]/50</f>
        <v>0</v>
      </c>
      <c r="AA47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79" s="844">
        <f>-Tabla1[[#This Row],[COSTO FLETE $ POR BOLSA 5O KG (SIN IVA)]]*1.21-Tabla1[[#This Row],[PRECIO $/ KG A PLAZO EN CLIENTE ( SIN IVA)]]*0.003*1.21*50</f>
        <v>0</v>
      </c>
      <c r="AC479" s="845" t="e">
        <f>SUM(Tabla1[[#This Row],[PRECIO $ BOLSA 50 KG (IVA INC) ]]+Tabla1[[#This Row],[COSTO FLETE $ BOLSA 50 KG (IVA INC)]])</f>
        <v>#VALUE!</v>
      </c>
      <c r="AD479" s="844" t="e">
        <f>-Tabla1[[#This Row],[PRECIO $ BOLSA 50 KG (IVA INC) ]]*(Tabla1[[#This Row],[TASA FINANCIACION MENSUAL]]/365)*Tabla1[[#This Row],[PLAZO ENTREGA VALORES]]</f>
        <v>#VALUE!</v>
      </c>
      <c r="AE479" s="845" t="e">
        <f>SUM(Tabla1[[#This Row],[PRECIO $ BOLSA50 KG  FOB TUCUMAN A PLAZO (IVA INC)]]+Tabla1[[#This Row],[GASTOS FINANCIEROS $ BOLSA 50 KG (IVA INC)]])</f>
        <v>#VALUE!</v>
      </c>
      <c r="AF479" s="828"/>
      <c r="AG479" s="828"/>
      <c r="AH479" s="828"/>
      <c r="AI479" s="828"/>
      <c r="AJ47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79" s="846" t="e">
        <f>SUM(Tabla1[[#This Row],[PRECIO $ BOLSA 50KG  FOB CDO TUC (IVA INC)]]-Tabla1[[#This Row],[PRECIO REF $ BOLSA 50 KG CACTU (IVA INC)]])</f>
        <v>#VALUE!</v>
      </c>
      <c r="AL479" s="847" t="str">
        <f>IFERROR(Tabla1[[#This Row],[PRECIO $ BOLSA 50KG  FOB CDO TUC (IVA INC)]]/Tabla1[[#This Row],[PRECIO REF $ BOLSA 50 KG CACTU (IVA INC)]]-1,"")</f>
        <v/>
      </c>
      <c r="AM479" s="846" t="e">
        <f>+Tabla1[[#This Row],[DIF $ PRECIO NETO INDUSTRIA vs Neto TUCUMAN (IVA INC)]]*Tabla1[[#This Row],[Q Bolsas Equivalentes 50kg]]</f>
        <v>#VALUE!</v>
      </c>
      <c r="AN479" s="846" t="e">
        <f>Tabla1[[#This Row],[PRECIO REF $ BOLSA 50 KG CACTU (IVA INC)]]*Tabla1[[#This Row],[Q Bolsas Equivalentes 50kg]]</f>
        <v>#VALUE!</v>
      </c>
      <c r="AO479" s="846" t="e">
        <f>+Tabla1[[#This Row],[PRECIO $ BOLSA 50KG  FOB CDO TUC (IVA INC)]]*Tabla1[[#This Row],[Q Bolsas Equivalentes 50kg]]</f>
        <v>#VALUE!</v>
      </c>
      <c r="AP479" s="847"/>
      <c r="AQ479" s="846">
        <v>0</v>
      </c>
      <c r="AR479" s="828"/>
      <c r="AS479" s="849"/>
      <c r="AT479" s="923">
        <f>+Tabla1[[#This Row],[VENTA TOTAL $ (IVA INC) ]]-(SUM(Tabla1[[#This Row],[PENDIENTE DE ENTREGA]:[VALORES COBRADOS]]))</f>
        <v>0</v>
      </c>
      <c r="AU479" s="850" t="e">
        <f>VLOOKUP(Tabla1[[#This Row],[FECHA OC]],'TIPO DE CAMBIO'!A:B,2,TRUE)</f>
        <v>#N/A</v>
      </c>
      <c r="AV479" s="850" t="e">
        <f>+Tabla1[[#This Row],[SUBTOTAL]]/Tabla1[[#This Row],[TIPO DE CAMBIO]]</f>
        <v>#N/A</v>
      </c>
      <c r="AW479" s="851"/>
      <c r="AX479" s="850" t="str">
        <f>IFERROR(Tabla1[[#This Row],[VENTA TOTAL USD A PLAZO EN CLIENTE  (SIN IVA)]]*(1+Tabla1[[#This Row],[% IVA ]]),"")</f>
        <v/>
      </c>
      <c r="AY479" s="850" t="e">
        <f>+Tabla1[[#This Row],[VENTA TOTAL USD A PLAZO EN CLIENTE  (SIN IVA)]]/Tabla1[[#This Row],[KGS]]*1000</f>
        <v>#N/A</v>
      </c>
      <c r="AZ479" s="850" t="e">
        <f>-Tabla1[[#This Row],[COSTO FLETE $ POR BOLSA 5O KG (SIN IVA)]]*20/Tabla1[[#This Row],[TIPO DE CAMBIO]]</f>
        <v>#N/A</v>
      </c>
      <c r="BA479" s="850" t="e">
        <f>+Tabla1[[#This Row],[GASTOS FINANCIEROS $ BOLSA 50 KG (IVA INC)]]*20/Tabla1[[#This Row],[TIPO DE CAMBIO]]</f>
        <v>#VALUE!</v>
      </c>
      <c r="BB479" s="850" t="e">
        <f>+Tabla1[[#This Row],[PRECIO POR TN USD EN CLIENTE A PLAZO (SIN IVA)]]+Tabla1[[#This Row],[COSTO USD FLETE /TN (SIN IVA)]]+Tabla1[[#This Row],[COSTO FINANCIERO USD POR BOLSA 50KG (IVA INC)]]</f>
        <v>#N/A</v>
      </c>
      <c r="BC479" s="848"/>
      <c r="BD479" s="944"/>
    </row>
    <row r="480" spans="1:56" ht="15.75" customHeight="1">
      <c r="A480" s="912">
        <v>46266</v>
      </c>
      <c r="B480" s="853"/>
      <c r="C480" s="792"/>
      <c r="D480" s="829">
        <f>+Tabla1[[#This Row],[FECHA Entrega]]</f>
        <v>0</v>
      </c>
      <c r="E480" s="830"/>
      <c r="F480" s="831"/>
      <c r="G480" s="832"/>
      <c r="H480" s="852"/>
      <c r="I480" s="834"/>
      <c r="J480" s="835"/>
      <c r="K480" s="836">
        <f t="shared" si="142"/>
        <v>0</v>
      </c>
      <c r="L48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80" s="837">
        <f t="shared" si="140"/>
        <v>0</v>
      </c>
      <c r="N480" s="838">
        <f>+Tabla1[[#This Row],[VENTA TOTAL $ (IVA INC) ]]</f>
        <v>0</v>
      </c>
      <c r="O480" s="838">
        <v>0</v>
      </c>
      <c r="P480" s="838">
        <v>0</v>
      </c>
      <c r="Q480" s="839">
        <f>+Tabla1[[#This Row],[VENTA TOTAL $ (IVA INC) ]]-Tabla1[[#This Row],[PENDIENTE DE COBRO]]</f>
        <v>0</v>
      </c>
      <c r="R480" s="840">
        <f>+Tabla1[[#This Row],[FECHA FC]]+Tabla1[[#This Row],[PLAZO ENTREGA VALORES]]</f>
        <v>0</v>
      </c>
      <c r="S480" s="840">
        <f>+Tabla1[[#This Row],[FECHA FC]]+Tabla1[[#This Row],[PLAZO PAGO (DIAS)]]</f>
        <v>0</v>
      </c>
      <c r="T480" s="834">
        <f t="shared" ca="1" si="143"/>
        <v>-46181</v>
      </c>
      <c r="U480" s="831"/>
      <c r="V480" s="831"/>
      <c r="W480" s="841">
        <f>+Tabla1[[#This Row],[FECHA VTO VALORES]]+7</f>
        <v>7</v>
      </c>
      <c r="X480" s="830"/>
      <c r="Y480" s="859"/>
      <c r="Z480" s="860">
        <f>Tabla1[[#This Row],[KGS]]/50</f>
        <v>0</v>
      </c>
      <c r="AA48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80" s="844">
        <f>-Tabla1[[#This Row],[COSTO FLETE $ POR BOLSA 5O KG (SIN IVA)]]*1.21-Tabla1[[#This Row],[PRECIO $/ KG A PLAZO EN CLIENTE ( SIN IVA)]]*0.003*1.21*50</f>
        <v>0</v>
      </c>
      <c r="AC480" s="845" t="e">
        <f>SUM(Tabla1[[#This Row],[PRECIO $ BOLSA 50 KG (IVA INC) ]]+Tabla1[[#This Row],[COSTO FLETE $ BOLSA 50 KG (IVA INC)]])</f>
        <v>#VALUE!</v>
      </c>
      <c r="AD480" s="844" t="e">
        <f>-Tabla1[[#This Row],[PRECIO $ BOLSA 50 KG (IVA INC) ]]*(Tabla1[[#This Row],[TASA FINANCIACION MENSUAL]]/365)*Tabla1[[#This Row],[PLAZO ENTREGA VALORES]]</f>
        <v>#VALUE!</v>
      </c>
      <c r="AE480" s="845" t="e">
        <f>SUM(Tabla1[[#This Row],[PRECIO $ BOLSA50 KG  FOB TUCUMAN A PLAZO (IVA INC)]]+Tabla1[[#This Row],[GASTOS FINANCIEROS $ BOLSA 50 KG (IVA INC)]])</f>
        <v>#VALUE!</v>
      </c>
      <c r="AF480" s="828"/>
      <c r="AG480" s="828"/>
      <c r="AH480" s="828"/>
      <c r="AI480" s="828"/>
      <c r="AJ48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80" s="846" t="e">
        <f>SUM(Tabla1[[#This Row],[PRECIO $ BOLSA 50KG  FOB CDO TUC (IVA INC)]]-Tabla1[[#This Row],[PRECIO REF $ BOLSA 50 KG CACTU (IVA INC)]])</f>
        <v>#VALUE!</v>
      </c>
      <c r="AL480" s="847" t="str">
        <f>IFERROR(Tabla1[[#This Row],[PRECIO $ BOLSA 50KG  FOB CDO TUC (IVA INC)]]/Tabla1[[#This Row],[PRECIO REF $ BOLSA 50 KG CACTU (IVA INC)]]-1,"")</f>
        <v/>
      </c>
      <c r="AM480" s="846" t="e">
        <f>+Tabla1[[#This Row],[DIF $ PRECIO NETO INDUSTRIA vs Neto TUCUMAN (IVA INC)]]*Tabla1[[#This Row],[Q Bolsas Equivalentes 50kg]]</f>
        <v>#VALUE!</v>
      </c>
      <c r="AN480" s="846" t="e">
        <f>Tabla1[[#This Row],[PRECIO REF $ BOLSA 50 KG CACTU (IVA INC)]]*Tabla1[[#This Row],[Q Bolsas Equivalentes 50kg]]</f>
        <v>#VALUE!</v>
      </c>
      <c r="AO480" s="846" t="e">
        <f>+Tabla1[[#This Row],[PRECIO $ BOLSA 50KG  FOB CDO TUC (IVA INC)]]*Tabla1[[#This Row],[Q Bolsas Equivalentes 50kg]]</f>
        <v>#VALUE!</v>
      </c>
      <c r="AP480" s="847"/>
      <c r="AQ480" s="846">
        <v>0</v>
      </c>
      <c r="AR480" s="828"/>
      <c r="AS480" s="849"/>
      <c r="AT480" s="923">
        <f>+Tabla1[[#This Row],[VENTA TOTAL $ (IVA INC) ]]-(SUM(Tabla1[[#This Row],[PENDIENTE DE ENTREGA]:[VALORES COBRADOS]]))</f>
        <v>0</v>
      </c>
      <c r="AU480" s="850" t="e">
        <f>VLOOKUP(Tabla1[[#This Row],[FECHA OC]],'TIPO DE CAMBIO'!A:B,2,TRUE)</f>
        <v>#N/A</v>
      </c>
      <c r="AV480" s="850" t="e">
        <f>+Tabla1[[#This Row],[SUBTOTAL]]/Tabla1[[#This Row],[TIPO DE CAMBIO]]</f>
        <v>#N/A</v>
      </c>
      <c r="AW480" s="851"/>
      <c r="AX480" s="850" t="str">
        <f>IFERROR(Tabla1[[#This Row],[VENTA TOTAL USD A PLAZO EN CLIENTE  (SIN IVA)]]*(1+Tabla1[[#This Row],[% IVA ]]),"")</f>
        <v/>
      </c>
      <c r="AY480" s="850" t="e">
        <f>+Tabla1[[#This Row],[VENTA TOTAL USD A PLAZO EN CLIENTE  (SIN IVA)]]/Tabla1[[#This Row],[KGS]]*1000</f>
        <v>#N/A</v>
      </c>
      <c r="AZ480" s="850" t="e">
        <f>-Tabla1[[#This Row],[COSTO FLETE $ POR BOLSA 5O KG (SIN IVA)]]*20/Tabla1[[#This Row],[TIPO DE CAMBIO]]</f>
        <v>#N/A</v>
      </c>
      <c r="BA480" s="850" t="e">
        <f>+Tabla1[[#This Row],[GASTOS FINANCIEROS $ BOLSA 50 KG (IVA INC)]]*20/Tabla1[[#This Row],[TIPO DE CAMBIO]]</f>
        <v>#VALUE!</v>
      </c>
      <c r="BB480" s="850" t="e">
        <f>+Tabla1[[#This Row],[PRECIO POR TN USD EN CLIENTE A PLAZO (SIN IVA)]]+Tabla1[[#This Row],[COSTO USD FLETE /TN (SIN IVA)]]+Tabla1[[#This Row],[COSTO FINANCIERO USD POR BOLSA 50KG (IVA INC)]]</f>
        <v>#N/A</v>
      </c>
      <c r="BC480" s="848"/>
      <c r="BD480" s="944"/>
    </row>
    <row r="481" spans="1:56" ht="15.75" customHeight="1">
      <c r="A481" s="912">
        <v>46266</v>
      </c>
      <c r="B481" s="853"/>
      <c r="C481" s="792"/>
      <c r="D481" s="829">
        <f>+Tabla1[[#This Row],[FECHA Entrega]]</f>
        <v>0</v>
      </c>
      <c r="E481" s="830"/>
      <c r="F481" s="831"/>
      <c r="G481" s="832"/>
      <c r="H481" s="852"/>
      <c r="I481" s="834"/>
      <c r="J481" s="835"/>
      <c r="K481" s="836">
        <f t="shared" si="142"/>
        <v>0</v>
      </c>
      <c r="L48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81" s="837">
        <f t="shared" ref="M481:M544" si="144">SUM(K481:L481)</f>
        <v>0</v>
      </c>
      <c r="N481" s="838">
        <f>+Tabla1[[#This Row],[VENTA TOTAL $ (IVA INC) ]]</f>
        <v>0</v>
      </c>
      <c r="O481" s="838">
        <v>0</v>
      </c>
      <c r="P481" s="838">
        <v>0</v>
      </c>
      <c r="Q481" s="839">
        <f>+Tabla1[[#This Row],[VENTA TOTAL $ (IVA INC) ]]-Tabla1[[#This Row],[PENDIENTE DE COBRO]]</f>
        <v>0</v>
      </c>
      <c r="R481" s="840">
        <f>+Tabla1[[#This Row],[FECHA FC]]+Tabla1[[#This Row],[PLAZO ENTREGA VALORES]]</f>
        <v>0</v>
      </c>
      <c r="S481" s="840">
        <f>+Tabla1[[#This Row],[FECHA FC]]+Tabla1[[#This Row],[PLAZO PAGO (DIAS)]]</f>
        <v>0</v>
      </c>
      <c r="T481" s="834">
        <f t="shared" ca="1" si="143"/>
        <v>-46181</v>
      </c>
      <c r="U481" s="831"/>
      <c r="V481" s="831"/>
      <c r="W481" s="841">
        <f>+Tabla1[[#This Row],[FECHA VTO VALORES]]+7</f>
        <v>7</v>
      </c>
      <c r="X481" s="830"/>
      <c r="Y481" s="859"/>
      <c r="Z481" s="860">
        <f>Tabla1[[#This Row],[KGS]]/50</f>
        <v>0</v>
      </c>
      <c r="AA48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81" s="844">
        <f>-Tabla1[[#This Row],[COSTO FLETE $ POR BOLSA 5O KG (SIN IVA)]]*1.21-Tabla1[[#This Row],[PRECIO $/ KG A PLAZO EN CLIENTE ( SIN IVA)]]*0.003*1.21*50</f>
        <v>0</v>
      </c>
      <c r="AC481" s="845" t="e">
        <f>SUM(Tabla1[[#This Row],[PRECIO $ BOLSA 50 KG (IVA INC) ]]+Tabla1[[#This Row],[COSTO FLETE $ BOLSA 50 KG (IVA INC)]])</f>
        <v>#VALUE!</v>
      </c>
      <c r="AD481" s="844" t="e">
        <f>-Tabla1[[#This Row],[PRECIO $ BOLSA 50 KG (IVA INC) ]]*(Tabla1[[#This Row],[TASA FINANCIACION MENSUAL]]/365)*Tabla1[[#This Row],[PLAZO ENTREGA VALORES]]</f>
        <v>#VALUE!</v>
      </c>
      <c r="AE481" s="845" t="e">
        <f>SUM(Tabla1[[#This Row],[PRECIO $ BOLSA50 KG  FOB TUCUMAN A PLAZO (IVA INC)]]+Tabla1[[#This Row],[GASTOS FINANCIEROS $ BOLSA 50 KG (IVA INC)]])</f>
        <v>#VALUE!</v>
      </c>
      <c r="AF481" s="828"/>
      <c r="AG481" s="828"/>
      <c r="AH481" s="828"/>
      <c r="AI481" s="828"/>
      <c r="AJ48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81" s="846" t="e">
        <f>SUM(Tabla1[[#This Row],[PRECIO $ BOLSA 50KG  FOB CDO TUC (IVA INC)]]-Tabla1[[#This Row],[PRECIO REF $ BOLSA 50 KG CACTU (IVA INC)]])</f>
        <v>#VALUE!</v>
      </c>
      <c r="AL481" s="847" t="str">
        <f>IFERROR(Tabla1[[#This Row],[PRECIO $ BOLSA 50KG  FOB CDO TUC (IVA INC)]]/Tabla1[[#This Row],[PRECIO REF $ BOLSA 50 KG CACTU (IVA INC)]]-1,"")</f>
        <v/>
      </c>
      <c r="AM481" s="846" t="e">
        <f>+Tabla1[[#This Row],[DIF $ PRECIO NETO INDUSTRIA vs Neto TUCUMAN (IVA INC)]]*Tabla1[[#This Row],[Q Bolsas Equivalentes 50kg]]</f>
        <v>#VALUE!</v>
      </c>
      <c r="AN481" s="846" t="e">
        <f>Tabla1[[#This Row],[PRECIO REF $ BOLSA 50 KG CACTU (IVA INC)]]*Tabla1[[#This Row],[Q Bolsas Equivalentes 50kg]]</f>
        <v>#VALUE!</v>
      </c>
      <c r="AO481" s="846" t="e">
        <f>+Tabla1[[#This Row],[PRECIO $ BOLSA 50KG  FOB CDO TUC (IVA INC)]]*Tabla1[[#This Row],[Q Bolsas Equivalentes 50kg]]</f>
        <v>#VALUE!</v>
      </c>
      <c r="AP481" s="847"/>
      <c r="AQ481" s="846">
        <v>0</v>
      </c>
      <c r="AR481" s="828"/>
      <c r="AS481" s="849"/>
      <c r="AT481" s="923">
        <f>+Tabla1[[#This Row],[VENTA TOTAL $ (IVA INC) ]]-(SUM(Tabla1[[#This Row],[PENDIENTE DE ENTREGA]:[VALORES COBRADOS]]))</f>
        <v>0</v>
      </c>
      <c r="AU481" s="850" t="e">
        <f>VLOOKUP(Tabla1[[#This Row],[FECHA OC]],'TIPO DE CAMBIO'!A:B,2,TRUE)</f>
        <v>#N/A</v>
      </c>
      <c r="AV481" s="850" t="e">
        <f>+Tabla1[[#This Row],[SUBTOTAL]]/Tabla1[[#This Row],[TIPO DE CAMBIO]]</f>
        <v>#N/A</v>
      </c>
      <c r="AW481" s="851"/>
      <c r="AX481" s="850" t="str">
        <f>IFERROR(Tabla1[[#This Row],[VENTA TOTAL USD A PLAZO EN CLIENTE  (SIN IVA)]]*(1+Tabla1[[#This Row],[% IVA ]]),"")</f>
        <v/>
      </c>
      <c r="AY481" s="850" t="e">
        <f>+Tabla1[[#This Row],[VENTA TOTAL USD A PLAZO EN CLIENTE  (SIN IVA)]]/Tabla1[[#This Row],[KGS]]*1000</f>
        <v>#N/A</v>
      </c>
      <c r="AZ481" s="850" t="e">
        <f>-Tabla1[[#This Row],[COSTO FLETE $ POR BOLSA 5O KG (SIN IVA)]]*20/Tabla1[[#This Row],[TIPO DE CAMBIO]]</f>
        <v>#N/A</v>
      </c>
      <c r="BA481" s="850" t="e">
        <f>+Tabla1[[#This Row],[GASTOS FINANCIEROS $ BOLSA 50 KG (IVA INC)]]*20/Tabla1[[#This Row],[TIPO DE CAMBIO]]</f>
        <v>#VALUE!</v>
      </c>
      <c r="BB481" s="850" t="e">
        <f>+Tabla1[[#This Row],[PRECIO POR TN USD EN CLIENTE A PLAZO (SIN IVA)]]+Tabla1[[#This Row],[COSTO USD FLETE /TN (SIN IVA)]]+Tabla1[[#This Row],[COSTO FINANCIERO USD POR BOLSA 50KG (IVA INC)]]</f>
        <v>#N/A</v>
      </c>
      <c r="BC481" s="848"/>
      <c r="BD481" s="944"/>
    </row>
    <row r="482" spans="1:56" ht="15.75" customHeight="1">
      <c r="A482" s="912">
        <v>46266</v>
      </c>
      <c r="B482" s="853"/>
      <c r="C482" s="792"/>
      <c r="D482" s="829">
        <f>+Tabla1[[#This Row],[FECHA Entrega]]</f>
        <v>0</v>
      </c>
      <c r="E482" s="830"/>
      <c r="F482" s="831"/>
      <c r="G482" s="832"/>
      <c r="H482" s="852"/>
      <c r="I482" s="834"/>
      <c r="J482" s="835"/>
      <c r="K482" s="836">
        <f t="shared" si="142"/>
        <v>0</v>
      </c>
      <c r="L48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82" s="837">
        <f t="shared" si="144"/>
        <v>0</v>
      </c>
      <c r="N482" s="838">
        <f>+Tabla1[[#This Row],[VENTA TOTAL $ (IVA INC) ]]</f>
        <v>0</v>
      </c>
      <c r="O482" s="838">
        <v>0</v>
      </c>
      <c r="P482" s="838">
        <v>0</v>
      </c>
      <c r="Q482" s="839">
        <f>+Tabla1[[#This Row],[VENTA TOTAL $ (IVA INC) ]]-Tabla1[[#This Row],[PENDIENTE DE COBRO]]</f>
        <v>0</v>
      </c>
      <c r="R482" s="840">
        <f>+Tabla1[[#This Row],[FECHA FC]]+Tabla1[[#This Row],[PLAZO ENTREGA VALORES]]</f>
        <v>0</v>
      </c>
      <c r="S482" s="840">
        <f>+Tabla1[[#This Row],[FECHA FC]]+Tabla1[[#This Row],[PLAZO PAGO (DIAS)]]</f>
        <v>0</v>
      </c>
      <c r="T482" s="834">
        <f t="shared" ca="1" si="143"/>
        <v>-46181</v>
      </c>
      <c r="U482" s="831"/>
      <c r="V482" s="831"/>
      <c r="W482" s="841">
        <f>+Tabla1[[#This Row],[FECHA VTO VALORES]]+7</f>
        <v>7</v>
      </c>
      <c r="X482" s="830"/>
      <c r="Y482" s="859"/>
      <c r="Z482" s="860">
        <f>Tabla1[[#This Row],[KGS]]/50</f>
        <v>0</v>
      </c>
      <c r="AA48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82" s="844">
        <f>-Tabla1[[#This Row],[COSTO FLETE $ POR BOLSA 5O KG (SIN IVA)]]*1.21-Tabla1[[#This Row],[PRECIO $/ KG A PLAZO EN CLIENTE ( SIN IVA)]]*0.003*1.21*50</f>
        <v>0</v>
      </c>
      <c r="AC482" s="845" t="e">
        <f>SUM(Tabla1[[#This Row],[PRECIO $ BOLSA 50 KG (IVA INC) ]]+Tabla1[[#This Row],[COSTO FLETE $ BOLSA 50 KG (IVA INC)]])</f>
        <v>#VALUE!</v>
      </c>
      <c r="AD482" s="844" t="e">
        <f>-Tabla1[[#This Row],[PRECIO $ BOLSA 50 KG (IVA INC) ]]*(Tabla1[[#This Row],[TASA FINANCIACION MENSUAL]]/365)*Tabla1[[#This Row],[PLAZO ENTREGA VALORES]]</f>
        <v>#VALUE!</v>
      </c>
      <c r="AE482" s="845" t="e">
        <f>SUM(Tabla1[[#This Row],[PRECIO $ BOLSA50 KG  FOB TUCUMAN A PLAZO (IVA INC)]]+Tabla1[[#This Row],[GASTOS FINANCIEROS $ BOLSA 50 KG (IVA INC)]])</f>
        <v>#VALUE!</v>
      </c>
      <c r="AF482" s="828"/>
      <c r="AG482" s="828"/>
      <c r="AH482" s="828"/>
      <c r="AI482" s="828"/>
      <c r="AJ48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82" s="846" t="e">
        <f>SUM(Tabla1[[#This Row],[PRECIO $ BOLSA 50KG  FOB CDO TUC (IVA INC)]]-Tabla1[[#This Row],[PRECIO REF $ BOLSA 50 KG CACTU (IVA INC)]])</f>
        <v>#VALUE!</v>
      </c>
      <c r="AL482" s="847" t="str">
        <f>IFERROR(Tabla1[[#This Row],[PRECIO $ BOLSA 50KG  FOB CDO TUC (IVA INC)]]/Tabla1[[#This Row],[PRECIO REF $ BOLSA 50 KG CACTU (IVA INC)]]-1,"")</f>
        <v/>
      </c>
      <c r="AM482" s="846" t="e">
        <f>+Tabla1[[#This Row],[DIF $ PRECIO NETO INDUSTRIA vs Neto TUCUMAN (IVA INC)]]*Tabla1[[#This Row],[Q Bolsas Equivalentes 50kg]]</f>
        <v>#VALUE!</v>
      </c>
      <c r="AN482" s="846" t="e">
        <f>Tabla1[[#This Row],[PRECIO REF $ BOLSA 50 KG CACTU (IVA INC)]]*Tabla1[[#This Row],[Q Bolsas Equivalentes 50kg]]</f>
        <v>#VALUE!</v>
      </c>
      <c r="AO482" s="846" t="e">
        <f>+Tabla1[[#This Row],[PRECIO $ BOLSA 50KG  FOB CDO TUC (IVA INC)]]*Tabla1[[#This Row],[Q Bolsas Equivalentes 50kg]]</f>
        <v>#VALUE!</v>
      </c>
      <c r="AP482" s="847"/>
      <c r="AQ482" s="846">
        <v>0</v>
      </c>
      <c r="AR482" s="828"/>
      <c r="AS482" s="849"/>
      <c r="AT482" s="923">
        <f>+Tabla1[[#This Row],[VENTA TOTAL $ (IVA INC) ]]-(SUM(Tabla1[[#This Row],[PENDIENTE DE ENTREGA]:[VALORES COBRADOS]]))</f>
        <v>0</v>
      </c>
      <c r="AU482" s="850" t="e">
        <f>VLOOKUP(Tabla1[[#This Row],[FECHA OC]],'TIPO DE CAMBIO'!A:B,2,TRUE)</f>
        <v>#N/A</v>
      </c>
      <c r="AV482" s="850" t="e">
        <f>+Tabla1[[#This Row],[SUBTOTAL]]/Tabla1[[#This Row],[TIPO DE CAMBIO]]</f>
        <v>#N/A</v>
      </c>
      <c r="AW482" s="851"/>
      <c r="AX482" s="850" t="str">
        <f>IFERROR(Tabla1[[#This Row],[VENTA TOTAL USD A PLAZO EN CLIENTE  (SIN IVA)]]*(1+Tabla1[[#This Row],[% IVA ]]),"")</f>
        <v/>
      </c>
      <c r="AY482" s="850" t="e">
        <f>+Tabla1[[#This Row],[VENTA TOTAL USD A PLAZO EN CLIENTE  (SIN IVA)]]/Tabla1[[#This Row],[KGS]]*1000</f>
        <v>#N/A</v>
      </c>
      <c r="AZ482" s="850" t="e">
        <f>-Tabla1[[#This Row],[COSTO FLETE $ POR BOLSA 5O KG (SIN IVA)]]*20/Tabla1[[#This Row],[TIPO DE CAMBIO]]</f>
        <v>#N/A</v>
      </c>
      <c r="BA482" s="850" t="e">
        <f>+Tabla1[[#This Row],[GASTOS FINANCIEROS $ BOLSA 50 KG (IVA INC)]]*20/Tabla1[[#This Row],[TIPO DE CAMBIO]]</f>
        <v>#VALUE!</v>
      </c>
      <c r="BB482" s="850" t="e">
        <f>+Tabla1[[#This Row],[PRECIO POR TN USD EN CLIENTE A PLAZO (SIN IVA)]]+Tabla1[[#This Row],[COSTO USD FLETE /TN (SIN IVA)]]+Tabla1[[#This Row],[COSTO FINANCIERO USD POR BOLSA 50KG (IVA INC)]]</f>
        <v>#N/A</v>
      </c>
      <c r="BC482" s="848"/>
      <c r="BD482" s="944"/>
    </row>
    <row r="483" spans="1:56" ht="15.75" customHeight="1">
      <c r="A483" s="912">
        <v>46266</v>
      </c>
      <c r="B483" s="853"/>
      <c r="C483" s="792"/>
      <c r="D483" s="829">
        <f>+Tabla1[[#This Row],[FECHA Entrega]]</f>
        <v>0</v>
      </c>
      <c r="E483" s="830"/>
      <c r="F483" s="831"/>
      <c r="G483" s="832"/>
      <c r="H483" s="852"/>
      <c r="I483" s="834"/>
      <c r="J483" s="835"/>
      <c r="K483" s="836">
        <f t="shared" si="142"/>
        <v>0</v>
      </c>
      <c r="L48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83" s="837">
        <f t="shared" si="144"/>
        <v>0</v>
      </c>
      <c r="N483" s="838">
        <f>+Tabla1[[#This Row],[VENTA TOTAL $ (IVA INC) ]]</f>
        <v>0</v>
      </c>
      <c r="O483" s="838">
        <v>0</v>
      </c>
      <c r="P483" s="838">
        <v>0</v>
      </c>
      <c r="Q483" s="839">
        <f>+Tabla1[[#This Row],[VENTA TOTAL $ (IVA INC) ]]-Tabla1[[#This Row],[PENDIENTE DE COBRO]]</f>
        <v>0</v>
      </c>
      <c r="R483" s="840">
        <f>+Tabla1[[#This Row],[FECHA FC]]+Tabla1[[#This Row],[PLAZO ENTREGA VALORES]]</f>
        <v>0</v>
      </c>
      <c r="S483" s="840">
        <f>+Tabla1[[#This Row],[FECHA FC]]+Tabla1[[#This Row],[PLAZO PAGO (DIAS)]]</f>
        <v>0</v>
      </c>
      <c r="T483" s="834">
        <f t="shared" ca="1" si="143"/>
        <v>-46181</v>
      </c>
      <c r="U483" s="831"/>
      <c r="V483" s="831"/>
      <c r="W483" s="841">
        <f>+Tabla1[[#This Row],[FECHA VTO VALORES]]+7</f>
        <v>7</v>
      </c>
      <c r="X483" s="830"/>
      <c r="Y483" s="859"/>
      <c r="Z483" s="860">
        <f>Tabla1[[#This Row],[KGS]]/50</f>
        <v>0</v>
      </c>
      <c r="AA48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83" s="844">
        <f>-Tabla1[[#This Row],[COSTO FLETE $ POR BOLSA 5O KG (SIN IVA)]]*1.21-Tabla1[[#This Row],[PRECIO $/ KG A PLAZO EN CLIENTE ( SIN IVA)]]*0.003*1.21*50</f>
        <v>0</v>
      </c>
      <c r="AC483" s="845" t="e">
        <f>SUM(Tabla1[[#This Row],[PRECIO $ BOLSA 50 KG (IVA INC) ]]+Tabla1[[#This Row],[COSTO FLETE $ BOLSA 50 KG (IVA INC)]])</f>
        <v>#VALUE!</v>
      </c>
      <c r="AD483" s="844" t="e">
        <f>-Tabla1[[#This Row],[PRECIO $ BOLSA 50 KG (IVA INC) ]]*(Tabla1[[#This Row],[TASA FINANCIACION MENSUAL]]/365)*Tabla1[[#This Row],[PLAZO ENTREGA VALORES]]</f>
        <v>#VALUE!</v>
      </c>
      <c r="AE483" s="845" t="e">
        <f>SUM(Tabla1[[#This Row],[PRECIO $ BOLSA50 KG  FOB TUCUMAN A PLAZO (IVA INC)]]+Tabla1[[#This Row],[GASTOS FINANCIEROS $ BOLSA 50 KG (IVA INC)]])</f>
        <v>#VALUE!</v>
      </c>
      <c r="AF483" s="828"/>
      <c r="AG483" s="828"/>
      <c r="AH483" s="828"/>
      <c r="AI483" s="828"/>
      <c r="AJ48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83" s="846" t="e">
        <f>SUM(Tabla1[[#This Row],[PRECIO $ BOLSA 50KG  FOB CDO TUC (IVA INC)]]-Tabla1[[#This Row],[PRECIO REF $ BOLSA 50 KG CACTU (IVA INC)]])</f>
        <v>#VALUE!</v>
      </c>
      <c r="AL483" s="847" t="str">
        <f>IFERROR(Tabla1[[#This Row],[PRECIO $ BOLSA 50KG  FOB CDO TUC (IVA INC)]]/Tabla1[[#This Row],[PRECIO REF $ BOLSA 50 KG CACTU (IVA INC)]]-1,"")</f>
        <v/>
      </c>
      <c r="AM483" s="846" t="e">
        <f>+Tabla1[[#This Row],[DIF $ PRECIO NETO INDUSTRIA vs Neto TUCUMAN (IVA INC)]]*Tabla1[[#This Row],[Q Bolsas Equivalentes 50kg]]</f>
        <v>#VALUE!</v>
      </c>
      <c r="AN483" s="846" t="e">
        <f>Tabla1[[#This Row],[PRECIO REF $ BOLSA 50 KG CACTU (IVA INC)]]*Tabla1[[#This Row],[Q Bolsas Equivalentes 50kg]]</f>
        <v>#VALUE!</v>
      </c>
      <c r="AO483" s="846" t="e">
        <f>+Tabla1[[#This Row],[PRECIO $ BOLSA 50KG  FOB CDO TUC (IVA INC)]]*Tabla1[[#This Row],[Q Bolsas Equivalentes 50kg]]</f>
        <v>#VALUE!</v>
      </c>
      <c r="AP483" s="847"/>
      <c r="AQ483" s="846">
        <v>0</v>
      </c>
      <c r="AR483" s="828"/>
      <c r="AS483" s="849"/>
      <c r="AT483" s="923">
        <f>+Tabla1[[#This Row],[VENTA TOTAL $ (IVA INC) ]]-(SUM(Tabla1[[#This Row],[PENDIENTE DE ENTREGA]:[VALORES COBRADOS]]))</f>
        <v>0</v>
      </c>
      <c r="AU483" s="850" t="e">
        <f>VLOOKUP(Tabla1[[#This Row],[FECHA OC]],'TIPO DE CAMBIO'!A:B,2,TRUE)</f>
        <v>#N/A</v>
      </c>
      <c r="AV483" s="850" t="e">
        <f>+Tabla1[[#This Row],[SUBTOTAL]]/Tabla1[[#This Row],[TIPO DE CAMBIO]]</f>
        <v>#N/A</v>
      </c>
      <c r="AW483" s="851"/>
      <c r="AX483" s="850" t="str">
        <f>IFERROR(Tabla1[[#This Row],[VENTA TOTAL USD A PLAZO EN CLIENTE  (SIN IVA)]]*(1+Tabla1[[#This Row],[% IVA ]]),"")</f>
        <v/>
      </c>
      <c r="AY483" s="850" t="e">
        <f>+Tabla1[[#This Row],[VENTA TOTAL USD A PLAZO EN CLIENTE  (SIN IVA)]]/Tabla1[[#This Row],[KGS]]*1000</f>
        <v>#N/A</v>
      </c>
      <c r="AZ483" s="850" t="e">
        <f>-Tabla1[[#This Row],[COSTO FLETE $ POR BOLSA 5O KG (SIN IVA)]]*20/Tabla1[[#This Row],[TIPO DE CAMBIO]]</f>
        <v>#N/A</v>
      </c>
      <c r="BA483" s="850" t="e">
        <f>+Tabla1[[#This Row],[GASTOS FINANCIEROS $ BOLSA 50 KG (IVA INC)]]*20/Tabla1[[#This Row],[TIPO DE CAMBIO]]</f>
        <v>#VALUE!</v>
      </c>
      <c r="BB483" s="850" t="e">
        <f>+Tabla1[[#This Row],[PRECIO POR TN USD EN CLIENTE A PLAZO (SIN IVA)]]+Tabla1[[#This Row],[COSTO USD FLETE /TN (SIN IVA)]]+Tabla1[[#This Row],[COSTO FINANCIERO USD POR BOLSA 50KG (IVA INC)]]</f>
        <v>#N/A</v>
      </c>
      <c r="BC483" s="848"/>
      <c r="BD483" s="944"/>
    </row>
    <row r="484" spans="1:56" ht="15.75" customHeight="1">
      <c r="A484" s="912">
        <v>46266</v>
      </c>
      <c r="B484" s="853"/>
      <c r="C484" s="792"/>
      <c r="D484" s="829">
        <f>+Tabla1[[#This Row],[FECHA Entrega]]</f>
        <v>0</v>
      </c>
      <c r="E484" s="830"/>
      <c r="F484" s="831"/>
      <c r="G484" s="832"/>
      <c r="H484" s="852"/>
      <c r="I484" s="834"/>
      <c r="J484" s="835"/>
      <c r="K484" s="836">
        <f t="shared" si="142"/>
        <v>0</v>
      </c>
      <c r="L48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84" s="837">
        <f t="shared" si="144"/>
        <v>0</v>
      </c>
      <c r="N484" s="838">
        <f>+Tabla1[[#This Row],[VENTA TOTAL $ (IVA INC) ]]</f>
        <v>0</v>
      </c>
      <c r="O484" s="838">
        <v>0</v>
      </c>
      <c r="P484" s="838">
        <v>0</v>
      </c>
      <c r="Q484" s="839">
        <f>+Tabla1[[#This Row],[VENTA TOTAL $ (IVA INC) ]]-Tabla1[[#This Row],[PENDIENTE DE COBRO]]</f>
        <v>0</v>
      </c>
      <c r="R484" s="840">
        <f>+Tabla1[[#This Row],[FECHA FC]]+Tabla1[[#This Row],[PLAZO ENTREGA VALORES]]</f>
        <v>0</v>
      </c>
      <c r="S484" s="840">
        <f>+Tabla1[[#This Row],[FECHA FC]]+Tabla1[[#This Row],[PLAZO PAGO (DIAS)]]</f>
        <v>0</v>
      </c>
      <c r="T484" s="834">
        <f t="shared" ca="1" si="143"/>
        <v>-46181</v>
      </c>
      <c r="U484" s="831"/>
      <c r="V484" s="831"/>
      <c r="W484" s="841">
        <f>+Tabla1[[#This Row],[FECHA VTO VALORES]]+7</f>
        <v>7</v>
      </c>
      <c r="X484" s="830"/>
      <c r="Y484" s="859"/>
      <c r="Z484" s="860">
        <f>Tabla1[[#This Row],[KGS]]/50</f>
        <v>0</v>
      </c>
      <c r="AA48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84" s="844">
        <f>-Tabla1[[#This Row],[COSTO FLETE $ POR BOLSA 5O KG (SIN IVA)]]*1.21-Tabla1[[#This Row],[PRECIO $/ KG A PLAZO EN CLIENTE ( SIN IVA)]]*0.003*1.21*50</f>
        <v>0</v>
      </c>
      <c r="AC484" s="845" t="e">
        <f>SUM(Tabla1[[#This Row],[PRECIO $ BOLSA 50 KG (IVA INC) ]]+Tabla1[[#This Row],[COSTO FLETE $ BOLSA 50 KG (IVA INC)]])</f>
        <v>#VALUE!</v>
      </c>
      <c r="AD484" s="844" t="e">
        <f>-Tabla1[[#This Row],[PRECIO $ BOLSA 50 KG (IVA INC) ]]*(Tabla1[[#This Row],[TASA FINANCIACION MENSUAL]]/365)*Tabla1[[#This Row],[PLAZO ENTREGA VALORES]]</f>
        <v>#VALUE!</v>
      </c>
      <c r="AE484" s="845" t="e">
        <f>SUM(Tabla1[[#This Row],[PRECIO $ BOLSA50 KG  FOB TUCUMAN A PLAZO (IVA INC)]]+Tabla1[[#This Row],[GASTOS FINANCIEROS $ BOLSA 50 KG (IVA INC)]])</f>
        <v>#VALUE!</v>
      </c>
      <c r="AF484" s="828"/>
      <c r="AG484" s="828"/>
      <c r="AH484" s="828"/>
      <c r="AI484" s="828"/>
      <c r="AJ48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84" s="846" t="e">
        <f>SUM(Tabla1[[#This Row],[PRECIO $ BOLSA 50KG  FOB CDO TUC (IVA INC)]]-Tabla1[[#This Row],[PRECIO REF $ BOLSA 50 KG CACTU (IVA INC)]])</f>
        <v>#VALUE!</v>
      </c>
      <c r="AL484" s="847" t="str">
        <f>IFERROR(Tabla1[[#This Row],[PRECIO $ BOLSA 50KG  FOB CDO TUC (IVA INC)]]/Tabla1[[#This Row],[PRECIO REF $ BOLSA 50 KG CACTU (IVA INC)]]-1,"")</f>
        <v/>
      </c>
      <c r="AM484" s="846" t="e">
        <f>+Tabla1[[#This Row],[DIF $ PRECIO NETO INDUSTRIA vs Neto TUCUMAN (IVA INC)]]*Tabla1[[#This Row],[Q Bolsas Equivalentes 50kg]]</f>
        <v>#VALUE!</v>
      </c>
      <c r="AN484" s="846" t="e">
        <f>Tabla1[[#This Row],[PRECIO REF $ BOLSA 50 KG CACTU (IVA INC)]]*Tabla1[[#This Row],[Q Bolsas Equivalentes 50kg]]</f>
        <v>#VALUE!</v>
      </c>
      <c r="AO484" s="846" t="e">
        <f>+Tabla1[[#This Row],[PRECIO $ BOLSA 50KG  FOB CDO TUC (IVA INC)]]*Tabla1[[#This Row],[Q Bolsas Equivalentes 50kg]]</f>
        <v>#VALUE!</v>
      </c>
      <c r="AP484" s="847"/>
      <c r="AQ484" s="846">
        <v>0</v>
      </c>
      <c r="AR484" s="828"/>
      <c r="AS484" s="849"/>
      <c r="AT484" s="923">
        <f>+Tabla1[[#This Row],[VENTA TOTAL $ (IVA INC) ]]-(SUM(Tabla1[[#This Row],[PENDIENTE DE ENTREGA]:[VALORES COBRADOS]]))</f>
        <v>0</v>
      </c>
      <c r="AU484" s="850" t="e">
        <f>VLOOKUP(Tabla1[[#This Row],[FECHA OC]],'TIPO DE CAMBIO'!A:B,2,TRUE)</f>
        <v>#N/A</v>
      </c>
      <c r="AV484" s="850" t="e">
        <f>+Tabla1[[#This Row],[SUBTOTAL]]/Tabla1[[#This Row],[TIPO DE CAMBIO]]</f>
        <v>#N/A</v>
      </c>
      <c r="AW484" s="851"/>
      <c r="AX484" s="850" t="str">
        <f>IFERROR(Tabla1[[#This Row],[VENTA TOTAL USD A PLAZO EN CLIENTE  (SIN IVA)]]*(1+Tabla1[[#This Row],[% IVA ]]),"")</f>
        <v/>
      </c>
      <c r="AY484" s="850" t="e">
        <f>+Tabla1[[#This Row],[VENTA TOTAL USD A PLAZO EN CLIENTE  (SIN IVA)]]/Tabla1[[#This Row],[KGS]]*1000</f>
        <v>#N/A</v>
      </c>
      <c r="AZ484" s="850" t="e">
        <f>-Tabla1[[#This Row],[COSTO FLETE $ POR BOLSA 5O KG (SIN IVA)]]*20/Tabla1[[#This Row],[TIPO DE CAMBIO]]</f>
        <v>#N/A</v>
      </c>
      <c r="BA484" s="850" t="e">
        <f>+Tabla1[[#This Row],[GASTOS FINANCIEROS $ BOLSA 50 KG (IVA INC)]]*20/Tabla1[[#This Row],[TIPO DE CAMBIO]]</f>
        <v>#VALUE!</v>
      </c>
      <c r="BB484" s="850" t="e">
        <f>+Tabla1[[#This Row],[PRECIO POR TN USD EN CLIENTE A PLAZO (SIN IVA)]]+Tabla1[[#This Row],[COSTO USD FLETE /TN (SIN IVA)]]+Tabla1[[#This Row],[COSTO FINANCIERO USD POR BOLSA 50KG (IVA INC)]]</f>
        <v>#N/A</v>
      </c>
      <c r="BC484" s="848"/>
      <c r="BD484" s="944"/>
    </row>
    <row r="485" spans="1:56" ht="15.75" customHeight="1">
      <c r="A485" s="912">
        <v>46266</v>
      </c>
      <c r="B485" s="853"/>
      <c r="C485" s="792"/>
      <c r="D485" s="829">
        <f>+Tabla1[[#This Row],[FECHA Entrega]]</f>
        <v>0</v>
      </c>
      <c r="E485" s="830"/>
      <c r="F485" s="831"/>
      <c r="G485" s="832"/>
      <c r="H485" s="852"/>
      <c r="I485" s="834"/>
      <c r="J485" s="835"/>
      <c r="K485" s="836">
        <f t="shared" si="142"/>
        <v>0</v>
      </c>
      <c r="L48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85" s="837">
        <f t="shared" si="144"/>
        <v>0</v>
      </c>
      <c r="N485" s="838">
        <f>+Tabla1[[#This Row],[VENTA TOTAL $ (IVA INC) ]]</f>
        <v>0</v>
      </c>
      <c r="O485" s="838">
        <v>0</v>
      </c>
      <c r="P485" s="838">
        <v>0</v>
      </c>
      <c r="Q485" s="839">
        <f>+Tabla1[[#This Row],[VENTA TOTAL $ (IVA INC) ]]-Tabla1[[#This Row],[PENDIENTE DE COBRO]]</f>
        <v>0</v>
      </c>
      <c r="R485" s="840">
        <f>+Tabla1[[#This Row],[FECHA FC]]+Tabla1[[#This Row],[PLAZO ENTREGA VALORES]]</f>
        <v>0</v>
      </c>
      <c r="S485" s="840">
        <f>+Tabla1[[#This Row],[FECHA FC]]+Tabla1[[#This Row],[PLAZO PAGO (DIAS)]]</f>
        <v>0</v>
      </c>
      <c r="T485" s="834">
        <f t="shared" ca="1" si="143"/>
        <v>-46181</v>
      </c>
      <c r="U485" s="831"/>
      <c r="V485" s="831"/>
      <c r="W485" s="841">
        <f>+Tabla1[[#This Row],[FECHA VTO VALORES]]+7</f>
        <v>7</v>
      </c>
      <c r="X485" s="830"/>
      <c r="Y485" s="859"/>
      <c r="Z485" s="860">
        <f>Tabla1[[#This Row],[KGS]]/50</f>
        <v>0</v>
      </c>
      <c r="AA48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85" s="844">
        <f>-Tabla1[[#This Row],[COSTO FLETE $ POR BOLSA 5O KG (SIN IVA)]]*1.21-Tabla1[[#This Row],[PRECIO $/ KG A PLAZO EN CLIENTE ( SIN IVA)]]*0.003*1.21*50</f>
        <v>0</v>
      </c>
      <c r="AC485" s="845" t="e">
        <f>SUM(Tabla1[[#This Row],[PRECIO $ BOLSA 50 KG (IVA INC) ]]+Tabla1[[#This Row],[COSTO FLETE $ BOLSA 50 KG (IVA INC)]])</f>
        <v>#VALUE!</v>
      </c>
      <c r="AD485" s="844" t="e">
        <f>-Tabla1[[#This Row],[PRECIO $ BOLSA 50 KG (IVA INC) ]]*(Tabla1[[#This Row],[TASA FINANCIACION MENSUAL]]/365)*Tabla1[[#This Row],[PLAZO ENTREGA VALORES]]</f>
        <v>#VALUE!</v>
      </c>
      <c r="AE485" s="845" t="e">
        <f>SUM(Tabla1[[#This Row],[PRECIO $ BOLSA50 KG  FOB TUCUMAN A PLAZO (IVA INC)]]+Tabla1[[#This Row],[GASTOS FINANCIEROS $ BOLSA 50 KG (IVA INC)]])</f>
        <v>#VALUE!</v>
      </c>
      <c r="AF485" s="828"/>
      <c r="AG485" s="828"/>
      <c r="AH485" s="828"/>
      <c r="AI485" s="828"/>
      <c r="AJ48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85" s="846" t="e">
        <f>SUM(Tabla1[[#This Row],[PRECIO $ BOLSA 50KG  FOB CDO TUC (IVA INC)]]-Tabla1[[#This Row],[PRECIO REF $ BOLSA 50 KG CACTU (IVA INC)]])</f>
        <v>#VALUE!</v>
      </c>
      <c r="AL485" s="847" t="str">
        <f>IFERROR(Tabla1[[#This Row],[PRECIO $ BOLSA 50KG  FOB CDO TUC (IVA INC)]]/Tabla1[[#This Row],[PRECIO REF $ BOLSA 50 KG CACTU (IVA INC)]]-1,"")</f>
        <v/>
      </c>
      <c r="AM485" s="846" t="e">
        <f>+Tabla1[[#This Row],[DIF $ PRECIO NETO INDUSTRIA vs Neto TUCUMAN (IVA INC)]]*Tabla1[[#This Row],[Q Bolsas Equivalentes 50kg]]</f>
        <v>#VALUE!</v>
      </c>
      <c r="AN485" s="846" t="e">
        <f>Tabla1[[#This Row],[PRECIO REF $ BOLSA 50 KG CACTU (IVA INC)]]*Tabla1[[#This Row],[Q Bolsas Equivalentes 50kg]]</f>
        <v>#VALUE!</v>
      </c>
      <c r="AO485" s="846" t="e">
        <f>+Tabla1[[#This Row],[PRECIO $ BOLSA 50KG  FOB CDO TUC (IVA INC)]]*Tabla1[[#This Row],[Q Bolsas Equivalentes 50kg]]</f>
        <v>#VALUE!</v>
      </c>
      <c r="AP485" s="847"/>
      <c r="AQ485" s="846">
        <v>0</v>
      </c>
      <c r="AR485" s="828"/>
      <c r="AS485" s="849"/>
      <c r="AT485" s="923">
        <f>+Tabla1[[#This Row],[VENTA TOTAL $ (IVA INC) ]]-(SUM(Tabla1[[#This Row],[PENDIENTE DE ENTREGA]:[VALORES COBRADOS]]))</f>
        <v>0</v>
      </c>
      <c r="AU485" s="850" t="e">
        <f>VLOOKUP(Tabla1[[#This Row],[FECHA OC]],'TIPO DE CAMBIO'!A:B,2,TRUE)</f>
        <v>#N/A</v>
      </c>
      <c r="AV485" s="850" t="e">
        <f>+Tabla1[[#This Row],[SUBTOTAL]]/Tabla1[[#This Row],[TIPO DE CAMBIO]]</f>
        <v>#N/A</v>
      </c>
      <c r="AW485" s="851"/>
      <c r="AX485" s="850" t="str">
        <f>IFERROR(Tabla1[[#This Row],[VENTA TOTAL USD A PLAZO EN CLIENTE  (SIN IVA)]]*(1+Tabla1[[#This Row],[% IVA ]]),"")</f>
        <v/>
      </c>
      <c r="AY485" s="850" t="e">
        <f>+Tabla1[[#This Row],[VENTA TOTAL USD A PLAZO EN CLIENTE  (SIN IVA)]]/Tabla1[[#This Row],[KGS]]*1000</f>
        <v>#N/A</v>
      </c>
      <c r="AZ485" s="850" t="e">
        <f>-Tabla1[[#This Row],[COSTO FLETE $ POR BOLSA 5O KG (SIN IVA)]]*20/Tabla1[[#This Row],[TIPO DE CAMBIO]]</f>
        <v>#N/A</v>
      </c>
      <c r="BA485" s="850" t="e">
        <f>+Tabla1[[#This Row],[GASTOS FINANCIEROS $ BOLSA 50 KG (IVA INC)]]*20/Tabla1[[#This Row],[TIPO DE CAMBIO]]</f>
        <v>#VALUE!</v>
      </c>
      <c r="BB485" s="850" t="e">
        <f>+Tabla1[[#This Row],[PRECIO POR TN USD EN CLIENTE A PLAZO (SIN IVA)]]+Tabla1[[#This Row],[COSTO USD FLETE /TN (SIN IVA)]]+Tabla1[[#This Row],[COSTO FINANCIERO USD POR BOLSA 50KG (IVA INC)]]</f>
        <v>#N/A</v>
      </c>
      <c r="BC485" s="848"/>
      <c r="BD485" s="944"/>
    </row>
    <row r="486" spans="1:56" ht="15.75" customHeight="1">
      <c r="A486" s="912">
        <v>46266</v>
      </c>
      <c r="B486" s="853"/>
      <c r="C486" s="792"/>
      <c r="D486" s="829">
        <f>+Tabla1[[#This Row],[FECHA Entrega]]</f>
        <v>0</v>
      </c>
      <c r="E486" s="830"/>
      <c r="F486" s="831"/>
      <c r="G486" s="832"/>
      <c r="H486" s="852"/>
      <c r="I486" s="834"/>
      <c r="J486" s="835"/>
      <c r="K486" s="836">
        <f t="shared" si="142"/>
        <v>0</v>
      </c>
      <c r="L48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86" s="837">
        <f t="shared" si="144"/>
        <v>0</v>
      </c>
      <c r="N486" s="838">
        <f>+Tabla1[[#This Row],[VENTA TOTAL $ (IVA INC) ]]</f>
        <v>0</v>
      </c>
      <c r="O486" s="838">
        <v>0</v>
      </c>
      <c r="P486" s="838">
        <v>0</v>
      </c>
      <c r="Q486" s="839">
        <f>+Tabla1[[#This Row],[VENTA TOTAL $ (IVA INC) ]]-Tabla1[[#This Row],[PENDIENTE DE COBRO]]</f>
        <v>0</v>
      </c>
      <c r="R486" s="840">
        <f>+Tabla1[[#This Row],[FECHA FC]]+Tabla1[[#This Row],[PLAZO ENTREGA VALORES]]</f>
        <v>0</v>
      </c>
      <c r="S486" s="840">
        <f>+Tabla1[[#This Row],[FECHA FC]]+Tabla1[[#This Row],[PLAZO PAGO (DIAS)]]</f>
        <v>0</v>
      </c>
      <c r="T486" s="834">
        <f t="shared" ca="1" si="143"/>
        <v>-46181</v>
      </c>
      <c r="U486" s="831"/>
      <c r="V486" s="831"/>
      <c r="W486" s="841">
        <f>+Tabla1[[#This Row],[FECHA VTO VALORES]]+7</f>
        <v>7</v>
      </c>
      <c r="X486" s="830"/>
      <c r="Y486" s="859"/>
      <c r="Z486" s="860">
        <f>Tabla1[[#This Row],[KGS]]/50</f>
        <v>0</v>
      </c>
      <c r="AA48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86" s="844">
        <f>-Tabla1[[#This Row],[COSTO FLETE $ POR BOLSA 5O KG (SIN IVA)]]*1.21-Tabla1[[#This Row],[PRECIO $/ KG A PLAZO EN CLIENTE ( SIN IVA)]]*0.003*1.21*50</f>
        <v>0</v>
      </c>
      <c r="AC486" s="845" t="e">
        <f>SUM(Tabla1[[#This Row],[PRECIO $ BOLSA 50 KG (IVA INC) ]]+Tabla1[[#This Row],[COSTO FLETE $ BOLSA 50 KG (IVA INC)]])</f>
        <v>#VALUE!</v>
      </c>
      <c r="AD486" s="844" t="e">
        <f>-Tabla1[[#This Row],[PRECIO $ BOLSA 50 KG (IVA INC) ]]*(Tabla1[[#This Row],[TASA FINANCIACION MENSUAL]]/365)*Tabla1[[#This Row],[PLAZO ENTREGA VALORES]]</f>
        <v>#VALUE!</v>
      </c>
      <c r="AE486" s="845" t="e">
        <f>SUM(Tabla1[[#This Row],[PRECIO $ BOLSA50 KG  FOB TUCUMAN A PLAZO (IVA INC)]]+Tabla1[[#This Row],[GASTOS FINANCIEROS $ BOLSA 50 KG (IVA INC)]])</f>
        <v>#VALUE!</v>
      </c>
      <c r="AF486" s="828"/>
      <c r="AG486" s="828"/>
      <c r="AH486" s="828"/>
      <c r="AI486" s="828"/>
      <c r="AJ48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86" s="846" t="e">
        <f>SUM(Tabla1[[#This Row],[PRECIO $ BOLSA 50KG  FOB CDO TUC (IVA INC)]]-Tabla1[[#This Row],[PRECIO REF $ BOLSA 50 KG CACTU (IVA INC)]])</f>
        <v>#VALUE!</v>
      </c>
      <c r="AL486" s="847" t="str">
        <f>IFERROR(Tabla1[[#This Row],[PRECIO $ BOLSA 50KG  FOB CDO TUC (IVA INC)]]/Tabla1[[#This Row],[PRECIO REF $ BOLSA 50 KG CACTU (IVA INC)]]-1,"")</f>
        <v/>
      </c>
      <c r="AM486" s="846" t="e">
        <f>+Tabla1[[#This Row],[DIF $ PRECIO NETO INDUSTRIA vs Neto TUCUMAN (IVA INC)]]*Tabla1[[#This Row],[Q Bolsas Equivalentes 50kg]]</f>
        <v>#VALUE!</v>
      </c>
      <c r="AN486" s="846" t="e">
        <f>Tabla1[[#This Row],[PRECIO REF $ BOLSA 50 KG CACTU (IVA INC)]]*Tabla1[[#This Row],[Q Bolsas Equivalentes 50kg]]</f>
        <v>#VALUE!</v>
      </c>
      <c r="AO486" s="846" t="e">
        <f>+Tabla1[[#This Row],[PRECIO $ BOLSA 50KG  FOB CDO TUC (IVA INC)]]*Tabla1[[#This Row],[Q Bolsas Equivalentes 50kg]]</f>
        <v>#VALUE!</v>
      </c>
      <c r="AP486" s="847"/>
      <c r="AQ486" s="846">
        <v>0</v>
      </c>
      <c r="AR486" s="828"/>
      <c r="AS486" s="849"/>
      <c r="AT486" s="923">
        <f>+Tabla1[[#This Row],[VENTA TOTAL $ (IVA INC) ]]-(SUM(Tabla1[[#This Row],[PENDIENTE DE ENTREGA]:[VALORES COBRADOS]]))</f>
        <v>0</v>
      </c>
      <c r="AU486" s="850" t="e">
        <f>VLOOKUP(Tabla1[[#This Row],[FECHA OC]],'TIPO DE CAMBIO'!A:B,2,TRUE)</f>
        <v>#N/A</v>
      </c>
      <c r="AV486" s="850" t="e">
        <f>+Tabla1[[#This Row],[SUBTOTAL]]/Tabla1[[#This Row],[TIPO DE CAMBIO]]</f>
        <v>#N/A</v>
      </c>
      <c r="AW486" s="851"/>
      <c r="AX486" s="850" t="str">
        <f>IFERROR(Tabla1[[#This Row],[VENTA TOTAL USD A PLAZO EN CLIENTE  (SIN IVA)]]*(1+Tabla1[[#This Row],[% IVA ]]),"")</f>
        <v/>
      </c>
      <c r="AY486" s="850" t="e">
        <f>+Tabla1[[#This Row],[VENTA TOTAL USD A PLAZO EN CLIENTE  (SIN IVA)]]/Tabla1[[#This Row],[KGS]]*1000</f>
        <v>#N/A</v>
      </c>
      <c r="AZ486" s="850" t="e">
        <f>-Tabla1[[#This Row],[COSTO FLETE $ POR BOLSA 5O KG (SIN IVA)]]*20/Tabla1[[#This Row],[TIPO DE CAMBIO]]</f>
        <v>#N/A</v>
      </c>
      <c r="BA486" s="850" t="e">
        <f>+Tabla1[[#This Row],[GASTOS FINANCIEROS $ BOLSA 50 KG (IVA INC)]]*20/Tabla1[[#This Row],[TIPO DE CAMBIO]]</f>
        <v>#VALUE!</v>
      </c>
      <c r="BB486" s="850" t="e">
        <f>+Tabla1[[#This Row],[PRECIO POR TN USD EN CLIENTE A PLAZO (SIN IVA)]]+Tabla1[[#This Row],[COSTO USD FLETE /TN (SIN IVA)]]+Tabla1[[#This Row],[COSTO FINANCIERO USD POR BOLSA 50KG (IVA INC)]]</f>
        <v>#N/A</v>
      </c>
      <c r="BC486" s="848"/>
      <c r="BD486" s="944"/>
    </row>
    <row r="487" spans="1:56" ht="15.75" customHeight="1">
      <c r="A487" s="912">
        <v>46266</v>
      </c>
      <c r="B487" s="853"/>
      <c r="C487" s="792"/>
      <c r="D487" s="829">
        <f>+Tabla1[[#This Row],[FECHA Entrega]]</f>
        <v>0</v>
      </c>
      <c r="E487" s="830"/>
      <c r="F487" s="831"/>
      <c r="G487" s="832"/>
      <c r="H487" s="852"/>
      <c r="I487" s="834"/>
      <c r="J487" s="835"/>
      <c r="K487" s="836">
        <f t="shared" si="142"/>
        <v>0</v>
      </c>
      <c r="L48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87" s="837">
        <f t="shared" si="144"/>
        <v>0</v>
      </c>
      <c r="N487" s="838">
        <f>+Tabla1[[#This Row],[VENTA TOTAL $ (IVA INC) ]]</f>
        <v>0</v>
      </c>
      <c r="O487" s="838">
        <v>0</v>
      </c>
      <c r="P487" s="838">
        <v>0</v>
      </c>
      <c r="Q487" s="839">
        <f>+Tabla1[[#This Row],[VENTA TOTAL $ (IVA INC) ]]-Tabla1[[#This Row],[PENDIENTE DE COBRO]]</f>
        <v>0</v>
      </c>
      <c r="R487" s="840">
        <f>+Tabla1[[#This Row],[FECHA FC]]+Tabla1[[#This Row],[PLAZO ENTREGA VALORES]]</f>
        <v>0</v>
      </c>
      <c r="S487" s="840">
        <f>+Tabla1[[#This Row],[FECHA FC]]+Tabla1[[#This Row],[PLAZO PAGO (DIAS)]]</f>
        <v>0</v>
      </c>
      <c r="T487" s="834">
        <f t="shared" ca="1" si="143"/>
        <v>-46181</v>
      </c>
      <c r="U487" s="831"/>
      <c r="V487" s="831"/>
      <c r="W487" s="841">
        <f>+Tabla1[[#This Row],[FECHA VTO VALORES]]+7</f>
        <v>7</v>
      </c>
      <c r="X487" s="830"/>
      <c r="Y487" s="859"/>
      <c r="Z487" s="860">
        <f>Tabla1[[#This Row],[KGS]]/50</f>
        <v>0</v>
      </c>
      <c r="AA48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87" s="844">
        <f>-Tabla1[[#This Row],[COSTO FLETE $ POR BOLSA 5O KG (SIN IVA)]]*1.21-Tabla1[[#This Row],[PRECIO $/ KG A PLAZO EN CLIENTE ( SIN IVA)]]*0.003*1.21*50</f>
        <v>0</v>
      </c>
      <c r="AC487" s="845" t="e">
        <f>SUM(Tabla1[[#This Row],[PRECIO $ BOLSA 50 KG (IVA INC) ]]+Tabla1[[#This Row],[COSTO FLETE $ BOLSA 50 KG (IVA INC)]])</f>
        <v>#VALUE!</v>
      </c>
      <c r="AD487" s="844" t="e">
        <f>-Tabla1[[#This Row],[PRECIO $ BOLSA 50 KG (IVA INC) ]]*(Tabla1[[#This Row],[TASA FINANCIACION MENSUAL]]/365)*Tabla1[[#This Row],[PLAZO ENTREGA VALORES]]</f>
        <v>#VALUE!</v>
      </c>
      <c r="AE487" s="845" t="e">
        <f>SUM(Tabla1[[#This Row],[PRECIO $ BOLSA50 KG  FOB TUCUMAN A PLAZO (IVA INC)]]+Tabla1[[#This Row],[GASTOS FINANCIEROS $ BOLSA 50 KG (IVA INC)]])</f>
        <v>#VALUE!</v>
      </c>
      <c r="AF487" s="828"/>
      <c r="AG487" s="828"/>
      <c r="AH487" s="828"/>
      <c r="AI487" s="828"/>
      <c r="AJ48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87" s="846" t="e">
        <f>SUM(Tabla1[[#This Row],[PRECIO $ BOLSA 50KG  FOB CDO TUC (IVA INC)]]-Tabla1[[#This Row],[PRECIO REF $ BOLSA 50 KG CACTU (IVA INC)]])</f>
        <v>#VALUE!</v>
      </c>
      <c r="AL487" s="847" t="str">
        <f>IFERROR(Tabla1[[#This Row],[PRECIO $ BOLSA 50KG  FOB CDO TUC (IVA INC)]]/Tabla1[[#This Row],[PRECIO REF $ BOLSA 50 KG CACTU (IVA INC)]]-1,"")</f>
        <v/>
      </c>
      <c r="AM487" s="846" t="e">
        <f>+Tabla1[[#This Row],[DIF $ PRECIO NETO INDUSTRIA vs Neto TUCUMAN (IVA INC)]]*Tabla1[[#This Row],[Q Bolsas Equivalentes 50kg]]</f>
        <v>#VALUE!</v>
      </c>
      <c r="AN487" s="846" t="e">
        <f>Tabla1[[#This Row],[PRECIO REF $ BOLSA 50 KG CACTU (IVA INC)]]*Tabla1[[#This Row],[Q Bolsas Equivalentes 50kg]]</f>
        <v>#VALUE!</v>
      </c>
      <c r="AO487" s="846" t="e">
        <f>+Tabla1[[#This Row],[PRECIO $ BOLSA 50KG  FOB CDO TUC (IVA INC)]]*Tabla1[[#This Row],[Q Bolsas Equivalentes 50kg]]</f>
        <v>#VALUE!</v>
      </c>
      <c r="AP487" s="847"/>
      <c r="AQ487" s="846">
        <v>0</v>
      </c>
      <c r="AR487" s="828"/>
      <c r="AS487" s="849"/>
      <c r="AT487" s="923">
        <f>+Tabla1[[#This Row],[VENTA TOTAL $ (IVA INC) ]]-(SUM(Tabla1[[#This Row],[PENDIENTE DE ENTREGA]:[VALORES COBRADOS]]))</f>
        <v>0</v>
      </c>
      <c r="AU487" s="850" t="e">
        <f>VLOOKUP(Tabla1[[#This Row],[FECHA OC]],'TIPO DE CAMBIO'!A:B,2,TRUE)</f>
        <v>#N/A</v>
      </c>
      <c r="AV487" s="850" t="e">
        <f>+Tabla1[[#This Row],[SUBTOTAL]]/Tabla1[[#This Row],[TIPO DE CAMBIO]]</f>
        <v>#N/A</v>
      </c>
      <c r="AW487" s="851"/>
      <c r="AX487" s="850" t="str">
        <f>IFERROR(Tabla1[[#This Row],[VENTA TOTAL USD A PLAZO EN CLIENTE  (SIN IVA)]]*(1+Tabla1[[#This Row],[% IVA ]]),"")</f>
        <v/>
      </c>
      <c r="AY487" s="850" t="e">
        <f>+Tabla1[[#This Row],[VENTA TOTAL USD A PLAZO EN CLIENTE  (SIN IVA)]]/Tabla1[[#This Row],[KGS]]*1000</f>
        <v>#N/A</v>
      </c>
      <c r="AZ487" s="850" t="e">
        <f>-Tabla1[[#This Row],[COSTO FLETE $ POR BOLSA 5O KG (SIN IVA)]]*20/Tabla1[[#This Row],[TIPO DE CAMBIO]]</f>
        <v>#N/A</v>
      </c>
      <c r="BA487" s="850" t="e">
        <f>+Tabla1[[#This Row],[GASTOS FINANCIEROS $ BOLSA 50 KG (IVA INC)]]*20/Tabla1[[#This Row],[TIPO DE CAMBIO]]</f>
        <v>#VALUE!</v>
      </c>
      <c r="BB487" s="850" t="e">
        <f>+Tabla1[[#This Row],[PRECIO POR TN USD EN CLIENTE A PLAZO (SIN IVA)]]+Tabla1[[#This Row],[COSTO USD FLETE /TN (SIN IVA)]]+Tabla1[[#This Row],[COSTO FINANCIERO USD POR BOLSA 50KG (IVA INC)]]</f>
        <v>#N/A</v>
      </c>
      <c r="BC487" s="848"/>
      <c r="BD487" s="944"/>
    </row>
    <row r="488" spans="1:56" ht="15.75" customHeight="1">
      <c r="A488" s="912">
        <v>46266</v>
      </c>
      <c r="B488" s="853"/>
      <c r="C488" s="792"/>
      <c r="D488" s="829">
        <f>+Tabla1[[#This Row],[FECHA Entrega]]</f>
        <v>0</v>
      </c>
      <c r="E488" s="830"/>
      <c r="F488" s="831"/>
      <c r="G488" s="832"/>
      <c r="H488" s="852"/>
      <c r="I488" s="834"/>
      <c r="J488" s="835"/>
      <c r="K488" s="836">
        <f t="shared" si="142"/>
        <v>0</v>
      </c>
      <c r="L48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88" s="837">
        <f t="shared" si="144"/>
        <v>0</v>
      </c>
      <c r="N488" s="838">
        <f>+Tabla1[[#This Row],[VENTA TOTAL $ (IVA INC) ]]</f>
        <v>0</v>
      </c>
      <c r="O488" s="838">
        <v>0</v>
      </c>
      <c r="P488" s="838">
        <v>0</v>
      </c>
      <c r="Q488" s="839">
        <f>+Tabla1[[#This Row],[VENTA TOTAL $ (IVA INC) ]]-Tabla1[[#This Row],[PENDIENTE DE COBRO]]</f>
        <v>0</v>
      </c>
      <c r="R488" s="840">
        <f>+Tabla1[[#This Row],[FECHA FC]]+Tabla1[[#This Row],[PLAZO ENTREGA VALORES]]</f>
        <v>0</v>
      </c>
      <c r="S488" s="840">
        <f>+Tabla1[[#This Row],[FECHA FC]]+Tabla1[[#This Row],[PLAZO PAGO (DIAS)]]</f>
        <v>0</v>
      </c>
      <c r="T488" s="834">
        <f t="shared" ca="1" si="143"/>
        <v>-46181</v>
      </c>
      <c r="U488" s="831"/>
      <c r="V488" s="831"/>
      <c r="W488" s="841">
        <f>+Tabla1[[#This Row],[FECHA VTO VALORES]]+7</f>
        <v>7</v>
      </c>
      <c r="X488" s="830"/>
      <c r="Y488" s="859"/>
      <c r="Z488" s="860">
        <f>Tabla1[[#This Row],[KGS]]/50</f>
        <v>0</v>
      </c>
      <c r="AA48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88" s="844">
        <f>-Tabla1[[#This Row],[COSTO FLETE $ POR BOLSA 5O KG (SIN IVA)]]*1.21-Tabla1[[#This Row],[PRECIO $/ KG A PLAZO EN CLIENTE ( SIN IVA)]]*0.003*1.21*50</f>
        <v>0</v>
      </c>
      <c r="AC488" s="845" t="e">
        <f>SUM(Tabla1[[#This Row],[PRECIO $ BOLSA 50 KG (IVA INC) ]]+Tabla1[[#This Row],[COSTO FLETE $ BOLSA 50 KG (IVA INC)]])</f>
        <v>#VALUE!</v>
      </c>
      <c r="AD488" s="844" t="e">
        <f>-Tabla1[[#This Row],[PRECIO $ BOLSA 50 KG (IVA INC) ]]*(Tabla1[[#This Row],[TASA FINANCIACION MENSUAL]]/365)*Tabla1[[#This Row],[PLAZO ENTREGA VALORES]]</f>
        <v>#VALUE!</v>
      </c>
      <c r="AE488" s="845" t="e">
        <f>SUM(Tabla1[[#This Row],[PRECIO $ BOLSA50 KG  FOB TUCUMAN A PLAZO (IVA INC)]]+Tabla1[[#This Row],[GASTOS FINANCIEROS $ BOLSA 50 KG (IVA INC)]])</f>
        <v>#VALUE!</v>
      </c>
      <c r="AF488" s="828"/>
      <c r="AG488" s="828"/>
      <c r="AH488" s="828"/>
      <c r="AI488" s="828"/>
      <c r="AJ48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88" s="846" t="e">
        <f>SUM(Tabla1[[#This Row],[PRECIO $ BOLSA 50KG  FOB CDO TUC (IVA INC)]]-Tabla1[[#This Row],[PRECIO REF $ BOLSA 50 KG CACTU (IVA INC)]])</f>
        <v>#VALUE!</v>
      </c>
      <c r="AL488" s="847" t="str">
        <f>IFERROR(Tabla1[[#This Row],[PRECIO $ BOLSA 50KG  FOB CDO TUC (IVA INC)]]/Tabla1[[#This Row],[PRECIO REF $ BOLSA 50 KG CACTU (IVA INC)]]-1,"")</f>
        <v/>
      </c>
      <c r="AM488" s="846" t="e">
        <f>+Tabla1[[#This Row],[DIF $ PRECIO NETO INDUSTRIA vs Neto TUCUMAN (IVA INC)]]*Tabla1[[#This Row],[Q Bolsas Equivalentes 50kg]]</f>
        <v>#VALUE!</v>
      </c>
      <c r="AN488" s="846" t="e">
        <f>Tabla1[[#This Row],[PRECIO REF $ BOLSA 50 KG CACTU (IVA INC)]]*Tabla1[[#This Row],[Q Bolsas Equivalentes 50kg]]</f>
        <v>#VALUE!</v>
      </c>
      <c r="AO488" s="846" t="e">
        <f>+Tabla1[[#This Row],[PRECIO $ BOLSA 50KG  FOB CDO TUC (IVA INC)]]*Tabla1[[#This Row],[Q Bolsas Equivalentes 50kg]]</f>
        <v>#VALUE!</v>
      </c>
      <c r="AP488" s="847"/>
      <c r="AQ488" s="846">
        <v>0</v>
      </c>
      <c r="AR488" s="828"/>
      <c r="AS488" s="849"/>
      <c r="AT488" s="923">
        <f>+Tabla1[[#This Row],[VENTA TOTAL $ (IVA INC) ]]-(SUM(Tabla1[[#This Row],[PENDIENTE DE ENTREGA]:[VALORES COBRADOS]]))</f>
        <v>0</v>
      </c>
      <c r="AU488" s="850" t="e">
        <f>VLOOKUP(Tabla1[[#This Row],[FECHA OC]],'TIPO DE CAMBIO'!A:B,2,TRUE)</f>
        <v>#N/A</v>
      </c>
      <c r="AV488" s="850" t="e">
        <f>+Tabla1[[#This Row],[SUBTOTAL]]/Tabla1[[#This Row],[TIPO DE CAMBIO]]</f>
        <v>#N/A</v>
      </c>
      <c r="AW488" s="851"/>
      <c r="AX488" s="850" t="str">
        <f>IFERROR(Tabla1[[#This Row],[VENTA TOTAL USD A PLAZO EN CLIENTE  (SIN IVA)]]*(1+Tabla1[[#This Row],[% IVA ]]),"")</f>
        <v/>
      </c>
      <c r="AY488" s="850" t="e">
        <f>+Tabla1[[#This Row],[VENTA TOTAL USD A PLAZO EN CLIENTE  (SIN IVA)]]/Tabla1[[#This Row],[KGS]]*1000</f>
        <v>#N/A</v>
      </c>
      <c r="AZ488" s="850" t="e">
        <f>-Tabla1[[#This Row],[COSTO FLETE $ POR BOLSA 5O KG (SIN IVA)]]*20/Tabla1[[#This Row],[TIPO DE CAMBIO]]</f>
        <v>#N/A</v>
      </c>
      <c r="BA488" s="850" t="e">
        <f>+Tabla1[[#This Row],[GASTOS FINANCIEROS $ BOLSA 50 KG (IVA INC)]]*20/Tabla1[[#This Row],[TIPO DE CAMBIO]]</f>
        <v>#VALUE!</v>
      </c>
      <c r="BB488" s="850" t="e">
        <f>+Tabla1[[#This Row],[PRECIO POR TN USD EN CLIENTE A PLAZO (SIN IVA)]]+Tabla1[[#This Row],[COSTO USD FLETE /TN (SIN IVA)]]+Tabla1[[#This Row],[COSTO FINANCIERO USD POR BOLSA 50KG (IVA INC)]]</f>
        <v>#N/A</v>
      </c>
      <c r="BC488" s="848"/>
      <c r="BD488" s="944"/>
    </row>
    <row r="489" spans="1:56" ht="15.75" customHeight="1">
      <c r="A489" s="912">
        <v>46266</v>
      </c>
      <c r="B489" s="853"/>
      <c r="C489" s="792"/>
      <c r="D489" s="829">
        <f>+Tabla1[[#This Row],[FECHA Entrega]]</f>
        <v>0</v>
      </c>
      <c r="E489" s="830"/>
      <c r="F489" s="831"/>
      <c r="G489" s="832"/>
      <c r="H489" s="852"/>
      <c r="I489" s="834"/>
      <c r="J489" s="835"/>
      <c r="K489" s="836">
        <f t="shared" si="142"/>
        <v>0</v>
      </c>
      <c r="L48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89" s="837">
        <f t="shared" si="144"/>
        <v>0</v>
      </c>
      <c r="N489" s="838">
        <f>+Tabla1[[#This Row],[VENTA TOTAL $ (IVA INC) ]]</f>
        <v>0</v>
      </c>
      <c r="O489" s="838">
        <v>0</v>
      </c>
      <c r="P489" s="838">
        <v>0</v>
      </c>
      <c r="Q489" s="839">
        <f>+Tabla1[[#This Row],[VENTA TOTAL $ (IVA INC) ]]-Tabla1[[#This Row],[PENDIENTE DE COBRO]]</f>
        <v>0</v>
      </c>
      <c r="R489" s="840">
        <f>+Tabla1[[#This Row],[FECHA FC]]+Tabla1[[#This Row],[PLAZO ENTREGA VALORES]]</f>
        <v>0</v>
      </c>
      <c r="S489" s="840">
        <f>+Tabla1[[#This Row],[FECHA FC]]+Tabla1[[#This Row],[PLAZO PAGO (DIAS)]]</f>
        <v>0</v>
      </c>
      <c r="T489" s="834">
        <f t="shared" ca="1" si="143"/>
        <v>-46181</v>
      </c>
      <c r="U489" s="831"/>
      <c r="V489" s="831"/>
      <c r="W489" s="841">
        <f>+Tabla1[[#This Row],[FECHA VTO VALORES]]+7</f>
        <v>7</v>
      </c>
      <c r="X489" s="830"/>
      <c r="Y489" s="859"/>
      <c r="Z489" s="860">
        <f>Tabla1[[#This Row],[KGS]]/50</f>
        <v>0</v>
      </c>
      <c r="AA48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89" s="844">
        <f>-Tabla1[[#This Row],[COSTO FLETE $ POR BOLSA 5O KG (SIN IVA)]]*1.21-Tabla1[[#This Row],[PRECIO $/ KG A PLAZO EN CLIENTE ( SIN IVA)]]*0.003*1.21*50</f>
        <v>0</v>
      </c>
      <c r="AC489" s="845" t="e">
        <f>SUM(Tabla1[[#This Row],[PRECIO $ BOLSA 50 KG (IVA INC) ]]+Tabla1[[#This Row],[COSTO FLETE $ BOLSA 50 KG (IVA INC)]])</f>
        <v>#VALUE!</v>
      </c>
      <c r="AD489" s="844" t="e">
        <f>-Tabla1[[#This Row],[PRECIO $ BOLSA 50 KG (IVA INC) ]]*(Tabla1[[#This Row],[TASA FINANCIACION MENSUAL]]/365)*Tabla1[[#This Row],[PLAZO ENTREGA VALORES]]</f>
        <v>#VALUE!</v>
      </c>
      <c r="AE489" s="845" t="e">
        <f>SUM(Tabla1[[#This Row],[PRECIO $ BOLSA50 KG  FOB TUCUMAN A PLAZO (IVA INC)]]+Tabla1[[#This Row],[GASTOS FINANCIEROS $ BOLSA 50 KG (IVA INC)]])</f>
        <v>#VALUE!</v>
      </c>
      <c r="AF489" s="828"/>
      <c r="AG489" s="828"/>
      <c r="AH489" s="828"/>
      <c r="AI489" s="828"/>
      <c r="AJ48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89" s="846" t="e">
        <f>SUM(Tabla1[[#This Row],[PRECIO $ BOLSA 50KG  FOB CDO TUC (IVA INC)]]-Tabla1[[#This Row],[PRECIO REF $ BOLSA 50 KG CACTU (IVA INC)]])</f>
        <v>#VALUE!</v>
      </c>
      <c r="AL489" s="847" t="str">
        <f>IFERROR(Tabla1[[#This Row],[PRECIO $ BOLSA 50KG  FOB CDO TUC (IVA INC)]]/Tabla1[[#This Row],[PRECIO REF $ BOLSA 50 KG CACTU (IVA INC)]]-1,"")</f>
        <v/>
      </c>
      <c r="AM489" s="846" t="e">
        <f>+Tabla1[[#This Row],[DIF $ PRECIO NETO INDUSTRIA vs Neto TUCUMAN (IVA INC)]]*Tabla1[[#This Row],[Q Bolsas Equivalentes 50kg]]</f>
        <v>#VALUE!</v>
      </c>
      <c r="AN489" s="846" t="e">
        <f>Tabla1[[#This Row],[PRECIO REF $ BOLSA 50 KG CACTU (IVA INC)]]*Tabla1[[#This Row],[Q Bolsas Equivalentes 50kg]]</f>
        <v>#VALUE!</v>
      </c>
      <c r="AO489" s="846" t="e">
        <f>+Tabla1[[#This Row],[PRECIO $ BOLSA 50KG  FOB CDO TUC (IVA INC)]]*Tabla1[[#This Row],[Q Bolsas Equivalentes 50kg]]</f>
        <v>#VALUE!</v>
      </c>
      <c r="AP489" s="847"/>
      <c r="AQ489" s="846">
        <v>0</v>
      </c>
      <c r="AR489" s="828"/>
      <c r="AS489" s="849"/>
      <c r="AT489" s="923">
        <f>+Tabla1[[#This Row],[VENTA TOTAL $ (IVA INC) ]]-(SUM(Tabla1[[#This Row],[PENDIENTE DE ENTREGA]:[VALORES COBRADOS]]))</f>
        <v>0</v>
      </c>
      <c r="AU489" s="850" t="e">
        <f>VLOOKUP(Tabla1[[#This Row],[FECHA OC]],'TIPO DE CAMBIO'!A:B,2,TRUE)</f>
        <v>#N/A</v>
      </c>
      <c r="AV489" s="850" t="e">
        <f>+Tabla1[[#This Row],[SUBTOTAL]]/Tabla1[[#This Row],[TIPO DE CAMBIO]]</f>
        <v>#N/A</v>
      </c>
      <c r="AW489" s="851"/>
      <c r="AX489" s="850" t="str">
        <f>IFERROR(Tabla1[[#This Row],[VENTA TOTAL USD A PLAZO EN CLIENTE  (SIN IVA)]]*(1+Tabla1[[#This Row],[% IVA ]]),"")</f>
        <v/>
      </c>
      <c r="AY489" s="850" t="e">
        <f>+Tabla1[[#This Row],[VENTA TOTAL USD A PLAZO EN CLIENTE  (SIN IVA)]]/Tabla1[[#This Row],[KGS]]*1000</f>
        <v>#N/A</v>
      </c>
      <c r="AZ489" s="850" t="e">
        <f>-Tabla1[[#This Row],[COSTO FLETE $ POR BOLSA 5O KG (SIN IVA)]]*20/Tabla1[[#This Row],[TIPO DE CAMBIO]]</f>
        <v>#N/A</v>
      </c>
      <c r="BA489" s="850" t="e">
        <f>+Tabla1[[#This Row],[GASTOS FINANCIEROS $ BOLSA 50 KG (IVA INC)]]*20/Tabla1[[#This Row],[TIPO DE CAMBIO]]</f>
        <v>#VALUE!</v>
      </c>
      <c r="BB489" s="850" t="e">
        <f>+Tabla1[[#This Row],[PRECIO POR TN USD EN CLIENTE A PLAZO (SIN IVA)]]+Tabla1[[#This Row],[COSTO USD FLETE /TN (SIN IVA)]]+Tabla1[[#This Row],[COSTO FINANCIERO USD POR BOLSA 50KG (IVA INC)]]</f>
        <v>#N/A</v>
      </c>
      <c r="BC489" s="848"/>
      <c r="BD489" s="944"/>
    </row>
    <row r="490" spans="1:56" ht="15.75" customHeight="1">
      <c r="A490" s="912">
        <v>46266</v>
      </c>
      <c r="B490" s="853"/>
      <c r="C490" s="792"/>
      <c r="D490" s="829">
        <f>+Tabla1[[#This Row],[FECHA Entrega]]</f>
        <v>0</v>
      </c>
      <c r="E490" s="830"/>
      <c r="F490" s="831"/>
      <c r="G490" s="832"/>
      <c r="H490" s="852"/>
      <c r="I490" s="834"/>
      <c r="J490" s="835"/>
      <c r="K490" s="836">
        <f t="shared" si="142"/>
        <v>0</v>
      </c>
      <c r="L49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90" s="837">
        <f t="shared" si="144"/>
        <v>0</v>
      </c>
      <c r="N490" s="838">
        <f>+Tabla1[[#This Row],[VENTA TOTAL $ (IVA INC) ]]</f>
        <v>0</v>
      </c>
      <c r="O490" s="838">
        <v>0</v>
      </c>
      <c r="P490" s="838">
        <v>0</v>
      </c>
      <c r="Q490" s="839">
        <f>+Tabla1[[#This Row],[VENTA TOTAL $ (IVA INC) ]]-Tabla1[[#This Row],[PENDIENTE DE COBRO]]</f>
        <v>0</v>
      </c>
      <c r="R490" s="840">
        <f>+Tabla1[[#This Row],[FECHA FC]]+Tabla1[[#This Row],[PLAZO ENTREGA VALORES]]</f>
        <v>0</v>
      </c>
      <c r="S490" s="840">
        <f>+Tabla1[[#This Row],[FECHA FC]]+Tabla1[[#This Row],[PLAZO PAGO (DIAS)]]</f>
        <v>0</v>
      </c>
      <c r="T490" s="834">
        <f t="shared" ca="1" si="143"/>
        <v>-46181</v>
      </c>
      <c r="U490" s="831"/>
      <c r="V490" s="831"/>
      <c r="W490" s="841">
        <f>+Tabla1[[#This Row],[FECHA VTO VALORES]]+7</f>
        <v>7</v>
      </c>
      <c r="X490" s="830"/>
      <c r="Y490" s="859"/>
      <c r="Z490" s="860">
        <f>Tabla1[[#This Row],[KGS]]/50</f>
        <v>0</v>
      </c>
      <c r="AA49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90" s="844">
        <f>-Tabla1[[#This Row],[COSTO FLETE $ POR BOLSA 5O KG (SIN IVA)]]*1.21-Tabla1[[#This Row],[PRECIO $/ KG A PLAZO EN CLIENTE ( SIN IVA)]]*0.003*1.21*50</f>
        <v>0</v>
      </c>
      <c r="AC490" s="845" t="e">
        <f>SUM(Tabla1[[#This Row],[PRECIO $ BOLSA 50 KG (IVA INC) ]]+Tabla1[[#This Row],[COSTO FLETE $ BOLSA 50 KG (IVA INC)]])</f>
        <v>#VALUE!</v>
      </c>
      <c r="AD490" s="844" t="e">
        <f>-Tabla1[[#This Row],[PRECIO $ BOLSA 50 KG (IVA INC) ]]*(Tabla1[[#This Row],[TASA FINANCIACION MENSUAL]]/365)*Tabla1[[#This Row],[PLAZO ENTREGA VALORES]]</f>
        <v>#VALUE!</v>
      </c>
      <c r="AE490" s="845" t="e">
        <f>SUM(Tabla1[[#This Row],[PRECIO $ BOLSA50 KG  FOB TUCUMAN A PLAZO (IVA INC)]]+Tabla1[[#This Row],[GASTOS FINANCIEROS $ BOLSA 50 KG (IVA INC)]])</f>
        <v>#VALUE!</v>
      </c>
      <c r="AF490" s="828"/>
      <c r="AG490" s="828"/>
      <c r="AH490" s="828"/>
      <c r="AI490" s="828"/>
      <c r="AJ49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90" s="846" t="e">
        <f>SUM(Tabla1[[#This Row],[PRECIO $ BOLSA 50KG  FOB CDO TUC (IVA INC)]]-Tabla1[[#This Row],[PRECIO REF $ BOLSA 50 KG CACTU (IVA INC)]])</f>
        <v>#VALUE!</v>
      </c>
      <c r="AL490" s="847" t="str">
        <f>IFERROR(Tabla1[[#This Row],[PRECIO $ BOLSA 50KG  FOB CDO TUC (IVA INC)]]/Tabla1[[#This Row],[PRECIO REF $ BOLSA 50 KG CACTU (IVA INC)]]-1,"")</f>
        <v/>
      </c>
      <c r="AM490" s="846" t="e">
        <f>+Tabla1[[#This Row],[DIF $ PRECIO NETO INDUSTRIA vs Neto TUCUMAN (IVA INC)]]*Tabla1[[#This Row],[Q Bolsas Equivalentes 50kg]]</f>
        <v>#VALUE!</v>
      </c>
      <c r="AN490" s="846" t="e">
        <f>Tabla1[[#This Row],[PRECIO REF $ BOLSA 50 KG CACTU (IVA INC)]]*Tabla1[[#This Row],[Q Bolsas Equivalentes 50kg]]</f>
        <v>#VALUE!</v>
      </c>
      <c r="AO490" s="846" t="e">
        <f>+Tabla1[[#This Row],[PRECIO $ BOLSA 50KG  FOB CDO TUC (IVA INC)]]*Tabla1[[#This Row],[Q Bolsas Equivalentes 50kg]]</f>
        <v>#VALUE!</v>
      </c>
      <c r="AP490" s="847"/>
      <c r="AQ490" s="846">
        <v>0</v>
      </c>
      <c r="AR490" s="828"/>
      <c r="AS490" s="849"/>
      <c r="AT490" s="923">
        <f>+Tabla1[[#This Row],[VENTA TOTAL $ (IVA INC) ]]-(SUM(Tabla1[[#This Row],[PENDIENTE DE ENTREGA]:[VALORES COBRADOS]]))</f>
        <v>0</v>
      </c>
      <c r="AU490" s="850" t="e">
        <f>VLOOKUP(Tabla1[[#This Row],[FECHA OC]],'TIPO DE CAMBIO'!A:B,2,TRUE)</f>
        <v>#N/A</v>
      </c>
      <c r="AV490" s="850" t="e">
        <f>+Tabla1[[#This Row],[SUBTOTAL]]/Tabla1[[#This Row],[TIPO DE CAMBIO]]</f>
        <v>#N/A</v>
      </c>
      <c r="AW490" s="851"/>
      <c r="AX490" s="850" t="str">
        <f>IFERROR(Tabla1[[#This Row],[VENTA TOTAL USD A PLAZO EN CLIENTE  (SIN IVA)]]*(1+Tabla1[[#This Row],[% IVA ]]),"")</f>
        <v/>
      </c>
      <c r="AY490" s="850" t="e">
        <f>+Tabla1[[#This Row],[VENTA TOTAL USD A PLAZO EN CLIENTE  (SIN IVA)]]/Tabla1[[#This Row],[KGS]]*1000</f>
        <v>#N/A</v>
      </c>
      <c r="AZ490" s="850" t="e">
        <f>-Tabla1[[#This Row],[COSTO FLETE $ POR BOLSA 5O KG (SIN IVA)]]*20/Tabla1[[#This Row],[TIPO DE CAMBIO]]</f>
        <v>#N/A</v>
      </c>
      <c r="BA490" s="850" t="e">
        <f>+Tabla1[[#This Row],[GASTOS FINANCIEROS $ BOLSA 50 KG (IVA INC)]]*20/Tabla1[[#This Row],[TIPO DE CAMBIO]]</f>
        <v>#VALUE!</v>
      </c>
      <c r="BB490" s="850" t="e">
        <f>+Tabla1[[#This Row],[PRECIO POR TN USD EN CLIENTE A PLAZO (SIN IVA)]]+Tabla1[[#This Row],[COSTO USD FLETE /TN (SIN IVA)]]+Tabla1[[#This Row],[COSTO FINANCIERO USD POR BOLSA 50KG (IVA INC)]]</f>
        <v>#N/A</v>
      </c>
      <c r="BC490" s="848"/>
      <c r="BD490" s="944"/>
    </row>
    <row r="491" spans="1:56" ht="15.75" customHeight="1">
      <c r="A491" s="912">
        <v>46266</v>
      </c>
      <c r="B491" s="853"/>
      <c r="C491" s="792"/>
      <c r="D491" s="829">
        <f>+Tabla1[[#This Row],[FECHA Entrega]]</f>
        <v>0</v>
      </c>
      <c r="E491" s="830"/>
      <c r="F491" s="831"/>
      <c r="G491" s="832"/>
      <c r="H491" s="852"/>
      <c r="I491" s="834"/>
      <c r="J491" s="835"/>
      <c r="K491" s="836">
        <f t="shared" si="142"/>
        <v>0</v>
      </c>
      <c r="L49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91" s="837">
        <f t="shared" si="144"/>
        <v>0</v>
      </c>
      <c r="N491" s="838">
        <f>+Tabla1[[#This Row],[VENTA TOTAL $ (IVA INC) ]]</f>
        <v>0</v>
      </c>
      <c r="O491" s="838">
        <v>0</v>
      </c>
      <c r="P491" s="838">
        <v>0</v>
      </c>
      <c r="Q491" s="839">
        <f>+Tabla1[[#This Row],[VENTA TOTAL $ (IVA INC) ]]-Tabla1[[#This Row],[PENDIENTE DE COBRO]]</f>
        <v>0</v>
      </c>
      <c r="R491" s="840">
        <f>+Tabla1[[#This Row],[FECHA FC]]+Tabla1[[#This Row],[PLAZO ENTREGA VALORES]]</f>
        <v>0</v>
      </c>
      <c r="S491" s="840">
        <f>+Tabla1[[#This Row],[FECHA FC]]+Tabla1[[#This Row],[PLAZO PAGO (DIAS)]]</f>
        <v>0</v>
      </c>
      <c r="T491" s="834">
        <f t="shared" ca="1" si="143"/>
        <v>-46181</v>
      </c>
      <c r="U491" s="831"/>
      <c r="V491" s="831"/>
      <c r="W491" s="841">
        <f>+Tabla1[[#This Row],[FECHA VTO VALORES]]+7</f>
        <v>7</v>
      </c>
      <c r="X491" s="830"/>
      <c r="Y491" s="859"/>
      <c r="Z491" s="860">
        <f>Tabla1[[#This Row],[KGS]]/50</f>
        <v>0</v>
      </c>
      <c r="AA49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91" s="844">
        <f>-Tabla1[[#This Row],[COSTO FLETE $ POR BOLSA 5O KG (SIN IVA)]]*1.21-Tabla1[[#This Row],[PRECIO $/ KG A PLAZO EN CLIENTE ( SIN IVA)]]*0.003*1.21*50</f>
        <v>0</v>
      </c>
      <c r="AC491" s="845" t="e">
        <f>SUM(Tabla1[[#This Row],[PRECIO $ BOLSA 50 KG (IVA INC) ]]+Tabla1[[#This Row],[COSTO FLETE $ BOLSA 50 KG (IVA INC)]])</f>
        <v>#VALUE!</v>
      </c>
      <c r="AD491" s="844" t="e">
        <f>-Tabla1[[#This Row],[PRECIO $ BOLSA 50 KG (IVA INC) ]]*(Tabla1[[#This Row],[TASA FINANCIACION MENSUAL]]/365)*Tabla1[[#This Row],[PLAZO ENTREGA VALORES]]</f>
        <v>#VALUE!</v>
      </c>
      <c r="AE491" s="845" t="e">
        <f>SUM(Tabla1[[#This Row],[PRECIO $ BOLSA50 KG  FOB TUCUMAN A PLAZO (IVA INC)]]+Tabla1[[#This Row],[GASTOS FINANCIEROS $ BOLSA 50 KG (IVA INC)]])</f>
        <v>#VALUE!</v>
      </c>
      <c r="AF491" s="828"/>
      <c r="AG491" s="828"/>
      <c r="AH491" s="828"/>
      <c r="AI491" s="828"/>
      <c r="AJ49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91" s="846" t="e">
        <f>SUM(Tabla1[[#This Row],[PRECIO $ BOLSA 50KG  FOB CDO TUC (IVA INC)]]-Tabla1[[#This Row],[PRECIO REF $ BOLSA 50 KG CACTU (IVA INC)]])</f>
        <v>#VALUE!</v>
      </c>
      <c r="AL491" s="847" t="str">
        <f>IFERROR(Tabla1[[#This Row],[PRECIO $ BOLSA 50KG  FOB CDO TUC (IVA INC)]]/Tabla1[[#This Row],[PRECIO REF $ BOLSA 50 KG CACTU (IVA INC)]]-1,"")</f>
        <v/>
      </c>
      <c r="AM491" s="846" t="e">
        <f>+Tabla1[[#This Row],[DIF $ PRECIO NETO INDUSTRIA vs Neto TUCUMAN (IVA INC)]]*Tabla1[[#This Row],[Q Bolsas Equivalentes 50kg]]</f>
        <v>#VALUE!</v>
      </c>
      <c r="AN491" s="846" t="e">
        <f>Tabla1[[#This Row],[PRECIO REF $ BOLSA 50 KG CACTU (IVA INC)]]*Tabla1[[#This Row],[Q Bolsas Equivalentes 50kg]]</f>
        <v>#VALUE!</v>
      </c>
      <c r="AO491" s="846" t="e">
        <f>+Tabla1[[#This Row],[PRECIO $ BOLSA 50KG  FOB CDO TUC (IVA INC)]]*Tabla1[[#This Row],[Q Bolsas Equivalentes 50kg]]</f>
        <v>#VALUE!</v>
      </c>
      <c r="AP491" s="847"/>
      <c r="AQ491" s="846">
        <v>0</v>
      </c>
      <c r="AR491" s="828"/>
      <c r="AS491" s="849"/>
      <c r="AT491" s="923">
        <f>+Tabla1[[#This Row],[VENTA TOTAL $ (IVA INC) ]]-(SUM(Tabla1[[#This Row],[PENDIENTE DE ENTREGA]:[VALORES COBRADOS]]))</f>
        <v>0</v>
      </c>
      <c r="AU491" s="850" t="e">
        <f>VLOOKUP(Tabla1[[#This Row],[FECHA OC]],'TIPO DE CAMBIO'!A:B,2,TRUE)</f>
        <v>#N/A</v>
      </c>
      <c r="AV491" s="850" t="e">
        <f>+Tabla1[[#This Row],[SUBTOTAL]]/Tabla1[[#This Row],[TIPO DE CAMBIO]]</f>
        <v>#N/A</v>
      </c>
      <c r="AW491" s="851"/>
      <c r="AX491" s="850" t="str">
        <f>IFERROR(Tabla1[[#This Row],[VENTA TOTAL USD A PLAZO EN CLIENTE  (SIN IVA)]]*(1+Tabla1[[#This Row],[% IVA ]]),"")</f>
        <v/>
      </c>
      <c r="AY491" s="850" t="e">
        <f>+Tabla1[[#This Row],[VENTA TOTAL USD A PLAZO EN CLIENTE  (SIN IVA)]]/Tabla1[[#This Row],[KGS]]*1000</f>
        <v>#N/A</v>
      </c>
      <c r="AZ491" s="850" t="e">
        <f>-Tabla1[[#This Row],[COSTO FLETE $ POR BOLSA 5O KG (SIN IVA)]]*20/Tabla1[[#This Row],[TIPO DE CAMBIO]]</f>
        <v>#N/A</v>
      </c>
      <c r="BA491" s="850" t="e">
        <f>+Tabla1[[#This Row],[GASTOS FINANCIEROS $ BOLSA 50 KG (IVA INC)]]*20/Tabla1[[#This Row],[TIPO DE CAMBIO]]</f>
        <v>#VALUE!</v>
      </c>
      <c r="BB491" s="850" t="e">
        <f>+Tabla1[[#This Row],[PRECIO POR TN USD EN CLIENTE A PLAZO (SIN IVA)]]+Tabla1[[#This Row],[COSTO USD FLETE /TN (SIN IVA)]]+Tabla1[[#This Row],[COSTO FINANCIERO USD POR BOLSA 50KG (IVA INC)]]</f>
        <v>#N/A</v>
      </c>
      <c r="BC491" s="828"/>
      <c r="BD491" s="944"/>
    </row>
    <row r="492" spans="1:56" ht="15.75" customHeight="1">
      <c r="A492" s="912">
        <v>46266</v>
      </c>
      <c r="B492" s="853"/>
      <c r="C492" s="792"/>
      <c r="D492" s="829">
        <f>+Tabla1[[#This Row],[FECHA Entrega]]</f>
        <v>0</v>
      </c>
      <c r="E492" s="830"/>
      <c r="F492" s="831"/>
      <c r="G492" s="832"/>
      <c r="H492" s="852"/>
      <c r="I492" s="834"/>
      <c r="J492" s="835"/>
      <c r="K492" s="836">
        <f t="shared" si="142"/>
        <v>0</v>
      </c>
      <c r="L49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92" s="837">
        <f t="shared" si="144"/>
        <v>0</v>
      </c>
      <c r="N492" s="838">
        <f>+Tabla1[[#This Row],[VENTA TOTAL $ (IVA INC) ]]</f>
        <v>0</v>
      </c>
      <c r="O492" s="838">
        <v>0</v>
      </c>
      <c r="P492" s="838">
        <v>0</v>
      </c>
      <c r="Q492" s="839">
        <f>+Tabla1[[#This Row],[VENTA TOTAL $ (IVA INC) ]]-Tabla1[[#This Row],[PENDIENTE DE COBRO]]</f>
        <v>0</v>
      </c>
      <c r="R492" s="840">
        <f>+Tabla1[[#This Row],[FECHA FC]]+Tabla1[[#This Row],[PLAZO ENTREGA VALORES]]</f>
        <v>0</v>
      </c>
      <c r="S492" s="840">
        <f>+Tabla1[[#This Row],[FECHA FC]]+Tabla1[[#This Row],[PLAZO PAGO (DIAS)]]</f>
        <v>0</v>
      </c>
      <c r="T492" s="834">
        <f t="shared" ca="1" si="143"/>
        <v>-46181</v>
      </c>
      <c r="U492" s="831"/>
      <c r="V492" s="831"/>
      <c r="W492" s="841">
        <f>+Tabla1[[#This Row],[FECHA VTO VALORES]]+7</f>
        <v>7</v>
      </c>
      <c r="X492" s="830"/>
      <c r="Y492" s="859"/>
      <c r="Z492" s="860">
        <f>Tabla1[[#This Row],[KGS]]/50</f>
        <v>0</v>
      </c>
      <c r="AA49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92" s="844">
        <f>-Tabla1[[#This Row],[COSTO FLETE $ POR BOLSA 5O KG (SIN IVA)]]*1.21-Tabla1[[#This Row],[PRECIO $/ KG A PLAZO EN CLIENTE ( SIN IVA)]]*0.003*1.21*50</f>
        <v>0</v>
      </c>
      <c r="AC492" s="845" t="e">
        <f>SUM(Tabla1[[#This Row],[PRECIO $ BOLSA 50 KG (IVA INC) ]]+Tabla1[[#This Row],[COSTO FLETE $ BOLSA 50 KG (IVA INC)]])</f>
        <v>#VALUE!</v>
      </c>
      <c r="AD492" s="844" t="e">
        <f>-Tabla1[[#This Row],[PRECIO $ BOLSA 50 KG (IVA INC) ]]*(Tabla1[[#This Row],[TASA FINANCIACION MENSUAL]]/365)*Tabla1[[#This Row],[PLAZO ENTREGA VALORES]]</f>
        <v>#VALUE!</v>
      </c>
      <c r="AE492" s="845" t="e">
        <f>SUM(Tabla1[[#This Row],[PRECIO $ BOLSA50 KG  FOB TUCUMAN A PLAZO (IVA INC)]]+Tabla1[[#This Row],[GASTOS FINANCIEROS $ BOLSA 50 KG (IVA INC)]])</f>
        <v>#VALUE!</v>
      </c>
      <c r="AF492" s="828"/>
      <c r="AG492" s="828"/>
      <c r="AH492" s="828"/>
      <c r="AI492" s="828"/>
      <c r="AJ49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92" s="846" t="e">
        <f>SUM(Tabla1[[#This Row],[PRECIO $ BOLSA 50KG  FOB CDO TUC (IVA INC)]]-Tabla1[[#This Row],[PRECIO REF $ BOLSA 50 KG CACTU (IVA INC)]])</f>
        <v>#VALUE!</v>
      </c>
      <c r="AL492" s="847" t="str">
        <f>IFERROR(Tabla1[[#This Row],[PRECIO $ BOLSA 50KG  FOB CDO TUC (IVA INC)]]/Tabla1[[#This Row],[PRECIO REF $ BOLSA 50 KG CACTU (IVA INC)]]-1,"")</f>
        <v/>
      </c>
      <c r="AM492" s="846" t="e">
        <f>+Tabla1[[#This Row],[DIF $ PRECIO NETO INDUSTRIA vs Neto TUCUMAN (IVA INC)]]*Tabla1[[#This Row],[Q Bolsas Equivalentes 50kg]]</f>
        <v>#VALUE!</v>
      </c>
      <c r="AN492" s="846" t="e">
        <f>Tabla1[[#This Row],[PRECIO REF $ BOLSA 50 KG CACTU (IVA INC)]]*Tabla1[[#This Row],[Q Bolsas Equivalentes 50kg]]</f>
        <v>#VALUE!</v>
      </c>
      <c r="AO492" s="846" t="e">
        <f>+Tabla1[[#This Row],[PRECIO $ BOLSA 50KG  FOB CDO TUC (IVA INC)]]*Tabla1[[#This Row],[Q Bolsas Equivalentes 50kg]]</f>
        <v>#VALUE!</v>
      </c>
      <c r="AP492" s="847"/>
      <c r="AQ492" s="846">
        <v>0</v>
      </c>
      <c r="AR492" s="828"/>
      <c r="AS492" s="849"/>
      <c r="AT492" s="923">
        <f>+Tabla1[[#This Row],[VENTA TOTAL $ (IVA INC) ]]-(SUM(Tabla1[[#This Row],[PENDIENTE DE ENTREGA]:[VALORES COBRADOS]]))</f>
        <v>0</v>
      </c>
      <c r="AU492" s="850" t="e">
        <f>VLOOKUP(Tabla1[[#This Row],[FECHA OC]],'TIPO DE CAMBIO'!A:B,2,TRUE)</f>
        <v>#N/A</v>
      </c>
      <c r="AV492" s="850" t="e">
        <f>+Tabla1[[#This Row],[SUBTOTAL]]/Tabla1[[#This Row],[TIPO DE CAMBIO]]</f>
        <v>#N/A</v>
      </c>
      <c r="AW492" s="851"/>
      <c r="AX492" s="850" t="str">
        <f>IFERROR(Tabla1[[#This Row],[VENTA TOTAL USD A PLAZO EN CLIENTE  (SIN IVA)]]*(1+Tabla1[[#This Row],[% IVA ]]),"")</f>
        <v/>
      </c>
      <c r="AY492" s="850" t="e">
        <f>+Tabla1[[#This Row],[VENTA TOTAL USD A PLAZO EN CLIENTE  (SIN IVA)]]/Tabla1[[#This Row],[KGS]]*1000</f>
        <v>#N/A</v>
      </c>
      <c r="AZ492" s="850" t="e">
        <f>-Tabla1[[#This Row],[COSTO FLETE $ POR BOLSA 5O KG (SIN IVA)]]*20/Tabla1[[#This Row],[TIPO DE CAMBIO]]</f>
        <v>#N/A</v>
      </c>
      <c r="BA492" s="850" t="e">
        <f>+Tabla1[[#This Row],[GASTOS FINANCIEROS $ BOLSA 50 KG (IVA INC)]]*20/Tabla1[[#This Row],[TIPO DE CAMBIO]]</f>
        <v>#VALUE!</v>
      </c>
      <c r="BB492" s="850" t="e">
        <f>+Tabla1[[#This Row],[PRECIO POR TN USD EN CLIENTE A PLAZO (SIN IVA)]]+Tabla1[[#This Row],[COSTO USD FLETE /TN (SIN IVA)]]+Tabla1[[#This Row],[COSTO FINANCIERO USD POR BOLSA 50KG (IVA INC)]]</f>
        <v>#N/A</v>
      </c>
      <c r="BC492" s="828"/>
      <c r="BD492" s="944"/>
    </row>
    <row r="493" spans="1:56" ht="15.75" customHeight="1">
      <c r="A493" s="912">
        <v>46266</v>
      </c>
      <c r="B493" s="853"/>
      <c r="C493" s="792"/>
      <c r="D493" s="829">
        <f>+Tabla1[[#This Row],[FECHA Entrega]]</f>
        <v>0</v>
      </c>
      <c r="E493" s="830"/>
      <c r="F493" s="831"/>
      <c r="G493" s="832"/>
      <c r="H493" s="852"/>
      <c r="I493" s="834"/>
      <c r="J493" s="835"/>
      <c r="K493" s="836">
        <f t="shared" si="142"/>
        <v>0</v>
      </c>
      <c r="L49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93" s="837">
        <f t="shared" si="144"/>
        <v>0</v>
      </c>
      <c r="N493" s="838">
        <f>+Tabla1[[#This Row],[VENTA TOTAL $ (IVA INC) ]]</f>
        <v>0</v>
      </c>
      <c r="O493" s="838">
        <v>0</v>
      </c>
      <c r="P493" s="838">
        <v>0</v>
      </c>
      <c r="Q493" s="839">
        <f>+Tabla1[[#This Row],[VENTA TOTAL $ (IVA INC) ]]-Tabla1[[#This Row],[PENDIENTE DE COBRO]]</f>
        <v>0</v>
      </c>
      <c r="R493" s="840">
        <f>+Tabla1[[#This Row],[FECHA FC]]+Tabla1[[#This Row],[PLAZO ENTREGA VALORES]]</f>
        <v>0</v>
      </c>
      <c r="S493" s="840">
        <f>+Tabla1[[#This Row],[FECHA FC]]+Tabla1[[#This Row],[PLAZO PAGO (DIAS)]]</f>
        <v>0</v>
      </c>
      <c r="T493" s="834">
        <f t="shared" ca="1" si="143"/>
        <v>-46181</v>
      </c>
      <c r="U493" s="831"/>
      <c r="V493" s="831"/>
      <c r="W493" s="841">
        <f>+Tabla1[[#This Row],[FECHA VTO VALORES]]+7</f>
        <v>7</v>
      </c>
      <c r="X493" s="830"/>
      <c r="Y493" s="859"/>
      <c r="Z493" s="860">
        <f>Tabla1[[#This Row],[KGS]]/50</f>
        <v>0</v>
      </c>
      <c r="AA49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93" s="844">
        <f>-Tabla1[[#This Row],[COSTO FLETE $ POR BOLSA 5O KG (SIN IVA)]]*1.21-Tabla1[[#This Row],[PRECIO $/ KG A PLAZO EN CLIENTE ( SIN IVA)]]*0.003*1.21*50</f>
        <v>0</v>
      </c>
      <c r="AC493" s="845" t="e">
        <f>SUM(Tabla1[[#This Row],[PRECIO $ BOLSA 50 KG (IVA INC) ]]+Tabla1[[#This Row],[COSTO FLETE $ BOLSA 50 KG (IVA INC)]])</f>
        <v>#VALUE!</v>
      </c>
      <c r="AD493" s="844" t="e">
        <f>-Tabla1[[#This Row],[PRECIO $ BOLSA 50 KG (IVA INC) ]]*(Tabla1[[#This Row],[TASA FINANCIACION MENSUAL]]/365)*Tabla1[[#This Row],[PLAZO ENTREGA VALORES]]</f>
        <v>#VALUE!</v>
      </c>
      <c r="AE493" s="845" t="e">
        <f>SUM(Tabla1[[#This Row],[PRECIO $ BOLSA50 KG  FOB TUCUMAN A PLAZO (IVA INC)]]+Tabla1[[#This Row],[GASTOS FINANCIEROS $ BOLSA 50 KG (IVA INC)]])</f>
        <v>#VALUE!</v>
      </c>
      <c r="AF493" s="828"/>
      <c r="AG493" s="828"/>
      <c r="AH493" s="828"/>
      <c r="AI493" s="828"/>
      <c r="AJ49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93" s="846" t="e">
        <f>SUM(Tabla1[[#This Row],[PRECIO $ BOLSA 50KG  FOB CDO TUC (IVA INC)]]-Tabla1[[#This Row],[PRECIO REF $ BOLSA 50 KG CACTU (IVA INC)]])</f>
        <v>#VALUE!</v>
      </c>
      <c r="AL493" s="847" t="str">
        <f>IFERROR(Tabla1[[#This Row],[PRECIO $ BOLSA 50KG  FOB CDO TUC (IVA INC)]]/Tabla1[[#This Row],[PRECIO REF $ BOLSA 50 KG CACTU (IVA INC)]]-1,"")</f>
        <v/>
      </c>
      <c r="AM493" s="846" t="e">
        <f>+Tabla1[[#This Row],[DIF $ PRECIO NETO INDUSTRIA vs Neto TUCUMAN (IVA INC)]]*Tabla1[[#This Row],[Q Bolsas Equivalentes 50kg]]</f>
        <v>#VALUE!</v>
      </c>
      <c r="AN493" s="846" t="e">
        <f>Tabla1[[#This Row],[PRECIO REF $ BOLSA 50 KG CACTU (IVA INC)]]*Tabla1[[#This Row],[Q Bolsas Equivalentes 50kg]]</f>
        <v>#VALUE!</v>
      </c>
      <c r="AO493" s="846" t="e">
        <f>+Tabla1[[#This Row],[PRECIO $ BOLSA 50KG  FOB CDO TUC (IVA INC)]]*Tabla1[[#This Row],[Q Bolsas Equivalentes 50kg]]</f>
        <v>#VALUE!</v>
      </c>
      <c r="AP493" s="847"/>
      <c r="AQ493" s="846">
        <v>0</v>
      </c>
      <c r="AR493" s="828"/>
      <c r="AS493" s="849"/>
      <c r="AT493" s="923">
        <f>+Tabla1[[#This Row],[VENTA TOTAL $ (IVA INC) ]]-(SUM(Tabla1[[#This Row],[PENDIENTE DE ENTREGA]:[VALORES COBRADOS]]))</f>
        <v>0</v>
      </c>
      <c r="AU493" s="850" t="e">
        <f>VLOOKUP(Tabla1[[#This Row],[FECHA OC]],'TIPO DE CAMBIO'!A:B,2,TRUE)</f>
        <v>#N/A</v>
      </c>
      <c r="AV493" s="850" t="e">
        <f>+Tabla1[[#This Row],[SUBTOTAL]]/Tabla1[[#This Row],[TIPO DE CAMBIO]]</f>
        <v>#N/A</v>
      </c>
      <c r="AW493" s="851"/>
      <c r="AX493" s="850" t="str">
        <f>IFERROR(Tabla1[[#This Row],[VENTA TOTAL USD A PLAZO EN CLIENTE  (SIN IVA)]]*(1+Tabla1[[#This Row],[% IVA ]]),"")</f>
        <v/>
      </c>
      <c r="AY493" s="850" t="e">
        <f>+Tabla1[[#This Row],[VENTA TOTAL USD A PLAZO EN CLIENTE  (SIN IVA)]]/Tabla1[[#This Row],[KGS]]*1000</f>
        <v>#N/A</v>
      </c>
      <c r="AZ493" s="850" t="e">
        <f>-Tabla1[[#This Row],[COSTO FLETE $ POR BOLSA 5O KG (SIN IVA)]]*20/Tabla1[[#This Row],[TIPO DE CAMBIO]]</f>
        <v>#N/A</v>
      </c>
      <c r="BA493" s="850" t="e">
        <f>+Tabla1[[#This Row],[GASTOS FINANCIEROS $ BOLSA 50 KG (IVA INC)]]*20/Tabla1[[#This Row],[TIPO DE CAMBIO]]</f>
        <v>#VALUE!</v>
      </c>
      <c r="BB493" s="850" t="e">
        <f>+Tabla1[[#This Row],[PRECIO POR TN USD EN CLIENTE A PLAZO (SIN IVA)]]+Tabla1[[#This Row],[COSTO USD FLETE /TN (SIN IVA)]]+Tabla1[[#This Row],[COSTO FINANCIERO USD POR BOLSA 50KG (IVA INC)]]</f>
        <v>#N/A</v>
      </c>
      <c r="BC493" s="828"/>
      <c r="BD493" s="944"/>
    </row>
    <row r="494" spans="1:56" ht="15.75" customHeight="1">
      <c r="A494" s="912">
        <v>46266</v>
      </c>
      <c r="B494" s="853"/>
      <c r="C494" s="792"/>
      <c r="D494" s="829">
        <f>+Tabla1[[#This Row],[FECHA Entrega]]</f>
        <v>0</v>
      </c>
      <c r="E494" s="830"/>
      <c r="F494" s="831"/>
      <c r="G494" s="832"/>
      <c r="H494" s="852"/>
      <c r="I494" s="834"/>
      <c r="J494" s="835"/>
      <c r="K494" s="836">
        <f t="shared" si="142"/>
        <v>0</v>
      </c>
      <c r="L49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94" s="837">
        <f t="shared" si="144"/>
        <v>0</v>
      </c>
      <c r="N494" s="838">
        <f>+Tabla1[[#This Row],[VENTA TOTAL $ (IVA INC) ]]</f>
        <v>0</v>
      </c>
      <c r="O494" s="838">
        <v>0</v>
      </c>
      <c r="P494" s="838">
        <v>0</v>
      </c>
      <c r="Q494" s="839">
        <f>+Tabla1[[#This Row],[VENTA TOTAL $ (IVA INC) ]]-Tabla1[[#This Row],[PENDIENTE DE COBRO]]</f>
        <v>0</v>
      </c>
      <c r="R494" s="840">
        <f>+Tabla1[[#This Row],[FECHA FC]]+Tabla1[[#This Row],[PLAZO ENTREGA VALORES]]</f>
        <v>0</v>
      </c>
      <c r="S494" s="840">
        <f>+Tabla1[[#This Row],[FECHA FC]]+Tabla1[[#This Row],[PLAZO PAGO (DIAS)]]</f>
        <v>0</v>
      </c>
      <c r="T494" s="834">
        <f t="shared" ca="1" si="143"/>
        <v>-46181</v>
      </c>
      <c r="U494" s="831"/>
      <c r="V494" s="831"/>
      <c r="W494" s="841">
        <f>+S494+7</f>
        <v>7</v>
      </c>
      <c r="X494" s="830"/>
      <c r="Y494" s="859"/>
      <c r="Z494" s="860">
        <f>Tabla1[[#This Row],[KGS]]/50</f>
        <v>0</v>
      </c>
      <c r="AA49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94" s="844">
        <f>-Tabla1[[#This Row],[COSTO FLETE $ POR BOLSA 5O KG (SIN IVA)]]*1.21-Tabla1[[#This Row],[PRECIO $/ KG A PLAZO EN CLIENTE ( SIN IVA)]]*0.003*1.21*50</f>
        <v>0</v>
      </c>
      <c r="AC494" s="845" t="e">
        <f>SUM(Tabla1[[#This Row],[PRECIO $ BOLSA 50 KG (IVA INC) ]]+Tabla1[[#This Row],[COSTO FLETE $ BOLSA 50 KG (IVA INC)]])</f>
        <v>#VALUE!</v>
      </c>
      <c r="AD494" s="844" t="e">
        <f>-Tabla1[[#This Row],[PRECIO $ BOLSA 50 KG (IVA INC) ]]*(Tabla1[[#This Row],[TASA FINANCIACION MENSUAL]]/365)*Tabla1[[#This Row],[PLAZO ENTREGA VALORES]]</f>
        <v>#VALUE!</v>
      </c>
      <c r="AE494" s="845" t="e">
        <f>SUM(Tabla1[[#This Row],[PRECIO $ BOLSA50 KG  FOB TUCUMAN A PLAZO (IVA INC)]]+Tabla1[[#This Row],[GASTOS FINANCIEROS $ BOLSA 50 KG (IVA INC)]])</f>
        <v>#VALUE!</v>
      </c>
      <c r="AF494" s="828"/>
      <c r="AG494" s="828"/>
      <c r="AH494" s="828"/>
      <c r="AI494" s="828"/>
      <c r="AJ49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94" s="846" t="e">
        <f>SUM(Tabla1[[#This Row],[PRECIO $ BOLSA 50KG  FOB CDO TUC (IVA INC)]]-Tabla1[[#This Row],[PRECIO REF $ BOLSA 50 KG CACTU (IVA INC)]])</f>
        <v>#VALUE!</v>
      </c>
      <c r="AL494" s="847" t="str">
        <f>IFERROR(Tabla1[[#This Row],[PRECIO $ BOLSA 50KG  FOB CDO TUC (IVA INC)]]/Tabla1[[#This Row],[PRECIO REF $ BOLSA 50 KG CACTU (IVA INC)]]-1,"")</f>
        <v/>
      </c>
      <c r="AM494" s="846" t="e">
        <f>+Tabla1[[#This Row],[DIF $ PRECIO NETO INDUSTRIA vs Neto TUCUMAN (IVA INC)]]*Tabla1[[#This Row],[Q Bolsas Equivalentes 50kg]]</f>
        <v>#VALUE!</v>
      </c>
      <c r="AN494" s="846" t="e">
        <f>Tabla1[[#This Row],[PRECIO REF $ BOLSA 50 KG CACTU (IVA INC)]]*Tabla1[[#This Row],[Q Bolsas Equivalentes 50kg]]</f>
        <v>#VALUE!</v>
      </c>
      <c r="AO494" s="846" t="e">
        <f>+Tabla1[[#This Row],[PRECIO $ BOLSA 50KG  FOB CDO TUC (IVA INC)]]*Tabla1[[#This Row],[Q Bolsas Equivalentes 50kg]]</f>
        <v>#VALUE!</v>
      </c>
      <c r="AP494" s="847"/>
      <c r="AQ494" s="846">
        <v>0</v>
      </c>
      <c r="AR494" s="828"/>
      <c r="AS494" s="849"/>
      <c r="AT494" s="923">
        <f>+Tabla1[[#This Row],[VENTA TOTAL $ (IVA INC) ]]-(SUM(Tabla1[[#This Row],[PENDIENTE DE ENTREGA]:[VALORES COBRADOS]]))</f>
        <v>0</v>
      </c>
      <c r="AU494" s="850" t="e">
        <f>VLOOKUP(Tabla1[[#This Row],[FECHA OC]],'TIPO DE CAMBIO'!A:B,2,TRUE)</f>
        <v>#N/A</v>
      </c>
      <c r="AV494" s="850" t="e">
        <f>+Tabla1[[#This Row],[SUBTOTAL]]/Tabla1[[#This Row],[TIPO DE CAMBIO]]</f>
        <v>#N/A</v>
      </c>
      <c r="AW494" s="851"/>
      <c r="AX494" s="850" t="str">
        <f>IFERROR(Tabla1[[#This Row],[VENTA TOTAL USD A PLAZO EN CLIENTE  (SIN IVA)]]*(1+Tabla1[[#This Row],[% IVA ]]),"")</f>
        <v/>
      </c>
      <c r="AY494" s="850" t="e">
        <f>+Tabla1[[#This Row],[VENTA TOTAL USD A PLAZO EN CLIENTE  (SIN IVA)]]/Tabla1[[#This Row],[KGS]]*1000</f>
        <v>#N/A</v>
      </c>
      <c r="AZ494" s="850" t="e">
        <f>-Tabla1[[#This Row],[COSTO FLETE $ POR BOLSA 5O KG (SIN IVA)]]*20/Tabla1[[#This Row],[TIPO DE CAMBIO]]</f>
        <v>#N/A</v>
      </c>
      <c r="BA494" s="850" t="e">
        <f>+Tabla1[[#This Row],[GASTOS FINANCIEROS $ BOLSA 50 KG (IVA INC)]]*20/Tabla1[[#This Row],[TIPO DE CAMBIO]]</f>
        <v>#VALUE!</v>
      </c>
      <c r="BB494" s="850" t="e">
        <f>+Tabla1[[#This Row],[PRECIO POR TN USD EN CLIENTE A PLAZO (SIN IVA)]]+Tabla1[[#This Row],[COSTO USD FLETE /TN (SIN IVA)]]+Tabla1[[#This Row],[COSTO FINANCIERO USD POR BOLSA 50KG (IVA INC)]]</f>
        <v>#N/A</v>
      </c>
      <c r="BC494" s="828"/>
      <c r="BD494" s="944"/>
    </row>
    <row r="495" spans="1:56" ht="15.75" customHeight="1">
      <c r="A495" s="912">
        <v>46266</v>
      </c>
      <c r="B495" s="853"/>
      <c r="C495" s="792"/>
      <c r="D495" s="829">
        <f>+Tabla1[[#This Row],[FECHA Entrega]]</f>
        <v>0</v>
      </c>
      <c r="E495" s="830"/>
      <c r="F495" s="831"/>
      <c r="G495" s="832"/>
      <c r="H495" s="852"/>
      <c r="I495" s="834"/>
      <c r="J495" s="835"/>
      <c r="K495" s="836">
        <f t="shared" si="142"/>
        <v>0</v>
      </c>
      <c r="L49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95" s="837">
        <f t="shared" si="144"/>
        <v>0</v>
      </c>
      <c r="N495" s="838">
        <f>+Tabla1[[#This Row],[VENTA TOTAL $ (IVA INC) ]]</f>
        <v>0</v>
      </c>
      <c r="O495" s="838">
        <v>0</v>
      </c>
      <c r="P495" s="838">
        <v>0</v>
      </c>
      <c r="Q495" s="839">
        <f>+Tabla1[[#This Row],[VENTA TOTAL $ (IVA INC) ]]-Tabla1[[#This Row],[PENDIENTE DE COBRO]]</f>
        <v>0</v>
      </c>
      <c r="R495" s="840">
        <f>+Tabla1[[#This Row],[FECHA FC]]+Tabla1[[#This Row],[PLAZO ENTREGA VALORES]]</f>
        <v>0</v>
      </c>
      <c r="S495" s="840">
        <f>+Tabla1[[#This Row],[FECHA FC]]+Tabla1[[#This Row],[PLAZO PAGO (DIAS)]]</f>
        <v>0</v>
      </c>
      <c r="T495" s="834">
        <f t="shared" ca="1" si="143"/>
        <v>-46181</v>
      </c>
      <c r="U495" s="831"/>
      <c r="V495" s="831"/>
      <c r="W495" s="841">
        <f>+S495+7</f>
        <v>7</v>
      </c>
      <c r="X495" s="830"/>
      <c r="Y495" s="859"/>
      <c r="Z495" s="860">
        <f>Tabla1[[#This Row],[KGS]]/50</f>
        <v>0</v>
      </c>
      <c r="AA49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95" s="844">
        <f>-Tabla1[[#This Row],[COSTO FLETE $ POR BOLSA 5O KG (SIN IVA)]]*1.21-Tabla1[[#This Row],[PRECIO $/ KG A PLAZO EN CLIENTE ( SIN IVA)]]*0.003*1.21*50</f>
        <v>0</v>
      </c>
      <c r="AC495" s="845" t="e">
        <f>SUM(Tabla1[[#This Row],[PRECIO $ BOLSA 50 KG (IVA INC) ]]+Tabla1[[#This Row],[COSTO FLETE $ BOLSA 50 KG (IVA INC)]])</f>
        <v>#VALUE!</v>
      </c>
      <c r="AD495" s="844" t="e">
        <f>-Tabla1[[#This Row],[PRECIO $ BOLSA 50 KG (IVA INC) ]]*(Tabla1[[#This Row],[TASA FINANCIACION MENSUAL]]/365)*Tabla1[[#This Row],[PLAZO ENTREGA VALORES]]</f>
        <v>#VALUE!</v>
      </c>
      <c r="AE495" s="845" t="e">
        <f>SUM(Tabla1[[#This Row],[PRECIO $ BOLSA50 KG  FOB TUCUMAN A PLAZO (IVA INC)]]+Tabla1[[#This Row],[GASTOS FINANCIEROS $ BOLSA 50 KG (IVA INC)]])</f>
        <v>#VALUE!</v>
      </c>
      <c r="AF495" s="828"/>
      <c r="AG495" s="828"/>
      <c r="AH495" s="828"/>
      <c r="AI495" s="828"/>
      <c r="AJ49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95" s="846" t="e">
        <f>SUM(Tabla1[[#This Row],[PRECIO $ BOLSA 50KG  FOB CDO TUC (IVA INC)]]-Tabla1[[#This Row],[PRECIO REF $ BOLSA 50 KG CACTU (IVA INC)]])</f>
        <v>#VALUE!</v>
      </c>
      <c r="AL495" s="847" t="str">
        <f>IFERROR(Tabla1[[#This Row],[PRECIO $ BOLSA 50KG  FOB CDO TUC (IVA INC)]]/Tabla1[[#This Row],[PRECIO REF $ BOLSA 50 KG CACTU (IVA INC)]]-1,"")</f>
        <v/>
      </c>
      <c r="AM495" s="846" t="e">
        <f>+Tabla1[[#This Row],[DIF $ PRECIO NETO INDUSTRIA vs Neto TUCUMAN (IVA INC)]]*Tabla1[[#This Row],[Q Bolsas Equivalentes 50kg]]</f>
        <v>#VALUE!</v>
      </c>
      <c r="AN495" s="846" t="e">
        <f>Tabla1[[#This Row],[PRECIO REF $ BOLSA 50 KG CACTU (IVA INC)]]*Tabla1[[#This Row],[Q Bolsas Equivalentes 50kg]]</f>
        <v>#VALUE!</v>
      </c>
      <c r="AO495" s="846" t="e">
        <f>+Tabla1[[#This Row],[PRECIO $ BOLSA 50KG  FOB CDO TUC (IVA INC)]]*Tabla1[[#This Row],[Q Bolsas Equivalentes 50kg]]</f>
        <v>#VALUE!</v>
      </c>
      <c r="AP495" s="847"/>
      <c r="AQ495" s="846">
        <v>0</v>
      </c>
      <c r="AR495" s="828"/>
      <c r="AS495" s="849"/>
      <c r="AT495" s="923">
        <f>+Tabla1[[#This Row],[VENTA TOTAL $ (IVA INC) ]]-(SUM(Tabla1[[#This Row],[PENDIENTE DE ENTREGA]:[VALORES COBRADOS]]))</f>
        <v>0</v>
      </c>
      <c r="AU495" s="850" t="e">
        <f>VLOOKUP(Tabla1[[#This Row],[FECHA OC]],'TIPO DE CAMBIO'!A:B,2,TRUE)</f>
        <v>#N/A</v>
      </c>
      <c r="AV495" s="850" t="e">
        <f>+Tabla1[[#This Row],[SUBTOTAL]]/Tabla1[[#This Row],[TIPO DE CAMBIO]]</f>
        <v>#N/A</v>
      </c>
      <c r="AW495" s="851"/>
      <c r="AX495" s="850" t="str">
        <f>IFERROR(Tabla1[[#This Row],[VENTA TOTAL USD A PLAZO EN CLIENTE  (SIN IVA)]]*(1+Tabla1[[#This Row],[% IVA ]]),"")</f>
        <v/>
      </c>
      <c r="AY495" s="850" t="e">
        <f>+Tabla1[[#This Row],[VENTA TOTAL USD A PLAZO EN CLIENTE  (SIN IVA)]]/Tabla1[[#This Row],[KGS]]*1000</f>
        <v>#N/A</v>
      </c>
      <c r="AZ495" s="850" t="e">
        <f>-Tabla1[[#This Row],[COSTO FLETE $ POR BOLSA 5O KG (SIN IVA)]]*20/Tabla1[[#This Row],[TIPO DE CAMBIO]]</f>
        <v>#N/A</v>
      </c>
      <c r="BA495" s="850" t="e">
        <f>+Tabla1[[#This Row],[GASTOS FINANCIEROS $ BOLSA 50 KG (IVA INC)]]*20/Tabla1[[#This Row],[TIPO DE CAMBIO]]</f>
        <v>#VALUE!</v>
      </c>
      <c r="BB495" s="850" t="e">
        <f>+Tabla1[[#This Row],[PRECIO POR TN USD EN CLIENTE A PLAZO (SIN IVA)]]+Tabla1[[#This Row],[COSTO USD FLETE /TN (SIN IVA)]]+Tabla1[[#This Row],[COSTO FINANCIERO USD POR BOLSA 50KG (IVA INC)]]</f>
        <v>#N/A</v>
      </c>
      <c r="BC495" s="828"/>
      <c r="BD495" s="944"/>
    </row>
    <row r="496" spans="1:56" ht="15.75" customHeight="1">
      <c r="A496" s="912">
        <v>46266</v>
      </c>
      <c r="B496" s="853"/>
      <c r="C496" s="792"/>
      <c r="D496" s="829">
        <f>+Tabla1[[#This Row],[FECHA Entrega]]</f>
        <v>0</v>
      </c>
      <c r="E496" s="830"/>
      <c r="F496" s="831"/>
      <c r="G496" s="832"/>
      <c r="H496" s="852"/>
      <c r="I496" s="834"/>
      <c r="J496" s="835"/>
      <c r="K496" s="836">
        <f t="shared" si="142"/>
        <v>0</v>
      </c>
      <c r="L49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96" s="837">
        <f t="shared" si="144"/>
        <v>0</v>
      </c>
      <c r="N496" s="838">
        <f>+Tabla1[[#This Row],[VENTA TOTAL $ (IVA INC) ]]</f>
        <v>0</v>
      </c>
      <c r="O496" s="838">
        <v>0</v>
      </c>
      <c r="P496" s="838">
        <v>0</v>
      </c>
      <c r="Q496" s="839">
        <f>+Tabla1[[#This Row],[VENTA TOTAL $ (IVA INC) ]]-Tabla1[[#This Row],[PENDIENTE DE COBRO]]</f>
        <v>0</v>
      </c>
      <c r="R496" s="840">
        <f>+Tabla1[[#This Row],[FECHA FC]]+Tabla1[[#This Row],[PLAZO ENTREGA VALORES]]</f>
        <v>0</v>
      </c>
      <c r="S496" s="840">
        <f>+Tabla1[[#This Row],[FECHA FC]]+Tabla1[[#This Row],[PLAZO PAGO (DIAS)]]</f>
        <v>0</v>
      </c>
      <c r="T496" s="834">
        <f t="shared" ca="1" si="143"/>
        <v>-46181</v>
      </c>
      <c r="U496" s="831"/>
      <c r="V496" s="831"/>
      <c r="W496" s="841">
        <f>+Tabla1[[#This Row],[FECHA VTO VALORES]]+7</f>
        <v>7</v>
      </c>
      <c r="X496" s="830"/>
      <c r="Y496" s="859"/>
      <c r="Z496" s="860">
        <f>Tabla1[[#This Row],[KGS]]/50</f>
        <v>0</v>
      </c>
      <c r="AA49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96" s="844">
        <f>-Tabla1[[#This Row],[COSTO FLETE $ POR BOLSA 5O KG (SIN IVA)]]*1.21-Tabla1[[#This Row],[PRECIO $/ KG A PLAZO EN CLIENTE ( SIN IVA)]]*0.003*1.21*50</f>
        <v>0</v>
      </c>
      <c r="AC496" s="845" t="e">
        <f>SUM(Tabla1[[#This Row],[PRECIO $ BOLSA 50 KG (IVA INC) ]]+Tabla1[[#This Row],[COSTO FLETE $ BOLSA 50 KG (IVA INC)]])</f>
        <v>#VALUE!</v>
      </c>
      <c r="AD496" s="844" t="e">
        <f>-Tabla1[[#This Row],[PRECIO $ BOLSA 50 KG (IVA INC) ]]*(Tabla1[[#This Row],[TASA FINANCIACION MENSUAL]]/365)*Tabla1[[#This Row],[PLAZO ENTREGA VALORES]]</f>
        <v>#VALUE!</v>
      </c>
      <c r="AE496" s="845" t="e">
        <f>SUM(Tabla1[[#This Row],[PRECIO $ BOLSA50 KG  FOB TUCUMAN A PLAZO (IVA INC)]]+Tabla1[[#This Row],[GASTOS FINANCIEROS $ BOLSA 50 KG (IVA INC)]])</f>
        <v>#VALUE!</v>
      </c>
      <c r="AF496" s="828"/>
      <c r="AG496" s="828"/>
      <c r="AH496" s="828"/>
      <c r="AI496" s="828"/>
      <c r="AJ49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96" s="846" t="e">
        <f>SUM(Tabla1[[#This Row],[PRECIO $ BOLSA 50KG  FOB CDO TUC (IVA INC)]]-Tabla1[[#This Row],[PRECIO REF $ BOLSA 50 KG CACTU (IVA INC)]])</f>
        <v>#VALUE!</v>
      </c>
      <c r="AL496" s="847" t="str">
        <f>IFERROR(Tabla1[[#This Row],[PRECIO $ BOLSA 50KG  FOB CDO TUC (IVA INC)]]/Tabla1[[#This Row],[PRECIO REF $ BOLSA 50 KG CACTU (IVA INC)]]-1,"")</f>
        <v/>
      </c>
      <c r="AM496" s="846" t="e">
        <f>+Tabla1[[#This Row],[DIF $ PRECIO NETO INDUSTRIA vs Neto TUCUMAN (IVA INC)]]*Tabla1[[#This Row],[Q Bolsas Equivalentes 50kg]]</f>
        <v>#VALUE!</v>
      </c>
      <c r="AN496" s="846" t="e">
        <f>Tabla1[[#This Row],[PRECIO REF $ BOLSA 50 KG CACTU (IVA INC)]]*Tabla1[[#This Row],[Q Bolsas Equivalentes 50kg]]</f>
        <v>#VALUE!</v>
      </c>
      <c r="AO496" s="846" t="e">
        <f>+Tabla1[[#This Row],[PRECIO $ BOLSA 50KG  FOB CDO TUC (IVA INC)]]*Tabla1[[#This Row],[Q Bolsas Equivalentes 50kg]]</f>
        <v>#VALUE!</v>
      </c>
      <c r="AP496" s="847"/>
      <c r="AQ496" s="846">
        <v>0</v>
      </c>
      <c r="AR496" s="828"/>
      <c r="AS496" s="849"/>
      <c r="AT496" s="923">
        <f>+Tabla1[[#This Row],[VENTA TOTAL $ (IVA INC) ]]-(SUM(Tabla1[[#This Row],[PENDIENTE DE ENTREGA]:[VALORES COBRADOS]]))</f>
        <v>0</v>
      </c>
      <c r="AU496" s="850" t="e">
        <f>VLOOKUP(Tabla1[[#This Row],[FECHA OC]],'TIPO DE CAMBIO'!A:B,2,TRUE)</f>
        <v>#N/A</v>
      </c>
      <c r="AV496" s="850" t="e">
        <f>+Tabla1[[#This Row],[SUBTOTAL]]/Tabla1[[#This Row],[TIPO DE CAMBIO]]</f>
        <v>#N/A</v>
      </c>
      <c r="AW496" s="851"/>
      <c r="AX496" s="850" t="str">
        <f>IFERROR(Tabla1[[#This Row],[VENTA TOTAL USD A PLAZO EN CLIENTE  (SIN IVA)]]*(1+Tabla1[[#This Row],[% IVA ]]),"")</f>
        <v/>
      </c>
      <c r="AY496" s="850" t="e">
        <f>+Tabla1[[#This Row],[VENTA TOTAL USD A PLAZO EN CLIENTE  (SIN IVA)]]/Tabla1[[#This Row],[KGS]]*1000</f>
        <v>#N/A</v>
      </c>
      <c r="AZ496" s="850" t="e">
        <f>-Tabla1[[#This Row],[COSTO FLETE $ POR BOLSA 5O KG (SIN IVA)]]*20/Tabla1[[#This Row],[TIPO DE CAMBIO]]</f>
        <v>#N/A</v>
      </c>
      <c r="BA496" s="850" t="e">
        <f>+Tabla1[[#This Row],[GASTOS FINANCIEROS $ BOLSA 50 KG (IVA INC)]]*20/Tabla1[[#This Row],[TIPO DE CAMBIO]]</f>
        <v>#VALUE!</v>
      </c>
      <c r="BB496" s="850" t="e">
        <f>+Tabla1[[#This Row],[PRECIO POR TN USD EN CLIENTE A PLAZO (SIN IVA)]]+Tabla1[[#This Row],[COSTO USD FLETE /TN (SIN IVA)]]+Tabla1[[#This Row],[COSTO FINANCIERO USD POR BOLSA 50KG (IVA INC)]]</f>
        <v>#N/A</v>
      </c>
      <c r="BC496" s="828"/>
      <c r="BD496" s="944"/>
    </row>
    <row r="497" spans="1:56" ht="15.75" customHeight="1">
      <c r="A497" s="912">
        <v>46266</v>
      </c>
      <c r="B497" s="853"/>
      <c r="C497" s="792"/>
      <c r="D497" s="829">
        <f>+Tabla1[[#This Row],[FECHA Entrega]]</f>
        <v>0</v>
      </c>
      <c r="E497" s="830"/>
      <c r="F497" s="831"/>
      <c r="G497" s="832"/>
      <c r="H497" s="852"/>
      <c r="I497" s="834"/>
      <c r="J497" s="835"/>
      <c r="K497" s="836">
        <f t="shared" si="142"/>
        <v>0</v>
      </c>
      <c r="L49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97" s="837">
        <f t="shared" si="144"/>
        <v>0</v>
      </c>
      <c r="N497" s="838">
        <f>+Tabla1[[#This Row],[VENTA TOTAL $ (IVA INC) ]]</f>
        <v>0</v>
      </c>
      <c r="O497" s="838">
        <v>0</v>
      </c>
      <c r="P497" s="838">
        <v>0</v>
      </c>
      <c r="Q497" s="839">
        <f>+Tabla1[[#This Row],[VENTA TOTAL $ (IVA INC) ]]-Tabla1[[#This Row],[PENDIENTE DE COBRO]]</f>
        <v>0</v>
      </c>
      <c r="R497" s="840">
        <f>+Tabla1[[#This Row],[FECHA FC]]+Tabla1[[#This Row],[PLAZO ENTREGA VALORES]]</f>
        <v>0</v>
      </c>
      <c r="S497" s="840">
        <f>+Tabla1[[#This Row],[FECHA FC]]+Tabla1[[#This Row],[PLAZO PAGO (DIAS)]]</f>
        <v>0</v>
      </c>
      <c r="T497" s="834">
        <f t="shared" ca="1" si="143"/>
        <v>-46181</v>
      </c>
      <c r="U497" s="831"/>
      <c r="V497" s="831"/>
      <c r="W497" s="841">
        <f>+Tabla1[[#This Row],[FECHA VTO VALORES]]+7</f>
        <v>7</v>
      </c>
      <c r="X497" s="830"/>
      <c r="Y497" s="859"/>
      <c r="Z497" s="860">
        <f>Tabla1[[#This Row],[KGS]]/50</f>
        <v>0</v>
      </c>
      <c r="AA49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97" s="844">
        <f>-Tabla1[[#This Row],[COSTO FLETE $ POR BOLSA 5O KG (SIN IVA)]]*1.21-Tabla1[[#This Row],[PRECIO $/ KG A PLAZO EN CLIENTE ( SIN IVA)]]*0.003*1.21*50</f>
        <v>0</v>
      </c>
      <c r="AC497" s="845" t="e">
        <f>SUM(Tabla1[[#This Row],[PRECIO $ BOLSA 50 KG (IVA INC) ]]+Tabla1[[#This Row],[COSTO FLETE $ BOLSA 50 KG (IVA INC)]])</f>
        <v>#VALUE!</v>
      </c>
      <c r="AD497" s="844" t="e">
        <f>-Tabla1[[#This Row],[PRECIO $ BOLSA 50 KG (IVA INC) ]]*(Tabla1[[#This Row],[TASA FINANCIACION MENSUAL]]/365)*Tabla1[[#This Row],[PLAZO ENTREGA VALORES]]</f>
        <v>#VALUE!</v>
      </c>
      <c r="AE497" s="845" t="e">
        <f>SUM(Tabla1[[#This Row],[PRECIO $ BOLSA50 KG  FOB TUCUMAN A PLAZO (IVA INC)]]+Tabla1[[#This Row],[GASTOS FINANCIEROS $ BOLSA 50 KG (IVA INC)]])</f>
        <v>#VALUE!</v>
      </c>
      <c r="AF497" s="828"/>
      <c r="AG497" s="828"/>
      <c r="AH497" s="828"/>
      <c r="AI497" s="828"/>
      <c r="AJ49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97" s="846" t="e">
        <f>SUM(Tabla1[[#This Row],[PRECIO $ BOLSA 50KG  FOB CDO TUC (IVA INC)]]-Tabla1[[#This Row],[PRECIO REF $ BOLSA 50 KG CACTU (IVA INC)]])</f>
        <v>#VALUE!</v>
      </c>
      <c r="AL497" s="847" t="str">
        <f>IFERROR(Tabla1[[#This Row],[PRECIO $ BOLSA 50KG  FOB CDO TUC (IVA INC)]]/Tabla1[[#This Row],[PRECIO REF $ BOLSA 50 KG CACTU (IVA INC)]]-1,"")</f>
        <v/>
      </c>
      <c r="AM497" s="846" t="e">
        <f>+Tabla1[[#This Row],[DIF $ PRECIO NETO INDUSTRIA vs Neto TUCUMAN (IVA INC)]]*Tabla1[[#This Row],[Q Bolsas Equivalentes 50kg]]</f>
        <v>#VALUE!</v>
      </c>
      <c r="AN497" s="846" t="e">
        <f>Tabla1[[#This Row],[PRECIO REF $ BOLSA 50 KG CACTU (IVA INC)]]*Tabla1[[#This Row],[Q Bolsas Equivalentes 50kg]]</f>
        <v>#VALUE!</v>
      </c>
      <c r="AO497" s="846" t="e">
        <f>+Tabla1[[#This Row],[PRECIO $ BOLSA 50KG  FOB CDO TUC (IVA INC)]]*Tabla1[[#This Row],[Q Bolsas Equivalentes 50kg]]</f>
        <v>#VALUE!</v>
      </c>
      <c r="AP497" s="847"/>
      <c r="AQ497" s="846">
        <v>0</v>
      </c>
      <c r="AR497" s="828"/>
      <c r="AS497" s="849"/>
      <c r="AT497" s="923">
        <f>+Tabla1[[#This Row],[VENTA TOTAL $ (IVA INC) ]]-(SUM(Tabla1[[#This Row],[PENDIENTE DE ENTREGA]:[VALORES COBRADOS]]))</f>
        <v>0</v>
      </c>
      <c r="AU497" s="850" t="e">
        <f>VLOOKUP(Tabla1[[#This Row],[FECHA OC]],'TIPO DE CAMBIO'!A:B,2,TRUE)</f>
        <v>#N/A</v>
      </c>
      <c r="AV497" s="850" t="e">
        <f>+Tabla1[[#This Row],[SUBTOTAL]]/Tabla1[[#This Row],[TIPO DE CAMBIO]]</f>
        <v>#N/A</v>
      </c>
      <c r="AW497" s="851"/>
      <c r="AX497" s="850" t="str">
        <f>IFERROR(Tabla1[[#This Row],[VENTA TOTAL USD A PLAZO EN CLIENTE  (SIN IVA)]]*(1+Tabla1[[#This Row],[% IVA ]]),"")</f>
        <v/>
      </c>
      <c r="AY497" s="850" t="e">
        <f>+Tabla1[[#This Row],[VENTA TOTAL USD A PLAZO EN CLIENTE  (SIN IVA)]]/Tabla1[[#This Row],[KGS]]*1000</f>
        <v>#N/A</v>
      </c>
      <c r="AZ497" s="850" t="e">
        <f>-Tabla1[[#This Row],[COSTO FLETE $ POR BOLSA 5O KG (SIN IVA)]]*20/Tabla1[[#This Row],[TIPO DE CAMBIO]]</f>
        <v>#N/A</v>
      </c>
      <c r="BA497" s="850" t="e">
        <f>+Tabla1[[#This Row],[GASTOS FINANCIEROS $ BOLSA 50 KG (IVA INC)]]*20/Tabla1[[#This Row],[TIPO DE CAMBIO]]</f>
        <v>#VALUE!</v>
      </c>
      <c r="BB497" s="850" t="e">
        <f>+Tabla1[[#This Row],[PRECIO POR TN USD EN CLIENTE A PLAZO (SIN IVA)]]+Tabla1[[#This Row],[COSTO USD FLETE /TN (SIN IVA)]]+Tabla1[[#This Row],[COSTO FINANCIERO USD POR BOLSA 50KG (IVA INC)]]</f>
        <v>#N/A</v>
      </c>
      <c r="BC497" s="828"/>
      <c r="BD497" s="944"/>
    </row>
    <row r="498" spans="1:56" ht="15.75" customHeight="1">
      <c r="A498" s="912">
        <v>46266</v>
      </c>
      <c r="B498" s="853"/>
      <c r="C498" s="792"/>
      <c r="D498" s="829">
        <f>+Tabla1[[#This Row],[FECHA Entrega]]</f>
        <v>0</v>
      </c>
      <c r="E498" s="830"/>
      <c r="F498" s="831"/>
      <c r="G498" s="832"/>
      <c r="H498" s="852"/>
      <c r="I498" s="834"/>
      <c r="J498" s="835"/>
      <c r="K498" s="836">
        <f t="shared" si="142"/>
        <v>0</v>
      </c>
      <c r="L49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98" s="837">
        <f t="shared" si="144"/>
        <v>0</v>
      </c>
      <c r="N498" s="838">
        <f>+Tabla1[[#This Row],[VENTA TOTAL $ (IVA INC) ]]</f>
        <v>0</v>
      </c>
      <c r="O498" s="838">
        <v>0</v>
      </c>
      <c r="P498" s="838">
        <v>0</v>
      </c>
      <c r="Q498" s="839">
        <f>+Tabla1[[#This Row],[VENTA TOTAL $ (IVA INC) ]]-Tabla1[[#This Row],[PENDIENTE DE COBRO]]</f>
        <v>0</v>
      </c>
      <c r="R498" s="840">
        <f>+Tabla1[[#This Row],[FECHA FC]]+Tabla1[[#This Row],[PLAZO ENTREGA VALORES]]</f>
        <v>0</v>
      </c>
      <c r="S498" s="840">
        <f>+Tabla1[[#This Row],[FECHA FC]]+Tabla1[[#This Row],[PLAZO PAGO (DIAS)]]</f>
        <v>0</v>
      </c>
      <c r="T498" s="834">
        <f t="shared" ca="1" si="143"/>
        <v>-46181</v>
      </c>
      <c r="U498" s="831"/>
      <c r="V498" s="831"/>
      <c r="W498" s="841">
        <f>+Tabla1[[#This Row],[FECHA VTO VALORES]]+7</f>
        <v>7</v>
      </c>
      <c r="X498" s="830"/>
      <c r="Y498" s="859"/>
      <c r="Z498" s="860">
        <f>Tabla1[[#This Row],[KGS]]/50</f>
        <v>0</v>
      </c>
      <c r="AA49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98" s="844">
        <f>-Tabla1[[#This Row],[COSTO FLETE $ POR BOLSA 5O KG (SIN IVA)]]*1.21-Tabla1[[#This Row],[PRECIO $/ KG A PLAZO EN CLIENTE ( SIN IVA)]]*0.003*1.21*50</f>
        <v>0</v>
      </c>
      <c r="AC498" s="845" t="e">
        <f>SUM(Tabla1[[#This Row],[PRECIO $ BOLSA 50 KG (IVA INC) ]]+Tabla1[[#This Row],[COSTO FLETE $ BOLSA 50 KG (IVA INC)]])</f>
        <v>#VALUE!</v>
      </c>
      <c r="AD498" s="844" t="e">
        <f>-Tabla1[[#This Row],[PRECIO $ BOLSA 50 KG (IVA INC) ]]*(Tabla1[[#This Row],[TASA FINANCIACION MENSUAL]]/365)*Tabla1[[#This Row],[PLAZO ENTREGA VALORES]]</f>
        <v>#VALUE!</v>
      </c>
      <c r="AE498" s="845" t="e">
        <f>SUM(Tabla1[[#This Row],[PRECIO $ BOLSA50 KG  FOB TUCUMAN A PLAZO (IVA INC)]]+Tabla1[[#This Row],[GASTOS FINANCIEROS $ BOLSA 50 KG (IVA INC)]])</f>
        <v>#VALUE!</v>
      </c>
      <c r="AF498" s="828"/>
      <c r="AG498" s="828"/>
      <c r="AH498" s="828"/>
      <c r="AI498" s="828"/>
      <c r="AJ49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98" s="846" t="e">
        <f>SUM(Tabla1[[#This Row],[PRECIO $ BOLSA 50KG  FOB CDO TUC (IVA INC)]]-Tabla1[[#This Row],[PRECIO REF $ BOLSA 50 KG CACTU (IVA INC)]])</f>
        <v>#VALUE!</v>
      </c>
      <c r="AL498" s="847" t="str">
        <f>IFERROR(Tabla1[[#This Row],[PRECIO $ BOLSA 50KG  FOB CDO TUC (IVA INC)]]/Tabla1[[#This Row],[PRECIO REF $ BOLSA 50 KG CACTU (IVA INC)]]-1,"")</f>
        <v/>
      </c>
      <c r="AM498" s="846" t="e">
        <f>+Tabla1[[#This Row],[DIF $ PRECIO NETO INDUSTRIA vs Neto TUCUMAN (IVA INC)]]*Tabla1[[#This Row],[Q Bolsas Equivalentes 50kg]]</f>
        <v>#VALUE!</v>
      </c>
      <c r="AN498" s="846" t="e">
        <f>Tabla1[[#This Row],[PRECIO REF $ BOLSA 50 KG CACTU (IVA INC)]]*Tabla1[[#This Row],[Q Bolsas Equivalentes 50kg]]</f>
        <v>#VALUE!</v>
      </c>
      <c r="AO498" s="846" t="e">
        <f>+Tabla1[[#This Row],[PRECIO $ BOLSA 50KG  FOB CDO TUC (IVA INC)]]*Tabla1[[#This Row],[Q Bolsas Equivalentes 50kg]]</f>
        <v>#VALUE!</v>
      </c>
      <c r="AP498" s="847"/>
      <c r="AQ498" s="846">
        <v>0</v>
      </c>
      <c r="AR498" s="828"/>
      <c r="AS498" s="849"/>
      <c r="AT498" s="923">
        <f>+Tabla1[[#This Row],[VENTA TOTAL $ (IVA INC) ]]-(SUM(Tabla1[[#This Row],[PENDIENTE DE ENTREGA]:[VALORES COBRADOS]]))</f>
        <v>0</v>
      </c>
      <c r="AU498" s="850" t="e">
        <f>VLOOKUP(Tabla1[[#This Row],[FECHA OC]],'TIPO DE CAMBIO'!A:B,2,TRUE)</f>
        <v>#N/A</v>
      </c>
      <c r="AV498" s="850" t="e">
        <f>+Tabla1[[#This Row],[SUBTOTAL]]/Tabla1[[#This Row],[TIPO DE CAMBIO]]</f>
        <v>#N/A</v>
      </c>
      <c r="AW498" s="851"/>
      <c r="AX498" s="850" t="str">
        <f>IFERROR(Tabla1[[#This Row],[VENTA TOTAL USD A PLAZO EN CLIENTE  (SIN IVA)]]*(1+Tabla1[[#This Row],[% IVA ]]),"")</f>
        <v/>
      </c>
      <c r="AY498" s="850" t="e">
        <f>+Tabla1[[#This Row],[VENTA TOTAL USD A PLAZO EN CLIENTE  (SIN IVA)]]/Tabla1[[#This Row],[KGS]]*1000</f>
        <v>#N/A</v>
      </c>
      <c r="AZ498" s="850" t="e">
        <f>-Tabla1[[#This Row],[COSTO FLETE $ POR BOLSA 5O KG (SIN IVA)]]*20/Tabla1[[#This Row],[TIPO DE CAMBIO]]</f>
        <v>#N/A</v>
      </c>
      <c r="BA498" s="850" t="e">
        <f>+Tabla1[[#This Row],[GASTOS FINANCIEROS $ BOLSA 50 KG (IVA INC)]]*20/Tabla1[[#This Row],[TIPO DE CAMBIO]]</f>
        <v>#VALUE!</v>
      </c>
      <c r="BB498" s="850" t="e">
        <f>+Tabla1[[#This Row],[PRECIO POR TN USD EN CLIENTE A PLAZO (SIN IVA)]]+Tabla1[[#This Row],[COSTO USD FLETE /TN (SIN IVA)]]+Tabla1[[#This Row],[COSTO FINANCIERO USD POR BOLSA 50KG (IVA INC)]]</f>
        <v>#N/A</v>
      </c>
      <c r="BC498" s="828"/>
      <c r="BD498" s="944"/>
    </row>
    <row r="499" spans="1:56" ht="15.75" customHeight="1">
      <c r="A499" s="912">
        <v>46266</v>
      </c>
      <c r="B499" s="853"/>
      <c r="C499" s="792"/>
      <c r="D499" s="829">
        <f>+Tabla1[[#This Row],[FECHA Entrega]]</f>
        <v>0</v>
      </c>
      <c r="E499" s="830"/>
      <c r="F499" s="831"/>
      <c r="G499" s="832"/>
      <c r="H499" s="852"/>
      <c r="I499" s="834"/>
      <c r="J499" s="835"/>
      <c r="K499" s="836">
        <f t="shared" si="142"/>
        <v>0</v>
      </c>
      <c r="L49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499" s="837">
        <f t="shared" si="144"/>
        <v>0</v>
      </c>
      <c r="N499" s="838">
        <f>+Tabla1[[#This Row],[VENTA TOTAL $ (IVA INC) ]]</f>
        <v>0</v>
      </c>
      <c r="O499" s="838">
        <v>0</v>
      </c>
      <c r="P499" s="838">
        <v>0</v>
      </c>
      <c r="Q499" s="839">
        <f>+Tabla1[[#This Row],[VENTA TOTAL $ (IVA INC) ]]-Tabla1[[#This Row],[PENDIENTE DE COBRO]]</f>
        <v>0</v>
      </c>
      <c r="R499" s="840">
        <f>+Tabla1[[#This Row],[FECHA FC]]+Tabla1[[#This Row],[PLAZO ENTREGA VALORES]]</f>
        <v>0</v>
      </c>
      <c r="S499" s="840">
        <f>+Tabla1[[#This Row],[FECHA FC]]+Tabla1[[#This Row],[PLAZO PAGO (DIAS)]]</f>
        <v>0</v>
      </c>
      <c r="T499" s="834">
        <f t="shared" ca="1" si="143"/>
        <v>-46181</v>
      </c>
      <c r="U499" s="831"/>
      <c r="V499" s="831"/>
      <c r="W499" s="841">
        <f>+Tabla1[[#This Row],[FECHA VTO VALORES]]+7</f>
        <v>7</v>
      </c>
      <c r="X499" s="830"/>
      <c r="Y499" s="859"/>
      <c r="Z499" s="860">
        <f>Tabla1[[#This Row],[KGS]]/50</f>
        <v>0</v>
      </c>
      <c r="AA49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499" s="844">
        <f>-Tabla1[[#This Row],[COSTO FLETE $ POR BOLSA 5O KG (SIN IVA)]]*1.21-Tabla1[[#This Row],[PRECIO $/ KG A PLAZO EN CLIENTE ( SIN IVA)]]*0.003*1.21*50</f>
        <v>0</v>
      </c>
      <c r="AC499" s="845" t="e">
        <f>SUM(Tabla1[[#This Row],[PRECIO $ BOLSA 50 KG (IVA INC) ]]+Tabla1[[#This Row],[COSTO FLETE $ BOLSA 50 KG (IVA INC)]])</f>
        <v>#VALUE!</v>
      </c>
      <c r="AD499" s="844" t="e">
        <f>-Tabla1[[#This Row],[PRECIO $ BOLSA 50 KG (IVA INC) ]]*(Tabla1[[#This Row],[TASA FINANCIACION MENSUAL]]/365)*Tabla1[[#This Row],[PLAZO ENTREGA VALORES]]</f>
        <v>#VALUE!</v>
      </c>
      <c r="AE499" s="845" t="e">
        <f>SUM(Tabla1[[#This Row],[PRECIO $ BOLSA50 KG  FOB TUCUMAN A PLAZO (IVA INC)]]+Tabla1[[#This Row],[GASTOS FINANCIEROS $ BOLSA 50 KG (IVA INC)]])</f>
        <v>#VALUE!</v>
      </c>
      <c r="AF499" s="828"/>
      <c r="AG499" s="828"/>
      <c r="AH499" s="828"/>
      <c r="AI499" s="828"/>
      <c r="AJ49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499" s="846" t="e">
        <f>SUM(Tabla1[[#This Row],[PRECIO $ BOLSA 50KG  FOB CDO TUC (IVA INC)]]-Tabla1[[#This Row],[PRECIO REF $ BOLSA 50 KG CACTU (IVA INC)]])</f>
        <v>#VALUE!</v>
      </c>
      <c r="AL499" s="847" t="str">
        <f>IFERROR(Tabla1[[#This Row],[PRECIO $ BOLSA 50KG  FOB CDO TUC (IVA INC)]]/Tabla1[[#This Row],[PRECIO REF $ BOLSA 50 KG CACTU (IVA INC)]]-1,"")</f>
        <v/>
      </c>
      <c r="AM499" s="846" t="e">
        <f>+Tabla1[[#This Row],[DIF $ PRECIO NETO INDUSTRIA vs Neto TUCUMAN (IVA INC)]]*Tabla1[[#This Row],[Q Bolsas Equivalentes 50kg]]</f>
        <v>#VALUE!</v>
      </c>
      <c r="AN499" s="846" t="e">
        <f>Tabla1[[#This Row],[PRECIO REF $ BOLSA 50 KG CACTU (IVA INC)]]*Tabla1[[#This Row],[Q Bolsas Equivalentes 50kg]]</f>
        <v>#VALUE!</v>
      </c>
      <c r="AO499" s="846" t="e">
        <f>+Tabla1[[#This Row],[PRECIO $ BOLSA 50KG  FOB CDO TUC (IVA INC)]]*Tabla1[[#This Row],[Q Bolsas Equivalentes 50kg]]</f>
        <v>#VALUE!</v>
      </c>
      <c r="AP499" s="847"/>
      <c r="AQ499" s="846">
        <v>0</v>
      </c>
      <c r="AR499" s="828"/>
      <c r="AS499" s="849"/>
      <c r="AT499" s="923">
        <f>+Tabla1[[#This Row],[VENTA TOTAL $ (IVA INC) ]]-(SUM(Tabla1[[#This Row],[PENDIENTE DE ENTREGA]:[VALORES COBRADOS]]))</f>
        <v>0</v>
      </c>
      <c r="AU499" s="850" t="e">
        <f>VLOOKUP(Tabla1[[#This Row],[FECHA OC]],'TIPO DE CAMBIO'!A:B,2,TRUE)</f>
        <v>#N/A</v>
      </c>
      <c r="AV499" s="850" t="e">
        <f>+Tabla1[[#This Row],[SUBTOTAL]]/Tabla1[[#This Row],[TIPO DE CAMBIO]]</f>
        <v>#N/A</v>
      </c>
      <c r="AW499" s="851"/>
      <c r="AX499" s="850" t="str">
        <f>IFERROR(Tabla1[[#This Row],[VENTA TOTAL USD A PLAZO EN CLIENTE  (SIN IVA)]]*(1+Tabla1[[#This Row],[% IVA ]]),"")</f>
        <v/>
      </c>
      <c r="AY499" s="850" t="e">
        <f>+Tabla1[[#This Row],[VENTA TOTAL USD A PLAZO EN CLIENTE  (SIN IVA)]]/Tabla1[[#This Row],[KGS]]*1000</f>
        <v>#N/A</v>
      </c>
      <c r="AZ499" s="850" t="e">
        <f>-Tabla1[[#This Row],[COSTO FLETE $ POR BOLSA 5O KG (SIN IVA)]]*20/Tabla1[[#This Row],[TIPO DE CAMBIO]]</f>
        <v>#N/A</v>
      </c>
      <c r="BA499" s="850" t="e">
        <f>+Tabla1[[#This Row],[GASTOS FINANCIEROS $ BOLSA 50 KG (IVA INC)]]*20/Tabla1[[#This Row],[TIPO DE CAMBIO]]</f>
        <v>#VALUE!</v>
      </c>
      <c r="BB499" s="850" t="e">
        <f>+Tabla1[[#This Row],[PRECIO POR TN USD EN CLIENTE A PLAZO (SIN IVA)]]+Tabla1[[#This Row],[COSTO USD FLETE /TN (SIN IVA)]]+Tabla1[[#This Row],[COSTO FINANCIERO USD POR BOLSA 50KG (IVA INC)]]</f>
        <v>#N/A</v>
      </c>
      <c r="BC499" s="828"/>
      <c r="BD499" s="944"/>
    </row>
    <row r="500" spans="1:56" ht="15.75" customHeight="1">
      <c r="A500" s="912">
        <v>46266</v>
      </c>
      <c r="B500" s="853"/>
      <c r="C500" s="792"/>
      <c r="D500" s="829">
        <f>+Tabla1[[#This Row],[FECHA Entrega]]</f>
        <v>0</v>
      </c>
      <c r="E500" s="830"/>
      <c r="F500" s="831"/>
      <c r="G500" s="832"/>
      <c r="H500" s="852"/>
      <c r="I500" s="834"/>
      <c r="J500" s="835"/>
      <c r="K500" s="836">
        <f t="shared" si="142"/>
        <v>0</v>
      </c>
      <c r="L50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00" s="837">
        <f t="shared" si="144"/>
        <v>0</v>
      </c>
      <c r="N500" s="838">
        <f>+Tabla1[[#This Row],[VENTA TOTAL $ (IVA INC) ]]</f>
        <v>0</v>
      </c>
      <c r="O500" s="838">
        <v>0</v>
      </c>
      <c r="P500" s="838">
        <v>0</v>
      </c>
      <c r="Q500" s="839">
        <f>+Tabla1[[#This Row],[VENTA TOTAL $ (IVA INC) ]]-Tabla1[[#This Row],[PENDIENTE DE COBRO]]</f>
        <v>0</v>
      </c>
      <c r="R500" s="840">
        <f>+Tabla1[[#This Row],[FECHA FC]]+Tabla1[[#This Row],[PLAZO ENTREGA VALORES]]</f>
        <v>0</v>
      </c>
      <c r="S500" s="840">
        <f>+Tabla1[[#This Row],[FECHA FC]]+Tabla1[[#This Row],[PLAZO PAGO (DIAS)]]</f>
        <v>0</v>
      </c>
      <c r="T500" s="834">
        <f t="shared" ca="1" si="143"/>
        <v>-46181</v>
      </c>
      <c r="U500" s="831"/>
      <c r="V500" s="831"/>
      <c r="W500" s="841">
        <f>+Tabla1[[#This Row],[FECHA VTO VALORES]]+7</f>
        <v>7</v>
      </c>
      <c r="X500" s="830"/>
      <c r="Y500" s="859"/>
      <c r="Z500" s="860">
        <f>Tabla1[[#This Row],[KGS]]/50</f>
        <v>0</v>
      </c>
      <c r="AA50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00" s="844">
        <f>-Tabla1[[#This Row],[COSTO FLETE $ POR BOLSA 5O KG (SIN IVA)]]*1.21-Tabla1[[#This Row],[PRECIO $/ KG A PLAZO EN CLIENTE ( SIN IVA)]]*0.003*1.21*50</f>
        <v>0</v>
      </c>
      <c r="AC500" s="845" t="e">
        <f>SUM(Tabla1[[#This Row],[PRECIO $ BOLSA 50 KG (IVA INC) ]]+Tabla1[[#This Row],[COSTO FLETE $ BOLSA 50 KG (IVA INC)]])</f>
        <v>#VALUE!</v>
      </c>
      <c r="AD500" s="844" t="e">
        <f>-Tabla1[[#This Row],[PRECIO $ BOLSA 50 KG (IVA INC) ]]*(Tabla1[[#This Row],[TASA FINANCIACION MENSUAL]]/365)*Tabla1[[#This Row],[PLAZO ENTREGA VALORES]]</f>
        <v>#VALUE!</v>
      </c>
      <c r="AE500" s="845" t="e">
        <f>SUM(Tabla1[[#This Row],[PRECIO $ BOLSA50 KG  FOB TUCUMAN A PLAZO (IVA INC)]]+Tabla1[[#This Row],[GASTOS FINANCIEROS $ BOLSA 50 KG (IVA INC)]])</f>
        <v>#VALUE!</v>
      </c>
      <c r="AF500" s="828"/>
      <c r="AG500" s="828"/>
      <c r="AH500" s="828"/>
      <c r="AI500" s="828"/>
      <c r="AJ50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00" s="846" t="e">
        <f>SUM(Tabla1[[#This Row],[PRECIO $ BOLSA 50KG  FOB CDO TUC (IVA INC)]]-Tabla1[[#This Row],[PRECIO REF $ BOLSA 50 KG CACTU (IVA INC)]])</f>
        <v>#VALUE!</v>
      </c>
      <c r="AL500" s="847" t="str">
        <f>IFERROR(Tabla1[[#This Row],[PRECIO $ BOLSA 50KG  FOB CDO TUC (IVA INC)]]/Tabla1[[#This Row],[PRECIO REF $ BOLSA 50 KG CACTU (IVA INC)]]-1,"")</f>
        <v/>
      </c>
      <c r="AM500" s="846" t="e">
        <f>+Tabla1[[#This Row],[DIF $ PRECIO NETO INDUSTRIA vs Neto TUCUMAN (IVA INC)]]*Tabla1[[#This Row],[Q Bolsas Equivalentes 50kg]]</f>
        <v>#VALUE!</v>
      </c>
      <c r="AN500" s="846" t="e">
        <f>Tabla1[[#This Row],[PRECIO REF $ BOLSA 50 KG CACTU (IVA INC)]]*Tabla1[[#This Row],[Q Bolsas Equivalentes 50kg]]</f>
        <v>#VALUE!</v>
      </c>
      <c r="AO500" s="846" t="e">
        <f>+Tabla1[[#This Row],[PRECIO $ BOLSA 50KG  FOB CDO TUC (IVA INC)]]*Tabla1[[#This Row],[Q Bolsas Equivalentes 50kg]]</f>
        <v>#VALUE!</v>
      </c>
      <c r="AP500" s="847"/>
      <c r="AQ500" s="846">
        <v>0</v>
      </c>
      <c r="AR500" s="828"/>
      <c r="AS500" s="849"/>
      <c r="AT500" s="923">
        <f>+Tabla1[[#This Row],[VENTA TOTAL $ (IVA INC) ]]-(SUM(Tabla1[[#This Row],[PENDIENTE DE ENTREGA]:[VALORES COBRADOS]]))</f>
        <v>0</v>
      </c>
      <c r="AU500" s="850" t="e">
        <f>VLOOKUP(Tabla1[[#This Row],[FECHA OC]],'TIPO DE CAMBIO'!A:B,2,TRUE)</f>
        <v>#N/A</v>
      </c>
      <c r="AV500" s="850" t="e">
        <f>+Tabla1[[#This Row],[SUBTOTAL]]/Tabla1[[#This Row],[TIPO DE CAMBIO]]</f>
        <v>#N/A</v>
      </c>
      <c r="AW500" s="851"/>
      <c r="AX500" s="850" t="str">
        <f>IFERROR(Tabla1[[#This Row],[VENTA TOTAL USD A PLAZO EN CLIENTE  (SIN IVA)]]*(1+Tabla1[[#This Row],[% IVA ]]),"")</f>
        <v/>
      </c>
      <c r="AY500" s="850" t="e">
        <f>+Tabla1[[#This Row],[VENTA TOTAL USD A PLAZO EN CLIENTE  (SIN IVA)]]/Tabla1[[#This Row],[KGS]]*1000</f>
        <v>#N/A</v>
      </c>
      <c r="AZ500" s="850" t="e">
        <f>-Tabla1[[#This Row],[COSTO FLETE $ POR BOLSA 5O KG (SIN IVA)]]*20/Tabla1[[#This Row],[TIPO DE CAMBIO]]</f>
        <v>#N/A</v>
      </c>
      <c r="BA500" s="850" t="e">
        <f>+Tabla1[[#This Row],[GASTOS FINANCIEROS $ BOLSA 50 KG (IVA INC)]]*20/Tabla1[[#This Row],[TIPO DE CAMBIO]]</f>
        <v>#VALUE!</v>
      </c>
      <c r="BB500" s="850" t="e">
        <f>+Tabla1[[#This Row],[PRECIO POR TN USD EN CLIENTE A PLAZO (SIN IVA)]]+Tabla1[[#This Row],[COSTO USD FLETE /TN (SIN IVA)]]+Tabla1[[#This Row],[COSTO FINANCIERO USD POR BOLSA 50KG (IVA INC)]]</f>
        <v>#N/A</v>
      </c>
      <c r="BC500" s="828"/>
      <c r="BD500" s="944"/>
    </row>
    <row r="501" spans="1:56" ht="15.75" customHeight="1">
      <c r="A501" s="912">
        <v>46266</v>
      </c>
      <c r="B501" s="853"/>
      <c r="C501" s="792"/>
      <c r="D501" s="829">
        <f>+Tabla1[[#This Row],[FECHA Entrega]]</f>
        <v>0</v>
      </c>
      <c r="E501" s="830"/>
      <c r="F501" s="831"/>
      <c r="G501" s="832"/>
      <c r="H501" s="852"/>
      <c r="I501" s="834"/>
      <c r="J501" s="835"/>
      <c r="K501" s="836">
        <f t="shared" si="142"/>
        <v>0</v>
      </c>
      <c r="L50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01" s="837">
        <f t="shared" si="144"/>
        <v>0</v>
      </c>
      <c r="N501" s="838">
        <f>+Tabla1[[#This Row],[VENTA TOTAL $ (IVA INC) ]]</f>
        <v>0</v>
      </c>
      <c r="O501" s="838">
        <v>0</v>
      </c>
      <c r="P501" s="838">
        <v>0</v>
      </c>
      <c r="Q501" s="839">
        <f>+Tabla1[[#This Row],[VENTA TOTAL $ (IVA INC) ]]-Tabla1[[#This Row],[PENDIENTE DE COBRO]]</f>
        <v>0</v>
      </c>
      <c r="R501" s="840">
        <f>+Tabla1[[#This Row],[FECHA FC]]+Tabla1[[#This Row],[PLAZO ENTREGA VALORES]]</f>
        <v>0</v>
      </c>
      <c r="S501" s="840">
        <f>+Tabla1[[#This Row],[FECHA FC]]+Tabla1[[#This Row],[PLAZO PAGO (DIAS)]]</f>
        <v>0</v>
      </c>
      <c r="T501" s="834">
        <f t="shared" ca="1" si="143"/>
        <v>-46181</v>
      </c>
      <c r="U501" s="831"/>
      <c r="V501" s="831"/>
      <c r="W501" s="841">
        <f>+Tabla1[[#This Row],[FECHA VTO VALORES]]+7</f>
        <v>7</v>
      </c>
      <c r="X501" s="830"/>
      <c r="Y501" s="859"/>
      <c r="Z501" s="860">
        <f>Tabla1[[#This Row],[KGS]]/50</f>
        <v>0</v>
      </c>
      <c r="AA50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01" s="844">
        <f>-Tabla1[[#This Row],[COSTO FLETE $ POR BOLSA 5O KG (SIN IVA)]]*1.21-Tabla1[[#This Row],[PRECIO $/ KG A PLAZO EN CLIENTE ( SIN IVA)]]*0.003*1.21*50</f>
        <v>0</v>
      </c>
      <c r="AC501" s="845" t="e">
        <f>SUM(Tabla1[[#This Row],[PRECIO $ BOLSA 50 KG (IVA INC) ]]+Tabla1[[#This Row],[COSTO FLETE $ BOLSA 50 KG (IVA INC)]])</f>
        <v>#VALUE!</v>
      </c>
      <c r="AD501" s="844" t="e">
        <f>-Tabla1[[#This Row],[PRECIO $ BOLSA 50 KG (IVA INC) ]]*(Tabla1[[#This Row],[TASA FINANCIACION MENSUAL]]/365)*Tabla1[[#This Row],[PLAZO ENTREGA VALORES]]</f>
        <v>#VALUE!</v>
      </c>
      <c r="AE501" s="845" t="e">
        <f>SUM(Tabla1[[#This Row],[PRECIO $ BOLSA50 KG  FOB TUCUMAN A PLAZO (IVA INC)]]+Tabla1[[#This Row],[GASTOS FINANCIEROS $ BOLSA 50 KG (IVA INC)]])</f>
        <v>#VALUE!</v>
      </c>
      <c r="AF501" s="828"/>
      <c r="AG501" s="828"/>
      <c r="AH501" s="828"/>
      <c r="AI501" s="828"/>
      <c r="AJ50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01" s="846" t="e">
        <f>SUM(Tabla1[[#This Row],[PRECIO $ BOLSA 50KG  FOB CDO TUC (IVA INC)]]-Tabla1[[#This Row],[PRECIO REF $ BOLSA 50 KG CACTU (IVA INC)]])</f>
        <v>#VALUE!</v>
      </c>
      <c r="AL501" s="847" t="str">
        <f>IFERROR(Tabla1[[#This Row],[PRECIO $ BOLSA 50KG  FOB CDO TUC (IVA INC)]]/Tabla1[[#This Row],[PRECIO REF $ BOLSA 50 KG CACTU (IVA INC)]]-1,"")</f>
        <v/>
      </c>
      <c r="AM501" s="846" t="e">
        <f>+Tabla1[[#This Row],[DIF $ PRECIO NETO INDUSTRIA vs Neto TUCUMAN (IVA INC)]]*Tabla1[[#This Row],[Q Bolsas Equivalentes 50kg]]</f>
        <v>#VALUE!</v>
      </c>
      <c r="AN501" s="846" t="e">
        <f>Tabla1[[#This Row],[PRECIO REF $ BOLSA 50 KG CACTU (IVA INC)]]*Tabla1[[#This Row],[Q Bolsas Equivalentes 50kg]]</f>
        <v>#VALUE!</v>
      </c>
      <c r="AO501" s="846" t="e">
        <f>+Tabla1[[#This Row],[PRECIO $ BOLSA 50KG  FOB CDO TUC (IVA INC)]]*Tabla1[[#This Row],[Q Bolsas Equivalentes 50kg]]</f>
        <v>#VALUE!</v>
      </c>
      <c r="AP501" s="847"/>
      <c r="AQ501" s="846">
        <v>0</v>
      </c>
      <c r="AR501" s="828"/>
      <c r="AS501" s="849"/>
      <c r="AT501" s="923">
        <f>+Tabla1[[#This Row],[VENTA TOTAL $ (IVA INC) ]]-(SUM(Tabla1[[#This Row],[PENDIENTE DE ENTREGA]:[VALORES COBRADOS]]))</f>
        <v>0</v>
      </c>
      <c r="AU501" s="850" t="e">
        <f>VLOOKUP(Tabla1[[#This Row],[FECHA OC]],'TIPO DE CAMBIO'!A:B,2,TRUE)</f>
        <v>#N/A</v>
      </c>
      <c r="AV501" s="850" t="e">
        <f>+Tabla1[[#This Row],[SUBTOTAL]]/Tabla1[[#This Row],[TIPO DE CAMBIO]]</f>
        <v>#N/A</v>
      </c>
      <c r="AW501" s="851"/>
      <c r="AX501" s="850" t="str">
        <f>IFERROR(Tabla1[[#This Row],[VENTA TOTAL USD A PLAZO EN CLIENTE  (SIN IVA)]]*(1+Tabla1[[#This Row],[% IVA ]]),"")</f>
        <v/>
      </c>
      <c r="AY501" s="850" t="e">
        <f>+Tabla1[[#This Row],[VENTA TOTAL USD A PLAZO EN CLIENTE  (SIN IVA)]]/Tabla1[[#This Row],[KGS]]*1000</f>
        <v>#N/A</v>
      </c>
      <c r="AZ501" s="850" t="e">
        <f>-Tabla1[[#This Row],[COSTO FLETE $ POR BOLSA 5O KG (SIN IVA)]]*20/Tabla1[[#This Row],[TIPO DE CAMBIO]]</f>
        <v>#N/A</v>
      </c>
      <c r="BA501" s="850" t="e">
        <f>+Tabla1[[#This Row],[GASTOS FINANCIEROS $ BOLSA 50 KG (IVA INC)]]*20/Tabla1[[#This Row],[TIPO DE CAMBIO]]</f>
        <v>#VALUE!</v>
      </c>
      <c r="BB501" s="850" t="e">
        <f>+Tabla1[[#This Row],[PRECIO POR TN USD EN CLIENTE A PLAZO (SIN IVA)]]+Tabla1[[#This Row],[COSTO USD FLETE /TN (SIN IVA)]]+Tabla1[[#This Row],[COSTO FINANCIERO USD POR BOLSA 50KG (IVA INC)]]</f>
        <v>#N/A</v>
      </c>
      <c r="BC501" s="828"/>
      <c r="BD501" s="944"/>
    </row>
    <row r="502" spans="1:56" ht="15.75" customHeight="1">
      <c r="A502" s="912">
        <v>46266</v>
      </c>
      <c r="B502" s="853"/>
      <c r="C502" s="792"/>
      <c r="D502" s="829">
        <f>+Tabla1[[#This Row],[FECHA Entrega]]</f>
        <v>0</v>
      </c>
      <c r="E502" s="830"/>
      <c r="F502" s="831"/>
      <c r="G502" s="832"/>
      <c r="H502" s="852"/>
      <c r="I502" s="834"/>
      <c r="J502" s="835"/>
      <c r="K502" s="836">
        <f t="shared" si="142"/>
        <v>0</v>
      </c>
      <c r="L50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02" s="837">
        <f t="shared" si="144"/>
        <v>0</v>
      </c>
      <c r="N502" s="838">
        <f>+Tabla1[[#This Row],[VENTA TOTAL $ (IVA INC) ]]</f>
        <v>0</v>
      </c>
      <c r="O502" s="838">
        <v>0</v>
      </c>
      <c r="P502" s="838">
        <v>0</v>
      </c>
      <c r="Q502" s="839">
        <f>+Tabla1[[#This Row],[VENTA TOTAL $ (IVA INC) ]]-Tabla1[[#This Row],[PENDIENTE DE COBRO]]</f>
        <v>0</v>
      </c>
      <c r="R502" s="840">
        <f>+Tabla1[[#This Row],[FECHA FC]]+Tabla1[[#This Row],[PLAZO ENTREGA VALORES]]</f>
        <v>0</v>
      </c>
      <c r="S502" s="840">
        <f>+Tabla1[[#This Row],[FECHA FC]]+Tabla1[[#This Row],[PLAZO PAGO (DIAS)]]</f>
        <v>0</v>
      </c>
      <c r="T502" s="834">
        <f t="shared" ca="1" si="143"/>
        <v>-46181</v>
      </c>
      <c r="U502" s="831"/>
      <c r="V502" s="831"/>
      <c r="W502" s="841">
        <f>+Tabla1[[#This Row],[FECHA VTO VALORES]]+7</f>
        <v>7</v>
      </c>
      <c r="X502" s="830"/>
      <c r="Y502" s="859"/>
      <c r="Z502" s="860">
        <f>Tabla1[[#This Row],[KGS]]/50</f>
        <v>0</v>
      </c>
      <c r="AA50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02" s="844">
        <f>-Tabla1[[#This Row],[COSTO FLETE $ POR BOLSA 5O KG (SIN IVA)]]*1.21-Tabla1[[#This Row],[PRECIO $/ KG A PLAZO EN CLIENTE ( SIN IVA)]]*0.003*1.21*50</f>
        <v>0</v>
      </c>
      <c r="AC502" s="845" t="e">
        <f>SUM(Tabla1[[#This Row],[PRECIO $ BOLSA 50 KG (IVA INC) ]]+Tabla1[[#This Row],[COSTO FLETE $ BOLSA 50 KG (IVA INC)]])</f>
        <v>#VALUE!</v>
      </c>
      <c r="AD502" s="844" t="e">
        <f>-Tabla1[[#This Row],[PRECIO $ BOLSA 50 KG (IVA INC) ]]*(Tabla1[[#This Row],[TASA FINANCIACION MENSUAL]]/365)*Tabla1[[#This Row],[PLAZO ENTREGA VALORES]]</f>
        <v>#VALUE!</v>
      </c>
      <c r="AE502" s="845" t="e">
        <f>SUM(Tabla1[[#This Row],[PRECIO $ BOLSA50 KG  FOB TUCUMAN A PLAZO (IVA INC)]]+Tabla1[[#This Row],[GASTOS FINANCIEROS $ BOLSA 50 KG (IVA INC)]])</f>
        <v>#VALUE!</v>
      </c>
      <c r="AF502" s="828"/>
      <c r="AG502" s="828"/>
      <c r="AH502" s="828"/>
      <c r="AI502" s="828"/>
      <c r="AJ50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02" s="846" t="e">
        <f>SUM(Tabla1[[#This Row],[PRECIO $ BOLSA 50KG  FOB CDO TUC (IVA INC)]]-Tabla1[[#This Row],[PRECIO REF $ BOLSA 50 KG CACTU (IVA INC)]])</f>
        <v>#VALUE!</v>
      </c>
      <c r="AL502" s="847" t="str">
        <f>IFERROR(Tabla1[[#This Row],[PRECIO $ BOLSA 50KG  FOB CDO TUC (IVA INC)]]/Tabla1[[#This Row],[PRECIO REF $ BOLSA 50 KG CACTU (IVA INC)]]-1,"")</f>
        <v/>
      </c>
      <c r="AM502" s="846" t="e">
        <f>+Tabla1[[#This Row],[DIF $ PRECIO NETO INDUSTRIA vs Neto TUCUMAN (IVA INC)]]*Tabla1[[#This Row],[Q Bolsas Equivalentes 50kg]]</f>
        <v>#VALUE!</v>
      </c>
      <c r="AN502" s="846" t="e">
        <f>Tabla1[[#This Row],[PRECIO REF $ BOLSA 50 KG CACTU (IVA INC)]]*Tabla1[[#This Row],[Q Bolsas Equivalentes 50kg]]</f>
        <v>#VALUE!</v>
      </c>
      <c r="AO502" s="846" t="e">
        <f>+Tabla1[[#This Row],[PRECIO $ BOLSA 50KG  FOB CDO TUC (IVA INC)]]*Tabla1[[#This Row],[Q Bolsas Equivalentes 50kg]]</f>
        <v>#VALUE!</v>
      </c>
      <c r="AP502" s="847"/>
      <c r="AQ502" s="846">
        <v>0</v>
      </c>
      <c r="AR502" s="828"/>
      <c r="AS502" s="849"/>
      <c r="AT502" s="923">
        <f>+Tabla1[[#This Row],[VENTA TOTAL $ (IVA INC) ]]-(SUM(Tabla1[[#This Row],[PENDIENTE DE ENTREGA]:[VALORES COBRADOS]]))</f>
        <v>0</v>
      </c>
      <c r="AU502" s="850" t="e">
        <f>VLOOKUP(Tabla1[[#This Row],[FECHA OC]],'TIPO DE CAMBIO'!A:B,2,TRUE)</f>
        <v>#N/A</v>
      </c>
      <c r="AV502" s="850" t="e">
        <f>+Tabla1[[#This Row],[SUBTOTAL]]/Tabla1[[#This Row],[TIPO DE CAMBIO]]</f>
        <v>#N/A</v>
      </c>
      <c r="AW502" s="851"/>
      <c r="AX502" s="850" t="str">
        <f>IFERROR(Tabla1[[#This Row],[VENTA TOTAL USD A PLAZO EN CLIENTE  (SIN IVA)]]*(1+Tabla1[[#This Row],[% IVA ]]),"")</f>
        <v/>
      </c>
      <c r="AY502" s="850" t="e">
        <f>+Tabla1[[#This Row],[VENTA TOTAL USD A PLAZO EN CLIENTE  (SIN IVA)]]/Tabla1[[#This Row],[KGS]]*1000</f>
        <v>#N/A</v>
      </c>
      <c r="AZ502" s="850" t="e">
        <f>-Tabla1[[#This Row],[COSTO FLETE $ POR BOLSA 5O KG (SIN IVA)]]*20/Tabla1[[#This Row],[TIPO DE CAMBIO]]</f>
        <v>#N/A</v>
      </c>
      <c r="BA502" s="850" t="e">
        <f>+Tabla1[[#This Row],[GASTOS FINANCIEROS $ BOLSA 50 KG (IVA INC)]]*20/Tabla1[[#This Row],[TIPO DE CAMBIO]]</f>
        <v>#VALUE!</v>
      </c>
      <c r="BB502" s="850" t="e">
        <f>+Tabla1[[#This Row],[PRECIO POR TN USD EN CLIENTE A PLAZO (SIN IVA)]]+Tabla1[[#This Row],[COSTO USD FLETE /TN (SIN IVA)]]+Tabla1[[#This Row],[COSTO FINANCIERO USD POR BOLSA 50KG (IVA INC)]]</f>
        <v>#N/A</v>
      </c>
      <c r="BC502" s="828"/>
      <c r="BD502" s="944"/>
    </row>
    <row r="503" spans="1:56" ht="15.75" customHeight="1">
      <c r="A503" s="912">
        <v>46266</v>
      </c>
      <c r="B503" s="853"/>
      <c r="C503" s="792"/>
      <c r="D503" s="829">
        <f>+Tabla1[[#This Row],[FECHA Entrega]]</f>
        <v>0</v>
      </c>
      <c r="E503" s="830"/>
      <c r="F503" s="831"/>
      <c r="G503" s="832"/>
      <c r="H503" s="852"/>
      <c r="I503" s="834"/>
      <c r="J503" s="835"/>
      <c r="K503" s="836">
        <f t="shared" si="142"/>
        <v>0</v>
      </c>
      <c r="L50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03" s="837">
        <f t="shared" si="144"/>
        <v>0</v>
      </c>
      <c r="N503" s="838">
        <f>+Tabla1[[#This Row],[VENTA TOTAL $ (IVA INC) ]]</f>
        <v>0</v>
      </c>
      <c r="O503" s="838">
        <v>0</v>
      </c>
      <c r="P503" s="838">
        <v>0</v>
      </c>
      <c r="Q503" s="839">
        <f>+Tabla1[[#This Row],[VENTA TOTAL $ (IVA INC) ]]-Tabla1[[#This Row],[PENDIENTE DE COBRO]]</f>
        <v>0</v>
      </c>
      <c r="R503" s="840">
        <f>+Tabla1[[#This Row],[FECHA FC]]+Tabla1[[#This Row],[PLAZO ENTREGA VALORES]]</f>
        <v>0</v>
      </c>
      <c r="S503" s="840">
        <f>+Tabla1[[#This Row],[FECHA FC]]+Tabla1[[#This Row],[PLAZO PAGO (DIAS)]]</f>
        <v>0</v>
      </c>
      <c r="T503" s="834">
        <f t="shared" ca="1" si="143"/>
        <v>-46181</v>
      </c>
      <c r="U503" s="831"/>
      <c r="V503" s="831"/>
      <c r="W503" s="841">
        <f>+Tabla1[[#This Row],[FECHA VTO VALORES]]+7</f>
        <v>7</v>
      </c>
      <c r="X503" s="830"/>
      <c r="Y503" s="859"/>
      <c r="Z503" s="860">
        <f>Tabla1[[#This Row],[KGS]]/50</f>
        <v>0</v>
      </c>
      <c r="AA50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03" s="844">
        <f>-Tabla1[[#This Row],[COSTO FLETE $ POR BOLSA 5O KG (SIN IVA)]]*1.21-Tabla1[[#This Row],[PRECIO $/ KG A PLAZO EN CLIENTE ( SIN IVA)]]*0.003*1.21*50</f>
        <v>0</v>
      </c>
      <c r="AC503" s="845" t="e">
        <f>SUM(Tabla1[[#This Row],[PRECIO $ BOLSA 50 KG (IVA INC) ]]+Tabla1[[#This Row],[COSTO FLETE $ BOLSA 50 KG (IVA INC)]])</f>
        <v>#VALUE!</v>
      </c>
      <c r="AD503" s="844" t="e">
        <f>-Tabla1[[#This Row],[PRECIO $ BOLSA 50 KG (IVA INC) ]]*(Tabla1[[#This Row],[TASA FINANCIACION MENSUAL]]/365)*Tabla1[[#This Row],[PLAZO ENTREGA VALORES]]</f>
        <v>#VALUE!</v>
      </c>
      <c r="AE503" s="845" t="e">
        <f>SUM(Tabla1[[#This Row],[PRECIO $ BOLSA50 KG  FOB TUCUMAN A PLAZO (IVA INC)]]+Tabla1[[#This Row],[GASTOS FINANCIEROS $ BOLSA 50 KG (IVA INC)]])</f>
        <v>#VALUE!</v>
      </c>
      <c r="AF503" s="828"/>
      <c r="AG503" s="828"/>
      <c r="AH503" s="828"/>
      <c r="AI503" s="828"/>
      <c r="AJ50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03" s="846" t="e">
        <f>SUM(Tabla1[[#This Row],[PRECIO $ BOLSA 50KG  FOB CDO TUC (IVA INC)]]-Tabla1[[#This Row],[PRECIO REF $ BOLSA 50 KG CACTU (IVA INC)]])</f>
        <v>#VALUE!</v>
      </c>
      <c r="AL503" s="847" t="str">
        <f>IFERROR(Tabla1[[#This Row],[PRECIO $ BOLSA 50KG  FOB CDO TUC (IVA INC)]]/Tabla1[[#This Row],[PRECIO REF $ BOLSA 50 KG CACTU (IVA INC)]]-1,"")</f>
        <v/>
      </c>
      <c r="AM503" s="846" t="e">
        <f>+Tabla1[[#This Row],[DIF $ PRECIO NETO INDUSTRIA vs Neto TUCUMAN (IVA INC)]]*Tabla1[[#This Row],[Q Bolsas Equivalentes 50kg]]</f>
        <v>#VALUE!</v>
      </c>
      <c r="AN503" s="846" t="e">
        <f>Tabla1[[#This Row],[PRECIO REF $ BOLSA 50 KG CACTU (IVA INC)]]*Tabla1[[#This Row],[Q Bolsas Equivalentes 50kg]]</f>
        <v>#VALUE!</v>
      </c>
      <c r="AO503" s="846" t="e">
        <f>+Tabla1[[#This Row],[PRECIO $ BOLSA 50KG  FOB CDO TUC (IVA INC)]]*Tabla1[[#This Row],[Q Bolsas Equivalentes 50kg]]</f>
        <v>#VALUE!</v>
      </c>
      <c r="AP503" s="847"/>
      <c r="AQ503" s="846">
        <v>0</v>
      </c>
      <c r="AR503" s="828"/>
      <c r="AS503" s="849"/>
      <c r="AT503" s="923">
        <f>+Tabla1[[#This Row],[VENTA TOTAL $ (IVA INC) ]]-(SUM(Tabla1[[#This Row],[PENDIENTE DE ENTREGA]:[VALORES COBRADOS]]))</f>
        <v>0</v>
      </c>
      <c r="AU503" s="850" t="e">
        <f>VLOOKUP(Tabla1[[#This Row],[FECHA OC]],'TIPO DE CAMBIO'!A:B,2,TRUE)</f>
        <v>#N/A</v>
      </c>
      <c r="AV503" s="850" t="e">
        <f>+Tabla1[[#This Row],[SUBTOTAL]]/Tabla1[[#This Row],[TIPO DE CAMBIO]]</f>
        <v>#N/A</v>
      </c>
      <c r="AW503" s="851"/>
      <c r="AX503" s="850" t="str">
        <f>IFERROR(Tabla1[[#This Row],[VENTA TOTAL USD A PLAZO EN CLIENTE  (SIN IVA)]]*(1+Tabla1[[#This Row],[% IVA ]]),"")</f>
        <v/>
      </c>
      <c r="AY503" s="850" t="e">
        <f>+Tabla1[[#This Row],[VENTA TOTAL USD A PLAZO EN CLIENTE  (SIN IVA)]]/Tabla1[[#This Row],[KGS]]*1000</f>
        <v>#N/A</v>
      </c>
      <c r="AZ503" s="850" t="e">
        <f>-Tabla1[[#This Row],[COSTO FLETE $ POR BOLSA 5O KG (SIN IVA)]]*20/Tabla1[[#This Row],[TIPO DE CAMBIO]]</f>
        <v>#N/A</v>
      </c>
      <c r="BA503" s="850" t="e">
        <f>+Tabla1[[#This Row],[GASTOS FINANCIEROS $ BOLSA 50 KG (IVA INC)]]*20/Tabla1[[#This Row],[TIPO DE CAMBIO]]</f>
        <v>#VALUE!</v>
      </c>
      <c r="BB503" s="850" t="e">
        <f>+Tabla1[[#This Row],[PRECIO POR TN USD EN CLIENTE A PLAZO (SIN IVA)]]+Tabla1[[#This Row],[COSTO USD FLETE /TN (SIN IVA)]]+Tabla1[[#This Row],[COSTO FINANCIERO USD POR BOLSA 50KG (IVA INC)]]</f>
        <v>#N/A</v>
      </c>
      <c r="BC503" s="828"/>
      <c r="BD503" s="944"/>
    </row>
    <row r="504" spans="1:56" ht="15.75" customHeight="1">
      <c r="A504" s="912">
        <v>46266</v>
      </c>
      <c r="B504" s="853"/>
      <c r="C504" s="792"/>
      <c r="D504" s="829">
        <f>+Tabla1[[#This Row],[FECHA Entrega]]</f>
        <v>0</v>
      </c>
      <c r="E504" s="830"/>
      <c r="F504" s="831"/>
      <c r="G504" s="832"/>
      <c r="H504" s="852"/>
      <c r="I504" s="834"/>
      <c r="J504" s="835"/>
      <c r="K504" s="836">
        <f t="shared" si="142"/>
        <v>0</v>
      </c>
      <c r="L50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04" s="837">
        <f t="shared" si="144"/>
        <v>0</v>
      </c>
      <c r="N504" s="838">
        <f>+Tabla1[[#This Row],[VENTA TOTAL $ (IVA INC) ]]</f>
        <v>0</v>
      </c>
      <c r="O504" s="838">
        <v>0</v>
      </c>
      <c r="P504" s="838">
        <v>0</v>
      </c>
      <c r="Q504" s="839">
        <f>+Tabla1[[#This Row],[VENTA TOTAL $ (IVA INC) ]]-Tabla1[[#This Row],[PENDIENTE DE COBRO]]</f>
        <v>0</v>
      </c>
      <c r="R504" s="840">
        <f>+Tabla1[[#This Row],[FECHA FC]]+Tabla1[[#This Row],[PLAZO ENTREGA VALORES]]</f>
        <v>0</v>
      </c>
      <c r="S504" s="840">
        <f>+Tabla1[[#This Row],[FECHA FC]]+Tabla1[[#This Row],[PLAZO PAGO (DIAS)]]</f>
        <v>0</v>
      </c>
      <c r="T504" s="834">
        <f t="shared" ca="1" si="143"/>
        <v>-46181</v>
      </c>
      <c r="U504" s="831"/>
      <c r="V504" s="831"/>
      <c r="W504" s="841">
        <f>+Tabla1[[#This Row],[FECHA VTO VALORES]]+7</f>
        <v>7</v>
      </c>
      <c r="X504" s="830"/>
      <c r="Y504" s="859"/>
      <c r="Z504" s="860">
        <f>Tabla1[[#This Row],[KGS]]/50</f>
        <v>0</v>
      </c>
      <c r="AA50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04" s="844">
        <f>-Tabla1[[#This Row],[COSTO FLETE $ POR BOLSA 5O KG (SIN IVA)]]*1.21-Tabla1[[#This Row],[PRECIO $/ KG A PLAZO EN CLIENTE ( SIN IVA)]]*0.003*1.21*50</f>
        <v>0</v>
      </c>
      <c r="AC504" s="845" t="e">
        <f>SUM(Tabla1[[#This Row],[PRECIO $ BOLSA 50 KG (IVA INC) ]]+Tabla1[[#This Row],[COSTO FLETE $ BOLSA 50 KG (IVA INC)]])</f>
        <v>#VALUE!</v>
      </c>
      <c r="AD504" s="844" t="e">
        <f>-Tabla1[[#This Row],[PRECIO $ BOLSA 50 KG (IVA INC) ]]*(Tabla1[[#This Row],[TASA FINANCIACION MENSUAL]]/365)*Tabla1[[#This Row],[PLAZO ENTREGA VALORES]]</f>
        <v>#VALUE!</v>
      </c>
      <c r="AE504" s="845" t="e">
        <f>SUM(Tabla1[[#This Row],[PRECIO $ BOLSA50 KG  FOB TUCUMAN A PLAZO (IVA INC)]]+Tabla1[[#This Row],[GASTOS FINANCIEROS $ BOLSA 50 KG (IVA INC)]])</f>
        <v>#VALUE!</v>
      </c>
      <c r="AF504" s="828"/>
      <c r="AG504" s="828"/>
      <c r="AH504" s="828"/>
      <c r="AI504" s="828"/>
      <c r="AJ50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04" s="846" t="e">
        <f>SUM(Tabla1[[#This Row],[PRECIO $ BOLSA 50KG  FOB CDO TUC (IVA INC)]]-Tabla1[[#This Row],[PRECIO REF $ BOLSA 50 KG CACTU (IVA INC)]])</f>
        <v>#VALUE!</v>
      </c>
      <c r="AL504" s="847" t="str">
        <f>IFERROR(Tabla1[[#This Row],[PRECIO $ BOLSA 50KG  FOB CDO TUC (IVA INC)]]/Tabla1[[#This Row],[PRECIO REF $ BOLSA 50 KG CACTU (IVA INC)]]-1,"")</f>
        <v/>
      </c>
      <c r="AM504" s="846" t="e">
        <f>+Tabla1[[#This Row],[DIF $ PRECIO NETO INDUSTRIA vs Neto TUCUMAN (IVA INC)]]*Tabla1[[#This Row],[Q Bolsas Equivalentes 50kg]]</f>
        <v>#VALUE!</v>
      </c>
      <c r="AN504" s="846" t="e">
        <f>Tabla1[[#This Row],[PRECIO REF $ BOLSA 50 KG CACTU (IVA INC)]]*Tabla1[[#This Row],[Q Bolsas Equivalentes 50kg]]</f>
        <v>#VALUE!</v>
      </c>
      <c r="AO504" s="846" t="e">
        <f>+Tabla1[[#This Row],[PRECIO $ BOLSA 50KG  FOB CDO TUC (IVA INC)]]*Tabla1[[#This Row],[Q Bolsas Equivalentes 50kg]]</f>
        <v>#VALUE!</v>
      </c>
      <c r="AP504" s="847"/>
      <c r="AQ504" s="846">
        <v>0</v>
      </c>
      <c r="AR504" s="828"/>
      <c r="AS504" s="849"/>
      <c r="AT504" s="923">
        <f>+Tabla1[[#This Row],[VENTA TOTAL $ (IVA INC) ]]-(SUM(Tabla1[[#This Row],[PENDIENTE DE ENTREGA]:[VALORES COBRADOS]]))</f>
        <v>0</v>
      </c>
      <c r="AU504" s="850" t="e">
        <f>VLOOKUP(Tabla1[[#This Row],[FECHA OC]],'TIPO DE CAMBIO'!A:B,2,TRUE)</f>
        <v>#N/A</v>
      </c>
      <c r="AV504" s="850" t="e">
        <f>+Tabla1[[#This Row],[SUBTOTAL]]/Tabla1[[#This Row],[TIPO DE CAMBIO]]</f>
        <v>#N/A</v>
      </c>
      <c r="AW504" s="851"/>
      <c r="AX504" s="850" t="str">
        <f>IFERROR(Tabla1[[#This Row],[VENTA TOTAL USD A PLAZO EN CLIENTE  (SIN IVA)]]*(1+Tabla1[[#This Row],[% IVA ]]),"")</f>
        <v/>
      </c>
      <c r="AY504" s="850" t="e">
        <f>+Tabla1[[#This Row],[VENTA TOTAL USD A PLAZO EN CLIENTE  (SIN IVA)]]/Tabla1[[#This Row],[KGS]]*1000</f>
        <v>#N/A</v>
      </c>
      <c r="AZ504" s="850" t="e">
        <f>-Tabla1[[#This Row],[COSTO FLETE $ POR BOLSA 5O KG (SIN IVA)]]*20/Tabla1[[#This Row],[TIPO DE CAMBIO]]</f>
        <v>#N/A</v>
      </c>
      <c r="BA504" s="850" t="e">
        <f>+Tabla1[[#This Row],[GASTOS FINANCIEROS $ BOLSA 50 KG (IVA INC)]]*20/Tabla1[[#This Row],[TIPO DE CAMBIO]]</f>
        <v>#VALUE!</v>
      </c>
      <c r="BB504" s="850" t="e">
        <f>+Tabla1[[#This Row],[PRECIO POR TN USD EN CLIENTE A PLAZO (SIN IVA)]]+Tabla1[[#This Row],[COSTO USD FLETE /TN (SIN IVA)]]+Tabla1[[#This Row],[COSTO FINANCIERO USD POR BOLSA 50KG (IVA INC)]]</f>
        <v>#N/A</v>
      </c>
      <c r="BC504" s="828"/>
      <c r="BD504" s="944"/>
    </row>
    <row r="505" spans="1:56" ht="15.75" customHeight="1">
      <c r="A505" s="912">
        <v>46266</v>
      </c>
      <c r="B505" s="853"/>
      <c r="C505" s="792"/>
      <c r="D505" s="829">
        <f>+Tabla1[[#This Row],[FECHA Entrega]]</f>
        <v>0</v>
      </c>
      <c r="E505" s="830"/>
      <c r="F505" s="831"/>
      <c r="G505" s="832"/>
      <c r="H505" s="852"/>
      <c r="I505" s="834"/>
      <c r="J505" s="835"/>
      <c r="K505" s="836">
        <f t="shared" si="142"/>
        <v>0</v>
      </c>
      <c r="L50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05" s="837">
        <f t="shared" si="144"/>
        <v>0</v>
      </c>
      <c r="N505" s="838">
        <f>+Tabla1[[#This Row],[VENTA TOTAL $ (IVA INC) ]]</f>
        <v>0</v>
      </c>
      <c r="O505" s="838">
        <v>0</v>
      </c>
      <c r="P505" s="838">
        <v>0</v>
      </c>
      <c r="Q505" s="839">
        <f>+Tabla1[[#This Row],[VENTA TOTAL $ (IVA INC) ]]-Tabla1[[#This Row],[PENDIENTE DE COBRO]]</f>
        <v>0</v>
      </c>
      <c r="R505" s="840">
        <f>+Tabla1[[#This Row],[FECHA FC]]+Tabla1[[#This Row],[PLAZO ENTREGA VALORES]]</f>
        <v>0</v>
      </c>
      <c r="S505" s="840">
        <f>+Tabla1[[#This Row],[FECHA FC]]+Tabla1[[#This Row],[PLAZO PAGO (DIAS)]]</f>
        <v>0</v>
      </c>
      <c r="T505" s="834">
        <f t="shared" ca="1" si="143"/>
        <v>-46181</v>
      </c>
      <c r="U505" s="831"/>
      <c r="V505" s="831"/>
      <c r="W505" s="841">
        <f>+S505+7</f>
        <v>7</v>
      </c>
      <c r="X505" s="830"/>
      <c r="Y505" s="859"/>
      <c r="Z505" s="860">
        <f>Tabla1[[#This Row],[KGS]]/50</f>
        <v>0</v>
      </c>
      <c r="AA50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05" s="844">
        <f>-Tabla1[[#This Row],[COSTO FLETE $ POR BOLSA 5O KG (SIN IVA)]]*1.21-Tabla1[[#This Row],[PRECIO $/ KG A PLAZO EN CLIENTE ( SIN IVA)]]*0.003*1.21*50</f>
        <v>0</v>
      </c>
      <c r="AC505" s="845" t="e">
        <f>SUM(Tabla1[[#This Row],[PRECIO $ BOLSA 50 KG (IVA INC) ]]+Tabla1[[#This Row],[COSTO FLETE $ BOLSA 50 KG (IVA INC)]])</f>
        <v>#VALUE!</v>
      </c>
      <c r="AD505" s="844" t="e">
        <f>-Tabla1[[#This Row],[PRECIO $ BOLSA 50 KG (IVA INC) ]]*(Tabla1[[#This Row],[TASA FINANCIACION MENSUAL]]/365)*Tabla1[[#This Row],[PLAZO ENTREGA VALORES]]</f>
        <v>#VALUE!</v>
      </c>
      <c r="AE505" s="845" t="e">
        <f>SUM(Tabla1[[#This Row],[PRECIO $ BOLSA50 KG  FOB TUCUMAN A PLAZO (IVA INC)]]+Tabla1[[#This Row],[GASTOS FINANCIEROS $ BOLSA 50 KG (IVA INC)]])</f>
        <v>#VALUE!</v>
      </c>
      <c r="AF505" s="828"/>
      <c r="AG505" s="828"/>
      <c r="AH505" s="828"/>
      <c r="AI505" s="828"/>
      <c r="AJ50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05" s="846" t="e">
        <f>SUM(Tabla1[[#This Row],[PRECIO $ BOLSA 50KG  FOB CDO TUC (IVA INC)]]-Tabla1[[#This Row],[PRECIO REF $ BOLSA 50 KG CACTU (IVA INC)]])</f>
        <v>#VALUE!</v>
      </c>
      <c r="AL505" s="847" t="str">
        <f>IFERROR(Tabla1[[#This Row],[PRECIO $ BOLSA 50KG  FOB CDO TUC (IVA INC)]]/Tabla1[[#This Row],[PRECIO REF $ BOLSA 50 KG CACTU (IVA INC)]]-1,"")</f>
        <v/>
      </c>
      <c r="AM505" s="846" t="e">
        <f>+Tabla1[[#This Row],[DIF $ PRECIO NETO INDUSTRIA vs Neto TUCUMAN (IVA INC)]]*Tabla1[[#This Row],[Q Bolsas Equivalentes 50kg]]</f>
        <v>#VALUE!</v>
      </c>
      <c r="AN505" s="846" t="e">
        <f>Tabla1[[#This Row],[PRECIO REF $ BOLSA 50 KG CACTU (IVA INC)]]*Tabla1[[#This Row],[Q Bolsas Equivalentes 50kg]]</f>
        <v>#VALUE!</v>
      </c>
      <c r="AO505" s="846" t="e">
        <f>+Tabla1[[#This Row],[PRECIO $ BOLSA 50KG  FOB CDO TUC (IVA INC)]]*Tabla1[[#This Row],[Q Bolsas Equivalentes 50kg]]</f>
        <v>#VALUE!</v>
      </c>
      <c r="AP505" s="847"/>
      <c r="AQ505" s="846">
        <v>0</v>
      </c>
      <c r="AR505" s="828"/>
      <c r="AS505" s="849"/>
      <c r="AT505" s="923">
        <f>+Tabla1[[#This Row],[VENTA TOTAL $ (IVA INC) ]]-(SUM(Tabla1[[#This Row],[PENDIENTE DE ENTREGA]:[VALORES COBRADOS]]))</f>
        <v>0</v>
      </c>
      <c r="AU505" s="850" t="e">
        <f>VLOOKUP(Tabla1[[#This Row],[FECHA OC]],'TIPO DE CAMBIO'!A:B,2,TRUE)</f>
        <v>#N/A</v>
      </c>
      <c r="AV505" s="850" t="e">
        <f>+Tabla1[[#This Row],[SUBTOTAL]]/Tabla1[[#This Row],[TIPO DE CAMBIO]]</f>
        <v>#N/A</v>
      </c>
      <c r="AW505" s="851"/>
      <c r="AX505" s="850" t="str">
        <f>IFERROR(Tabla1[[#This Row],[VENTA TOTAL USD A PLAZO EN CLIENTE  (SIN IVA)]]*(1+Tabla1[[#This Row],[% IVA ]]),"")</f>
        <v/>
      </c>
      <c r="AY505" s="850" t="e">
        <f>+Tabla1[[#This Row],[VENTA TOTAL USD A PLAZO EN CLIENTE  (SIN IVA)]]/Tabla1[[#This Row],[KGS]]*1000</f>
        <v>#N/A</v>
      </c>
      <c r="AZ505" s="850" t="e">
        <f>-Tabla1[[#This Row],[COSTO FLETE $ POR BOLSA 5O KG (SIN IVA)]]*20/Tabla1[[#This Row],[TIPO DE CAMBIO]]</f>
        <v>#N/A</v>
      </c>
      <c r="BA505" s="850" t="e">
        <f>+Tabla1[[#This Row],[GASTOS FINANCIEROS $ BOLSA 50 KG (IVA INC)]]*20/Tabla1[[#This Row],[TIPO DE CAMBIO]]</f>
        <v>#VALUE!</v>
      </c>
      <c r="BB505" s="850" t="e">
        <f>+Tabla1[[#This Row],[PRECIO POR TN USD EN CLIENTE A PLAZO (SIN IVA)]]+Tabla1[[#This Row],[COSTO USD FLETE /TN (SIN IVA)]]+Tabla1[[#This Row],[COSTO FINANCIERO USD POR BOLSA 50KG (IVA INC)]]</f>
        <v>#N/A</v>
      </c>
      <c r="BC505" s="828"/>
      <c r="BD505" s="944"/>
    </row>
    <row r="506" spans="1:56" ht="15.75" customHeight="1">
      <c r="A506" s="912">
        <v>46266</v>
      </c>
      <c r="B506" s="853"/>
      <c r="C506" s="792"/>
      <c r="D506" s="829">
        <f>+Tabla1[[#This Row],[FECHA Entrega]]</f>
        <v>0</v>
      </c>
      <c r="E506" s="830"/>
      <c r="F506" s="831"/>
      <c r="G506" s="832"/>
      <c r="H506" s="852"/>
      <c r="I506" s="834"/>
      <c r="J506" s="835"/>
      <c r="K506" s="836">
        <f t="shared" si="142"/>
        <v>0</v>
      </c>
      <c r="L50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06" s="837">
        <f t="shared" si="144"/>
        <v>0</v>
      </c>
      <c r="N506" s="838">
        <f>+Tabla1[[#This Row],[VENTA TOTAL $ (IVA INC) ]]</f>
        <v>0</v>
      </c>
      <c r="O506" s="838">
        <v>0</v>
      </c>
      <c r="P506" s="838">
        <v>0</v>
      </c>
      <c r="Q506" s="839">
        <f>+Tabla1[[#This Row],[VENTA TOTAL $ (IVA INC) ]]-Tabla1[[#This Row],[PENDIENTE DE COBRO]]</f>
        <v>0</v>
      </c>
      <c r="R506" s="840">
        <f>+Tabla1[[#This Row],[FECHA FC]]+Tabla1[[#This Row],[PLAZO ENTREGA VALORES]]</f>
        <v>0</v>
      </c>
      <c r="S506" s="840">
        <f>+Tabla1[[#This Row],[FECHA FC]]+Tabla1[[#This Row],[PLAZO PAGO (DIAS)]]</f>
        <v>0</v>
      </c>
      <c r="T506" s="834">
        <f t="shared" ca="1" si="143"/>
        <v>-46181</v>
      </c>
      <c r="U506" s="831"/>
      <c r="V506" s="831"/>
      <c r="W506" s="841">
        <f>+S506+7</f>
        <v>7</v>
      </c>
      <c r="X506" s="830"/>
      <c r="Y506" s="859"/>
      <c r="Z506" s="860">
        <f>Tabla1[[#This Row],[KGS]]/50</f>
        <v>0</v>
      </c>
      <c r="AA50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06" s="844">
        <f>-Tabla1[[#This Row],[COSTO FLETE $ POR BOLSA 5O KG (SIN IVA)]]*1.21-Tabla1[[#This Row],[PRECIO $/ KG A PLAZO EN CLIENTE ( SIN IVA)]]*0.003*1.21*50</f>
        <v>0</v>
      </c>
      <c r="AC506" s="845" t="e">
        <f>SUM(Tabla1[[#This Row],[PRECIO $ BOLSA 50 KG (IVA INC) ]]+Tabla1[[#This Row],[COSTO FLETE $ BOLSA 50 KG (IVA INC)]])</f>
        <v>#VALUE!</v>
      </c>
      <c r="AD506" s="844" t="e">
        <f>-Tabla1[[#This Row],[PRECIO $ BOLSA 50 KG (IVA INC) ]]*(Tabla1[[#This Row],[TASA FINANCIACION MENSUAL]]/365)*Tabla1[[#This Row],[PLAZO ENTREGA VALORES]]</f>
        <v>#VALUE!</v>
      </c>
      <c r="AE506" s="845" t="e">
        <f>SUM(Tabla1[[#This Row],[PRECIO $ BOLSA50 KG  FOB TUCUMAN A PLAZO (IVA INC)]]+Tabla1[[#This Row],[GASTOS FINANCIEROS $ BOLSA 50 KG (IVA INC)]])</f>
        <v>#VALUE!</v>
      </c>
      <c r="AF506" s="828"/>
      <c r="AG506" s="828"/>
      <c r="AH506" s="828"/>
      <c r="AI506" s="828"/>
      <c r="AJ50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06" s="846" t="e">
        <f>SUM(Tabla1[[#This Row],[PRECIO $ BOLSA 50KG  FOB CDO TUC (IVA INC)]]-Tabla1[[#This Row],[PRECIO REF $ BOLSA 50 KG CACTU (IVA INC)]])</f>
        <v>#VALUE!</v>
      </c>
      <c r="AL506" s="847" t="str">
        <f>IFERROR(Tabla1[[#This Row],[PRECIO $ BOLSA 50KG  FOB CDO TUC (IVA INC)]]/Tabla1[[#This Row],[PRECIO REF $ BOLSA 50 KG CACTU (IVA INC)]]-1,"")</f>
        <v/>
      </c>
      <c r="AM506" s="846" t="e">
        <f>+Tabla1[[#This Row],[DIF $ PRECIO NETO INDUSTRIA vs Neto TUCUMAN (IVA INC)]]*Tabla1[[#This Row],[Q Bolsas Equivalentes 50kg]]</f>
        <v>#VALUE!</v>
      </c>
      <c r="AN506" s="846" t="e">
        <f>Tabla1[[#This Row],[PRECIO REF $ BOLSA 50 KG CACTU (IVA INC)]]*Tabla1[[#This Row],[Q Bolsas Equivalentes 50kg]]</f>
        <v>#VALUE!</v>
      </c>
      <c r="AO506" s="846" t="e">
        <f>+Tabla1[[#This Row],[PRECIO $ BOLSA 50KG  FOB CDO TUC (IVA INC)]]*Tabla1[[#This Row],[Q Bolsas Equivalentes 50kg]]</f>
        <v>#VALUE!</v>
      </c>
      <c r="AP506" s="847"/>
      <c r="AQ506" s="846">
        <v>0</v>
      </c>
      <c r="AR506" s="828"/>
      <c r="AS506" s="849"/>
      <c r="AT506" s="923">
        <f>+Tabla1[[#This Row],[VENTA TOTAL $ (IVA INC) ]]-(SUM(Tabla1[[#This Row],[PENDIENTE DE ENTREGA]:[VALORES COBRADOS]]))</f>
        <v>0</v>
      </c>
      <c r="AU506" s="850" t="e">
        <f>VLOOKUP(Tabla1[[#This Row],[FECHA OC]],'TIPO DE CAMBIO'!A:B,2,TRUE)</f>
        <v>#N/A</v>
      </c>
      <c r="AV506" s="850" t="e">
        <f>+Tabla1[[#This Row],[SUBTOTAL]]/Tabla1[[#This Row],[TIPO DE CAMBIO]]</f>
        <v>#N/A</v>
      </c>
      <c r="AW506" s="851"/>
      <c r="AX506" s="850" t="str">
        <f>IFERROR(Tabla1[[#This Row],[VENTA TOTAL USD A PLAZO EN CLIENTE  (SIN IVA)]]*(1+Tabla1[[#This Row],[% IVA ]]),"")</f>
        <v/>
      </c>
      <c r="AY506" s="850" t="e">
        <f>+Tabla1[[#This Row],[VENTA TOTAL USD A PLAZO EN CLIENTE  (SIN IVA)]]/Tabla1[[#This Row],[KGS]]*1000</f>
        <v>#N/A</v>
      </c>
      <c r="AZ506" s="850" t="e">
        <f>-Tabla1[[#This Row],[COSTO FLETE $ POR BOLSA 5O KG (SIN IVA)]]*20/Tabla1[[#This Row],[TIPO DE CAMBIO]]</f>
        <v>#N/A</v>
      </c>
      <c r="BA506" s="850" t="e">
        <f>+Tabla1[[#This Row],[GASTOS FINANCIEROS $ BOLSA 50 KG (IVA INC)]]*20/Tabla1[[#This Row],[TIPO DE CAMBIO]]</f>
        <v>#VALUE!</v>
      </c>
      <c r="BB506" s="850" t="e">
        <f>+Tabla1[[#This Row],[PRECIO POR TN USD EN CLIENTE A PLAZO (SIN IVA)]]+Tabla1[[#This Row],[COSTO USD FLETE /TN (SIN IVA)]]+Tabla1[[#This Row],[COSTO FINANCIERO USD POR BOLSA 50KG (IVA INC)]]</f>
        <v>#N/A</v>
      </c>
      <c r="BC506" s="828"/>
      <c r="BD506" s="944"/>
    </row>
    <row r="507" spans="1:56" ht="15.75" customHeight="1">
      <c r="A507" s="912">
        <v>46266</v>
      </c>
      <c r="B507" s="853"/>
      <c r="C507" s="792"/>
      <c r="D507" s="829">
        <f>+Tabla1[[#This Row],[FECHA Entrega]]</f>
        <v>0</v>
      </c>
      <c r="E507" s="830"/>
      <c r="F507" s="831"/>
      <c r="G507" s="832"/>
      <c r="H507" s="852"/>
      <c r="I507" s="834"/>
      <c r="J507" s="835"/>
      <c r="K507" s="836">
        <f t="shared" si="142"/>
        <v>0</v>
      </c>
      <c r="L50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07" s="837">
        <f t="shared" si="144"/>
        <v>0</v>
      </c>
      <c r="N507" s="838">
        <f>+Tabla1[[#This Row],[VENTA TOTAL $ (IVA INC) ]]</f>
        <v>0</v>
      </c>
      <c r="O507" s="838">
        <v>0</v>
      </c>
      <c r="P507" s="838">
        <v>0</v>
      </c>
      <c r="Q507" s="839">
        <f>+Tabla1[[#This Row],[VENTA TOTAL $ (IVA INC) ]]-Tabla1[[#This Row],[PENDIENTE DE COBRO]]</f>
        <v>0</v>
      </c>
      <c r="R507" s="840">
        <f>+Tabla1[[#This Row],[FECHA FC]]+Tabla1[[#This Row],[PLAZO ENTREGA VALORES]]</f>
        <v>0</v>
      </c>
      <c r="S507" s="840">
        <f>+Tabla1[[#This Row],[FECHA FC]]+Tabla1[[#This Row],[PLAZO PAGO (DIAS)]]</f>
        <v>0</v>
      </c>
      <c r="T507" s="834">
        <f t="shared" ca="1" si="143"/>
        <v>-46181</v>
      </c>
      <c r="U507" s="831"/>
      <c r="V507" s="831"/>
      <c r="W507" s="841">
        <f>+Tabla1[[#This Row],[FECHA VTO VALORES]]+7</f>
        <v>7</v>
      </c>
      <c r="X507" s="830"/>
      <c r="Y507" s="859"/>
      <c r="Z507" s="860">
        <f>Tabla1[[#This Row],[KGS]]/50</f>
        <v>0</v>
      </c>
      <c r="AA50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07" s="844">
        <f>-Tabla1[[#This Row],[COSTO FLETE $ POR BOLSA 5O KG (SIN IVA)]]*1.21-Tabla1[[#This Row],[PRECIO $/ KG A PLAZO EN CLIENTE ( SIN IVA)]]*0.003*1.21*50</f>
        <v>0</v>
      </c>
      <c r="AC507" s="845" t="e">
        <f>SUM(Tabla1[[#This Row],[PRECIO $ BOLSA 50 KG (IVA INC) ]]+Tabla1[[#This Row],[COSTO FLETE $ BOLSA 50 KG (IVA INC)]])</f>
        <v>#VALUE!</v>
      </c>
      <c r="AD507" s="844" t="e">
        <f>-Tabla1[[#This Row],[PRECIO $ BOLSA 50 KG (IVA INC) ]]*(Tabla1[[#This Row],[TASA FINANCIACION MENSUAL]]/365)*Tabla1[[#This Row],[PLAZO ENTREGA VALORES]]</f>
        <v>#VALUE!</v>
      </c>
      <c r="AE507" s="845" t="e">
        <f>SUM(Tabla1[[#This Row],[PRECIO $ BOLSA50 KG  FOB TUCUMAN A PLAZO (IVA INC)]]+Tabla1[[#This Row],[GASTOS FINANCIEROS $ BOLSA 50 KG (IVA INC)]])</f>
        <v>#VALUE!</v>
      </c>
      <c r="AF507" s="828"/>
      <c r="AG507" s="828"/>
      <c r="AH507" s="828"/>
      <c r="AI507" s="828"/>
      <c r="AJ50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07" s="846" t="e">
        <f>SUM(Tabla1[[#This Row],[PRECIO $ BOLSA 50KG  FOB CDO TUC (IVA INC)]]-Tabla1[[#This Row],[PRECIO REF $ BOLSA 50 KG CACTU (IVA INC)]])</f>
        <v>#VALUE!</v>
      </c>
      <c r="AL507" s="847" t="str">
        <f>IFERROR(Tabla1[[#This Row],[PRECIO $ BOLSA 50KG  FOB CDO TUC (IVA INC)]]/Tabla1[[#This Row],[PRECIO REF $ BOLSA 50 KG CACTU (IVA INC)]]-1,"")</f>
        <v/>
      </c>
      <c r="AM507" s="846" t="e">
        <f>+Tabla1[[#This Row],[DIF $ PRECIO NETO INDUSTRIA vs Neto TUCUMAN (IVA INC)]]*Tabla1[[#This Row],[Q Bolsas Equivalentes 50kg]]</f>
        <v>#VALUE!</v>
      </c>
      <c r="AN507" s="846" t="e">
        <f>Tabla1[[#This Row],[PRECIO REF $ BOLSA 50 KG CACTU (IVA INC)]]*Tabla1[[#This Row],[Q Bolsas Equivalentes 50kg]]</f>
        <v>#VALUE!</v>
      </c>
      <c r="AO507" s="846" t="e">
        <f>+Tabla1[[#This Row],[PRECIO $ BOLSA 50KG  FOB CDO TUC (IVA INC)]]*Tabla1[[#This Row],[Q Bolsas Equivalentes 50kg]]</f>
        <v>#VALUE!</v>
      </c>
      <c r="AP507" s="847"/>
      <c r="AQ507" s="846">
        <v>0</v>
      </c>
      <c r="AR507" s="828"/>
      <c r="AS507" s="849"/>
      <c r="AT507" s="923">
        <f>+Tabla1[[#This Row],[VENTA TOTAL $ (IVA INC) ]]-(SUM(Tabla1[[#This Row],[PENDIENTE DE ENTREGA]:[VALORES COBRADOS]]))</f>
        <v>0</v>
      </c>
      <c r="AU507" s="850" t="e">
        <f>VLOOKUP(Tabla1[[#This Row],[FECHA OC]],'TIPO DE CAMBIO'!A:B,2,TRUE)</f>
        <v>#N/A</v>
      </c>
      <c r="AV507" s="850" t="e">
        <f>+Tabla1[[#This Row],[SUBTOTAL]]/Tabla1[[#This Row],[TIPO DE CAMBIO]]</f>
        <v>#N/A</v>
      </c>
      <c r="AW507" s="851"/>
      <c r="AX507" s="850" t="str">
        <f>IFERROR(Tabla1[[#This Row],[VENTA TOTAL USD A PLAZO EN CLIENTE  (SIN IVA)]]*(1+Tabla1[[#This Row],[% IVA ]]),"")</f>
        <v/>
      </c>
      <c r="AY507" s="850" t="e">
        <f>+Tabla1[[#This Row],[VENTA TOTAL USD A PLAZO EN CLIENTE  (SIN IVA)]]/Tabla1[[#This Row],[KGS]]*1000</f>
        <v>#N/A</v>
      </c>
      <c r="AZ507" s="850" t="e">
        <f>-Tabla1[[#This Row],[COSTO FLETE $ POR BOLSA 5O KG (SIN IVA)]]*20/Tabla1[[#This Row],[TIPO DE CAMBIO]]</f>
        <v>#N/A</v>
      </c>
      <c r="BA507" s="850" t="e">
        <f>+Tabla1[[#This Row],[GASTOS FINANCIEROS $ BOLSA 50 KG (IVA INC)]]*20/Tabla1[[#This Row],[TIPO DE CAMBIO]]</f>
        <v>#VALUE!</v>
      </c>
      <c r="BB507" s="850" t="e">
        <f>+Tabla1[[#This Row],[PRECIO POR TN USD EN CLIENTE A PLAZO (SIN IVA)]]+Tabla1[[#This Row],[COSTO USD FLETE /TN (SIN IVA)]]+Tabla1[[#This Row],[COSTO FINANCIERO USD POR BOLSA 50KG (IVA INC)]]</f>
        <v>#N/A</v>
      </c>
      <c r="BC507" s="828"/>
      <c r="BD507" s="944"/>
    </row>
    <row r="508" spans="1:56" ht="15.75" customHeight="1">
      <c r="A508" s="912">
        <v>46266</v>
      </c>
      <c r="B508" s="853"/>
      <c r="C508" s="792"/>
      <c r="D508" s="829">
        <f>+Tabla1[[#This Row],[FECHA Entrega]]</f>
        <v>0</v>
      </c>
      <c r="E508" s="830"/>
      <c r="F508" s="831"/>
      <c r="G508" s="832"/>
      <c r="H508" s="852"/>
      <c r="I508" s="834"/>
      <c r="J508" s="835"/>
      <c r="K508" s="836">
        <f t="shared" si="142"/>
        <v>0</v>
      </c>
      <c r="L50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08" s="837">
        <f t="shared" si="144"/>
        <v>0</v>
      </c>
      <c r="N508" s="838">
        <f>+Tabla1[[#This Row],[VENTA TOTAL $ (IVA INC) ]]</f>
        <v>0</v>
      </c>
      <c r="O508" s="838">
        <v>0</v>
      </c>
      <c r="P508" s="838">
        <v>0</v>
      </c>
      <c r="Q508" s="839">
        <f>+Tabla1[[#This Row],[VENTA TOTAL $ (IVA INC) ]]-Tabla1[[#This Row],[PENDIENTE DE COBRO]]</f>
        <v>0</v>
      </c>
      <c r="R508" s="840">
        <f>+Tabla1[[#This Row],[FECHA FC]]+Tabla1[[#This Row],[PLAZO ENTREGA VALORES]]</f>
        <v>0</v>
      </c>
      <c r="S508" s="840">
        <f>+Tabla1[[#This Row],[FECHA FC]]+Tabla1[[#This Row],[PLAZO PAGO (DIAS)]]</f>
        <v>0</v>
      </c>
      <c r="T508" s="834">
        <f t="shared" ca="1" si="143"/>
        <v>-46181</v>
      </c>
      <c r="U508" s="831"/>
      <c r="V508" s="831"/>
      <c r="W508" s="841">
        <f>+Tabla1[[#This Row],[FECHA VTO VALORES]]+7</f>
        <v>7</v>
      </c>
      <c r="X508" s="830"/>
      <c r="Y508" s="859"/>
      <c r="Z508" s="860">
        <f>Tabla1[[#This Row],[KGS]]/50</f>
        <v>0</v>
      </c>
      <c r="AA50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08" s="844">
        <f>-Tabla1[[#This Row],[COSTO FLETE $ POR BOLSA 5O KG (SIN IVA)]]*1.21-Tabla1[[#This Row],[PRECIO $/ KG A PLAZO EN CLIENTE ( SIN IVA)]]*0.003*1.21*50</f>
        <v>0</v>
      </c>
      <c r="AC508" s="845" t="e">
        <f>SUM(Tabla1[[#This Row],[PRECIO $ BOLSA 50 KG (IVA INC) ]]+Tabla1[[#This Row],[COSTO FLETE $ BOLSA 50 KG (IVA INC)]])</f>
        <v>#VALUE!</v>
      </c>
      <c r="AD508" s="844" t="e">
        <f>-Tabla1[[#This Row],[PRECIO $ BOLSA 50 KG (IVA INC) ]]*(Tabla1[[#This Row],[TASA FINANCIACION MENSUAL]]/365)*Tabla1[[#This Row],[PLAZO ENTREGA VALORES]]</f>
        <v>#VALUE!</v>
      </c>
      <c r="AE508" s="845" t="e">
        <f>SUM(Tabla1[[#This Row],[PRECIO $ BOLSA50 KG  FOB TUCUMAN A PLAZO (IVA INC)]]+Tabla1[[#This Row],[GASTOS FINANCIEROS $ BOLSA 50 KG (IVA INC)]])</f>
        <v>#VALUE!</v>
      </c>
      <c r="AF508" s="828"/>
      <c r="AG508" s="828"/>
      <c r="AH508" s="828"/>
      <c r="AI508" s="828"/>
      <c r="AJ50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08" s="846" t="e">
        <f>SUM(Tabla1[[#This Row],[PRECIO $ BOLSA 50KG  FOB CDO TUC (IVA INC)]]-Tabla1[[#This Row],[PRECIO REF $ BOLSA 50 KG CACTU (IVA INC)]])</f>
        <v>#VALUE!</v>
      </c>
      <c r="AL508" s="847" t="str">
        <f>IFERROR(Tabla1[[#This Row],[PRECIO $ BOLSA 50KG  FOB CDO TUC (IVA INC)]]/Tabla1[[#This Row],[PRECIO REF $ BOLSA 50 KG CACTU (IVA INC)]]-1,"")</f>
        <v/>
      </c>
      <c r="AM508" s="846" t="e">
        <f>+Tabla1[[#This Row],[DIF $ PRECIO NETO INDUSTRIA vs Neto TUCUMAN (IVA INC)]]*Tabla1[[#This Row],[Q Bolsas Equivalentes 50kg]]</f>
        <v>#VALUE!</v>
      </c>
      <c r="AN508" s="846" t="e">
        <f>Tabla1[[#This Row],[PRECIO REF $ BOLSA 50 KG CACTU (IVA INC)]]*Tabla1[[#This Row],[Q Bolsas Equivalentes 50kg]]</f>
        <v>#VALUE!</v>
      </c>
      <c r="AO508" s="846" t="e">
        <f>+Tabla1[[#This Row],[PRECIO $ BOLSA 50KG  FOB CDO TUC (IVA INC)]]*Tabla1[[#This Row],[Q Bolsas Equivalentes 50kg]]</f>
        <v>#VALUE!</v>
      </c>
      <c r="AP508" s="847"/>
      <c r="AQ508" s="846">
        <v>0</v>
      </c>
      <c r="AR508" s="828"/>
      <c r="AS508" s="849"/>
      <c r="AT508" s="923">
        <f>+Tabla1[[#This Row],[VENTA TOTAL $ (IVA INC) ]]-(SUM(Tabla1[[#This Row],[PENDIENTE DE ENTREGA]:[VALORES COBRADOS]]))</f>
        <v>0</v>
      </c>
      <c r="AU508" s="850" t="e">
        <f>VLOOKUP(Tabla1[[#This Row],[FECHA OC]],'TIPO DE CAMBIO'!A:B,2,TRUE)</f>
        <v>#N/A</v>
      </c>
      <c r="AV508" s="850" t="e">
        <f>+Tabla1[[#This Row],[SUBTOTAL]]/Tabla1[[#This Row],[TIPO DE CAMBIO]]</f>
        <v>#N/A</v>
      </c>
      <c r="AW508" s="851"/>
      <c r="AX508" s="850" t="str">
        <f>IFERROR(Tabla1[[#This Row],[VENTA TOTAL USD A PLAZO EN CLIENTE  (SIN IVA)]]*(1+Tabla1[[#This Row],[% IVA ]]),"")</f>
        <v/>
      </c>
      <c r="AY508" s="850" t="e">
        <f>+Tabla1[[#This Row],[VENTA TOTAL USD A PLAZO EN CLIENTE  (SIN IVA)]]/Tabla1[[#This Row],[KGS]]*1000</f>
        <v>#N/A</v>
      </c>
      <c r="AZ508" s="850" t="e">
        <f>-Tabla1[[#This Row],[COSTO FLETE $ POR BOLSA 5O KG (SIN IVA)]]*20/Tabla1[[#This Row],[TIPO DE CAMBIO]]</f>
        <v>#N/A</v>
      </c>
      <c r="BA508" s="850" t="e">
        <f>+Tabla1[[#This Row],[GASTOS FINANCIEROS $ BOLSA 50 KG (IVA INC)]]*20/Tabla1[[#This Row],[TIPO DE CAMBIO]]</f>
        <v>#VALUE!</v>
      </c>
      <c r="BB508" s="850" t="e">
        <f>+Tabla1[[#This Row],[PRECIO POR TN USD EN CLIENTE A PLAZO (SIN IVA)]]+Tabla1[[#This Row],[COSTO USD FLETE /TN (SIN IVA)]]+Tabla1[[#This Row],[COSTO FINANCIERO USD POR BOLSA 50KG (IVA INC)]]</f>
        <v>#N/A</v>
      </c>
      <c r="BC508" s="828"/>
      <c r="BD508" s="944"/>
    </row>
    <row r="509" spans="1:56" ht="15.75" customHeight="1">
      <c r="A509" s="912">
        <v>46266</v>
      </c>
      <c r="B509" s="853"/>
      <c r="C509" s="792"/>
      <c r="D509" s="829">
        <f>+Tabla1[[#This Row],[FECHA Entrega]]</f>
        <v>0</v>
      </c>
      <c r="E509" s="830"/>
      <c r="F509" s="831"/>
      <c r="G509" s="832"/>
      <c r="H509" s="852"/>
      <c r="I509" s="834"/>
      <c r="J509" s="835"/>
      <c r="K509" s="836">
        <f t="shared" si="142"/>
        <v>0</v>
      </c>
      <c r="L50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09" s="837">
        <f t="shared" si="144"/>
        <v>0</v>
      </c>
      <c r="N509" s="838">
        <f>+Tabla1[[#This Row],[VENTA TOTAL $ (IVA INC) ]]</f>
        <v>0</v>
      </c>
      <c r="O509" s="838">
        <v>0</v>
      </c>
      <c r="P509" s="838">
        <v>0</v>
      </c>
      <c r="Q509" s="839">
        <f>+Tabla1[[#This Row],[VENTA TOTAL $ (IVA INC) ]]-Tabla1[[#This Row],[PENDIENTE DE COBRO]]</f>
        <v>0</v>
      </c>
      <c r="R509" s="840">
        <f>+Tabla1[[#This Row],[FECHA FC]]+Tabla1[[#This Row],[PLAZO ENTREGA VALORES]]</f>
        <v>0</v>
      </c>
      <c r="S509" s="840">
        <f>+Tabla1[[#This Row],[FECHA FC]]+Tabla1[[#This Row],[PLAZO PAGO (DIAS)]]</f>
        <v>0</v>
      </c>
      <c r="T509" s="834">
        <f t="shared" ca="1" si="143"/>
        <v>-46181</v>
      </c>
      <c r="U509" s="831"/>
      <c r="V509" s="831"/>
      <c r="W509" s="841">
        <f>+Tabla1[[#This Row],[FECHA VTO VALORES]]+7</f>
        <v>7</v>
      </c>
      <c r="X509" s="830"/>
      <c r="Y509" s="859"/>
      <c r="Z509" s="860">
        <f>Tabla1[[#This Row],[KGS]]/50</f>
        <v>0</v>
      </c>
      <c r="AA50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09" s="844">
        <f>-Tabla1[[#This Row],[COSTO FLETE $ POR BOLSA 5O KG (SIN IVA)]]*1.21-Tabla1[[#This Row],[PRECIO $/ KG A PLAZO EN CLIENTE ( SIN IVA)]]*0.003*1.21*50</f>
        <v>0</v>
      </c>
      <c r="AC509" s="845" t="e">
        <f>SUM(Tabla1[[#This Row],[PRECIO $ BOLSA 50 KG (IVA INC) ]]+Tabla1[[#This Row],[COSTO FLETE $ BOLSA 50 KG (IVA INC)]])</f>
        <v>#VALUE!</v>
      </c>
      <c r="AD509" s="844" t="e">
        <f>-Tabla1[[#This Row],[PRECIO $ BOLSA 50 KG (IVA INC) ]]*(Tabla1[[#This Row],[TASA FINANCIACION MENSUAL]]/365)*Tabla1[[#This Row],[PLAZO ENTREGA VALORES]]</f>
        <v>#VALUE!</v>
      </c>
      <c r="AE509" s="845" t="e">
        <f>SUM(Tabla1[[#This Row],[PRECIO $ BOLSA50 KG  FOB TUCUMAN A PLAZO (IVA INC)]]+Tabla1[[#This Row],[GASTOS FINANCIEROS $ BOLSA 50 KG (IVA INC)]])</f>
        <v>#VALUE!</v>
      </c>
      <c r="AF509" s="828"/>
      <c r="AG509" s="828"/>
      <c r="AH509" s="828"/>
      <c r="AI509" s="828"/>
      <c r="AJ50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09" s="846" t="e">
        <f>SUM(Tabla1[[#This Row],[PRECIO $ BOLSA 50KG  FOB CDO TUC (IVA INC)]]-Tabla1[[#This Row],[PRECIO REF $ BOLSA 50 KG CACTU (IVA INC)]])</f>
        <v>#VALUE!</v>
      </c>
      <c r="AL509" s="847" t="str">
        <f>IFERROR(Tabla1[[#This Row],[PRECIO $ BOLSA 50KG  FOB CDO TUC (IVA INC)]]/Tabla1[[#This Row],[PRECIO REF $ BOLSA 50 KG CACTU (IVA INC)]]-1,"")</f>
        <v/>
      </c>
      <c r="AM509" s="846" t="e">
        <f>+Tabla1[[#This Row],[DIF $ PRECIO NETO INDUSTRIA vs Neto TUCUMAN (IVA INC)]]*Tabla1[[#This Row],[Q Bolsas Equivalentes 50kg]]</f>
        <v>#VALUE!</v>
      </c>
      <c r="AN509" s="846" t="e">
        <f>Tabla1[[#This Row],[PRECIO REF $ BOLSA 50 KG CACTU (IVA INC)]]*Tabla1[[#This Row],[Q Bolsas Equivalentes 50kg]]</f>
        <v>#VALUE!</v>
      </c>
      <c r="AO509" s="846" t="e">
        <f>+Tabla1[[#This Row],[PRECIO $ BOLSA 50KG  FOB CDO TUC (IVA INC)]]*Tabla1[[#This Row],[Q Bolsas Equivalentes 50kg]]</f>
        <v>#VALUE!</v>
      </c>
      <c r="AP509" s="847"/>
      <c r="AQ509" s="846">
        <v>0</v>
      </c>
      <c r="AR509" s="828"/>
      <c r="AS509" s="849"/>
      <c r="AT509" s="923">
        <f>+Tabla1[[#This Row],[VENTA TOTAL $ (IVA INC) ]]-(SUM(Tabla1[[#This Row],[PENDIENTE DE ENTREGA]:[VALORES COBRADOS]]))</f>
        <v>0</v>
      </c>
      <c r="AU509" s="850" t="e">
        <f>VLOOKUP(Tabla1[[#This Row],[FECHA OC]],'TIPO DE CAMBIO'!A:B,2,TRUE)</f>
        <v>#N/A</v>
      </c>
      <c r="AV509" s="850" t="e">
        <f>+Tabla1[[#This Row],[SUBTOTAL]]/Tabla1[[#This Row],[TIPO DE CAMBIO]]</f>
        <v>#N/A</v>
      </c>
      <c r="AW509" s="851"/>
      <c r="AX509" s="850" t="str">
        <f>IFERROR(Tabla1[[#This Row],[VENTA TOTAL USD A PLAZO EN CLIENTE  (SIN IVA)]]*(1+Tabla1[[#This Row],[% IVA ]]),"")</f>
        <v/>
      </c>
      <c r="AY509" s="850" t="e">
        <f>+Tabla1[[#This Row],[VENTA TOTAL USD A PLAZO EN CLIENTE  (SIN IVA)]]/Tabla1[[#This Row],[KGS]]*1000</f>
        <v>#N/A</v>
      </c>
      <c r="AZ509" s="850" t="e">
        <f>-Tabla1[[#This Row],[COSTO FLETE $ POR BOLSA 5O KG (SIN IVA)]]*20/Tabla1[[#This Row],[TIPO DE CAMBIO]]</f>
        <v>#N/A</v>
      </c>
      <c r="BA509" s="850" t="e">
        <f>+Tabla1[[#This Row],[GASTOS FINANCIEROS $ BOLSA 50 KG (IVA INC)]]*20/Tabla1[[#This Row],[TIPO DE CAMBIO]]</f>
        <v>#VALUE!</v>
      </c>
      <c r="BB509" s="850" t="e">
        <f>+Tabla1[[#This Row],[PRECIO POR TN USD EN CLIENTE A PLAZO (SIN IVA)]]+Tabla1[[#This Row],[COSTO USD FLETE /TN (SIN IVA)]]+Tabla1[[#This Row],[COSTO FINANCIERO USD POR BOLSA 50KG (IVA INC)]]</f>
        <v>#N/A</v>
      </c>
      <c r="BC509" s="828"/>
      <c r="BD509" s="944"/>
    </row>
    <row r="510" spans="1:56" ht="15.75" customHeight="1">
      <c r="A510" s="912">
        <v>46266</v>
      </c>
      <c r="B510" s="853"/>
      <c r="C510" s="792"/>
      <c r="D510" s="829">
        <f>+Tabla1[[#This Row],[FECHA Entrega]]</f>
        <v>0</v>
      </c>
      <c r="E510" s="830"/>
      <c r="F510" s="831"/>
      <c r="G510" s="832"/>
      <c r="H510" s="852"/>
      <c r="I510" s="834"/>
      <c r="J510" s="835"/>
      <c r="K510" s="836">
        <f t="shared" si="142"/>
        <v>0</v>
      </c>
      <c r="L51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10" s="837">
        <f t="shared" si="144"/>
        <v>0</v>
      </c>
      <c r="N510" s="838">
        <f>+Tabla1[[#This Row],[VENTA TOTAL $ (IVA INC) ]]</f>
        <v>0</v>
      </c>
      <c r="O510" s="838">
        <v>0</v>
      </c>
      <c r="P510" s="838">
        <v>0</v>
      </c>
      <c r="Q510" s="839">
        <f>+Tabla1[[#This Row],[VENTA TOTAL $ (IVA INC) ]]-Tabla1[[#This Row],[PENDIENTE DE COBRO]]</f>
        <v>0</v>
      </c>
      <c r="R510" s="840">
        <f>+Tabla1[[#This Row],[FECHA FC]]+Tabla1[[#This Row],[PLAZO ENTREGA VALORES]]</f>
        <v>0</v>
      </c>
      <c r="S510" s="840">
        <f>+Tabla1[[#This Row],[FECHA FC]]+Tabla1[[#This Row],[PLAZO PAGO (DIAS)]]</f>
        <v>0</v>
      </c>
      <c r="T510" s="834">
        <f t="shared" ca="1" si="143"/>
        <v>-46181</v>
      </c>
      <c r="U510" s="831"/>
      <c r="V510" s="831"/>
      <c r="W510" s="841">
        <f>+Tabla1[[#This Row],[FECHA VTO VALORES]]+7</f>
        <v>7</v>
      </c>
      <c r="X510" s="830"/>
      <c r="Y510" s="859"/>
      <c r="Z510" s="860">
        <f>Tabla1[[#This Row],[KGS]]/50</f>
        <v>0</v>
      </c>
      <c r="AA51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10" s="844">
        <f>-Tabla1[[#This Row],[COSTO FLETE $ POR BOLSA 5O KG (SIN IVA)]]*1.21-Tabla1[[#This Row],[PRECIO $/ KG A PLAZO EN CLIENTE ( SIN IVA)]]*0.003*1.21*50</f>
        <v>0</v>
      </c>
      <c r="AC510" s="845" t="e">
        <f>SUM(Tabla1[[#This Row],[PRECIO $ BOLSA 50 KG (IVA INC) ]]+Tabla1[[#This Row],[COSTO FLETE $ BOLSA 50 KG (IVA INC)]])</f>
        <v>#VALUE!</v>
      </c>
      <c r="AD510" s="844" t="e">
        <f>-Tabla1[[#This Row],[PRECIO $ BOLSA 50 KG (IVA INC) ]]*(Tabla1[[#This Row],[TASA FINANCIACION MENSUAL]]/365)*Tabla1[[#This Row],[PLAZO ENTREGA VALORES]]</f>
        <v>#VALUE!</v>
      </c>
      <c r="AE510" s="845" t="e">
        <f>SUM(Tabla1[[#This Row],[PRECIO $ BOLSA50 KG  FOB TUCUMAN A PLAZO (IVA INC)]]+Tabla1[[#This Row],[GASTOS FINANCIEROS $ BOLSA 50 KG (IVA INC)]])</f>
        <v>#VALUE!</v>
      </c>
      <c r="AF510" s="828"/>
      <c r="AG510" s="828"/>
      <c r="AH510" s="828"/>
      <c r="AI510" s="828"/>
      <c r="AJ51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10" s="846" t="e">
        <f>SUM(Tabla1[[#This Row],[PRECIO $ BOLSA 50KG  FOB CDO TUC (IVA INC)]]-Tabla1[[#This Row],[PRECIO REF $ BOLSA 50 KG CACTU (IVA INC)]])</f>
        <v>#VALUE!</v>
      </c>
      <c r="AL510" s="847" t="str">
        <f>IFERROR(Tabla1[[#This Row],[PRECIO $ BOLSA 50KG  FOB CDO TUC (IVA INC)]]/Tabla1[[#This Row],[PRECIO REF $ BOLSA 50 KG CACTU (IVA INC)]]-1,"")</f>
        <v/>
      </c>
      <c r="AM510" s="846" t="e">
        <f>+Tabla1[[#This Row],[DIF $ PRECIO NETO INDUSTRIA vs Neto TUCUMAN (IVA INC)]]*Tabla1[[#This Row],[Q Bolsas Equivalentes 50kg]]</f>
        <v>#VALUE!</v>
      </c>
      <c r="AN510" s="846" t="e">
        <f>Tabla1[[#This Row],[PRECIO REF $ BOLSA 50 KG CACTU (IVA INC)]]*Tabla1[[#This Row],[Q Bolsas Equivalentes 50kg]]</f>
        <v>#VALUE!</v>
      </c>
      <c r="AO510" s="846" t="e">
        <f>+Tabla1[[#This Row],[PRECIO $ BOLSA 50KG  FOB CDO TUC (IVA INC)]]*Tabla1[[#This Row],[Q Bolsas Equivalentes 50kg]]</f>
        <v>#VALUE!</v>
      </c>
      <c r="AP510" s="847"/>
      <c r="AQ510" s="846">
        <v>0</v>
      </c>
      <c r="AR510" s="828"/>
      <c r="AS510" s="849"/>
      <c r="AT510" s="923">
        <f>+Tabla1[[#This Row],[VENTA TOTAL $ (IVA INC) ]]-(SUM(Tabla1[[#This Row],[PENDIENTE DE ENTREGA]:[VALORES COBRADOS]]))</f>
        <v>0</v>
      </c>
      <c r="AU510" s="850" t="e">
        <f>VLOOKUP(Tabla1[[#This Row],[FECHA OC]],'TIPO DE CAMBIO'!A:B,2,TRUE)</f>
        <v>#N/A</v>
      </c>
      <c r="AV510" s="850" t="e">
        <f>+Tabla1[[#This Row],[SUBTOTAL]]/Tabla1[[#This Row],[TIPO DE CAMBIO]]</f>
        <v>#N/A</v>
      </c>
      <c r="AW510" s="851"/>
      <c r="AX510" s="850" t="str">
        <f>IFERROR(Tabla1[[#This Row],[VENTA TOTAL USD A PLAZO EN CLIENTE  (SIN IVA)]]*(1+Tabla1[[#This Row],[% IVA ]]),"")</f>
        <v/>
      </c>
      <c r="AY510" s="850" t="e">
        <f>+Tabla1[[#This Row],[VENTA TOTAL USD A PLAZO EN CLIENTE  (SIN IVA)]]/Tabla1[[#This Row],[KGS]]*1000</f>
        <v>#N/A</v>
      </c>
      <c r="AZ510" s="850" t="e">
        <f>-Tabla1[[#This Row],[COSTO FLETE $ POR BOLSA 5O KG (SIN IVA)]]*20/Tabla1[[#This Row],[TIPO DE CAMBIO]]</f>
        <v>#N/A</v>
      </c>
      <c r="BA510" s="850" t="e">
        <f>+Tabla1[[#This Row],[GASTOS FINANCIEROS $ BOLSA 50 KG (IVA INC)]]*20/Tabla1[[#This Row],[TIPO DE CAMBIO]]</f>
        <v>#VALUE!</v>
      </c>
      <c r="BB510" s="850" t="e">
        <f>+Tabla1[[#This Row],[PRECIO POR TN USD EN CLIENTE A PLAZO (SIN IVA)]]+Tabla1[[#This Row],[COSTO USD FLETE /TN (SIN IVA)]]+Tabla1[[#This Row],[COSTO FINANCIERO USD POR BOLSA 50KG (IVA INC)]]</f>
        <v>#N/A</v>
      </c>
      <c r="BC510" s="828"/>
      <c r="BD510" s="944"/>
    </row>
    <row r="511" spans="1:56" ht="15.75" customHeight="1">
      <c r="A511" s="912">
        <v>46266</v>
      </c>
      <c r="B511" s="853"/>
      <c r="C511" s="792"/>
      <c r="D511" s="829">
        <f>+Tabla1[[#This Row],[FECHA Entrega]]</f>
        <v>0</v>
      </c>
      <c r="E511" s="830"/>
      <c r="F511" s="831"/>
      <c r="G511" s="832"/>
      <c r="H511" s="852"/>
      <c r="I511" s="834"/>
      <c r="J511" s="835"/>
      <c r="K511" s="836">
        <f t="shared" si="142"/>
        <v>0</v>
      </c>
      <c r="L51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11" s="837">
        <f t="shared" si="144"/>
        <v>0</v>
      </c>
      <c r="N511" s="838">
        <f>+Tabla1[[#This Row],[VENTA TOTAL $ (IVA INC) ]]</f>
        <v>0</v>
      </c>
      <c r="O511" s="838">
        <v>0</v>
      </c>
      <c r="P511" s="838">
        <v>0</v>
      </c>
      <c r="Q511" s="839">
        <f>+Tabla1[[#This Row],[VENTA TOTAL $ (IVA INC) ]]-Tabla1[[#This Row],[PENDIENTE DE COBRO]]</f>
        <v>0</v>
      </c>
      <c r="R511" s="840">
        <f>+Tabla1[[#This Row],[FECHA FC]]+Tabla1[[#This Row],[PLAZO ENTREGA VALORES]]</f>
        <v>0</v>
      </c>
      <c r="S511" s="840">
        <f>+Tabla1[[#This Row],[FECHA FC]]+Tabla1[[#This Row],[PLAZO PAGO (DIAS)]]</f>
        <v>0</v>
      </c>
      <c r="T511" s="834">
        <f t="shared" ca="1" si="143"/>
        <v>-46181</v>
      </c>
      <c r="U511" s="831"/>
      <c r="V511" s="831"/>
      <c r="W511" s="841">
        <f>+Tabla1[[#This Row],[FECHA VTO VALORES]]+7</f>
        <v>7</v>
      </c>
      <c r="X511" s="830"/>
      <c r="Y511" s="859"/>
      <c r="Z511" s="860">
        <f>Tabla1[[#This Row],[KGS]]/50</f>
        <v>0</v>
      </c>
      <c r="AA51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11" s="844">
        <f>-Tabla1[[#This Row],[COSTO FLETE $ POR BOLSA 5O KG (SIN IVA)]]*1.21-Tabla1[[#This Row],[PRECIO $/ KG A PLAZO EN CLIENTE ( SIN IVA)]]*0.003*1.21*50</f>
        <v>0</v>
      </c>
      <c r="AC511" s="845" t="e">
        <f>SUM(Tabla1[[#This Row],[PRECIO $ BOLSA 50 KG (IVA INC) ]]+Tabla1[[#This Row],[COSTO FLETE $ BOLSA 50 KG (IVA INC)]])</f>
        <v>#VALUE!</v>
      </c>
      <c r="AD511" s="844" t="e">
        <f>-Tabla1[[#This Row],[PRECIO $ BOLSA 50 KG (IVA INC) ]]*(Tabla1[[#This Row],[TASA FINANCIACION MENSUAL]]/365)*Tabla1[[#This Row],[PLAZO ENTREGA VALORES]]</f>
        <v>#VALUE!</v>
      </c>
      <c r="AE511" s="845" t="e">
        <f>SUM(Tabla1[[#This Row],[PRECIO $ BOLSA50 KG  FOB TUCUMAN A PLAZO (IVA INC)]]+Tabla1[[#This Row],[GASTOS FINANCIEROS $ BOLSA 50 KG (IVA INC)]])</f>
        <v>#VALUE!</v>
      </c>
      <c r="AF511" s="828"/>
      <c r="AG511" s="828"/>
      <c r="AH511" s="828"/>
      <c r="AI511" s="828"/>
      <c r="AJ51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11" s="846" t="e">
        <f>SUM(Tabla1[[#This Row],[PRECIO $ BOLSA 50KG  FOB CDO TUC (IVA INC)]]-Tabla1[[#This Row],[PRECIO REF $ BOLSA 50 KG CACTU (IVA INC)]])</f>
        <v>#VALUE!</v>
      </c>
      <c r="AL511" s="847" t="str">
        <f>IFERROR(Tabla1[[#This Row],[PRECIO $ BOLSA 50KG  FOB CDO TUC (IVA INC)]]/Tabla1[[#This Row],[PRECIO REF $ BOLSA 50 KG CACTU (IVA INC)]]-1,"")</f>
        <v/>
      </c>
      <c r="AM511" s="846" t="e">
        <f>+Tabla1[[#This Row],[DIF $ PRECIO NETO INDUSTRIA vs Neto TUCUMAN (IVA INC)]]*Tabla1[[#This Row],[Q Bolsas Equivalentes 50kg]]</f>
        <v>#VALUE!</v>
      </c>
      <c r="AN511" s="846" t="e">
        <f>Tabla1[[#This Row],[PRECIO REF $ BOLSA 50 KG CACTU (IVA INC)]]*Tabla1[[#This Row],[Q Bolsas Equivalentes 50kg]]</f>
        <v>#VALUE!</v>
      </c>
      <c r="AO511" s="846" t="e">
        <f>+Tabla1[[#This Row],[PRECIO $ BOLSA 50KG  FOB CDO TUC (IVA INC)]]*Tabla1[[#This Row],[Q Bolsas Equivalentes 50kg]]</f>
        <v>#VALUE!</v>
      </c>
      <c r="AP511" s="847"/>
      <c r="AQ511" s="846">
        <v>0</v>
      </c>
      <c r="AR511" s="828"/>
      <c r="AS511" s="849"/>
      <c r="AT511" s="923">
        <f>+Tabla1[[#This Row],[VENTA TOTAL $ (IVA INC) ]]-(SUM(Tabla1[[#This Row],[PENDIENTE DE ENTREGA]:[VALORES COBRADOS]]))</f>
        <v>0</v>
      </c>
      <c r="AU511" s="850" t="e">
        <f>VLOOKUP(Tabla1[[#This Row],[FECHA OC]],'TIPO DE CAMBIO'!A:B,2,TRUE)</f>
        <v>#N/A</v>
      </c>
      <c r="AV511" s="850" t="e">
        <f>+Tabla1[[#This Row],[SUBTOTAL]]/Tabla1[[#This Row],[TIPO DE CAMBIO]]</f>
        <v>#N/A</v>
      </c>
      <c r="AW511" s="851"/>
      <c r="AX511" s="850" t="str">
        <f>IFERROR(Tabla1[[#This Row],[VENTA TOTAL USD A PLAZO EN CLIENTE  (SIN IVA)]]*(1+Tabla1[[#This Row],[% IVA ]]),"")</f>
        <v/>
      </c>
      <c r="AY511" s="850" t="e">
        <f>+Tabla1[[#This Row],[VENTA TOTAL USD A PLAZO EN CLIENTE  (SIN IVA)]]/Tabla1[[#This Row],[KGS]]*1000</f>
        <v>#N/A</v>
      </c>
      <c r="AZ511" s="850" t="e">
        <f>-Tabla1[[#This Row],[COSTO FLETE $ POR BOLSA 5O KG (SIN IVA)]]*20/Tabla1[[#This Row],[TIPO DE CAMBIO]]</f>
        <v>#N/A</v>
      </c>
      <c r="BA511" s="850" t="e">
        <f>+Tabla1[[#This Row],[GASTOS FINANCIEROS $ BOLSA 50 KG (IVA INC)]]*20/Tabla1[[#This Row],[TIPO DE CAMBIO]]</f>
        <v>#VALUE!</v>
      </c>
      <c r="BB511" s="850" t="e">
        <f>+Tabla1[[#This Row],[PRECIO POR TN USD EN CLIENTE A PLAZO (SIN IVA)]]+Tabla1[[#This Row],[COSTO USD FLETE /TN (SIN IVA)]]+Tabla1[[#This Row],[COSTO FINANCIERO USD POR BOLSA 50KG (IVA INC)]]</f>
        <v>#N/A</v>
      </c>
      <c r="BC511" s="828"/>
      <c r="BD511" s="944"/>
    </row>
    <row r="512" spans="1:56" ht="15.75" customHeight="1">
      <c r="A512" s="912">
        <v>46266</v>
      </c>
      <c r="B512" s="853"/>
      <c r="C512" s="792"/>
      <c r="D512" s="829">
        <f>+Tabla1[[#This Row],[FECHA Entrega]]</f>
        <v>0</v>
      </c>
      <c r="E512" s="830"/>
      <c r="F512" s="831"/>
      <c r="G512" s="832"/>
      <c r="H512" s="852"/>
      <c r="I512" s="834"/>
      <c r="J512" s="835"/>
      <c r="K512" s="836">
        <f t="shared" si="142"/>
        <v>0</v>
      </c>
      <c r="L51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12" s="837">
        <f t="shared" si="144"/>
        <v>0</v>
      </c>
      <c r="N512" s="838">
        <f>+Tabla1[[#This Row],[VENTA TOTAL $ (IVA INC) ]]</f>
        <v>0</v>
      </c>
      <c r="O512" s="838">
        <v>0</v>
      </c>
      <c r="P512" s="838">
        <v>0</v>
      </c>
      <c r="Q512" s="839">
        <f>+Tabla1[[#This Row],[VENTA TOTAL $ (IVA INC) ]]-Tabla1[[#This Row],[PENDIENTE DE COBRO]]</f>
        <v>0</v>
      </c>
      <c r="R512" s="840">
        <f>+Tabla1[[#This Row],[FECHA FC]]+Tabla1[[#This Row],[PLAZO ENTREGA VALORES]]</f>
        <v>0</v>
      </c>
      <c r="S512" s="840">
        <f>+Tabla1[[#This Row],[FECHA FC]]+Tabla1[[#This Row],[PLAZO PAGO (DIAS)]]</f>
        <v>0</v>
      </c>
      <c r="T512" s="834">
        <f t="shared" ca="1" si="143"/>
        <v>-46181</v>
      </c>
      <c r="U512" s="831"/>
      <c r="V512" s="831"/>
      <c r="W512" s="841">
        <f>+Tabla1[[#This Row],[FECHA VTO VALORES]]+7</f>
        <v>7</v>
      </c>
      <c r="X512" s="830"/>
      <c r="Y512" s="859"/>
      <c r="Z512" s="860">
        <f>Tabla1[[#This Row],[KGS]]/50</f>
        <v>0</v>
      </c>
      <c r="AA51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12" s="844">
        <f>-Tabla1[[#This Row],[COSTO FLETE $ POR BOLSA 5O KG (SIN IVA)]]*1.21-Tabla1[[#This Row],[PRECIO $/ KG A PLAZO EN CLIENTE ( SIN IVA)]]*0.003*1.21*50</f>
        <v>0</v>
      </c>
      <c r="AC512" s="845" t="e">
        <f>SUM(Tabla1[[#This Row],[PRECIO $ BOLSA 50 KG (IVA INC) ]]+Tabla1[[#This Row],[COSTO FLETE $ BOLSA 50 KG (IVA INC)]])</f>
        <v>#VALUE!</v>
      </c>
      <c r="AD512" s="844" t="e">
        <f>-Tabla1[[#This Row],[PRECIO $ BOLSA 50 KG (IVA INC) ]]*(Tabla1[[#This Row],[TASA FINANCIACION MENSUAL]]/365)*Tabla1[[#This Row],[PLAZO ENTREGA VALORES]]</f>
        <v>#VALUE!</v>
      </c>
      <c r="AE512" s="845" t="e">
        <f>SUM(Tabla1[[#This Row],[PRECIO $ BOLSA50 KG  FOB TUCUMAN A PLAZO (IVA INC)]]+Tabla1[[#This Row],[GASTOS FINANCIEROS $ BOLSA 50 KG (IVA INC)]])</f>
        <v>#VALUE!</v>
      </c>
      <c r="AF512" s="828"/>
      <c r="AG512" s="828"/>
      <c r="AH512" s="828"/>
      <c r="AI512" s="828"/>
      <c r="AJ51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12" s="846" t="e">
        <f>SUM(Tabla1[[#This Row],[PRECIO $ BOLSA 50KG  FOB CDO TUC (IVA INC)]]-Tabla1[[#This Row],[PRECIO REF $ BOLSA 50 KG CACTU (IVA INC)]])</f>
        <v>#VALUE!</v>
      </c>
      <c r="AL512" s="847" t="str">
        <f>IFERROR(Tabla1[[#This Row],[PRECIO $ BOLSA 50KG  FOB CDO TUC (IVA INC)]]/Tabla1[[#This Row],[PRECIO REF $ BOLSA 50 KG CACTU (IVA INC)]]-1,"")</f>
        <v/>
      </c>
      <c r="AM512" s="846" t="e">
        <f>+Tabla1[[#This Row],[DIF $ PRECIO NETO INDUSTRIA vs Neto TUCUMAN (IVA INC)]]*Tabla1[[#This Row],[Q Bolsas Equivalentes 50kg]]</f>
        <v>#VALUE!</v>
      </c>
      <c r="AN512" s="846" t="e">
        <f>Tabla1[[#This Row],[PRECIO REF $ BOLSA 50 KG CACTU (IVA INC)]]*Tabla1[[#This Row],[Q Bolsas Equivalentes 50kg]]</f>
        <v>#VALUE!</v>
      </c>
      <c r="AO512" s="846" t="e">
        <f>+Tabla1[[#This Row],[PRECIO $ BOLSA 50KG  FOB CDO TUC (IVA INC)]]*Tabla1[[#This Row],[Q Bolsas Equivalentes 50kg]]</f>
        <v>#VALUE!</v>
      </c>
      <c r="AP512" s="847"/>
      <c r="AQ512" s="846">
        <v>0</v>
      </c>
      <c r="AR512" s="828"/>
      <c r="AS512" s="849"/>
      <c r="AT512" s="923">
        <f>+Tabla1[[#This Row],[VENTA TOTAL $ (IVA INC) ]]-(SUM(Tabla1[[#This Row],[PENDIENTE DE ENTREGA]:[VALORES COBRADOS]]))</f>
        <v>0</v>
      </c>
      <c r="AU512" s="850" t="e">
        <f>VLOOKUP(Tabla1[[#This Row],[FECHA OC]],'TIPO DE CAMBIO'!A:B,2,TRUE)</f>
        <v>#N/A</v>
      </c>
      <c r="AV512" s="850" t="e">
        <f>+Tabla1[[#This Row],[SUBTOTAL]]/Tabla1[[#This Row],[TIPO DE CAMBIO]]</f>
        <v>#N/A</v>
      </c>
      <c r="AW512" s="851"/>
      <c r="AX512" s="850" t="str">
        <f>IFERROR(Tabla1[[#This Row],[VENTA TOTAL USD A PLAZO EN CLIENTE  (SIN IVA)]]*(1+Tabla1[[#This Row],[% IVA ]]),"")</f>
        <v/>
      </c>
      <c r="AY512" s="850" t="e">
        <f>+Tabla1[[#This Row],[VENTA TOTAL USD A PLAZO EN CLIENTE  (SIN IVA)]]/Tabla1[[#This Row],[KGS]]*1000</f>
        <v>#N/A</v>
      </c>
      <c r="AZ512" s="850" t="e">
        <f>-Tabla1[[#This Row],[COSTO FLETE $ POR BOLSA 5O KG (SIN IVA)]]*20/Tabla1[[#This Row],[TIPO DE CAMBIO]]</f>
        <v>#N/A</v>
      </c>
      <c r="BA512" s="850" t="e">
        <f>+Tabla1[[#This Row],[GASTOS FINANCIEROS $ BOLSA 50 KG (IVA INC)]]*20/Tabla1[[#This Row],[TIPO DE CAMBIO]]</f>
        <v>#VALUE!</v>
      </c>
      <c r="BB512" s="850" t="e">
        <f>+Tabla1[[#This Row],[PRECIO POR TN USD EN CLIENTE A PLAZO (SIN IVA)]]+Tabla1[[#This Row],[COSTO USD FLETE /TN (SIN IVA)]]+Tabla1[[#This Row],[COSTO FINANCIERO USD POR BOLSA 50KG (IVA INC)]]</f>
        <v>#N/A</v>
      </c>
      <c r="BC512" s="828"/>
      <c r="BD512" s="944"/>
    </row>
    <row r="513" spans="1:56" ht="15.75" customHeight="1">
      <c r="A513" s="912">
        <v>46266</v>
      </c>
      <c r="B513" s="853"/>
      <c r="C513" s="792"/>
      <c r="D513" s="829">
        <f>+Tabla1[[#This Row],[FECHA Entrega]]</f>
        <v>0</v>
      </c>
      <c r="E513" s="830"/>
      <c r="F513" s="831"/>
      <c r="G513" s="832"/>
      <c r="H513" s="852"/>
      <c r="I513" s="834"/>
      <c r="J513" s="835"/>
      <c r="K513" s="836">
        <f t="shared" si="142"/>
        <v>0</v>
      </c>
      <c r="L51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13" s="837">
        <f t="shared" si="144"/>
        <v>0</v>
      </c>
      <c r="N513" s="838">
        <f>+Tabla1[[#This Row],[VENTA TOTAL $ (IVA INC) ]]</f>
        <v>0</v>
      </c>
      <c r="O513" s="838">
        <v>0</v>
      </c>
      <c r="P513" s="838">
        <v>0</v>
      </c>
      <c r="Q513" s="839">
        <f>+Tabla1[[#This Row],[VENTA TOTAL $ (IVA INC) ]]-Tabla1[[#This Row],[PENDIENTE DE COBRO]]</f>
        <v>0</v>
      </c>
      <c r="R513" s="840">
        <f>+Tabla1[[#This Row],[FECHA FC]]+Tabla1[[#This Row],[PLAZO ENTREGA VALORES]]</f>
        <v>0</v>
      </c>
      <c r="S513" s="840">
        <f>+Tabla1[[#This Row],[FECHA FC]]+Tabla1[[#This Row],[PLAZO PAGO (DIAS)]]</f>
        <v>0</v>
      </c>
      <c r="T513" s="834">
        <f t="shared" ca="1" si="143"/>
        <v>-46181</v>
      </c>
      <c r="U513" s="831"/>
      <c r="V513" s="831"/>
      <c r="W513" s="841">
        <f>+Tabla1[[#This Row],[FECHA VTO VALORES]]+7</f>
        <v>7</v>
      </c>
      <c r="X513" s="830"/>
      <c r="Y513" s="859"/>
      <c r="Z513" s="860">
        <f>Tabla1[[#This Row],[KGS]]/50</f>
        <v>0</v>
      </c>
      <c r="AA51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13" s="844">
        <f>-Tabla1[[#This Row],[COSTO FLETE $ POR BOLSA 5O KG (SIN IVA)]]*1.21-Tabla1[[#This Row],[PRECIO $/ KG A PLAZO EN CLIENTE ( SIN IVA)]]*0.003*1.21*50</f>
        <v>0</v>
      </c>
      <c r="AC513" s="845" t="e">
        <f>SUM(Tabla1[[#This Row],[PRECIO $ BOLSA 50 KG (IVA INC) ]]+Tabla1[[#This Row],[COSTO FLETE $ BOLSA 50 KG (IVA INC)]])</f>
        <v>#VALUE!</v>
      </c>
      <c r="AD513" s="844" t="e">
        <f>-Tabla1[[#This Row],[PRECIO $ BOLSA 50 KG (IVA INC) ]]*(Tabla1[[#This Row],[TASA FINANCIACION MENSUAL]]/365)*Tabla1[[#This Row],[PLAZO ENTREGA VALORES]]</f>
        <v>#VALUE!</v>
      </c>
      <c r="AE513" s="845" t="e">
        <f>SUM(Tabla1[[#This Row],[PRECIO $ BOLSA50 KG  FOB TUCUMAN A PLAZO (IVA INC)]]+Tabla1[[#This Row],[GASTOS FINANCIEROS $ BOLSA 50 KG (IVA INC)]])</f>
        <v>#VALUE!</v>
      </c>
      <c r="AF513" s="828"/>
      <c r="AG513" s="828"/>
      <c r="AH513" s="828"/>
      <c r="AI513" s="828"/>
      <c r="AJ51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13" s="846" t="e">
        <f>SUM(Tabla1[[#This Row],[PRECIO $ BOLSA 50KG  FOB CDO TUC (IVA INC)]]-Tabla1[[#This Row],[PRECIO REF $ BOLSA 50 KG CACTU (IVA INC)]])</f>
        <v>#VALUE!</v>
      </c>
      <c r="AL513" s="847" t="str">
        <f>IFERROR(Tabla1[[#This Row],[PRECIO $ BOLSA 50KG  FOB CDO TUC (IVA INC)]]/Tabla1[[#This Row],[PRECIO REF $ BOLSA 50 KG CACTU (IVA INC)]]-1,"")</f>
        <v/>
      </c>
      <c r="AM513" s="846" t="e">
        <f>+Tabla1[[#This Row],[DIF $ PRECIO NETO INDUSTRIA vs Neto TUCUMAN (IVA INC)]]*Tabla1[[#This Row],[Q Bolsas Equivalentes 50kg]]</f>
        <v>#VALUE!</v>
      </c>
      <c r="AN513" s="846" t="e">
        <f>Tabla1[[#This Row],[PRECIO REF $ BOLSA 50 KG CACTU (IVA INC)]]*Tabla1[[#This Row],[Q Bolsas Equivalentes 50kg]]</f>
        <v>#VALUE!</v>
      </c>
      <c r="AO513" s="846" t="e">
        <f>+Tabla1[[#This Row],[PRECIO $ BOLSA 50KG  FOB CDO TUC (IVA INC)]]*Tabla1[[#This Row],[Q Bolsas Equivalentes 50kg]]</f>
        <v>#VALUE!</v>
      </c>
      <c r="AP513" s="847"/>
      <c r="AQ513" s="846">
        <v>0</v>
      </c>
      <c r="AR513" s="828"/>
      <c r="AS513" s="849"/>
      <c r="AT513" s="923">
        <f>+Tabla1[[#This Row],[VENTA TOTAL $ (IVA INC) ]]-(SUM(Tabla1[[#This Row],[PENDIENTE DE ENTREGA]:[VALORES COBRADOS]]))</f>
        <v>0</v>
      </c>
      <c r="AU513" s="850" t="e">
        <f>VLOOKUP(Tabla1[[#This Row],[FECHA OC]],'TIPO DE CAMBIO'!A:B,2,TRUE)</f>
        <v>#N/A</v>
      </c>
      <c r="AV513" s="850" t="e">
        <f>+Tabla1[[#This Row],[SUBTOTAL]]/Tabla1[[#This Row],[TIPO DE CAMBIO]]</f>
        <v>#N/A</v>
      </c>
      <c r="AW513" s="851"/>
      <c r="AX513" s="850" t="str">
        <f>IFERROR(Tabla1[[#This Row],[VENTA TOTAL USD A PLAZO EN CLIENTE  (SIN IVA)]]*(1+Tabla1[[#This Row],[% IVA ]]),"")</f>
        <v/>
      </c>
      <c r="AY513" s="850" t="e">
        <f>+Tabla1[[#This Row],[VENTA TOTAL USD A PLAZO EN CLIENTE  (SIN IVA)]]/Tabla1[[#This Row],[KGS]]*1000</f>
        <v>#N/A</v>
      </c>
      <c r="AZ513" s="850" t="e">
        <f>-Tabla1[[#This Row],[COSTO FLETE $ POR BOLSA 5O KG (SIN IVA)]]*20/Tabla1[[#This Row],[TIPO DE CAMBIO]]</f>
        <v>#N/A</v>
      </c>
      <c r="BA513" s="850" t="e">
        <f>+Tabla1[[#This Row],[GASTOS FINANCIEROS $ BOLSA 50 KG (IVA INC)]]*20/Tabla1[[#This Row],[TIPO DE CAMBIO]]</f>
        <v>#VALUE!</v>
      </c>
      <c r="BB513" s="850" t="e">
        <f>+Tabla1[[#This Row],[PRECIO POR TN USD EN CLIENTE A PLAZO (SIN IVA)]]+Tabla1[[#This Row],[COSTO USD FLETE /TN (SIN IVA)]]+Tabla1[[#This Row],[COSTO FINANCIERO USD POR BOLSA 50KG (IVA INC)]]</f>
        <v>#N/A</v>
      </c>
      <c r="BC513" s="828"/>
      <c r="BD513" s="944"/>
    </row>
    <row r="514" spans="1:56" ht="15.75" customHeight="1">
      <c r="A514" s="912">
        <v>46266</v>
      </c>
      <c r="B514" s="853"/>
      <c r="C514" s="792"/>
      <c r="D514" s="829">
        <f>+Tabla1[[#This Row],[FECHA Entrega]]</f>
        <v>0</v>
      </c>
      <c r="E514" s="830"/>
      <c r="F514" s="831"/>
      <c r="G514" s="832"/>
      <c r="H514" s="852"/>
      <c r="I514" s="834"/>
      <c r="J514" s="835"/>
      <c r="K514" s="836">
        <f t="shared" si="142"/>
        <v>0</v>
      </c>
      <c r="L51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14" s="837">
        <f t="shared" si="144"/>
        <v>0</v>
      </c>
      <c r="N514" s="838">
        <f>+Tabla1[[#This Row],[VENTA TOTAL $ (IVA INC) ]]</f>
        <v>0</v>
      </c>
      <c r="O514" s="838">
        <v>0</v>
      </c>
      <c r="P514" s="838">
        <v>0</v>
      </c>
      <c r="Q514" s="839">
        <f>+Tabla1[[#This Row],[VENTA TOTAL $ (IVA INC) ]]-Tabla1[[#This Row],[PENDIENTE DE COBRO]]</f>
        <v>0</v>
      </c>
      <c r="R514" s="840">
        <f>+Tabla1[[#This Row],[FECHA FC]]+Tabla1[[#This Row],[PLAZO ENTREGA VALORES]]</f>
        <v>0</v>
      </c>
      <c r="S514" s="840">
        <f>+Tabla1[[#This Row],[FECHA FC]]+Tabla1[[#This Row],[PLAZO PAGO (DIAS)]]</f>
        <v>0</v>
      </c>
      <c r="T514" s="834">
        <f t="shared" ca="1" si="143"/>
        <v>-46181</v>
      </c>
      <c r="U514" s="831"/>
      <c r="V514" s="831"/>
      <c r="W514" s="841">
        <f>+Tabla1[[#This Row],[FECHA VTO VALORES]]+7</f>
        <v>7</v>
      </c>
      <c r="X514" s="830"/>
      <c r="Y514" s="859"/>
      <c r="Z514" s="860">
        <f>Tabla1[[#This Row],[KGS]]/50</f>
        <v>0</v>
      </c>
      <c r="AA51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14" s="844">
        <f>-Tabla1[[#This Row],[COSTO FLETE $ POR BOLSA 5O KG (SIN IVA)]]*1.21-Tabla1[[#This Row],[PRECIO $/ KG A PLAZO EN CLIENTE ( SIN IVA)]]*0.003*1.21*50</f>
        <v>0</v>
      </c>
      <c r="AC514" s="845" t="e">
        <f>SUM(Tabla1[[#This Row],[PRECIO $ BOLSA 50 KG (IVA INC) ]]+Tabla1[[#This Row],[COSTO FLETE $ BOLSA 50 KG (IVA INC)]])</f>
        <v>#VALUE!</v>
      </c>
      <c r="AD514" s="844" t="e">
        <f>-Tabla1[[#This Row],[PRECIO $ BOLSA 50 KG (IVA INC) ]]*(Tabla1[[#This Row],[TASA FINANCIACION MENSUAL]]/365)*Tabla1[[#This Row],[PLAZO ENTREGA VALORES]]</f>
        <v>#VALUE!</v>
      </c>
      <c r="AE514" s="845" t="e">
        <f>SUM(Tabla1[[#This Row],[PRECIO $ BOLSA50 KG  FOB TUCUMAN A PLAZO (IVA INC)]]+Tabla1[[#This Row],[GASTOS FINANCIEROS $ BOLSA 50 KG (IVA INC)]])</f>
        <v>#VALUE!</v>
      </c>
      <c r="AF514" s="828"/>
      <c r="AG514" s="828"/>
      <c r="AH514" s="828"/>
      <c r="AI514" s="828"/>
      <c r="AJ51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14" s="846" t="e">
        <f>SUM(Tabla1[[#This Row],[PRECIO $ BOLSA 50KG  FOB CDO TUC (IVA INC)]]-Tabla1[[#This Row],[PRECIO REF $ BOLSA 50 KG CACTU (IVA INC)]])</f>
        <v>#VALUE!</v>
      </c>
      <c r="AL514" s="847" t="str">
        <f>IFERROR(Tabla1[[#This Row],[PRECIO $ BOLSA 50KG  FOB CDO TUC (IVA INC)]]/Tabla1[[#This Row],[PRECIO REF $ BOLSA 50 KG CACTU (IVA INC)]]-1,"")</f>
        <v/>
      </c>
      <c r="AM514" s="846" t="e">
        <f>+Tabla1[[#This Row],[DIF $ PRECIO NETO INDUSTRIA vs Neto TUCUMAN (IVA INC)]]*Tabla1[[#This Row],[Q Bolsas Equivalentes 50kg]]</f>
        <v>#VALUE!</v>
      </c>
      <c r="AN514" s="846" t="e">
        <f>Tabla1[[#This Row],[PRECIO REF $ BOLSA 50 KG CACTU (IVA INC)]]*Tabla1[[#This Row],[Q Bolsas Equivalentes 50kg]]</f>
        <v>#VALUE!</v>
      </c>
      <c r="AO514" s="846" t="e">
        <f>+Tabla1[[#This Row],[PRECIO $ BOLSA 50KG  FOB CDO TUC (IVA INC)]]*Tabla1[[#This Row],[Q Bolsas Equivalentes 50kg]]</f>
        <v>#VALUE!</v>
      </c>
      <c r="AP514" s="847"/>
      <c r="AQ514" s="846">
        <v>0</v>
      </c>
      <c r="AR514" s="828"/>
      <c r="AS514" s="849"/>
      <c r="AT514" s="923">
        <f>+Tabla1[[#This Row],[VENTA TOTAL $ (IVA INC) ]]-(SUM(Tabla1[[#This Row],[PENDIENTE DE ENTREGA]:[VALORES COBRADOS]]))</f>
        <v>0</v>
      </c>
      <c r="AU514" s="850" t="e">
        <f>VLOOKUP(Tabla1[[#This Row],[FECHA OC]],'TIPO DE CAMBIO'!A:B,2,TRUE)</f>
        <v>#N/A</v>
      </c>
      <c r="AV514" s="850" t="e">
        <f>+Tabla1[[#This Row],[SUBTOTAL]]/Tabla1[[#This Row],[TIPO DE CAMBIO]]</f>
        <v>#N/A</v>
      </c>
      <c r="AW514" s="851"/>
      <c r="AX514" s="850" t="str">
        <f>IFERROR(Tabla1[[#This Row],[VENTA TOTAL USD A PLAZO EN CLIENTE  (SIN IVA)]]*(1+Tabla1[[#This Row],[% IVA ]]),"")</f>
        <v/>
      </c>
      <c r="AY514" s="850" t="e">
        <f>+Tabla1[[#This Row],[VENTA TOTAL USD A PLAZO EN CLIENTE  (SIN IVA)]]/Tabla1[[#This Row],[KGS]]*1000</f>
        <v>#N/A</v>
      </c>
      <c r="AZ514" s="850" t="e">
        <f>-Tabla1[[#This Row],[COSTO FLETE $ POR BOLSA 5O KG (SIN IVA)]]*20/Tabla1[[#This Row],[TIPO DE CAMBIO]]</f>
        <v>#N/A</v>
      </c>
      <c r="BA514" s="850" t="e">
        <f>+Tabla1[[#This Row],[GASTOS FINANCIEROS $ BOLSA 50 KG (IVA INC)]]*20/Tabla1[[#This Row],[TIPO DE CAMBIO]]</f>
        <v>#VALUE!</v>
      </c>
      <c r="BB514" s="850" t="e">
        <f>+Tabla1[[#This Row],[PRECIO POR TN USD EN CLIENTE A PLAZO (SIN IVA)]]+Tabla1[[#This Row],[COSTO USD FLETE /TN (SIN IVA)]]+Tabla1[[#This Row],[COSTO FINANCIERO USD POR BOLSA 50KG (IVA INC)]]</f>
        <v>#N/A</v>
      </c>
      <c r="BC514" s="828"/>
      <c r="BD514" s="944"/>
    </row>
    <row r="515" spans="1:56" ht="15.75" customHeight="1">
      <c r="A515" s="912">
        <v>46266</v>
      </c>
      <c r="B515" s="853"/>
      <c r="C515" s="792"/>
      <c r="D515" s="829">
        <f>+Tabla1[[#This Row],[FECHA Entrega]]</f>
        <v>0</v>
      </c>
      <c r="E515" s="830"/>
      <c r="F515" s="831"/>
      <c r="G515" s="832"/>
      <c r="H515" s="852"/>
      <c r="I515" s="834"/>
      <c r="J515" s="835"/>
      <c r="K515" s="836">
        <f t="shared" si="142"/>
        <v>0</v>
      </c>
      <c r="L51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15" s="837">
        <f t="shared" si="144"/>
        <v>0</v>
      </c>
      <c r="N515" s="838">
        <f>+Tabla1[[#This Row],[VENTA TOTAL $ (IVA INC) ]]</f>
        <v>0</v>
      </c>
      <c r="O515" s="838">
        <v>0</v>
      </c>
      <c r="P515" s="838">
        <v>0</v>
      </c>
      <c r="Q515" s="839">
        <f>+Tabla1[[#This Row],[VENTA TOTAL $ (IVA INC) ]]-Tabla1[[#This Row],[PENDIENTE DE COBRO]]</f>
        <v>0</v>
      </c>
      <c r="R515" s="840">
        <f>+Tabla1[[#This Row],[FECHA FC]]+Tabla1[[#This Row],[PLAZO ENTREGA VALORES]]</f>
        <v>0</v>
      </c>
      <c r="S515" s="840">
        <f>+Tabla1[[#This Row],[FECHA FC]]+Tabla1[[#This Row],[PLAZO PAGO (DIAS)]]</f>
        <v>0</v>
      </c>
      <c r="T515" s="834">
        <f t="shared" ca="1" si="143"/>
        <v>-46181</v>
      </c>
      <c r="U515" s="831"/>
      <c r="V515" s="831"/>
      <c r="W515" s="841">
        <f>+Tabla1[[#This Row],[FECHA VTO VALORES]]+7</f>
        <v>7</v>
      </c>
      <c r="X515" s="830"/>
      <c r="Y515" s="859"/>
      <c r="Z515" s="860">
        <f>Tabla1[[#This Row],[KGS]]/50</f>
        <v>0</v>
      </c>
      <c r="AA51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15" s="844">
        <f>-Tabla1[[#This Row],[COSTO FLETE $ POR BOLSA 5O KG (SIN IVA)]]*1.21-Tabla1[[#This Row],[PRECIO $/ KG A PLAZO EN CLIENTE ( SIN IVA)]]*0.003*1.21*50</f>
        <v>0</v>
      </c>
      <c r="AC515" s="845" t="e">
        <f>SUM(Tabla1[[#This Row],[PRECIO $ BOLSA 50 KG (IVA INC) ]]+Tabla1[[#This Row],[COSTO FLETE $ BOLSA 50 KG (IVA INC)]])</f>
        <v>#VALUE!</v>
      </c>
      <c r="AD515" s="844" t="e">
        <f>-Tabla1[[#This Row],[PRECIO $ BOLSA 50 KG (IVA INC) ]]*(Tabla1[[#This Row],[TASA FINANCIACION MENSUAL]]/365)*Tabla1[[#This Row],[PLAZO ENTREGA VALORES]]</f>
        <v>#VALUE!</v>
      </c>
      <c r="AE515" s="845" t="e">
        <f>SUM(Tabla1[[#This Row],[PRECIO $ BOLSA50 KG  FOB TUCUMAN A PLAZO (IVA INC)]]+Tabla1[[#This Row],[GASTOS FINANCIEROS $ BOLSA 50 KG (IVA INC)]])</f>
        <v>#VALUE!</v>
      </c>
      <c r="AF515" s="828"/>
      <c r="AG515" s="828"/>
      <c r="AH515" s="828"/>
      <c r="AI515" s="828"/>
      <c r="AJ51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15" s="846" t="e">
        <f>SUM(Tabla1[[#This Row],[PRECIO $ BOLSA 50KG  FOB CDO TUC (IVA INC)]]-Tabla1[[#This Row],[PRECIO REF $ BOLSA 50 KG CACTU (IVA INC)]])</f>
        <v>#VALUE!</v>
      </c>
      <c r="AL515" s="847" t="str">
        <f>IFERROR(Tabla1[[#This Row],[PRECIO $ BOLSA 50KG  FOB CDO TUC (IVA INC)]]/Tabla1[[#This Row],[PRECIO REF $ BOLSA 50 KG CACTU (IVA INC)]]-1,"")</f>
        <v/>
      </c>
      <c r="AM515" s="846" t="e">
        <f>+Tabla1[[#This Row],[DIF $ PRECIO NETO INDUSTRIA vs Neto TUCUMAN (IVA INC)]]*Tabla1[[#This Row],[Q Bolsas Equivalentes 50kg]]</f>
        <v>#VALUE!</v>
      </c>
      <c r="AN515" s="846" t="e">
        <f>Tabla1[[#This Row],[PRECIO REF $ BOLSA 50 KG CACTU (IVA INC)]]*Tabla1[[#This Row],[Q Bolsas Equivalentes 50kg]]</f>
        <v>#VALUE!</v>
      </c>
      <c r="AO515" s="846" t="e">
        <f>+Tabla1[[#This Row],[PRECIO $ BOLSA 50KG  FOB CDO TUC (IVA INC)]]*Tabla1[[#This Row],[Q Bolsas Equivalentes 50kg]]</f>
        <v>#VALUE!</v>
      </c>
      <c r="AP515" s="847"/>
      <c r="AQ515" s="846">
        <v>0</v>
      </c>
      <c r="AR515" s="828"/>
      <c r="AS515" s="849"/>
      <c r="AT515" s="923">
        <f>+Tabla1[[#This Row],[VENTA TOTAL $ (IVA INC) ]]-(SUM(Tabla1[[#This Row],[PENDIENTE DE ENTREGA]:[VALORES COBRADOS]]))</f>
        <v>0</v>
      </c>
      <c r="AU515" s="850" t="e">
        <f>VLOOKUP(Tabla1[[#This Row],[FECHA OC]],'TIPO DE CAMBIO'!A:B,2,TRUE)</f>
        <v>#N/A</v>
      </c>
      <c r="AV515" s="850" t="e">
        <f>+Tabla1[[#This Row],[SUBTOTAL]]/Tabla1[[#This Row],[TIPO DE CAMBIO]]</f>
        <v>#N/A</v>
      </c>
      <c r="AW515" s="851"/>
      <c r="AX515" s="850" t="str">
        <f>IFERROR(Tabla1[[#This Row],[VENTA TOTAL USD A PLAZO EN CLIENTE  (SIN IVA)]]*(1+Tabla1[[#This Row],[% IVA ]]),"")</f>
        <v/>
      </c>
      <c r="AY515" s="850" t="e">
        <f>+Tabla1[[#This Row],[VENTA TOTAL USD A PLAZO EN CLIENTE  (SIN IVA)]]/Tabla1[[#This Row],[KGS]]*1000</f>
        <v>#N/A</v>
      </c>
      <c r="AZ515" s="850" t="e">
        <f>-Tabla1[[#This Row],[COSTO FLETE $ POR BOLSA 5O KG (SIN IVA)]]*20/Tabla1[[#This Row],[TIPO DE CAMBIO]]</f>
        <v>#N/A</v>
      </c>
      <c r="BA515" s="850" t="e">
        <f>+Tabla1[[#This Row],[GASTOS FINANCIEROS $ BOLSA 50 KG (IVA INC)]]*20/Tabla1[[#This Row],[TIPO DE CAMBIO]]</f>
        <v>#VALUE!</v>
      </c>
      <c r="BB515" s="850" t="e">
        <f>+Tabla1[[#This Row],[PRECIO POR TN USD EN CLIENTE A PLAZO (SIN IVA)]]+Tabla1[[#This Row],[COSTO USD FLETE /TN (SIN IVA)]]+Tabla1[[#This Row],[COSTO FINANCIERO USD POR BOLSA 50KG (IVA INC)]]</f>
        <v>#N/A</v>
      </c>
      <c r="BC515" s="828"/>
      <c r="BD515" s="944"/>
    </row>
    <row r="516" spans="1:56" ht="15.75" customHeight="1">
      <c r="A516" s="912">
        <v>46266</v>
      </c>
      <c r="B516" s="853"/>
      <c r="C516" s="792"/>
      <c r="D516" s="829">
        <f>+Tabla1[[#This Row],[FECHA Entrega]]</f>
        <v>0</v>
      </c>
      <c r="E516" s="830"/>
      <c r="F516" s="831"/>
      <c r="G516" s="832"/>
      <c r="H516" s="852"/>
      <c r="I516" s="834"/>
      <c r="J516" s="835"/>
      <c r="K516" s="836">
        <f t="shared" si="142"/>
        <v>0</v>
      </c>
      <c r="L51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16" s="837">
        <f t="shared" si="144"/>
        <v>0</v>
      </c>
      <c r="N516" s="838">
        <f>+Tabla1[[#This Row],[VENTA TOTAL $ (IVA INC) ]]</f>
        <v>0</v>
      </c>
      <c r="O516" s="838">
        <v>0</v>
      </c>
      <c r="P516" s="838">
        <v>0</v>
      </c>
      <c r="Q516" s="839">
        <f>+Tabla1[[#This Row],[VENTA TOTAL $ (IVA INC) ]]-Tabla1[[#This Row],[PENDIENTE DE COBRO]]</f>
        <v>0</v>
      </c>
      <c r="R516" s="840">
        <f>+Tabla1[[#This Row],[FECHA FC]]+Tabla1[[#This Row],[PLAZO ENTREGA VALORES]]</f>
        <v>0</v>
      </c>
      <c r="S516" s="840">
        <f>+Tabla1[[#This Row],[FECHA FC]]+Tabla1[[#This Row],[PLAZO PAGO (DIAS)]]</f>
        <v>0</v>
      </c>
      <c r="T516" s="834">
        <f t="shared" ca="1" si="143"/>
        <v>-46181</v>
      </c>
      <c r="U516" s="831"/>
      <c r="V516" s="831"/>
      <c r="W516" s="841">
        <f>+Tabla1[[#This Row],[FECHA VTO VALORES]]+7</f>
        <v>7</v>
      </c>
      <c r="X516" s="830"/>
      <c r="Y516" s="859"/>
      <c r="Z516" s="860">
        <f>Tabla1[[#This Row],[KGS]]/50</f>
        <v>0</v>
      </c>
      <c r="AA51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16" s="844">
        <f>-Tabla1[[#This Row],[COSTO FLETE $ POR BOLSA 5O KG (SIN IVA)]]*1.21-Tabla1[[#This Row],[PRECIO $/ KG A PLAZO EN CLIENTE ( SIN IVA)]]*0.003*1.21*50</f>
        <v>0</v>
      </c>
      <c r="AC516" s="845" t="e">
        <f>SUM(Tabla1[[#This Row],[PRECIO $ BOLSA 50 KG (IVA INC) ]]+Tabla1[[#This Row],[COSTO FLETE $ BOLSA 50 KG (IVA INC)]])</f>
        <v>#VALUE!</v>
      </c>
      <c r="AD516" s="844" t="e">
        <f>-Tabla1[[#This Row],[PRECIO $ BOLSA 50 KG (IVA INC) ]]*(Tabla1[[#This Row],[TASA FINANCIACION MENSUAL]]/365)*Tabla1[[#This Row],[PLAZO ENTREGA VALORES]]</f>
        <v>#VALUE!</v>
      </c>
      <c r="AE516" s="845" t="e">
        <f>SUM(Tabla1[[#This Row],[PRECIO $ BOLSA50 KG  FOB TUCUMAN A PLAZO (IVA INC)]]+Tabla1[[#This Row],[GASTOS FINANCIEROS $ BOLSA 50 KG (IVA INC)]])</f>
        <v>#VALUE!</v>
      </c>
      <c r="AF516" s="828"/>
      <c r="AG516" s="828"/>
      <c r="AH516" s="828"/>
      <c r="AI516" s="828"/>
      <c r="AJ51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16" s="846" t="e">
        <f>SUM(Tabla1[[#This Row],[PRECIO $ BOLSA 50KG  FOB CDO TUC (IVA INC)]]-Tabla1[[#This Row],[PRECIO REF $ BOLSA 50 KG CACTU (IVA INC)]])</f>
        <v>#VALUE!</v>
      </c>
      <c r="AL516" s="847" t="str">
        <f>IFERROR(Tabla1[[#This Row],[PRECIO $ BOLSA 50KG  FOB CDO TUC (IVA INC)]]/Tabla1[[#This Row],[PRECIO REF $ BOLSA 50 KG CACTU (IVA INC)]]-1,"")</f>
        <v/>
      </c>
      <c r="AM516" s="846" t="e">
        <f>+Tabla1[[#This Row],[DIF $ PRECIO NETO INDUSTRIA vs Neto TUCUMAN (IVA INC)]]*Tabla1[[#This Row],[Q Bolsas Equivalentes 50kg]]</f>
        <v>#VALUE!</v>
      </c>
      <c r="AN516" s="846" t="e">
        <f>Tabla1[[#This Row],[PRECIO REF $ BOLSA 50 KG CACTU (IVA INC)]]*Tabla1[[#This Row],[Q Bolsas Equivalentes 50kg]]</f>
        <v>#VALUE!</v>
      </c>
      <c r="AO516" s="846" t="e">
        <f>+Tabla1[[#This Row],[PRECIO $ BOLSA 50KG  FOB CDO TUC (IVA INC)]]*Tabla1[[#This Row],[Q Bolsas Equivalentes 50kg]]</f>
        <v>#VALUE!</v>
      </c>
      <c r="AP516" s="847"/>
      <c r="AQ516" s="846">
        <v>0</v>
      </c>
      <c r="AR516" s="828"/>
      <c r="AS516" s="849"/>
      <c r="AT516" s="923">
        <f>+Tabla1[[#This Row],[VENTA TOTAL $ (IVA INC) ]]-(SUM(Tabla1[[#This Row],[PENDIENTE DE ENTREGA]:[VALORES COBRADOS]]))</f>
        <v>0</v>
      </c>
      <c r="AU516" s="850" t="e">
        <f>VLOOKUP(Tabla1[[#This Row],[FECHA OC]],'TIPO DE CAMBIO'!A:B,2,TRUE)</f>
        <v>#N/A</v>
      </c>
      <c r="AV516" s="850" t="e">
        <f>+Tabla1[[#This Row],[SUBTOTAL]]/Tabla1[[#This Row],[TIPO DE CAMBIO]]</f>
        <v>#N/A</v>
      </c>
      <c r="AW516" s="851"/>
      <c r="AX516" s="850" t="str">
        <f>IFERROR(Tabla1[[#This Row],[VENTA TOTAL USD A PLAZO EN CLIENTE  (SIN IVA)]]*(1+Tabla1[[#This Row],[% IVA ]]),"")</f>
        <v/>
      </c>
      <c r="AY516" s="850" t="e">
        <f>+Tabla1[[#This Row],[VENTA TOTAL USD A PLAZO EN CLIENTE  (SIN IVA)]]/Tabla1[[#This Row],[KGS]]*1000</f>
        <v>#N/A</v>
      </c>
      <c r="AZ516" s="850" t="e">
        <f>-Tabla1[[#This Row],[COSTO FLETE $ POR BOLSA 5O KG (SIN IVA)]]*20/Tabla1[[#This Row],[TIPO DE CAMBIO]]</f>
        <v>#N/A</v>
      </c>
      <c r="BA516" s="850" t="e">
        <f>+Tabla1[[#This Row],[GASTOS FINANCIEROS $ BOLSA 50 KG (IVA INC)]]*20/Tabla1[[#This Row],[TIPO DE CAMBIO]]</f>
        <v>#VALUE!</v>
      </c>
      <c r="BB516" s="850" t="e">
        <f>+Tabla1[[#This Row],[PRECIO POR TN USD EN CLIENTE A PLAZO (SIN IVA)]]+Tabla1[[#This Row],[COSTO USD FLETE /TN (SIN IVA)]]+Tabla1[[#This Row],[COSTO FINANCIERO USD POR BOLSA 50KG (IVA INC)]]</f>
        <v>#N/A</v>
      </c>
      <c r="BC516" s="828"/>
      <c r="BD516" s="944"/>
    </row>
    <row r="517" spans="1:56" ht="15.75" customHeight="1">
      <c r="A517" s="912">
        <v>46266</v>
      </c>
      <c r="B517" s="853"/>
      <c r="C517" s="792"/>
      <c r="D517" s="829">
        <f>+Tabla1[[#This Row],[FECHA Entrega]]</f>
        <v>0</v>
      </c>
      <c r="E517" s="830"/>
      <c r="F517" s="831"/>
      <c r="G517" s="832"/>
      <c r="H517" s="852"/>
      <c r="I517" s="834"/>
      <c r="J517" s="835"/>
      <c r="K517" s="836">
        <f t="shared" si="142"/>
        <v>0</v>
      </c>
      <c r="L51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17" s="837">
        <f t="shared" si="144"/>
        <v>0</v>
      </c>
      <c r="N517" s="838">
        <f>+Tabla1[[#This Row],[VENTA TOTAL $ (IVA INC) ]]</f>
        <v>0</v>
      </c>
      <c r="O517" s="838">
        <v>0</v>
      </c>
      <c r="P517" s="838">
        <v>0</v>
      </c>
      <c r="Q517" s="839">
        <f>+Tabla1[[#This Row],[VENTA TOTAL $ (IVA INC) ]]-Tabla1[[#This Row],[PENDIENTE DE COBRO]]</f>
        <v>0</v>
      </c>
      <c r="R517" s="840">
        <f>+Tabla1[[#This Row],[FECHA FC]]+Tabla1[[#This Row],[PLAZO ENTREGA VALORES]]</f>
        <v>0</v>
      </c>
      <c r="S517" s="840">
        <f>+Tabla1[[#This Row],[FECHA FC]]+Tabla1[[#This Row],[PLAZO PAGO (DIAS)]]</f>
        <v>0</v>
      </c>
      <c r="T517" s="834">
        <f t="shared" ca="1" si="143"/>
        <v>-46181</v>
      </c>
      <c r="U517" s="831"/>
      <c r="V517" s="831"/>
      <c r="W517" s="841">
        <f>+Tabla1[[#This Row],[FECHA VTO VALORES]]+7</f>
        <v>7</v>
      </c>
      <c r="X517" s="830"/>
      <c r="Y517" s="859"/>
      <c r="Z517" s="860">
        <f>Tabla1[[#This Row],[KGS]]/50</f>
        <v>0</v>
      </c>
      <c r="AA51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17" s="844">
        <f>-Tabla1[[#This Row],[COSTO FLETE $ POR BOLSA 5O KG (SIN IVA)]]*1.21-Tabla1[[#This Row],[PRECIO $/ KG A PLAZO EN CLIENTE ( SIN IVA)]]*0.003*1.21*50</f>
        <v>0</v>
      </c>
      <c r="AC517" s="845" t="e">
        <f>SUM(Tabla1[[#This Row],[PRECIO $ BOLSA 50 KG (IVA INC) ]]+Tabla1[[#This Row],[COSTO FLETE $ BOLSA 50 KG (IVA INC)]])</f>
        <v>#VALUE!</v>
      </c>
      <c r="AD517" s="844" t="e">
        <f>-Tabla1[[#This Row],[PRECIO $ BOLSA 50 KG (IVA INC) ]]*(Tabla1[[#This Row],[TASA FINANCIACION MENSUAL]]/365)*Tabla1[[#This Row],[PLAZO ENTREGA VALORES]]</f>
        <v>#VALUE!</v>
      </c>
      <c r="AE517" s="845" t="e">
        <f>SUM(Tabla1[[#This Row],[PRECIO $ BOLSA50 KG  FOB TUCUMAN A PLAZO (IVA INC)]]+Tabla1[[#This Row],[GASTOS FINANCIEROS $ BOLSA 50 KG (IVA INC)]])</f>
        <v>#VALUE!</v>
      </c>
      <c r="AF517" s="828"/>
      <c r="AG517" s="828"/>
      <c r="AH517" s="828"/>
      <c r="AI517" s="828"/>
      <c r="AJ51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17" s="846" t="e">
        <f>SUM(Tabla1[[#This Row],[PRECIO $ BOLSA 50KG  FOB CDO TUC (IVA INC)]]-Tabla1[[#This Row],[PRECIO REF $ BOLSA 50 KG CACTU (IVA INC)]])</f>
        <v>#VALUE!</v>
      </c>
      <c r="AL517" s="847" t="str">
        <f>IFERROR(Tabla1[[#This Row],[PRECIO $ BOLSA 50KG  FOB CDO TUC (IVA INC)]]/Tabla1[[#This Row],[PRECIO REF $ BOLSA 50 KG CACTU (IVA INC)]]-1,"")</f>
        <v/>
      </c>
      <c r="AM517" s="846" t="e">
        <f>+Tabla1[[#This Row],[DIF $ PRECIO NETO INDUSTRIA vs Neto TUCUMAN (IVA INC)]]*Tabla1[[#This Row],[Q Bolsas Equivalentes 50kg]]</f>
        <v>#VALUE!</v>
      </c>
      <c r="AN517" s="846" t="e">
        <f>Tabla1[[#This Row],[PRECIO REF $ BOLSA 50 KG CACTU (IVA INC)]]*Tabla1[[#This Row],[Q Bolsas Equivalentes 50kg]]</f>
        <v>#VALUE!</v>
      </c>
      <c r="AO517" s="846" t="e">
        <f>+Tabla1[[#This Row],[PRECIO $ BOLSA 50KG  FOB CDO TUC (IVA INC)]]*Tabla1[[#This Row],[Q Bolsas Equivalentes 50kg]]</f>
        <v>#VALUE!</v>
      </c>
      <c r="AP517" s="847"/>
      <c r="AQ517" s="846">
        <v>0</v>
      </c>
      <c r="AR517" s="828"/>
      <c r="AS517" s="849"/>
      <c r="AT517" s="923">
        <f>+Tabla1[[#This Row],[VENTA TOTAL $ (IVA INC) ]]-(SUM(Tabla1[[#This Row],[PENDIENTE DE ENTREGA]:[VALORES COBRADOS]]))</f>
        <v>0</v>
      </c>
      <c r="AU517" s="850" t="e">
        <f>VLOOKUP(Tabla1[[#This Row],[FECHA OC]],'TIPO DE CAMBIO'!A:B,2,TRUE)</f>
        <v>#N/A</v>
      </c>
      <c r="AV517" s="850" t="e">
        <f>+Tabla1[[#This Row],[SUBTOTAL]]/Tabla1[[#This Row],[TIPO DE CAMBIO]]</f>
        <v>#N/A</v>
      </c>
      <c r="AW517" s="851"/>
      <c r="AX517" s="850" t="str">
        <f>IFERROR(Tabla1[[#This Row],[VENTA TOTAL USD A PLAZO EN CLIENTE  (SIN IVA)]]*(1+Tabla1[[#This Row],[% IVA ]]),"")</f>
        <v/>
      </c>
      <c r="AY517" s="850" t="e">
        <f>+Tabla1[[#This Row],[VENTA TOTAL USD A PLAZO EN CLIENTE  (SIN IVA)]]/Tabla1[[#This Row],[KGS]]*1000</f>
        <v>#N/A</v>
      </c>
      <c r="AZ517" s="850" t="e">
        <f>-Tabla1[[#This Row],[COSTO FLETE $ POR BOLSA 5O KG (SIN IVA)]]*20/Tabla1[[#This Row],[TIPO DE CAMBIO]]</f>
        <v>#N/A</v>
      </c>
      <c r="BA517" s="850" t="e">
        <f>+Tabla1[[#This Row],[GASTOS FINANCIEROS $ BOLSA 50 KG (IVA INC)]]*20/Tabla1[[#This Row],[TIPO DE CAMBIO]]</f>
        <v>#VALUE!</v>
      </c>
      <c r="BB517" s="850" t="e">
        <f>+Tabla1[[#This Row],[PRECIO POR TN USD EN CLIENTE A PLAZO (SIN IVA)]]+Tabla1[[#This Row],[COSTO USD FLETE /TN (SIN IVA)]]+Tabla1[[#This Row],[COSTO FINANCIERO USD POR BOLSA 50KG (IVA INC)]]</f>
        <v>#N/A</v>
      </c>
      <c r="BC517" s="828"/>
      <c r="BD517" s="944"/>
    </row>
    <row r="518" spans="1:56" ht="15.75" customHeight="1">
      <c r="A518" s="912">
        <v>46266</v>
      </c>
      <c r="B518" s="853"/>
      <c r="C518" s="792"/>
      <c r="D518" s="829">
        <f>+Tabla1[[#This Row],[FECHA Entrega]]</f>
        <v>0</v>
      </c>
      <c r="E518" s="830"/>
      <c r="F518" s="831"/>
      <c r="G518" s="832"/>
      <c r="H518" s="852"/>
      <c r="I518" s="834"/>
      <c r="J518" s="835"/>
      <c r="K518" s="836">
        <f t="shared" si="142"/>
        <v>0</v>
      </c>
      <c r="L51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18" s="837">
        <f t="shared" si="144"/>
        <v>0</v>
      </c>
      <c r="N518" s="838">
        <f>+Tabla1[[#This Row],[VENTA TOTAL $ (IVA INC) ]]</f>
        <v>0</v>
      </c>
      <c r="O518" s="838">
        <v>0</v>
      </c>
      <c r="P518" s="838">
        <v>0</v>
      </c>
      <c r="Q518" s="839">
        <f>+Tabla1[[#This Row],[VENTA TOTAL $ (IVA INC) ]]-Tabla1[[#This Row],[PENDIENTE DE COBRO]]</f>
        <v>0</v>
      </c>
      <c r="R518" s="840">
        <f>+Tabla1[[#This Row],[FECHA FC]]+Tabla1[[#This Row],[PLAZO ENTREGA VALORES]]</f>
        <v>0</v>
      </c>
      <c r="S518" s="840">
        <f>+Tabla1[[#This Row],[FECHA FC]]+Tabla1[[#This Row],[PLAZO PAGO (DIAS)]]</f>
        <v>0</v>
      </c>
      <c r="T518" s="834">
        <f t="shared" ca="1" si="143"/>
        <v>-46181</v>
      </c>
      <c r="U518" s="831"/>
      <c r="V518" s="831"/>
      <c r="W518" s="841">
        <f>+Tabla1[[#This Row],[FECHA VTO VALORES]]+7</f>
        <v>7</v>
      </c>
      <c r="X518" s="830"/>
      <c r="Y518" s="859"/>
      <c r="Z518" s="860">
        <f>Tabla1[[#This Row],[KGS]]/50</f>
        <v>0</v>
      </c>
      <c r="AA51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18" s="844">
        <f>-Tabla1[[#This Row],[COSTO FLETE $ POR BOLSA 5O KG (SIN IVA)]]*1.21-Tabla1[[#This Row],[PRECIO $/ KG A PLAZO EN CLIENTE ( SIN IVA)]]*0.003*1.21*50</f>
        <v>0</v>
      </c>
      <c r="AC518" s="845" t="e">
        <f>SUM(Tabla1[[#This Row],[PRECIO $ BOLSA 50 KG (IVA INC) ]]+Tabla1[[#This Row],[COSTO FLETE $ BOLSA 50 KG (IVA INC)]])</f>
        <v>#VALUE!</v>
      </c>
      <c r="AD518" s="844" t="e">
        <f>-Tabla1[[#This Row],[PRECIO $ BOLSA 50 KG (IVA INC) ]]*(Tabla1[[#This Row],[TASA FINANCIACION MENSUAL]]/365)*Tabla1[[#This Row],[PLAZO ENTREGA VALORES]]</f>
        <v>#VALUE!</v>
      </c>
      <c r="AE518" s="845" t="e">
        <f>SUM(Tabla1[[#This Row],[PRECIO $ BOLSA50 KG  FOB TUCUMAN A PLAZO (IVA INC)]]+Tabla1[[#This Row],[GASTOS FINANCIEROS $ BOLSA 50 KG (IVA INC)]])</f>
        <v>#VALUE!</v>
      </c>
      <c r="AF518" s="828"/>
      <c r="AG518" s="828"/>
      <c r="AH518" s="828"/>
      <c r="AI518" s="828"/>
      <c r="AJ51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18" s="846" t="e">
        <f>SUM(Tabla1[[#This Row],[PRECIO $ BOLSA 50KG  FOB CDO TUC (IVA INC)]]-Tabla1[[#This Row],[PRECIO REF $ BOLSA 50 KG CACTU (IVA INC)]])</f>
        <v>#VALUE!</v>
      </c>
      <c r="AL518" s="847" t="str">
        <f>IFERROR(Tabla1[[#This Row],[PRECIO $ BOLSA 50KG  FOB CDO TUC (IVA INC)]]/Tabla1[[#This Row],[PRECIO REF $ BOLSA 50 KG CACTU (IVA INC)]]-1,"")</f>
        <v/>
      </c>
      <c r="AM518" s="846" t="e">
        <f>+Tabla1[[#This Row],[DIF $ PRECIO NETO INDUSTRIA vs Neto TUCUMAN (IVA INC)]]*Tabla1[[#This Row],[Q Bolsas Equivalentes 50kg]]</f>
        <v>#VALUE!</v>
      </c>
      <c r="AN518" s="846" t="e">
        <f>Tabla1[[#This Row],[PRECIO REF $ BOLSA 50 KG CACTU (IVA INC)]]*Tabla1[[#This Row],[Q Bolsas Equivalentes 50kg]]</f>
        <v>#VALUE!</v>
      </c>
      <c r="AO518" s="846" t="e">
        <f>+Tabla1[[#This Row],[PRECIO $ BOLSA 50KG  FOB CDO TUC (IVA INC)]]*Tabla1[[#This Row],[Q Bolsas Equivalentes 50kg]]</f>
        <v>#VALUE!</v>
      </c>
      <c r="AP518" s="847"/>
      <c r="AQ518" s="846">
        <v>0</v>
      </c>
      <c r="AR518" s="828"/>
      <c r="AS518" s="849"/>
      <c r="AT518" s="923">
        <f>+Tabla1[[#This Row],[VENTA TOTAL $ (IVA INC) ]]-(SUM(Tabla1[[#This Row],[PENDIENTE DE ENTREGA]:[VALORES COBRADOS]]))</f>
        <v>0</v>
      </c>
      <c r="AU518" s="850" t="e">
        <f>VLOOKUP(Tabla1[[#This Row],[FECHA OC]],'TIPO DE CAMBIO'!A:B,2,TRUE)</f>
        <v>#N/A</v>
      </c>
      <c r="AV518" s="850" t="e">
        <f>+Tabla1[[#This Row],[SUBTOTAL]]/Tabla1[[#This Row],[TIPO DE CAMBIO]]</f>
        <v>#N/A</v>
      </c>
      <c r="AW518" s="851"/>
      <c r="AX518" s="850" t="str">
        <f>IFERROR(Tabla1[[#This Row],[VENTA TOTAL USD A PLAZO EN CLIENTE  (SIN IVA)]]*(1+Tabla1[[#This Row],[% IVA ]]),"")</f>
        <v/>
      </c>
      <c r="AY518" s="850" t="e">
        <f>+Tabla1[[#This Row],[VENTA TOTAL USD A PLAZO EN CLIENTE  (SIN IVA)]]/Tabla1[[#This Row],[KGS]]*1000</f>
        <v>#N/A</v>
      </c>
      <c r="AZ518" s="850" t="e">
        <f>-Tabla1[[#This Row],[COSTO FLETE $ POR BOLSA 5O KG (SIN IVA)]]*20/Tabla1[[#This Row],[TIPO DE CAMBIO]]</f>
        <v>#N/A</v>
      </c>
      <c r="BA518" s="850" t="e">
        <f>+Tabla1[[#This Row],[GASTOS FINANCIEROS $ BOLSA 50 KG (IVA INC)]]*20/Tabla1[[#This Row],[TIPO DE CAMBIO]]</f>
        <v>#VALUE!</v>
      </c>
      <c r="BB518" s="850" t="e">
        <f>+Tabla1[[#This Row],[PRECIO POR TN USD EN CLIENTE A PLAZO (SIN IVA)]]+Tabla1[[#This Row],[COSTO USD FLETE /TN (SIN IVA)]]+Tabla1[[#This Row],[COSTO FINANCIERO USD POR BOLSA 50KG (IVA INC)]]</f>
        <v>#N/A</v>
      </c>
      <c r="BC518" s="828"/>
      <c r="BD518" s="944"/>
    </row>
    <row r="519" spans="1:56" ht="15.75" customHeight="1">
      <c r="A519" s="912">
        <v>46266</v>
      </c>
      <c r="B519" s="853"/>
      <c r="C519" s="792"/>
      <c r="D519" s="829">
        <f>+Tabla1[[#This Row],[FECHA Entrega]]</f>
        <v>0</v>
      </c>
      <c r="E519" s="830"/>
      <c r="F519" s="831"/>
      <c r="G519" s="832"/>
      <c r="H519" s="852"/>
      <c r="I519" s="834"/>
      <c r="J519" s="835"/>
      <c r="K519" s="836">
        <f t="shared" si="142"/>
        <v>0</v>
      </c>
      <c r="L51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19" s="837">
        <f t="shared" si="144"/>
        <v>0</v>
      </c>
      <c r="N519" s="838">
        <f>+Tabla1[[#This Row],[VENTA TOTAL $ (IVA INC) ]]</f>
        <v>0</v>
      </c>
      <c r="O519" s="838">
        <v>0</v>
      </c>
      <c r="P519" s="838">
        <v>0</v>
      </c>
      <c r="Q519" s="839">
        <f>+Tabla1[[#This Row],[VENTA TOTAL $ (IVA INC) ]]-Tabla1[[#This Row],[PENDIENTE DE COBRO]]</f>
        <v>0</v>
      </c>
      <c r="R519" s="840">
        <f>+Tabla1[[#This Row],[FECHA FC]]+Tabla1[[#This Row],[PLAZO ENTREGA VALORES]]</f>
        <v>0</v>
      </c>
      <c r="S519" s="840">
        <f>+Tabla1[[#This Row],[FECHA FC]]+Tabla1[[#This Row],[PLAZO PAGO (DIAS)]]</f>
        <v>0</v>
      </c>
      <c r="T519" s="834">
        <f t="shared" ca="1" si="143"/>
        <v>-46181</v>
      </c>
      <c r="U519" s="831"/>
      <c r="V519" s="831"/>
      <c r="W519" s="841">
        <f>+Tabla1[[#This Row],[FECHA VTO VALORES]]+7</f>
        <v>7</v>
      </c>
      <c r="X519" s="830"/>
      <c r="Y519" s="859"/>
      <c r="Z519" s="860">
        <f>Tabla1[[#This Row],[KGS]]/50</f>
        <v>0</v>
      </c>
      <c r="AA51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19" s="844">
        <f>-Tabla1[[#This Row],[COSTO FLETE $ POR BOLSA 5O KG (SIN IVA)]]*1.21-Tabla1[[#This Row],[PRECIO $/ KG A PLAZO EN CLIENTE ( SIN IVA)]]*0.003*1.21*50</f>
        <v>0</v>
      </c>
      <c r="AC519" s="845" t="e">
        <f>SUM(Tabla1[[#This Row],[PRECIO $ BOLSA 50 KG (IVA INC) ]]+Tabla1[[#This Row],[COSTO FLETE $ BOLSA 50 KG (IVA INC)]])</f>
        <v>#VALUE!</v>
      </c>
      <c r="AD519" s="844" t="e">
        <f>-Tabla1[[#This Row],[PRECIO $ BOLSA 50 KG (IVA INC) ]]*(Tabla1[[#This Row],[TASA FINANCIACION MENSUAL]]/365)*Tabla1[[#This Row],[PLAZO ENTREGA VALORES]]</f>
        <v>#VALUE!</v>
      </c>
      <c r="AE519" s="845" t="e">
        <f>SUM(Tabla1[[#This Row],[PRECIO $ BOLSA50 KG  FOB TUCUMAN A PLAZO (IVA INC)]]+Tabla1[[#This Row],[GASTOS FINANCIEROS $ BOLSA 50 KG (IVA INC)]])</f>
        <v>#VALUE!</v>
      </c>
      <c r="AF519" s="828"/>
      <c r="AG519" s="828"/>
      <c r="AH519" s="828"/>
      <c r="AI519" s="828"/>
      <c r="AJ51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19" s="846" t="e">
        <f>SUM(Tabla1[[#This Row],[PRECIO $ BOLSA 50KG  FOB CDO TUC (IVA INC)]]-Tabla1[[#This Row],[PRECIO REF $ BOLSA 50 KG CACTU (IVA INC)]])</f>
        <v>#VALUE!</v>
      </c>
      <c r="AL519" s="847" t="str">
        <f>IFERROR(Tabla1[[#This Row],[PRECIO $ BOLSA 50KG  FOB CDO TUC (IVA INC)]]/Tabla1[[#This Row],[PRECIO REF $ BOLSA 50 KG CACTU (IVA INC)]]-1,"")</f>
        <v/>
      </c>
      <c r="AM519" s="846" t="e">
        <f>+Tabla1[[#This Row],[DIF $ PRECIO NETO INDUSTRIA vs Neto TUCUMAN (IVA INC)]]*Tabla1[[#This Row],[Q Bolsas Equivalentes 50kg]]</f>
        <v>#VALUE!</v>
      </c>
      <c r="AN519" s="846" t="e">
        <f>Tabla1[[#This Row],[PRECIO REF $ BOLSA 50 KG CACTU (IVA INC)]]*Tabla1[[#This Row],[Q Bolsas Equivalentes 50kg]]</f>
        <v>#VALUE!</v>
      </c>
      <c r="AO519" s="846" t="e">
        <f>+Tabla1[[#This Row],[PRECIO $ BOLSA 50KG  FOB CDO TUC (IVA INC)]]*Tabla1[[#This Row],[Q Bolsas Equivalentes 50kg]]</f>
        <v>#VALUE!</v>
      </c>
      <c r="AP519" s="847"/>
      <c r="AQ519" s="846">
        <v>0</v>
      </c>
      <c r="AR519" s="828"/>
      <c r="AS519" s="849"/>
      <c r="AT519" s="923">
        <f>+Tabla1[[#This Row],[VENTA TOTAL $ (IVA INC) ]]-(SUM(Tabla1[[#This Row],[PENDIENTE DE ENTREGA]:[VALORES COBRADOS]]))</f>
        <v>0</v>
      </c>
      <c r="AU519" s="850" t="e">
        <f>VLOOKUP(Tabla1[[#This Row],[FECHA OC]],'TIPO DE CAMBIO'!A:B,2,TRUE)</f>
        <v>#N/A</v>
      </c>
      <c r="AV519" s="850" t="e">
        <f>+Tabla1[[#This Row],[SUBTOTAL]]/Tabla1[[#This Row],[TIPO DE CAMBIO]]</f>
        <v>#N/A</v>
      </c>
      <c r="AW519" s="851"/>
      <c r="AX519" s="850" t="str">
        <f>IFERROR(Tabla1[[#This Row],[VENTA TOTAL USD A PLAZO EN CLIENTE  (SIN IVA)]]*(1+Tabla1[[#This Row],[% IVA ]]),"")</f>
        <v/>
      </c>
      <c r="AY519" s="850" t="e">
        <f>+Tabla1[[#This Row],[VENTA TOTAL USD A PLAZO EN CLIENTE  (SIN IVA)]]/Tabla1[[#This Row],[KGS]]*1000</f>
        <v>#N/A</v>
      </c>
      <c r="AZ519" s="850" t="e">
        <f>-Tabla1[[#This Row],[COSTO FLETE $ POR BOLSA 5O KG (SIN IVA)]]*20/Tabla1[[#This Row],[TIPO DE CAMBIO]]</f>
        <v>#N/A</v>
      </c>
      <c r="BA519" s="850" t="e">
        <f>+Tabla1[[#This Row],[GASTOS FINANCIEROS $ BOLSA 50 KG (IVA INC)]]*20/Tabla1[[#This Row],[TIPO DE CAMBIO]]</f>
        <v>#VALUE!</v>
      </c>
      <c r="BB519" s="850" t="e">
        <f>+Tabla1[[#This Row],[PRECIO POR TN USD EN CLIENTE A PLAZO (SIN IVA)]]+Tabla1[[#This Row],[COSTO USD FLETE /TN (SIN IVA)]]+Tabla1[[#This Row],[COSTO FINANCIERO USD POR BOLSA 50KG (IVA INC)]]</f>
        <v>#N/A</v>
      </c>
      <c r="BC519" s="828"/>
      <c r="BD519" s="944"/>
    </row>
    <row r="520" spans="1:56" ht="15.75" customHeight="1">
      <c r="A520" s="912">
        <v>46266</v>
      </c>
      <c r="B520" s="853"/>
      <c r="C520" s="792"/>
      <c r="D520" s="829">
        <f>+Tabla1[[#This Row],[FECHA Entrega]]</f>
        <v>0</v>
      </c>
      <c r="E520" s="830"/>
      <c r="F520" s="831"/>
      <c r="G520" s="832"/>
      <c r="H520" s="852"/>
      <c r="I520" s="834"/>
      <c r="J520" s="835"/>
      <c r="K520" s="836">
        <f t="shared" si="142"/>
        <v>0</v>
      </c>
      <c r="L52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20" s="837">
        <f t="shared" si="144"/>
        <v>0</v>
      </c>
      <c r="N520" s="838">
        <f>+Tabla1[[#This Row],[VENTA TOTAL $ (IVA INC) ]]</f>
        <v>0</v>
      </c>
      <c r="O520" s="838">
        <v>0</v>
      </c>
      <c r="P520" s="838">
        <v>0</v>
      </c>
      <c r="Q520" s="839">
        <f>+Tabla1[[#This Row],[VENTA TOTAL $ (IVA INC) ]]-Tabla1[[#This Row],[PENDIENTE DE COBRO]]</f>
        <v>0</v>
      </c>
      <c r="R520" s="840">
        <f>+Tabla1[[#This Row],[FECHA FC]]+Tabla1[[#This Row],[PLAZO ENTREGA VALORES]]</f>
        <v>0</v>
      </c>
      <c r="S520" s="840">
        <f>+Tabla1[[#This Row],[FECHA FC]]+Tabla1[[#This Row],[PLAZO PAGO (DIAS)]]</f>
        <v>0</v>
      </c>
      <c r="T520" s="834">
        <f t="shared" ca="1" si="143"/>
        <v>-46181</v>
      </c>
      <c r="U520" s="831"/>
      <c r="V520" s="831"/>
      <c r="W520" s="841">
        <f>+Tabla1[[#This Row],[FECHA VTO VALORES]]+7</f>
        <v>7</v>
      </c>
      <c r="X520" s="830"/>
      <c r="Y520" s="859"/>
      <c r="Z520" s="860">
        <f>Tabla1[[#This Row],[KGS]]/50</f>
        <v>0</v>
      </c>
      <c r="AA52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20" s="844">
        <f>-Tabla1[[#This Row],[COSTO FLETE $ POR BOLSA 5O KG (SIN IVA)]]*1.21-Tabla1[[#This Row],[PRECIO $/ KG A PLAZO EN CLIENTE ( SIN IVA)]]*0.003*1.21*50</f>
        <v>0</v>
      </c>
      <c r="AC520" s="845" t="e">
        <f>SUM(Tabla1[[#This Row],[PRECIO $ BOLSA 50 KG (IVA INC) ]]+Tabla1[[#This Row],[COSTO FLETE $ BOLSA 50 KG (IVA INC)]])</f>
        <v>#VALUE!</v>
      </c>
      <c r="AD520" s="844" t="e">
        <f>-Tabla1[[#This Row],[PRECIO $ BOLSA 50 KG (IVA INC) ]]*(Tabla1[[#This Row],[TASA FINANCIACION MENSUAL]]/365)*Tabla1[[#This Row],[PLAZO ENTREGA VALORES]]</f>
        <v>#VALUE!</v>
      </c>
      <c r="AE520" s="845" t="e">
        <f>SUM(Tabla1[[#This Row],[PRECIO $ BOLSA50 KG  FOB TUCUMAN A PLAZO (IVA INC)]]+Tabla1[[#This Row],[GASTOS FINANCIEROS $ BOLSA 50 KG (IVA INC)]])</f>
        <v>#VALUE!</v>
      </c>
      <c r="AF520" s="828"/>
      <c r="AG520" s="828"/>
      <c r="AH520" s="828"/>
      <c r="AI520" s="828"/>
      <c r="AJ52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20" s="846" t="e">
        <f>SUM(Tabla1[[#This Row],[PRECIO $ BOLSA 50KG  FOB CDO TUC (IVA INC)]]-Tabla1[[#This Row],[PRECIO REF $ BOLSA 50 KG CACTU (IVA INC)]])</f>
        <v>#VALUE!</v>
      </c>
      <c r="AL520" s="847" t="str">
        <f>IFERROR(Tabla1[[#This Row],[PRECIO $ BOLSA 50KG  FOB CDO TUC (IVA INC)]]/Tabla1[[#This Row],[PRECIO REF $ BOLSA 50 KG CACTU (IVA INC)]]-1,"")</f>
        <v/>
      </c>
      <c r="AM520" s="846" t="e">
        <f>+Tabla1[[#This Row],[DIF $ PRECIO NETO INDUSTRIA vs Neto TUCUMAN (IVA INC)]]*Tabla1[[#This Row],[Q Bolsas Equivalentes 50kg]]</f>
        <v>#VALUE!</v>
      </c>
      <c r="AN520" s="846" t="e">
        <f>Tabla1[[#This Row],[PRECIO REF $ BOLSA 50 KG CACTU (IVA INC)]]*Tabla1[[#This Row],[Q Bolsas Equivalentes 50kg]]</f>
        <v>#VALUE!</v>
      </c>
      <c r="AO520" s="846" t="e">
        <f>+Tabla1[[#This Row],[PRECIO $ BOLSA 50KG  FOB CDO TUC (IVA INC)]]*Tabla1[[#This Row],[Q Bolsas Equivalentes 50kg]]</f>
        <v>#VALUE!</v>
      </c>
      <c r="AP520" s="847"/>
      <c r="AQ520" s="846">
        <v>0</v>
      </c>
      <c r="AR520" s="828"/>
      <c r="AS520" s="849"/>
      <c r="AT520" s="923">
        <f>+Tabla1[[#This Row],[VENTA TOTAL $ (IVA INC) ]]-(SUM(Tabla1[[#This Row],[PENDIENTE DE ENTREGA]:[VALORES COBRADOS]]))</f>
        <v>0</v>
      </c>
      <c r="AU520" s="850" t="e">
        <f>VLOOKUP(Tabla1[[#This Row],[FECHA OC]],'TIPO DE CAMBIO'!A:B,2,TRUE)</f>
        <v>#N/A</v>
      </c>
      <c r="AV520" s="850" t="e">
        <f>+Tabla1[[#This Row],[SUBTOTAL]]/Tabla1[[#This Row],[TIPO DE CAMBIO]]</f>
        <v>#N/A</v>
      </c>
      <c r="AW520" s="851"/>
      <c r="AX520" s="850" t="str">
        <f>IFERROR(Tabla1[[#This Row],[VENTA TOTAL USD A PLAZO EN CLIENTE  (SIN IVA)]]*(1+Tabla1[[#This Row],[% IVA ]]),"")</f>
        <v/>
      </c>
      <c r="AY520" s="850" t="e">
        <f>+Tabla1[[#This Row],[VENTA TOTAL USD A PLAZO EN CLIENTE  (SIN IVA)]]/Tabla1[[#This Row],[KGS]]*1000</f>
        <v>#N/A</v>
      </c>
      <c r="AZ520" s="850" t="e">
        <f>-Tabla1[[#This Row],[COSTO FLETE $ POR BOLSA 5O KG (SIN IVA)]]*20/Tabla1[[#This Row],[TIPO DE CAMBIO]]</f>
        <v>#N/A</v>
      </c>
      <c r="BA520" s="850" t="e">
        <f>+Tabla1[[#This Row],[GASTOS FINANCIEROS $ BOLSA 50 KG (IVA INC)]]*20/Tabla1[[#This Row],[TIPO DE CAMBIO]]</f>
        <v>#VALUE!</v>
      </c>
      <c r="BB520" s="850" t="e">
        <f>+Tabla1[[#This Row],[PRECIO POR TN USD EN CLIENTE A PLAZO (SIN IVA)]]+Tabla1[[#This Row],[COSTO USD FLETE /TN (SIN IVA)]]+Tabla1[[#This Row],[COSTO FINANCIERO USD POR BOLSA 50KG (IVA INC)]]</f>
        <v>#N/A</v>
      </c>
      <c r="BC520" s="828"/>
      <c r="BD520" s="944"/>
    </row>
    <row r="521" spans="1:56" ht="15.75" customHeight="1">
      <c r="A521" s="912">
        <v>46266</v>
      </c>
      <c r="B521" s="853"/>
      <c r="C521" s="792"/>
      <c r="D521" s="829">
        <f>+Tabla1[[#This Row],[FECHA Entrega]]</f>
        <v>0</v>
      </c>
      <c r="E521" s="830"/>
      <c r="F521" s="831"/>
      <c r="G521" s="832"/>
      <c r="H521" s="852"/>
      <c r="I521" s="834"/>
      <c r="J521" s="835"/>
      <c r="K521" s="836">
        <f t="shared" si="142"/>
        <v>0</v>
      </c>
      <c r="L52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21" s="837">
        <f t="shared" si="144"/>
        <v>0</v>
      </c>
      <c r="N521" s="838">
        <f>+Tabla1[[#This Row],[VENTA TOTAL $ (IVA INC) ]]</f>
        <v>0</v>
      </c>
      <c r="O521" s="838">
        <v>0</v>
      </c>
      <c r="P521" s="838">
        <v>0</v>
      </c>
      <c r="Q521" s="839">
        <f>+Tabla1[[#This Row],[VENTA TOTAL $ (IVA INC) ]]-Tabla1[[#This Row],[PENDIENTE DE COBRO]]</f>
        <v>0</v>
      </c>
      <c r="R521" s="840">
        <f>+Tabla1[[#This Row],[FECHA FC]]+Tabla1[[#This Row],[PLAZO ENTREGA VALORES]]</f>
        <v>0</v>
      </c>
      <c r="S521" s="840">
        <f>+Tabla1[[#This Row],[FECHA FC]]+Tabla1[[#This Row],[PLAZO PAGO (DIAS)]]</f>
        <v>0</v>
      </c>
      <c r="T521" s="834">
        <f t="shared" ca="1" si="143"/>
        <v>-46181</v>
      </c>
      <c r="U521" s="831"/>
      <c r="V521" s="831"/>
      <c r="W521" s="841">
        <f>+Tabla1[[#This Row],[FECHA VTO VALORES]]+7</f>
        <v>7</v>
      </c>
      <c r="X521" s="830"/>
      <c r="Y521" s="859"/>
      <c r="Z521" s="860">
        <f>Tabla1[[#This Row],[KGS]]/50</f>
        <v>0</v>
      </c>
      <c r="AA52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21" s="844">
        <f>-Tabla1[[#This Row],[COSTO FLETE $ POR BOLSA 5O KG (SIN IVA)]]*1.21-Tabla1[[#This Row],[PRECIO $/ KG A PLAZO EN CLIENTE ( SIN IVA)]]*0.003*1.21*50</f>
        <v>0</v>
      </c>
      <c r="AC521" s="845" t="e">
        <f>SUM(Tabla1[[#This Row],[PRECIO $ BOLSA 50 KG (IVA INC) ]]+Tabla1[[#This Row],[COSTO FLETE $ BOLSA 50 KG (IVA INC)]])</f>
        <v>#VALUE!</v>
      </c>
      <c r="AD521" s="844" t="e">
        <f>-Tabla1[[#This Row],[PRECIO $ BOLSA 50 KG (IVA INC) ]]*(Tabla1[[#This Row],[TASA FINANCIACION MENSUAL]]/365)*Tabla1[[#This Row],[PLAZO ENTREGA VALORES]]</f>
        <v>#VALUE!</v>
      </c>
      <c r="AE521" s="845" t="e">
        <f>SUM(Tabla1[[#This Row],[PRECIO $ BOLSA50 KG  FOB TUCUMAN A PLAZO (IVA INC)]]+Tabla1[[#This Row],[GASTOS FINANCIEROS $ BOLSA 50 KG (IVA INC)]])</f>
        <v>#VALUE!</v>
      </c>
      <c r="AF521" s="828"/>
      <c r="AG521" s="828"/>
      <c r="AH521" s="828"/>
      <c r="AI521" s="828"/>
      <c r="AJ52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21" s="846" t="e">
        <f>SUM(Tabla1[[#This Row],[PRECIO $ BOLSA 50KG  FOB CDO TUC (IVA INC)]]-Tabla1[[#This Row],[PRECIO REF $ BOLSA 50 KG CACTU (IVA INC)]])</f>
        <v>#VALUE!</v>
      </c>
      <c r="AL521" s="847" t="str">
        <f>IFERROR(Tabla1[[#This Row],[PRECIO $ BOLSA 50KG  FOB CDO TUC (IVA INC)]]/Tabla1[[#This Row],[PRECIO REF $ BOLSA 50 KG CACTU (IVA INC)]]-1,"")</f>
        <v/>
      </c>
      <c r="AM521" s="846" t="e">
        <f>+Tabla1[[#This Row],[DIF $ PRECIO NETO INDUSTRIA vs Neto TUCUMAN (IVA INC)]]*Tabla1[[#This Row],[Q Bolsas Equivalentes 50kg]]</f>
        <v>#VALUE!</v>
      </c>
      <c r="AN521" s="846" t="e">
        <f>Tabla1[[#This Row],[PRECIO REF $ BOLSA 50 KG CACTU (IVA INC)]]*Tabla1[[#This Row],[Q Bolsas Equivalentes 50kg]]</f>
        <v>#VALUE!</v>
      </c>
      <c r="AO521" s="846" t="e">
        <f>+Tabla1[[#This Row],[PRECIO $ BOLSA 50KG  FOB CDO TUC (IVA INC)]]*Tabla1[[#This Row],[Q Bolsas Equivalentes 50kg]]</f>
        <v>#VALUE!</v>
      </c>
      <c r="AP521" s="847"/>
      <c r="AQ521" s="846">
        <v>0</v>
      </c>
      <c r="AR521" s="828"/>
      <c r="AS521" s="849"/>
      <c r="AT521" s="923">
        <f>+Tabla1[[#This Row],[VENTA TOTAL $ (IVA INC) ]]-(SUM(Tabla1[[#This Row],[PENDIENTE DE ENTREGA]:[VALORES COBRADOS]]))</f>
        <v>0</v>
      </c>
      <c r="AU521" s="850" t="e">
        <f>VLOOKUP(Tabla1[[#This Row],[FECHA OC]],'TIPO DE CAMBIO'!A:B,2,TRUE)</f>
        <v>#N/A</v>
      </c>
      <c r="AV521" s="850" t="e">
        <f>+Tabla1[[#This Row],[SUBTOTAL]]/Tabla1[[#This Row],[TIPO DE CAMBIO]]</f>
        <v>#N/A</v>
      </c>
      <c r="AW521" s="851"/>
      <c r="AX521" s="850" t="str">
        <f>IFERROR(Tabla1[[#This Row],[VENTA TOTAL USD A PLAZO EN CLIENTE  (SIN IVA)]]*(1+Tabla1[[#This Row],[% IVA ]]),"")</f>
        <v/>
      </c>
      <c r="AY521" s="850" t="e">
        <f>+Tabla1[[#This Row],[VENTA TOTAL USD A PLAZO EN CLIENTE  (SIN IVA)]]/Tabla1[[#This Row],[KGS]]*1000</f>
        <v>#N/A</v>
      </c>
      <c r="AZ521" s="850" t="e">
        <f>-Tabla1[[#This Row],[COSTO FLETE $ POR BOLSA 5O KG (SIN IVA)]]*20/Tabla1[[#This Row],[TIPO DE CAMBIO]]</f>
        <v>#N/A</v>
      </c>
      <c r="BA521" s="850" t="e">
        <f>+Tabla1[[#This Row],[GASTOS FINANCIEROS $ BOLSA 50 KG (IVA INC)]]*20/Tabla1[[#This Row],[TIPO DE CAMBIO]]</f>
        <v>#VALUE!</v>
      </c>
      <c r="BB521" s="850" t="e">
        <f>+Tabla1[[#This Row],[PRECIO POR TN USD EN CLIENTE A PLAZO (SIN IVA)]]+Tabla1[[#This Row],[COSTO USD FLETE /TN (SIN IVA)]]+Tabla1[[#This Row],[COSTO FINANCIERO USD POR BOLSA 50KG (IVA INC)]]</f>
        <v>#N/A</v>
      </c>
      <c r="BC521" s="828"/>
      <c r="BD521" s="944"/>
    </row>
    <row r="522" spans="1:56" ht="15.75" customHeight="1">
      <c r="A522" s="912">
        <v>46266</v>
      </c>
      <c r="B522" s="853"/>
      <c r="C522" s="792"/>
      <c r="D522" s="829">
        <f>+Tabla1[[#This Row],[FECHA Entrega]]</f>
        <v>0</v>
      </c>
      <c r="E522" s="830"/>
      <c r="F522" s="831"/>
      <c r="G522" s="832"/>
      <c r="H522" s="852"/>
      <c r="I522" s="834"/>
      <c r="J522" s="835"/>
      <c r="K522" s="836">
        <f t="shared" si="142"/>
        <v>0</v>
      </c>
      <c r="L52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22" s="837">
        <f t="shared" si="144"/>
        <v>0</v>
      </c>
      <c r="N522" s="838">
        <f>+Tabla1[[#This Row],[VENTA TOTAL $ (IVA INC) ]]</f>
        <v>0</v>
      </c>
      <c r="O522" s="838">
        <v>0</v>
      </c>
      <c r="P522" s="838">
        <v>0</v>
      </c>
      <c r="Q522" s="839">
        <f>+Tabla1[[#This Row],[VENTA TOTAL $ (IVA INC) ]]-Tabla1[[#This Row],[PENDIENTE DE COBRO]]</f>
        <v>0</v>
      </c>
      <c r="R522" s="840">
        <f>+Tabla1[[#This Row],[FECHA FC]]+Tabla1[[#This Row],[PLAZO ENTREGA VALORES]]</f>
        <v>0</v>
      </c>
      <c r="S522" s="840">
        <f>+Tabla1[[#This Row],[FECHA FC]]+Tabla1[[#This Row],[PLAZO PAGO (DIAS)]]</f>
        <v>0</v>
      </c>
      <c r="T522" s="834">
        <f t="shared" ca="1" si="143"/>
        <v>-46181</v>
      </c>
      <c r="U522" s="831"/>
      <c r="V522" s="831"/>
      <c r="W522" s="841">
        <f>+Tabla1[[#This Row],[FECHA VTO VALORES]]+7</f>
        <v>7</v>
      </c>
      <c r="X522" s="830"/>
      <c r="Y522" s="859"/>
      <c r="Z522" s="860">
        <f>Tabla1[[#This Row],[KGS]]/50</f>
        <v>0</v>
      </c>
      <c r="AA52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22" s="844">
        <f>-Tabla1[[#This Row],[COSTO FLETE $ POR BOLSA 5O KG (SIN IVA)]]*1.21-Tabla1[[#This Row],[PRECIO $/ KG A PLAZO EN CLIENTE ( SIN IVA)]]*0.003*1.21*50</f>
        <v>0</v>
      </c>
      <c r="AC522" s="845" t="e">
        <f>SUM(Tabla1[[#This Row],[PRECIO $ BOLSA 50 KG (IVA INC) ]]+Tabla1[[#This Row],[COSTO FLETE $ BOLSA 50 KG (IVA INC)]])</f>
        <v>#VALUE!</v>
      </c>
      <c r="AD522" s="844" t="e">
        <f>-Tabla1[[#This Row],[PRECIO $ BOLSA 50 KG (IVA INC) ]]*(Tabla1[[#This Row],[TASA FINANCIACION MENSUAL]]/365)*Tabla1[[#This Row],[PLAZO ENTREGA VALORES]]</f>
        <v>#VALUE!</v>
      </c>
      <c r="AE522" s="845" t="e">
        <f>SUM(Tabla1[[#This Row],[PRECIO $ BOLSA50 KG  FOB TUCUMAN A PLAZO (IVA INC)]]+Tabla1[[#This Row],[GASTOS FINANCIEROS $ BOLSA 50 KG (IVA INC)]])</f>
        <v>#VALUE!</v>
      </c>
      <c r="AF522" s="828"/>
      <c r="AG522" s="828"/>
      <c r="AH522" s="828"/>
      <c r="AI522" s="828"/>
      <c r="AJ52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22" s="846" t="e">
        <f>SUM(Tabla1[[#This Row],[PRECIO $ BOLSA 50KG  FOB CDO TUC (IVA INC)]]-Tabla1[[#This Row],[PRECIO REF $ BOLSA 50 KG CACTU (IVA INC)]])</f>
        <v>#VALUE!</v>
      </c>
      <c r="AL522" s="847" t="str">
        <f>IFERROR(Tabla1[[#This Row],[PRECIO $ BOLSA 50KG  FOB CDO TUC (IVA INC)]]/Tabla1[[#This Row],[PRECIO REF $ BOLSA 50 KG CACTU (IVA INC)]]-1,"")</f>
        <v/>
      </c>
      <c r="AM522" s="846" t="e">
        <f>+Tabla1[[#This Row],[DIF $ PRECIO NETO INDUSTRIA vs Neto TUCUMAN (IVA INC)]]*Tabla1[[#This Row],[Q Bolsas Equivalentes 50kg]]</f>
        <v>#VALUE!</v>
      </c>
      <c r="AN522" s="846" t="e">
        <f>Tabla1[[#This Row],[PRECIO REF $ BOLSA 50 KG CACTU (IVA INC)]]*Tabla1[[#This Row],[Q Bolsas Equivalentes 50kg]]</f>
        <v>#VALUE!</v>
      </c>
      <c r="AO522" s="846" t="e">
        <f>+Tabla1[[#This Row],[PRECIO $ BOLSA 50KG  FOB CDO TUC (IVA INC)]]*Tabla1[[#This Row],[Q Bolsas Equivalentes 50kg]]</f>
        <v>#VALUE!</v>
      </c>
      <c r="AP522" s="847"/>
      <c r="AQ522" s="846">
        <v>0</v>
      </c>
      <c r="AR522" s="828"/>
      <c r="AS522" s="849"/>
      <c r="AT522" s="923">
        <f>+Tabla1[[#This Row],[VENTA TOTAL $ (IVA INC) ]]-(SUM(Tabla1[[#This Row],[PENDIENTE DE ENTREGA]:[VALORES COBRADOS]]))</f>
        <v>0</v>
      </c>
      <c r="AU522" s="850" t="e">
        <f>VLOOKUP(Tabla1[[#This Row],[FECHA OC]],'TIPO DE CAMBIO'!A:B,2,TRUE)</f>
        <v>#N/A</v>
      </c>
      <c r="AV522" s="850" t="e">
        <f>+Tabla1[[#This Row],[SUBTOTAL]]/Tabla1[[#This Row],[TIPO DE CAMBIO]]</f>
        <v>#N/A</v>
      </c>
      <c r="AW522" s="851"/>
      <c r="AX522" s="850" t="str">
        <f>IFERROR(Tabla1[[#This Row],[VENTA TOTAL USD A PLAZO EN CLIENTE  (SIN IVA)]]*(1+Tabla1[[#This Row],[% IVA ]]),"")</f>
        <v/>
      </c>
      <c r="AY522" s="850" t="e">
        <f>+Tabla1[[#This Row],[VENTA TOTAL USD A PLAZO EN CLIENTE  (SIN IVA)]]/Tabla1[[#This Row],[KGS]]*1000</f>
        <v>#N/A</v>
      </c>
      <c r="AZ522" s="850" t="e">
        <f>-Tabla1[[#This Row],[COSTO FLETE $ POR BOLSA 5O KG (SIN IVA)]]*20/Tabla1[[#This Row],[TIPO DE CAMBIO]]</f>
        <v>#N/A</v>
      </c>
      <c r="BA522" s="850" t="e">
        <f>+Tabla1[[#This Row],[GASTOS FINANCIEROS $ BOLSA 50 KG (IVA INC)]]*20/Tabla1[[#This Row],[TIPO DE CAMBIO]]</f>
        <v>#VALUE!</v>
      </c>
      <c r="BB522" s="850" t="e">
        <f>+Tabla1[[#This Row],[PRECIO POR TN USD EN CLIENTE A PLAZO (SIN IVA)]]+Tabla1[[#This Row],[COSTO USD FLETE /TN (SIN IVA)]]+Tabla1[[#This Row],[COSTO FINANCIERO USD POR BOLSA 50KG (IVA INC)]]</f>
        <v>#N/A</v>
      </c>
      <c r="BC522" s="828"/>
      <c r="BD522" s="944"/>
    </row>
    <row r="523" spans="1:56" ht="15.75" customHeight="1">
      <c r="A523" s="912">
        <v>46266</v>
      </c>
      <c r="B523" s="853"/>
      <c r="C523" s="792"/>
      <c r="D523" s="829">
        <f>+Tabla1[[#This Row],[FECHA Entrega]]</f>
        <v>0</v>
      </c>
      <c r="E523" s="830"/>
      <c r="F523" s="831"/>
      <c r="G523" s="832"/>
      <c r="H523" s="852"/>
      <c r="I523" s="834"/>
      <c r="J523" s="835"/>
      <c r="K523" s="836">
        <f t="shared" si="142"/>
        <v>0</v>
      </c>
      <c r="L52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23" s="837">
        <f t="shared" si="144"/>
        <v>0</v>
      </c>
      <c r="N523" s="838">
        <f>+Tabla1[[#This Row],[VENTA TOTAL $ (IVA INC) ]]</f>
        <v>0</v>
      </c>
      <c r="O523" s="838">
        <v>0</v>
      </c>
      <c r="P523" s="838">
        <v>0</v>
      </c>
      <c r="Q523" s="839">
        <f>+Tabla1[[#This Row],[VENTA TOTAL $ (IVA INC) ]]-Tabla1[[#This Row],[PENDIENTE DE COBRO]]</f>
        <v>0</v>
      </c>
      <c r="R523" s="840">
        <f>+Tabla1[[#This Row],[FECHA FC]]+Tabla1[[#This Row],[PLAZO ENTREGA VALORES]]</f>
        <v>0</v>
      </c>
      <c r="S523" s="840">
        <f>+Tabla1[[#This Row],[FECHA FC]]+Tabla1[[#This Row],[PLAZO PAGO (DIAS)]]</f>
        <v>0</v>
      </c>
      <c r="T523" s="834">
        <f t="shared" ca="1" si="143"/>
        <v>-46181</v>
      </c>
      <c r="U523" s="831"/>
      <c r="V523" s="831"/>
      <c r="W523" s="841">
        <f>+Tabla1[[#This Row],[FECHA VTO VALORES]]+7</f>
        <v>7</v>
      </c>
      <c r="X523" s="830"/>
      <c r="Y523" s="859"/>
      <c r="Z523" s="860">
        <f>Tabla1[[#This Row],[KGS]]/50</f>
        <v>0</v>
      </c>
      <c r="AA52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23" s="844">
        <f>-Tabla1[[#This Row],[COSTO FLETE $ POR BOLSA 5O KG (SIN IVA)]]*1.21-Tabla1[[#This Row],[PRECIO $/ KG A PLAZO EN CLIENTE ( SIN IVA)]]*0.003*1.21*50</f>
        <v>0</v>
      </c>
      <c r="AC523" s="845" t="e">
        <f>SUM(Tabla1[[#This Row],[PRECIO $ BOLSA 50 KG (IVA INC) ]]+Tabla1[[#This Row],[COSTO FLETE $ BOLSA 50 KG (IVA INC)]])</f>
        <v>#VALUE!</v>
      </c>
      <c r="AD523" s="844" t="e">
        <f>-Tabla1[[#This Row],[PRECIO $ BOLSA 50 KG (IVA INC) ]]*(Tabla1[[#This Row],[TASA FINANCIACION MENSUAL]]/365)*Tabla1[[#This Row],[PLAZO ENTREGA VALORES]]</f>
        <v>#VALUE!</v>
      </c>
      <c r="AE523" s="845" t="e">
        <f>SUM(Tabla1[[#This Row],[PRECIO $ BOLSA50 KG  FOB TUCUMAN A PLAZO (IVA INC)]]+Tabla1[[#This Row],[GASTOS FINANCIEROS $ BOLSA 50 KG (IVA INC)]])</f>
        <v>#VALUE!</v>
      </c>
      <c r="AF523" s="828"/>
      <c r="AG523" s="828"/>
      <c r="AH523" s="828"/>
      <c r="AI523" s="828"/>
      <c r="AJ52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23" s="846" t="e">
        <f>SUM(Tabla1[[#This Row],[PRECIO $ BOLSA 50KG  FOB CDO TUC (IVA INC)]]-Tabla1[[#This Row],[PRECIO REF $ BOLSA 50 KG CACTU (IVA INC)]])</f>
        <v>#VALUE!</v>
      </c>
      <c r="AL523" s="847" t="str">
        <f>IFERROR(Tabla1[[#This Row],[PRECIO $ BOLSA 50KG  FOB CDO TUC (IVA INC)]]/Tabla1[[#This Row],[PRECIO REF $ BOLSA 50 KG CACTU (IVA INC)]]-1,"")</f>
        <v/>
      </c>
      <c r="AM523" s="846" t="e">
        <f>+Tabla1[[#This Row],[DIF $ PRECIO NETO INDUSTRIA vs Neto TUCUMAN (IVA INC)]]*Tabla1[[#This Row],[Q Bolsas Equivalentes 50kg]]</f>
        <v>#VALUE!</v>
      </c>
      <c r="AN523" s="846" t="e">
        <f>Tabla1[[#This Row],[PRECIO REF $ BOLSA 50 KG CACTU (IVA INC)]]*Tabla1[[#This Row],[Q Bolsas Equivalentes 50kg]]</f>
        <v>#VALUE!</v>
      </c>
      <c r="AO523" s="846" t="e">
        <f>+Tabla1[[#This Row],[PRECIO $ BOLSA 50KG  FOB CDO TUC (IVA INC)]]*Tabla1[[#This Row],[Q Bolsas Equivalentes 50kg]]</f>
        <v>#VALUE!</v>
      </c>
      <c r="AP523" s="847"/>
      <c r="AQ523" s="846">
        <v>0</v>
      </c>
      <c r="AR523" s="828"/>
      <c r="AS523" s="849"/>
      <c r="AT523" s="923">
        <f>+Tabla1[[#This Row],[VENTA TOTAL $ (IVA INC) ]]-(SUM(Tabla1[[#This Row],[PENDIENTE DE ENTREGA]:[VALORES COBRADOS]]))</f>
        <v>0</v>
      </c>
      <c r="AU523" s="850" t="e">
        <f>VLOOKUP(Tabla1[[#This Row],[FECHA OC]],'TIPO DE CAMBIO'!A:B,2,TRUE)</f>
        <v>#N/A</v>
      </c>
      <c r="AV523" s="850" t="e">
        <f>+Tabla1[[#This Row],[SUBTOTAL]]/Tabla1[[#This Row],[TIPO DE CAMBIO]]</f>
        <v>#N/A</v>
      </c>
      <c r="AW523" s="851"/>
      <c r="AX523" s="850" t="str">
        <f>IFERROR(Tabla1[[#This Row],[VENTA TOTAL USD A PLAZO EN CLIENTE  (SIN IVA)]]*(1+Tabla1[[#This Row],[% IVA ]]),"")</f>
        <v/>
      </c>
      <c r="AY523" s="850" t="e">
        <f>+Tabla1[[#This Row],[VENTA TOTAL USD A PLAZO EN CLIENTE  (SIN IVA)]]/Tabla1[[#This Row],[KGS]]*1000</f>
        <v>#N/A</v>
      </c>
      <c r="AZ523" s="850" t="e">
        <f>-Tabla1[[#This Row],[COSTO FLETE $ POR BOLSA 5O KG (SIN IVA)]]*20/Tabla1[[#This Row],[TIPO DE CAMBIO]]</f>
        <v>#N/A</v>
      </c>
      <c r="BA523" s="850" t="e">
        <f>+Tabla1[[#This Row],[GASTOS FINANCIEROS $ BOLSA 50 KG (IVA INC)]]*20/Tabla1[[#This Row],[TIPO DE CAMBIO]]</f>
        <v>#VALUE!</v>
      </c>
      <c r="BB523" s="850" t="e">
        <f>+Tabla1[[#This Row],[PRECIO POR TN USD EN CLIENTE A PLAZO (SIN IVA)]]+Tabla1[[#This Row],[COSTO USD FLETE /TN (SIN IVA)]]+Tabla1[[#This Row],[COSTO FINANCIERO USD POR BOLSA 50KG (IVA INC)]]</f>
        <v>#N/A</v>
      </c>
      <c r="BC523" s="828"/>
      <c r="BD523" s="944"/>
    </row>
    <row r="524" spans="1:56" ht="15.75" customHeight="1">
      <c r="A524" s="912">
        <v>46266</v>
      </c>
      <c r="B524" s="853"/>
      <c r="C524" s="792"/>
      <c r="D524" s="829">
        <f>+Tabla1[[#This Row],[FECHA Entrega]]</f>
        <v>0</v>
      </c>
      <c r="E524" s="830"/>
      <c r="F524" s="831"/>
      <c r="G524" s="832"/>
      <c r="H524" s="852"/>
      <c r="I524" s="834"/>
      <c r="J524" s="835"/>
      <c r="K524" s="836">
        <f t="shared" si="142"/>
        <v>0</v>
      </c>
      <c r="L52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24" s="837">
        <f t="shared" si="144"/>
        <v>0</v>
      </c>
      <c r="N524" s="838">
        <f>+Tabla1[[#This Row],[VENTA TOTAL $ (IVA INC) ]]</f>
        <v>0</v>
      </c>
      <c r="O524" s="838">
        <v>0</v>
      </c>
      <c r="P524" s="838">
        <v>0</v>
      </c>
      <c r="Q524" s="839">
        <f>+Tabla1[[#This Row],[VENTA TOTAL $ (IVA INC) ]]-Tabla1[[#This Row],[PENDIENTE DE COBRO]]</f>
        <v>0</v>
      </c>
      <c r="R524" s="840">
        <f>+Tabla1[[#This Row],[FECHA FC]]+Tabla1[[#This Row],[PLAZO ENTREGA VALORES]]</f>
        <v>0</v>
      </c>
      <c r="S524" s="840">
        <f>+Tabla1[[#This Row],[FECHA FC]]+Tabla1[[#This Row],[PLAZO PAGO (DIAS)]]</f>
        <v>0</v>
      </c>
      <c r="T524" s="834">
        <f t="shared" ca="1" si="143"/>
        <v>-46181</v>
      </c>
      <c r="U524" s="831"/>
      <c r="V524" s="831"/>
      <c r="W524" s="841">
        <f>+Tabla1[[#This Row],[FECHA VTO VALORES]]+7</f>
        <v>7</v>
      </c>
      <c r="X524" s="830"/>
      <c r="Y524" s="859"/>
      <c r="Z524" s="860">
        <f>Tabla1[[#This Row],[KGS]]/50</f>
        <v>0</v>
      </c>
      <c r="AA52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24" s="844">
        <f>-Tabla1[[#This Row],[COSTO FLETE $ POR BOLSA 5O KG (SIN IVA)]]*1.21-Tabla1[[#This Row],[PRECIO $/ KG A PLAZO EN CLIENTE ( SIN IVA)]]*0.003*1.21*50</f>
        <v>0</v>
      </c>
      <c r="AC524" s="845" t="e">
        <f>SUM(Tabla1[[#This Row],[PRECIO $ BOLSA 50 KG (IVA INC) ]]+Tabla1[[#This Row],[COSTO FLETE $ BOLSA 50 KG (IVA INC)]])</f>
        <v>#VALUE!</v>
      </c>
      <c r="AD524" s="844" t="e">
        <f>-Tabla1[[#This Row],[PRECIO $ BOLSA 50 KG (IVA INC) ]]*(Tabla1[[#This Row],[TASA FINANCIACION MENSUAL]]/365)*Tabla1[[#This Row],[PLAZO ENTREGA VALORES]]</f>
        <v>#VALUE!</v>
      </c>
      <c r="AE524" s="845" t="e">
        <f>SUM(Tabla1[[#This Row],[PRECIO $ BOLSA50 KG  FOB TUCUMAN A PLAZO (IVA INC)]]+Tabla1[[#This Row],[GASTOS FINANCIEROS $ BOLSA 50 KG (IVA INC)]])</f>
        <v>#VALUE!</v>
      </c>
      <c r="AF524" s="828"/>
      <c r="AG524" s="828"/>
      <c r="AH524" s="828"/>
      <c r="AI524" s="828"/>
      <c r="AJ52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24" s="846" t="e">
        <f>SUM(Tabla1[[#This Row],[PRECIO $ BOLSA 50KG  FOB CDO TUC (IVA INC)]]-Tabla1[[#This Row],[PRECIO REF $ BOLSA 50 KG CACTU (IVA INC)]])</f>
        <v>#VALUE!</v>
      </c>
      <c r="AL524" s="847" t="str">
        <f>IFERROR(Tabla1[[#This Row],[PRECIO $ BOLSA 50KG  FOB CDO TUC (IVA INC)]]/Tabla1[[#This Row],[PRECIO REF $ BOLSA 50 KG CACTU (IVA INC)]]-1,"")</f>
        <v/>
      </c>
      <c r="AM524" s="846" t="e">
        <f>+Tabla1[[#This Row],[DIF $ PRECIO NETO INDUSTRIA vs Neto TUCUMAN (IVA INC)]]*Tabla1[[#This Row],[Q Bolsas Equivalentes 50kg]]</f>
        <v>#VALUE!</v>
      </c>
      <c r="AN524" s="846" t="e">
        <f>Tabla1[[#This Row],[PRECIO REF $ BOLSA 50 KG CACTU (IVA INC)]]*Tabla1[[#This Row],[Q Bolsas Equivalentes 50kg]]</f>
        <v>#VALUE!</v>
      </c>
      <c r="AO524" s="846" t="e">
        <f>+Tabla1[[#This Row],[PRECIO $ BOLSA 50KG  FOB CDO TUC (IVA INC)]]*Tabla1[[#This Row],[Q Bolsas Equivalentes 50kg]]</f>
        <v>#VALUE!</v>
      </c>
      <c r="AP524" s="847"/>
      <c r="AQ524" s="846">
        <v>0</v>
      </c>
      <c r="AR524" s="828"/>
      <c r="AS524" s="849"/>
      <c r="AT524" s="923">
        <f>+Tabla1[[#This Row],[VENTA TOTAL $ (IVA INC) ]]-(SUM(Tabla1[[#This Row],[PENDIENTE DE ENTREGA]:[VALORES COBRADOS]]))</f>
        <v>0</v>
      </c>
      <c r="AU524" s="850" t="e">
        <f>VLOOKUP(Tabla1[[#This Row],[FECHA OC]],'TIPO DE CAMBIO'!A:B,2,TRUE)</f>
        <v>#N/A</v>
      </c>
      <c r="AV524" s="850" t="e">
        <f>+Tabla1[[#This Row],[SUBTOTAL]]/Tabla1[[#This Row],[TIPO DE CAMBIO]]</f>
        <v>#N/A</v>
      </c>
      <c r="AW524" s="851"/>
      <c r="AX524" s="850" t="str">
        <f>IFERROR(Tabla1[[#This Row],[VENTA TOTAL USD A PLAZO EN CLIENTE  (SIN IVA)]]*(1+Tabla1[[#This Row],[% IVA ]]),"")</f>
        <v/>
      </c>
      <c r="AY524" s="850" t="e">
        <f>+Tabla1[[#This Row],[VENTA TOTAL USD A PLAZO EN CLIENTE  (SIN IVA)]]/Tabla1[[#This Row],[KGS]]*1000</f>
        <v>#N/A</v>
      </c>
      <c r="AZ524" s="850" t="e">
        <f>-Tabla1[[#This Row],[COSTO FLETE $ POR BOLSA 5O KG (SIN IVA)]]*20/Tabla1[[#This Row],[TIPO DE CAMBIO]]</f>
        <v>#N/A</v>
      </c>
      <c r="BA524" s="850" t="e">
        <f>+Tabla1[[#This Row],[GASTOS FINANCIEROS $ BOLSA 50 KG (IVA INC)]]*20/Tabla1[[#This Row],[TIPO DE CAMBIO]]</f>
        <v>#VALUE!</v>
      </c>
      <c r="BB524" s="850" t="e">
        <f>+Tabla1[[#This Row],[PRECIO POR TN USD EN CLIENTE A PLAZO (SIN IVA)]]+Tabla1[[#This Row],[COSTO USD FLETE /TN (SIN IVA)]]+Tabla1[[#This Row],[COSTO FINANCIERO USD POR BOLSA 50KG (IVA INC)]]</f>
        <v>#N/A</v>
      </c>
      <c r="BC524" s="828"/>
      <c r="BD524" s="944"/>
    </row>
    <row r="525" spans="1:56" ht="15.75" customHeight="1">
      <c r="A525" s="912">
        <v>46266</v>
      </c>
      <c r="B525" s="853"/>
      <c r="C525" s="792"/>
      <c r="D525" s="829">
        <f>+Tabla1[[#This Row],[FECHA Entrega]]</f>
        <v>0</v>
      </c>
      <c r="E525" s="830"/>
      <c r="F525" s="831"/>
      <c r="G525" s="832"/>
      <c r="H525" s="852"/>
      <c r="I525" s="834"/>
      <c r="J525" s="835"/>
      <c r="K525" s="836">
        <f t="shared" si="142"/>
        <v>0</v>
      </c>
      <c r="L52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25" s="837">
        <f t="shared" si="144"/>
        <v>0</v>
      </c>
      <c r="N525" s="838">
        <f>+Tabla1[[#This Row],[VENTA TOTAL $ (IVA INC) ]]</f>
        <v>0</v>
      </c>
      <c r="O525" s="838">
        <v>0</v>
      </c>
      <c r="P525" s="838">
        <v>0</v>
      </c>
      <c r="Q525" s="839">
        <f>+Tabla1[[#This Row],[VENTA TOTAL $ (IVA INC) ]]-Tabla1[[#This Row],[PENDIENTE DE COBRO]]</f>
        <v>0</v>
      </c>
      <c r="R525" s="840">
        <f>+Tabla1[[#This Row],[FECHA FC]]+Tabla1[[#This Row],[PLAZO ENTREGA VALORES]]</f>
        <v>0</v>
      </c>
      <c r="S525" s="840">
        <f>+Tabla1[[#This Row],[FECHA FC]]+Tabla1[[#This Row],[PLAZO PAGO (DIAS)]]</f>
        <v>0</v>
      </c>
      <c r="T525" s="834">
        <f t="shared" ca="1" si="143"/>
        <v>-46181</v>
      </c>
      <c r="U525" s="831"/>
      <c r="V525" s="831"/>
      <c r="W525" s="841">
        <f>+Tabla1[[#This Row],[FECHA VTO VALORES]]+7</f>
        <v>7</v>
      </c>
      <c r="X525" s="830"/>
      <c r="Y525" s="859"/>
      <c r="Z525" s="860">
        <f>Tabla1[[#This Row],[KGS]]/50</f>
        <v>0</v>
      </c>
      <c r="AA52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25" s="844">
        <f>-Tabla1[[#This Row],[COSTO FLETE $ POR BOLSA 5O KG (SIN IVA)]]*1.21-Tabla1[[#This Row],[PRECIO $/ KG A PLAZO EN CLIENTE ( SIN IVA)]]*0.003*1.21*50</f>
        <v>0</v>
      </c>
      <c r="AC525" s="845" t="e">
        <f>SUM(Tabla1[[#This Row],[PRECIO $ BOLSA 50 KG (IVA INC) ]]+Tabla1[[#This Row],[COSTO FLETE $ BOLSA 50 KG (IVA INC)]])</f>
        <v>#VALUE!</v>
      </c>
      <c r="AD525" s="844" t="e">
        <f>-Tabla1[[#This Row],[PRECIO $ BOLSA 50 KG (IVA INC) ]]*(Tabla1[[#This Row],[TASA FINANCIACION MENSUAL]]/365)*Tabla1[[#This Row],[PLAZO ENTREGA VALORES]]</f>
        <v>#VALUE!</v>
      </c>
      <c r="AE525" s="845" t="e">
        <f>SUM(Tabla1[[#This Row],[PRECIO $ BOLSA50 KG  FOB TUCUMAN A PLAZO (IVA INC)]]+Tabla1[[#This Row],[GASTOS FINANCIEROS $ BOLSA 50 KG (IVA INC)]])</f>
        <v>#VALUE!</v>
      </c>
      <c r="AF525" s="828"/>
      <c r="AG525" s="828"/>
      <c r="AH525" s="828"/>
      <c r="AI525" s="828"/>
      <c r="AJ52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25" s="846" t="e">
        <f>SUM(Tabla1[[#This Row],[PRECIO $ BOLSA 50KG  FOB CDO TUC (IVA INC)]]-Tabla1[[#This Row],[PRECIO REF $ BOLSA 50 KG CACTU (IVA INC)]])</f>
        <v>#VALUE!</v>
      </c>
      <c r="AL525" s="847" t="str">
        <f>IFERROR(Tabla1[[#This Row],[PRECIO $ BOLSA 50KG  FOB CDO TUC (IVA INC)]]/Tabla1[[#This Row],[PRECIO REF $ BOLSA 50 KG CACTU (IVA INC)]]-1,"")</f>
        <v/>
      </c>
      <c r="AM525" s="846" t="e">
        <f>+Tabla1[[#This Row],[DIF $ PRECIO NETO INDUSTRIA vs Neto TUCUMAN (IVA INC)]]*Tabla1[[#This Row],[Q Bolsas Equivalentes 50kg]]</f>
        <v>#VALUE!</v>
      </c>
      <c r="AN525" s="846" t="e">
        <f>Tabla1[[#This Row],[PRECIO REF $ BOLSA 50 KG CACTU (IVA INC)]]*Tabla1[[#This Row],[Q Bolsas Equivalentes 50kg]]</f>
        <v>#VALUE!</v>
      </c>
      <c r="AO525" s="846" t="e">
        <f>+Tabla1[[#This Row],[PRECIO $ BOLSA 50KG  FOB CDO TUC (IVA INC)]]*Tabla1[[#This Row],[Q Bolsas Equivalentes 50kg]]</f>
        <v>#VALUE!</v>
      </c>
      <c r="AP525" s="847"/>
      <c r="AQ525" s="846">
        <v>0</v>
      </c>
      <c r="AR525" s="828"/>
      <c r="AS525" s="849"/>
      <c r="AT525" s="923">
        <f>+Tabla1[[#This Row],[VENTA TOTAL $ (IVA INC) ]]-(SUM(Tabla1[[#This Row],[PENDIENTE DE ENTREGA]:[VALORES COBRADOS]]))</f>
        <v>0</v>
      </c>
      <c r="AU525" s="850" t="e">
        <f>VLOOKUP(Tabla1[[#This Row],[FECHA OC]],'TIPO DE CAMBIO'!A:B,2,TRUE)</f>
        <v>#N/A</v>
      </c>
      <c r="AV525" s="850" t="e">
        <f>+Tabla1[[#This Row],[SUBTOTAL]]/Tabla1[[#This Row],[TIPO DE CAMBIO]]</f>
        <v>#N/A</v>
      </c>
      <c r="AW525" s="851"/>
      <c r="AX525" s="850" t="str">
        <f>IFERROR(Tabla1[[#This Row],[VENTA TOTAL USD A PLAZO EN CLIENTE  (SIN IVA)]]*(1+Tabla1[[#This Row],[% IVA ]]),"")</f>
        <v/>
      </c>
      <c r="AY525" s="850" t="e">
        <f>+Tabla1[[#This Row],[VENTA TOTAL USD A PLAZO EN CLIENTE  (SIN IVA)]]/Tabla1[[#This Row],[KGS]]*1000</f>
        <v>#N/A</v>
      </c>
      <c r="AZ525" s="850" t="e">
        <f>-Tabla1[[#This Row],[COSTO FLETE $ POR BOLSA 5O KG (SIN IVA)]]*20/Tabla1[[#This Row],[TIPO DE CAMBIO]]</f>
        <v>#N/A</v>
      </c>
      <c r="BA525" s="850" t="e">
        <f>+Tabla1[[#This Row],[GASTOS FINANCIEROS $ BOLSA 50 KG (IVA INC)]]*20/Tabla1[[#This Row],[TIPO DE CAMBIO]]</f>
        <v>#VALUE!</v>
      </c>
      <c r="BB525" s="850" t="e">
        <f>+Tabla1[[#This Row],[PRECIO POR TN USD EN CLIENTE A PLAZO (SIN IVA)]]+Tabla1[[#This Row],[COSTO USD FLETE /TN (SIN IVA)]]+Tabla1[[#This Row],[COSTO FINANCIERO USD POR BOLSA 50KG (IVA INC)]]</f>
        <v>#N/A</v>
      </c>
      <c r="BC525" s="828"/>
      <c r="BD525" s="944"/>
    </row>
    <row r="526" spans="1:56" ht="15.75" customHeight="1">
      <c r="A526" s="912">
        <v>46266</v>
      </c>
      <c r="B526" s="853"/>
      <c r="C526" s="792"/>
      <c r="D526" s="829">
        <f>+Tabla1[[#This Row],[FECHA Entrega]]</f>
        <v>0</v>
      </c>
      <c r="E526" s="830"/>
      <c r="F526" s="831"/>
      <c r="G526" s="832"/>
      <c r="H526" s="852"/>
      <c r="I526" s="834"/>
      <c r="J526" s="835"/>
      <c r="K526" s="836">
        <f t="shared" si="142"/>
        <v>0</v>
      </c>
      <c r="L52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26" s="837">
        <f t="shared" si="144"/>
        <v>0</v>
      </c>
      <c r="N526" s="838">
        <f>+Tabla1[[#This Row],[VENTA TOTAL $ (IVA INC) ]]</f>
        <v>0</v>
      </c>
      <c r="O526" s="838">
        <v>0</v>
      </c>
      <c r="P526" s="838">
        <v>0</v>
      </c>
      <c r="Q526" s="839">
        <f>+Tabla1[[#This Row],[VENTA TOTAL $ (IVA INC) ]]-Tabla1[[#This Row],[PENDIENTE DE COBRO]]</f>
        <v>0</v>
      </c>
      <c r="R526" s="840">
        <f>+Tabla1[[#This Row],[FECHA FC]]+Tabla1[[#This Row],[PLAZO ENTREGA VALORES]]</f>
        <v>0</v>
      </c>
      <c r="S526" s="840">
        <f>+Tabla1[[#This Row],[FECHA FC]]+Tabla1[[#This Row],[PLAZO PAGO (DIAS)]]</f>
        <v>0</v>
      </c>
      <c r="T526" s="834">
        <f t="shared" ca="1" si="143"/>
        <v>-46181</v>
      </c>
      <c r="U526" s="831"/>
      <c r="V526" s="831"/>
      <c r="W526" s="841">
        <f>+Tabla1[[#This Row],[FECHA VTO VALORES]]+7</f>
        <v>7</v>
      </c>
      <c r="X526" s="830"/>
      <c r="Y526" s="859"/>
      <c r="Z526" s="860">
        <f>Tabla1[[#This Row],[KGS]]/50</f>
        <v>0</v>
      </c>
      <c r="AA52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26" s="844">
        <f>-Tabla1[[#This Row],[COSTO FLETE $ POR BOLSA 5O KG (SIN IVA)]]*1.21-Tabla1[[#This Row],[PRECIO $/ KG A PLAZO EN CLIENTE ( SIN IVA)]]*0.003*1.21*50</f>
        <v>0</v>
      </c>
      <c r="AC526" s="845" t="e">
        <f>SUM(Tabla1[[#This Row],[PRECIO $ BOLSA 50 KG (IVA INC) ]]+Tabla1[[#This Row],[COSTO FLETE $ BOLSA 50 KG (IVA INC)]])</f>
        <v>#VALUE!</v>
      </c>
      <c r="AD526" s="844" t="e">
        <f>-Tabla1[[#This Row],[PRECIO $ BOLSA 50 KG (IVA INC) ]]*(Tabla1[[#This Row],[TASA FINANCIACION MENSUAL]]/365)*Tabla1[[#This Row],[PLAZO ENTREGA VALORES]]</f>
        <v>#VALUE!</v>
      </c>
      <c r="AE526" s="845" t="e">
        <f>SUM(Tabla1[[#This Row],[PRECIO $ BOLSA50 KG  FOB TUCUMAN A PLAZO (IVA INC)]]+Tabla1[[#This Row],[GASTOS FINANCIEROS $ BOLSA 50 KG (IVA INC)]])</f>
        <v>#VALUE!</v>
      </c>
      <c r="AF526" s="828"/>
      <c r="AG526" s="828"/>
      <c r="AH526" s="828"/>
      <c r="AI526" s="828"/>
      <c r="AJ52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26" s="846" t="e">
        <f>SUM(Tabla1[[#This Row],[PRECIO $ BOLSA 50KG  FOB CDO TUC (IVA INC)]]-Tabla1[[#This Row],[PRECIO REF $ BOLSA 50 KG CACTU (IVA INC)]])</f>
        <v>#VALUE!</v>
      </c>
      <c r="AL526" s="847" t="str">
        <f>IFERROR(Tabla1[[#This Row],[PRECIO $ BOLSA 50KG  FOB CDO TUC (IVA INC)]]/Tabla1[[#This Row],[PRECIO REF $ BOLSA 50 KG CACTU (IVA INC)]]-1,"")</f>
        <v/>
      </c>
      <c r="AM526" s="846" t="e">
        <f>+Tabla1[[#This Row],[DIF $ PRECIO NETO INDUSTRIA vs Neto TUCUMAN (IVA INC)]]*Tabla1[[#This Row],[Q Bolsas Equivalentes 50kg]]</f>
        <v>#VALUE!</v>
      </c>
      <c r="AN526" s="846" t="e">
        <f>Tabla1[[#This Row],[PRECIO REF $ BOLSA 50 KG CACTU (IVA INC)]]*Tabla1[[#This Row],[Q Bolsas Equivalentes 50kg]]</f>
        <v>#VALUE!</v>
      </c>
      <c r="AO526" s="846" t="e">
        <f>+Tabla1[[#This Row],[PRECIO $ BOLSA 50KG  FOB CDO TUC (IVA INC)]]*Tabla1[[#This Row],[Q Bolsas Equivalentes 50kg]]</f>
        <v>#VALUE!</v>
      </c>
      <c r="AP526" s="847"/>
      <c r="AQ526" s="846">
        <v>0</v>
      </c>
      <c r="AR526" s="828"/>
      <c r="AS526" s="849"/>
      <c r="AT526" s="923">
        <f>+Tabla1[[#This Row],[VENTA TOTAL $ (IVA INC) ]]-(SUM(Tabla1[[#This Row],[PENDIENTE DE ENTREGA]:[VALORES COBRADOS]]))</f>
        <v>0</v>
      </c>
      <c r="AU526" s="850" t="e">
        <f>VLOOKUP(Tabla1[[#This Row],[FECHA OC]],'TIPO DE CAMBIO'!A:B,2,TRUE)</f>
        <v>#N/A</v>
      </c>
      <c r="AV526" s="850" t="e">
        <f>+Tabla1[[#This Row],[SUBTOTAL]]/Tabla1[[#This Row],[TIPO DE CAMBIO]]</f>
        <v>#N/A</v>
      </c>
      <c r="AW526" s="851"/>
      <c r="AX526" s="850" t="str">
        <f>IFERROR(Tabla1[[#This Row],[VENTA TOTAL USD A PLAZO EN CLIENTE  (SIN IVA)]]*(1+Tabla1[[#This Row],[% IVA ]]),"")</f>
        <v/>
      </c>
      <c r="AY526" s="850" t="e">
        <f>+Tabla1[[#This Row],[VENTA TOTAL USD A PLAZO EN CLIENTE  (SIN IVA)]]/Tabla1[[#This Row],[KGS]]*1000</f>
        <v>#N/A</v>
      </c>
      <c r="AZ526" s="850" t="e">
        <f>-Tabla1[[#This Row],[COSTO FLETE $ POR BOLSA 5O KG (SIN IVA)]]*20/Tabla1[[#This Row],[TIPO DE CAMBIO]]</f>
        <v>#N/A</v>
      </c>
      <c r="BA526" s="850" t="e">
        <f>+Tabla1[[#This Row],[GASTOS FINANCIEROS $ BOLSA 50 KG (IVA INC)]]*20/Tabla1[[#This Row],[TIPO DE CAMBIO]]</f>
        <v>#VALUE!</v>
      </c>
      <c r="BB526" s="850" t="e">
        <f>+Tabla1[[#This Row],[PRECIO POR TN USD EN CLIENTE A PLAZO (SIN IVA)]]+Tabla1[[#This Row],[COSTO USD FLETE /TN (SIN IVA)]]+Tabla1[[#This Row],[COSTO FINANCIERO USD POR BOLSA 50KG (IVA INC)]]</f>
        <v>#N/A</v>
      </c>
      <c r="BC526" s="828"/>
      <c r="BD526" s="944"/>
    </row>
    <row r="527" spans="1:56" ht="15.75" customHeight="1">
      <c r="A527" s="912">
        <v>46266</v>
      </c>
      <c r="B527" s="853"/>
      <c r="C527" s="792"/>
      <c r="D527" s="829">
        <f>+Tabla1[[#This Row],[FECHA Entrega]]</f>
        <v>0</v>
      </c>
      <c r="E527" s="830"/>
      <c r="F527" s="831"/>
      <c r="G527" s="832"/>
      <c r="H527" s="852"/>
      <c r="I527" s="834"/>
      <c r="J527" s="835"/>
      <c r="K527" s="836">
        <f t="shared" si="142"/>
        <v>0</v>
      </c>
      <c r="L52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27" s="837">
        <f t="shared" si="144"/>
        <v>0</v>
      </c>
      <c r="N527" s="838">
        <f>+Tabla1[[#This Row],[VENTA TOTAL $ (IVA INC) ]]</f>
        <v>0</v>
      </c>
      <c r="O527" s="838">
        <v>0</v>
      </c>
      <c r="P527" s="838">
        <v>0</v>
      </c>
      <c r="Q527" s="839">
        <f>+Tabla1[[#This Row],[VENTA TOTAL $ (IVA INC) ]]-Tabla1[[#This Row],[PENDIENTE DE COBRO]]</f>
        <v>0</v>
      </c>
      <c r="R527" s="840">
        <f>+Tabla1[[#This Row],[FECHA FC]]+Tabla1[[#This Row],[PLAZO ENTREGA VALORES]]</f>
        <v>0</v>
      </c>
      <c r="S527" s="840">
        <f>+Tabla1[[#This Row],[FECHA FC]]+Tabla1[[#This Row],[PLAZO PAGO (DIAS)]]</f>
        <v>0</v>
      </c>
      <c r="T527" s="834">
        <f t="shared" ca="1" si="143"/>
        <v>-46181</v>
      </c>
      <c r="U527" s="831"/>
      <c r="V527" s="831"/>
      <c r="W527" s="841">
        <f>+Tabla1[[#This Row],[FECHA VTO VALORES]]+7</f>
        <v>7</v>
      </c>
      <c r="X527" s="830"/>
      <c r="Y527" s="859"/>
      <c r="Z527" s="860">
        <f>Tabla1[[#This Row],[KGS]]/50</f>
        <v>0</v>
      </c>
      <c r="AA52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27" s="844">
        <f>-Tabla1[[#This Row],[COSTO FLETE $ POR BOLSA 5O KG (SIN IVA)]]*1.21-Tabla1[[#This Row],[PRECIO $/ KG A PLAZO EN CLIENTE ( SIN IVA)]]*0.003*1.21*50</f>
        <v>0</v>
      </c>
      <c r="AC527" s="845" t="e">
        <f>SUM(Tabla1[[#This Row],[PRECIO $ BOLSA 50 KG (IVA INC) ]]+Tabla1[[#This Row],[COSTO FLETE $ BOLSA 50 KG (IVA INC)]])</f>
        <v>#VALUE!</v>
      </c>
      <c r="AD527" s="844" t="e">
        <f>-Tabla1[[#This Row],[PRECIO $ BOLSA 50 KG (IVA INC) ]]*(Tabla1[[#This Row],[TASA FINANCIACION MENSUAL]]/365)*Tabla1[[#This Row],[PLAZO ENTREGA VALORES]]</f>
        <v>#VALUE!</v>
      </c>
      <c r="AE527" s="845" t="e">
        <f>SUM(Tabla1[[#This Row],[PRECIO $ BOLSA50 KG  FOB TUCUMAN A PLAZO (IVA INC)]]+Tabla1[[#This Row],[GASTOS FINANCIEROS $ BOLSA 50 KG (IVA INC)]])</f>
        <v>#VALUE!</v>
      </c>
      <c r="AF527" s="828"/>
      <c r="AG527" s="828"/>
      <c r="AH527" s="828"/>
      <c r="AI527" s="828"/>
      <c r="AJ52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27" s="846" t="e">
        <f>SUM(Tabla1[[#This Row],[PRECIO $ BOLSA 50KG  FOB CDO TUC (IVA INC)]]-Tabla1[[#This Row],[PRECIO REF $ BOLSA 50 KG CACTU (IVA INC)]])</f>
        <v>#VALUE!</v>
      </c>
      <c r="AL527" s="847" t="str">
        <f>IFERROR(Tabla1[[#This Row],[PRECIO $ BOLSA 50KG  FOB CDO TUC (IVA INC)]]/Tabla1[[#This Row],[PRECIO REF $ BOLSA 50 KG CACTU (IVA INC)]]-1,"")</f>
        <v/>
      </c>
      <c r="AM527" s="846" t="e">
        <f>+Tabla1[[#This Row],[DIF $ PRECIO NETO INDUSTRIA vs Neto TUCUMAN (IVA INC)]]*Tabla1[[#This Row],[Q Bolsas Equivalentes 50kg]]</f>
        <v>#VALUE!</v>
      </c>
      <c r="AN527" s="846" t="e">
        <f>Tabla1[[#This Row],[PRECIO REF $ BOLSA 50 KG CACTU (IVA INC)]]*Tabla1[[#This Row],[Q Bolsas Equivalentes 50kg]]</f>
        <v>#VALUE!</v>
      </c>
      <c r="AO527" s="846" t="e">
        <f>+Tabla1[[#This Row],[PRECIO $ BOLSA 50KG  FOB CDO TUC (IVA INC)]]*Tabla1[[#This Row],[Q Bolsas Equivalentes 50kg]]</f>
        <v>#VALUE!</v>
      </c>
      <c r="AP527" s="847"/>
      <c r="AQ527" s="846">
        <v>0</v>
      </c>
      <c r="AR527" s="828"/>
      <c r="AS527" s="849"/>
      <c r="AT527" s="923">
        <f>+Tabla1[[#This Row],[VENTA TOTAL $ (IVA INC) ]]-(SUM(Tabla1[[#This Row],[PENDIENTE DE ENTREGA]:[VALORES COBRADOS]]))</f>
        <v>0</v>
      </c>
      <c r="AU527" s="850" t="e">
        <f>VLOOKUP(Tabla1[[#This Row],[FECHA OC]],'TIPO DE CAMBIO'!A:B,2,TRUE)</f>
        <v>#N/A</v>
      </c>
      <c r="AV527" s="850" t="e">
        <f>+Tabla1[[#This Row],[SUBTOTAL]]/Tabla1[[#This Row],[TIPO DE CAMBIO]]</f>
        <v>#N/A</v>
      </c>
      <c r="AW527" s="851"/>
      <c r="AX527" s="850" t="str">
        <f>IFERROR(Tabla1[[#This Row],[VENTA TOTAL USD A PLAZO EN CLIENTE  (SIN IVA)]]*(1+Tabla1[[#This Row],[% IVA ]]),"")</f>
        <v/>
      </c>
      <c r="AY527" s="850" t="e">
        <f>+Tabla1[[#This Row],[VENTA TOTAL USD A PLAZO EN CLIENTE  (SIN IVA)]]/Tabla1[[#This Row],[KGS]]*1000</f>
        <v>#N/A</v>
      </c>
      <c r="AZ527" s="850" t="e">
        <f>-Tabla1[[#This Row],[COSTO FLETE $ POR BOLSA 5O KG (SIN IVA)]]*20/Tabla1[[#This Row],[TIPO DE CAMBIO]]</f>
        <v>#N/A</v>
      </c>
      <c r="BA527" s="850" t="e">
        <f>+Tabla1[[#This Row],[GASTOS FINANCIEROS $ BOLSA 50 KG (IVA INC)]]*20/Tabla1[[#This Row],[TIPO DE CAMBIO]]</f>
        <v>#VALUE!</v>
      </c>
      <c r="BB527" s="850" t="e">
        <f>+Tabla1[[#This Row],[PRECIO POR TN USD EN CLIENTE A PLAZO (SIN IVA)]]+Tabla1[[#This Row],[COSTO USD FLETE /TN (SIN IVA)]]+Tabla1[[#This Row],[COSTO FINANCIERO USD POR BOLSA 50KG (IVA INC)]]</f>
        <v>#N/A</v>
      </c>
      <c r="BC527" s="828"/>
      <c r="BD527" s="944"/>
    </row>
    <row r="528" spans="1:56" ht="15.75" customHeight="1">
      <c r="A528" s="912">
        <v>46266</v>
      </c>
      <c r="B528" s="853"/>
      <c r="C528" s="792"/>
      <c r="D528" s="829">
        <f>+Tabla1[[#This Row],[FECHA Entrega]]</f>
        <v>0</v>
      </c>
      <c r="E528" s="830"/>
      <c r="F528" s="831"/>
      <c r="G528" s="832"/>
      <c r="H528" s="852"/>
      <c r="I528" s="834"/>
      <c r="J528" s="835"/>
      <c r="K528" s="836">
        <f t="shared" si="142"/>
        <v>0</v>
      </c>
      <c r="L52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28" s="837">
        <f t="shared" si="144"/>
        <v>0</v>
      </c>
      <c r="N528" s="838">
        <f>+Tabla1[[#This Row],[VENTA TOTAL $ (IVA INC) ]]</f>
        <v>0</v>
      </c>
      <c r="O528" s="838">
        <v>0</v>
      </c>
      <c r="P528" s="838">
        <v>0</v>
      </c>
      <c r="Q528" s="839">
        <f>+Tabla1[[#This Row],[VENTA TOTAL $ (IVA INC) ]]-Tabla1[[#This Row],[PENDIENTE DE COBRO]]</f>
        <v>0</v>
      </c>
      <c r="R528" s="840">
        <f>+Tabla1[[#This Row],[FECHA FC]]+Tabla1[[#This Row],[PLAZO ENTREGA VALORES]]</f>
        <v>0</v>
      </c>
      <c r="S528" s="840">
        <f>+Tabla1[[#This Row],[FECHA FC]]+Tabla1[[#This Row],[PLAZO PAGO (DIAS)]]</f>
        <v>0</v>
      </c>
      <c r="T528" s="834">
        <f t="shared" ca="1" si="143"/>
        <v>-46181</v>
      </c>
      <c r="U528" s="831"/>
      <c r="V528" s="831"/>
      <c r="W528" s="841">
        <f>+Tabla1[[#This Row],[FECHA VTO VALORES]]+7</f>
        <v>7</v>
      </c>
      <c r="X528" s="830"/>
      <c r="Y528" s="859"/>
      <c r="Z528" s="860">
        <f>Tabla1[[#This Row],[KGS]]/50</f>
        <v>0</v>
      </c>
      <c r="AA52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28" s="844">
        <f>-Tabla1[[#This Row],[COSTO FLETE $ POR BOLSA 5O KG (SIN IVA)]]*1.21-Tabla1[[#This Row],[PRECIO $/ KG A PLAZO EN CLIENTE ( SIN IVA)]]*0.003*1.21*50</f>
        <v>0</v>
      </c>
      <c r="AC528" s="845" t="e">
        <f>SUM(Tabla1[[#This Row],[PRECIO $ BOLSA 50 KG (IVA INC) ]]+Tabla1[[#This Row],[COSTO FLETE $ BOLSA 50 KG (IVA INC)]])</f>
        <v>#VALUE!</v>
      </c>
      <c r="AD528" s="844" t="e">
        <f>-Tabla1[[#This Row],[PRECIO $ BOLSA 50 KG (IVA INC) ]]*(Tabla1[[#This Row],[TASA FINANCIACION MENSUAL]]/365)*Tabla1[[#This Row],[PLAZO ENTREGA VALORES]]</f>
        <v>#VALUE!</v>
      </c>
      <c r="AE528" s="845" t="e">
        <f>SUM(Tabla1[[#This Row],[PRECIO $ BOLSA50 KG  FOB TUCUMAN A PLAZO (IVA INC)]]+Tabla1[[#This Row],[GASTOS FINANCIEROS $ BOLSA 50 KG (IVA INC)]])</f>
        <v>#VALUE!</v>
      </c>
      <c r="AF528" s="828"/>
      <c r="AG528" s="828"/>
      <c r="AH528" s="828"/>
      <c r="AI528" s="828"/>
      <c r="AJ52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28" s="846" t="e">
        <f>SUM(Tabla1[[#This Row],[PRECIO $ BOLSA 50KG  FOB CDO TUC (IVA INC)]]-Tabla1[[#This Row],[PRECIO REF $ BOLSA 50 KG CACTU (IVA INC)]])</f>
        <v>#VALUE!</v>
      </c>
      <c r="AL528" s="847" t="str">
        <f>IFERROR(Tabla1[[#This Row],[PRECIO $ BOLSA 50KG  FOB CDO TUC (IVA INC)]]/Tabla1[[#This Row],[PRECIO REF $ BOLSA 50 KG CACTU (IVA INC)]]-1,"")</f>
        <v/>
      </c>
      <c r="AM528" s="846" t="e">
        <f>+Tabla1[[#This Row],[DIF $ PRECIO NETO INDUSTRIA vs Neto TUCUMAN (IVA INC)]]*Tabla1[[#This Row],[Q Bolsas Equivalentes 50kg]]</f>
        <v>#VALUE!</v>
      </c>
      <c r="AN528" s="846" t="e">
        <f>Tabla1[[#This Row],[PRECIO REF $ BOLSA 50 KG CACTU (IVA INC)]]*Tabla1[[#This Row],[Q Bolsas Equivalentes 50kg]]</f>
        <v>#VALUE!</v>
      </c>
      <c r="AO528" s="846" t="e">
        <f>+Tabla1[[#This Row],[PRECIO $ BOLSA 50KG  FOB CDO TUC (IVA INC)]]*Tabla1[[#This Row],[Q Bolsas Equivalentes 50kg]]</f>
        <v>#VALUE!</v>
      </c>
      <c r="AP528" s="847"/>
      <c r="AQ528" s="846">
        <v>0</v>
      </c>
      <c r="AR528" s="828"/>
      <c r="AS528" s="849"/>
      <c r="AT528" s="923">
        <f>+Tabla1[[#This Row],[VENTA TOTAL $ (IVA INC) ]]-(SUM(Tabla1[[#This Row],[PENDIENTE DE ENTREGA]:[VALORES COBRADOS]]))</f>
        <v>0</v>
      </c>
      <c r="AU528" s="850" t="e">
        <f>VLOOKUP(Tabla1[[#This Row],[FECHA OC]],'TIPO DE CAMBIO'!A:B,2,TRUE)</f>
        <v>#N/A</v>
      </c>
      <c r="AV528" s="850" t="e">
        <f>+Tabla1[[#This Row],[SUBTOTAL]]/Tabla1[[#This Row],[TIPO DE CAMBIO]]</f>
        <v>#N/A</v>
      </c>
      <c r="AW528" s="851"/>
      <c r="AX528" s="850" t="str">
        <f>IFERROR(Tabla1[[#This Row],[VENTA TOTAL USD A PLAZO EN CLIENTE  (SIN IVA)]]*(1+Tabla1[[#This Row],[% IVA ]]),"")</f>
        <v/>
      </c>
      <c r="AY528" s="850" t="e">
        <f>+Tabla1[[#This Row],[VENTA TOTAL USD A PLAZO EN CLIENTE  (SIN IVA)]]/Tabla1[[#This Row],[KGS]]*1000</f>
        <v>#N/A</v>
      </c>
      <c r="AZ528" s="850" t="e">
        <f>-Tabla1[[#This Row],[COSTO FLETE $ POR BOLSA 5O KG (SIN IVA)]]*20/Tabla1[[#This Row],[TIPO DE CAMBIO]]</f>
        <v>#N/A</v>
      </c>
      <c r="BA528" s="850" t="e">
        <f>+Tabla1[[#This Row],[GASTOS FINANCIEROS $ BOLSA 50 KG (IVA INC)]]*20/Tabla1[[#This Row],[TIPO DE CAMBIO]]</f>
        <v>#VALUE!</v>
      </c>
      <c r="BB528" s="850" t="e">
        <f>+Tabla1[[#This Row],[PRECIO POR TN USD EN CLIENTE A PLAZO (SIN IVA)]]+Tabla1[[#This Row],[COSTO USD FLETE /TN (SIN IVA)]]+Tabla1[[#This Row],[COSTO FINANCIERO USD POR BOLSA 50KG (IVA INC)]]</f>
        <v>#N/A</v>
      </c>
      <c r="BC528" s="828"/>
      <c r="BD528" s="944"/>
    </row>
    <row r="529" spans="1:56" ht="15.75" customHeight="1">
      <c r="A529" s="912">
        <v>46266</v>
      </c>
      <c r="B529" s="853"/>
      <c r="C529" s="792"/>
      <c r="D529" s="829">
        <f>+Tabla1[[#This Row],[FECHA Entrega]]</f>
        <v>0</v>
      </c>
      <c r="E529" s="830"/>
      <c r="F529" s="831"/>
      <c r="G529" s="832"/>
      <c r="H529" s="852"/>
      <c r="I529" s="834"/>
      <c r="J529" s="835"/>
      <c r="K529" s="836">
        <f t="shared" si="142"/>
        <v>0</v>
      </c>
      <c r="L52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29" s="837">
        <f t="shared" si="144"/>
        <v>0</v>
      </c>
      <c r="N529" s="838">
        <f>+Tabla1[[#This Row],[VENTA TOTAL $ (IVA INC) ]]</f>
        <v>0</v>
      </c>
      <c r="O529" s="838">
        <v>0</v>
      </c>
      <c r="P529" s="838">
        <v>0</v>
      </c>
      <c r="Q529" s="839">
        <f>+Tabla1[[#This Row],[VENTA TOTAL $ (IVA INC) ]]-Tabla1[[#This Row],[PENDIENTE DE COBRO]]</f>
        <v>0</v>
      </c>
      <c r="R529" s="840">
        <f>+Tabla1[[#This Row],[FECHA FC]]+Tabla1[[#This Row],[PLAZO ENTREGA VALORES]]</f>
        <v>0</v>
      </c>
      <c r="S529" s="840">
        <f>+Tabla1[[#This Row],[FECHA FC]]+Tabla1[[#This Row],[PLAZO PAGO (DIAS)]]</f>
        <v>0</v>
      </c>
      <c r="T529" s="834">
        <f t="shared" ca="1" si="143"/>
        <v>-46181</v>
      </c>
      <c r="U529" s="831"/>
      <c r="V529" s="831"/>
      <c r="W529" s="841">
        <f>+Tabla1[[#This Row],[FECHA VTO VALORES]]+7</f>
        <v>7</v>
      </c>
      <c r="X529" s="830"/>
      <c r="Y529" s="859"/>
      <c r="Z529" s="860">
        <f>Tabla1[[#This Row],[KGS]]/50</f>
        <v>0</v>
      </c>
      <c r="AA52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29" s="844">
        <f>-Tabla1[[#This Row],[COSTO FLETE $ POR BOLSA 5O KG (SIN IVA)]]*1.21-Tabla1[[#This Row],[PRECIO $/ KG A PLAZO EN CLIENTE ( SIN IVA)]]*0.003*1.21*50</f>
        <v>0</v>
      </c>
      <c r="AC529" s="845" t="e">
        <f>SUM(Tabla1[[#This Row],[PRECIO $ BOLSA 50 KG (IVA INC) ]]+Tabla1[[#This Row],[COSTO FLETE $ BOLSA 50 KG (IVA INC)]])</f>
        <v>#VALUE!</v>
      </c>
      <c r="AD529" s="844" t="e">
        <f>-Tabla1[[#This Row],[PRECIO $ BOLSA 50 KG (IVA INC) ]]*(Tabla1[[#This Row],[TASA FINANCIACION MENSUAL]]/365)*Tabla1[[#This Row],[PLAZO ENTREGA VALORES]]</f>
        <v>#VALUE!</v>
      </c>
      <c r="AE529" s="845" t="e">
        <f>SUM(Tabla1[[#This Row],[PRECIO $ BOLSA50 KG  FOB TUCUMAN A PLAZO (IVA INC)]]+Tabla1[[#This Row],[GASTOS FINANCIEROS $ BOLSA 50 KG (IVA INC)]])</f>
        <v>#VALUE!</v>
      </c>
      <c r="AF529" s="828"/>
      <c r="AG529" s="828"/>
      <c r="AH529" s="828"/>
      <c r="AI529" s="828"/>
      <c r="AJ52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29" s="846" t="e">
        <f>SUM(Tabla1[[#This Row],[PRECIO $ BOLSA 50KG  FOB CDO TUC (IVA INC)]]-Tabla1[[#This Row],[PRECIO REF $ BOLSA 50 KG CACTU (IVA INC)]])</f>
        <v>#VALUE!</v>
      </c>
      <c r="AL529" s="847" t="str">
        <f>IFERROR(Tabla1[[#This Row],[PRECIO $ BOLSA 50KG  FOB CDO TUC (IVA INC)]]/Tabla1[[#This Row],[PRECIO REF $ BOLSA 50 KG CACTU (IVA INC)]]-1,"")</f>
        <v/>
      </c>
      <c r="AM529" s="846" t="e">
        <f>+Tabla1[[#This Row],[DIF $ PRECIO NETO INDUSTRIA vs Neto TUCUMAN (IVA INC)]]*Tabla1[[#This Row],[Q Bolsas Equivalentes 50kg]]</f>
        <v>#VALUE!</v>
      </c>
      <c r="AN529" s="846" t="e">
        <f>Tabla1[[#This Row],[PRECIO REF $ BOLSA 50 KG CACTU (IVA INC)]]*Tabla1[[#This Row],[Q Bolsas Equivalentes 50kg]]</f>
        <v>#VALUE!</v>
      </c>
      <c r="AO529" s="846" t="e">
        <f>+Tabla1[[#This Row],[PRECIO $ BOLSA 50KG  FOB CDO TUC (IVA INC)]]*Tabla1[[#This Row],[Q Bolsas Equivalentes 50kg]]</f>
        <v>#VALUE!</v>
      </c>
      <c r="AP529" s="847"/>
      <c r="AQ529" s="846">
        <v>0</v>
      </c>
      <c r="AR529" s="828"/>
      <c r="AS529" s="849"/>
      <c r="AT529" s="923">
        <f>+Tabla1[[#This Row],[VENTA TOTAL $ (IVA INC) ]]-(SUM(Tabla1[[#This Row],[PENDIENTE DE ENTREGA]:[VALORES COBRADOS]]))</f>
        <v>0</v>
      </c>
      <c r="AU529" s="850" t="e">
        <f>VLOOKUP(Tabla1[[#This Row],[FECHA OC]],'TIPO DE CAMBIO'!A:B,2,TRUE)</f>
        <v>#N/A</v>
      </c>
      <c r="AV529" s="850" t="e">
        <f>+Tabla1[[#This Row],[SUBTOTAL]]/Tabla1[[#This Row],[TIPO DE CAMBIO]]</f>
        <v>#N/A</v>
      </c>
      <c r="AW529" s="851"/>
      <c r="AX529" s="850" t="str">
        <f>IFERROR(Tabla1[[#This Row],[VENTA TOTAL USD A PLAZO EN CLIENTE  (SIN IVA)]]*(1+Tabla1[[#This Row],[% IVA ]]),"")</f>
        <v/>
      </c>
      <c r="AY529" s="850" t="e">
        <f>+Tabla1[[#This Row],[VENTA TOTAL USD A PLAZO EN CLIENTE  (SIN IVA)]]/Tabla1[[#This Row],[KGS]]*1000</f>
        <v>#N/A</v>
      </c>
      <c r="AZ529" s="850" t="e">
        <f>-Tabla1[[#This Row],[COSTO FLETE $ POR BOLSA 5O KG (SIN IVA)]]*20/Tabla1[[#This Row],[TIPO DE CAMBIO]]</f>
        <v>#N/A</v>
      </c>
      <c r="BA529" s="850" t="e">
        <f>+Tabla1[[#This Row],[GASTOS FINANCIEROS $ BOLSA 50 KG (IVA INC)]]*20/Tabla1[[#This Row],[TIPO DE CAMBIO]]</f>
        <v>#VALUE!</v>
      </c>
      <c r="BB529" s="850" t="e">
        <f>+Tabla1[[#This Row],[PRECIO POR TN USD EN CLIENTE A PLAZO (SIN IVA)]]+Tabla1[[#This Row],[COSTO USD FLETE /TN (SIN IVA)]]+Tabla1[[#This Row],[COSTO FINANCIERO USD POR BOLSA 50KG (IVA INC)]]</f>
        <v>#N/A</v>
      </c>
      <c r="BC529" s="828"/>
      <c r="BD529" s="944"/>
    </row>
    <row r="530" spans="1:56" ht="15.75" customHeight="1">
      <c r="A530" s="912">
        <v>46266</v>
      </c>
      <c r="B530" s="853"/>
      <c r="C530" s="792"/>
      <c r="D530" s="829">
        <f>+Tabla1[[#This Row],[FECHA Entrega]]</f>
        <v>0</v>
      </c>
      <c r="E530" s="830"/>
      <c r="F530" s="831"/>
      <c r="G530" s="832"/>
      <c r="H530" s="852"/>
      <c r="I530" s="834"/>
      <c r="J530" s="835"/>
      <c r="K530" s="836">
        <f t="shared" si="142"/>
        <v>0</v>
      </c>
      <c r="L53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30" s="837">
        <f t="shared" si="144"/>
        <v>0</v>
      </c>
      <c r="N530" s="838">
        <f>+Tabla1[[#This Row],[VENTA TOTAL $ (IVA INC) ]]</f>
        <v>0</v>
      </c>
      <c r="O530" s="838">
        <v>0</v>
      </c>
      <c r="P530" s="838">
        <v>0</v>
      </c>
      <c r="Q530" s="839">
        <f>+Tabla1[[#This Row],[VENTA TOTAL $ (IVA INC) ]]-Tabla1[[#This Row],[PENDIENTE DE COBRO]]</f>
        <v>0</v>
      </c>
      <c r="R530" s="840">
        <f>+Tabla1[[#This Row],[FECHA FC]]+Tabla1[[#This Row],[PLAZO ENTREGA VALORES]]</f>
        <v>0</v>
      </c>
      <c r="S530" s="840">
        <f>+Tabla1[[#This Row],[FECHA FC]]+Tabla1[[#This Row],[PLAZO PAGO (DIAS)]]</f>
        <v>0</v>
      </c>
      <c r="T530" s="834">
        <f t="shared" ca="1" si="143"/>
        <v>-46181</v>
      </c>
      <c r="U530" s="831"/>
      <c r="V530" s="831"/>
      <c r="W530" s="841">
        <f>+Tabla1[[#This Row],[FECHA VTO VALORES]]+7</f>
        <v>7</v>
      </c>
      <c r="X530" s="830"/>
      <c r="Y530" s="859"/>
      <c r="Z530" s="860">
        <f>Tabla1[[#This Row],[KGS]]/50</f>
        <v>0</v>
      </c>
      <c r="AA53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30" s="844">
        <f>-Tabla1[[#This Row],[COSTO FLETE $ POR BOLSA 5O KG (SIN IVA)]]*1.21-Tabla1[[#This Row],[PRECIO $/ KG A PLAZO EN CLIENTE ( SIN IVA)]]*0.003*1.21*50</f>
        <v>0</v>
      </c>
      <c r="AC530" s="845" t="e">
        <f>SUM(Tabla1[[#This Row],[PRECIO $ BOLSA 50 KG (IVA INC) ]]+Tabla1[[#This Row],[COSTO FLETE $ BOLSA 50 KG (IVA INC)]])</f>
        <v>#VALUE!</v>
      </c>
      <c r="AD530" s="844" t="e">
        <f>-Tabla1[[#This Row],[PRECIO $ BOLSA 50 KG (IVA INC) ]]*(Tabla1[[#This Row],[TASA FINANCIACION MENSUAL]]/365)*Tabla1[[#This Row],[PLAZO ENTREGA VALORES]]</f>
        <v>#VALUE!</v>
      </c>
      <c r="AE530" s="845" t="e">
        <f>SUM(Tabla1[[#This Row],[PRECIO $ BOLSA50 KG  FOB TUCUMAN A PLAZO (IVA INC)]]+Tabla1[[#This Row],[GASTOS FINANCIEROS $ BOLSA 50 KG (IVA INC)]])</f>
        <v>#VALUE!</v>
      </c>
      <c r="AF530" s="828"/>
      <c r="AG530" s="828"/>
      <c r="AH530" s="828"/>
      <c r="AI530" s="828"/>
      <c r="AJ53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30" s="846" t="e">
        <f>SUM(Tabla1[[#This Row],[PRECIO $ BOLSA 50KG  FOB CDO TUC (IVA INC)]]-Tabla1[[#This Row],[PRECIO REF $ BOLSA 50 KG CACTU (IVA INC)]])</f>
        <v>#VALUE!</v>
      </c>
      <c r="AL530" s="847" t="str">
        <f>IFERROR(Tabla1[[#This Row],[PRECIO $ BOLSA 50KG  FOB CDO TUC (IVA INC)]]/Tabla1[[#This Row],[PRECIO REF $ BOLSA 50 KG CACTU (IVA INC)]]-1,"")</f>
        <v/>
      </c>
      <c r="AM530" s="846" t="e">
        <f>+Tabla1[[#This Row],[DIF $ PRECIO NETO INDUSTRIA vs Neto TUCUMAN (IVA INC)]]*Tabla1[[#This Row],[Q Bolsas Equivalentes 50kg]]</f>
        <v>#VALUE!</v>
      </c>
      <c r="AN530" s="846" t="e">
        <f>Tabla1[[#This Row],[PRECIO REF $ BOLSA 50 KG CACTU (IVA INC)]]*Tabla1[[#This Row],[Q Bolsas Equivalentes 50kg]]</f>
        <v>#VALUE!</v>
      </c>
      <c r="AO530" s="846" t="e">
        <f>+Tabla1[[#This Row],[PRECIO $ BOLSA 50KG  FOB CDO TUC (IVA INC)]]*Tabla1[[#This Row],[Q Bolsas Equivalentes 50kg]]</f>
        <v>#VALUE!</v>
      </c>
      <c r="AP530" s="847"/>
      <c r="AQ530" s="846">
        <v>0</v>
      </c>
      <c r="AR530" s="828"/>
      <c r="AS530" s="849"/>
      <c r="AT530" s="923">
        <f>+Tabla1[[#This Row],[VENTA TOTAL $ (IVA INC) ]]-(SUM(Tabla1[[#This Row],[PENDIENTE DE ENTREGA]:[VALORES COBRADOS]]))</f>
        <v>0</v>
      </c>
      <c r="AU530" s="850" t="e">
        <f>VLOOKUP(Tabla1[[#This Row],[FECHA OC]],'TIPO DE CAMBIO'!A:B,2,TRUE)</f>
        <v>#N/A</v>
      </c>
      <c r="AV530" s="850" t="e">
        <f>+Tabla1[[#This Row],[SUBTOTAL]]/Tabla1[[#This Row],[TIPO DE CAMBIO]]</f>
        <v>#N/A</v>
      </c>
      <c r="AW530" s="851"/>
      <c r="AX530" s="850" t="str">
        <f>IFERROR(Tabla1[[#This Row],[VENTA TOTAL USD A PLAZO EN CLIENTE  (SIN IVA)]]*(1+Tabla1[[#This Row],[% IVA ]]),"")</f>
        <v/>
      </c>
      <c r="AY530" s="850" t="e">
        <f>+Tabla1[[#This Row],[VENTA TOTAL USD A PLAZO EN CLIENTE  (SIN IVA)]]/Tabla1[[#This Row],[KGS]]*1000</f>
        <v>#N/A</v>
      </c>
      <c r="AZ530" s="850" t="e">
        <f>-Tabla1[[#This Row],[COSTO FLETE $ POR BOLSA 5O KG (SIN IVA)]]*20/Tabla1[[#This Row],[TIPO DE CAMBIO]]</f>
        <v>#N/A</v>
      </c>
      <c r="BA530" s="850" t="e">
        <f>+Tabla1[[#This Row],[GASTOS FINANCIEROS $ BOLSA 50 KG (IVA INC)]]*20/Tabla1[[#This Row],[TIPO DE CAMBIO]]</f>
        <v>#VALUE!</v>
      </c>
      <c r="BB530" s="850" t="e">
        <f>+Tabla1[[#This Row],[PRECIO POR TN USD EN CLIENTE A PLAZO (SIN IVA)]]+Tabla1[[#This Row],[COSTO USD FLETE /TN (SIN IVA)]]+Tabla1[[#This Row],[COSTO FINANCIERO USD POR BOLSA 50KG (IVA INC)]]</f>
        <v>#N/A</v>
      </c>
      <c r="BC530" s="828"/>
      <c r="BD530" s="944"/>
    </row>
    <row r="531" spans="1:56" ht="15.75" customHeight="1">
      <c r="A531" s="912">
        <v>46266</v>
      </c>
      <c r="B531" s="853"/>
      <c r="C531" s="792"/>
      <c r="D531" s="829">
        <f>+Tabla1[[#This Row],[FECHA Entrega]]</f>
        <v>0</v>
      </c>
      <c r="E531" s="830"/>
      <c r="F531" s="831"/>
      <c r="G531" s="832"/>
      <c r="H531" s="852"/>
      <c r="I531" s="834"/>
      <c r="J531" s="835"/>
      <c r="K531" s="836">
        <f t="shared" si="142"/>
        <v>0</v>
      </c>
      <c r="L53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31" s="837">
        <f t="shared" si="144"/>
        <v>0</v>
      </c>
      <c r="N531" s="838">
        <f>+Tabla1[[#This Row],[VENTA TOTAL $ (IVA INC) ]]</f>
        <v>0</v>
      </c>
      <c r="O531" s="838">
        <v>0</v>
      </c>
      <c r="P531" s="838">
        <v>0</v>
      </c>
      <c r="Q531" s="839">
        <f>+Tabla1[[#This Row],[VENTA TOTAL $ (IVA INC) ]]-Tabla1[[#This Row],[PENDIENTE DE COBRO]]</f>
        <v>0</v>
      </c>
      <c r="R531" s="840">
        <f>+Tabla1[[#This Row],[FECHA FC]]+Tabla1[[#This Row],[PLAZO ENTREGA VALORES]]</f>
        <v>0</v>
      </c>
      <c r="S531" s="840">
        <f>+Tabla1[[#This Row],[FECHA FC]]+Tabla1[[#This Row],[PLAZO PAGO (DIAS)]]</f>
        <v>0</v>
      </c>
      <c r="T531" s="834">
        <f t="shared" ca="1" si="143"/>
        <v>-46181</v>
      </c>
      <c r="U531" s="831"/>
      <c r="V531" s="831"/>
      <c r="W531" s="841">
        <f>+Tabla1[[#This Row],[FECHA VTO VALORES]]+7</f>
        <v>7</v>
      </c>
      <c r="X531" s="830"/>
      <c r="Y531" s="859"/>
      <c r="Z531" s="860">
        <f>Tabla1[[#This Row],[KGS]]/50</f>
        <v>0</v>
      </c>
      <c r="AA53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31" s="844">
        <f>-Tabla1[[#This Row],[COSTO FLETE $ POR BOLSA 5O KG (SIN IVA)]]*1.21-Tabla1[[#This Row],[PRECIO $/ KG A PLAZO EN CLIENTE ( SIN IVA)]]*0.003*1.21*50</f>
        <v>0</v>
      </c>
      <c r="AC531" s="845" t="e">
        <f>SUM(Tabla1[[#This Row],[PRECIO $ BOLSA 50 KG (IVA INC) ]]+Tabla1[[#This Row],[COSTO FLETE $ BOLSA 50 KG (IVA INC)]])</f>
        <v>#VALUE!</v>
      </c>
      <c r="AD531" s="844" t="e">
        <f>-Tabla1[[#This Row],[PRECIO $ BOLSA 50 KG (IVA INC) ]]*(Tabla1[[#This Row],[TASA FINANCIACION MENSUAL]]/365)*Tabla1[[#This Row],[PLAZO ENTREGA VALORES]]</f>
        <v>#VALUE!</v>
      </c>
      <c r="AE531" s="845" t="e">
        <f>SUM(Tabla1[[#This Row],[PRECIO $ BOLSA50 KG  FOB TUCUMAN A PLAZO (IVA INC)]]+Tabla1[[#This Row],[GASTOS FINANCIEROS $ BOLSA 50 KG (IVA INC)]])</f>
        <v>#VALUE!</v>
      </c>
      <c r="AF531" s="828"/>
      <c r="AG531" s="828"/>
      <c r="AH531" s="828"/>
      <c r="AI531" s="828"/>
      <c r="AJ53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31" s="846" t="e">
        <f>SUM(Tabla1[[#This Row],[PRECIO $ BOLSA 50KG  FOB CDO TUC (IVA INC)]]-Tabla1[[#This Row],[PRECIO REF $ BOLSA 50 KG CACTU (IVA INC)]])</f>
        <v>#VALUE!</v>
      </c>
      <c r="AL531" s="847" t="str">
        <f>IFERROR(Tabla1[[#This Row],[PRECIO $ BOLSA 50KG  FOB CDO TUC (IVA INC)]]/Tabla1[[#This Row],[PRECIO REF $ BOLSA 50 KG CACTU (IVA INC)]]-1,"")</f>
        <v/>
      </c>
      <c r="AM531" s="846" t="e">
        <f>+Tabla1[[#This Row],[DIF $ PRECIO NETO INDUSTRIA vs Neto TUCUMAN (IVA INC)]]*Tabla1[[#This Row],[Q Bolsas Equivalentes 50kg]]</f>
        <v>#VALUE!</v>
      </c>
      <c r="AN531" s="846" t="e">
        <f>Tabla1[[#This Row],[PRECIO REF $ BOLSA 50 KG CACTU (IVA INC)]]*Tabla1[[#This Row],[Q Bolsas Equivalentes 50kg]]</f>
        <v>#VALUE!</v>
      </c>
      <c r="AO531" s="846" t="e">
        <f>+Tabla1[[#This Row],[PRECIO $ BOLSA 50KG  FOB CDO TUC (IVA INC)]]*Tabla1[[#This Row],[Q Bolsas Equivalentes 50kg]]</f>
        <v>#VALUE!</v>
      </c>
      <c r="AP531" s="847"/>
      <c r="AQ531" s="846">
        <v>0</v>
      </c>
      <c r="AR531" s="828"/>
      <c r="AS531" s="849"/>
      <c r="AT531" s="923">
        <f>+Tabla1[[#This Row],[VENTA TOTAL $ (IVA INC) ]]-(SUM(Tabla1[[#This Row],[PENDIENTE DE ENTREGA]:[VALORES COBRADOS]]))</f>
        <v>0</v>
      </c>
      <c r="AU531" s="850" t="e">
        <f>VLOOKUP(Tabla1[[#This Row],[FECHA OC]],'TIPO DE CAMBIO'!A:B,2,TRUE)</f>
        <v>#N/A</v>
      </c>
      <c r="AV531" s="850" t="e">
        <f>+Tabla1[[#This Row],[SUBTOTAL]]/Tabla1[[#This Row],[TIPO DE CAMBIO]]</f>
        <v>#N/A</v>
      </c>
      <c r="AW531" s="851"/>
      <c r="AX531" s="850" t="str">
        <f>IFERROR(Tabla1[[#This Row],[VENTA TOTAL USD A PLAZO EN CLIENTE  (SIN IVA)]]*(1+Tabla1[[#This Row],[% IVA ]]),"")</f>
        <v/>
      </c>
      <c r="AY531" s="850" t="e">
        <f>+Tabla1[[#This Row],[VENTA TOTAL USD A PLAZO EN CLIENTE  (SIN IVA)]]/Tabla1[[#This Row],[KGS]]*1000</f>
        <v>#N/A</v>
      </c>
      <c r="AZ531" s="850" t="e">
        <f>-Tabla1[[#This Row],[COSTO FLETE $ POR BOLSA 5O KG (SIN IVA)]]*20/Tabla1[[#This Row],[TIPO DE CAMBIO]]</f>
        <v>#N/A</v>
      </c>
      <c r="BA531" s="850" t="e">
        <f>+Tabla1[[#This Row],[GASTOS FINANCIEROS $ BOLSA 50 KG (IVA INC)]]*20/Tabla1[[#This Row],[TIPO DE CAMBIO]]</f>
        <v>#VALUE!</v>
      </c>
      <c r="BB531" s="850" t="e">
        <f>+Tabla1[[#This Row],[PRECIO POR TN USD EN CLIENTE A PLAZO (SIN IVA)]]+Tabla1[[#This Row],[COSTO USD FLETE /TN (SIN IVA)]]+Tabla1[[#This Row],[COSTO FINANCIERO USD POR BOLSA 50KG (IVA INC)]]</f>
        <v>#N/A</v>
      </c>
      <c r="BC531" s="828"/>
      <c r="BD531" s="944"/>
    </row>
    <row r="532" spans="1:56" ht="15.75" customHeight="1">
      <c r="A532" s="912">
        <v>46266</v>
      </c>
      <c r="B532" s="853"/>
      <c r="C532" s="792"/>
      <c r="D532" s="829">
        <f>+Tabla1[[#This Row],[FECHA Entrega]]</f>
        <v>0</v>
      </c>
      <c r="E532" s="830"/>
      <c r="F532" s="831"/>
      <c r="G532" s="832"/>
      <c r="H532" s="852"/>
      <c r="I532" s="834"/>
      <c r="J532" s="835"/>
      <c r="K532" s="836">
        <f t="shared" si="142"/>
        <v>0</v>
      </c>
      <c r="L53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32" s="837">
        <f t="shared" si="144"/>
        <v>0</v>
      </c>
      <c r="N532" s="838">
        <f>+Tabla1[[#This Row],[VENTA TOTAL $ (IVA INC) ]]</f>
        <v>0</v>
      </c>
      <c r="O532" s="838">
        <v>0</v>
      </c>
      <c r="P532" s="838">
        <v>0</v>
      </c>
      <c r="Q532" s="839">
        <f>+Tabla1[[#This Row],[VENTA TOTAL $ (IVA INC) ]]-Tabla1[[#This Row],[PENDIENTE DE COBRO]]</f>
        <v>0</v>
      </c>
      <c r="R532" s="840">
        <f>+Tabla1[[#This Row],[FECHA FC]]+Tabla1[[#This Row],[PLAZO ENTREGA VALORES]]</f>
        <v>0</v>
      </c>
      <c r="S532" s="840">
        <f>+Tabla1[[#This Row],[FECHA FC]]+Tabla1[[#This Row],[PLAZO PAGO (DIAS)]]</f>
        <v>0</v>
      </c>
      <c r="T532" s="834">
        <f t="shared" ca="1" si="143"/>
        <v>-46181</v>
      </c>
      <c r="U532" s="831"/>
      <c r="V532" s="831"/>
      <c r="W532" s="841">
        <f>+Tabla1[[#This Row],[FECHA VTO VALORES]]+7</f>
        <v>7</v>
      </c>
      <c r="X532" s="830"/>
      <c r="Y532" s="859"/>
      <c r="Z532" s="860">
        <f>Tabla1[[#This Row],[KGS]]/50</f>
        <v>0</v>
      </c>
      <c r="AA53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32" s="844">
        <f>-Tabla1[[#This Row],[COSTO FLETE $ POR BOLSA 5O KG (SIN IVA)]]*1.21-Tabla1[[#This Row],[PRECIO $/ KG A PLAZO EN CLIENTE ( SIN IVA)]]*0.003*1.21*50</f>
        <v>0</v>
      </c>
      <c r="AC532" s="845" t="e">
        <f>SUM(Tabla1[[#This Row],[PRECIO $ BOLSA 50 KG (IVA INC) ]]+Tabla1[[#This Row],[COSTO FLETE $ BOLSA 50 KG (IVA INC)]])</f>
        <v>#VALUE!</v>
      </c>
      <c r="AD532" s="844" t="e">
        <f>-Tabla1[[#This Row],[PRECIO $ BOLSA 50 KG (IVA INC) ]]*(Tabla1[[#This Row],[TASA FINANCIACION MENSUAL]]/365)*Tabla1[[#This Row],[PLAZO ENTREGA VALORES]]</f>
        <v>#VALUE!</v>
      </c>
      <c r="AE532" s="845" t="e">
        <f>SUM(Tabla1[[#This Row],[PRECIO $ BOLSA50 KG  FOB TUCUMAN A PLAZO (IVA INC)]]+Tabla1[[#This Row],[GASTOS FINANCIEROS $ BOLSA 50 KG (IVA INC)]])</f>
        <v>#VALUE!</v>
      </c>
      <c r="AF532" s="828"/>
      <c r="AG532" s="828"/>
      <c r="AH532" s="828"/>
      <c r="AI532" s="828"/>
      <c r="AJ53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32" s="846" t="e">
        <f>SUM(Tabla1[[#This Row],[PRECIO $ BOLSA 50KG  FOB CDO TUC (IVA INC)]]-Tabla1[[#This Row],[PRECIO REF $ BOLSA 50 KG CACTU (IVA INC)]])</f>
        <v>#VALUE!</v>
      </c>
      <c r="AL532" s="847" t="str">
        <f>IFERROR(Tabla1[[#This Row],[PRECIO $ BOLSA 50KG  FOB CDO TUC (IVA INC)]]/Tabla1[[#This Row],[PRECIO REF $ BOLSA 50 KG CACTU (IVA INC)]]-1,"")</f>
        <v/>
      </c>
      <c r="AM532" s="846" t="e">
        <f>+Tabla1[[#This Row],[DIF $ PRECIO NETO INDUSTRIA vs Neto TUCUMAN (IVA INC)]]*Tabla1[[#This Row],[Q Bolsas Equivalentes 50kg]]</f>
        <v>#VALUE!</v>
      </c>
      <c r="AN532" s="846" t="e">
        <f>Tabla1[[#This Row],[PRECIO REF $ BOLSA 50 KG CACTU (IVA INC)]]*Tabla1[[#This Row],[Q Bolsas Equivalentes 50kg]]</f>
        <v>#VALUE!</v>
      </c>
      <c r="AO532" s="846" t="e">
        <f>+Tabla1[[#This Row],[PRECIO $ BOLSA 50KG  FOB CDO TUC (IVA INC)]]*Tabla1[[#This Row],[Q Bolsas Equivalentes 50kg]]</f>
        <v>#VALUE!</v>
      </c>
      <c r="AP532" s="847"/>
      <c r="AQ532" s="846">
        <v>0</v>
      </c>
      <c r="AR532" s="828"/>
      <c r="AS532" s="849"/>
      <c r="AT532" s="923">
        <f>+Tabla1[[#This Row],[VENTA TOTAL $ (IVA INC) ]]-(SUM(Tabla1[[#This Row],[PENDIENTE DE ENTREGA]:[VALORES COBRADOS]]))</f>
        <v>0</v>
      </c>
      <c r="AU532" s="850" t="e">
        <f>VLOOKUP(Tabla1[[#This Row],[FECHA OC]],'TIPO DE CAMBIO'!A:B,2,TRUE)</f>
        <v>#N/A</v>
      </c>
      <c r="AV532" s="850" t="e">
        <f>+Tabla1[[#This Row],[SUBTOTAL]]/Tabla1[[#This Row],[TIPO DE CAMBIO]]</f>
        <v>#N/A</v>
      </c>
      <c r="AW532" s="851"/>
      <c r="AX532" s="850" t="str">
        <f>IFERROR(Tabla1[[#This Row],[VENTA TOTAL USD A PLAZO EN CLIENTE  (SIN IVA)]]*(1+Tabla1[[#This Row],[% IVA ]]),"")</f>
        <v/>
      </c>
      <c r="AY532" s="850" t="e">
        <f>+Tabla1[[#This Row],[VENTA TOTAL USD A PLAZO EN CLIENTE  (SIN IVA)]]/Tabla1[[#This Row],[KGS]]*1000</f>
        <v>#N/A</v>
      </c>
      <c r="AZ532" s="850" t="e">
        <f>-Tabla1[[#This Row],[COSTO FLETE $ POR BOLSA 5O KG (SIN IVA)]]*20/Tabla1[[#This Row],[TIPO DE CAMBIO]]</f>
        <v>#N/A</v>
      </c>
      <c r="BA532" s="850" t="e">
        <f>+Tabla1[[#This Row],[GASTOS FINANCIEROS $ BOLSA 50 KG (IVA INC)]]*20/Tabla1[[#This Row],[TIPO DE CAMBIO]]</f>
        <v>#VALUE!</v>
      </c>
      <c r="BB532" s="850" t="e">
        <f>+Tabla1[[#This Row],[PRECIO POR TN USD EN CLIENTE A PLAZO (SIN IVA)]]+Tabla1[[#This Row],[COSTO USD FLETE /TN (SIN IVA)]]+Tabla1[[#This Row],[COSTO FINANCIERO USD POR BOLSA 50KG (IVA INC)]]</f>
        <v>#N/A</v>
      </c>
      <c r="BC532" s="828"/>
      <c r="BD532" s="944"/>
    </row>
    <row r="533" spans="1:56" ht="15.75" customHeight="1">
      <c r="A533" s="912">
        <v>46266</v>
      </c>
      <c r="B533" s="853"/>
      <c r="C533" s="792"/>
      <c r="D533" s="829">
        <f>+Tabla1[[#This Row],[FECHA Entrega]]</f>
        <v>0</v>
      </c>
      <c r="E533" s="830"/>
      <c r="F533" s="831"/>
      <c r="G533" s="832"/>
      <c r="H533" s="852"/>
      <c r="I533" s="834"/>
      <c r="J533" s="835"/>
      <c r="K533" s="836">
        <f t="shared" si="142"/>
        <v>0</v>
      </c>
      <c r="L53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33" s="837">
        <f t="shared" si="144"/>
        <v>0</v>
      </c>
      <c r="N533" s="838">
        <f>+Tabla1[[#This Row],[VENTA TOTAL $ (IVA INC) ]]</f>
        <v>0</v>
      </c>
      <c r="O533" s="838">
        <v>0</v>
      </c>
      <c r="P533" s="838">
        <v>0</v>
      </c>
      <c r="Q533" s="839">
        <f>+Tabla1[[#This Row],[VENTA TOTAL $ (IVA INC) ]]-Tabla1[[#This Row],[PENDIENTE DE COBRO]]</f>
        <v>0</v>
      </c>
      <c r="R533" s="840">
        <f>+Tabla1[[#This Row],[FECHA FC]]+Tabla1[[#This Row],[PLAZO ENTREGA VALORES]]</f>
        <v>0</v>
      </c>
      <c r="S533" s="840">
        <f>+Tabla1[[#This Row],[FECHA FC]]+Tabla1[[#This Row],[PLAZO PAGO (DIAS)]]</f>
        <v>0</v>
      </c>
      <c r="T533" s="834">
        <f t="shared" ca="1" si="143"/>
        <v>-46181</v>
      </c>
      <c r="U533" s="831"/>
      <c r="V533" s="831"/>
      <c r="W533" s="841">
        <f>+Tabla1[[#This Row],[FECHA VTO VALORES]]+7</f>
        <v>7</v>
      </c>
      <c r="X533" s="830"/>
      <c r="Y533" s="859"/>
      <c r="Z533" s="860">
        <f>Tabla1[[#This Row],[KGS]]/50</f>
        <v>0</v>
      </c>
      <c r="AA53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33" s="844">
        <f>-Tabla1[[#This Row],[COSTO FLETE $ POR BOLSA 5O KG (SIN IVA)]]*1.21-Tabla1[[#This Row],[PRECIO $/ KG A PLAZO EN CLIENTE ( SIN IVA)]]*0.003*1.21*50</f>
        <v>0</v>
      </c>
      <c r="AC533" s="845" t="e">
        <f>SUM(Tabla1[[#This Row],[PRECIO $ BOLSA 50 KG (IVA INC) ]]+Tabla1[[#This Row],[COSTO FLETE $ BOLSA 50 KG (IVA INC)]])</f>
        <v>#VALUE!</v>
      </c>
      <c r="AD533" s="844" t="e">
        <f>-Tabla1[[#This Row],[PRECIO $ BOLSA 50 KG (IVA INC) ]]*(Tabla1[[#This Row],[TASA FINANCIACION MENSUAL]]/365)*Tabla1[[#This Row],[PLAZO ENTREGA VALORES]]</f>
        <v>#VALUE!</v>
      </c>
      <c r="AE533" s="845" t="e">
        <f>SUM(Tabla1[[#This Row],[PRECIO $ BOLSA50 KG  FOB TUCUMAN A PLAZO (IVA INC)]]+Tabla1[[#This Row],[GASTOS FINANCIEROS $ BOLSA 50 KG (IVA INC)]])</f>
        <v>#VALUE!</v>
      </c>
      <c r="AF533" s="828"/>
      <c r="AG533" s="828"/>
      <c r="AH533" s="828"/>
      <c r="AI533" s="828"/>
      <c r="AJ53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33" s="846" t="e">
        <f>SUM(Tabla1[[#This Row],[PRECIO $ BOLSA 50KG  FOB CDO TUC (IVA INC)]]-Tabla1[[#This Row],[PRECIO REF $ BOLSA 50 KG CACTU (IVA INC)]])</f>
        <v>#VALUE!</v>
      </c>
      <c r="AL533" s="847" t="str">
        <f>IFERROR(Tabla1[[#This Row],[PRECIO $ BOLSA 50KG  FOB CDO TUC (IVA INC)]]/Tabla1[[#This Row],[PRECIO REF $ BOLSA 50 KG CACTU (IVA INC)]]-1,"")</f>
        <v/>
      </c>
      <c r="AM533" s="846" t="e">
        <f>+Tabla1[[#This Row],[DIF $ PRECIO NETO INDUSTRIA vs Neto TUCUMAN (IVA INC)]]*Tabla1[[#This Row],[Q Bolsas Equivalentes 50kg]]</f>
        <v>#VALUE!</v>
      </c>
      <c r="AN533" s="846" t="e">
        <f>Tabla1[[#This Row],[PRECIO REF $ BOLSA 50 KG CACTU (IVA INC)]]*Tabla1[[#This Row],[Q Bolsas Equivalentes 50kg]]</f>
        <v>#VALUE!</v>
      </c>
      <c r="AO533" s="846" t="e">
        <f>+Tabla1[[#This Row],[PRECIO $ BOLSA 50KG  FOB CDO TUC (IVA INC)]]*Tabla1[[#This Row],[Q Bolsas Equivalentes 50kg]]</f>
        <v>#VALUE!</v>
      </c>
      <c r="AP533" s="847"/>
      <c r="AQ533" s="846">
        <v>0</v>
      </c>
      <c r="AR533" s="828"/>
      <c r="AS533" s="849"/>
      <c r="AT533" s="923">
        <f>+Tabla1[[#This Row],[VENTA TOTAL $ (IVA INC) ]]-(SUM(Tabla1[[#This Row],[PENDIENTE DE ENTREGA]:[VALORES COBRADOS]]))</f>
        <v>0</v>
      </c>
      <c r="AU533" s="850" t="e">
        <f>VLOOKUP(Tabla1[[#This Row],[FECHA OC]],'TIPO DE CAMBIO'!A:B,2,TRUE)</f>
        <v>#N/A</v>
      </c>
      <c r="AV533" s="850" t="e">
        <f>+Tabla1[[#This Row],[SUBTOTAL]]/Tabla1[[#This Row],[TIPO DE CAMBIO]]</f>
        <v>#N/A</v>
      </c>
      <c r="AW533" s="851"/>
      <c r="AX533" s="850" t="str">
        <f>IFERROR(Tabla1[[#This Row],[VENTA TOTAL USD A PLAZO EN CLIENTE  (SIN IVA)]]*(1+Tabla1[[#This Row],[% IVA ]]),"")</f>
        <v/>
      </c>
      <c r="AY533" s="850" t="e">
        <f>+Tabla1[[#This Row],[VENTA TOTAL USD A PLAZO EN CLIENTE  (SIN IVA)]]/Tabla1[[#This Row],[KGS]]*1000</f>
        <v>#N/A</v>
      </c>
      <c r="AZ533" s="850" t="e">
        <f>-Tabla1[[#This Row],[COSTO FLETE $ POR BOLSA 5O KG (SIN IVA)]]*20/Tabla1[[#This Row],[TIPO DE CAMBIO]]</f>
        <v>#N/A</v>
      </c>
      <c r="BA533" s="850" t="e">
        <f>+Tabla1[[#This Row],[GASTOS FINANCIEROS $ BOLSA 50 KG (IVA INC)]]*20/Tabla1[[#This Row],[TIPO DE CAMBIO]]</f>
        <v>#VALUE!</v>
      </c>
      <c r="BB533" s="850" t="e">
        <f>+Tabla1[[#This Row],[PRECIO POR TN USD EN CLIENTE A PLAZO (SIN IVA)]]+Tabla1[[#This Row],[COSTO USD FLETE /TN (SIN IVA)]]+Tabla1[[#This Row],[COSTO FINANCIERO USD POR BOLSA 50KG (IVA INC)]]</f>
        <v>#N/A</v>
      </c>
      <c r="BC533" s="828"/>
      <c r="BD533" s="944"/>
    </row>
    <row r="534" spans="1:56" ht="15.75" customHeight="1">
      <c r="A534" s="912">
        <v>46266</v>
      </c>
      <c r="B534" s="853"/>
      <c r="C534" s="792"/>
      <c r="D534" s="829">
        <f>+Tabla1[[#This Row],[FECHA Entrega]]</f>
        <v>0</v>
      </c>
      <c r="E534" s="830"/>
      <c r="F534" s="831"/>
      <c r="G534" s="832"/>
      <c r="H534" s="852"/>
      <c r="I534" s="834"/>
      <c r="J534" s="835"/>
      <c r="K534" s="836">
        <f t="shared" si="142"/>
        <v>0</v>
      </c>
      <c r="L53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34" s="837">
        <f t="shared" si="144"/>
        <v>0</v>
      </c>
      <c r="N534" s="838">
        <f>+Tabla1[[#This Row],[VENTA TOTAL $ (IVA INC) ]]</f>
        <v>0</v>
      </c>
      <c r="O534" s="838">
        <v>0</v>
      </c>
      <c r="P534" s="838">
        <v>0</v>
      </c>
      <c r="Q534" s="839">
        <f>+Tabla1[[#This Row],[VENTA TOTAL $ (IVA INC) ]]-Tabla1[[#This Row],[PENDIENTE DE COBRO]]</f>
        <v>0</v>
      </c>
      <c r="R534" s="840">
        <f>+Tabla1[[#This Row],[FECHA FC]]+Tabla1[[#This Row],[PLAZO ENTREGA VALORES]]</f>
        <v>0</v>
      </c>
      <c r="S534" s="840">
        <f>+Tabla1[[#This Row],[FECHA FC]]+Tabla1[[#This Row],[PLAZO PAGO (DIAS)]]</f>
        <v>0</v>
      </c>
      <c r="T534" s="834">
        <f t="shared" ca="1" si="143"/>
        <v>-46181</v>
      </c>
      <c r="U534" s="831"/>
      <c r="V534" s="831"/>
      <c r="W534" s="841">
        <f>+Tabla1[[#This Row],[FECHA VTO VALORES]]+7</f>
        <v>7</v>
      </c>
      <c r="X534" s="830"/>
      <c r="Y534" s="859"/>
      <c r="Z534" s="860">
        <f>Tabla1[[#This Row],[KGS]]/50</f>
        <v>0</v>
      </c>
      <c r="AA53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34" s="844">
        <f>-Tabla1[[#This Row],[COSTO FLETE $ POR BOLSA 5O KG (SIN IVA)]]*1.21-Tabla1[[#This Row],[PRECIO $/ KG A PLAZO EN CLIENTE ( SIN IVA)]]*0.003*1.21*50</f>
        <v>0</v>
      </c>
      <c r="AC534" s="845" t="e">
        <f>SUM(Tabla1[[#This Row],[PRECIO $ BOLSA 50 KG (IVA INC) ]]+Tabla1[[#This Row],[COSTO FLETE $ BOLSA 50 KG (IVA INC)]])</f>
        <v>#VALUE!</v>
      </c>
      <c r="AD534" s="844" t="e">
        <f>-Tabla1[[#This Row],[PRECIO $ BOLSA 50 KG (IVA INC) ]]*(Tabla1[[#This Row],[TASA FINANCIACION MENSUAL]]/365)*Tabla1[[#This Row],[PLAZO ENTREGA VALORES]]</f>
        <v>#VALUE!</v>
      </c>
      <c r="AE534" s="845" t="e">
        <f>SUM(Tabla1[[#This Row],[PRECIO $ BOLSA50 KG  FOB TUCUMAN A PLAZO (IVA INC)]]+Tabla1[[#This Row],[GASTOS FINANCIEROS $ BOLSA 50 KG (IVA INC)]])</f>
        <v>#VALUE!</v>
      </c>
      <c r="AF534" s="828"/>
      <c r="AG534" s="828"/>
      <c r="AH534" s="828"/>
      <c r="AI534" s="828"/>
      <c r="AJ53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34" s="846" t="e">
        <f>SUM(Tabla1[[#This Row],[PRECIO $ BOLSA 50KG  FOB CDO TUC (IVA INC)]]-Tabla1[[#This Row],[PRECIO REF $ BOLSA 50 KG CACTU (IVA INC)]])</f>
        <v>#VALUE!</v>
      </c>
      <c r="AL534" s="847" t="str">
        <f>IFERROR(Tabla1[[#This Row],[PRECIO $ BOLSA 50KG  FOB CDO TUC (IVA INC)]]/Tabla1[[#This Row],[PRECIO REF $ BOLSA 50 KG CACTU (IVA INC)]]-1,"")</f>
        <v/>
      </c>
      <c r="AM534" s="846" t="e">
        <f>+Tabla1[[#This Row],[DIF $ PRECIO NETO INDUSTRIA vs Neto TUCUMAN (IVA INC)]]*Tabla1[[#This Row],[Q Bolsas Equivalentes 50kg]]</f>
        <v>#VALUE!</v>
      </c>
      <c r="AN534" s="846" t="e">
        <f>Tabla1[[#This Row],[PRECIO REF $ BOLSA 50 KG CACTU (IVA INC)]]*Tabla1[[#This Row],[Q Bolsas Equivalentes 50kg]]</f>
        <v>#VALUE!</v>
      </c>
      <c r="AO534" s="846" t="e">
        <f>+Tabla1[[#This Row],[PRECIO $ BOLSA 50KG  FOB CDO TUC (IVA INC)]]*Tabla1[[#This Row],[Q Bolsas Equivalentes 50kg]]</f>
        <v>#VALUE!</v>
      </c>
      <c r="AP534" s="847"/>
      <c r="AQ534" s="846">
        <v>0</v>
      </c>
      <c r="AR534" s="828"/>
      <c r="AS534" s="849"/>
      <c r="AT534" s="923">
        <f>+Tabla1[[#This Row],[VENTA TOTAL $ (IVA INC) ]]-(SUM(Tabla1[[#This Row],[PENDIENTE DE ENTREGA]:[VALORES COBRADOS]]))</f>
        <v>0</v>
      </c>
      <c r="AU534" s="850" t="e">
        <f>VLOOKUP(Tabla1[[#This Row],[FECHA OC]],'TIPO DE CAMBIO'!A:B,2,TRUE)</f>
        <v>#N/A</v>
      </c>
      <c r="AV534" s="850" t="e">
        <f>+Tabla1[[#This Row],[SUBTOTAL]]/Tabla1[[#This Row],[TIPO DE CAMBIO]]</f>
        <v>#N/A</v>
      </c>
      <c r="AW534" s="851"/>
      <c r="AX534" s="850" t="str">
        <f>IFERROR(Tabla1[[#This Row],[VENTA TOTAL USD A PLAZO EN CLIENTE  (SIN IVA)]]*(1+Tabla1[[#This Row],[% IVA ]]),"")</f>
        <v/>
      </c>
      <c r="AY534" s="850" t="e">
        <f>+Tabla1[[#This Row],[VENTA TOTAL USD A PLAZO EN CLIENTE  (SIN IVA)]]/Tabla1[[#This Row],[KGS]]*1000</f>
        <v>#N/A</v>
      </c>
      <c r="AZ534" s="850" t="e">
        <f>-Tabla1[[#This Row],[COSTO FLETE $ POR BOLSA 5O KG (SIN IVA)]]*20/Tabla1[[#This Row],[TIPO DE CAMBIO]]</f>
        <v>#N/A</v>
      </c>
      <c r="BA534" s="850" t="e">
        <f>+Tabla1[[#This Row],[GASTOS FINANCIEROS $ BOLSA 50 KG (IVA INC)]]*20/Tabla1[[#This Row],[TIPO DE CAMBIO]]</f>
        <v>#VALUE!</v>
      </c>
      <c r="BB534" s="850" t="e">
        <f>+Tabla1[[#This Row],[PRECIO POR TN USD EN CLIENTE A PLAZO (SIN IVA)]]+Tabla1[[#This Row],[COSTO USD FLETE /TN (SIN IVA)]]+Tabla1[[#This Row],[COSTO FINANCIERO USD POR BOLSA 50KG (IVA INC)]]</f>
        <v>#N/A</v>
      </c>
      <c r="BC534" s="828"/>
      <c r="BD534" s="944"/>
    </row>
    <row r="535" spans="1:56" ht="15.75" customHeight="1">
      <c r="A535" s="912">
        <v>46266</v>
      </c>
      <c r="B535" s="853"/>
      <c r="C535" s="792"/>
      <c r="D535" s="829">
        <f>+Tabla1[[#This Row],[FECHA Entrega]]</f>
        <v>0</v>
      </c>
      <c r="E535" s="830"/>
      <c r="F535" s="831"/>
      <c r="G535" s="832"/>
      <c r="H535" s="852"/>
      <c r="I535" s="834"/>
      <c r="J535" s="835"/>
      <c r="K535" s="836">
        <f t="shared" si="142"/>
        <v>0</v>
      </c>
      <c r="L53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35" s="837">
        <f t="shared" si="144"/>
        <v>0</v>
      </c>
      <c r="N535" s="838">
        <f>+Tabla1[[#This Row],[VENTA TOTAL $ (IVA INC) ]]</f>
        <v>0</v>
      </c>
      <c r="O535" s="838">
        <v>0</v>
      </c>
      <c r="P535" s="838">
        <v>0</v>
      </c>
      <c r="Q535" s="839">
        <f>+Tabla1[[#This Row],[VENTA TOTAL $ (IVA INC) ]]-Tabla1[[#This Row],[PENDIENTE DE COBRO]]</f>
        <v>0</v>
      </c>
      <c r="R535" s="840">
        <f>+Tabla1[[#This Row],[FECHA FC]]+Tabla1[[#This Row],[PLAZO ENTREGA VALORES]]</f>
        <v>0</v>
      </c>
      <c r="S535" s="840">
        <f>+Tabla1[[#This Row],[FECHA FC]]+Tabla1[[#This Row],[PLAZO PAGO (DIAS)]]</f>
        <v>0</v>
      </c>
      <c r="T535" s="834">
        <f t="shared" ca="1" si="143"/>
        <v>-46181</v>
      </c>
      <c r="U535" s="831"/>
      <c r="V535" s="831"/>
      <c r="W535" s="841">
        <f>+S535+7</f>
        <v>7</v>
      </c>
      <c r="X535" s="830"/>
      <c r="Y535" s="859"/>
      <c r="Z535" s="860">
        <f>Tabla1[[#This Row],[KGS]]/50</f>
        <v>0</v>
      </c>
      <c r="AA53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35" s="844">
        <f>-Tabla1[[#This Row],[COSTO FLETE $ POR BOLSA 5O KG (SIN IVA)]]*1.21-Tabla1[[#This Row],[PRECIO $/ KG A PLAZO EN CLIENTE ( SIN IVA)]]*0.003*1.21*50</f>
        <v>0</v>
      </c>
      <c r="AC535" s="845" t="e">
        <f>SUM(Tabla1[[#This Row],[PRECIO $ BOLSA 50 KG (IVA INC) ]]+Tabla1[[#This Row],[COSTO FLETE $ BOLSA 50 KG (IVA INC)]])</f>
        <v>#VALUE!</v>
      </c>
      <c r="AD535" s="844" t="e">
        <f>-Tabla1[[#This Row],[PRECIO $ BOLSA 50 KG (IVA INC) ]]*(Tabla1[[#This Row],[TASA FINANCIACION MENSUAL]]/365)*Tabla1[[#This Row],[PLAZO ENTREGA VALORES]]</f>
        <v>#VALUE!</v>
      </c>
      <c r="AE535" s="845" t="e">
        <f>SUM(Tabla1[[#This Row],[PRECIO $ BOLSA50 KG  FOB TUCUMAN A PLAZO (IVA INC)]]+Tabla1[[#This Row],[GASTOS FINANCIEROS $ BOLSA 50 KG (IVA INC)]])</f>
        <v>#VALUE!</v>
      </c>
      <c r="AF535" s="828"/>
      <c r="AG535" s="828"/>
      <c r="AH535" s="828"/>
      <c r="AI535" s="828"/>
      <c r="AJ53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35" s="846" t="e">
        <f>SUM(Tabla1[[#This Row],[PRECIO $ BOLSA 50KG  FOB CDO TUC (IVA INC)]]-Tabla1[[#This Row],[PRECIO REF $ BOLSA 50 KG CACTU (IVA INC)]])</f>
        <v>#VALUE!</v>
      </c>
      <c r="AL535" s="847" t="str">
        <f>IFERROR(Tabla1[[#This Row],[PRECIO $ BOLSA 50KG  FOB CDO TUC (IVA INC)]]/Tabla1[[#This Row],[PRECIO REF $ BOLSA 50 KG CACTU (IVA INC)]]-1,"")</f>
        <v/>
      </c>
      <c r="AM535" s="846" t="e">
        <f>+Tabla1[[#This Row],[DIF $ PRECIO NETO INDUSTRIA vs Neto TUCUMAN (IVA INC)]]*Tabla1[[#This Row],[Q Bolsas Equivalentes 50kg]]</f>
        <v>#VALUE!</v>
      </c>
      <c r="AN535" s="846" t="e">
        <f>Tabla1[[#This Row],[PRECIO REF $ BOLSA 50 KG CACTU (IVA INC)]]*Tabla1[[#This Row],[Q Bolsas Equivalentes 50kg]]</f>
        <v>#VALUE!</v>
      </c>
      <c r="AO535" s="846" t="e">
        <f>+Tabla1[[#This Row],[PRECIO $ BOLSA 50KG  FOB CDO TUC (IVA INC)]]*Tabla1[[#This Row],[Q Bolsas Equivalentes 50kg]]</f>
        <v>#VALUE!</v>
      </c>
      <c r="AP535" s="847"/>
      <c r="AQ535" s="846">
        <v>0</v>
      </c>
      <c r="AR535" s="828"/>
      <c r="AS535" s="849"/>
      <c r="AT535" s="923">
        <f>+Tabla1[[#This Row],[VENTA TOTAL $ (IVA INC) ]]-(SUM(Tabla1[[#This Row],[PENDIENTE DE ENTREGA]:[VALORES COBRADOS]]))</f>
        <v>0</v>
      </c>
      <c r="AU535" s="850" t="e">
        <f>VLOOKUP(Tabla1[[#This Row],[FECHA OC]],'TIPO DE CAMBIO'!A:B,2,TRUE)</f>
        <v>#N/A</v>
      </c>
      <c r="AV535" s="850" t="e">
        <f>+Tabla1[[#This Row],[SUBTOTAL]]/Tabla1[[#This Row],[TIPO DE CAMBIO]]</f>
        <v>#N/A</v>
      </c>
      <c r="AW535" s="851"/>
      <c r="AX535" s="850" t="str">
        <f>IFERROR(Tabla1[[#This Row],[VENTA TOTAL USD A PLAZO EN CLIENTE  (SIN IVA)]]*(1+Tabla1[[#This Row],[% IVA ]]),"")</f>
        <v/>
      </c>
      <c r="AY535" s="850" t="e">
        <f>+Tabla1[[#This Row],[VENTA TOTAL USD A PLAZO EN CLIENTE  (SIN IVA)]]/Tabla1[[#This Row],[KGS]]*1000</f>
        <v>#N/A</v>
      </c>
      <c r="AZ535" s="850" t="e">
        <f>-Tabla1[[#This Row],[COSTO FLETE $ POR BOLSA 5O KG (SIN IVA)]]*20/Tabla1[[#This Row],[TIPO DE CAMBIO]]</f>
        <v>#N/A</v>
      </c>
      <c r="BA535" s="850" t="e">
        <f>+Tabla1[[#This Row],[GASTOS FINANCIEROS $ BOLSA 50 KG (IVA INC)]]*20/Tabla1[[#This Row],[TIPO DE CAMBIO]]</f>
        <v>#VALUE!</v>
      </c>
      <c r="BB535" s="850" t="e">
        <f>+Tabla1[[#This Row],[PRECIO POR TN USD EN CLIENTE A PLAZO (SIN IVA)]]+Tabla1[[#This Row],[COSTO USD FLETE /TN (SIN IVA)]]+Tabla1[[#This Row],[COSTO FINANCIERO USD POR BOLSA 50KG (IVA INC)]]</f>
        <v>#N/A</v>
      </c>
      <c r="BC535" s="828"/>
      <c r="BD535" s="944"/>
    </row>
    <row r="536" spans="1:56" ht="15.75" customHeight="1">
      <c r="A536" s="912">
        <v>46266</v>
      </c>
      <c r="B536" s="853"/>
      <c r="C536" s="792"/>
      <c r="D536" s="829">
        <f>+Tabla1[[#This Row],[FECHA Entrega]]</f>
        <v>0</v>
      </c>
      <c r="E536" s="830"/>
      <c r="F536" s="831"/>
      <c r="G536" s="832"/>
      <c r="H536" s="852"/>
      <c r="I536" s="834"/>
      <c r="J536" s="835"/>
      <c r="K536" s="836">
        <f t="shared" si="142"/>
        <v>0</v>
      </c>
      <c r="L53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36" s="837">
        <f t="shared" si="144"/>
        <v>0</v>
      </c>
      <c r="N536" s="838">
        <f>+Tabla1[[#This Row],[VENTA TOTAL $ (IVA INC) ]]</f>
        <v>0</v>
      </c>
      <c r="O536" s="838">
        <v>0</v>
      </c>
      <c r="P536" s="838">
        <v>0</v>
      </c>
      <c r="Q536" s="839">
        <f>+Tabla1[[#This Row],[VENTA TOTAL $ (IVA INC) ]]-Tabla1[[#This Row],[PENDIENTE DE COBRO]]</f>
        <v>0</v>
      </c>
      <c r="R536" s="840">
        <f>+Tabla1[[#This Row],[FECHA FC]]+Tabla1[[#This Row],[PLAZO ENTREGA VALORES]]</f>
        <v>0</v>
      </c>
      <c r="S536" s="840">
        <f>+Tabla1[[#This Row],[FECHA FC]]+Tabla1[[#This Row],[PLAZO PAGO (DIAS)]]</f>
        <v>0</v>
      </c>
      <c r="T536" s="834">
        <f t="shared" ca="1" si="143"/>
        <v>-46181</v>
      </c>
      <c r="U536" s="831"/>
      <c r="V536" s="831"/>
      <c r="W536" s="841">
        <f>+S536+7</f>
        <v>7</v>
      </c>
      <c r="X536" s="830"/>
      <c r="Y536" s="859"/>
      <c r="Z536" s="860">
        <f>Tabla1[[#This Row],[KGS]]/50</f>
        <v>0</v>
      </c>
      <c r="AA53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36" s="844">
        <f>-Tabla1[[#This Row],[COSTO FLETE $ POR BOLSA 5O KG (SIN IVA)]]*1.21-Tabla1[[#This Row],[PRECIO $/ KG A PLAZO EN CLIENTE ( SIN IVA)]]*0.003*1.21*50</f>
        <v>0</v>
      </c>
      <c r="AC536" s="845" t="e">
        <f>SUM(Tabla1[[#This Row],[PRECIO $ BOLSA 50 KG (IVA INC) ]]+Tabla1[[#This Row],[COSTO FLETE $ BOLSA 50 KG (IVA INC)]])</f>
        <v>#VALUE!</v>
      </c>
      <c r="AD536" s="844" t="e">
        <f>-Tabla1[[#This Row],[PRECIO $ BOLSA 50 KG (IVA INC) ]]*(Tabla1[[#This Row],[TASA FINANCIACION MENSUAL]]/365)*Tabla1[[#This Row],[PLAZO ENTREGA VALORES]]</f>
        <v>#VALUE!</v>
      </c>
      <c r="AE536" s="845" t="e">
        <f>SUM(Tabla1[[#This Row],[PRECIO $ BOLSA50 KG  FOB TUCUMAN A PLAZO (IVA INC)]]+Tabla1[[#This Row],[GASTOS FINANCIEROS $ BOLSA 50 KG (IVA INC)]])</f>
        <v>#VALUE!</v>
      </c>
      <c r="AF536" s="828"/>
      <c r="AG536" s="828"/>
      <c r="AH536" s="828"/>
      <c r="AI536" s="828"/>
      <c r="AJ53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36" s="846" t="e">
        <f>SUM(Tabla1[[#This Row],[PRECIO $ BOLSA 50KG  FOB CDO TUC (IVA INC)]]-Tabla1[[#This Row],[PRECIO REF $ BOLSA 50 KG CACTU (IVA INC)]])</f>
        <v>#VALUE!</v>
      </c>
      <c r="AL536" s="847" t="str">
        <f>IFERROR(Tabla1[[#This Row],[PRECIO $ BOLSA 50KG  FOB CDO TUC (IVA INC)]]/Tabla1[[#This Row],[PRECIO REF $ BOLSA 50 KG CACTU (IVA INC)]]-1,"")</f>
        <v/>
      </c>
      <c r="AM536" s="846" t="e">
        <f>+Tabla1[[#This Row],[DIF $ PRECIO NETO INDUSTRIA vs Neto TUCUMAN (IVA INC)]]*Tabla1[[#This Row],[Q Bolsas Equivalentes 50kg]]</f>
        <v>#VALUE!</v>
      </c>
      <c r="AN536" s="846" t="e">
        <f>Tabla1[[#This Row],[PRECIO REF $ BOLSA 50 KG CACTU (IVA INC)]]*Tabla1[[#This Row],[Q Bolsas Equivalentes 50kg]]</f>
        <v>#VALUE!</v>
      </c>
      <c r="AO536" s="846" t="e">
        <f>+Tabla1[[#This Row],[PRECIO $ BOLSA 50KG  FOB CDO TUC (IVA INC)]]*Tabla1[[#This Row],[Q Bolsas Equivalentes 50kg]]</f>
        <v>#VALUE!</v>
      </c>
      <c r="AP536" s="847"/>
      <c r="AQ536" s="846">
        <v>0</v>
      </c>
      <c r="AR536" s="828"/>
      <c r="AS536" s="849"/>
      <c r="AT536" s="923">
        <f>+Tabla1[[#This Row],[VENTA TOTAL $ (IVA INC) ]]-(SUM(Tabla1[[#This Row],[PENDIENTE DE ENTREGA]:[VALORES COBRADOS]]))</f>
        <v>0</v>
      </c>
      <c r="AU536" s="850" t="e">
        <f>VLOOKUP(Tabla1[[#This Row],[FECHA OC]],'TIPO DE CAMBIO'!A:B,2,TRUE)</f>
        <v>#N/A</v>
      </c>
      <c r="AV536" s="850" t="e">
        <f>+Tabla1[[#This Row],[SUBTOTAL]]/Tabla1[[#This Row],[TIPO DE CAMBIO]]</f>
        <v>#N/A</v>
      </c>
      <c r="AW536" s="851"/>
      <c r="AX536" s="850" t="str">
        <f>IFERROR(Tabla1[[#This Row],[VENTA TOTAL USD A PLAZO EN CLIENTE  (SIN IVA)]]*(1+Tabla1[[#This Row],[% IVA ]]),"")</f>
        <v/>
      </c>
      <c r="AY536" s="850" t="e">
        <f>+Tabla1[[#This Row],[VENTA TOTAL USD A PLAZO EN CLIENTE  (SIN IVA)]]/Tabla1[[#This Row],[KGS]]*1000</f>
        <v>#N/A</v>
      </c>
      <c r="AZ536" s="850" t="e">
        <f>-Tabla1[[#This Row],[COSTO FLETE $ POR BOLSA 5O KG (SIN IVA)]]*20/Tabla1[[#This Row],[TIPO DE CAMBIO]]</f>
        <v>#N/A</v>
      </c>
      <c r="BA536" s="850" t="e">
        <f>+Tabla1[[#This Row],[GASTOS FINANCIEROS $ BOLSA 50 KG (IVA INC)]]*20/Tabla1[[#This Row],[TIPO DE CAMBIO]]</f>
        <v>#VALUE!</v>
      </c>
      <c r="BB536" s="850" t="e">
        <f>+Tabla1[[#This Row],[PRECIO POR TN USD EN CLIENTE A PLAZO (SIN IVA)]]+Tabla1[[#This Row],[COSTO USD FLETE /TN (SIN IVA)]]+Tabla1[[#This Row],[COSTO FINANCIERO USD POR BOLSA 50KG (IVA INC)]]</f>
        <v>#N/A</v>
      </c>
      <c r="BC536" s="828"/>
      <c r="BD536" s="944"/>
    </row>
    <row r="537" spans="1:56" ht="15.75" customHeight="1">
      <c r="A537" s="912">
        <v>46266</v>
      </c>
      <c r="B537" s="853"/>
      <c r="C537" s="792"/>
      <c r="D537" s="829">
        <f>+Tabla1[[#This Row],[FECHA Entrega]]</f>
        <v>0</v>
      </c>
      <c r="E537" s="830"/>
      <c r="F537" s="831"/>
      <c r="G537" s="832"/>
      <c r="H537" s="852"/>
      <c r="I537" s="834"/>
      <c r="J537" s="835"/>
      <c r="K537" s="836">
        <f t="shared" ref="K537:K600" si="145">+J537*I537</f>
        <v>0</v>
      </c>
      <c r="L53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37" s="837">
        <f t="shared" si="144"/>
        <v>0</v>
      </c>
      <c r="N537" s="838">
        <f>+Tabla1[[#This Row],[VENTA TOTAL $ (IVA INC) ]]</f>
        <v>0</v>
      </c>
      <c r="O537" s="838">
        <v>0</v>
      </c>
      <c r="P537" s="838">
        <v>0</v>
      </c>
      <c r="Q537" s="839">
        <f>+Tabla1[[#This Row],[VENTA TOTAL $ (IVA INC) ]]-Tabla1[[#This Row],[PENDIENTE DE COBRO]]</f>
        <v>0</v>
      </c>
      <c r="R537" s="840">
        <f>+Tabla1[[#This Row],[FECHA FC]]+Tabla1[[#This Row],[PLAZO ENTREGA VALORES]]</f>
        <v>0</v>
      </c>
      <c r="S537" s="840">
        <f>+Tabla1[[#This Row],[FECHA FC]]+Tabla1[[#This Row],[PLAZO PAGO (DIAS)]]</f>
        <v>0</v>
      </c>
      <c r="T537" s="834">
        <f t="shared" ref="T537:T600" ca="1" si="146">+S537-$U$2</f>
        <v>-46181</v>
      </c>
      <c r="U537" s="831"/>
      <c r="V537" s="831"/>
      <c r="W537" s="841">
        <f>+S537+7</f>
        <v>7</v>
      </c>
      <c r="X537" s="830"/>
      <c r="Y537" s="859"/>
      <c r="Z537" s="860">
        <f>Tabla1[[#This Row],[KGS]]/50</f>
        <v>0</v>
      </c>
      <c r="AA53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37" s="844">
        <f>-Tabla1[[#This Row],[COSTO FLETE $ POR BOLSA 5O KG (SIN IVA)]]*1.21-Tabla1[[#This Row],[PRECIO $/ KG A PLAZO EN CLIENTE ( SIN IVA)]]*0.003*1.21*50</f>
        <v>0</v>
      </c>
      <c r="AC537" s="845" t="e">
        <f>SUM(Tabla1[[#This Row],[PRECIO $ BOLSA 50 KG (IVA INC) ]]+Tabla1[[#This Row],[COSTO FLETE $ BOLSA 50 KG (IVA INC)]])</f>
        <v>#VALUE!</v>
      </c>
      <c r="AD537" s="844" t="e">
        <f>-Tabla1[[#This Row],[PRECIO $ BOLSA 50 KG (IVA INC) ]]*(Tabla1[[#This Row],[TASA FINANCIACION MENSUAL]]/365)*Tabla1[[#This Row],[PLAZO ENTREGA VALORES]]</f>
        <v>#VALUE!</v>
      </c>
      <c r="AE537" s="845" t="e">
        <f>SUM(Tabla1[[#This Row],[PRECIO $ BOLSA50 KG  FOB TUCUMAN A PLAZO (IVA INC)]]+Tabla1[[#This Row],[GASTOS FINANCIEROS $ BOLSA 50 KG (IVA INC)]])</f>
        <v>#VALUE!</v>
      </c>
      <c r="AF537" s="828"/>
      <c r="AG537" s="828"/>
      <c r="AH537" s="828"/>
      <c r="AI537" s="828"/>
      <c r="AJ53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37" s="846" t="e">
        <f>SUM(Tabla1[[#This Row],[PRECIO $ BOLSA 50KG  FOB CDO TUC (IVA INC)]]-Tabla1[[#This Row],[PRECIO REF $ BOLSA 50 KG CACTU (IVA INC)]])</f>
        <v>#VALUE!</v>
      </c>
      <c r="AL537" s="847" t="str">
        <f>IFERROR(Tabla1[[#This Row],[PRECIO $ BOLSA 50KG  FOB CDO TUC (IVA INC)]]/Tabla1[[#This Row],[PRECIO REF $ BOLSA 50 KG CACTU (IVA INC)]]-1,"")</f>
        <v/>
      </c>
      <c r="AM537" s="846" t="e">
        <f>+Tabla1[[#This Row],[DIF $ PRECIO NETO INDUSTRIA vs Neto TUCUMAN (IVA INC)]]*Tabla1[[#This Row],[Q Bolsas Equivalentes 50kg]]</f>
        <v>#VALUE!</v>
      </c>
      <c r="AN537" s="846" t="e">
        <f>Tabla1[[#This Row],[PRECIO REF $ BOLSA 50 KG CACTU (IVA INC)]]*Tabla1[[#This Row],[Q Bolsas Equivalentes 50kg]]</f>
        <v>#VALUE!</v>
      </c>
      <c r="AO537" s="846" t="e">
        <f>+Tabla1[[#This Row],[PRECIO $ BOLSA 50KG  FOB CDO TUC (IVA INC)]]*Tabla1[[#This Row],[Q Bolsas Equivalentes 50kg]]</f>
        <v>#VALUE!</v>
      </c>
      <c r="AP537" s="847"/>
      <c r="AQ537" s="846">
        <v>0</v>
      </c>
      <c r="AR537" s="828"/>
      <c r="AS537" s="849"/>
      <c r="AT537" s="923">
        <f>+Tabla1[[#This Row],[VENTA TOTAL $ (IVA INC) ]]-(SUM(Tabla1[[#This Row],[PENDIENTE DE ENTREGA]:[VALORES COBRADOS]]))</f>
        <v>0</v>
      </c>
      <c r="AU537" s="850" t="e">
        <f>VLOOKUP(Tabla1[[#This Row],[FECHA OC]],'TIPO DE CAMBIO'!A:B,2,TRUE)</f>
        <v>#N/A</v>
      </c>
      <c r="AV537" s="850" t="e">
        <f>+Tabla1[[#This Row],[SUBTOTAL]]/Tabla1[[#This Row],[TIPO DE CAMBIO]]</f>
        <v>#N/A</v>
      </c>
      <c r="AW537" s="851"/>
      <c r="AX537" s="850" t="str">
        <f>IFERROR(Tabla1[[#This Row],[VENTA TOTAL USD A PLAZO EN CLIENTE  (SIN IVA)]]*(1+Tabla1[[#This Row],[% IVA ]]),"")</f>
        <v/>
      </c>
      <c r="AY537" s="850" t="e">
        <f>+Tabla1[[#This Row],[VENTA TOTAL USD A PLAZO EN CLIENTE  (SIN IVA)]]/Tabla1[[#This Row],[KGS]]*1000</f>
        <v>#N/A</v>
      </c>
      <c r="AZ537" s="850" t="e">
        <f>-Tabla1[[#This Row],[COSTO FLETE $ POR BOLSA 5O KG (SIN IVA)]]*20/Tabla1[[#This Row],[TIPO DE CAMBIO]]</f>
        <v>#N/A</v>
      </c>
      <c r="BA537" s="850" t="e">
        <f>+Tabla1[[#This Row],[GASTOS FINANCIEROS $ BOLSA 50 KG (IVA INC)]]*20/Tabla1[[#This Row],[TIPO DE CAMBIO]]</f>
        <v>#VALUE!</v>
      </c>
      <c r="BB537" s="850" t="e">
        <f>+Tabla1[[#This Row],[PRECIO POR TN USD EN CLIENTE A PLAZO (SIN IVA)]]+Tabla1[[#This Row],[COSTO USD FLETE /TN (SIN IVA)]]+Tabla1[[#This Row],[COSTO FINANCIERO USD POR BOLSA 50KG (IVA INC)]]</f>
        <v>#N/A</v>
      </c>
      <c r="BC537" s="828"/>
      <c r="BD537" s="944"/>
    </row>
    <row r="538" spans="1:56" ht="15.75" customHeight="1">
      <c r="A538" s="912">
        <v>46266</v>
      </c>
      <c r="B538" s="853"/>
      <c r="C538" s="792"/>
      <c r="D538" s="829">
        <f>+Tabla1[[#This Row],[FECHA Entrega]]</f>
        <v>0</v>
      </c>
      <c r="E538" s="830"/>
      <c r="F538" s="831"/>
      <c r="G538" s="832"/>
      <c r="H538" s="852"/>
      <c r="I538" s="834"/>
      <c r="J538" s="835"/>
      <c r="K538" s="836">
        <f t="shared" si="145"/>
        <v>0</v>
      </c>
      <c r="L53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38" s="837">
        <f t="shared" si="144"/>
        <v>0</v>
      </c>
      <c r="N538" s="838">
        <f>+Tabla1[[#This Row],[VENTA TOTAL $ (IVA INC) ]]</f>
        <v>0</v>
      </c>
      <c r="O538" s="838">
        <v>0</v>
      </c>
      <c r="P538" s="838">
        <v>0</v>
      </c>
      <c r="Q538" s="839">
        <f>+Tabla1[[#This Row],[VENTA TOTAL $ (IVA INC) ]]-Tabla1[[#This Row],[PENDIENTE DE COBRO]]</f>
        <v>0</v>
      </c>
      <c r="R538" s="840">
        <f>+Tabla1[[#This Row],[FECHA FC]]+Tabla1[[#This Row],[PLAZO ENTREGA VALORES]]</f>
        <v>0</v>
      </c>
      <c r="S538" s="840">
        <f>+Tabla1[[#This Row],[FECHA FC]]+Tabla1[[#This Row],[PLAZO PAGO (DIAS)]]</f>
        <v>0</v>
      </c>
      <c r="T538" s="834">
        <f t="shared" ca="1" si="146"/>
        <v>-46181</v>
      </c>
      <c r="U538" s="831"/>
      <c r="V538" s="831"/>
      <c r="W538" s="841">
        <f>+Tabla1[[#This Row],[FECHA VTO VALORES]]+7</f>
        <v>7</v>
      </c>
      <c r="X538" s="830"/>
      <c r="Y538" s="859"/>
      <c r="Z538" s="860">
        <f>Tabla1[[#This Row],[KGS]]/50</f>
        <v>0</v>
      </c>
      <c r="AA53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38" s="844">
        <f>-Tabla1[[#This Row],[COSTO FLETE $ POR BOLSA 5O KG (SIN IVA)]]*1.21-Tabla1[[#This Row],[PRECIO $/ KG A PLAZO EN CLIENTE ( SIN IVA)]]*0.003*1.21*50</f>
        <v>0</v>
      </c>
      <c r="AC538" s="845" t="e">
        <f>SUM(Tabla1[[#This Row],[PRECIO $ BOLSA 50 KG (IVA INC) ]]+Tabla1[[#This Row],[COSTO FLETE $ BOLSA 50 KG (IVA INC)]])</f>
        <v>#VALUE!</v>
      </c>
      <c r="AD538" s="844" t="e">
        <f>-Tabla1[[#This Row],[PRECIO $ BOLSA 50 KG (IVA INC) ]]*(Tabla1[[#This Row],[TASA FINANCIACION MENSUAL]]/365)*Tabla1[[#This Row],[PLAZO ENTREGA VALORES]]</f>
        <v>#VALUE!</v>
      </c>
      <c r="AE538" s="845" t="e">
        <f>SUM(Tabla1[[#This Row],[PRECIO $ BOLSA50 KG  FOB TUCUMAN A PLAZO (IVA INC)]]+Tabla1[[#This Row],[GASTOS FINANCIEROS $ BOLSA 50 KG (IVA INC)]])</f>
        <v>#VALUE!</v>
      </c>
      <c r="AF538" s="828"/>
      <c r="AG538" s="828"/>
      <c r="AH538" s="828"/>
      <c r="AI538" s="828"/>
      <c r="AJ53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38" s="846" t="e">
        <f>SUM(Tabla1[[#This Row],[PRECIO $ BOLSA 50KG  FOB CDO TUC (IVA INC)]]-Tabla1[[#This Row],[PRECIO REF $ BOLSA 50 KG CACTU (IVA INC)]])</f>
        <v>#VALUE!</v>
      </c>
      <c r="AL538" s="847" t="str">
        <f>IFERROR(Tabla1[[#This Row],[PRECIO $ BOLSA 50KG  FOB CDO TUC (IVA INC)]]/Tabla1[[#This Row],[PRECIO REF $ BOLSA 50 KG CACTU (IVA INC)]]-1,"")</f>
        <v/>
      </c>
      <c r="AM538" s="846" t="e">
        <f>+Tabla1[[#This Row],[DIF $ PRECIO NETO INDUSTRIA vs Neto TUCUMAN (IVA INC)]]*Tabla1[[#This Row],[Q Bolsas Equivalentes 50kg]]</f>
        <v>#VALUE!</v>
      </c>
      <c r="AN538" s="846" t="e">
        <f>Tabla1[[#This Row],[PRECIO REF $ BOLSA 50 KG CACTU (IVA INC)]]*Tabla1[[#This Row],[Q Bolsas Equivalentes 50kg]]</f>
        <v>#VALUE!</v>
      </c>
      <c r="AO538" s="846" t="e">
        <f>+Tabla1[[#This Row],[PRECIO $ BOLSA 50KG  FOB CDO TUC (IVA INC)]]*Tabla1[[#This Row],[Q Bolsas Equivalentes 50kg]]</f>
        <v>#VALUE!</v>
      </c>
      <c r="AP538" s="847"/>
      <c r="AQ538" s="846">
        <v>0</v>
      </c>
      <c r="AR538" s="828"/>
      <c r="AS538" s="849"/>
      <c r="AT538" s="923">
        <f>+Tabla1[[#This Row],[VENTA TOTAL $ (IVA INC) ]]-(SUM(Tabla1[[#This Row],[PENDIENTE DE ENTREGA]:[VALORES COBRADOS]]))</f>
        <v>0</v>
      </c>
      <c r="AU538" s="850" t="e">
        <f>VLOOKUP(Tabla1[[#This Row],[FECHA OC]],'TIPO DE CAMBIO'!A:B,2,TRUE)</f>
        <v>#N/A</v>
      </c>
      <c r="AV538" s="850" t="e">
        <f>+Tabla1[[#This Row],[SUBTOTAL]]/Tabla1[[#This Row],[TIPO DE CAMBIO]]</f>
        <v>#N/A</v>
      </c>
      <c r="AW538" s="851"/>
      <c r="AX538" s="850" t="str">
        <f>IFERROR(Tabla1[[#This Row],[VENTA TOTAL USD A PLAZO EN CLIENTE  (SIN IVA)]]*(1+Tabla1[[#This Row],[% IVA ]]),"")</f>
        <v/>
      </c>
      <c r="AY538" s="850" t="e">
        <f>+Tabla1[[#This Row],[VENTA TOTAL USD A PLAZO EN CLIENTE  (SIN IVA)]]/Tabla1[[#This Row],[KGS]]*1000</f>
        <v>#N/A</v>
      </c>
      <c r="AZ538" s="850" t="e">
        <f>-Tabla1[[#This Row],[COSTO FLETE $ POR BOLSA 5O KG (SIN IVA)]]*20/Tabla1[[#This Row],[TIPO DE CAMBIO]]</f>
        <v>#N/A</v>
      </c>
      <c r="BA538" s="850" t="e">
        <f>+Tabla1[[#This Row],[GASTOS FINANCIEROS $ BOLSA 50 KG (IVA INC)]]*20/Tabla1[[#This Row],[TIPO DE CAMBIO]]</f>
        <v>#VALUE!</v>
      </c>
      <c r="BB538" s="850" t="e">
        <f>+Tabla1[[#This Row],[PRECIO POR TN USD EN CLIENTE A PLAZO (SIN IVA)]]+Tabla1[[#This Row],[COSTO USD FLETE /TN (SIN IVA)]]+Tabla1[[#This Row],[COSTO FINANCIERO USD POR BOLSA 50KG (IVA INC)]]</f>
        <v>#N/A</v>
      </c>
      <c r="BC538" s="828"/>
      <c r="BD538" s="944"/>
    </row>
    <row r="539" spans="1:56" ht="15.75" customHeight="1">
      <c r="A539" s="912">
        <v>46266</v>
      </c>
      <c r="B539" s="853"/>
      <c r="C539" s="792"/>
      <c r="D539" s="829">
        <f>+Tabla1[[#This Row],[FECHA Entrega]]</f>
        <v>0</v>
      </c>
      <c r="E539" s="830"/>
      <c r="F539" s="831"/>
      <c r="G539" s="832"/>
      <c r="H539" s="852"/>
      <c r="I539" s="834"/>
      <c r="J539" s="835"/>
      <c r="K539" s="836">
        <f t="shared" si="145"/>
        <v>0</v>
      </c>
      <c r="L53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39" s="837">
        <f t="shared" si="144"/>
        <v>0</v>
      </c>
      <c r="N539" s="838">
        <f>+Tabla1[[#This Row],[VENTA TOTAL $ (IVA INC) ]]</f>
        <v>0</v>
      </c>
      <c r="O539" s="838">
        <v>0</v>
      </c>
      <c r="P539" s="838">
        <v>0</v>
      </c>
      <c r="Q539" s="839">
        <f>+Tabla1[[#This Row],[VENTA TOTAL $ (IVA INC) ]]-Tabla1[[#This Row],[PENDIENTE DE COBRO]]</f>
        <v>0</v>
      </c>
      <c r="R539" s="840">
        <f>+Tabla1[[#This Row],[FECHA FC]]+Tabla1[[#This Row],[PLAZO ENTREGA VALORES]]</f>
        <v>0</v>
      </c>
      <c r="S539" s="840">
        <f>+Tabla1[[#This Row],[FECHA FC]]+Tabla1[[#This Row],[PLAZO PAGO (DIAS)]]</f>
        <v>0</v>
      </c>
      <c r="T539" s="834">
        <f t="shared" ca="1" si="146"/>
        <v>-46181</v>
      </c>
      <c r="U539" s="831"/>
      <c r="V539" s="831"/>
      <c r="W539" s="841">
        <f>+Tabla1[[#This Row],[FECHA VTO VALORES]]+7</f>
        <v>7</v>
      </c>
      <c r="X539" s="830"/>
      <c r="Y539" s="859"/>
      <c r="Z539" s="860">
        <f>Tabla1[[#This Row],[KGS]]/50</f>
        <v>0</v>
      </c>
      <c r="AA53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39" s="844">
        <f>-Tabla1[[#This Row],[COSTO FLETE $ POR BOLSA 5O KG (SIN IVA)]]*1.21-Tabla1[[#This Row],[PRECIO $/ KG A PLAZO EN CLIENTE ( SIN IVA)]]*0.003*1.21*50</f>
        <v>0</v>
      </c>
      <c r="AC539" s="845" t="e">
        <f>SUM(Tabla1[[#This Row],[PRECIO $ BOLSA 50 KG (IVA INC) ]]+Tabla1[[#This Row],[COSTO FLETE $ BOLSA 50 KG (IVA INC)]])</f>
        <v>#VALUE!</v>
      </c>
      <c r="AD539" s="844" t="e">
        <f>-Tabla1[[#This Row],[PRECIO $ BOLSA 50 KG (IVA INC) ]]*(Tabla1[[#This Row],[TASA FINANCIACION MENSUAL]]/365)*Tabla1[[#This Row],[PLAZO ENTREGA VALORES]]</f>
        <v>#VALUE!</v>
      </c>
      <c r="AE539" s="845" t="e">
        <f>SUM(Tabla1[[#This Row],[PRECIO $ BOLSA50 KG  FOB TUCUMAN A PLAZO (IVA INC)]]+Tabla1[[#This Row],[GASTOS FINANCIEROS $ BOLSA 50 KG (IVA INC)]])</f>
        <v>#VALUE!</v>
      </c>
      <c r="AF539" s="828"/>
      <c r="AG539" s="828"/>
      <c r="AH539" s="828"/>
      <c r="AI539" s="828"/>
      <c r="AJ53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39" s="846" t="e">
        <f>SUM(Tabla1[[#This Row],[PRECIO $ BOLSA 50KG  FOB CDO TUC (IVA INC)]]-Tabla1[[#This Row],[PRECIO REF $ BOLSA 50 KG CACTU (IVA INC)]])</f>
        <v>#VALUE!</v>
      </c>
      <c r="AL539" s="847" t="str">
        <f>IFERROR(Tabla1[[#This Row],[PRECIO $ BOLSA 50KG  FOB CDO TUC (IVA INC)]]/Tabla1[[#This Row],[PRECIO REF $ BOLSA 50 KG CACTU (IVA INC)]]-1,"")</f>
        <v/>
      </c>
      <c r="AM539" s="846" t="e">
        <f>+Tabla1[[#This Row],[DIF $ PRECIO NETO INDUSTRIA vs Neto TUCUMAN (IVA INC)]]*Tabla1[[#This Row],[Q Bolsas Equivalentes 50kg]]</f>
        <v>#VALUE!</v>
      </c>
      <c r="AN539" s="846" t="e">
        <f>Tabla1[[#This Row],[PRECIO REF $ BOLSA 50 KG CACTU (IVA INC)]]*Tabla1[[#This Row],[Q Bolsas Equivalentes 50kg]]</f>
        <v>#VALUE!</v>
      </c>
      <c r="AO539" s="846" t="e">
        <f>+Tabla1[[#This Row],[PRECIO $ BOLSA 50KG  FOB CDO TUC (IVA INC)]]*Tabla1[[#This Row],[Q Bolsas Equivalentes 50kg]]</f>
        <v>#VALUE!</v>
      </c>
      <c r="AP539" s="847"/>
      <c r="AQ539" s="846">
        <v>0</v>
      </c>
      <c r="AR539" s="828"/>
      <c r="AS539" s="849"/>
      <c r="AT539" s="923">
        <f>+Tabla1[[#This Row],[VENTA TOTAL $ (IVA INC) ]]-(SUM(Tabla1[[#This Row],[PENDIENTE DE ENTREGA]:[VALORES COBRADOS]]))</f>
        <v>0</v>
      </c>
      <c r="AU539" s="850" t="e">
        <f>VLOOKUP(Tabla1[[#This Row],[FECHA OC]],'TIPO DE CAMBIO'!A:B,2,TRUE)</f>
        <v>#N/A</v>
      </c>
      <c r="AV539" s="850" t="e">
        <f>+Tabla1[[#This Row],[SUBTOTAL]]/Tabla1[[#This Row],[TIPO DE CAMBIO]]</f>
        <v>#N/A</v>
      </c>
      <c r="AW539" s="851"/>
      <c r="AX539" s="850" t="str">
        <f>IFERROR(Tabla1[[#This Row],[VENTA TOTAL USD A PLAZO EN CLIENTE  (SIN IVA)]]*(1+Tabla1[[#This Row],[% IVA ]]),"")</f>
        <v/>
      </c>
      <c r="AY539" s="850" t="e">
        <f>+Tabla1[[#This Row],[VENTA TOTAL USD A PLAZO EN CLIENTE  (SIN IVA)]]/Tabla1[[#This Row],[KGS]]*1000</f>
        <v>#N/A</v>
      </c>
      <c r="AZ539" s="850" t="e">
        <f>-Tabla1[[#This Row],[COSTO FLETE $ POR BOLSA 5O KG (SIN IVA)]]*20/Tabla1[[#This Row],[TIPO DE CAMBIO]]</f>
        <v>#N/A</v>
      </c>
      <c r="BA539" s="850" t="e">
        <f>+Tabla1[[#This Row],[GASTOS FINANCIEROS $ BOLSA 50 KG (IVA INC)]]*20/Tabla1[[#This Row],[TIPO DE CAMBIO]]</f>
        <v>#VALUE!</v>
      </c>
      <c r="BB539" s="850" t="e">
        <f>+Tabla1[[#This Row],[PRECIO POR TN USD EN CLIENTE A PLAZO (SIN IVA)]]+Tabla1[[#This Row],[COSTO USD FLETE /TN (SIN IVA)]]+Tabla1[[#This Row],[COSTO FINANCIERO USD POR BOLSA 50KG (IVA INC)]]</f>
        <v>#N/A</v>
      </c>
      <c r="BC539" s="828"/>
      <c r="BD539" s="944"/>
    </row>
    <row r="540" spans="1:56" ht="15.75" customHeight="1">
      <c r="A540" s="912">
        <v>46266</v>
      </c>
      <c r="B540" s="853"/>
      <c r="C540" s="792"/>
      <c r="D540" s="829">
        <f>+Tabla1[[#This Row],[FECHA Entrega]]</f>
        <v>0</v>
      </c>
      <c r="E540" s="830"/>
      <c r="F540" s="831"/>
      <c r="G540" s="832"/>
      <c r="H540" s="852"/>
      <c r="I540" s="834"/>
      <c r="J540" s="835"/>
      <c r="K540" s="836">
        <f t="shared" si="145"/>
        <v>0</v>
      </c>
      <c r="L54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40" s="854">
        <f t="shared" si="144"/>
        <v>0</v>
      </c>
      <c r="N540" s="838">
        <f>+Tabla1[[#This Row],[VENTA TOTAL $ (IVA INC) ]]</f>
        <v>0</v>
      </c>
      <c r="O540" s="838">
        <v>0</v>
      </c>
      <c r="P540" s="838">
        <v>0</v>
      </c>
      <c r="Q540" s="839">
        <f>+Tabla1[[#This Row],[VENTA TOTAL $ (IVA INC) ]]-Tabla1[[#This Row],[PENDIENTE DE COBRO]]</f>
        <v>0</v>
      </c>
      <c r="R540" s="840">
        <f>+Tabla1[[#This Row],[FECHA FC]]+Tabla1[[#This Row],[PLAZO ENTREGA VALORES]]</f>
        <v>0</v>
      </c>
      <c r="S540" s="840">
        <f>+Tabla1[[#This Row],[FECHA FC]]+Tabla1[[#This Row],[PLAZO PAGO (DIAS)]]</f>
        <v>0</v>
      </c>
      <c r="T540" s="834">
        <f t="shared" ca="1" si="146"/>
        <v>-46181</v>
      </c>
      <c r="U540" s="831"/>
      <c r="V540" s="831"/>
      <c r="W540" s="841">
        <f>+S540+7</f>
        <v>7</v>
      </c>
      <c r="X540" s="830"/>
      <c r="Y540" s="859"/>
      <c r="Z540" s="860">
        <f>Tabla1[[#This Row],[KGS]]/50</f>
        <v>0</v>
      </c>
      <c r="AA54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40" s="844">
        <f>-Tabla1[[#This Row],[COSTO FLETE $ POR BOLSA 5O KG (SIN IVA)]]*1.21-Tabla1[[#This Row],[PRECIO $/ KG A PLAZO EN CLIENTE ( SIN IVA)]]*0.003*1.21*50</f>
        <v>0</v>
      </c>
      <c r="AC540" s="845" t="e">
        <f>SUM(Tabla1[[#This Row],[PRECIO $ BOLSA 50 KG (IVA INC) ]]+Tabla1[[#This Row],[COSTO FLETE $ BOLSA 50 KG (IVA INC)]])</f>
        <v>#VALUE!</v>
      </c>
      <c r="AD540" s="844" t="e">
        <f>-Tabla1[[#This Row],[PRECIO $ BOLSA 50 KG (IVA INC) ]]*(Tabla1[[#This Row],[TASA FINANCIACION MENSUAL]]/365)*Tabla1[[#This Row],[PLAZO ENTREGA VALORES]]</f>
        <v>#VALUE!</v>
      </c>
      <c r="AE540" s="845" t="e">
        <f>SUM(Tabla1[[#This Row],[PRECIO $ BOLSA50 KG  FOB TUCUMAN A PLAZO (IVA INC)]]+Tabla1[[#This Row],[GASTOS FINANCIEROS $ BOLSA 50 KG (IVA INC)]])</f>
        <v>#VALUE!</v>
      </c>
      <c r="AF540" s="828"/>
      <c r="AG540" s="828"/>
      <c r="AH540" s="828"/>
      <c r="AI540" s="828"/>
      <c r="AJ54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40" s="846" t="e">
        <f>SUM(Tabla1[[#This Row],[PRECIO $ BOLSA 50KG  FOB CDO TUC (IVA INC)]]-Tabla1[[#This Row],[PRECIO REF $ BOLSA 50 KG CACTU (IVA INC)]])</f>
        <v>#VALUE!</v>
      </c>
      <c r="AL540" s="847" t="str">
        <f>IFERROR(Tabla1[[#This Row],[PRECIO $ BOLSA 50KG  FOB CDO TUC (IVA INC)]]/Tabla1[[#This Row],[PRECIO REF $ BOLSA 50 KG CACTU (IVA INC)]]-1,"")</f>
        <v/>
      </c>
      <c r="AM540" s="846" t="e">
        <f>+Tabla1[[#This Row],[DIF $ PRECIO NETO INDUSTRIA vs Neto TUCUMAN (IVA INC)]]*Tabla1[[#This Row],[Q Bolsas Equivalentes 50kg]]</f>
        <v>#VALUE!</v>
      </c>
      <c r="AN540" s="846" t="e">
        <f>Tabla1[[#This Row],[PRECIO REF $ BOLSA 50 KG CACTU (IVA INC)]]*Tabla1[[#This Row],[Q Bolsas Equivalentes 50kg]]</f>
        <v>#VALUE!</v>
      </c>
      <c r="AO540" s="846" t="e">
        <f>+Tabla1[[#This Row],[PRECIO $ BOLSA 50KG  FOB CDO TUC (IVA INC)]]*Tabla1[[#This Row],[Q Bolsas Equivalentes 50kg]]</f>
        <v>#VALUE!</v>
      </c>
      <c r="AP540" s="847"/>
      <c r="AQ540" s="846">
        <v>0</v>
      </c>
      <c r="AR540" s="828"/>
      <c r="AS540" s="849"/>
      <c r="AT540" s="923">
        <f>+Tabla1[[#This Row],[VENTA TOTAL $ (IVA INC) ]]-(SUM(Tabla1[[#This Row],[PENDIENTE DE ENTREGA]:[VALORES COBRADOS]]))</f>
        <v>0</v>
      </c>
      <c r="AU540" s="850" t="e">
        <f>VLOOKUP(Tabla1[[#This Row],[FECHA OC]],'TIPO DE CAMBIO'!A:B,2,TRUE)</f>
        <v>#N/A</v>
      </c>
      <c r="AV540" s="850" t="e">
        <f>+Tabla1[[#This Row],[SUBTOTAL]]/Tabla1[[#This Row],[TIPO DE CAMBIO]]</f>
        <v>#N/A</v>
      </c>
      <c r="AW540" s="851"/>
      <c r="AX540" s="850" t="str">
        <f>IFERROR(Tabla1[[#This Row],[VENTA TOTAL USD A PLAZO EN CLIENTE  (SIN IVA)]]*(1+Tabla1[[#This Row],[% IVA ]]),"")</f>
        <v/>
      </c>
      <c r="AY540" s="850" t="e">
        <f>+Tabla1[[#This Row],[VENTA TOTAL USD A PLAZO EN CLIENTE  (SIN IVA)]]/Tabla1[[#This Row],[KGS]]*1000</f>
        <v>#N/A</v>
      </c>
      <c r="AZ540" s="850" t="e">
        <f>-Tabla1[[#This Row],[COSTO FLETE $ POR BOLSA 5O KG (SIN IVA)]]*20/Tabla1[[#This Row],[TIPO DE CAMBIO]]</f>
        <v>#N/A</v>
      </c>
      <c r="BA540" s="850" t="e">
        <f>+Tabla1[[#This Row],[GASTOS FINANCIEROS $ BOLSA 50 KG (IVA INC)]]*20/Tabla1[[#This Row],[TIPO DE CAMBIO]]</f>
        <v>#VALUE!</v>
      </c>
      <c r="BB540" s="850" t="e">
        <f>+Tabla1[[#This Row],[PRECIO POR TN USD EN CLIENTE A PLAZO (SIN IVA)]]+Tabla1[[#This Row],[COSTO USD FLETE /TN (SIN IVA)]]+Tabla1[[#This Row],[COSTO FINANCIERO USD POR BOLSA 50KG (IVA INC)]]</f>
        <v>#N/A</v>
      </c>
      <c r="BC540" s="828"/>
      <c r="BD540" s="944"/>
    </row>
    <row r="541" spans="1:56" ht="15.75" customHeight="1">
      <c r="A541" s="912">
        <v>46266</v>
      </c>
      <c r="B541" s="853"/>
      <c r="C541" s="792"/>
      <c r="D541" s="829">
        <f>+Tabla1[[#This Row],[FECHA Entrega]]</f>
        <v>0</v>
      </c>
      <c r="E541" s="830"/>
      <c r="F541" s="831"/>
      <c r="G541" s="832"/>
      <c r="H541" s="852"/>
      <c r="I541" s="834"/>
      <c r="J541" s="835"/>
      <c r="K541" s="836">
        <f t="shared" si="145"/>
        <v>0</v>
      </c>
      <c r="L54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41" s="837">
        <f t="shared" si="144"/>
        <v>0</v>
      </c>
      <c r="N541" s="838">
        <f>+Tabla1[[#This Row],[VENTA TOTAL $ (IVA INC) ]]</f>
        <v>0</v>
      </c>
      <c r="O541" s="838">
        <v>0</v>
      </c>
      <c r="P541" s="838">
        <v>0</v>
      </c>
      <c r="Q541" s="839">
        <f>+Tabla1[[#This Row],[VENTA TOTAL $ (IVA INC) ]]-Tabla1[[#This Row],[PENDIENTE DE COBRO]]</f>
        <v>0</v>
      </c>
      <c r="R541" s="840">
        <f>+Tabla1[[#This Row],[FECHA FC]]+Tabla1[[#This Row],[PLAZO ENTREGA VALORES]]</f>
        <v>0</v>
      </c>
      <c r="S541" s="840">
        <f>+Tabla1[[#This Row],[FECHA FC]]+Tabla1[[#This Row],[PLAZO PAGO (DIAS)]]</f>
        <v>0</v>
      </c>
      <c r="T541" s="834">
        <f t="shared" ca="1" si="146"/>
        <v>-46181</v>
      </c>
      <c r="U541" s="831"/>
      <c r="V541" s="831"/>
      <c r="W541" s="841">
        <f>+Tabla1[[#This Row],[FECHA VTO VALORES]]+7</f>
        <v>7</v>
      </c>
      <c r="X541" s="830"/>
      <c r="Y541" s="859"/>
      <c r="Z541" s="860">
        <f>Tabla1[[#This Row],[KGS]]/50</f>
        <v>0</v>
      </c>
      <c r="AA54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41" s="844">
        <f>-Tabla1[[#This Row],[COSTO FLETE $ POR BOLSA 5O KG (SIN IVA)]]*1.21-Tabla1[[#This Row],[PRECIO $/ KG A PLAZO EN CLIENTE ( SIN IVA)]]*0.003*1.21*50</f>
        <v>0</v>
      </c>
      <c r="AC541" s="845" t="e">
        <f>SUM(Tabla1[[#This Row],[PRECIO $ BOLSA 50 KG (IVA INC) ]]+Tabla1[[#This Row],[COSTO FLETE $ BOLSA 50 KG (IVA INC)]])</f>
        <v>#VALUE!</v>
      </c>
      <c r="AD541" s="844" t="e">
        <f>-Tabla1[[#This Row],[PRECIO $ BOLSA 50 KG (IVA INC) ]]*(Tabla1[[#This Row],[TASA FINANCIACION MENSUAL]]/365)*Tabla1[[#This Row],[PLAZO ENTREGA VALORES]]</f>
        <v>#VALUE!</v>
      </c>
      <c r="AE541" s="845" t="e">
        <f>SUM(Tabla1[[#This Row],[PRECIO $ BOLSA50 KG  FOB TUCUMAN A PLAZO (IVA INC)]]+Tabla1[[#This Row],[GASTOS FINANCIEROS $ BOLSA 50 KG (IVA INC)]])</f>
        <v>#VALUE!</v>
      </c>
      <c r="AF541" s="828"/>
      <c r="AG541" s="828"/>
      <c r="AH541" s="828"/>
      <c r="AI541" s="828"/>
      <c r="AJ54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41" s="846" t="e">
        <f>SUM(Tabla1[[#This Row],[PRECIO $ BOLSA 50KG  FOB CDO TUC (IVA INC)]]-Tabla1[[#This Row],[PRECIO REF $ BOLSA 50 KG CACTU (IVA INC)]])</f>
        <v>#VALUE!</v>
      </c>
      <c r="AL541" s="847" t="str">
        <f>IFERROR(Tabla1[[#This Row],[PRECIO $ BOLSA 50KG  FOB CDO TUC (IVA INC)]]/Tabla1[[#This Row],[PRECIO REF $ BOLSA 50 KG CACTU (IVA INC)]]-1,"")</f>
        <v/>
      </c>
      <c r="AM541" s="846" t="e">
        <f>+Tabla1[[#This Row],[DIF $ PRECIO NETO INDUSTRIA vs Neto TUCUMAN (IVA INC)]]*Tabla1[[#This Row],[Q Bolsas Equivalentes 50kg]]</f>
        <v>#VALUE!</v>
      </c>
      <c r="AN541" s="846" t="e">
        <f>Tabla1[[#This Row],[PRECIO REF $ BOLSA 50 KG CACTU (IVA INC)]]*Tabla1[[#This Row],[Q Bolsas Equivalentes 50kg]]</f>
        <v>#VALUE!</v>
      </c>
      <c r="AO541" s="846" t="e">
        <f>+Tabla1[[#This Row],[PRECIO $ BOLSA 50KG  FOB CDO TUC (IVA INC)]]*Tabla1[[#This Row],[Q Bolsas Equivalentes 50kg]]</f>
        <v>#VALUE!</v>
      </c>
      <c r="AP541" s="847"/>
      <c r="AQ541" s="846">
        <v>0</v>
      </c>
      <c r="AR541" s="828"/>
      <c r="AS541" s="849"/>
      <c r="AT541" s="923">
        <f>+Tabla1[[#This Row],[VENTA TOTAL $ (IVA INC) ]]-(SUM(Tabla1[[#This Row],[PENDIENTE DE ENTREGA]:[VALORES COBRADOS]]))</f>
        <v>0</v>
      </c>
      <c r="AU541" s="850" t="e">
        <f>VLOOKUP(Tabla1[[#This Row],[FECHA OC]],'TIPO DE CAMBIO'!A:B,2,TRUE)</f>
        <v>#N/A</v>
      </c>
      <c r="AV541" s="850" t="e">
        <f>+Tabla1[[#This Row],[SUBTOTAL]]/Tabla1[[#This Row],[TIPO DE CAMBIO]]</f>
        <v>#N/A</v>
      </c>
      <c r="AW541" s="851"/>
      <c r="AX541" s="850" t="str">
        <f>IFERROR(Tabla1[[#This Row],[VENTA TOTAL USD A PLAZO EN CLIENTE  (SIN IVA)]]*(1+Tabla1[[#This Row],[% IVA ]]),"")</f>
        <v/>
      </c>
      <c r="AY541" s="850" t="e">
        <f>+Tabla1[[#This Row],[VENTA TOTAL USD A PLAZO EN CLIENTE  (SIN IVA)]]/Tabla1[[#This Row],[KGS]]*1000</f>
        <v>#N/A</v>
      </c>
      <c r="AZ541" s="850" t="e">
        <f>-Tabla1[[#This Row],[COSTO FLETE $ POR BOLSA 5O KG (SIN IVA)]]*20/Tabla1[[#This Row],[TIPO DE CAMBIO]]</f>
        <v>#N/A</v>
      </c>
      <c r="BA541" s="850" t="e">
        <f>+Tabla1[[#This Row],[GASTOS FINANCIEROS $ BOLSA 50 KG (IVA INC)]]*20/Tabla1[[#This Row],[TIPO DE CAMBIO]]</f>
        <v>#VALUE!</v>
      </c>
      <c r="BB541" s="850" t="e">
        <f>+Tabla1[[#This Row],[PRECIO POR TN USD EN CLIENTE A PLAZO (SIN IVA)]]+Tabla1[[#This Row],[COSTO USD FLETE /TN (SIN IVA)]]+Tabla1[[#This Row],[COSTO FINANCIERO USD POR BOLSA 50KG (IVA INC)]]</f>
        <v>#N/A</v>
      </c>
      <c r="BC541" s="828"/>
      <c r="BD541" s="944"/>
    </row>
    <row r="542" spans="1:56" ht="15.75" customHeight="1">
      <c r="A542" s="912">
        <v>46266</v>
      </c>
      <c r="B542" s="853"/>
      <c r="C542" s="792"/>
      <c r="D542" s="829">
        <f>+Tabla1[[#This Row],[FECHA Entrega]]</f>
        <v>0</v>
      </c>
      <c r="E542" s="830"/>
      <c r="F542" s="831"/>
      <c r="G542" s="832"/>
      <c r="H542" s="852"/>
      <c r="I542" s="834"/>
      <c r="J542" s="835"/>
      <c r="K542" s="836">
        <f t="shared" si="145"/>
        <v>0</v>
      </c>
      <c r="L54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42" s="837">
        <f t="shared" si="144"/>
        <v>0</v>
      </c>
      <c r="N542" s="838">
        <f>+Tabla1[[#This Row],[VENTA TOTAL $ (IVA INC) ]]</f>
        <v>0</v>
      </c>
      <c r="O542" s="838">
        <v>0</v>
      </c>
      <c r="P542" s="838">
        <v>0</v>
      </c>
      <c r="Q542" s="839">
        <f>+Tabla1[[#This Row],[VENTA TOTAL $ (IVA INC) ]]-Tabla1[[#This Row],[PENDIENTE DE COBRO]]</f>
        <v>0</v>
      </c>
      <c r="R542" s="840">
        <f>+Tabla1[[#This Row],[FECHA FC]]+Tabla1[[#This Row],[PLAZO ENTREGA VALORES]]</f>
        <v>0</v>
      </c>
      <c r="S542" s="840">
        <f>+Tabla1[[#This Row],[FECHA FC]]+Tabla1[[#This Row],[PLAZO PAGO (DIAS)]]</f>
        <v>0</v>
      </c>
      <c r="T542" s="834">
        <f t="shared" ca="1" si="146"/>
        <v>-46181</v>
      </c>
      <c r="U542" s="831"/>
      <c r="V542" s="831"/>
      <c r="W542" s="841">
        <f>+Tabla1[[#This Row],[FECHA VTO VALORES]]+7</f>
        <v>7</v>
      </c>
      <c r="X542" s="830"/>
      <c r="Y542" s="859"/>
      <c r="Z542" s="860">
        <f>Tabla1[[#This Row],[KGS]]/50</f>
        <v>0</v>
      </c>
      <c r="AA54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42" s="844">
        <f>-Tabla1[[#This Row],[COSTO FLETE $ POR BOLSA 5O KG (SIN IVA)]]*1.21-Tabla1[[#This Row],[PRECIO $/ KG A PLAZO EN CLIENTE ( SIN IVA)]]*0.003*1.21*50</f>
        <v>0</v>
      </c>
      <c r="AC542" s="845" t="e">
        <f>SUM(Tabla1[[#This Row],[PRECIO $ BOLSA 50 KG (IVA INC) ]]+Tabla1[[#This Row],[COSTO FLETE $ BOLSA 50 KG (IVA INC)]])</f>
        <v>#VALUE!</v>
      </c>
      <c r="AD542" s="844" t="e">
        <f>-Tabla1[[#This Row],[PRECIO $ BOLSA 50 KG (IVA INC) ]]*(Tabla1[[#This Row],[TASA FINANCIACION MENSUAL]]/365)*Tabla1[[#This Row],[PLAZO ENTREGA VALORES]]</f>
        <v>#VALUE!</v>
      </c>
      <c r="AE542" s="845" t="e">
        <f>SUM(Tabla1[[#This Row],[PRECIO $ BOLSA50 KG  FOB TUCUMAN A PLAZO (IVA INC)]]+Tabla1[[#This Row],[GASTOS FINANCIEROS $ BOLSA 50 KG (IVA INC)]])</f>
        <v>#VALUE!</v>
      </c>
      <c r="AF542" s="828"/>
      <c r="AG542" s="828"/>
      <c r="AH542" s="828"/>
      <c r="AI542" s="828"/>
      <c r="AJ54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42" s="846" t="e">
        <f>SUM(Tabla1[[#This Row],[PRECIO $ BOLSA 50KG  FOB CDO TUC (IVA INC)]]-Tabla1[[#This Row],[PRECIO REF $ BOLSA 50 KG CACTU (IVA INC)]])</f>
        <v>#VALUE!</v>
      </c>
      <c r="AL542" s="847" t="str">
        <f>IFERROR(Tabla1[[#This Row],[PRECIO $ BOLSA 50KG  FOB CDO TUC (IVA INC)]]/Tabla1[[#This Row],[PRECIO REF $ BOLSA 50 KG CACTU (IVA INC)]]-1,"")</f>
        <v/>
      </c>
      <c r="AM542" s="846" t="e">
        <f>+Tabla1[[#This Row],[DIF $ PRECIO NETO INDUSTRIA vs Neto TUCUMAN (IVA INC)]]*Tabla1[[#This Row],[Q Bolsas Equivalentes 50kg]]</f>
        <v>#VALUE!</v>
      </c>
      <c r="AN542" s="846" t="e">
        <f>Tabla1[[#This Row],[PRECIO REF $ BOLSA 50 KG CACTU (IVA INC)]]*Tabla1[[#This Row],[Q Bolsas Equivalentes 50kg]]</f>
        <v>#VALUE!</v>
      </c>
      <c r="AO542" s="846" t="e">
        <f>+Tabla1[[#This Row],[PRECIO $ BOLSA 50KG  FOB CDO TUC (IVA INC)]]*Tabla1[[#This Row],[Q Bolsas Equivalentes 50kg]]</f>
        <v>#VALUE!</v>
      </c>
      <c r="AP542" s="847"/>
      <c r="AQ542" s="846">
        <v>0</v>
      </c>
      <c r="AR542" s="828"/>
      <c r="AS542" s="849"/>
      <c r="AT542" s="923">
        <f>+Tabla1[[#This Row],[VENTA TOTAL $ (IVA INC) ]]-(SUM(Tabla1[[#This Row],[PENDIENTE DE ENTREGA]:[VALORES COBRADOS]]))</f>
        <v>0</v>
      </c>
      <c r="AU542" s="850" t="e">
        <f>VLOOKUP(Tabla1[[#This Row],[FECHA OC]],'TIPO DE CAMBIO'!A:B,2,TRUE)</f>
        <v>#N/A</v>
      </c>
      <c r="AV542" s="850" t="e">
        <f>+Tabla1[[#This Row],[SUBTOTAL]]/Tabla1[[#This Row],[TIPO DE CAMBIO]]</f>
        <v>#N/A</v>
      </c>
      <c r="AW542" s="851"/>
      <c r="AX542" s="850" t="str">
        <f>IFERROR(Tabla1[[#This Row],[VENTA TOTAL USD A PLAZO EN CLIENTE  (SIN IVA)]]*(1+Tabla1[[#This Row],[% IVA ]]),"")</f>
        <v/>
      </c>
      <c r="AY542" s="850" t="e">
        <f>+Tabla1[[#This Row],[VENTA TOTAL USD A PLAZO EN CLIENTE  (SIN IVA)]]/Tabla1[[#This Row],[KGS]]*1000</f>
        <v>#N/A</v>
      </c>
      <c r="AZ542" s="850" t="e">
        <f>-Tabla1[[#This Row],[COSTO FLETE $ POR BOLSA 5O KG (SIN IVA)]]*20/Tabla1[[#This Row],[TIPO DE CAMBIO]]</f>
        <v>#N/A</v>
      </c>
      <c r="BA542" s="850" t="e">
        <f>+Tabla1[[#This Row],[GASTOS FINANCIEROS $ BOLSA 50 KG (IVA INC)]]*20/Tabla1[[#This Row],[TIPO DE CAMBIO]]</f>
        <v>#VALUE!</v>
      </c>
      <c r="BB542" s="850" t="e">
        <f>+Tabla1[[#This Row],[PRECIO POR TN USD EN CLIENTE A PLAZO (SIN IVA)]]+Tabla1[[#This Row],[COSTO USD FLETE /TN (SIN IVA)]]+Tabla1[[#This Row],[COSTO FINANCIERO USD POR BOLSA 50KG (IVA INC)]]</f>
        <v>#N/A</v>
      </c>
      <c r="BC542" s="848"/>
      <c r="BD542" s="944"/>
    </row>
    <row r="543" spans="1:56" ht="15.75" customHeight="1">
      <c r="A543" s="912">
        <v>46266</v>
      </c>
      <c r="B543" s="853"/>
      <c r="C543" s="792"/>
      <c r="D543" s="829">
        <f>+Tabla1[[#This Row],[FECHA Entrega]]</f>
        <v>0</v>
      </c>
      <c r="E543" s="830"/>
      <c r="F543" s="831"/>
      <c r="G543" s="832"/>
      <c r="H543" s="852"/>
      <c r="I543" s="834"/>
      <c r="J543" s="835"/>
      <c r="K543" s="836">
        <f t="shared" si="145"/>
        <v>0</v>
      </c>
      <c r="L54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43" s="837">
        <f t="shared" si="144"/>
        <v>0</v>
      </c>
      <c r="N543" s="838">
        <f>+Tabla1[[#This Row],[VENTA TOTAL $ (IVA INC) ]]</f>
        <v>0</v>
      </c>
      <c r="O543" s="838">
        <v>0</v>
      </c>
      <c r="P543" s="838">
        <v>0</v>
      </c>
      <c r="Q543" s="839">
        <f>+Tabla1[[#This Row],[VENTA TOTAL $ (IVA INC) ]]-Tabla1[[#This Row],[PENDIENTE DE COBRO]]</f>
        <v>0</v>
      </c>
      <c r="R543" s="840">
        <f>+Tabla1[[#This Row],[FECHA FC]]+Tabla1[[#This Row],[PLAZO ENTREGA VALORES]]</f>
        <v>0</v>
      </c>
      <c r="S543" s="840">
        <f>+Tabla1[[#This Row],[FECHA FC]]+Tabla1[[#This Row],[PLAZO PAGO (DIAS)]]</f>
        <v>0</v>
      </c>
      <c r="T543" s="834">
        <f t="shared" ca="1" si="146"/>
        <v>-46181</v>
      </c>
      <c r="U543" s="831"/>
      <c r="V543" s="831"/>
      <c r="W543" s="841">
        <f>+Tabla1[[#This Row],[FECHA VTO VALORES]]+7</f>
        <v>7</v>
      </c>
      <c r="X543" s="830"/>
      <c r="Y543" s="859"/>
      <c r="Z543" s="860">
        <f>Tabla1[[#This Row],[KGS]]/50</f>
        <v>0</v>
      </c>
      <c r="AA54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43" s="844">
        <f>-Tabla1[[#This Row],[COSTO FLETE $ POR BOLSA 5O KG (SIN IVA)]]*1.21-Tabla1[[#This Row],[PRECIO $/ KG A PLAZO EN CLIENTE ( SIN IVA)]]*0.003*1.21*50</f>
        <v>0</v>
      </c>
      <c r="AC543" s="845" t="e">
        <f>SUM(Tabla1[[#This Row],[PRECIO $ BOLSA 50 KG (IVA INC) ]]+Tabla1[[#This Row],[COSTO FLETE $ BOLSA 50 KG (IVA INC)]])</f>
        <v>#VALUE!</v>
      </c>
      <c r="AD543" s="844" t="e">
        <f>-Tabla1[[#This Row],[PRECIO $ BOLSA 50 KG (IVA INC) ]]*(Tabla1[[#This Row],[TASA FINANCIACION MENSUAL]]/365)*Tabla1[[#This Row],[PLAZO ENTREGA VALORES]]</f>
        <v>#VALUE!</v>
      </c>
      <c r="AE543" s="845" t="e">
        <f>SUM(Tabla1[[#This Row],[PRECIO $ BOLSA50 KG  FOB TUCUMAN A PLAZO (IVA INC)]]+Tabla1[[#This Row],[GASTOS FINANCIEROS $ BOLSA 50 KG (IVA INC)]])</f>
        <v>#VALUE!</v>
      </c>
      <c r="AF543" s="828"/>
      <c r="AG543" s="828"/>
      <c r="AH543" s="828"/>
      <c r="AI543" s="828"/>
      <c r="AJ54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43" s="846" t="e">
        <f>SUM(Tabla1[[#This Row],[PRECIO $ BOLSA 50KG  FOB CDO TUC (IVA INC)]]-Tabla1[[#This Row],[PRECIO REF $ BOLSA 50 KG CACTU (IVA INC)]])</f>
        <v>#VALUE!</v>
      </c>
      <c r="AL543" s="847" t="str">
        <f>IFERROR(Tabla1[[#This Row],[PRECIO $ BOLSA 50KG  FOB CDO TUC (IVA INC)]]/Tabla1[[#This Row],[PRECIO REF $ BOLSA 50 KG CACTU (IVA INC)]]-1,"")</f>
        <v/>
      </c>
      <c r="AM543" s="846" t="e">
        <f>+Tabla1[[#This Row],[DIF $ PRECIO NETO INDUSTRIA vs Neto TUCUMAN (IVA INC)]]*Tabla1[[#This Row],[Q Bolsas Equivalentes 50kg]]</f>
        <v>#VALUE!</v>
      </c>
      <c r="AN543" s="846" t="e">
        <f>Tabla1[[#This Row],[PRECIO REF $ BOLSA 50 KG CACTU (IVA INC)]]*Tabla1[[#This Row],[Q Bolsas Equivalentes 50kg]]</f>
        <v>#VALUE!</v>
      </c>
      <c r="AO543" s="846" t="e">
        <f>+Tabla1[[#This Row],[PRECIO $ BOLSA 50KG  FOB CDO TUC (IVA INC)]]*Tabla1[[#This Row],[Q Bolsas Equivalentes 50kg]]</f>
        <v>#VALUE!</v>
      </c>
      <c r="AP543" s="847"/>
      <c r="AQ543" s="846">
        <v>0</v>
      </c>
      <c r="AR543" s="828"/>
      <c r="AS543" s="849"/>
      <c r="AT543" s="923">
        <f>+Tabla1[[#This Row],[VENTA TOTAL $ (IVA INC) ]]-(SUM(Tabla1[[#This Row],[PENDIENTE DE ENTREGA]:[VALORES COBRADOS]]))</f>
        <v>0</v>
      </c>
      <c r="AU543" s="850" t="e">
        <f>VLOOKUP(Tabla1[[#This Row],[FECHA OC]],'TIPO DE CAMBIO'!A:B,2,TRUE)</f>
        <v>#N/A</v>
      </c>
      <c r="AV543" s="850" t="e">
        <f>+Tabla1[[#This Row],[SUBTOTAL]]/Tabla1[[#This Row],[TIPO DE CAMBIO]]</f>
        <v>#N/A</v>
      </c>
      <c r="AW543" s="851"/>
      <c r="AX543" s="850" t="str">
        <f>IFERROR(Tabla1[[#This Row],[VENTA TOTAL USD A PLAZO EN CLIENTE  (SIN IVA)]]*(1+Tabla1[[#This Row],[% IVA ]]),"")</f>
        <v/>
      </c>
      <c r="AY543" s="850" t="e">
        <f>+Tabla1[[#This Row],[VENTA TOTAL USD A PLAZO EN CLIENTE  (SIN IVA)]]/Tabla1[[#This Row],[KGS]]*1000</f>
        <v>#N/A</v>
      </c>
      <c r="AZ543" s="850" t="e">
        <f>-Tabla1[[#This Row],[COSTO FLETE $ POR BOLSA 5O KG (SIN IVA)]]*20/Tabla1[[#This Row],[TIPO DE CAMBIO]]</f>
        <v>#N/A</v>
      </c>
      <c r="BA543" s="850" t="e">
        <f>+Tabla1[[#This Row],[GASTOS FINANCIEROS $ BOLSA 50 KG (IVA INC)]]*20/Tabla1[[#This Row],[TIPO DE CAMBIO]]</f>
        <v>#VALUE!</v>
      </c>
      <c r="BB543" s="850" t="e">
        <f>+Tabla1[[#This Row],[PRECIO POR TN USD EN CLIENTE A PLAZO (SIN IVA)]]+Tabla1[[#This Row],[COSTO USD FLETE /TN (SIN IVA)]]+Tabla1[[#This Row],[COSTO FINANCIERO USD POR BOLSA 50KG (IVA INC)]]</f>
        <v>#N/A</v>
      </c>
      <c r="BC543" s="848"/>
      <c r="BD543" s="944"/>
    </row>
    <row r="544" spans="1:56" ht="15.75" customHeight="1">
      <c r="A544" s="912">
        <v>46266</v>
      </c>
      <c r="B544" s="853"/>
      <c r="C544" s="792"/>
      <c r="D544" s="829">
        <f>+Tabla1[[#This Row],[FECHA Entrega]]</f>
        <v>0</v>
      </c>
      <c r="E544" s="830"/>
      <c r="F544" s="831"/>
      <c r="G544" s="832"/>
      <c r="H544" s="852"/>
      <c r="I544" s="834"/>
      <c r="J544" s="835"/>
      <c r="K544" s="836">
        <f t="shared" si="145"/>
        <v>0</v>
      </c>
      <c r="L54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44" s="837">
        <f t="shared" si="144"/>
        <v>0</v>
      </c>
      <c r="N544" s="838">
        <f>+Tabla1[[#This Row],[VENTA TOTAL $ (IVA INC) ]]</f>
        <v>0</v>
      </c>
      <c r="O544" s="838">
        <v>0</v>
      </c>
      <c r="P544" s="838">
        <v>0</v>
      </c>
      <c r="Q544" s="839">
        <f>+Tabla1[[#This Row],[VENTA TOTAL $ (IVA INC) ]]-Tabla1[[#This Row],[PENDIENTE DE COBRO]]</f>
        <v>0</v>
      </c>
      <c r="R544" s="840">
        <f>+Tabla1[[#This Row],[FECHA FC]]+Tabla1[[#This Row],[PLAZO ENTREGA VALORES]]</f>
        <v>0</v>
      </c>
      <c r="S544" s="840">
        <f>+Tabla1[[#This Row],[FECHA FC]]+Tabla1[[#This Row],[PLAZO PAGO (DIAS)]]</f>
        <v>0</v>
      </c>
      <c r="T544" s="834">
        <f t="shared" ca="1" si="146"/>
        <v>-46181</v>
      </c>
      <c r="U544" s="831"/>
      <c r="V544" s="831"/>
      <c r="W544" s="841">
        <f>+Tabla1[[#This Row],[FECHA VTO VALORES]]+7</f>
        <v>7</v>
      </c>
      <c r="X544" s="830"/>
      <c r="Y544" s="859"/>
      <c r="Z544" s="860">
        <f>Tabla1[[#This Row],[KGS]]/50</f>
        <v>0</v>
      </c>
      <c r="AA54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44" s="844">
        <f>-Tabla1[[#This Row],[COSTO FLETE $ POR BOLSA 5O KG (SIN IVA)]]*1.21-Tabla1[[#This Row],[PRECIO $/ KG A PLAZO EN CLIENTE ( SIN IVA)]]*0.003*1.21*50</f>
        <v>0</v>
      </c>
      <c r="AC544" s="845" t="e">
        <f>SUM(Tabla1[[#This Row],[PRECIO $ BOLSA 50 KG (IVA INC) ]]+Tabla1[[#This Row],[COSTO FLETE $ BOLSA 50 KG (IVA INC)]])</f>
        <v>#VALUE!</v>
      </c>
      <c r="AD544" s="844" t="e">
        <f>-Tabla1[[#This Row],[PRECIO $ BOLSA 50 KG (IVA INC) ]]*(Tabla1[[#This Row],[TASA FINANCIACION MENSUAL]]/365)*Tabla1[[#This Row],[PLAZO ENTREGA VALORES]]</f>
        <v>#VALUE!</v>
      </c>
      <c r="AE544" s="845" t="e">
        <f>SUM(Tabla1[[#This Row],[PRECIO $ BOLSA50 KG  FOB TUCUMAN A PLAZO (IVA INC)]]+Tabla1[[#This Row],[GASTOS FINANCIEROS $ BOLSA 50 KG (IVA INC)]])</f>
        <v>#VALUE!</v>
      </c>
      <c r="AF544" s="828"/>
      <c r="AG544" s="828"/>
      <c r="AH544" s="828"/>
      <c r="AI544" s="828"/>
      <c r="AJ54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44" s="846" t="e">
        <f>SUM(Tabla1[[#This Row],[PRECIO $ BOLSA 50KG  FOB CDO TUC (IVA INC)]]-Tabla1[[#This Row],[PRECIO REF $ BOLSA 50 KG CACTU (IVA INC)]])</f>
        <v>#VALUE!</v>
      </c>
      <c r="AL544" s="847" t="str">
        <f>IFERROR(Tabla1[[#This Row],[PRECIO $ BOLSA 50KG  FOB CDO TUC (IVA INC)]]/Tabla1[[#This Row],[PRECIO REF $ BOLSA 50 KG CACTU (IVA INC)]]-1,"")</f>
        <v/>
      </c>
      <c r="AM544" s="846" t="e">
        <f>+Tabla1[[#This Row],[DIF $ PRECIO NETO INDUSTRIA vs Neto TUCUMAN (IVA INC)]]*Tabla1[[#This Row],[Q Bolsas Equivalentes 50kg]]</f>
        <v>#VALUE!</v>
      </c>
      <c r="AN544" s="846" t="e">
        <f>Tabla1[[#This Row],[PRECIO REF $ BOLSA 50 KG CACTU (IVA INC)]]*Tabla1[[#This Row],[Q Bolsas Equivalentes 50kg]]</f>
        <v>#VALUE!</v>
      </c>
      <c r="AO544" s="846" t="e">
        <f>+Tabla1[[#This Row],[PRECIO $ BOLSA 50KG  FOB CDO TUC (IVA INC)]]*Tabla1[[#This Row],[Q Bolsas Equivalentes 50kg]]</f>
        <v>#VALUE!</v>
      </c>
      <c r="AP544" s="847"/>
      <c r="AQ544" s="846">
        <v>0</v>
      </c>
      <c r="AR544" s="828"/>
      <c r="AS544" s="849"/>
      <c r="AT544" s="923">
        <f>+Tabla1[[#This Row],[VENTA TOTAL $ (IVA INC) ]]-(SUM(Tabla1[[#This Row],[PENDIENTE DE ENTREGA]:[VALORES COBRADOS]]))</f>
        <v>0</v>
      </c>
      <c r="AU544" s="850" t="e">
        <f>VLOOKUP(Tabla1[[#This Row],[FECHA OC]],'TIPO DE CAMBIO'!A:B,2,TRUE)</f>
        <v>#N/A</v>
      </c>
      <c r="AV544" s="850" t="e">
        <f>+Tabla1[[#This Row],[SUBTOTAL]]/Tabla1[[#This Row],[TIPO DE CAMBIO]]</f>
        <v>#N/A</v>
      </c>
      <c r="AW544" s="851"/>
      <c r="AX544" s="850" t="str">
        <f>IFERROR(Tabla1[[#This Row],[VENTA TOTAL USD A PLAZO EN CLIENTE  (SIN IVA)]]*(1+Tabla1[[#This Row],[% IVA ]]),"")</f>
        <v/>
      </c>
      <c r="AY544" s="850" t="e">
        <f>+Tabla1[[#This Row],[VENTA TOTAL USD A PLAZO EN CLIENTE  (SIN IVA)]]/Tabla1[[#This Row],[KGS]]*1000</f>
        <v>#N/A</v>
      </c>
      <c r="AZ544" s="850" t="e">
        <f>-Tabla1[[#This Row],[COSTO FLETE $ POR BOLSA 5O KG (SIN IVA)]]*20/Tabla1[[#This Row],[TIPO DE CAMBIO]]</f>
        <v>#N/A</v>
      </c>
      <c r="BA544" s="850" t="e">
        <f>+Tabla1[[#This Row],[GASTOS FINANCIEROS $ BOLSA 50 KG (IVA INC)]]*20/Tabla1[[#This Row],[TIPO DE CAMBIO]]</f>
        <v>#VALUE!</v>
      </c>
      <c r="BB544" s="850" t="e">
        <f>+Tabla1[[#This Row],[PRECIO POR TN USD EN CLIENTE A PLAZO (SIN IVA)]]+Tabla1[[#This Row],[COSTO USD FLETE /TN (SIN IVA)]]+Tabla1[[#This Row],[COSTO FINANCIERO USD POR BOLSA 50KG (IVA INC)]]</f>
        <v>#N/A</v>
      </c>
      <c r="BC544" s="848"/>
      <c r="BD544" s="944"/>
    </row>
    <row r="545" spans="1:56" ht="15.75" customHeight="1">
      <c r="A545" s="912">
        <v>46266</v>
      </c>
      <c r="B545" s="853"/>
      <c r="C545" s="862"/>
      <c r="D545" s="829">
        <f>+Tabla1[[#This Row],[FECHA Entrega]]</f>
        <v>0</v>
      </c>
      <c r="E545" s="830"/>
      <c r="F545" s="831"/>
      <c r="G545" s="832"/>
      <c r="H545" s="852"/>
      <c r="I545" s="834"/>
      <c r="J545" s="835"/>
      <c r="K545" s="836">
        <f t="shared" si="145"/>
        <v>0</v>
      </c>
      <c r="L54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45" s="837">
        <f t="shared" ref="M545:M608" si="147">SUM(K545:L545)</f>
        <v>0</v>
      </c>
      <c r="N545" s="838">
        <f>+Tabla1[[#This Row],[VENTA TOTAL $ (IVA INC) ]]</f>
        <v>0</v>
      </c>
      <c r="O545" s="838">
        <v>0</v>
      </c>
      <c r="P545" s="855">
        <v>0</v>
      </c>
      <c r="Q545" s="839">
        <f>+Tabla1[[#This Row],[VENTA TOTAL $ (IVA INC) ]]-Tabla1[[#This Row],[PENDIENTE DE COBRO]]</f>
        <v>0</v>
      </c>
      <c r="R545" s="840">
        <f>+Tabla1[[#This Row],[FECHA FC]]+Tabla1[[#This Row],[PLAZO ENTREGA VALORES]]</f>
        <v>0</v>
      </c>
      <c r="S545" s="840">
        <f>+Tabla1[[#This Row],[FECHA FC]]+Tabla1[[#This Row],[PLAZO PAGO (DIAS)]]</f>
        <v>0</v>
      </c>
      <c r="T545" s="834">
        <f t="shared" ca="1" si="146"/>
        <v>-46181</v>
      </c>
      <c r="U545" s="831"/>
      <c r="V545" s="831"/>
      <c r="W545" s="841">
        <f>+Tabla1[[#This Row],[FECHA VTO VALORES]]+7</f>
        <v>7</v>
      </c>
      <c r="X545" s="830"/>
      <c r="Y545" s="859"/>
      <c r="Z545" s="860">
        <f>Tabla1[[#This Row],[KGS]]/50</f>
        <v>0</v>
      </c>
      <c r="AA54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45" s="844">
        <f>-Tabla1[[#This Row],[COSTO FLETE $ POR BOLSA 5O KG (SIN IVA)]]*1.21-Tabla1[[#This Row],[PRECIO $/ KG A PLAZO EN CLIENTE ( SIN IVA)]]*0.003*1.21*50</f>
        <v>0</v>
      </c>
      <c r="AC545" s="845" t="e">
        <f>+Tabla1[[#This Row],[PRECIO $ BOLSA 50 KG (IVA INC) ]]+Tabla1[[#This Row],[COSTO FLETE $ BOLSA 50 KG (IVA INC)]]</f>
        <v>#VALUE!</v>
      </c>
      <c r="AD545" s="844" t="e">
        <f>-Tabla1[[#This Row],[PRECIO $ BOLSA 50 KG (IVA INC) ]]*(Tabla1[[#This Row],[TASA FINANCIACION MENSUAL]]/365)*Tabla1[[#This Row],[PLAZO ENTREGA VALORES]]</f>
        <v>#VALUE!</v>
      </c>
      <c r="AE545" s="845" t="e">
        <f>+Tabla1[[#This Row],[PRECIO $ BOLSA50 KG  FOB TUCUMAN A PLAZO (IVA INC)]]+Tabla1[[#This Row],[GASTOS FINANCIEROS $ BOLSA 50 KG (IVA INC)]]</f>
        <v>#VALUE!</v>
      </c>
      <c r="AF545" s="828"/>
      <c r="AG545" s="828"/>
      <c r="AH545" s="828"/>
      <c r="AI545" s="828"/>
      <c r="AJ54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45" s="846" t="e">
        <f>SUM(Tabla1[[#This Row],[PRECIO $ BOLSA 50KG  FOB CDO TUC (IVA INC)]]-Tabla1[[#This Row],[PRECIO REF $ BOLSA 50 KG CACTU (IVA INC)]])</f>
        <v>#VALUE!</v>
      </c>
      <c r="AL545" s="847" t="str">
        <f>IFERROR(Tabla1[[#This Row],[PRECIO $ BOLSA 50KG  FOB CDO TUC (IVA INC)]]/Tabla1[[#This Row],[PRECIO REF $ BOLSA 50 KG CACTU (IVA INC)]]-1,"")</f>
        <v/>
      </c>
      <c r="AM545" s="846" t="e">
        <f>+Tabla1[[#This Row],[DIF $ PRECIO NETO INDUSTRIA vs Neto TUCUMAN (IVA INC)]]*Tabla1[[#This Row],[Q Bolsas Equivalentes 50kg]]</f>
        <v>#VALUE!</v>
      </c>
      <c r="AN545" s="846" t="e">
        <f>Tabla1[[#This Row],[PRECIO REF $ BOLSA 50 KG CACTU (IVA INC)]]*Tabla1[[#This Row],[Q Bolsas Equivalentes 50kg]]</f>
        <v>#VALUE!</v>
      </c>
      <c r="AO545" s="846" t="e">
        <f>+Tabla1[[#This Row],[PRECIO $ BOLSA 50KG  FOB CDO TUC (IVA INC)]]*Tabla1[[#This Row],[Q Bolsas Equivalentes 50kg]]</f>
        <v>#VALUE!</v>
      </c>
      <c r="AP545" s="847"/>
      <c r="AQ545" s="846">
        <v>0</v>
      </c>
      <c r="AR545" s="828"/>
      <c r="AS545" s="849"/>
      <c r="AT545" s="923">
        <f>+Tabla1[[#This Row],[VENTA TOTAL $ (IVA INC) ]]-(SUM(Tabla1[[#This Row],[PENDIENTE DE ENTREGA]:[VALORES COBRADOS]]))</f>
        <v>0</v>
      </c>
      <c r="AU545" s="850" t="e">
        <f>VLOOKUP(Tabla1[[#This Row],[FECHA OC]],'TIPO DE CAMBIO'!A:B,2,TRUE)</f>
        <v>#N/A</v>
      </c>
      <c r="AV545" s="850" t="e">
        <f>+Tabla1[[#This Row],[SUBTOTAL]]/Tabla1[[#This Row],[TIPO DE CAMBIO]]</f>
        <v>#N/A</v>
      </c>
      <c r="AW545" s="851"/>
      <c r="AX545" s="850" t="str">
        <f>IFERROR(Tabla1[[#This Row],[VENTA TOTAL USD A PLAZO EN CLIENTE  (SIN IVA)]]*(1+Tabla1[[#This Row],[% IVA ]]),"")</f>
        <v/>
      </c>
      <c r="AY545" s="850" t="e">
        <f>+Tabla1[[#This Row],[VENTA TOTAL USD A PLAZO EN CLIENTE  (SIN IVA)]]/Tabla1[[#This Row],[KGS]]*1000</f>
        <v>#N/A</v>
      </c>
      <c r="AZ545" s="850" t="e">
        <f>-Tabla1[[#This Row],[COSTO FLETE $ POR BOLSA 5O KG (SIN IVA)]]*20/Tabla1[[#This Row],[TIPO DE CAMBIO]]</f>
        <v>#N/A</v>
      </c>
      <c r="BA545" s="850" t="e">
        <f>+Tabla1[[#This Row],[GASTOS FINANCIEROS $ BOLSA 50 KG (IVA INC)]]*20/Tabla1[[#This Row],[TIPO DE CAMBIO]]</f>
        <v>#VALUE!</v>
      </c>
      <c r="BB545" s="850" t="e">
        <f>+Tabla1[[#This Row],[PRECIO POR TN USD EN CLIENTE A PLAZO (SIN IVA)]]+Tabla1[[#This Row],[COSTO USD FLETE /TN (SIN IVA)]]+Tabla1[[#This Row],[COSTO FINANCIERO USD POR BOLSA 50KG (IVA INC)]]</f>
        <v>#N/A</v>
      </c>
      <c r="BC545" s="828"/>
      <c r="BD545" s="944"/>
    </row>
    <row r="546" spans="1:56" ht="15.75" customHeight="1">
      <c r="A546" s="912">
        <v>46266</v>
      </c>
      <c r="B546" s="853"/>
      <c r="C546" s="792"/>
      <c r="D546" s="829">
        <f>+Tabla1[[#This Row],[FECHA Entrega]]</f>
        <v>0</v>
      </c>
      <c r="E546" s="830"/>
      <c r="F546" s="831"/>
      <c r="G546" s="832"/>
      <c r="H546" s="852"/>
      <c r="I546" s="834"/>
      <c r="J546" s="835"/>
      <c r="K546" s="836">
        <f t="shared" si="145"/>
        <v>0</v>
      </c>
      <c r="L54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46" s="837">
        <f t="shared" si="147"/>
        <v>0</v>
      </c>
      <c r="N546" s="838">
        <f>+Tabla1[[#This Row],[VENTA TOTAL $ (IVA INC) ]]</f>
        <v>0</v>
      </c>
      <c r="O546" s="838">
        <v>0</v>
      </c>
      <c r="P546" s="838">
        <v>0</v>
      </c>
      <c r="Q546" s="839">
        <f>+Tabla1[[#This Row],[VENTA TOTAL $ (IVA INC) ]]-Tabla1[[#This Row],[PENDIENTE DE COBRO]]</f>
        <v>0</v>
      </c>
      <c r="R546" s="840">
        <f>+Tabla1[[#This Row],[FECHA FC]]+Tabla1[[#This Row],[PLAZO ENTREGA VALORES]]</f>
        <v>0</v>
      </c>
      <c r="S546" s="840">
        <f>+Tabla1[[#This Row],[FECHA FC]]+Tabla1[[#This Row],[PLAZO PAGO (DIAS)]]</f>
        <v>0</v>
      </c>
      <c r="T546" s="834">
        <f t="shared" ca="1" si="146"/>
        <v>-46181</v>
      </c>
      <c r="U546" s="831"/>
      <c r="V546" s="831"/>
      <c r="W546" s="841">
        <f>+Tabla1[[#This Row],[FECHA VTO VALORES]]+7</f>
        <v>7</v>
      </c>
      <c r="X546" s="830"/>
      <c r="Y546" s="859"/>
      <c r="Z546" s="860">
        <f>Tabla1[[#This Row],[KGS]]/50</f>
        <v>0</v>
      </c>
      <c r="AA54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46" s="844">
        <f>-Tabla1[[#This Row],[COSTO FLETE $ POR BOLSA 5O KG (SIN IVA)]]*1.21-Tabla1[[#This Row],[PRECIO $/ KG A PLAZO EN CLIENTE ( SIN IVA)]]*0.003*1.21*50</f>
        <v>0</v>
      </c>
      <c r="AC546" s="845" t="e">
        <f>SUM(Tabla1[[#This Row],[PRECIO $ BOLSA 50 KG (IVA INC) ]]+Tabla1[[#This Row],[COSTO FLETE $ BOLSA 50 KG (IVA INC)]])</f>
        <v>#VALUE!</v>
      </c>
      <c r="AD546" s="844" t="e">
        <f>-Tabla1[[#This Row],[PRECIO $ BOLSA 50 KG (IVA INC) ]]*(Tabla1[[#This Row],[TASA FINANCIACION MENSUAL]]/365)*Tabla1[[#This Row],[PLAZO ENTREGA VALORES]]</f>
        <v>#VALUE!</v>
      </c>
      <c r="AE546" s="845" t="e">
        <f>SUM(Tabla1[[#This Row],[PRECIO $ BOLSA50 KG  FOB TUCUMAN A PLAZO (IVA INC)]]+Tabla1[[#This Row],[GASTOS FINANCIEROS $ BOLSA 50 KG (IVA INC)]])</f>
        <v>#VALUE!</v>
      </c>
      <c r="AF546" s="828"/>
      <c r="AG546" s="828"/>
      <c r="AH546" s="828"/>
      <c r="AI546" s="828"/>
      <c r="AJ54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46" s="846" t="e">
        <f>SUM(Tabla1[[#This Row],[PRECIO $ BOLSA 50KG  FOB CDO TUC (IVA INC)]]-Tabla1[[#This Row],[PRECIO REF $ BOLSA 50 KG CACTU (IVA INC)]])</f>
        <v>#VALUE!</v>
      </c>
      <c r="AL546" s="847" t="str">
        <f>IFERROR(Tabla1[[#This Row],[PRECIO $ BOLSA 50KG  FOB CDO TUC (IVA INC)]]/Tabla1[[#This Row],[PRECIO REF $ BOLSA 50 KG CACTU (IVA INC)]]-1,"")</f>
        <v/>
      </c>
      <c r="AM546" s="846" t="e">
        <f>+Tabla1[[#This Row],[DIF $ PRECIO NETO INDUSTRIA vs Neto TUCUMAN (IVA INC)]]*Tabla1[[#This Row],[Q Bolsas Equivalentes 50kg]]</f>
        <v>#VALUE!</v>
      </c>
      <c r="AN546" s="846" t="e">
        <f>Tabla1[[#This Row],[PRECIO REF $ BOLSA 50 KG CACTU (IVA INC)]]*Tabla1[[#This Row],[Q Bolsas Equivalentes 50kg]]</f>
        <v>#VALUE!</v>
      </c>
      <c r="AO546" s="846" t="e">
        <f>+Tabla1[[#This Row],[PRECIO $ BOLSA 50KG  FOB CDO TUC (IVA INC)]]*Tabla1[[#This Row],[Q Bolsas Equivalentes 50kg]]</f>
        <v>#VALUE!</v>
      </c>
      <c r="AP546" s="847"/>
      <c r="AQ546" s="846">
        <v>0</v>
      </c>
      <c r="AR546" s="828"/>
      <c r="AS546" s="849"/>
      <c r="AT546" s="923">
        <f>+Tabla1[[#This Row],[VENTA TOTAL $ (IVA INC) ]]-(SUM(Tabla1[[#This Row],[PENDIENTE DE ENTREGA]:[VALORES COBRADOS]]))</f>
        <v>0</v>
      </c>
      <c r="AU546" s="850" t="e">
        <f>VLOOKUP(Tabla1[[#This Row],[FECHA OC]],'TIPO DE CAMBIO'!A:B,2,TRUE)</f>
        <v>#N/A</v>
      </c>
      <c r="AV546" s="850" t="e">
        <f>+Tabla1[[#This Row],[SUBTOTAL]]/Tabla1[[#This Row],[TIPO DE CAMBIO]]</f>
        <v>#N/A</v>
      </c>
      <c r="AW546" s="851"/>
      <c r="AX546" s="850" t="str">
        <f>IFERROR(Tabla1[[#This Row],[VENTA TOTAL USD A PLAZO EN CLIENTE  (SIN IVA)]]*(1+Tabla1[[#This Row],[% IVA ]]),"")</f>
        <v/>
      </c>
      <c r="AY546" s="850" t="e">
        <f>+Tabla1[[#This Row],[VENTA TOTAL USD A PLAZO EN CLIENTE  (SIN IVA)]]/Tabla1[[#This Row],[KGS]]*1000</f>
        <v>#N/A</v>
      </c>
      <c r="AZ546" s="850" t="e">
        <f>-Tabla1[[#This Row],[COSTO FLETE $ POR BOLSA 5O KG (SIN IVA)]]*20/Tabla1[[#This Row],[TIPO DE CAMBIO]]</f>
        <v>#N/A</v>
      </c>
      <c r="BA546" s="850" t="e">
        <f>+Tabla1[[#This Row],[GASTOS FINANCIEROS $ BOLSA 50 KG (IVA INC)]]*20/Tabla1[[#This Row],[TIPO DE CAMBIO]]</f>
        <v>#VALUE!</v>
      </c>
      <c r="BB546" s="850" t="e">
        <f>+Tabla1[[#This Row],[PRECIO POR TN USD EN CLIENTE A PLAZO (SIN IVA)]]+Tabla1[[#This Row],[COSTO USD FLETE /TN (SIN IVA)]]+Tabla1[[#This Row],[COSTO FINANCIERO USD POR BOLSA 50KG (IVA INC)]]</f>
        <v>#N/A</v>
      </c>
      <c r="BC546" s="828"/>
      <c r="BD546" s="944"/>
    </row>
    <row r="547" spans="1:56" ht="15.75" customHeight="1">
      <c r="A547" s="912">
        <v>46266</v>
      </c>
      <c r="B547" s="853"/>
      <c r="C547" s="792"/>
      <c r="D547" s="829">
        <f>+Tabla1[[#This Row],[FECHA Entrega]]</f>
        <v>0</v>
      </c>
      <c r="E547" s="830"/>
      <c r="F547" s="831"/>
      <c r="G547" s="832"/>
      <c r="H547" s="852"/>
      <c r="I547" s="834"/>
      <c r="J547" s="835"/>
      <c r="K547" s="836">
        <f t="shared" si="145"/>
        <v>0</v>
      </c>
      <c r="L54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47" s="837">
        <f t="shared" si="147"/>
        <v>0</v>
      </c>
      <c r="N547" s="838">
        <f>+Tabla1[[#This Row],[VENTA TOTAL $ (IVA INC) ]]</f>
        <v>0</v>
      </c>
      <c r="O547" s="838">
        <v>0</v>
      </c>
      <c r="P547" s="838">
        <v>0</v>
      </c>
      <c r="Q547" s="839">
        <f>+Tabla1[[#This Row],[VENTA TOTAL $ (IVA INC) ]]-Tabla1[[#This Row],[PENDIENTE DE COBRO]]</f>
        <v>0</v>
      </c>
      <c r="R547" s="840">
        <f>+Tabla1[[#This Row],[FECHA FC]]+Tabla1[[#This Row],[PLAZO ENTREGA VALORES]]</f>
        <v>0</v>
      </c>
      <c r="S547" s="840">
        <f>+Tabla1[[#This Row],[FECHA FC]]+Tabla1[[#This Row],[PLAZO PAGO (DIAS)]]</f>
        <v>0</v>
      </c>
      <c r="T547" s="834">
        <f t="shared" ca="1" si="146"/>
        <v>-46181</v>
      </c>
      <c r="U547" s="831"/>
      <c r="V547" s="831"/>
      <c r="W547" s="841">
        <f>+Tabla1[[#This Row],[FECHA VTO VALORES]]+7</f>
        <v>7</v>
      </c>
      <c r="X547" s="830"/>
      <c r="Y547" s="859"/>
      <c r="Z547" s="860">
        <f>Tabla1[[#This Row],[KGS]]/50</f>
        <v>0</v>
      </c>
      <c r="AA54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47" s="844">
        <f>-Tabla1[[#This Row],[COSTO FLETE $ POR BOLSA 5O KG (SIN IVA)]]*1.21-Tabla1[[#This Row],[PRECIO $/ KG A PLAZO EN CLIENTE ( SIN IVA)]]*0.003*1.21*50</f>
        <v>0</v>
      </c>
      <c r="AC547" s="845" t="e">
        <f>SUM(Tabla1[[#This Row],[PRECIO $ BOLSA 50 KG (IVA INC) ]]+Tabla1[[#This Row],[COSTO FLETE $ BOLSA 50 KG (IVA INC)]])</f>
        <v>#VALUE!</v>
      </c>
      <c r="AD547" s="844" t="e">
        <f>-Tabla1[[#This Row],[PRECIO $ BOLSA 50 KG (IVA INC) ]]*(Tabla1[[#This Row],[TASA FINANCIACION MENSUAL]]/365)*Tabla1[[#This Row],[PLAZO ENTREGA VALORES]]</f>
        <v>#VALUE!</v>
      </c>
      <c r="AE547" s="845" t="e">
        <f>SUM(Tabla1[[#This Row],[PRECIO $ BOLSA50 KG  FOB TUCUMAN A PLAZO (IVA INC)]]+Tabla1[[#This Row],[GASTOS FINANCIEROS $ BOLSA 50 KG (IVA INC)]])</f>
        <v>#VALUE!</v>
      </c>
      <c r="AF547" s="828"/>
      <c r="AG547" s="828"/>
      <c r="AH547" s="828"/>
      <c r="AI547" s="828"/>
      <c r="AJ54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47" s="846" t="e">
        <f>SUM(Tabla1[[#This Row],[PRECIO $ BOLSA 50KG  FOB CDO TUC (IVA INC)]]-Tabla1[[#This Row],[PRECIO REF $ BOLSA 50 KG CACTU (IVA INC)]])</f>
        <v>#VALUE!</v>
      </c>
      <c r="AL547" s="847" t="str">
        <f>IFERROR(Tabla1[[#This Row],[PRECIO $ BOLSA 50KG  FOB CDO TUC (IVA INC)]]/Tabla1[[#This Row],[PRECIO REF $ BOLSA 50 KG CACTU (IVA INC)]]-1,"")</f>
        <v/>
      </c>
      <c r="AM547" s="846" t="e">
        <f>+Tabla1[[#This Row],[DIF $ PRECIO NETO INDUSTRIA vs Neto TUCUMAN (IVA INC)]]*Tabla1[[#This Row],[Q Bolsas Equivalentes 50kg]]</f>
        <v>#VALUE!</v>
      </c>
      <c r="AN547" s="846" t="e">
        <f>Tabla1[[#This Row],[PRECIO REF $ BOLSA 50 KG CACTU (IVA INC)]]*Tabla1[[#This Row],[Q Bolsas Equivalentes 50kg]]</f>
        <v>#VALUE!</v>
      </c>
      <c r="AO547" s="846" t="e">
        <f>+Tabla1[[#This Row],[PRECIO $ BOLSA 50KG  FOB CDO TUC (IVA INC)]]*Tabla1[[#This Row],[Q Bolsas Equivalentes 50kg]]</f>
        <v>#VALUE!</v>
      </c>
      <c r="AP547" s="847"/>
      <c r="AQ547" s="846">
        <v>0</v>
      </c>
      <c r="AR547" s="828"/>
      <c r="AS547" s="849"/>
      <c r="AT547" s="923">
        <f>+Tabla1[[#This Row],[VENTA TOTAL $ (IVA INC) ]]-(SUM(Tabla1[[#This Row],[PENDIENTE DE ENTREGA]:[VALORES COBRADOS]]))</f>
        <v>0</v>
      </c>
      <c r="AU547" s="850" t="e">
        <f>VLOOKUP(Tabla1[[#This Row],[FECHA OC]],'TIPO DE CAMBIO'!A:B,2,TRUE)</f>
        <v>#N/A</v>
      </c>
      <c r="AV547" s="850" t="e">
        <f>+Tabla1[[#This Row],[SUBTOTAL]]/Tabla1[[#This Row],[TIPO DE CAMBIO]]</f>
        <v>#N/A</v>
      </c>
      <c r="AW547" s="851"/>
      <c r="AX547" s="850" t="str">
        <f>IFERROR(Tabla1[[#This Row],[VENTA TOTAL USD A PLAZO EN CLIENTE  (SIN IVA)]]*(1+Tabla1[[#This Row],[% IVA ]]),"")</f>
        <v/>
      </c>
      <c r="AY547" s="850" t="e">
        <f>+Tabla1[[#This Row],[VENTA TOTAL USD A PLAZO EN CLIENTE  (SIN IVA)]]/Tabla1[[#This Row],[KGS]]*1000</f>
        <v>#N/A</v>
      </c>
      <c r="AZ547" s="850" t="e">
        <f>-Tabla1[[#This Row],[COSTO FLETE $ POR BOLSA 5O KG (SIN IVA)]]*20/Tabla1[[#This Row],[TIPO DE CAMBIO]]</f>
        <v>#N/A</v>
      </c>
      <c r="BA547" s="850" t="e">
        <f>+Tabla1[[#This Row],[GASTOS FINANCIEROS $ BOLSA 50 KG (IVA INC)]]*20/Tabla1[[#This Row],[TIPO DE CAMBIO]]</f>
        <v>#VALUE!</v>
      </c>
      <c r="BB547" s="850" t="e">
        <f>+Tabla1[[#This Row],[PRECIO POR TN USD EN CLIENTE A PLAZO (SIN IVA)]]+Tabla1[[#This Row],[COSTO USD FLETE /TN (SIN IVA)]]+Tabla1[[#This Row],[COSTO FINANCIERO USD POR BOLSA 50KG (IVA INC)]]</f>
        <v>#N/A</v>
      </c>
      <c r="BC547" s="828"/>
      <c r="BD547" s="944"/>
    </row>
    <row r="548" spans="1:56" ht="15.75" customHeight="1">
      <c r="A548" s="912">
        <v>46266</v>
      </c>
      <c r="B548" s="853"/>
      <c r="C548" s="792"/>
      <c r="D548" s="829">
        <f>+Tabla1[[#This Row],[FECHA Entrega]]</f>
        <v>0</v>
      </c>
      <c r="E548" s="830"/>
      <c r="F548" s="831"/>
      <c r="G548" s="832"/>
      <c r="H548" s="852"/>
      <c r="I548" s="834"/>
      <c r="J548" s="835"/>
      <c r="K548" s="836">
        <f t="shared" si="145"/>
        <v>0</v>
      </c>
      <c r="L54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48" s="837">
        <f t="shared" si="147"/>
        <v>0</v>
      </c>
      <c r="N548" s="838">
        <f>+Tabla1[[#This Row],[VENTA TOTAL $ (IVA INC) ]]</f>
        <v>0</v>
      </c>
      <c r="O548" s="838">
        <v>0</v>
      </c>
      <c r="P548" s="838">
        <v>0</v>
      </c>
      <c r="Q548" s="839">
        <f>+Tabla1[[#This Row],[VENTA TOTAL $ (IVA INC) ]]-Tabla1[[#This Row],[PENDIENTE DE COBRO]]</f>
        <v>0</v>
      </c>
      <c r="R548" s="840">
        <f>+Tabla1[[#This Row],[FECHA FC]]+Tabla1[[#This Row],[PLAZO ENTREGA VALORES]]</f>
        <v>0</v>
      </c>
      <c r="S548" s="840">
        <f>+Tabla1[[#This Row],[FECHA FC]]+Tabla1[[#This Row],[PLAZO PAGO (DIAS)]]</f>
        <v>0</v>
      </c>
      <c r="T548" s="834">
        <f t="shared" ca="1" si="146"/>
        <v>-46181</v>
      </c>
      <c r="U548" s="831"/>
      <c r="V548" s="831"/>
      <c r="W548" s="841">
        <f>+Tabla1[[#This Row],[FECHA VTO VALORES]]+7</f>
        <v>7</v>
      </c>
      <c r="X548" s="830"/>
      <c r="Y548" s="859"/>
      <c r="Z548" s="860">
        <f>Tabla1[[#This Row],[KGS]]/50</f>
        <v>0</v>
      </c>
      <c r="AA54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48" s="844">
        <f>-Tabla1[[#This Row],[COSTO FLETE $ POR BOLSA 5O KG (SIN IVA)]]*1.21-Tabla1[[#This Row],[PRECIO $/ KG A PLAZO EN CLIENTE ( SIN IVA)]]*0.003*1.21*50</f>
        <v>0</v>
      </c>
      <c r="AC548" s="845" t="e">
        <f>SUM(Tabla1[[#This Row],[PRECIO $ BOLSA 50 KG (IVA INC) ]]+Tabla1[[#This Row],[COSTO FLETE $ BOLSA 50 KG (IVA INC)]])</f>
        <v>#VALUE!</v>
      </c>
      <c r="AD548" s="844" t="e">
        <f>-Tabla1[[#This Row],[PRECIO $ BOLSA 50 KG (IVA INC) ]]*(Tabla1[[#This Row],[TASA FINANCIACION MENSUAL]]/365)*Tabla1[[#This Row],[PLAZO ENTREGA VALORES]]</f>
        <v>#VALUE!</v>
      </c>
      <c r="AE548" s="845" t="e">
        <f>SUM(Tabla1[[#This Row],[PRECIO $ BOLSA50 KG  FOB TUCUMAN A PLAZO (IVA INC)]]+Tabla1[[#This Row],[GASTOS FINANCIEROS $ BOLSA 50 KG (IVA INC)]])</f>
        <v>#VALUE!</v>
      </c>
      <c r="AF548" s="828"/>
      <c r="AG548" s="828"/>
      <c r="AH548" s="828"/>
      <c r="AI548" s="828"/>
      <c r="AJ54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48" s="846" t="e">
        <f>SUM(Tabla1[[#This Row],[PRECIO $ BOLSA 50KG  FOB CDO TUC (IVA INC)]]-Tabla1[[#This Row],[PRECIO REF $ BOLSA 50 KG CACTU (IVA INC)]])</f>
        <v>#VALUE!</v>
      </c>
      <c r="AL548" s="847" t="str">
        <f>IFERROR(Tabla1[[#This Row],[PRECIO $ BOLSA 50KG  FOB CDO TUC (IVA INC)]]/Tabla1[[#This Row],[PRECIO REF $ BOLSA 50 KG CACTU (IVA INC)]]-1,"")</f>
        <v/>
      </c>
      <c r="AM548" s="846" t="e">
        <f>+Tabla1[[#This Row],[DIF $ PRECIO NETO INDUSTRIA vs Neto TUCUMAN (IVA INC)]]*Tabla1[[#This Row],[Q Bolsas Equivalentes 50kg]]</f>
        <v>#VALUE!</v>
      </c>
      <c r="AN548" s="846" t="e">
        <f>Tabla1[[#This Row],[PRECIO REF $ BOLSA 50 KG CACTU (IVA INC)]]*Tabla1[[#This Row],[Q Bolsas Equivalentes 50kg]]</f>
        <v>#VALUE!</v>
      </c>
      <c r="AO548" s="846" t="e">
        <f>+Tabla1[[#This Row],[PRECIO $ BOLSA 50KG  FOB CDO TUC (IVA INC)]]*Tabla1[[#This Row],[Q Bolsas Equivalentes 50kg]]</f>
        <v>#VALUE!</v>
      </c>
      <c r="AP548" s="847"/>
      <c r="AQ548" s="846">
        <v>0</v>
      </c>
      <c r="AR548" s="828"/>
      <c r="AS548" s="849"/>
      <c r="AT548" s="923">
        <f>+Tabla1[[#This Row],[VENTA TOTAL $ (IVA INC) ]]-(SUM(Tabla1[[#This Row],[PENDIENTE DE ENTREGA]:[VALORES COBRADOS]]))</f>
        <v>0</v>
      </c>
      <c r="AU548" s="850" t="e">
        <f>VLOOKUP(Tabla1[[#This Row],[FECHA OC]],'TIPO DE CAMBIO'!A:B,2,TRUE)</f>
        <v>#N/A</v>
      </c>
      <c r="AV548" s="850" t="e">
        <f>+Tabla1[[#This Row],[SUBTOTAL]]/Tabla1[[#This Row],[TIPO DE CAMBIO]]</f>
        <v>#N/A</v>
      </c>
      <c r="AW548" s="851"/>
      <c r="AX548" s="850" t="str">
        <f>IFERROR(Tabla1[[#This Row],[VENTA TOTAL USD A PLAZO EN CLIENTE  (SIN IVA)]]*(1+Tabla1[[#This Row],[% IVA ]]),"")</f>
        <v/>
      </c>
      <c r="AY548" s="850" t="e">
        <f>+Tabla1[[#This Row],[VENTA TOTAL USD A PLAZO EN CLIENTE  (SIN IVA)]]/Tabla1[[#This Row],[KGS]]*1000</f>
        <v>#N/A</v>
      </c>
      <c r="AZ548" s="850" t="e">
        <f>-Tabla1[[#This Row],[COSTO FLETE $ POR BOLSA 5O KG (SIN IVA)]]*20/Tabla1[[#This Row],[TIPO DE CAMBIO]]</f>
        <v>#N/A</v>
      </c>
      <c r="BA548" s="850" t="e">
        <f>+Tabla1[[#This Row],[GASTOS FINANCIEROS $ BOLSA 50 KG (IVA INC)]]*20/Tabla1[[#This Row],[TIPO DE CAMBIO]]</f>
        <v>#VALUE!</v>
      </c>
      <c r="BB548" s="850" t="e">
        <f>+Tabla1[[#This Row],[PRECIO POR TN USD EN CLIENTE A PLAZO (SIN IVA)]]+Tabla1[[#This Row],[COSTO USD FLETE /TN (SIN IVA)]]+Tabla1[[#This Row],[COSTO FINANCIERO USD POR BOLSA 50KG (IVA INC)]]</f>
        <v>#N/A</v>
      </c>
      <c r="BC548" s="828"/>
      <c r="BD548" s="944"/>
    </row>
    <row r="549" spans="1:56" ht="15.75" customHeight="1">
      <c r="A549" s="912">
        <v>46266</v>
      </c>
      <c r="B549" s="853"/>
      <c r="C549" s="792"/>
      <c r="D549" s="829">
        <f>+Tabla1[[#This Row],[FECHA Entrega]]</f>
        <v>0</v>
      </c>
      <c r="E549" s="830"/>
      <c r="F549" s="831"/>
      <c r="G549" s="832"/>
      <c r="H549" s="852"/>
      <c r="I549" s="834"/>
      <c r="J549" s="835"/>
      <c r="K549" s="836">
        <f t="shared" si="145"/>
        <v>0</v>
      </c>
      <c r="L54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49" s="837">
        <f t="shared" si="147"/>
        <v>0</v>
      </c>
      <c r="N549" s="838">
        <f>+Tabla1[[#This Row],[VENTA TOTAL $ (IVA INC) ]]</f>
        <v>0</v>
      </c>
      <c r="O549" s="838">
        <v>0</v>
      </c>
      <c r="P549" s="838">
        <v>0</v>
      </c>
      <c r="Q549" s="839">
        <f>+Tabla1[[#This Row],[VENTA TOTAL $ (IVA INC) ]]-Tabla1[[#This Row],[PENDIENTE DE COBRO]]</f>
        <v>0</v>
      </c>
      <c r="R549" s="840">
        <f>+Tabla1[[#This Row],[FECHA FC]]+Tabla1[[#This Row],[PLAZO ENTREGA VALORES]]</f>
        <v>0</v>
      </c>
      <c r="S549" s="840">
        <f>+Tabla1[[#This Row],[FECHA FC]]+Tabla1[[#This Row],[PLAZO PAGO (DIAS)]]</f>
        <v>0</v>
      </c>
      <c r="T549" s="834">
        <f t="shared" ca="1" si="146"/>
        <v>-46181</v>
      </c>
      <c r="U549" s="831"/>
      <c r="V549" s="831"/>
      <c r="W549" s="841">
        <f>+Tabla1[[#This Row],[FECHA VTO VALORES]]+7</f>
        <v>7</v>
      </c>
      <c r="X549" s="830"/>
      <c r="Y549" s="859"/>
      <c r="Z549" s="860">
        <f>Tabla1[[#This Row],[KGS]]/50</f>
        <v>0</v>
      </c>
      <c r="AA54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49" s="844">
        <f>-Tabla1[[#This Row],[COSTO FLETE $ POR BOLSA 5O KG (SIN IVA)]]*1.21-Tabla1[[#This Row],[PRECIO $/ KG A PLAZO EN CLIENTE ( SIN IVA)]]*0.003*1.21*50</f>
        <v>0</v>
      </c>
      <c r="AC549" s="845" t="e">
        <f>SUM(Tabla1[[#This Row],[PRECIO $ BOLSA 50 KG (IVA INC) ]]+Tabla1[[#This Row],[COSTO FLETE $ BOLSA 50 KG (IVA INC)]])</f>
        <v>#VALUE!</v>
      </c>
      <c r="AD549" s="844" t="e">
        <f>-Tabla1[[#This Row],[PRECIO $ BOLSA 50 KG (IVA INC) ]]*(Tabla1[[#This Row],[TASA FINANCIACION MENSUAL]]/365)*Tabla1[[#This Row],[PLAZO ENTREGA VALORES]]</f>
        <v>#VALUE!</v>
      </c>
      <c r="AE549" s="845" t="e">
        <f>SUM(Tabla1[[#This Row],[PRECIO $ BOLSA50 KG  FOB TUCUMAN A PLAZO (IVA INC)]]+Tabla1[[#This Row],[GASTOS FINANCIEROS $ BOLSA 50 KG (IVA INC)]])</f>
        <v>#VALUE!</v>
      </c>
      <c r="AF549" s="828"/>
      <c r="AG549" s="828"/>
      <c r="AH549" s="828"/>
      <c r="AI549" s="828"/>
      <c r="AJ54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49" s="846" t="e">
        <f>SUM(Tabla1[[#This Row],[PRECIO $ BOLSA 50KG  FOB CDO TUC (IVA INC)]]-Tabla1[[#This Row],[PRECIO REF $ BOLSA 50 KG CACTU (IVA INC)]])</f>
        <v>#VALUE!</v>
      </c>
      <c r="AL549" s="847" t="str">
        <f>IFERROR(Tabla1[[#This Row],[PRECIO $ BOLSA 50KG  FOB CDO TUC (IVA INC)]]/Tabla1[[#This Row],[PRECIO REF $ BOLSA 50 KG CACTU (IVA INC)]]-1,"")</f>
        <v/>
      </c>
      <c r="AM549" s="846" t="e">
        <f>+Tabla1[[#This Row],[DIF $ PRECIO NETO INDUSTRIA vs Neto TUCUMAN (IVA INC)]]*Tabla1[[#This Row],[Q Bolsas Equivalentes 50kg]]</f>
        <v>#VALUE!</v>
      </c>
      <c r="AN549" s="846" t="e">
        <f>Tabla1[[#This Row],[PRECIO REF $ BOLSA 50 KG CACTU (IVA INC)]]*Tabla1[[#This Row],[Q Bolsas Equivalentes 50kg]]</f>
        <v>#VALUE!</v>
      </c>
      <c r="AO549" s="846" t="e">
        <f>+Tabla1[[#This Row],[PRECIO $ BOLSA 50KG  FOB CDO TUC (IVA INC)]]*Tabla1[[#This Row],[Q Bolsas Equivalentes 50kg]]</f>
        <v>#VALUE!</v>
      </c>
      <c r="AP549" s="847"/>
      <c r="AQ549" s="846">
        <v>0</v>
      </c>
      <c r="AR549" s="828"/>
      <c r="AS549" s="849"/>
      <c r="AT549" s="923">
        <f>+Tabla1[[#This Row],[VENTA TOTAL $ (IVA INC) ]]-(SUM(Tabla1[[#This Row],[PENDIENTE DE ENTREGA]:[VALORES COBRADOS]]))</f>
        <v>0</v>
      </c>
      <c r="AU549" s="850" t="e">
        <f>VLOOKUP(Tabla1[[#This Row],[FECHA OC]],'TIPO DE CAMBIO'!A:B,2,TRUE)</f>
        <v>#N/A</v>
      </c>
      <c r="AV549" s="850" t="e">
        <f>+Tabla1[[#This Row],[SUBTOTAL]]/Tabla1[[#This Row],[TIPO DE CAMBIO]]</f>
        <v>#N/A</v>
      </c>
      <c r="AW549" s="851"/>
      <c r="AX549" s="850" t="str">
        <f>IFERROR(Tabla1[[#This Row],[VENTA TOTAL USD A PLAZO EN CLIENTE  (SIN IVA)]]*(1+Tabla1[[#This Row],[% IVA ]]),"")</f>
        <v/>
      </c>
      <c r="AY549" s="850" t="e">
        <f>+Tabla1[[#This Row],[VENTA TOTAL USD A PLAZO EN CLIENTE  (SIN IVA)]]/Tabla1[[#This Row],[KGS]]*1000</f>
        <v>#N/A</v>
      </c>
      <c r="AZ549" s="850" t="e">
        <f>-Tabla1[[#This Row],[COSTO FLETE $ POR BOLSA 5O KG (SIN IVA)]]*20/Tabla1[[#This Row],[TIPO DE CAMBIO]]</f>
        <v>#N/A</v>
      </c>
      <c r="BA549" s="850" t="e">
        <f>+Tabla1[[#This Row],[GASTOS FINANCIEROS $ BOLSA 50 KG (IVA INC)]]*20/Tabla1[[#This Row],[TIPO DE CAMBIO]]</f>
        <v>#VALUE!</v>
      </c>
      <c r="BB549" s="850" t="e">
        <f>+Tabla1[[#This Row],[PRECIO POR TN USD EN CLIENTE A PLAZO (SIN IVA)]]+Tabla1[[#This Row],[COSTO USD FLETE /TN (SIN IVA)]]+Tabla1[[#This Row],[COSTO FINANCIERO USD POR BOLSA 50KG (IVA INC)]]</f>
        <v>#N/A</v>
      </c>
      <c r="BC549" s="828"/>
      <c r="BD549" s="944"/>
    </row>
    <row r="550" spans="1:56" ht="15.75" customHeight="1">
      <c r="A550" s="912">
        <v>46266</v>
      </c>
      <c r="B550" s="853"/>
      <c r="C550" s="792"/>
      <c r="D550" s="829">
        <f>+Tabla1[[#This Row],[FECHA Entrega]]</f>
        <v>0</v>
      </c>
      <c r="E550" s="830"/>
      <c r="F550" s="831"/>
      <c r="G550" s="832"/>
      <c r="H550" s="852"/>
      <c r="I550" s="834"/>
      <c r="J550" s="835"/>
      <c r="K550" s="836">
        <f t="shared" si="145"/>
        <v>0</v>
      </c>
      <c r="L55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50" s="837">
        <f t="shared" si="147"/>
        <v>0</v>
      </c>
      <c r="N550" s="838">
        <f>+Tabla1[[#This Row],[VENTA TOTAL $ (IVA INC) ]]</f>
        <v>0</v>
      </c>
      <c r="O550" s="838">
        <v>0</v>
      </c>
      <c r="P550" s="838">
        <v>0</v>
      </c>
      <c r="Q550" s="839">
        <f>+Tabla1[[#This Row],[VENTA TOTAL $ (IVA INC) ]]-Tabla1[[#This Row],[PENDIENTE DE COBRO]]</f>
        <v>0</v>
      </c>
      <c r="R550" s="840">
        <f>+Tabla1[[#This Row],[FECHA FC]]+Tabla1[[#This Row],[PLAZO ENTREGA VALORES]]</f>
        <v>0</v>
      </c>
      <c r="S550" s="840">
        <f>+Tabla1[[#This Row],[FECHA FC]]+Tabla1[[#This Row],[PLAZO PAGO (DIAS)]]</f>
        <v>0</v>
      </c>
      <c r="T550" s="834">
        <f t="shared" ca="1" si="146"/>
        <v>-46181</v>
      </c>
      <c r="U550" s="831"/>
      <c r="V550" s="831"/>
      <c r="W550" s="841">
        <f>+Tabla1[[#This Row],[FECHA VTO VALORES]]+7</f>
        <v>7</v>
      </c>
      <c r="X550" s="830"/>
      <c r="Y550" s="859"/>
      <c r="Z550" s="860">
        <f>Tabla1[[#This Row],[KGS]]/50</f>
        <v>0</v>
      </c>
      <c r="AA55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50" s="844">
        <f>-Tabla1[[#This Row],[COSTO FLETE $ POR BOLSA 5O KG (SIN IVA)]]*1.21-Tabla1[[#This Row],[PRECIO $/ KG A PLAZO EN CLIENTE ( SIN IVA)]]*0.003*1.21*50</f>
        <v>0</v>
      </c>
      <c r="AC550" s="845" t="e">
        <f>SUM(Tabla1[[#This Row],[PRECIO $ BOLSA 50 KG (IVA INC) ]]+Tabla1[[#This Row],[COSTO FLETE $ BOLSA 50 KG (IVA INC)]])</f>
        <v>#VALUE!</v>
      </c>
      <c r="AD550" s="844" t="e">
        <f>-Tabla1[[#This Row],[PRECIO $ BOLSA 50 KG (IVA INC) ]]*(Tabla1[[#This Row],[TASA FINANCIACION MENSUAL]]/365)*Tabla1[[#This Row],[PLAZO ENTREGA VALORES]]</f>
        <v>#VALUE!</v>
      </c>
      <c r="AE550" s="845" t="e">
        <f>SUM(Tabla1[[#This Row],[PRECIO $ BOLSA50 KG  FOB TUCUMAN A PLAZO (IVA INC)]]+Tabla1[[#This Row],[GASTOS FINANCIEROS $ BOLSA 50 KG (IVA INC)]])</f>
        <v>#VALUE!</v>
      </c>
      <c r="AF550" s="828"/>
      <c r="AG550" s="828"/>
      <c r="AH550" s="828"/>
      <c r="AI550" s="828"/>
      <c r="AJ55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50" s="846" t="e">
        <f>SUM(Tabla1[[#This Row],[PRECIO $ BOLSA 50KG  FOB CDO TUC (IVA INC)]]-Tabla1[[#This Row],[PRECIO REF $ BOLSA 50 KG CACTU (IVA INC)]])</f>
        <v>#VALUE!</v>
      </c>
      <c r="AL550" s="847" t="str">
        <f>IFERROR(Tabla1[[#This Row],[PRECIO $ BOLSA 50KG  FOB CDO TUC (IVA INC)]]/Tabla1[[#This Row],[PRECIO REF $ BOLSA 50 KG CACTU (IVA INC)]]-1,"")</f>
        <v/>
      </c>
      <c r="AM550" s="846" t="e">
        <f>+Tabla1[[#This Row],[DIF $ PRECIO NETO INDUSTRIA vs Neto TUCUMAN (IVA INC)]]*Tabla1[[#This Row],[Q Bolsas Equivalentes 50kg]]</f>
        <v>#VALUE!</v>
      </c>
      <c r="AN550" s="846" t="e">
        <f>Tabla1[[#This Row],[PRECIO REF $ BOLSA 50 KG CACTU (IVA INC)]]*Tabla1[[#This Row],[Q Bolsas Equivalentes 50kg]]</f>
        <v>#VALUE!</v>
      </c>
      <c r="AO550" s="846" t="e">
        <f>+Tabla1[[#This Row],[PRECIO $ BOLSA 50KG  FOB CDO TUC (IVA INC)]]*Tabla1[[#This Row],[Q Bolsas Equivalentes 50kg]]</f>
        <v>#VALUE!</v>
      </c>
      <c r="AP550" s="847"/>
      <c r="AQ550" s="846">
        <v>0</v>
      </c>
      <c r="AR550" s="828"/>
      <c r="AS550" s="849"/>
      <c r="AT550" s="923">
        <f>+Tabla1[[#This Row],[VENTA TOTAL $ (IVA INC) ]]-(SUM(Tabla1[[#This Row],[PENDIENTE DE ENTREGA]:[VALORES COBRADOS]]))</f>
        <v>0</v>
      </c>
      <c r="AU550" s="850" t="e">
        <f>VLOOKUP(Tabla1[[#This Row],[FECHA OC]],'TIPO DE CAMBIO'!A:B,2,TRUE)</f>
        <v>#N/A</v>
      </c>
      <c r="AV550" s="850" t="e">
        <f>+Tabla1[[#This Row],[SUBTOTAL]]/Tabla1[[#This Row],[TIPO DE CAMBIO]]</f>
        <v>#N/A</v>
      </c>
      <c r="AW550" s="851"/>
      <c r="AX550" s="850" t="str">
        <f>IFERROR(Tabla1[[#This Row],[VENTA TOTAL USD A PLAZO EN CLIENTE  (SIN IVA)]]*(1+Tabla1[[#This Row],[% IVA ]]),"")</f>
        <v/>
      </c>
      <c r="AY550" s="850" t="e">
        <f>+Tabla1[[#This Row],[VENTA TOTAL USD A PLAZO EN CLIENTE  (SIN IVA)]]/Tabla1[[#This Row],[KGS]]*1000</f>
        <v>#N/A</v>
      </c>
      <c r="AZ550" s="850" t="e">
        <f>-Tabla1[[#This Row],[COSTO FLETE $ POR BOLSA 5O KG (SIN IVA)]]*20/Tabla1[[#This Row],[TIPO DE CAMBIO]]</f>
        <v>#N/A</v>
      </c>
      <c r="BA550" s="850" t="e">
        <f>+Tabla1[[#This Row],[GASTOS FINANCIEROS $ BOLSA 50 KG (IVA INC)]]*20/Tabla1[[#This Row],[TIPO DE CAMBIO]]</f>
        <v>#VALUE!</v>
      </c>
      <c r="BB550" s="850" t="e">
        <f>+Tabla1[[#This Row],[PRECIO POR TN USD EN CLIENTE A PLAZO (SIN IVA)]]+Tabla1[[#This Row],[COSTO USD FLETE /TN (SIN IVA)]]+Tabla1[[#This Row],[COSTO FINANCIERO USD POR BOLSA 50KG (IVA INC)]]</f>
        <v>#N/A</v>
      </c>
      <c r="BC550" s="828"/>
      <c r="BD550" s="944"/>
    </row>
    <row r="551" spans="1:56" ht="15.75" customHeight="1">
      <c r="A551" s="912">
        <v>46266</v>
      </c>
      <c r="B551" s="853"/>
      <c r="C551" s="792"/>
      <c r="D551" s="829">
        <f>+Tabla1[[#This Row],[FECHA Entrega]]</f>
        <v>0</v>
      </c>
      <c r="E551" s="830"/>
      <c r="F551" s="831"/>
      <c r="G551" s="832"/>
      <c r="H551" s="852"/>
      <c r="I551" s="834"/>
      <c r="J551" s="835"/>
      <c r="K551" s="836">
        <f t="shared" si="145"/>
        <v>0</v>
      </c>
      <c r="L55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51" s="837">
        <f t="shared" si="147"/>
        <v>0</v>
      </c>
      <c r="N551" s="838">
        <f>+Tabla1[[#This Row],[VENTA TOTAL $ (IVA INC) ]]</f>
        <v>0</v>
      </c>
      <c r="O551" s="838">
        <v>0</v>
      </c>
      <c r="P551" s="838">
        <v>0</v>
      </c>
      <c r="Q551" s="839">
        <f>+Tabla1[[#This Row],[VENTA TOTAL $ (IVA INC) ]]-Tabla1[[#This Row],[PENDIENTE DE COBRO]]</f>
        <v>0</v>
      </c>
      <c r="R551" s="840">
        <f>+Tabla1[[#This Row],[FECHA FC]]+Tabla1[[#This Row],[PLAZO ENTREGA VALORES]]</f>
        <v>0</v>
      </c>
      <c r="S551" s="840">
        <f>+Tabla1[[#This Row],[FECHA FC]]+Tabla1[[#This Row],[PLAZO PAGO (DIAS)]]</f>
        <v>0</v>
      </c>
      <c r="T551" s="834">
        <f t="shared" ca="1" si="146"/>
        <v>-46181</v>
      </c>
      <c r="U551" s="831"/>
      <c r="V551" s="831"/>
      <c r="W551" s="841">
        <f>+Tabla1[[#This Row],[FECHA VTO VALORES]]+7</f>
        <v>7</v>
      </c>
      <c r="X551" s="830"/>
      <c r="Y551" s="859"/>
      <c r="Z551" s="860">
        <f>Tabla1[[#This Row],[KGS]]/50</f>
        <v>0</v>
      </c>
      <c r="AA55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51" s="844">
        <f>-Tabla1[[#This Row],[COSTO FLETE $ POR BOLSA 5O KG (SIN IVA)]]*1.21-Tabla1[[#This Row],[PRECIO $/ KG A PLAZO EN CLIENTE ( SIN IVA)]]*0.003*1.21*50</f>
        <v>0</v>
      </c>
      <c r="AC551" s="845" t="e">
        <f>SUM(Tabla1[[#This Row],[PRECIO $ BOLSA 50 KG (IVA INC) ]]+Tabla1[[#This Row],[COSTO FLETE $ BOLSA 50 KG (IVA INC)]])</f>
        <v>#VALUE!</v>
      </c>
      <c r="AD551" s="844" t="e">
        <f>-Tabla1[[#This Row],[PRECIO $ BOLSA 50 KG (IVA INC) ]]*(Tabla1[[#This Row],[TASA FINANCIACION MENSUAL]]/365)*Tabla1[[#This Row],[PLAZO ENTREGA VALORES]]</f>
        <v>#VALUE!</v>
      </c>
      <c r="AE551" s="845" t="e">
        <f>SUM(Tabla1[[#This Row],[PRECIO $ BOLSA50 KG  FOB TUCUMAN A PLAZO (IVA INC)]]+Tabla1[[#This Row],[GASTOS FINANCIEROS $ BOLSA 50 KG (IVA INC)]])</f>
        <v>#VALUE!</v>
      </c>
      <c r="AF551" s="828"/>
      <c r="AG551" s="828"/>
      <c r="AH551" s="828"/>
      <c r="AI551" s="828"/>
      <c r="AJ55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51" s="846" t="e">
        <f>SUM(Tabla1[[#This Row],[PRECIO $ BOLSA 50KG  FOB CDO TUC (IVA INC)]]-Tabla1[[#This Row],[PRECIO REF $ BOLSA 50 KG CACTU (IVA INC)]])</f>
        <v>#VALUE!</v>
      </c>
      <c r="AL551" s="847" t="str">
        <f>IFERROR(Tabla1[[#This Row],[PRECIO $ BOLSA 50KG  FOB CDO TUC (IVA INC)]]/Tabla1[[#This Row],[PRECIO REF $ BOLSA 50 KG CACTU (IVA INC)]]-1,"")</f>
        <v/>
      </c>
      <c r="AM551" s="846" t="e">
        <f>+Tabla1[[#This Row],[DIF $ PRECIO NETO INDUSTRIA vs Neto TUCUMAN (IVA INC)]]*Tabla1[[#This Row],[Q Bolsas Equivalentes 50kg]]</f>
        <v>#VALUE!</v>
      </c>
      <c r="AN551" s="846" t="e">
        <f>Tabla1[[#This Row],[PRECIO REF $ BOLSA 50 KG CACTU (IVA INC)]]*Tabla1[[#This Row],[Q Bolsas Equivalentes 50kg]]</f>
        <v>#VALUE!</v>
      </c>
      <c r="AO551" s="846" t="e">
        <f>+Tabla1[[#This Row],[PRECIO $ BOLSA 50KG  FOB CDO TUC (IVA INC)]]*Tabla1[[#This Row],[Q Bolsas Equivalentes 50kg]]</f>
        <v>#VALUE!</v>
      </c>
      <c r="AP551" s="847"/>
      <c r="AQ551" s="846">
        <v>0</v>
      </c>
      <c r="AR551" s="828"/>
      <c r="AS551" s="849"/>
      <c r="AT551" s="923">
        <f>+Tabla1[[#This Row],[VENTA TOTAL $ (IVA INC) ]]-(SUM(Tabla1[[#This Row],[PENDIENTE DE ENTREGA]:[VALORES COBRADOS]]))</f>
        <v>0</v>
      </c>
      <c r="AU551" s="850" t="e">
        <f>VLOOKUP(Tabla1[[#This Row],[FECHA OC]],'TIPO DE CAMBIO'!A:B,2,TRUE)</f>
        <v>#N/A</v>
      </c>
      <c r="AV551" s="850" t="e">
        <f>+Tabla1[[#This Row],[SUBTOTAL]]/Tabla1[[#This Row],[TIPO DE CAMBIO]]</f>
        <v>#N/A</v>
      </c>
      <c r="AW551" s="851"/>
      <c r="AX551" s="850" t="str">
        <f>IFERROR(Tabla1[[#This Row],[VENTA TOTAL USD A PLAZO EN CLIENTE  (SIN IVA)]]*(1+Tabla1[[#This Row],[% IVA ]]),"")</f>
        <v/>
      </c>
      <c r="AY551" s="850" t="e">
        <f>+Tabla1[[#This Row],[VENTA TOTAL USD A PLAZO EN CLIENTE  (SIN IVA)]]/Tabla1[[#This Row],[KGS]]*1000</f>
        <v>#N/A</v>
      </c>
      <c r="AZ551" s="850" t="e">
        <f>-Tabla1[[#This Row],[COSTO FLETE $ POR BOLSA 5O KG (SIN IVA)]]*20/Tabla1[[#This Row],[TIPO DE CAMBIO]]</f>
        <v>#N/A</v>
      </c>
      <c r="BA551" s="850" t="e">
        <f>+Tabla1[[#This Row],[GASTOS FINANCIEROS $ BOLSA 50 KG (IVA INC)]]*20/Tabla1[[#This Row],[TIPO DE CAMBIO]]</f>
        <v>#VALUE!</v>
      </c>
      <c r="BB551" s="850" t="e">
        <f>+Tabla1[[#This Row],[PRECIO POR TN USD EN CLIENTE A PLAZO (SIN IVA)]]+Tabla1[[#This Row],[COSTO USD FLETE /TN (SIN IVA)]]+Tabla1[[#This Row],[COSTO FINANCIERO USD POR BOLSA 50KG (IVA INC)]]</f>
        <v>#N/A</v>
      </c>
      <c r="BC551" s="828"/>
      <c r="BD551" s="944"/>
    </row>
    <row r="552" spans="1:56" ht="15.75" customHeight="1">
      <c r="A552" s="912">
        <v>46266</v>
      </c>
      <c r="B552" s="853"/>
      <c r="C552" s="792"/>
      <c r="D552" s="829">
        <f>+Tabla1[[#This Row],[FECHA Entrega]]</f>
        <v>0</v>
      </c>
      <c r="E552" s="830"/>
      <c r="F552" s="831"/>
      <c r="G552" s="832"/>
      <c r="H552" s="852"/>
      <c r="I552" s="834"/>
      <c r="J552" s="835"/>
      <c r="K552" s="836">
        <f t="shared" si="145"/>
        <v>0</v>
      </c>
      <c r="L55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52" s="837">
        <f t="shared" si="147"/>
        <v>0</v>
      </c>
      <c r="N552" s="838">
        <f>+Tabla1[[#This Row],[VENTA TOTAL $ (IVA INC) ]]</f>
        <v>0</v>
      </c>
      <c r="O552" s="838">
        <v>0</v>
      </c>
      <c r="P552" s="838">
        <v>0</v>
      </c>
      <c r="Q552" s="839">
        <f>+Tabla1[[#This Row],[VENTA TOTAL $ (IVA INC) ]]-Tabla1[[#This Row],[PENDIENTE DE COBRO]]</f>
        <v>0</v>
      </c>
      <c r="R552" s="840">
        <f>+Tabla1[[#This Row],[FECHA FC]]+Tabla1[[#This Row],[PLAZO ENTREGA VALORES]]</f>
        <v>0</v>
      </c>
      <c r="S552" s="840">
        <f>+Tabla1[[#This Row],[FECHA FC]]+Tabla1[[#This Row],[PLAZO PAGO (DIAS)]]</f>
        <v>0</v>
      </c>
      <c r="T552" s="834">
        <f t="shared" ca="1" si="146"/>
        <v>-46181</v>
      </c>
      <c r="U552" s="831"/>
      <c r="V552" s="831"/>
      <c r="W552" s="841">
        <f>+Tabla1[[#This Row],[FECHA VTO VALORES]]+7</f>
        <v>7</v>
      </c>
      <c r="X552" s="830"/>
      <c r="Y552" s="859"/>
      <c r="Z552" s="860">
        <f>Tabla1[[#This Row],[KGS]]/50</f>
        <v>0</v>
      </c>
      <c r="AA55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52" s="844">
        <f>-Tabla1[[#This Row],[COSTO FLETE $ POR BOLSA 5O KG (SIN IVA)]]*1.21-Tabla1[[#This Row],[PRECIO $/ KG A PLAZO EN CLIENTE ( SIN IVA)]]*0.003*1.21*50</f>
        <v>0</v>
      </c>
      <c r="AC552" s="845" t="e">
        <f>SUM(Tabla1[[#This Row],[PRECIO $ BOLSA 50 KG (IVA INC) ]]+Tabla1[[#This Row],[COSTO FLETE $ BOLSA 50 KG (IVA INC)]])</f>
        <v>#VALUE!</v>
      </c>
      <c r="AD552" s="844" t="e">
        <f>-Tabla1[[#This Row],[PRECIO $ BOLSA 50 KG (IVA INC) ]]*(Tabla1[[#This Row],[TASA FINANCIACION MENSUAL]]/365)*Tabla1[[#This Row],[PLAZO ENTREGA VALORES]]</f>
        <v>#VALUE!</v>
      </c>
      <c r="AE552" s="845" t="e">
        <f>SUM(Tabla1[[#This Row],[PRECIO $ BOLSA50 KG  FOB TUCUMAN A PLAZO (IVA INC)]]+Tabla1[[#This Row],[GASTOS FINANCIEROS $ BOLSA 50 KG (IVA INC)]])</f>
        <v>#VALUE!</v>
      </c>
      <c r="AF552" s="828"/>
      <c r="AG552" s="828"/>
      <c r="AH552" s="828"/>
      <c r="AI552" s="828"/>
      <c r="AJ55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52" s="846" t="e">
        <f>SUM(Tabla1[[#This Row],[PRECIO $ BOLSA 50KG  FOB CDO TUC (IVA INC)]]-Tabla1[[#This Row],[PRECIO REF $ BOLSA 50 KG CACTU (IVA INC)]])</f>
        <v>#VALUE!</v>
      </c>
      <c r="AL552" s="847" t="str">
        <f>IFERROR(Tabla1[[#This Row],[PRECIO $ BOLSA 50KG  FOB CDO TUC (IVA INC)]]/Tabla1[[#This Row],[PRECIO REF $ BOLSA 50 KG CACTU (IVA INC)]]-1,"")</f>
        <v/>
      </c>
      <c r="AM552" s="846" t="e">
        <f>+Tabla1[[#This Row],[DIF $ PRECIO NETO INDUSTRIA vs Neto TUCUMAN (IVA INC)]]*Tabla1[[#This Row],[Q Bolsas Equivalentes 50kg]]</f>
        <v>#VALUE!</v>
      </c>
      <c r="AN552" s="846" t="e">
        <f>Tabla1[[#This Row],[PRECIO REF $ BOLSA 50 KG CACTU (IVA INC)]]*Tabla1[[#This Row],[Q Bolsas Equivalentes 50kg]]</f>
        <v>#VALUE!</v>
      </c>
      <c r="AO552" s="846" t="e">
        <f>+Tabla1[[#This Row],[PRECIO $ BOLSA 50KG  FOB CDO TUC (IVA INC)]]*Tabla1[[#This Row],[Q Bolsas Equivalentes 50kg]]</f>
        <v>#VALUE!</v>
      </c>
      <c r="AP552" s="847"/>
      <c r="AQ552" s="846">
        <v>0</v>
      </c>
      <c r="AR552" s="828"/>
      <c r="AS552" s="849"/>
      <c r="AT552" s="923">
        <f>+Tabla1[[#This Row],[VENTA TOTAL $ (IVA INC) ]]-(SUM(Tabla1[[#This Row],[PENDIENTE DE ENTREGA]:[VALORES COBRADOS]]))</f>
        <v>0</v>
      </c>
      <c r="AU552" s="850" t="e">
        <f>VLOOKUP(Tabla1[[#This Row],[FECHA OC]],'TIPO DE CAMBIO'!A:B,2,TRUE)</f>
        <v>#N/A</v>
      </c>
      <c r="AV552" s="850" t="e">
        <f>+Tabla1[[#This Row],[SUBTOTAL]]/Tabla1[[#This Row],[TIPO DE CAMBIO]]</f>
        <v>#N/A</v>
      </c>
      <c r="AW552" s="851"/>
      <c r="AX552" s="850" t="str">
        <f>IFERROR(Tabla1[[#This Row],[VENTA TOTAL USD A PLAZO EN CLIENTE  (SIN IVA)]]*(1+Tabla1[[#This Row],[% IVA ]]),"")</f>
        <v/>
      </c>
      <c r="AY552" s="850" t="e">
        <f>+Tabla1[[#This Row],[VENTA TOTAL USD A PLAZO EN CLIENTE  (SIN IVA)]]/Tabla1[[#This Row],[KGS]]*1000</f>
        <v>#N/A</v>
      </c>
      <c r="AZ552" s="850" t="e">
        <f>-Tabla1[[#This Row],[COSTO FLETE $ POR BOLSA 5O KG (SIN IVA)]]*20/Tabla1[[#This Row],[TIPO DE CAMBIO]]</f>
        <v>#N/A</v>
      </c>
      <c r="BA552" s="850" t="e">
        <f>+Tabla1[[#This Row],[GASTOS FINANCIEROS $ BOLSA 50 KG (IVA INC)]]*20/Tabla1[[#This Row],[TIPO DE CAMBIO]]</f>
        <v>#VALUE!</v>
      </c>
      <c r="BB552" s="850" t="e">
        <f>+Tabla1[[#This Row],[PRECIO POR TN USD EN CLIENTE A PLAZO (SIN IVA)]]+Tabla1[[#This Row],[COSTO USD FLETE /TN (SIN IVA)]]+Tabla1[[#This Row],[COSTO FINANCIERO USD POR BOLSA 50KG (IVA INC)]]</f>
        <v>#N/A</v>
      </c>
      <c r="BC552" s="828"/>
      <c r="BD552" s="944"/>
    </row>
    <row r="553" spans="1:56" ht="15.75" customHeight="1">
      <c r="A553" s="912">
        <v>46266</v>
      </c>
      <c r="B553" s="853"/>
      <c r="C553" s="792"/>
      <c r="D553" s="829">
        <f>+Tabla1[[#This Row],[FECHA Entrega]]</f>
        <v>0</v>
      </c>
      <c r="E553" s="830"/>
      <c r="F553" s="831"/>
      <c r="G553" s="832"/>
      <c r="H553" s="852"/>
      <c r="I553" s="834"/>
      <c r="J553" s="835"/>
      <c r="K553" s="836">
        <f t="shared" si="145"/>
        <v>0</v>
      </c>
      <c r="L55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53" s="837">
        <f t="shared" si="147"/>
        <v>0</v>
      </c>
      <c r="N553" s="838">
        <f>+Tabla1[[#This Row],[VENTA TOTAL $ (IVA INC) ]]</f>
        <v>0</v>
      </c>
      <c r="O553" s="838">
        <v>0</v>
      </c>
      <c r="P553" s="838">
        <v>0</v>
      </c>
      <c r="Q553" s="839">
        <f>+Tabla1[[#This Row],[VENTA TOTAL $ (IVA INC) ]]-Tabla1[[#This Row],[PENDIENTE DE COBRO]]</f>
        <v>0</v>
      </c>
      <c r="R553" s="840">
        <f>+Tabla1[[#This Row],[FECHA FC]]+Tabla1[[#This Row],[PLAZO ENTREGA VALORES]]</f>
        <v>0</v>
      </c>
      <c r="S553" s="840">
        <f>+Tabla1[[#This Row],[FECHA FC]]+Tabla1[[#This Row],[PLAZO PAGO (DIAS)]]</f>
        <v>0</v>
      </c>
      <c r="T553" s="834">
        <f t="shared" ca="1" si="146"/>
        <v>-46181</v>
      </c>
      <c r="U553" s="831"/>
      <c r="V553" s="831"/>
      <c r="W553" s="841">
        <f>+S553+7</f>
        <v>7</v>
      </c>
      <c r="X553" s="830"/>
      <c r="Y553" s="859"/>
      <c r="Z553" s="860">
        <f>Tabla1[[#This Row],[KGS]]/50</f>
        <v>0</v>
      </c>
      <c r="AA55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53" s="844">
        <f>-Tabla1[[#This Row],[COSTO FLETE $ POR BOLSA 5O KG (SIN IVA)]]*1.21-Tabla1[[#This Row],[PRECIO $/ KG A PLAZO EN CLIENTE ( SIN IVA)]]*0.003*1.21*50</f>
        <v>0</v>
      </c>
      <c r="AC553" s="845" t="e">
        <f>SUM(Tabla1[[#This Row],[PRECIO $ BOLSA 50 KG (IVA INC) ]]+Tabla1[[#This Row],[COSTO FLETE $ BOLSA 50 KG (IVA INC)]])</f>
        <v>#VALUE!</v>
      </c>
      <c r="AD553" s="844" t="e">
        <f>-Tabla1[[#This Row],[PRECIO $ BOLSA 50 KG (IVA INC) ]]*(Tabla1[[#This Row],[TASA FINANCIACION MENSUAL]]/365)*Tabla1[[#This Row],[PLAZO ENTREGA VALORES]]</f>
        <v>#VALUE!</v>
      </c>
      <c r="AE553" s="845" t="e">
        <f>SUM(Tabla1[[#This Row],[PRECIO $ BOLSA50 KG  FOB TUCUMAN A PLAZO (IVA INC)]]+Tabla1[[#This Row],[GASTOS FINANCIEROS $ BOLSA 50 KG (IVA INC)]])</f>
        <v>#VALUE!</v>
      </c>
      <c r="AF553" s="828"/>
      <c r="AG553" s="828"/>
      <c r="AH553" s="828"/>
      <c r="AI553" s="828"/>
      <c r="AJ55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53" s="846" t="e">
        <f>SUM(Tabla1[[#This Row],[PRECIO $ BOLSA 50KG  FOB CDO TUC (IVA INC)]]-Tabla1[[#This Row],[PRECIO REF $ BOLSA 50 KG CACTU (IVA INC)]])</f>
        <v>#VALUE!</v>
      </c>
      <c r="AL553" s="847" t="str">
        <f>IFERROR(Tabla1[[#This Row],[PRECIO $ BOLSA 50KG  FOB CDO TUC (IVA INC)]]/Tabla1[[#This Row],[PRECIO REF $ BOLSA 50 KG CACTU (IVA INC)]]-1,"")</f>
        <v/>
      </c>
      <c r="AM553" s="846" t="e">
        <f>+Tabla1[[#This Row],[DIF $ PRECIO NETO INDUSTRIA vs Neto TUCUMAN (IVA INC)]]*Tabla1[[#This Row],[Q Bolsas Equivalentes 50kg]]</f>
        <v>#VALUE!</v>
      </c>
      <c r="AN553" s="846" t="e">
        <f>Tabla1[[#This Row],[PRECIO REF $ BOLSA 50 KG CACTU (IVA INC)]]*Tabla1[[#This Row],[Q Bolsas Equivalentes 50kg]]</f>
        <v>#VALUE!</v>
      </c>
      <c r="AO553" s="846" t="e">
        <f>+Tabla1[[#This Row],[PRECIO $ BOLSA 50KG  FOB CDO TUC (IVA INC)]]*Tabla1[[#This Row],[Q Bolsas Equivalentes 50kg]]</f>
        <v>#VALUE!</v>
      </c>
      <c r="AP553" s="847"/>
      <c r="AQ553" s="846">
        <v>0</v>
      </c>
      <c r="AR553" s="828"/>
      <c r="AS553" s="849"/>
      <c r="AT553" s="923">
        <f>+Tabla1[[#This Row],[VENTA TOTAL $ (IVA INC) ]]-(SUM(Tabla1[[#This Row],[PENDIENTE DE ENTREGA]:[VALORES COBRADOS]]))</f>
        <v>0</v>
      </c>
      <c r="AU553" s="850" t="e">
        <f>VLOOKUP(Tabla1[[#This Row],[FECHA OC]],'TIPO DE CAMBIO'!A:B,2,TRUE)</f>
        <v>#N/A</v>
      </c>
      <c r="AV553" s="850" t="e">
        <f>+Tabla1[[#This Row],[SUBTOTAL]]/Tabla1[[#This Row],[TIPO DE CAMBIO]]</f>
        <v>#N/A</v>
      </c>
      <c r="AW553" s="851"/>
      <c r="AX553" s="850" t="str">
        <f>IFERROR(Tabla1[[#This Row],[VENTA TOTAL USD A PLAZO EN CLIENTE  (SIN IVA)]]*(1+Tabla1[[#This Row],[% IVA ]]),"")</f>
        <v/>
      </c>
      <c r="AY553" s="850" t="e">
        <f>+Tabla1[[#This Row],[VENTA TOTAL USD A PLAZO EN CLIENTE  (SIN IVA)]]/Tabla1[[#This Row],[KGS]]*1000</f>
        <v>#N/A</v>
      </c>
      <c r="AZ553" s="850" t="e">
        <f>-Tabla1[[#This Row],[COSTO FLETE $ POR BOLSA 5O KG (SIN IVA)]]*20/Tabla1[[#This Row],[TIPO DE CAMBIO]]</f>
        <v>#N/A</v>
      </c>
      <c r="BA553" s="850" t="e">
        <f>+Tabla1[[#This Row],[GASTOS FINANCIEROS $ BOLSA 50 KG (IVA INC)]]*20/Tabla1[[#This Row],[TIPO DE CAMBIO]]</f>
        <v>#VALUE!</v>
      </c>
      <c r="BB553" s="850" t="e">
        <f>+Tabla1[[#This Row],[PRECIO POR TN USD EN CLIENTE A PLAZO (SIN IVA)]]+Tabla1[[#This Row],[COSTO USD FLETE /TN (SIN IVA)]]+Tabla1[[#This Row],[COSTO FINANCIERO USD POR BOLSA 50KG (IVA INC)]]</f>
        <v>#N/A</v>
      </c>
      <c r="BC553" s="828"/>
      <c r="BD553" s="944"/>
    </row>
    <row r="554" spans="1:56" ht="15.75" customHeight="1">
      <c r="A554" s="912">
        <v>46266</v>
      </c>
      <c r="B554" s="853"/>
      <c r="C554" s="792"/>
      <c r="D554" s="829">
        <f>+Tabla1[[#This Row],[FECHA Entrega]]</f>
        <v>0</v>
      </c>
      <c r="E554" s="830"/>
      <c r="F554" s="831"/>
      <c r="G554" s="832"/>
      <c r="H554" s="852"/>
      <c r="I554" s="834"/>
      <c r="J554" s="835"/>
      <c r="K554" s="836">
        <f t="shared" si="145"/>
        <v>0</v>
      </c>
      <c r="L55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54" s="837">
        <f t="shared" si="147"/>
        <v>0</v>
      </c>
      <c r="N554" s="838">
        <f>+Tabla1[[#This Row],[VENTA TOTAL $ (IVA INC) ]]</f>
        <v>0</v>
      </c>
      <c r="O554" s="838">
        <v>0</v>
      </c>
      <c r="P554" s="838">
        <v>0</v>
      </c>
      <c r="Q554" s="839">
        <f>+Tabla1[[#This Row],[VENTA TOTAL $ (IVA INC) ]]-Tabla1[[#This Row],[PENDIENTE DE COBRO]]</f>
        <v>0</v>
      </c>
      <c r="R554" s="840">
        <f>+Tabla1[[#This Row],[FECHA FC]]+Tabla1[[#This Row],[PLAZO ENTREGA VALORES]]</f>
        <v>0</v>
      </c>
      <c r="S554" s="840">
        <f>+Tabla1[[#This Row],[FECHA FC]]+Tabla1[[#This Row],[PLAZO PAGO (DIAS)]]</f>
        <v>0</v>
      </c>
      <c r="T554" s="834">
        <f t="shared" ca="1" si="146"/>
        <v>-46181</v>
      </c>
      <c r="U554" s="831"/>
      <c r="V554" s="831"/>
      <c r="W554" s="841">
        <f>+Tabla1[[#This Row],[FECHA VTO VALORES]]+7</f>
        <v>7</v>
      </c>
      <c r="X554" s="830"/>
      <c r="Y554" s="859"/>
      <c r="Z554" s="860">
        <f>Tabla1[[#This Row],[KGS]]/50</f>
        <v>0</v>
      </c>
      <c r="AA55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54" s="844">
        <f>-Tabla1[[#This Row],[COSTO FLETE $ POR BOLSA 5O KG (SIN IVA)]]*1.21-Tabla1[[#This Row],[PRECIO $/ KG A PLAZO EN CLIENTE ( SIN IVA)]]*0.003*1.21*50</f>
        <v>0</v>
      </c>
      <c r="AC554" s="845" t="e">
        <f>SUM(Tabla1[[#This Row],[PRECIO $ BOLSA 50 KG (IVA INC) ]]+Tabla1[[#This Row],[COSTO FLETE $ BOLSA 50 KG (IVA INC)]])</f>
        <v>#VALUE!</v>
      </c>
      <c r="AD554" s="844" t="e">
        <f>-Tabla1[[#This Row],[PRECIO $ BOLSA 50 KG (IVA INC) ]]*(Tabla1[[#This Row],[TASA FINANCIACION MENSUAL]]/365)*Tabla1[[#This Row],[PLAZO ENTREGA VALORES]]</f>
        <v>#VALUE!</v>
      </c>
      <c r="AE554" s="845" t="e">
        <f>SUM(Tabla1[[#This Row],[PRECIO $ BOLSA50 KG  FOB TUCUMAN A PLAZO (IVA INC)]]+Tabla1[[#This Row],[GASTOS FINANCIEROS $ BOLSA 50 KG (IVA INC)]])</f>
        <v>#VALUE!</v>
      </c>
      <c r="AF554" s="828"/>
      <c r="AG554" s="828"/>
      <c r="AH554" s="828"/>
      <c r="AI554" s="828"/>
      <c r="AJ55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54" s="846" t="e">
        <f>SUM(Tabla1[[#This Row],[PRECIO $ BOLSA 50KG  FOB CDO TUC (IVA INC)]]-Tabla1[[#This Row],[PRECIO REF $ BOLSA 50 KG CACTU (IVA INC)]])</f>
        <v>#VALUE!</v>
      </c>
      <c r="AL554" s="847" t="str">
        <f>IFERROR(Tabla1[[#This Row],[PRECIO $ BOLSA 50KG  FOB CDO TUC (IVA INC)]]/Tabla1[[#This Row],[PRECIO REF $ BOLSA 50 KG CACTU (IVA INC)]]-1,"")</f>
        <v/>
      </c>
      <c r="AM554" s="846" t="e">
        <f>+Tabla1[[#This Row],[DIF $ PRECIO NETO INDUSTRIA vs Neto TUCUMAN (IVA INC)]]*Tabla1[[#This Row],[Q Bolsas Equivalentes 50kg]]</f>
        <v>#VALUE!</v>
      </c>
      <c r="AN554" s="846" t="e">
        <f>Tabla1[[#This Row],[PRECIO REF $ BOLSA 50 KG CACTU (IVA INC)]]*Tabla1[[#This Row],[Q Bolsas Equivalentes 50kg]]</f>
        <v>#VALUE!</v>
      </c>
      <c r="AO554" s="846" t="e">
        <f>+Tabla1[[#This Row],[PRECIO $ BOLSA 50KG  FOB CDO TUC (IVA INC)]]*Tabla1[[#This Row],[Q Bolsas Equivalentes 50kg]]</f>
        <v>#VALUE!</v>
      </c>
      <c r="AP554" s="847"/>
      <c r="AQ554" s="846">
        <v>0</v>
      </c>
      <c r="AR554" s="828"/>
      <c r="AS554" s="849"/>
      <c r="AT554" s="923">
        <f>+Tabla1[[#This Row],[VENTA TOTAL $ (IVA INC) ]]-(SUM(Tabla1[[#This Row],[PENDIENTE DE ENTREGA]:[VALORES COBRADOS]]))</f>
        <v>0</v>
      </c>
      <c r="AU554" s="850" t="e">
        <f>VLOOKUP(Tabla1[[#This Row],[FECHA OC]],'TIPO DE CAMBIO'!A:B,2,TRUE)</f>
        <v>#N/A</v>
      </c>
      <c r="AV554" s="850" t="e">
        <f>+Tabla1[[#This Row],[SUBTOTAL]]/Tabla1[[#This Row],[TIPO DE CAMBIO]]</f>
        <v>#N/A</v>
      </c>
      <c r="AW554" s="851"/>
      <c r="AX554" s="850" t="str">
        <f>IFERROR(Tabla1[[#This Row],[VENTA TOTAL USD A PLAZO EN CLIENTE  (SIN IVA)]]*(1+Tabla1[[#This Row],[% IVA ]]),"")</f>
        <v/>
      </c>
      <c r="AY554" s="850" t="e">
        <f>+Tabla1[[#This Row],[VENTA TOTAL USD A PLAZO EN CLIENTE  (SIN IVA)]]/Tabla1[[#This Row],[KGS]]*1000</f>
        <v>#N/A</v>
      </c>
      <c r="AZ554" s="850" t="e">
        <f>-Tabla1[[#This Row],[COSTO FLETE $ POR BOLSA 5O KG (SIN IVA)]]*20/Tabla1[[#This Row],[TIPO DE CAMBIO]]</f>
        <v>#N/A</v>
      </c>
      <c r="BA554" s="850" t="e">
        <f>+Tabla1[[#This Row],[GASTOS FINANCIEROS $ BOLSA 50 KG (IVA INC)]]*20/Tabla1[[#This Row],[TIPO DE CAMBIO]]</f>
        <v>#VALUE!</v>
      </c>
      <c r="BB554" s="850" t="e">
        <f>+Tabla1[[#This Row],[PRECIO POR TN USD EN CLIENTE A PLAZO (SIN IVA)]]+Tabla1[[#This Row],[COSTO USD FLETE /TN (SIN IVA)]]+Tabla1[[#This Row],[COSTO FINANCIERO USD POR BOLSA 50KG (IVA INC)]]</f>
        <v>#N/A</v>
      </c>
      <c r="BC554" s="828"/>
      <c r="BD554" s="944"/>
    </row>
    <row r="555" spans="1:56" ht="15.75" customHeight="1">
      <c r="A555" s="912">
        <v>46266</v>
      </c>
      <c r="B555" s="853"/>
      <c r="C555" s="792"/>
      <c r="D555" s="829">
        <f>+Tabla1[[#This Row],[FECHA Entrega]]</f>
        <v>0</v>
      </c>
      <c r="E555" s="830"/>
      <c r="F555" s="831"/>
      <c r="G555" s="832"/>
      <c r="H555" s="852"/>
      <c r="I555" s="834"/>
      <c r="J555" s="835"/>
      <c r="K555" s="836">
        <f t="shared" si="145"/>
        <v>0</v>
      </c>
      <c r="L55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55" s="837">
        <f t="shared" si="147"/>
        <v>0</v>
      </c>
      <c r="N555" s="838">
        <f>+Tabla1[[#This Row],[VENTA TOTAL $ (IVA INC) ]]</f>
        <v>0</v>
      </c>
      <c r="O555" s="838">
        <v>0</v>
      </c>
      <c r="P555" s="838">
        <v>0</v>
      </c>
      <c r="Q555" s="839">
        <f>+Tabla1[[#This Row],[VENTA TOTAL $ (IVA INC) ]]-Tabla1[[#This Row],[PENDIENTE DE COBRO]]</f>
        <v>0</v>
      </c>
      <c r="R555" s="840">
        <f>+Tabla1[[#This Row],[FECHA FC]]+Tabla1[[#This Row],[PLAZO ENTREGA VALORES]]</f>
        <v>0</v>
      </c>
      <c r="S555" s="840">
        <f>+Tabla1[[#This Row],[FECHA FC]]+Tabla1[[#This Row],[PLAZO PAGO (DIAS)]]</f>
        <v>0</v>
      </c>
      <c r="T555" s="834">
        <f t="shared" ca="1" si="146"/>
        <v>-46181</v>
      </c>
      <c r="U555" s="831"/>
      <c r="V555" s="831"/>
      <c r="W555" s="841">
        <f>+Tabla1[[#This Row],[FECHA VTO VALORES]]+7</f>
        <v>7</v>
      </c>
      <c r="X555" s="830"/>
      <c r="Y555" s="859"/>
      <c r="Z555" s="860">
        <f>Tabla1[[#This Row],[KGS]]/50</f>
        <v>0</v>
      </c>
      <c r="AA55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55" s="844">
        <f>-Tabla1[[#This Row],[COSTO FLETE $ POR BOLSA 5O KG (SIN IVA)]]*1.21-Tabla1[[#This Row],[PRECIO $/ KG A PLAZO EN CLIENTE ( SIN IVA)]]*0.003*1.21*50</f>
        <v>0</v>
      </c>
      <c r="AC555" s="845" t="e">
        <f>SUM(Tabla1[[#This Row],[PRECIO $ BOLSA 50 KG (IVA INC) ]]+Tabla1[[#This Row],[COSTO FLETE $ BOLSA 50 KG (IVA INC)]])</f>
        <v>#VALUE!</v>
      </c>
      <c r="AD555" s="844" t="e">
        <f>-Tabla1[[#This Row],[PRECIO $ BOLSA 50 KG (IVA INC) ]]*(Tabla1[[#This Row],[TASA FINANCIACION MENSUAL]]/365)*Tabla1[[#This Row],[PLAZO ENTREGA VALORES]]</f>
        <v>#VALUE!</v>
      </c>
      <c r="AE555" s="845" t="e">
        <f>SUM(Tabla1[[#This Row],[PRECIO $ BOLSA50 KG  FOB TUCUMAN A PLAZO (IVA INC)]]+Tabla1[[#This Row],[GASTOS FINANCIEROS $ BOLSA 50 KG (IVA INC)]])</f>
        <v>#VALUE!</v>
      </c>
      <c r="AF555" s="828"/>
      <c r="AG555" s="828"/>
      <c r="AH555" s="828"/>
      <c r="AI555" s="828"/>
      <c r="AJ55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55" s="846" t="e">
        <f>SUM(Tabla1[[#This Row],[PRECIO $ BOLSA 50KG  FOB CDO TUC (IVA INC)]]-Tabla1[[#This Row],[PRECIO REF $ BOLSA 50 KG CACTU (IVA INC)]])</f>
        <v>#VALUE!</v>
      </c>
      <c r="AL555" s="847" t="str">
        <f>IFERROR(Tabla1[[#This Row],[PRECIO $ BOLSA 50KG  FOB CDO TUC (IVA INC)]]/Tabla1[[#This Row],[PRECIO REF $ BOLSA 50 KG CACTU (IVA INC)]]-1,"")</f>
        <v/>
      </c>
      <c r="AM555" s="846" t="e">
        <f>+Tabla1[[#This Row],[DIF $ PRECIO NETO INDUSTRIA vs Neto TUCUMAN (IVA INC)]]*Tabla1[[#This Row],[Q Bolsas Equivalentes 50kg]]</f>
        <v>#VALUE!</v>
      </c>
      <c r="AN555" s="846" t="e">
        <f>Tabla1[[#This Row],[PRECIO REF $ BOLSA 50 KG CACTU (IVA INC)]]*Tabla1[[#This Row],[Q Bolsas Equivalentes 50kg]]</f>
        <v>#VALUE!</v>
      </c>
      <c r="AO555" s="846" t="e">
        <f>+Tabla1[[#This Row],[PRECIO $ BOLSA 50KG  FOB CDO TUC (IVA INC)]]*Tabla1[[#This Row],[Q Bolsas Equivalentes 50kg]]</f>
        <v>#VALUE!</v>
      </c>
      <c r="AP555" s="847"/>
      <c r="AQ555" s="846">
        <v>0</v>
      </c>
      <c r="AR555" s="828"/>
      <c r="AS555" s="849"/>
      <c r="AT555" s="923">
        <f>+Tabla1[[#This Row],[VENTA TOTAL $ (IVA INC) ]]-(SUM(Tabla1[[#This Row],[PENDIENTE DE ENTREGA]:[VALORES COBRADOS]]))</f>
        <v>0</v>
      </c>
      <c r="AU555" s="850" t="e">
        <f>VLOOKUP(Tabla1[[#This Row],[FECHA OC]],'TIPO DE CAMBIO'!A:B,2,TRUE)</f>
        <v>#N/A</v>
      </c>
      <c r="AV555" s="850" t="e">
        <f>+Tabla1[[#This Row],[SUBTOTAL]]/Tabla1[[#This Row],[TIPO DE CAMBIO]]</f>
        <v>#N/A</v>
      </c>
      <c r="AW555" s="851"/>
      <c r="AX555" s="850" t="str">
        <f>IFERROR(Tabla1[[#This Row],[VENTA TOTAL USD A PLAZO EN CLIENTE  (SIN IVA)]]*(1+Tabla1[[#This Row],[% IVA ]]),"")</f>
        <v/>
      </c>
      <c r="AY555" s="850" t="e">
        <f>+Tabla1[[#This Row],[VENTA TOTAL USD A PLAZO EN CLIENTE  (SIN IVA)]]/Tabla1[[#This Row],[KGS]]*1000</f>
        <v>#N/A</v>
      </c>
      <c r="AZ555" s="850" t="e">
        <f>-Tabla1[[#This Row],[COSTO FLETE $ POR BOLSA 5O KG (SIN IVA)]]*20/Tabla1[[#This Row],[TIPO DE CAMBIO]]</f>
        <v>#N/A</v>
      </c>
      <c r="BA555" s="850" t="e">
        <f>+Tabla1[[#This Row],[GASTOS FINANCIEROS $ BOLSA 50 KG (IVA INC)]]*20/Tabla1[[#This Row],[TIPO DE CAMBIO]]</f>
        <v>#VALUE!</v>
      </c>
      <c r="BB555" s="850" t="e">
        <f>+Tabla1[[#This Row],[PRECIO POR TN USD EN CLIENTE A PLAZO (SIN IVA)]]+Tabla1[[#This Row],[COSTO USD FLETE /TN (SIN IVA)]]+Tabla1[[#This Row],[COSTO FINANCIERO USD POR BOLSA 50KG (IVA INC)]]</f>
        <v>#N/A</v>
      </c>
      <c r="BC555" s="848"/>
      <c r="BD555" s="944"/>
    </row>
    <row r="556" spans="1:56" ht="15.75" customHeight="1">
      <c r="A556" s="912">
        <v>46266</v>
      </c>
      <c r="B556" s="853"/>
      <c r="C556" s="792"/>
      <c r="D556" s="829">
        <f>+Tabla1[[#This Row],[FECHA Entrega]]</f>
        <v>0</v>
      </c>
      <c r="E556" s="830"/>
      <c r="F556" s="831"/>
      <c r="G556" s="832"/>
      <c r="H556" s="852"/>
      <c r="I556" s="834"/>
      <c r="J556" s="835"/>
      <c r="K556" s="836">
        <f t="shared" si="145"/>
        <v>0</v>
      </c>
      <c r="L55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56" s="837">
        <f t="shared" si="147"/>
        <v>0</v>
      </c>
      <c r="N556" s="838">
        <f>+Tabla1[[#This Row],[VENTA TOTAL $ (IVA INC) ]]</f>
        <v>0</v>
      </c>
      <c r="O556" s="838">
        <v>0</v>
      </c>
      <c r="P556" s="838">
        <v>0</v>
      </c>
      <c r="Q556" s="839">
        <f>+Tabla1[[#This Row],[VENTA TOTAL $ (IVA INC) ]]-Tabla1[[#This Row],[PENDIENTE DE COBRO]]</f>
        <v>0</v>
      </c>
      <c r="R556" s="840">
        <f>+Tabla1[[#This Row],[FECHA FC]]+Tabla1[[#This Row],[PLAZO ENTREGA VALORES]]</f>
        <v>0</v>
      </c>
      <c r="S556" s="840">
        <f>+Tabla1[[#This Row],[FECHA FC]]+Tabla1[[#This Row],[PLAZO PAGO (DIAS)]]</f>
        <v>0</v>
      </c>
      <c r="T556" s="834">
        <f t="shared" ca="1" si="146"/>
        <v>-46181</v>
      </c>
      <c r="U556" s="831"/>
      <c r="V556" s="831"/>
      <c r="W556" s="841">
        <f>+Tabla1[[#This Row],[FECHA VTO VALORES]]+7</f>
        <v>7</v>
      </c>
      <c r="X556" s="830"/>
      <c r="Y556" s="859"/>
      <c r="Z556" s="860">
        <f>Tabla1[[#This Row],[KGS]]/50</f>
        <v>0</v>
      </c>
      <c r="AA55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56" s="844">
        <f>-Tabla1[[#This Row],[COSTO FLETE $ POR BOLSA 5O KG (SIN IVA)]]*1.21-Tabla1[[#This Row],[PRECIO $/ KG A PLAZO EN CLIENTE ( SIN IVA)]]*0.003*1.21*50</f>
        <v>0</v>
      </c>
      <c r="AC556" s="845" t="e">
        <f>SUM(Tabla1[[#This Row],[PRECIO $ BOLSA 50 KG (IVA INC) ]]+Tabla1[[#This Row],[COSTO FLETE $ BOLSA 50 KG (IVA INC)]])</f>
        <v>#VALUE!</v>
      </c>
      <c r="AD556" s="844" t="e">
        <f>-Tabla1[[#This Row],[PRECIO $ BOLSA 50 KG (IVA INC) ]]*(Tabla1[[#This Row],[TASA FINANCIACION MENSUAL]]/365)*Tabla1[[#This Row],[PLAZO ENTREGA VALORES]]</f>
        <v>#VALUE!</v>
      </c>
      <c r="AE556" s="845" t="e">
        <f>SUM(Tabla1[[#This Row],[PRECIO $ BOLSA50 KG  FOB TUCUMAN A PLAZO (IVA INC)]]+Tabla1[[#This Row],[GASTOS FINANCIEROS $ BOLSA 50 KG (IVA INC)]])</f>
        <v>#VALUE!</v>
      </c>
      <c r="AF556" s="828"/>
      <c r="AG556" s="828"/>
      <c r="AH556" s="828"/>
      <c r="AI556" s="828"/>
      <c r="AJ55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56" s="846" t="e">
        <f>SUM(Tabla1[[#This Row],[PRECIO $ BOLSA 50KG  FOB CDO TUC (IVA INC)]]-Tabla1[[#This Row],[PRECIO REF $ BOLSA 50 KG CACTU (IVA INC)]])</f>
        <v>#VALUE!</v>
      </c>
      <c r="AL556" s="847" t="str">
        <f>IFERROR(Tabla1[[#This Row],[PRECIO $ BOLSA 50KG  FOB CDO TUC (IVA INC)]]/Tabla1[[#This Row],[PRECIO REF $ BOLSA 50 KG CACTU (IVA INC)]]-1,"")</f>
        <v/>
      </c>
      <c r="AM556" s="846" t="e">
        <f>+Tabla1[[#This Row],[DIF $ PRECIO NETO INDUSTRIA vs Neto TUCUMAN (IVA INC)]]*Tabla1[[#This Row],[Q Bolsas Equivalentes 50kg]]</f>
        <v>#VALUE!</v>
      </c>
      <c r="AN556" s="846" t="e">
        <f>Tabla1[[#This Row],[PRECIO REF $ BOLSA 50 KG CACTU (IVA INC)]]*Tabla1[[#This Row],[Q Bolsas Equivalentes 50kg]]</f>
        <v>#VALUE!</v>
      </c>
      <c r="AO556" s="846" t="e">
        <f>+Tabla1[[#This Row],[PRECIO $ BOLSA 50KG  FOB CDO TUC (IVA INC)]]*Tabla1[[#This Row],[Q Bolsas Equivalentes 50kg]]</f>
        <v>#VALUE!</v>
      </c>
      <c r="AP556" s="847"/>
      <c r="AQ556" s="846">
        <v>0</v>
      </c>
      <c r="AR556" s="828"/>
      <c r="AS556" s="849"/>
      <c r="AT556" s="923">
        <f>+Tabla1[[#This Row],[VENTA TOTAL $ (IVA INC) ]]-(SUM(Tabla1[[#This Row],[PENDIENTE DE ENTREGA]:[VALORES COBRADOS]]))</f>
        <v>0</v>
      </c>
      <c r="AU556" s="850" t="e">
        <f>VLOOKUP(Tabla1[[#This Row],[FECHA OC]],'TIPO DE CAMBIO'!A:B,2,TRUE)</f>
        <v>#N/A</v>
      </c>
      <c r="AV556" s="850" t="e">
        <f>+Tabla1[[#This Row],[SUBTOTAL]]/Tabla1[[#This Row],[TIPO DE CAMBIO]]</f>
        <v>#N/A</v>
      </c>
      <c r="AW556" s="851"/>
      <c r="AX556" s="850" t="str">
        <f>IFERROR(Tabla1[[#This Row],[VENTA TOTAL USD A PLAZO EN CLIENTE  (SIN IVA)]]*(1+Tabla1[[#This Row],[% IVA ]]),"")</f>
        <v/>
      </c>
      <c r="AY556" s="850" t="e">
        <f>+Tabla1[[#This Row],[VENTA TOTAL USD A PLAZO EN CLIENTE  (SIN IVA)]]/Tabla1[[#This Row],[KGS]]*1000</f>
        <v>#N/A</v>
      </c>
      <c r="AZ556" s="850" t="e">
        <f>-Tabla1[[#This Row],[COSTO FLETE $ POR BOLSA 5O KG (SIN IVA)]]*20/Tabla1[[#This Row],[TIPO DE CAMBIO]]</f>
        <v>#N/A</v>
      </c>
      <c r="BA556" s="850" t="e">
        <f>+Tabla1[[#This Row],[GASTOS FINANCIEROS $ BOLSA 50 KG (IVA INC)]]*20/Tabla1[[#This Row],[TIPO DE CAMBIO]]</f>
        <v>#VALUE!</v>
      </c>
      <c r="BB556" s="850" t="e">
        <f>+Tabla1[[#This Row],[PRECIO POR TN USD EN CLIENTE A PLAZO (SIN IVA)]]+Tabla1[[#This Row],[COSTO USD FLETE /TN (SIN IVA)]]+Tabla1[[#This Row],[COSTO FINANCIERO USD POR BOLSA 50KG (IVA INC)]]</f>
        <v>#N/A</v>
      </c>
      <c r="BC556" s="848"/>
      <c r="BD556" s="944"/>
    </row>
    <row r="557" spans="1:56" ht="15.75" customHeight="1">
      <c r="A557" s="912">
        <v>46266</v>
      </c>
      <c r="B557" s="863"/>
      <c r="C557" s="792"/>
      <c r="D557" s="829">
        <f>+Tabla1[[#This Row],[FECHA Entrega]]</f>
        <v>0</v>
      </c>
      <c r="E557" s="830"/>
      <c r="F557" s="831"/>
      <c r="G557" s="832"/>
      <c r="H557" s="852"/>
      <c r="I557" s="834"/>
      <c r="J557" s="835"/>
      <c r="K557" s="836">
        <f t="shared" si="145"/>
        <v>0</v>
      </c>
      <c r="L55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57" s="837">
        <f t="shared" si="147"/>
        <v>0</v>
      </c>
      <c r="N557" s="838">
        <f>+Tabla1[[#This Row],[VENTA TOTAL $ (IVA INC) ]]</f>
        <v>0</v>
      </c>
      <c r="O557" s="838">
        <v>0</v>
      </c>
      <c r="P557" s="838">
        <v>0</v>
      </c>
      <c r="Q557" s="839">
        <f>+Tabla1[[#This Row],[VENTA TOTAL $ (IVA INC) ]]-Tabla1[[#This Row],[PENDIENTE DE COBRO]]</f>
        <v>0</v>
      </c>
      <c r="R557" s="840">
        <f>+Tabla1[[#This Row],[FECHA FC]]+Tabla1[[#This Row],[PLAZO ENTREGA VALORES]]</f>
        <v>0</v>
      </c>
      <c r="S557" s="840">
        <f>+Tabla1[[#This Row],[FECHA FC]]+Tabla1[[#This Row],[PLAZO PAGO (DIAS)]]</f>
        <v>0</v>
      </c>
      <c r="T557" s="834">
        <f t="shared" ca="1" si="146"/>
        <v>-46181</v>
      </c>
      <c r="U557" s="831"/>
      <c r="V557" s="831"/>
      <c r="W557" s="841">
        <f>+Tabla1[[#This Row],[FECHA VTO VALORES]]+7</f>
        <v>7</v>
      </c>
      <c r="X557" s="830"/>
      <c r="Y557" s="859"/>
      <c r="Z557" s="860">
        <f>Tabla1[[#This Row],[KGS]]/50</f>
        <v>0</v>
      </c>
      <c r="AA55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57" s="844">
        <f>-Tabla1[[#This Row],[COSTO FLETE $ POR BOLSA 5O KG (SIN IVA)]]*1.21-Tabla1[[#This Row],[PRECIO $/ KG A PLAZO EN CLIENTE ( SIN IVA)]]*0.003*1.21*50</f>
        <v>0</v>
      </c>
      <c r="AC557" s="845" t="e">
        <f>SUM(Tabla1[[#This Row],[PRECIO $ BOLSA 50 KG (IVA INC) ]]+Tabla1[[#This Row],[COSTO FLETE $ BOLSA 50 KG (IVA INC)]])</f>
        <v>#VALUE!</v>
      </c>
      <c r="AD557" s="844" t="e">
        <f>-Tabla1[[#This Row],[PRECIO $ BOLSA 50 KG (IVA INC) ]]*(Tabla1[[#This Row],[TASA FINANCIACION MENSUAL]]/365)*Tabla1[[#This Row],[PLAZO ENTREGA VALORES]]</f>
        <v>#VALUE!</v>
      </c>
      <c r="AE557" s="845" t="e">
        <f>SUM(Tabla1[[#This Row],[PRECIO $ BOLSA50 KG  FOB TUCUMAN A PLAZO (IVA INC)]]+Tabla1[[#This Row],[GASTOS FINANCIEROS $ BOLSA 50 KG (IVA INC)]])</f>
        <v>#VALUE!</v>
      </c>
      <c r="AF557" s="828"/>
      <c r="AG557" s="828"/>
      <c r="AH557" s="828"/>
      <c r="AI557" s="828"/>
      <c r="AJ55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57" s="846" t="e">
        <f>SUM(Tabla1[[#This Row],[PRECIO $ BOLSA 50KG  FOB CDO TUC (IVA INC)]]-Tabla1[[#This Row],[PRECIO REF $ BOLSA 50 KG CACTU (IVA INC)]])</f>
        <v>#VALUE!</v>
      </c>
      <c r="AL557" s="847" t="str">
        <f>IFERROR(Tabla1[[#This Row],[PRECIO $ BOLSA 50KG  FOB CDO TUC (IVA INC)]]/Tabla1[[#This Row],[PRECIO REF $ BOLSA 50 KG CACTU (IVA INC)]]-1,"")</f>
        <v/>
      </c>
      <c r="AM557" s="846" t="e">
        <f>+Tabla1[[#This Row],[DIF $ PRECIO NETO INDUSTRIA vs Neto TUCUMAN (IVA INC)]]*Tabla1[[#This Row],[Q Bolsas Equivalentes 50kg]]</f>
        <v>#VALUE!</v>
      </c>
      <c r="AN557" s="846" t="e">
        <f>Tabla1[[#This Row],[PRECIO REF $ BOLSA 50 KG CACTU (IVA INC)]]*Tabla1[[#This Row],[Q Bolsas Equivalentes 50kg]]</f>
        <v>#VALUE!</v>
      </c>
      <c r="AO557" s="846" t="e">
        <f>+Tabla1[[#This Row],[PRECIO $ BOLSA 50KG  FOB CDO TUC (IVA INC)]]*Tabla1[[#This Row],[Q Bolsas Equivalentes 50kg]]</f>
        <v>#VALUE!</v>
      </c>
      <c r="AP557" s="847"/>
      <c r="AQ557" s="846">
        <v>0</v>
      </c>
      <c r="AR557" s="828"/>
      <c r="AS557" s="849"/>
      <c r="AT557" s="923">
        <f>+Tabla1[[#This Row],[VENTA TOTAL $ (IVA INC) ]]-(SUM(Tabla1[[#This Row],[PENDIENTE DE ENTREGA]:[VALORES COBRADOS]]))</f>
        <v>0</v>
      </c>
      <c r="AU557" s="850" t="e">
        <f>VLOOKUP(Tabla1[[#This Row],[FECHA OC]],'TIPO DE CAMBIO'!A:B,2,TRUE)</f>
        <v>#N/A</v>
      </c>
      <c r="AV557" s="850" t="e">
        <f>+Tabla1[[#This Row],[SUBTOTAL]]/Tabla1[[#This Row],[TIPO DE CAMBIO]]</f>
        <v>#N/A</v>
      </c>
      <c r="AW557" s="851"/>
      <c r="AX557" s="850" t="str">
        <f>IFERROR(Tabla1[[#This Row],[VENTA TOTAL USD A PLAZO EN CLIENTE  (SIN IVA)]]*(1+Tabla1[[#This Row],[% IVA ]]),"")</f>
        <v/>
      </c>
      <c r="AY557" s="850" t="e">
        <f>+Tabla1[[#This Row],[VENTA TOTAL USD A PLAZO EN CLIENTE  (SIN IVA)]]/Tabla1[[#This Row],[KGS]]*1000</f>
        <v>#N/A</v>
      </c>
      <c r="AZ557" s="850" t="e">
        <f>-Tabla1[[#This Row],[COSTO FLETE $ POR BOLSA 5O KG (SIN IVA)]]*20/Tabla1[[#This Row],[TIPO DE CAMBIO]]</f>
        <v>#N/A</v>
      </c>
      <c r="BA557" s="850" t="e">
        <f>+Tabla1[[#This Row],[GASTOS FINANCIEROS $ BOLSA 50 KG (IVA INC)]]*20/Tabla1[[#This Row],[TIPO DE CAMBIO]]</f>
        <v>#VALUE!</v>
      </c>
      <c r="BB557" s="850" t="e">
        <f>+Tabla1[[#This Row],[PRECIO POR TN USD EN CLIENTE A PLAZO (SIN IVA)]]+Tabla1[[#This Row],[COSTO USD FLETE /TN (SIN IVA)]]+Tabla1[[#This Row],[COSTO FINANCIERO USD POR BOLSA 50KG (IVA INC)]]</f>
        <v>#N/A</v>
      </c>
      <c r="BC557" s="848"/>
      <c r="BD557" s="944"/>
    </row>
    <row r="558" spans="1:56" ht="15.75" customHeight="1">
      <c r="A558" s="912">
        <v>46266</v>
      </c>
      <c r="B558" s="863"/>
      <c r="C558" s="792"/>
      <c r="D558" s="829">
        <f>+Tabla1[[#This Row],[FECHA Entrega]]</f>
        <v>0</v>
      </c>
      <c r="E558" s="830"/>
      <c r="F558" s="831"/>
      <c r="G558" s="832"/>
      <c r="H558" s="852"/>
      <c r="I558" s="834"/>
      <c r="J558" s="835"/>
      <c r="K558" s="836">
        <f t="shared" si="145"/>
        <v>0</v>
      </c>
      <c r="L55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58" s="837">
        <f t="shared" si="147"/>
        <v>0</v>
      </c>
      <c r="N558" s="838">
        <f>+Tabla1[[#This Row],[VENTA TOTAL $ (IVA INC) ]]</f>
        <v>0</v>
      </c>
      <c r="O558" s="838">
        <v>0</v>
      </c>
      <c r="P558" s="838">
        <v>0</v>
      </c>
      <c r="Q558" s="839">
        <f>+Tabla1[[#This Row],[VENTA TOTAL $ (IVA INC) ]]-Tabla1[[#This Row],[PENDIENTE DE COBRO]]</f>
        <v>0</v>
      </c>
      <c r="R558" s="840">
        <f>+Tabla1[[#This Row],[FECHA FC]]+Tabla1[[#This Row],[PLAZO ENTREGA VALORES]]</f>
        <v>0</v>
      </c>
      <c r="S558" s="840">
        <f>+Tabla1[[#This Row],[FECHA FC]]+Tabla1[[#This Row],[PLAZO PAGO (DIAS)]]</f>
        <v>0</v>
      </c>
      <c r="T558" s="834">
        <f t="shared" ca="1" si="146"/>
        <v>-46181</v>
      </c>
      <c r="U558" s="831"/>
      <c r="V558" s="831"/>
      <c r="W558" s="841">
        <f>+Tabla1[[#This Row],[FECHA VTO VALORES]]+7</f>
        <v>7</v>
      </c>
      <c r="X558" s="830"/>
      <c r="Y558" s="859"/>
      <c r="Z558" s="860">
        <f>Tabla1[[#This Row],[KGS]]/50</f>
        <v>0</v>
      </c>
      <c r="AA55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58" s="844">
        <f>-Tabla1[[#This Row],[COSTO FLETE $ POR BOLSA 5O KG (SIN IVA)]]*1.21-Tabla1[[#This Row],[PRECIO $/ KG A PLAZO EN CLIENTE ( SIN IVA)]]*0.003*1.21*50</f>
        <v>0</v>
      </c>
      <c r="AC558" s="845" t="e">
        <f>SUM(Tabla1[[#This Row],[PRECIO $ BOLSA 50 KG (IVA INC) ]]+Tabla1[[#This Row],[COSTO FLETE $ BOLSA 50 KG (IVA INC)]])</f>
        <v>#VALUE!</v>
      </c>
      <c r="AD558" s="844" t="e">
        <f>-Tabla1[[#This Row],[PRECIO $ BOLSA 50 KG (IVA INC) ]]*(Tabla1[[#This Row],[TASA FINANCIACION MENSUAL]]/365)*Tabla1[[#This Row],[PLAZO ENTREGA VALORES]]</f>
        <v>#VALUE!</v>
      </c>
      <c r="AE558" s="845" t="e">
        <f>SUM(Tabla1[[#This Row],[PRECIO $ BOLSA50 KG  FOB TUCUMAN A PLAZO (IVA INC)]]+Tabla1[[#This Row],[GASTOS FINANCIEROS $ BOLSA 50 KG (IVA INC)]])</f>
        <v>#VALUE!</v>
      </c>
      <c r="AF558" s="828"/>
      <c r="AG558" s="828"/>
      <c r="AH558" s="828"/>
      <c r="AI558" s="828"/>
      <c r="AJ55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58" s="846" t="e">
        <f>SUM(Tabla1[[#This Row],[PRECIO $ BOLSA 50KG  FOB CDO TUC (IVA INC)]]-Tabla1[[#This Row],[PRECIO REF $ BOLSA 50 KG CACTU (IVA INC)]])</f>
        <v>#VALUE!</v>
      </c>
      <c r="AL558" s="847" t="str">
        <f>IFERROR(Tabla1[[#This Row],[PRECIO $ BOLSA 50KG  FOB CDO TUC (IVA INC)]]/Tabla1[[#This Row],[PRECIO REF $ BOLSA 50 KG CACTU (IVA INC)]]-1,"")</f>
        <v/>
      </c>
      <c r="AM558" s="846" t="e">
        <f>+Tabla1[[#This Row],[DIF $ PRECIO NETO INDUSTRIA vs Neto TUCUMAN (IVA INC)]]*Tabla1[[#This Row],[Q Bolsas Equivalentes 50kg]]</f>
        <v>#VALUE!</v>
      </c>
      <c r="AN558" s="846" t="e">
        <f>Tabla1[[#This Row],[PRECIO REF $ BOLSA 50 KG CACTU (IVA INC)]]*Tabla1[[#This Row],[Q Bolsas Equivalentes 50kg]]</f>
        <v>#VALUE!</v>
      </c>
      <c r="AO558" s="846" t="e">
        <f>+Tabla1[[#This Row],[PRECIO $ BOLSA 50KG  FOB CDO TUC (IVA INC)]]*Tabla1[[#This Row],[Q Bolsas Equivalentes 50kg]]</f>
        <v>#VALUE!</v>
      </c>
      <c r="AP558" s="847"/>
      <c r="AQ558" s="846">
        <v>0</v>
      </c>
      <c r="AR558" s="828"/>
      <c r="AS558" s="849"/>
      <c r="AT558" s="923">
        <f>+Tabla1[[#This Row],[VENTA TOTAL $ (IVA INC) ]]-(SUM(Tabla1[[#This Row],[PENDIENTE DE ENTREGA]:[VALORES COBRADOS]]))</f>
        <v>0</v>
      </c>
      <c r="AU558" s="850" t="e">
        <f>VLOOKUP(Tabla1[[#This Row],[FECHA OC]],'TIPO DE CAMBIO'!A:B,2,TRUE)</f>
        <v>#N/A</v>
      </c>
      <c r="AV558" s="850" t="e">
        <f>+Tabla1[[#This Row],[SUBTOTAL]]/Tabla1[[#This Row],[TIPO DE CAMBIO]]</f>
        <v>#N/A</v>
      </c>
      <c r="AW558" s="851"/>
      <c r="AX558" s="850" t="str">
        <f>IFERROR(Tabla1[[#This Row],[VENTA TOTAL USD A PLAZO EN CLIENTE  (SIN IVA)]]*(1+Tabla1[[#This Row],[% IVA ]]),"")</f>
        <v/>
      </c>
      <c r="AY558" s="850" t="e">
        <f>+Tabla1[[#This Row],[VENTA TOTAL USD A PLAZO EN CLIENTE  (SIN IVA)]]/Tabla1[[#This Row],[KGS]]*1000</f>
        <v>#N/A</v>
      </c>
      <c r="AZ558" s="850" t="e">
        <f>-Tabla1[[#This Row],[COSTO FLETE $ POR BOLSA 5O KG (SIN IVA)]]*20/Tabla1[[#This Row],[TIPO DE CAMBIO]]</f>
        <v>#N/A</v>
      </c>
      <c r="BA558" s="850" t="e">
        <f>+Tabla1[[#This Row],[GASTOS FINANCIEROS $ BOLSA 50 KG (IVA INC)]]*20/Tabla1[[#This Row],[TIPO DE CAMBIO]]</f>
        <v>#VALUE!</v>
      </c>
      <c r="BB558" s="850" t="e">
        <f>+Tabla1[[#This Row],[PRECIO POR TN USD EN CLIENTE A PLAZO (SIN IVA)]]+Tabla1[[#This Row],[COSTO USD FLETE /TN (SIN IVA)]]+Tabla1[[#This Row],[COSTO FINANCIERO USD POR BOLSA 50KG (IVA INC)]]</f>
        <v>#N/A</v>
      </c>
      <c r="BC558" s="848"/>
      <c r="BD558" s="944"/>
    </row>
    <row r="559" spans="1:56" ht="15.75" customHeight="1">
      <c r="A559" s="912">
        <v>46266</v>
      </c>
      <c r="B559" s="863"/>
      <c r="C559" s="792"/>
      <c r="D559" s="829">
        <f>+Tabla1[[#This Row],[FECHA Entrega]]</f>
        <v>0</v>
      </c>
      <c r="E559" s="830"/>
      <c r="F559" s="831"/>
      <c r="G559" s="832"/>
      <c r="H559" s="852"/>
      <c r="I559" s="834"/>
      <c r="J559" s="835"/>
      <c r="K559" s="836">
        <f t="shared" si="145"/>
        <v>0</v>
      </c>
      <c r="L55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59" s="837">
        <f t="shared" si="147"/>
        <v>0</v>
      </c>
      <c r="N559" s="838">
        <f>+Tabla1[[#This Row],[VENTA TOTAL $ (IVA INC) ]]</f>
        <v>0</v>
      </c>
      <c r="O559" s="838">
        <v>0</v>
      </c>
      <c r="P559" s="838">
        <v>0</v>
      </c>
      <c r="Q559" s="839">
        <f>+Tabla1[[#This Row],[VENTA TOTAL $ (IVA INC) ]]-Tabla1[[#This Row],[PENDIENTE DE COBRO]]</f>
        <v>0</v>
      </c>
      <c r="R559" s="840">
        <f>+Tabla1[[#This Row],[FECHA FC]]+Tabla1[[#This Row],[PLAZO ENTREGA VALORES]]</f>
        <v>0</v>
      </c>
      <c r="S559" s="840">
        <f>+Tabla1[[#This Row],[FECHA FC]]+Tabla1[[#This Row],[PLAZO PAGO (DIAS)]]</f>
        <v>0</v>
      </c>
      <c r="T559" s="834">
        <f t="shared" ca="1" si="146"/>
        <v>-46181</v>
      </c>
      <c r="U559" s="831"/>
      <c r="V559" s="831"/>
      <c r="W559" s="841">
        <f>+Tabla1[[#This Row],[FECHA VTO VALORES]]+7</f>
        <v>7</v>
      </c>
      <c r="X559" s="830"/>
      <c r="Y559" s="859"/>
      <c r="Z559" s="860">
        <f>Tabla1[[#This Row],[KGS]]/50</f>
        <v>0</v>
      </c>
      <c r="AA55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59" s="844">
        <f>-Tabla1[[#This Row],[COSTO FLETE $ POR BOLSA 5O KG (SIN IVA)]]*1.21-Tabla1[[#This Row],[PRECIO $/ KG A PLAZO EN CLIENTE ( SIN IVA)]]*0.003*1.21*50</f>
        <v>0</v>
      </c>
      <c r="AC559" s="845" t="e">
        <f>SUM(Tabla1[[#This Row],[PRECIO $ BOLSA 50 KG (IVA INC) ]]+Tabla1[[#This Row],[COSTO FLETE $ BOLSA 50 KG (IVA INC)]])</f>
        <v>#VALUE!</v>
      </c>
      <c r="AD559" s="844" t="e">
        <f>-Tabla1[[#This Row],[PRECIO $ BOLSA 50 KG (IVA INC) ]]*(Tabla1[[#This Row],[TASA FINANCIACION MENSUAL]]/365)*Tabla1[[#This Row],[PLAZO ENTREGA VALORES]]</f>
        <v>#VALUE!</v>
      </c>
      <c r="AE559" s="845" t="e">
        <f>SUM(Tabla1[[#This Row],[PRECIO $ BOLSA50 KG  FOB TUCUMAN A PLAZO (IVA INC)]]+Tabla1[[#This Row],[GASTOS FINANCIEROS $ BOLSA 50 KG (IVA INC)]])</f>
        <v>#VALUE!</v>
      </c>
      <c r="AF559" s="828"/>
      <c r="AG559" s="828"/>
      <c r="AH559" s="828"/>
      <c r="AI559" s="828"/>
      <c r="AJ55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59" s="846" t="e">
        <f>SUM(Tabla1[[#This Row],[PRECIO $ BOLSA 50KG  FOB CDO TUC (IVA INC)]]-Tabla1[[#This Row],[PRECIO REF $ BOLSA 50 KG CACTU (IVA INC)]])</f>
        <v>#VALUE!</v>
      </c>
      <c r="AL559" s="847" t="str">
        <f>IFERROR(Tabla1[[#This Row],[PRECIO $ BOLSA 50KG  FOB CDO TUC (IVA INC)]]/Tabla1[[#This Row],[PRECIO REF $ BOLSA 50 KG CACTU (IVA INC)]]-1,"")</f>
        <v/>
      </c>
      <c r="AM559" s="846" t="e">
        <f>+Tabla1[[#This Row],[DIF $ PRECIO NETO INDUSTRIA vs Neto TUCUMAN (IVA INC)]]*Tabla1[[#This Row],[Q Bolsas Equivalentes 50kg]]</f>
        <v>#VALUE!</v>
      </c>
      <c r="AN559" s="846" t="e">
        <f>Tabla1[[#This Row],[PRECIO REF $ BOLSA 50 KG CACTU (IVA INC)]]*Tabla1[[#This Row],[Q Bolsas Equivalentes 50kg]]</f>
        <v>#VALUE!</v>
      </c>
      <c r="AO559" s="846" t="e">
        <f>+Tabla1[[#This Row],[PRECIO $ BOLSA 50KG  FOB CDO TUC (IVA INC)]]*Tabla1[[#This Row],[Q Bolsas Equivalentes 50kg]]</f>
        <v>#VALUE!</v>
      </c>
      <c r="AP559" s="847"/>
      <c r="AQ559" s="846">
        <v>0</v>
      </c>
      <c r="AR559" s="828"/>
      <c r="AS559" s="849"/>
      <c r="AT559" s="923">
        <f>+Tabla1[[#This Row],[VENTA TOTAL $ (IVA INC) ]]-(SUM(Tabla1[[#This Row],[PENDIENTE DE ENTREGA]:[VALORES COBRADOS]]))</f>
        <v>0</v>
      </c>
      <c r="AU559" s="850" t="e">
        <f>VLOOKUP(Tabla1[[#This Row],[FECHA OC]],'TIPO DE CAMBIO'!A:B,2,TRUE)</f>
        <v>#N/A</v>
      </c>
      <c r="AV559" s="850" t="e">
        <f>+Tabla1[[#This Row],[SUBTOTAL]]/Tabla1[[#This Row],[TIPO DE CAMBIO]]</f>
        <v>#N/A</v>
      </c>
      <c r="AW559" s="851"/>
      <c r="AX559" s="850" t="str">
        <f>IFERROR(Tabla1[[#This Row],[VENTA TOTAL USD A PLAZO EN CLIENTE  (SIN IVA)]]*(1+Tabla1[[#This Row],[% IVA ]]),"")</f>
        <v/>
      </c>
      <c r="AY559" s="850" t="e">
        <f>+Tabla1[[#This Row],[VENTA TOTAL USD A PLAZO EN CLIENTE  (SIN IVA)]]/Tabla1[[#This Row],[KGS]]*1000</f>
        <v>#N/A</v>
      </c>
      <c r="AZ559" s="850" t="e">
        <f>-Tabla1[[#This Row],[COSTO FLETE $ POR BOLSA 5O KG (SIN IVA)]]*20/Tabla1[[#This Row],[TIPO DE CAMBIO]]</f>
        <v>#N/A</v>
      </c>
      <c r="BA559" s="850" t="e">
        <f>+Tabla1[[#This Row],[GASTOS FINANCIEROS $ BOLSA 50 KG (IVA INC)]]*20/Tabla1[[#This Row],[TIPO DE CAMBIO]]</f>
        <v>#VALUE!</v>
      </c>
      <c r="BB559" s="850" t="e">
        <f>+Tabla1[[#This Row],[PRECIO POR TN USD EN CLIENTE A PLAZO (SIN IVA)]]+Tabla1[[#This Row],[COSTO USD FLETE /TN (SIN IVA)]]+Tabla1[[#This Row],[COSTO FINANCIERO USD POR BOLSA 50KG (IVA INC)]]</f>
        <v>#N/A</v>
      </c>
      <c r="BC559" s="848"/>
      <c r="BD559" s="944"/>
    </row>
    <row r="560" spans="1:56" ht="15.75" customHeight="1">
      <c r="A560" s="912">
        <v>46266</v>
      </c>
      <c r="B560" s="863"/>
      <c r="C560" s="792"/>
      <c r="D560" s="829">
        <f>+Tabla1[[#This Row],[FECHA Entrega]]</f>
        <v>0</v>
      </c>
      <c r="E560" s="830"/>
      <c r="F560" s="831"/>
      <c r="G560" s="832"/>
      <c r="H560" s="852"/>
      <c r="I560" s="834"/>
      <c r="J560" s="835"/>
      <c r="K560" s="836">
        <f t="shared" si="145"/>
        <v>0</v>
      </c>
      <c r="L56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60" s="837">
        <f t="shared" si="147"/>
        <v>0</v>
      </c>
      <c r="N560" s="838">
        <f>+Tabla1[[#This Row],[VENTA TOTAL $ (IVA INC) ]]</f>
        <v>0</v>
      </c>
      <c r="O560" s="838">
        <v>0</v>
      </c>
      <c r="P560" s="838">
        <v>0</v>
      </c>
      <c r="Q560" s="839">
        <f>+Tabla1[[#This Row],[VENTA TOTAL $ (IVA INC) ]]-Tabla1[[#This Row],[PENDIENTE DE COBRO]]</f>
        <v>0</v>
      </c>
      <c r="R560" s="840">
        <f>+Tabla1[[#This Row],[FECHA FC]]+Tabla1[[#This Row],[PLAZO ENTREGA VALORES]]</f>
        <v>0</v>
      </c>
      <c r="S560" s="840">
        <f>+Tabla1[[#This Row],[FECHA FC]]+Tabla1[[#This Row],[PLAZO PAGO (DIAS)]]</f>
        <v>0</v>
      </c>
      <c r="T560" s="834">
        <f t="shared" ca="1" si="146"/>
        <v>-46181</v>
      </c>
      <c r="U560" s="831"/>
      <c r="V560" s="831"/>
      <c r="W560" s="841">
        <f>+Tabla1[[#This Row],[FECHA VTO VALORES]]+7</f>
        <v>7</v>
      </c>
      <c r="X560" s="830"/>
      <c r="Y560" s="859"/>
      <c r="Z560" s="860">
        <f>Tabla1[[#This Row],[KGS]]/50</f>
        <v>0</v>
      </c>
      <c r="AA56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60" s="844">
        <f>-Tabla1[[#This Row],[COSTO FLETE $ POR BOLSA 5O KG (SIN IVA)]]*1.21-Tabla1[[#This Row],[PRECIO $/ KG A PLAZO EN CLIENTE ( SIN IVA)]]*0.003*1.21*50</f>
        <v>0</v>
      </c>
      <c r="AC560" s="845" t="e">
        <f>SUM(Tabla1[[#This Row],[PRECIO $ BOLSA 50 KG (IVA INC) ]]+Tabla1[[#This Row],[COSTO FLETE $ BOLSA 50 KG (IVA INC)]])</f>
        <v>#VALUE!</v>
      </c>
      <c r="AD560" s="844" t="e">
        <f>-Tabla1[[#This Row],[PRECIO $ BOLSA 50 KG (IVA INC) ]]*(Tabla1[[#This Row],[TASA FINANCIACION MENSUAL]]/365)*Tabla1[[#This Row],[PLAZO ENTREGA VALORES]]</f>
        <v>#VALUE!</v>
      </c>
      <c r="AE560" s="845" t="e">
        <f>SUM(Tabla1[[#This Row],[PRECIO $ BOLSA50 KG  FOB TUCUMAN A PLAZO (IVA INC)]]+Tabla1[[#This Row],[GASTOS FINANCIEROS $ BOLSA 50 KG (IVA INC)]])</f>
        <v>#VALUE!</v>
      </c>
      <c r="AF560" s="828"/>
      <c r="AG560" s="828"/>
      <c r="AH560" s="828"/>
      <c r="AI560" s="828"/>
      <c r="AJ56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60" s="846" t="e">
        <f>SUM(Tabla1[[#This Row],[PRECIO $ BOLSA 50KG  FOB CDO TUC (IVA INC)]]-Tabla1[[#This Row],[PRECIO REF $ BOLSA 50 KG CACTU (IVA INC)]])</f>
        <v>#VALUE!</v>
      </c>
      <c r="AL560" s="847" t="str">
        <f>IFERROR(Tabla1[[#This Row],[PRECIO $ BOLSA 50KG  FOB CDO TUC (IVA INC)]]/Tabla1[[#This Row],[PRECIO REF $ BOLSA 50 KG CACTU (IVA INC)]]-1,"")</f>
        <v/>
      </c>
      <c r="AM560" s="846" t="e">
        <f>+Tabla1[[#This Row],[DIF $ PRECIO NETO INDUSTRIA vs Neto TUCUMAN (IVA INC)]]*Tabla1[[#This Row],[Q Bolsas Equivalentes 50kg]]</f>
        <v>#VALUE!</v>
      </c>
      <c r="AN560" s="846" t="e">
        <f>Tabla1[[#This Row],[PRECIO REF $ BOLSA 50 KG CACTU (IVA INC)]]*Tabla1[[#This Row],[Q Bolsas Equivalentes 50kg]]</f>
        <v>#VALUE!</v>
      </c>
      <c r="AO560" s="846" t="e">
        <f>+Tabla1[[#This Row],[PRECIO $ BOLSA 50KG  FOB CDO TUC (IVA INC)]]*Tabla1[[#This Row],[Q Bolsas Equivalentes 50kg]]</f>
        <v>#VALUE!</v>
      </c>
      <c r="AP560" s="847"/>
      <c r="AQ560" s="846">
        <v>0</v>
      </c>
      <c r="AR560" s="828"/>
      <c r="AS560" s="849"/>
      <c r="AT560" s="923">
        <f>+Tabla1[[#This Row],[VENTA TOTAL $ (IVA INC) ]]-(SUM(Tabla1[[#This Row],[PENDIENTE DE ENTREGA]:[VALORES COBRADOS]]))</f>
        <v>0</v>
      </c>
      <c r="AU560" s="850" t="e">
        <f>VLOOKUP(Tabla1[[#This Row],[FECHA OC]],'TIPO DE CAMBIO'!A:B,2,TRUE)</f>
        <v>#N/A</v>
      </c>
      <c r="AV560" s="850" t="e">
        <f>+Tabla1[[#This Row],[SUBTOTAL]]/Tabla1[[#This Row],[TIPO DE CAMBIO]]</f>
        <v>#N/A</v>
      </c>
      <c r="AW560" s="851"/>
      <c r="AX560" s="850" t="str">
        <f>IFERROR(Tabla1[[#This Row],[VENTA TOTAL USD A PLAZO EN CLIENTE  (SIN IVA)]]*(1+Tabla1[[#This Row],[% IVA ]]),"")</f>
        <v/>
      </c>
      <c r="AY560" s="850" t="e">
        <f>+Tabla1[[#This Row],[VENTA TOTAL USD A PLAZO EN CLIENTE  (SIN IVA)]]/Tabla1[[#This Row],[KGS]]*1000</f>
        <v>#N/A</v>
      </c>
      <c r="AZ560" s="850" t="e">
        <f>-Tabla1[[#This Row],[COSTO FLETE $ POR BOLSA 5O KG (SIN IVA)]]*20/Tabla1[[#This Row],[TIPO DE CAMBIO]]</f>
        <v>#N/A</v>
      </c>
      <c r="BA560" s="850" t="e">
        <f>+Tabla1[[#This Row],[GASTOS FINANCIEROS $ BOLSA 50 KG (IVA INC)]]*20/Tabla1[[#This Row],[TIPO DE CAMBIO]]</f>
        <v>#VALUE!</v>
      </c>
      <c r="BB560" s="850" t="e">
        <f>+Tabla1[[#This Row],[PRECIO POR TN USD EN CLIENTE A PLAZO (SIN IVA)]]+Tabla1[[#This Row],[COSTO USD FLETE /TN (SIN IVA)]]+Tabla1[[#This Row],[COSTO FINANCIERO USD POR BOLSA 50KG (IVA INC)]]</f>
        <v>#N/A</v>
      </c>
      <c r="BC560" s="848"/>
      <c r="BD560" s="944"/>
    </row>
    <row r="561" spans="1:56" ht="15.75" customHeight="1">
      <c r="A561" s="912">
        <v>46266</v>
      </c>
      <c r="B561" s="863"/>
      <c r="C561" s="792"/>
      <c r="D561" s="829">
        <f>+Tabla1[[#This Row],[FECHA Entrega]]</f>
        <v>0</v>
      </c>
      <c r="E561" s="830"/>
      <c r="F561" s="831"/>
      <c r="G561" s="832"/>
      <c r="H561" s="852"/>
      <c r="I561" s="834"/>
      <c r="J561" s="835"/>
      <c r="K561" s="836">
        <f t="shared" si="145"/>
        <v>0</v>
      </c>
      <c r="L56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61" s="837">
        <f t="shared" si="147"/>
        <v>0</v>
      </c>
      <c r="N561" s="838">
        <f>+Tabla1[[#This Row],[VENTA TOTAL $ (IVA INC) ]]</f>
        <v>0</v>
      </c>
      <c r="O561" s="838">
        <v>0</v>
      </c>
      <c r="P561" s="838">
        <v>0</v>
      </c>
      <c r="Q561" s="839">
        <f>+Tabla1[[#This Row],[VENTA TOTAL $ (IVA INC) ]]-Tabla1[[#This Row],[PENDIENTE DE COBRO]]</f>
        <v>0</v>
      </c>
      <c r="R561" s="840">
        <f>+Tabla1[[#This Row],[FECHA FC]]+Tabla1[[#This Row],[PLAZO ENTREGA VALORES]]</f>
        <v>0</v>
      </c>
      <c r="S561" s="840">
        <f>+Tabla1[[#This Row],[FECHA FC]]+Tabla1[[#This Row],[PLAZO PAGO (DIAS)]]</f>
        <v>0</v>
      </c>
      <c r="T561" s="834">
        <f t="shared" ca="1" si="146"/>
        <v>-46181</v>
      </c>
      <c r="U561" s="831"/>
      <c r="V561" s="831"/>
      <c r="W561" s="841">
        <f>+Tabla1[[#This Row],[FECHA VTO VALORES]]+7</f>
        <v>7</v>
      </c>
      <c r="X561" s="830"/>
      <c r="Y561" s="859"/>
      <c r="Z561" s="860">
        <f>Tabla1[[#This Row],[KGS]]/50</f>
        <v>0</v>
      </c>
      <c r="AA56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61" s="844">
        <f>-Tabla1[[#This Row],[COSTO FLETE $ POR BOLSA 5O KG (SIN IVA)]]*1.21-Tabla1[[#This Row],[PRECIO $/ KG A PLAZO EN CLIENTE ( SIN IVA)]]*0.003*1.21*50</f>
        <v>0</v>
      </c>
      <c r="AC561" s="845" t="e">
        <f>SUM(Tabla1[[#This Row],[PRECIO $ BOLSA 50 KG (IVA INC) ]]+Tabla1[[#This Row],[COSTO FLETE $ BOLSA 50 KG (IVA INC)]])</f>
        <v>#VALUE!</v>
      </c>
      <c r="AD561" s="844" t="e">
        <f>-Tabla1[[#This Row],[PRECIO $ BOLSA 50 KG (IVA INC) ]]*(Tabla1[[#This Row],[TASA FINANCIACION MENSUAL]]/365)*Tabla1[[#This Row],[PLAZO ENTREGA VALORES]]</f>
        <v>#VALUE!</v>
      </c>
      <c r="AE561" s="845" t="e">
        <f>SUM(Tabla1[[#This Row],[PRECIO $ BOLSA50 KG  FOB TUCUMAN A PLAZO (IVA INC)]]+Tabla1[[#This Row],[GASTOS FINANCIEROS $ BOLSA 50 KG (IVA INC)]])</f>
        <v>#VALUE!</v>
      </c>
      <c r="AF561" s="828"/>
      <c r="AG561" s="828"/>
      <c r="AH561" s="828"/>
      <c r="AI561" s="828"/>
      <c r="AJ56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61" s="846" t="e">
        <f>SUM(Tabla1[[#This Row],[PRECIO $ BOLSA 50KG  FOB CDO TUC (IVA INC)]]-Tabla1[[#This Row],[PRECIO REF $ BOLSA 50 KG CACTU (IVA INC)]])</f>
        <v>#VALUE!</v>
      </c>
      <c r="AL561" s="847" t="str">
        <f>IFERROR(Tabla1[[#This Row],[PRECIO $ BOLSA 50KG  FOB CDO TUC (IVA INC)]]/Tabla1[[#This Row],[PRECIO REF $ BOLSA 50 KG CACTU (IVA INC)]]-1,"")</f>
        <v/>
      </c>
      <c r="AM561" s="846" t="e">
        <f>+Tabla1[[#This Row],[DIF $ PRECIO NETO INDUSTRIA vs Neto TUCUMAN (IVA INC)]]*Tabla1[[#This Row],[Q Bolsas Equivalentes 50kg]]</f>
        <v>#VALUE!</v>
      </c>
      <c r="AN561" s="846" t="e">
        <f>Tabla1[[#This Row],[PRECIO REF $ BOLSA 50 KG CACTU (IVA INC)]]*Tabla1[[#This Row],[Q Bolsas Equivalentes 50kg]]</f>
        <v>#VALUE!</v>
      </c>
      <c r="AO561" s="846" t="e">
        <f>+Tabla1[[#This Row],[PRECIO $ BOLSA 50KG  FOB CDO TUC (IVA INC)]]*Tabla1[[#This Row],[Q Bolsas Equivalentes 50kg]]</f>
        <v>#VALUE!</v>
      </c>
      <c r="AP561" s="847"/>
      <c r="AQ561" s="846">
        <v>0</v>
      </c>
      <c r="AR561" s="828"/>
      <c r="AS561" s="849"/>
      <c r="AT561" s="923">
        <f>+Tabla1[[#This Row],[VENTA TOTAL $ (IVA INC) ]]-(SUM(Tabla1[[#This Row],[PENDIENTE DE ENTREGA]:[VALORES COBRADOS]]))</f>
        <v>0</v>
      </c>
      <c r="AU561" s="850" t="e">
        <f>VLOOKUP(Tabla1[[#This Row],[FECHA OC]],'TIPO DE CAMBIO'!A:B,2,TRUE)</f>
        <v>#N/A</v>
      </c>
      <c r="AV561" s="850" t="e">
        <f>+Tabla1[[#This Row],[SUBTOTAL]]/Tabla1[[#This Row],[TIPO DE CAMBIO]]</f>
        <v>#N/A</v>
      </c>
      <c r="AW561" s="851"/>
      <c r="AX561" s="850" t="str">
        <f>IFERROR(Tabla1[[#This Row],[VENTA TOTAL USD A PLAZO EN CLIENTE  (SIN IVA)]]*(1+Tabla1[[#This Row],[% IVA ]]),"")</f>
        <v/>
      </c>
      <c r="AY561" s="850" t="e">
        <f>+Tabla1[[#This Row],[VENTA TOTAL USD A PLAZO EN CLIENTE  (SIN IVA)]]/Tabla1[[#This Row],[KGS]]*1000</f>
        <v>#N/A</v>
      </c>
      <c r="AZ561" s="850" t="e">
        <f>-Tabla1[[#This Row],[COSTO FLETE $ POR BOLSA 5O KG (SIN IVA)]]*20/Tabla1[[#This Row],[TIPO DE CAMBIO]]</f>
        <v>#N/A</v>
      </c>
      <c r="BA561" s="850" t="e">
        <f>+Tabla1[[#This Row],[GASTOS FINANCIEROS $ BOLSA 50 KG (IVA INC)]]*20/Tabla1[[#This Row],[TIPO DE CAMBIO]]</f>
        <v>#VALUE!</v>
      </c>
      <c r="BB561" s="850" t="e">
        <f>+Tabla1[[#This Row],[PRECIO POR TN USD EN CLIENTE A PLAZO (SIN IVA)]]+Tabla1[[#This Row],[COSTO USD FLETE /TN (SIN IVA)]]+Tabla1[[#This Row],[COSTO FINANCIERO USD POR BOLSA 50KG (IVA INC)]]</f>
        <v>#N/A</v>
      </c>
      <c r="BC561" s="848"/>
      <c r="BD561" s="944"/>
    </row>
    <row r="562" spans="1:56" ht="15.75" customHeight="1">
      <c r="A562" s="912">
        <v>46266</v>
      </c>
      <c r="B562" s="863"/>
      <c r="C562" s="792"/>
      <c r="D562" s="829">
        <f>+Tabla1[[#This Row],[FECHA Entrega]]</f>
        <v>0</v>
      </c>
      <c r="E562" s="830"/>
      <c r="F562" s="831"/>
      <c r="G562" s="832"/>
      <c r="H562" s="852"/>
      <c r="I562" s="834"/>
      <c r="J562" s="835"/>
      <c r="K562" s="836">
        <f t="shared" si="145"/>
        <v>0</v>
      </c>
      <c r="L56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62" s="837">
        <f t="shared" si="147"/>
        <v>0</v>
      </c>
      <c r="N562" s="838">
        <f>+Tabla1[[#This Row],[VENTA TOTAL $ (IVA INC) ]]</f>
        <v>0</v>
      </c>
      <c r="O562" s="838">
        <v>0</v>
      </c>
      <c r="P562" s="838">
        <v>0</v>
      </c>
      <c r="Q562" s="839">
        <f>+Tabla1[[#This Row],[VENTA TOTAL $ (IVA INC) ]]-Tabla1[[#This Row],[PENDIENTE DE COBRO]]</f>
        <v>0</v>
      </c>
      <c r="R562" s="840">
        <f>+Tabla1[[#This Row],[FECHA FC]]+Tabla1[[#This Row],[PLAZO ENTREGA VALORES]]</f>
        <v>0</v>
      </c>
      <c r="S562" s="840">
        <f>+Tabla1[[#This Row],[FECHA FC]]+Tabla1[[#This Row],[PLAZO PAGO (DIAS)]]</f>
        <v>0</v>
      </c>
      <c r="T562" s="834">
        <f t="shared" ca="1" si="146"/>
        <v>-46181</v>
      </c>
      <c r="U562" s="831"/>
      <c r="V562" s="831"/>
      <c r="W562" s="841">
        <f>+Tabla1[[#This Row],[FECHA VTO VALORES]]+7</f>
        <v>7</v>
      </c>
      <c r="X562" s="830"/>
      <c r="Y562" s="859"/>
      <c r="Z562" s="860">
        <f>Tabla1[[#This Row],[KGS]]/50</f>
        <v>0</v>
      </c>
      <c r="AA56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62" s="844">
        <f>-Tabla1[[#This Row],[COSTO FLETE $ POR BOLSA 5O KG (SIN IVA)]]*1.21-Tabla1[[#This Row],[PRECIO $/ KG A PLAZO EN CLIENTE ( SIN IVA)]]*0.003*1.21*50</f>
        <v>0</v>
      </c>
      <c r="AC562" s="845" t="e">
        <f>SUM(Tabla1[[#This Row],[PRECIO $ BOLSA 50 KG (IVA INC) ]]+Tabla1[[#This Row],[COSTO FLETE $ BOLSA 50 KG (IVA INC)]])</f>
        <v>#VALUE!</v>
      </c>
      <c r="AD562" s="844" t="e">
        <f>-Tabla1[[#This Row],[PRECIO $ BOLSA 50 KG (IVA INC) ]]*(Tabla1[[#This Row],[TASA FINANCIACION MENSUAL]]/365)*Tabla1[[#This Row],[PLAZO ENTREGA VALORES]]</f>
        <v>#VALUE!</v>
      </c>
      <c r="AE562" s="845" t="e">
        <f>SUM(Tabla1[[#This Row],[PRECIO $ BOLSA50 KG  FOB TUCUMAN A PLAZO (IVA INC)]]+Tabla1[[#This Row],[GASTOS FINANCIEROS $ BOLSA 50 KG (IVA INC)]])</f>
        <v>#VALUE!</v>
      </c>
      <c r="AF562" s="828"/>
      <c r="AG562" s="828"/>
      <c r="AH562" s="828"/>
      <c r="AI562" s="828"/>
      <c r="AJ56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62" s="846" t="e">
        <f>SUM(Tabla1[[#This Row],[PRECIO $ BOLSA 50KG  FOB CDO TUC (IVA INC)]]-Tabla1[[#This Row],[PRECIO REF $ BOLSA 50 KG CACTU (IVA INC)]])</f>
        <v>#VALUE!</v>
      </c>
      <c r="AL562" s="847" t="str">
        <f>IFERROR(Tabla1[[#This Row],[PRECIO $ BOLSA 50KG  FOB CDO TUC (IVA INC)]]/Tabla1[[#This Row],[PRECIO REF $ BOLSA 50 KG CACTU (IVA INC)]]-1,"")</f>
        <v/>
      </c>
      <c r="AM562" s="846" t="e">
        <f>+Tabla1[[#This Row],[DIF $ PRECIO NETO INDUSTRIA vs Neto TUCUMAN (IVA INC)]]*Tabla1[[#This Row],[Q Bolsas Equivalentes 50kg]]</f>
        <v>#VALUE!</v>
      </c>
      <c r="AN562" s="846" t="e">
        <f>Tabla1[[#This Row],[PRECIO REF $ BOLSA 50 KG CACTU (IVA INC)]]*Tabla1[[#This Row],[Q Bolsas Equivalentes 50kg]]</f>
        <v>#VALUE!</v>
      </c>
      <c r="AO562" s="846" t="e">
        <f>+Tabla1[[#This Row],[PRECIO $ BOLSA 50KG  FOB CDO TUC (IVA INC)]]*Tabla1[[#This Row],[Q Bolsas Equivalentes 50kg]]</f>
        <v>#VALUE!</v>
      </c>
      <c r="AP562" s="847"/>
      <c r="AQ562" s="846">
        <v>0</v>
      </c>
      <c r="AR562" s="828"/>
      <c r="AS562" s="849"/>
      <c r="AT562" s="923">
        <f>+Tabla1[[#This Row],[VENTA TOTAL $ (IVA INC) ]]-(SUM(Tabla1[[#This Row],[PENDIENTE DE ENTREGA]:[VALORES COBRADOS]]))</f>
        <v>0</v>
      </c>
      <c r="AU562" s="850" t="e">
        <f>VLOOKUP(Tabla1[[#This Row],[FECHA OC]],'TIPO DE CAMBIO'!A:B,2,TRUE)</f>
        <v>#N/A</v>
      </c>
      <c r="AV562" s="850" t="e">
        <f>+Tabla1[[#This Row],[SUBTOTAL]]/Tabla1[[#This Row],[TIPO DE CAMBIO]]</f>
        <v>#N/A</v>
      </c>
      <c r="AW562" s="851"/>
      <c r="AX562" s="850" t="str">
        <f>IFERROR(Tabla1[[#This Row],[VENTA TOTAL USD A PLAZO EN CLIENTE  (SIN IVA)]]*(1+Tabla1[[#This Row],[% IVA ]]),"")</f>
        <v/>
      </c>
      <c r="AY562" s="850" t="e">
        <f>+Tabla1[[#This Row],[VENTA TOTAL USD A PLAZO EN CLIENTE  (SIN IVA)]]/Tabla1[[#This Row],[KGS]]*1000</f>
        <v>#N/A</v>
      </c>
      <c r="AZ562" s="850" t="e">
        <f>-Tabla1[[#This Row],[COSTO FLETE $ POR BOLSA 5O KG (SIN IVA)]]*20/Tabla1[[#This Row],[TIPO DE CAMBIO]]</f>
        <v>#N/A</v>
      </c>
      <c r="BA562" s="850" t="e">
        <f>+Tabla1[[#This Row],[GASTOS FINANCIEROS $ BOLSA 50 KG (IVA INC)]]*20/Tabla1[[#This Row],[TIPO DE CAMBIO]]</f>
        <v>#VALUE!</v>
      </c>
      <c r="BB562" s="850" t="e">
        <f>+Tabla1[[#This Row],[PRECIO POR TN USD EN CLIENTE A PLAZO (SIN IVA)]]+Tabla1[[#This Row],[COSTO USD FLETE /TN (SIN IVA)]]+Tabla1[[#This Row],[COSTO FINANCIERO USD POR BOLSA 50KG (IVA INC)]]</f>
        <v>#N/A</v>
      </c>
      <c r="BC562" s="848"/>
      <c r="BD562" s="944"/>
    </row>
    <row r="563" spans="1:56" ht="15.75" customHeight="1">
      <c r="A563" s="912">
        <v>46266</v>
      </c>
      <c r="B563" s="863"/>
      <c r="C563" s="792"/>
      <c r="D563" s="829">
        <f>+Tabla1[[#This Row],[FECHA Entrega]]</f>
        <v>0</v>
      </c>
      <c r="E563" s="830"/>
      <c r="F563" s="831"/>
      <c r="G563" s="832"/>
      <c r="H563" s="852"/>
      <c r="I563" s="834"/>
      <c r="J563" s="835"/>
      <c r="K563" s="836">
        <f t="shared" si="145"/>
        <v>0</v>
      </c>
      <c r="L56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63" s="837">
        <f t="shared" si="147"/>
        <v>0</v>
      </c>
      <c r="N563" s="838">
        <f>+Tabla1[[#This Row],[VENTA TOTAL $ (IVA INC) ]]</f>
        <v>0</v>
      </c>
      <c r="O563" s="838">
        <v>0</v>
      </c>
      <c r="P563" s="838">
        <v>0</v>
      </c>
      <c r="Q563" s="839">
        <f>+Tabla1[[#This Row],[VENTA TOTAL $ (IVA INC) ]]-Tabla1[[#This Row],[PENDIENTE DE COBRO]]</f>
        <v>0</v>
      </c>
      <c r="R563" s="840">
        <f>+Tabla1[[#This Row],[FECHA FC]]+Tabla1[[#This Row],[PLAZO ENTREGA VALORES]]</f>
        <v>0</v>
      </c>
      <c r="S563" s="840">
        <f>+Tabla1[[#This Row],[FECHA FC]]+Tabla1[[#This Row],[PLAZO PAGO (DIAS)]]</f>
        <v>0</v>
      </c>
      <c r="T563" s="834">
        <f t="shared" ca="1" si="146"/>
        <v>-46181</v>
      </c>
      <c r="U563" s="831"/>
      <c r="V563" s="831"/>
      <c r="W563" s="841">
        <f>+Tabla1[[#This Row],[FECHA VTO VALORES]]+7</f>
        <v>7</v>
      </c>
      <c r="X563" s="830"/>
      <c r="Y563" s="859"/>
      <c r="Z563" s="860">
        <f>Tabla1[[#This Row],[KGS]]/50</f>
        <v>0</v>
      </c>
      <c r="AA56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63" s="844">
        <f>-Tabla1[[#This Row],[COSTO FLETE $ POR BOLSA 5O KG (SIN IVA)]]*1.21-Tabla1[[#This Row],[PRECIO $/ KG A PLAZO EN CLIENTE ( SIN IVA)]]*0.003*1.21*50</f>
        <v>0</v>
      </c>
      <c r="AC563" s="845" t="e">
        <f>SUM(Tabla1[[#This Row],[PRECIO $ BOLSA 50 KG (IVA INC) ]]+Tabla1[[#This Row],[COSTO FLETE $ BOLSA 50 KG (IVA INC)]])</f>
        <v>#VALUE!</v>
      </c>
      <c r="AD563" s="844" t="e">
        <f>-Tabla1[[#This Row],[PRECIO $ BOLSA 50 KG (IVA INC) ]]*(Tabla1[[#This Row],[TASA FINANCIACION MENSUAL]]/365)*Tabla1[[#This Row],[PLAZO ENTREGA VALORES]]</f>
        <v>#VALUE!</v>
      </c>
      <c r="AE563" s="845" t="e">
        <f>SUM(Tabla1[[#This Row],[PRECIO $ BOLSA50 KG  FOB TUCUMAN A PLAZO (IVA INC)]]+Tabla1[[#This Row],[GASTOS FINANCIEROS $ BOLSA 50 KG (IVA INC)]])</f>
        <v>#VALUE!</v>
      </c>
      <c r="AF563" s="828"/>
      <c r="AG563" s="828"/>
      <c r="AH563" s="828"/>
      <c r="AI563" s="828"/>
      <c r="AJ56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63" s="846" t="e">
        <f>SUM(Tabla1[[#This Row],[PRECIO $ BOLSA 50KG  FOB CDO TUC (IVA INC)]]-Tabla1[[#This Row],[PRECIO REF $ BOLSA 50 KG CACTU (IVA INC)]])</f>
        <v>#VALUE!</v>
      </c>
      <c r="AL563" s="847" t="str">
        <f>IFERROR(Tabla1[[#This Row],[PRECIO $ BOLSA 50KG  FOB CDO TUC (IVA INC)]]/Tabla1[[#This Row],[PRECIO REF $ BOLSA 50 KG CACTU (IVA INC)]]-1,"")</f>
        <v/>
      </c>
      <c r="AM563" s="846" t="e">
        <f>+Tabla1[[#This Row],[DIF $ PRECIO NETO INDUSTRIA vs Neto TUCUMAN (IVA INC)]]*Tabla1[[#This Row],[Q Bolsas Equivalentes 50kg]]</f>
        <v>#VALUE!</v>
      </c>
      <c r="AN563" s="846" t="e">
        <f>Tabla1[[#This Row],[PRECIO REF $ BOLSA 50 KG CACTU (IVA INC)]]*Tabla1[[#This Row],[Q Bolsas Equivalentes 50kg]]</f>
        <v>#VALUE!</v>
      </c>
      <c r="AO563" s="846" t="e">
        <f>+Tabla1[[#This Row],[PRECIO $ BOLSA 50KG  FOB CDO TUC (IVA INC)]]*Tabla1[[#This Row],[Q Bolsas Equivalentes 50kg]]</f>
        <v>#VALUE!</v>
      </c>
      <c r="AP563" s="847"/>
      <c r="AQ563" s="846">
        <v>0</v>
      </c>
      <c r="AR563" s="828"/>
      <c r="AS563" s="849"/>
      <c r="AT563" s="923">
        <f>+Tabla1[[#This Row],[VENTA TOTAL $ (IVA INC) ]]-(SUM(Tabla1[[#This Row],[PENDIENTE DE ENTREGA]:[VALORES COBRADOS]]))</f>
        <v>0</v>
      </c>
      <c r="AU563" s="850" t="e">
        <f>VLOOKUP(Tabla1[[#This Row],[FECHA OC]],'TIPO DE CAMBIO'!A:B,2,TRUE)</f>
        <v>#N/A</v>
      </c>
      <c r="AV563" s="850" t="e">
        <f>+Tabla1[[#This Row],[SUBTOTAL]]/Tabla1[[#This Row],[TIPO DE CAMBIO]]</f>
        <v>#N/A</v>
      </c>
      <c r="AW563" s="851"/>
      <c r="AX563" s="850" t="str">
        <f>IFERROR(Tabla1[[#This Row],[VENTA TOTAL USD A PLAZO EN CLIENTE  (SIN IVA)]]*(1+Tabla1[[#This Row],[% IVA ]]),"")</f>
        <v/>
      </c>
      <c r="AY563" s="850" t="e">
        <f>+Tabla1[[#This Row],[VENTA TOTAL USD A PLAZO EN CLIENTE  (SIN IVA)]]/Tabla1[[#This Row],[KGS]]*1000</f>
        <v>#N/A</v>
      </c>
      <c r="AZ563" s="850" t="e">
        <f>-Tabla1[[#This Row],[COSTO FLETE $ POR BOLSA 5O KG (SIN IVA)]]*20/Tabla1[[#This Row],[TIPO DE CAMBIO]]</f>
        <v>#N/A</v>
      </c>
      <c r="BA563" s="850" t="e">
        <f>+Tabla1[[#This Row],[GASTOS FINANCIEROS $ BOLSA 50 KG (IVA INC)]]*20/Tabla1[[#This Row],[TIPO DE CAMBIO]]</f>
        <v>#VALUE!</v>
      </c>
      <c r="BB563" s="850" t="e">
        <f>+Tabla1[[#This Row],[PRECIO POR TN USD EN CLIENTE A PLAZO (SIN IVA)]]+Tabla1[[#This Row],[COSTO USD FLETE /TN (SIN IVA)]]+Tabla1[[#This Row],[COSTO FINANCIERO USD POR BOLSA 50KG (IVA INC)]]</f>
        <v>#N/A</v>
      </c>
      <c r="BC563" s="848"/>
      <c r="BD563" s="944"/>
    </row>
    <row r="564" spans="1:56" ht="15.75" customHeight="1">
      <c r="A564" s="912">
        <v>46266</v>
      </c>
      <c r="B564" s="853"/>
      <c r="C564" s="792"/>
      <c r="D564" s="829">
        <f>+Tabla1[[#This Row],[FECHA Entrega]]</f>
        <v>0</v>
      </c>
      <c r="E564" s="830"/>
      <c r="F564" s="831"/>
      <c r="G564" s="832"/>
      <c r="H564" s="852"/>
      <c r="I564" s="834"/>
      <c r="J564" s="835"/>
      <c r="K564" s="836">
        <f t="shared" si="145"/>
        <v>0</v>
      </c>
      <c r="L56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64" s="837">
        <f t="shared" si="147"/>
        <v>0</v>
      </c>
      <c r="N564" s="838">
        <f>+Tabla1[[#This Row],[VENTA TOTAL $ (IVA INC) ]]</f>
        <v>0</v>
      </c>
      <c r="O564" s="838">
        <v>0</v>
      </c>
      <c r="P564" s="838">
        <v>0</v>
      </c>
      <c r="Q564" s="839">
        <f>+Tabla1[[#This Row],[VENTA TOTAL $ (IVA INC) ]]-Tabla1[[#This Row],[PENDIENTE DE COBRO]]</f>
        <v>0</v>
      </c>
      <c r="R564" s="840">
        <f>+Tabla1[[#This Row],[FECHA FC]]+Tabla1[[#This Row],[PLAZO ENTREGA VALORES]]</f>
        <v>0</v>
      </c>
      <c r="S564" s="840">
        <f>+Tabla1[[#This Row],[FECHA FC]]+Tabla1[[#This Row],[PLAZO PAGO (DIAS)]]</f>
        <v>0</v>
      </c>
      <c r="T564" s="834">
        <f t="shared" ca="1" si="146"/>
        <v>-46181</v>
      </c>
      <c r="U564" s="831"/>
      <c r="V564" s="831"/>
      <c r="W564" s="841">
        <f>+Tabla1[[#This Row],[FECHA VTO VALORES]]+7</f>
        <v>7</v>
      </c>
      <c r="X564" s="830"/>
      <c r="Y564" s="859"/>
      <c r="Z564" s="860">
        <f>Tabla1[[#This Row],[KGS]]/50</f>
        <v>0</v>
      </c>
      <c r="AA56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64" s="844">
        <f>-Tabla1[[#This Row],[COSTO FLETE $ POR BOLSA 5O KG (SIN IVA)]]*1.21-Tabla1[[#This Row],[PRECIO $/ KG A PLAZO EN CLIENTE ( SIN IVA)]]*0.003*1.21*50</f>
        <v>0</v>
      </c>
      <c r="AC564" s="845" t="e">
        <f>SUM(Tabla1[[#This Row],[PRECIO $ BOLSA 50 KG (IVA INC) ]]+Tabla1[[#This Row],[COSTO FLETE $ BOLSA 50 KG (IVA INC)]])</f>
        <v>#VALUE!</v>
      </c>
      <c r="AD564" s="844" t="e">
        <f>-Tabla1[[#This Row],[PRECIO $ BOLSA 50 KG (IVA INC) ]]*(Tabla1[[#This Row],[TASA FINANCIACION MENSUAL]]/365)*Tabla1[[#This Row],[PLAZO ENTREGA VALORES]]</f>
        <v>#VALUE!</v>
      </c>
      <c r="AE564" s="845" t="e">
        <f>SUM(Tabla1[[#This Row],[PRECIO $ BOLSA50 KG  FOB TUCUMAN A PLAZO (IVA INC)]]+Tabla1[[#This Row],[GASTOS FINANCIEROS $ BOLSA 50 KG (IVA INC)]])</f>
        <v>#VALUE!</v>
      </c>
      <c r="AF564" s="828"/>
      <c r="AG564" s="828"/>
      <c r="AH564" s="828"/>
      <c r="AI564" s="828"/>
      <c r="AJ56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64" s="846" t="e">
        <f>SUM(Tabla1[[#This Row],[PRECIO $ BOLSA 50KG  FOB CDO TUC (IVA INC)]]-Tabla1[[#This Row],[PRECIO REF $ BOLSA 50 KG CACTU (IVA INC)]])</f>
        <v>#VALUE!</v>
      </c>
      <c r="AL564" s="847" t="str">
        <f>IFERROR(Tabla1[[#This Row],[PRECIO $ BOLSA 50KG  FOB CDO TUC (IVA INC)]]/Tabla1[[#This Row],[PRECIO REF $ BOLSA 50 KG CACTU (IVA INC)]]-1,"")</f>
        <v/>
      </c>
      <c r="AM564" s="846" t="e">
        <f>+Tabla1[[#This Row],[DIF $ PRECIO NETO INDUSTRIA vs Neto TUCUMAN (IVA INC)]]*Tabla1[[#This Row],[Q Bolsas Equivalentes 50kg]]</f>
        <v>#VALUE!</v>
      </c>
      <c r="AN564" s="846" t="e">
        <f>Tabla1[[#This Row],[PRECIO REF $ BOLSA 50 KG CACTU (IVA INC)]]*Tabla1[[#This Row],[Q Bolsas Equivalentes 50kg]]</f>
        <v>#VALUE!</v>
      </c>
      <c r="AO564" s="846" t="e">
        <f>+Tabla1[[#This Row],[PRECIO $ BOLSA 50KG  FOB CDO TUC (IVA INC)]]*Tabla1[[#This Row],[Q Bolsas Equivalentes 50kg]]</f>
        <v>#VALUE!</v>
      </c>
      <c r="AP564" s="847"/>
      <c r="AQ564" s="846">
        <v>0</v>
      </c>
      <c r="AR564" s="828"/>
      <c r="AS564" s="849"/>
      <c r="AT564" s="923">
        <f>+Tabla1[[#This Row],[VENTA TOTAL $ (IVA INC) ]]-(SUM(Tabla1[[#This Row],[PENDIENTE DE ENTREGA]:[VALORES COBRADOS]]))</f>
        <v>0</v>
      </c>
      <c r="AU564" s="850" t="e">
        <f>VLOOKUP(Tabla1[[#This Row],[FECHA OC]],'TIPO DE CAMBIO'!A:B,2,TRUE)</f>
        <v>#N/A</v>
      </c>
      <c r="AV564" s="850" t="e">
        <f>+Tabla1[[#This Row],[SUBTOTAL]]/Tabla1[[#This Row],[TIPO DE CAMBIO]]</f>
        <v>#N/A</v>
      </c>
      <c r="AW564" s="851"/>
      <c r="AX564" s="850" t="str">
        <f>IFERROR(Tabla1[[#This Row],[VENTA TOTAL USD A PLAZO EN CLIENTE  (SIN IVA)]]*(1+Tabla1[[#This Row],[% IVA ]]),"")</f>
        <v/>
      </c>
      <c r="AY564" s="850" t="e">
        <f>+Tabla1[[#This Row],[VENTA TOTAL USD A PLAZO EN CLIENTE  (SIN IVA)]]/Tabla1[[#This Row],[KGS]]*1000</f>
        <v>#N/A</v>
      </c>
      <c r="AZ564" s="850" t="e">
        <f>-Tabla1[[#This Row],[COSTO FLETE $ POR BOLSA 5O KG (SIN IVA)]]*20/Tabla1[[#This Row],[TIPO DE CAMBIO]]</f>
        <v>#N/A</v>
      </c>
      <c r="BA564" s="850" t="e">
        <f>+Tabla1[[#This Row],[GASTOS FINANCIEROS $ BOLSA 50 KG (IVA INC)]]*20/Tabla1[[#This Row],[TIPO DE CAMBIO]]</f>
        <v>#VALUE!</v>
      </c>
      <c r="BB564" s="850" t="e">
        <f>+Tabla1[[#This Row],[PRECIO POR TN USD EN CLIENTE A PLAZO (SIN IVA)]]+Tabla1[[#This Row],[COSTO USD FLETE /TN (SIN IVA)]]+Tabla1[[#This Row],[COSTO FINANCIERO USD POR BOLSA 50KG (IVA INC)]]</f>
        <v>#N/A</v>
      </c>
      <c r="BC564" s="848"/>
      <c r="BD564" s="944"/>
    </row>
    <row r="565" spans="1:56" ht="15.75" customHeight="1">
      <c r="A565" s="912">
        <v>46266</v>
      </c>
      <c r="B565" s="853"/>
      <c r="C565" s="792"/>
      <c r="D565" s="829">
        <f>+Tabla1[[#This Row],[FECHA Entrega]]</f>
        <v>0</v>
      </c>
      <c r="E565" s="830"/>
      <c r="F565" s="831"/>
      <c r="G565" s="832"/>
      <c r="H565" s="852"/>
      <c r="I565" s="834"/>
      <c r="J565" s="835"/>
      <c r="K565" s="836">
        <f t="shared" si="145"/>
        <v>0</v>
      </c>
      <c r="L56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65" s="837">
        <f t="shared" si="147"/>
        <v>0</v>
      </c>
      <c r="N565" s="838">
        <f>+Tabla1[[#This Row],[VENTA TOTAL $ (IVA INC) ]]</f>
        <v>0</v>
      </c>
      <c r="O565" s="838">
        <v>0</v>
      </c>
      <c r="P565" s="838">
        <v>0</v>
      </c>
      <c r="Q565" s="839">
        <f>+Tabla1[[#This Row],[VENTA TOTAL $ (IVA INC) ]]-Tabla1[[#This Row],[PENDIENTE DE COBRO]]</f>
        <v>0</v>
      </c>
      <c r="R565" s="840">
        <f>+Tabla1[[#This Row],[FECHA FC]]+Tabla1[[#This Row],[PLAZO ENTREGA VALORES]]</f>
        <v>0</v>
      </c>
      <c r="S565" s="840">
        <f>+Tabla1[[#This Row],[FECHA FC]]+Tabla1[[#This Row],[PLAZO PAGO (DIAS)]]</f>
        <v>0</v>
      </c>
      <c r="T565" s="834">
        <f t="shared" ca="1" si="146"/>
        <v>-46181</v>
      </c>
      <c r="U565" s="831"/>
      <c r="V565" s="831"/>
      <c r="W565" s="841">
        <f>+Tabla1[[#This Row],[FECHA VTO VALORES]]+7</f>
        <v>7</v>
      </c>
      <c r="X565" s="830"/>
      <c r="Y565" s="859"/>
      <c r="Z565" s="860">
        <f>Tabla1[[#This Row],[KGS]]/50</f>
        <v>0</v>
      </c>
      <c r="AA56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65" s="844">
        <f>-Tabla1[[#This Row],[COSTO FLETE $ POR BOLSA 5O KG (SIN IVA)]]*1.21-Tabla1[[#This Row],[PRECIO $/ KG A PLAZO EN CLIENTE ( SIN IVA)]]*0.003*1.21*50</f>
        <v>0</v>
      </c>
      <c r="AC565" s="845" t="e">
        <f>SUM(Tabla1[[#This Row],[PRECIO $ BOLSA 50 KG (IVA INC) ]]+Tabla1[[#This Row],[COSTO FLETE $ BOLSA 50 KG (IVA INC)]])</f>
        <v>#VALUE!</v>
      </c>
      <c r="AD565" s="844" t="e">
        <f>-Tabla1[[#This Row],[PRECIO $ BOLSA 50 KG (IVA INC) ]]*(Tabla1[[#This Row],[TASA FINANCIACION MENSUAL]]/365)*Tabla1[[#This Row],[PLAZO ENTREGA VALORES]]</f>
        <v>#VALUE!</v>
      </c>
      <c r="AE565" s="845" t="e">
        <f>SUM(Tabla1[[#This Row],[PRECIO $ BOLSA50 KG  FOB TUCUMAN A PLAZO (IVA INC)]]+Tabla1[[#This Row],[GASTOS FINANCIEROS $ BOLSA 50 KG (IVA INC)]])</f>
        <v>#VALUE!</v>
      </c>
      <c r="AF565" s="828"/>
      <c r="AG565" s="828"/>
      <c r="AH565" s="828"/>
      <c r="AI565" s="828"/>
      <c r="AJ56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65" s="846" t="e">
        <f>SUM(Tabla1[[#This Row],[PRECIO $ BOLSA 50KG  FOB CDO TUC (IVA INC)]]-Tabla1[[#This Row],[PRECIO REF $ BOLSA 50 KG CACTU (IVA INC)]])</f>
        <v>#VALUE!</v>
      </c>
      <c r="AL565" s="847" t="str">
        <f>IFERROR(Tabla1[[#This Row],[PRECIO $ BOLSA 50KG  FOB CDO TUC (IVA INC)]]/Tabla1[[#This Row],[PRECIO REF $ BOLSA 50 KG CACTU (IVA INC)]]-1,"")</f>
        <v/>
      </c>
      <c r="AM565" s="846" t="e">
        <f>+Tabla1[[#This Row],[DIF $ PRECIO NETO INDUSTRIA vs Neto TUCUMAN (IVA INC)]]*Tabla1[[#This Row],[Q Bolsas Equivalentes 50kg]]</f>
        <v>#VALUE!</v>
      </c>
      <c r="AN565" s="846" t="e">
        <f>Tabla1[[#This Row],[PRECIO REF $ BOLSA 50 KG CACTU (IVA INC)]]*Tabla1[[#This Row],[Q Bolsas Equivalentes 50kg]]</f>
        <v>#VALUE!</v>
      </c>
      <c r="AO565" s="846" t="e">
        <f>+Tabla1[[#This Row],[PRECIO $ BOLSA 50KG  FOB CDO TUC (IVA INC)]]*Tabla1[[#This Row],[Q Bolsas Equivalentes 50kg]]</f>
        <v>#VALUE!</v>
      </c>
      <c r="AP565" s="847"/>
      <c r="AQ565" s="846">
        <v>0</v>
      </c>
      <c r="AR565" s="828"/>
      <c r="AS565" s="849"/>
      <c r="AT565" s="923">
        <f>+Tabla1[[#This Row],[VENTA TOTAL $ (IVA INC) ]]-(SUM(Tabla1[[#This Row],[PENDIENTE DE ENTREGA]:[VALORES COBRADOS]]))</f>
        <v>0</v>
      </c>
      <c r="AU565" s="850" t="e">
        <f>VLOOKUP(Tabla1[[#This Row],[FECHA OC]],'TIPO DE CAMBIO'!A:B,2,TRUE)</f>
        <v>#N/A</v>
      </c>
      <c r="AV565" s="850" t="e">
        <f>+Tabla1[[#This Row],[SUBTOTAL]]/Tabla1[[#This Row],[TIPO DE CAMBIO]]</f>
        <v>#N/A</v>
      </c>
      <c r="AW565" s="851"/>
      <c r="AX565" s="850" t="str">
        <f>IFERROR(Tabla1[[#This Row],[VENTA TOTAL USD A PLAZO EN CLIENTE  (SIN IVA)]]*(1+Tabla1[[#This Row],[% IVA ]]),"")</f>
        <v/>
      </c>
      <c r="AY565" s="850" t="e">
        <f>+Tabla1[[#This Row],[VENTA TOTAL USD A PLAZO EN CLIENTE  (SIN IVA)]]/Tabla1[[#This Row],[KGS]]*1000</f>
        <v>#N/A</v>
      </c>
      <c r="AZ565" s="850" t="e">
        <f>-Tabla1[[#This Row],[COSTO FLETE $ POR BOLSA 5O KG (SIN IVA)]]*20/Tabla1[[#This Row],[TIPO DE CAMBIO]]</f>
        <v>#N/A</v>
      </c>
      <c r="BA565" s="850" t="e">
        <f>+Tabla1[[#This Row],[GASTOS FINANCIEROS $ BOLSA 50 KG (IVA INC)]]*20/Tabla1[[#This Row],[TIPO DE CAMBIO]]</f>
        <v>#VALUE!</v>
      </c>
      <c r="BB565" s="850" t="e">
        <f>+Tabla1[[#This Row],[PRECIO POR TN USD EN CLIENTE A PLAZO (SIN IVA)]]+Tabla1[[#This Row],[COSTO USD FLETE /TN (SIN IVA)]]+Tabla1[[#This Row],[COSTO FINANCIERO USD POR BOLSA 50KG (IVA INC)]]</f>
        <v>#N/A</v>
      </c>
      <c r="BC565" s="848"/>
      <c r="BD565" s="944"/>
    </row>
    <row r="566" spans="1:56" ht="15.75" customHeight="1">
      <c r="A566" s="912">
        <v>46266</v>
      </c>
      <c r="B566" s="853"/>
      <c r="C566" s="792"/>
      <c r="D566" s="829">
        <f>+Tabla1[[#This Row],[FECHA Entrega]]</f>
        <v>0</v>
      </c>
      <c r="E566" s="830"/>
      <c r="F566" s="831"/>
      <c r="G566" s="832"/>
      <c r="H566" s="852"/>
      <c r="I566" s="834"/>
      <c r="J566" s="835"/>
      <c r="K566" s="836">
        <f t="shared" si="145"/>
        <v>0</v>
      </c>
      <c r="L56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66" s="837">
        <f t="shared" si="147"/>
        <v>0</v>
      </c>
      <c r="N566" s="838">
        <f>+Tabla1[[#This Row],[VENTA TOTAL $ (IVA INC) ]]</f>
        <v>0</v>
      </c>
      <c r="O566" s="838">
        <v>0</v>
      </c>
      <c r="P566" s="838">
        <v>0</v>
      </c>
      <c r="Q566" s="839">
        <f>+Tabla1[[#This Row],[VENTA TOTAL $ (IVA INC) ]]-Tabla1[[#This Row],[PENDIENTE DE COBRO]]</f>
        <v>0</v>
      </c>
      <c r="R566" s="840">
        <f>+Tabla1[[#This Row],[FECHA FC]]+Tabla1[[#This Row],[PLAZO ENTREGA VALORES]]</f>
        <v>0</v>
      </c>
      <c r="S566" s="840">
        <f>+Tabla1[[#This Row],[FECHA FC]]+Tabla1[[#This Row],[PLAZO PAGO (DIAS)]]</f>
        <v>0</v>
      </c>
      <c r="T566" s="834">
        <f t="shared" ca="1" si="146"/>
        <v>-46181</v>
      </c>
      <c r="U566" s="831"/>
      <c r="V566" s="831"/>
      <c r="W566" s="841">
        <f>+Tabla1[[#This Row],[FECHA VTO VALORES]]+7</f>
        <v>7</v>
      </c>
      <c r="X566" s="830"/>
      <c r="Y566" s="859"/>
      <c r="Z566" s="860">
        <f>Tabla1[[#This Row],[KGS]]/50</f>
        <v>0</v>
      </c>
      <c r="AA56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66" s="844">
        <f>-Tabla1[[#This Row],[COSTO FLETE $ POR BOLSA 5O KG (SIN IVA)]]*1.21-Tabla1[[#This Row],[PRECIO $/ KG A PLAZO EN CLIENTE ( SIN IVA)]]*0.003*1.21*50</f>
        <v>0</v>
      </c>
      <c r="AC566" s="845" t="e">
        <f>SUM(Tabla1[[#This Row],[PRECIO $ BOLSA 50 KG (IVA INC) ]]+Tabla1[[#This Row],[COSTO FLETE $ BOLSA 50 KG (IVA INC)]])</f>
        <v>#VALUE!</v>
      </c>
      <c r="AD566" s="844" t="e">
        <f>-Tabla1[[#This Row],[PRECIO $ BOLSA 50 KG (IVA INC) ]]*(Tabla1[[#This Row],[TASA FINANCIACION MENSUAL]]/365)*Tabla1[[#This Row],[PLAZO ENTREGA VALORES]]</f>
        <v>#VALUE!</v>
      </c>
      <c r="AE566" s="845" t="e">
        <f>SUM(Tabla1[[#This Row],[PRECIO $ BOLSA50 KG  FOB TUCUMAN A PLAZO (IVA INC)]]+Tabla1[[#This Row],[GASTOS FINANCIEROS $ BOLSA 50 KG (IVA INC)]])</f>
        <v>#VALUE!</v>
      </c>
      <c r="AF566" s="828"/>
      <c r="AG566" s="828"/>
      <c r="AH566" s="828"/>
      <c r="AI566" s="828"/>
      <c r="AJ56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66" s="846" t="e">
        <f>SUM(Tabla1[[#This Row],[PRECIO $ BOLSA 50KG  FOB CDO TUC (IVA INC)]]-Tabla1[[#This Row],[PRECIO REF $ BOLSA 50 KG CACTU (IVA INC)]])</f>
        <v>#VALUE!</v>
      </c>
      <c r="AL566" s="847" t="str">
        <f>IFERROR(Tabla1[[#This Row],[PRECIO $ BOLSA 50KG  FOB CDO TUC (IVA INC)]]/Tabla1[[#This Row],[PRECIO REF $ BOLSA 50 KG CACTU (IVA INC)]]-1,"")</f>
        <v/>
      </c>
      <c r="AM566" s="846" t="e">
        <f>+Tabla1[[#This Row],[DIF $ PRECIO NETO INDUSTRIA vs Neto TUCUMAN (IVA INC)]]*Tabla1[[#This Row],[Q Bolsas Equivalentes 50kg]]</f>
        <v>#VALUE!</v>
      </c>
      <c r="AN566" s="846" t="e">
        <f>Tabla1[[#This Row],[PRECIO REF $ BOLSA 50 KG CACTU (IVA INC)]]*Tabla1[[#This Row],[Q Bolsas Equivalentes 50kg]]</f>
        <v>#VALUE!</v>
      </c>
      <c r="AO566" s="846" t="e">
        <f>+Tabla1[[#This Row],[PRECIO $ BOLSA 50KG  FOB CDO TUC (IVA INC)]]*Tabla1[[#This Row],[Q Bolsas Equivalentes 50kg]]</f>
        <v>#VALUE!</v>
      </c>
      <c r="AP566" s="847"/>
      <c r="AQ566" s="846">
        <v>0</v>
      </c>
      <c r="AR566" s="828"/>
      <c r="AS566" s="849"/>
      <c r="AT566" s="923">
        <f>+Tabla1[[#This Row],[VENTA TOTAL $ (IVA INC) ]]-(SUM(Tabla1[[#This Row],[PENDIENTE DE ENTREGA]:[VALORES COBRADOS]]))</f>
        <v>0</v>
      </c>
      <c r="AU566" s="850" t="e">
        <f>VLOOKUP(Tabla1[[#This Row],[FECHA OC]],'TIPO DE CAMBIO'!A:B,2,TRUE)</f>
        <v>#N/A</v>
      </c>
      <c r="AV566" s="850" t="e">
        <f>+Tabla1[[#This Row],[SUBTOTAL]]/Tabla1[[#This Row],[TIPO DE CAMBIO]]</f>
        <v>#N/A</v>
      </c>
      <c r="AW566" s="851"/>
      <c r="AX566" s="850" t="str">
        <f>IFERROR(Tabla1[[#This Row],[VENTA TOTAL USD A PLAZO EN CLIENTE  (SIN IVA)]]*(1+Tabla1[[#This Row],[% IVA ]]),"")</f>
        <v/>
      </c>
      <c r="AY566" s="850" t="e">
        <f>+Tabla1[[#This Row],[VENTA TOTAL USD A PLAZO EN CLIENTE  (SIN IVA)]]/Tabla1[[#This Row],[KGS]]*1000</f>
        <v>#N/A</v>
      </c>
      <c r="AZ566" s="850" t="e">
        <f>-Tabla1[[#This Row],[COSTO FLETE $ POR BOLSA 5O KG (SIN IVA)]]*20/Tabla1[[#This Row],[TIPO DE CAMBIO]]</f>
        <v>#N/A</v>
      </c>
      <c r="BA566" s="850" t="e">
        <f>+Tabla1[[#This Row],[GASTOS FINANCIEROS $ BOLSA 50 KG (IVA INC)]]*20/Tabla1[[#This Row],[TIPO DE CAMBIO]]</f>
        <v>#VALUE!</v>
      </c>
      <c r="BB566" s="850" t="e">
        <f>+Tabla1[[#This Row],[PRECIO POR TN USD EN CLIENTE A PLAZO (SIN IVA)]]+Tabla1[[#This Row],[COSTO USD FLETE /TN (SIN IVA)]]+Tabla1[[#This Row],[COSTO FINANCIERO USD POR BOLSA 50KG (IVA INC)]]</f>
        <v>#N/A</v>
      </c>
      <c r="BC566" s="848"/>
      <c r="BD566" s="944"/>
    </row>
    <row r="567" spans="1:56" ht="15.75" customHeight="1">
      <c r="A567" s="912">
        <v>46266</v>
      </c>
      <c r="B567" s="853"/>
      <c r="C567" s="792"/>
      <c r="D567" s="829">
        <f>+Tabla1[[#This Row],[FECHA Entrega]]</f>
        <v>0</v>
      </c>
      <c r="E567" s="830"/>
      <c r="F567" s="831"/>
      <c r="G567" s="832"/>
      <c r="H567" s="852"/>
      <c r="I567" s="834"/>
      <c r="J567" s="835"/>
      <c r="K567" s="836">
        <f t="shared" si="145"/>
        <v>0</v>
      </c>
      <c r="L56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67" s="837">
        <f t="shared" si="147"/>
        <v>0</v>
      </c>
      <c r="N567" s="838">
        <f>+Tabla1[[#This Row],[VENTA TOTAL $ (IVA INC) ]]</f>
        <v>0</v>
      </c>
      <c r="O567" s="838">
        <v>0</v>
      </c>
      <c r="P567" s="838">
        <v>0</v>
      </c>
      <c r="Q567" s="839">
        <f>+Tabla1[[#This Row],[VENTA TOTAL $ (IVA INC) ]]-Tabla1[[#This Row],[PENDIENTE DE COBRO]]</f>
        <v>0</v>
      </c>
      <c r="R567" s="840">
        <f>+Tabla1[[#This Row],[FECHA FC]]+Tabla1[[#This Row],[PLAZO ENTREGA VALORES]]</f>
        <v>0</v>
      </c>
      <c r="S567" s="840">
        <f>+Tabla1[[#This Row],[FECHA FC]]+Tabla1[[#This Row],[PLAZO PAGO (DIAS)]]</f>
        <v>0</v>
      </c>
      <c r="T567" s="834">
        <f t="shared" ca="1" si="146"/>
        <v>-46181</v>
      </c>
      <c r="U567" s="831"/>
      <c r="V567" s="831"/>
      <c r="W567" s="841">
        <f>+Tabla1[[#This Row],[FECHA VTO VALORES]]+7</f>
        <v>7</v>
      </c>
      <c r="X567" s="830"/>
      <c r="Y567" s="859"/>
      <c r="Z567" s="860">
        <f>Tabla1[[#This Row],[KGS]]/50</f>
        <v>0</v>
      </c>
      <c r="AA56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67" s="844">
        <f>-Tabla1[[#This Row],[COSTO FLETE $ POR BOLSA 5O KG (SIN IVA)]]*1.21-Tabla1[[#This Row],[PRECIO $/ KG A PLAZO EN CLIENTE ( SIN IVA)]]*0.003*1.21*50</f>
        <v>0</v>
      </c>
      <c r="AC567" s="845" t="e">
        <f>SUM(Tabla1[[#This Row],[PRECIO $ BOLSA 50 KG (IVA INC) ]]+Tabla1[[#This Row],[COSTO FLETE $ BOLSA 50 KG (IVA INC)]])</f>
        <v>#VALUE!</v>
      </c>
      <c r="AD567" s="844" t="e">
        <f>-Tabla1[[#This Row],[PRECIO $ BOLSA 50 KG (IVA INC) ]]*(Tabla1[[#This Row],[TASA FINANCIACION MENSUAL]]/365)*Tabla1[[#This Row],[PLAZO ENTREGA VALORES]]</f>
        <v>#VALUE!</v>
      </c>
      <c r="AE567" s="845" t="e">
        <f>SUM(Tabla1[[#This Row],[PRECIO $ BOLSA50 KG  FOB TUCUMAN A PLAZO (IVA INC)]]+Tabla1[[#This Row],[GASTOS FINANCIEROS $ BOLSA 50 KG (IVA INC)]])</f>
        <v>#VALUE!</v>
      </c>
      <c r="AF567" s="828"/>
      <c r="AG567" s="828"/>
      <c r="AH567" s="828"/>
      <c r="AI567" s="828"/>
      <c r="AJ56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67" s="846" t="e">
        <f>SUM(Tabla1[[#This Row],[PRECIO $ BOLSA 50KG  FOB CDO TUC (IVA INC)]]-Tabla1[[#This Row],[PRECIO REF $ BOLSA 50 KG CACTU (IVA INC)]])</f>
        <v>#VALUE!</v>
      </c>
      <c r="AL567" s="847" t="str">
        <f>IFERROR(Tabla1[[#This Row],[PRECIO $ BOLSA 50KG  FOB CDO TUC (IVA INC)]]/Tabla1[[#This Row],[PRECIO REF $ BOLSA 50 KG CACTU (IVA INC)]]-1,"")</f>
        <v/>
      </c>
      <c r="AM567" s="846" t="e">
        <f>+Tabla1[[#This Row],[DIF $ PRECIO NETO INDUSTRIA vs Neto TUCUMAN (IVA INC)]]*Tabla1[[#This Row],[Q Bolsas Equivalentes 50kg]]</f>
        <v>#VALUE!</v>
      </c>
      <c r="AN567" s="846" t="e">
        <f>Tabla1[[#This Row],[PRECIO REF $ BOLSA 50 KG CACTU (IVA INC)]]*Tabla1[[#This Row],[Q Bolsas Equivalentes 50kg]]</f>
        <v>#VALUE!</v>
      </c>
      <c r="AO567" s="846" t="e">
        <f>+Tabla1[[#This Row],[PRECIO $ BOLSA 50KG  FOB CDO TUC (IVA INC)]]*Tabla1[[#This Row],[Q Bolsas Equivalentes 50kg]]</f>
        <v>#VALUE!</v>
      </c>
      <c r="AP567" s="847"/>
      <c r="AQ567" s="846">
        <v>0</v>
      </c>
      <c r="AR567" s="828"/>
      <c r="AS567" s="849"/>
      <c r="AT567" s="923">
        <f>+Tabla1[[#This Row],[VENTA TOTAL $ (IVA INC) ]]-(SUM(Tabla1[[#This Row],[PENDIENTE DE ENTREGA]:[VALORES COBRADOS]]))</f>
        <v>0</v>
      </c>
      <c r="AU567" s="850" t="e">
        <f>VLOOKUP(Tabla1[[#This Row],[FECHA OC]],'TIPO DE CAMBIO'!A:B,2,TRUE)</f>
        <v>#N/A</v>
      </c>
      <c r="AV567" s="850" t="e">
        <f>+Tabla1[[#This Row],[SUBTOTAL]]/Tabla1[[#This Row],[TIPO DE CAMBIO]]</f>
        <v>#N/A</v>
      </c>
      <c r="AW567" s="851"/>
      <c r="AX567" s="850" t="str">
        <f>IFERROR(Tabla1[[#This Row],[VENTA TOTAL USD A PLAZO EN CLIENTE  (SIN IVA)]]*(1+Tabla1[[#This Row],[% IVA ]]),"")</f>
        <v/>
      </c>
      <c r="AY567" s="850" t="e">
        <f>+Tabla1[[#This Row],[VENTA TOTAL USD A PLAZO EN CLIENTE  (SIN IVA)]]/Tabla1[[#This Row],[KGS]]*1000</f>
        <v>#N/A</v>
      </c>
      <c r="AZ567" s="850" t="e">
        <f>-Tabla1[[#This Row],[COSTO FLETE $ POR BOLSA 5O KG (SIN IVA)]]*20/Tabla1[[#This Row],[TIPO DE CAMBIO]]</f>
        <v>#N/A</v>
      </c>
      <c r="BA567" s="850" t="e">
        <f>+Tabla1[[#This Row],[GASTOS FINANCIEROS $ BOLSA 50 KG (IVA INC)]]*20/Tabla1[[#This Row],[TIPO DE CAMBIO]]</f>
        <v>#VALUE!</v>
      </c>
      <c r="BB567" s="850" t="e">
        <f>+Tabla1[[#This Row],[PRECIO POR TN USD EN CLIENTE A PLAZO (SIN IVA)]]+Tabla1[[#This Row],[COSTO USD FLETE /TN (SIN IVA)]]+Tabla1[[#This Row],[COSTO FINANCIERO USD POR BOLSA 50KG (IVA INC)]]</f>
        <v>#N/A</v>
      </c>
      <c r="BC567" s="848"/>
      <c r="BD567" s="944"/>
    </row>
    <row r="568" spans="1:56" ht="15.75" customHeight="1">
      <c r="A568" s="912">
        <v>46266</v>
      </c>
      <c r="B568" s="853"/>
      <c r="C568" s="792"/>
      <c r="D568" s="829">
        <f>+Tabla1[[#This Row],[FECHA Entrega]]</f>
        <v>0</v>
      </c>
      <c r="E568" s="830"/>
      <c r="F568" s="831"/>
      <c r="G568" s="832"/>
      <c r="H568" s="852"/>
      <c r="I568" s="834"/>
      <c r="J568" s="835"/>
      <c r="K568" s="836">
        <f t="shared" si="145"/>
        <v>0</v>
      </c>
      <c r="L56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68" s="837">
        <f t="shared" si="147"/>
        <v>0</v>
      </c>
      <c r="N568" s="838">
        <f>+Tabla1[[#This Row],[VENTA TOTAL $ (IVA INC) ]]</f>
        <v>0</v>
      </c>
      <c r="O568" s="838">
        <v>0</v>
      </c>
      <c r="P568" s="838">
        <v>0</v>
      </c>
      <c r="Q568" s="839">
        <f>+Tabla1[[#This Row],[VENTA TOTAL $ (IVA INC) ]]-Tabla1[[#This Row],[PENDIENTE DE COBRO]]</f>
        <v>0</v>
      </c>
      <c r="R568" s="840">
        <f>+Tabla1[[#This Row],[FECHA FC]]+Tabla1[[#This Row],[PLAZO ENTREGA VALORES]]</f>
        <v>0</v>
      </c>
      <c r="S568" s="840">
        <f>+Tabla1[[#This Row],[FECHA FC]]+Tabla1[[#This Row],[PLAZO PAGO (DIAS)]]</f>
        <v>0</v>
      </c>
      <c r="T568" s="834">
        <f t="shared" ca="1" si="146"/>
        <v>-46181</v>
      </c>
      <c r="U568" s="831"/>
      <c r="V568" s="831"/>
      <c r="W568" s="841">
        <f>+Tabla1[[#This Row],[FECHA VTO VALORES]]+7</f>
        <v>7</v>
      </c>
      <c r="X568" s="830"/>
      <c r="Y568" s="859"/>
      <c r="Z568" s="860">
        <f>Tabla1[[#This Row],[KGS]]/50</f>
        <v>0</v>
      </c>
      <c r="AA56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68" s="844">
        <f>-Tabla1[[#This Row],[COSTO FLETE $ POR BOLSA 5O KG (SIN IVA)]]*1.21-Tabla1[[#This Row],[PRECIO $/ KG A PLAZO EN CLIENTE ( SIN IVA)]]*0.003*1.21*50</f>
        <v>0</v>
      </c>
      <c r="AC568" s="845" t="e">
        <f>SUM(Tabla1[[#This Row],[PRECIO $ BOLSA 50 KG (IVA INC) ]]+Tabla1[[#This Row],[COSTO FLETE $ BOLSA 50 KG (IVA INC)]])</f>
        <v>#VALUE!</v>
      </c>
      <c r="AD568" s="844" t="e">
        <f>-Tabla1[[#This Row],[PRECIO $ BOLSA 50 KG (IVA INC) ]]*(Tabla1[[#This Row],[TASA FINANCIACION MENSUAL]]/365)*Tabla1[[#This Row],[PLAZO ENTREGA VALORES]]</f>
        <v>#VALUE!</v>
      </c>
      <c r="AE568" s="845" t="e">
        <f>SUM(Tabla1[[#This Row],[PRECIO $ BOLSA50 KG  FOB TUCUMAN A PLAZO (IVA INC)]]+Tabla1[[#This Row],[GASTOS FINANCIEROS $ BOLSA 50 KG (IVA INC)]])</f>
        <v>#VALUE!</v>
      </c>
      <c r="AF568" s="828"/>
      <c r="AG568" s="828"/>
      <c r="AH568" s="828"/>
      <c r="AI568" s="828"/>
      <c r="AJ56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68" s="846" t="e">
        <f>SUM(Tabla1[[#This Row],[PRECIO $ BOLSA 50KG  FOB CDO TUC (IVA INC)]]-Tabla1[[#This Row],[PRECIO REF $ BOLSA 50 KG CACTU (IVA INC)]])</f>
        <v>#VALUE!</v>
      </c>
      <c r="AL568" s="847" t="str">
        <f>IFERROR(Tabla1[[#This Row],[PRECIO $ BOLSA 50KG  FOB CDO TUC (IVA INC)]]/Tabla1[[#This Row],[PRECIO REF $ BOLSA 50 KG CACTU (IVA INC)]]-1,"")</f>
        <v/>
      </c>
      <c r="AM568" s="846" t="e">
        <f>+Tabla1[[#This Row],[DIF $ PRECIO NETO INDUSTRIA vs Neto TUCUMAN (IVA INC)]]*Tabla1[[#This Row],[Q Bolsas Equivalentes 50kg]]</f>
        <v>#VALUE!</v>
      </c>
      <c r="AN568" s="846" t="e">
        <f>Tabla1[[#This Row],[PRECIO REF $ BOLSA 50 KG CACTU (IVA INC)]]*Tabla1[[#This Row],[Q Bolsas Equivalentes 50kg]]</f>
        <v>#VALUE!</v>
      </c>
      <c r="AO568" s="846" t="e">
        <f>+Tabla1[[#This Row],[PRECIO $ BOLSA 50KG  FOB CDO TUC (IVA INC)]]*Tabla1[[#This Row],[Q Bolsas Equivalentes 50kg]]</f>
        <v>#VALUE!</v>
      </c>
      <c r="AP568" s="847"/>
      <c r="AQ568" s="846">
        <v>0</v>
      </c>
      <c r="AR568" s="828"/>
      <c r="AS568" s="849"/>
      <c r="AT568" s="923">
        <f>+Tabla1[[#This Row],[VENTA TOTAL $ (IVA INC) ]]-(SUM(Tabla1[[#This Row],[PENDIENTE DE ENTREGA]:[VALORES COBRADOS]]))</f>
        <v>0</v>
      </c>
      <c r="AU568" s="850" t="e">
        <f>VLOOKUP(Tabla1[[#This Row],[FECHA OC]],'TIPO DE CAMBIO'!A:B,2,TRUE)</f>
        <v>#N/A</v>
      </c>
      <c r="AV568" s="850" t="e">
        <f>+Tabla1[[#This Row],[SUBTOTAL]]/Tabla1[[#This Row],[TIPO DE CAMBIO]]</f>
        <v>#N/A</v>
      </c>
      <c r="AW568" s="851"/>
      <c r="AX568" s="850" t="str">
        <f>IFERROR(Tabla1[[#This Row],[VENTA TOTAL USD A PLAZO EN CLIENTE  (SIN IVA)]]*(1+Tabla1[[#This Row],[% IVA ]]),"")</f>
        <v/>
      </c>
      <c r="AY568" s="850" t="e">
        <f>+Tabla1[[#This Row],[VENTA TOTAL USD A PLAZO EN CLIENTE  (SIN IVA)]]/Tabla1[[#This Row],[KGS]]*1000</f>
        <v>#N/A</v>
      </c>
      <c r="AZ568" s="850" t="e">
        <f>-Tabla1[[#This Row],[COSTO FLETE $ POR BOLSA 5O KG (SIN IVA)]]*20/Tabla1[[#This Row],[TIPO DE CAMBIO]]</f>
        <v>#N/A</v>
      </c>
      <c r="BA568" s="850" t="e">
        <f>+Tabla1[[#This Row],[GASTOS FINANCIEROS $ BOLSA 50 KG (IVA INC)]]*20/Tabla1[[#This Row],[TIPO DE CAMBIO]]</f>
        <v>#VALUE!</v>
      </c>
      <c r="BB568" s="850" t="e">
        <f>+Tabla1[[#This Row],[PRECIO POR TN USD EN CLIENTE A PLAZO (SIN IVA)]]+Tabla1[[#This Row],[COSTO USD FLETE /TN (SIN IVA)]]+Tabla1[[#This Row],[COSTO FINANCIERO USD POR BOLSA 50KG (IVA INC)]]</f>
        <v>#N/A</v>
      </c>
      <c r="BC568" s="848"/>
      <c r="BD568" s="944"/>
    </row>
    <row r="569" spans="1:56" ht="15.75" customHeight="1">
      <c r="A569" s="912">
        <v>46266</v>
      </c>
      <c r="B569" s="853"/>
      <c r="C569" s="792"/>
      <c r="D569" s="829">
        <f>+Tabla1[[#This Row],[FECHA Entrega]]</f>
        <v>0</v>
      </c>
      <c r="E569" s="830"/>
      <c r="F569" s="831"/>
      <c r="G569" s="832"/>
      <c r="H569" s="852"/>
      <c r="I569" s="834"/>
      <c r="J569" s="835"/>
      <c r="K569" s="836">
        <f t="shared" si="145"/>
        <v>0</v>
      </c>
      <c r="L56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69" s="837">
        <f t="shared" si="147"/>
        <v>0</v>
      </c>
      <c r="N569" s="838">
        <f>+Tabla1[[#This Row],[VENTA TOTAL $ (IVA INC) ]]</f>
        <v>0</v>
      </c>
      <c r="O569" s="838">
        <v>0</v>
      </c>
      <c r="P569" s="838">
        <v>0</v>
      </c>
      <c r="Q569" s="839">
        <f>+Tabla1[[#This Row],[VENTA TOTAL $ (IVA INC) ]]-Tabla1[[#This Row],[PENDIENTE DE COBRO]]</f>
        <v>0</v>
      </c>
      <c r="R569" s="840">
        <f>+Tabla1[[#This Row],[FECHA FC]]+Tabla1[[#This Row],[PLAZO ENTREGA VALORES]]</f>
        <v>0</v>
      </c>
      <c r="S569" s="840">
        <f>+Tabla1[[#This Row],[FECHA FC]]+Tabla1[[#This Row],[PLAZO PAGO (DIAS)]]</f>
        <v>0</v>
      </c>
      <c r="T569" s="834">
        <f t="shared" ca="1" si="146"/>
        <v>-46181</v>
      </c>
      <c r="U569" s="831"/>
      <c r="V569" s="831"/>
      <c r="W569" s="841">
        <f>+Tabla1[[#This Row],[FECHA VTO VALORES]]+7</f>
        <v>7</v>
      </c>
      <c r="X569" s="830"/>
      <c r="Y569" s="859"/>
      <c r="Z569" s="860">
        <f>Tabla1[[#This Row],[KGS]]/50</f>
        <v>0</v>
      </c>
      <c r="AA56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69" s="844">
        <f>-Tabla1[[#This Row],[COSTO FLETE $ POR BOLSA 5O KG (SIN IVA)]]*1.21-Tabla1[[#This Row],[PRECIO $/ KG A PLAZO EN CLIENTE ( SIN IVA)]]*0.003*1.21*50</f>
        <v>0</v>
      </c>
      <c r="AC569" s="845" t="e">
        <f>SUM(Tabla1[[#This Row],[PRECIO $ BOLSA 50 KG (IVA INC) ]]+Tabla1[[#This Row],[COSTO FLETE $ BOLSA 50 KG (IVA INC)]])</f>
        <v>#VALUE!</v>
      </c>
      <c r="AD569" s="844" t="e">
        <f>-Tabla1[[#This Row],[PRECIO $ BOLSA 50 KG (IVA INC) ]]*(Tabla1[[#This Row],[TASA FINANCIACION MENSUAL]]/365)*Tabla1[[#This Row],[PLAZO ENTREGA VALORES]]</f>
        <v>#VALUE!</v>
      </c>
      <c r="AE569" s="845" t="e">
        <f>SUM(Tabla1[[#This Row],[PRECIO $ BOLSA50 KG  FOB TUCUMAN A PLAZO (IVA INC)]]+Tabla1[[#This Row],[GASTOS FINANCIEROS $ BOLSA 50 KG (IVA INC)]])</f>
        <v>#VALUE!</v>
      </c>
      <c r="AF569" s="828"/>
      <c r="AG569" s="828"/>
      <c r="AH569" s="828"/>
      <c r="AI569" s="828"/>
      <c r="AJ56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69" s="846" t="e">
        <f>SUM(Tabla1[[#This Row],[PRECIO $ BOLSA 50KG  FOB CDO TUC (IVA INC)]]-Tabla1[[#This Row],[PRECIO REF $ BOLSA 50 KG CACTU (IVA INC)]])</f>
        <v>#VALUE!</v>
      </c>
      <c r="AL569" s="847" t="str">
        <f>IFERROR(Tabla1[[#This Row],[PRECIO $ BOLSA 50KG  FOB CDO TUC (IVA INC)]]/Tabla1[[#This Row],[PRECIO REF $ BOLSA 50 KG CACTU (IVA INC)]]-1,"")</f>
        <v/>
      </c>
      <c r="AM569" s="846" t="e">
        <f>+Tabla1[[#This Row],[DIF $ PRECIO NETO INDUSTRIA vs Neto TUCUMAN (IVA INC)]]*Tabla1[[#This Row],[Q Bolsas Equivalentes 50kg]]</f>
        <v>#VALUE!</v>
      </c>
      <c r="AN569" s="846" t="e">
        <f>Tabla1[[#This Row],[PRECIO REF $ BOLSA 50 KG CACTU (IVA INC)]]*Tabla1[[#This Row],[Q Bolsas Equivalentes 50kg]]</f>
        <v>#VALUE!</v>
      </c>
      <c r="AO569" s="846" t="e">
        <f>+Tabla1[[#This Row],[PRECIO $ BOLSA 50KG  FOB CDO TUC (IVA INC)]]*Tabla1[[#This Row],[Q Bolsas Equivalentes 50kg]]</f>
        <v>#VALUE!</v>
      </c>
      <c r="AP569" s="847"/>
      <c r="AQ569" s="846">
        <v>0</v>
      </c>
      <c r="AR569" s="828"/>
      <c r="AS569" s="849"/>
      <c r="AT569" s="923">
        <f>+Tabla1[[#This Row],[VENTA TOTAL $ (IVA INC) ]]-(SUM(Tabla1[[#This Row],[PENDIENTE DE ENTREGA]:[VALORES COBRADOS]]))</f>
        <v>0</v>
      </c>
      <c r="AU569" s="850" t="e">
        <f>VLOOKUP(Tabla1[[#This Row],[FECHA OC]],'TIPO DE CAMBIO'!A:B,2,TRUE)</f>
        <v>#N/A</v>
      </c>
      <c r="AV569" s="850" t="e">
        <f>+Tabla1[[#This Row],[SUBTOTAL]]/Tabla1[[#This Row],[TIPO DE CAMBIO]]</f>
        <v>#N/A</v>
      </c>
      <c r="AW569" s="851"/>
      <c r="AX569" s="850" t="str">
        <f>IFERROR(Tabla1[[#This Row],[VENTA TOTAL USD A PLAZO EN CLIENTE  (SIN IVA)]]*(1+Tabla1[[#This Row],[% IVA ]]),"")</f>
        <v/>
      </c>
      <c r="AY569" s="850" t="e">
        <f>+Tabla1[[#This Row],[VENTA TOTAL USD A PLAZO EN CLIENTE  (SIN IVA)]]/Tabla1[[#This Row],[KGS]]*1000</f>
        <v>#N/A</v>
      </c>
      <c r="AZ569" s="850" t="e">
        <f>-Tabla1[[#This Row],[COSTO FLETE $ POR BOLSA 5O KG (SIN IVA)]]*20/Tabla1[[#This Row],[TIPO DE CAMBIO]]</f>
        <v>#N/A</v>
      </c>
      <c r="BA569" s="850" t="e">
        <f>+Tabla1[[#This Row],[GASTOS FINANCIEROS $ BOLSA 50 KG (IVA INC)]]*20/Tabla1[[#This Row],[TIPO DE CAMBIO]]</f>
        <v>#VALUE!</v>
      </c>
      <c r="BB569" s="850" t="e">
        <f>+Tabla1[[#This Row],[PRECIO POR TN USD EN CLIENTE A PLAZO (SIN IVA)]]+Tabla1[[#This Row],[COSTO USD FLETE /TN (SIN IVA)]]+Tabla1[[#This Row],[COSTO FINANCIERO USD POR BOLSA 50KG (IVA INC)]]</f>
        <v>#N/A</v>
      </c>
      <c r="BC569" s="848"/>
      <c r="BD569" s="944"/>
    </row>
    <row r="570" spans="1:56" ht="15.75" customHeight="1">
      <c r="A570" s="912">
        <v>46266</v>
      </c>
      <c r="B570" s="853"/>
      <c r="C570" s="792"/>
      <c r="D570" s="829">
        <f>+Tabla1[[#This Row],[FECHA Entrega]]</f>
        <v>0</v>
      </c>
      <c r="E570" s="830"/>
      <c r="F570" s="831"/>
      <c r="G570" s="832"/>
      <c r="H570" s="852"/>
      <c r="I570" s="834"/>
      <c r="J570" s="835"/>
      <c r="K570" s="836">
        <f t="shared" si="145"/>
        <v>0</v>
      </c>
      <c r="L57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70" s="837">
        <f t="shared" si="147"/>
        <v>0</v>
      </c>
      <c r="N570" s="838">
        <f>+Tabla1[[#This Row],[VENTA TOTAL $ (IVA INC) ]]</f>
        <v>0</v>
      </c>
      <c r="O570" s="838">
        <v>0</v>
      </c>
      <c r="P570" s="838">
        <v>0</v>
      </c>
      <c r="Q570" s="839">
        <f>+Tabla1[[#This Row],[VENTA TOTAL $ (IVA INC) ]]-Tabla1[[#This Row],[PENDIENTE DE COBRO]]</f>
        <v>0</v>
      </c>
      <c r="R570" s="840">
        <f>+Tabla1[[#This Row],[FECHA FC]]+Tabla1[[#This Row],[PLAZO ENTREGA VALORES]]</f>
        <v>0</v>
      </c>
      <c r="S570" s="840">
        <f>+Tabla1[[#This Row],[FECHA FC]]+Tabla1[[#This Row],[PLAZO PAGO (DIAS)]]</f>
        <v>0</v>
      </c>
      <c r="T570" s="834">
        <f t="shared" ca="1" si="146"/>
        <v>-46181</v>
      </c>
      <c r="U570" s="831"/>
      <c r="V570" s="831"/>
      <c r="W570" s="841">
        <f>+Tabla1[[#This Row],[FECHA VTO VALORES]]+7</f>
        <v>7</v>
      </c>
      <c r="X570" s="830"/>
      <c r="Y570" s="859"/>
      <c r="Z570" s="860">
        <f>Tabla1[[#This Row],[KGS]]/50</f>
        <v>0</v>
      </c>
      <c r="AA57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70" s="844">
        <f>-Tabla1[[#This Row],[COSTO FLETE $ POR BOLSA 5O KG (SIN IVA)]]*1.21-Tabla1[[#This Row],[PRECIO $/ KG A PLAZO EN CLIENTE ( SIN IVA)]]*0.003*1.21*50</f>
        <v>0</v>
      </c>
      <c r="AC570" s="845" t="e">
        <f>SUM(Tabla1[[#This Row],[PRECIO $ BOLSA 50 KG (IVA INC) ]]+Tabla1[[#This Row],[COSTO FLETE $ BOLSA 50 KG (IVA INC)]])</f>
        <v>#VALUE!</v>
      </c>
      <c r="AD570" s="844" t="e">
        <f>-Tabla1[[#This Row],[PRECIO $ BOLSA 50 KG (IVA INC) ]]*(Tabla1[[#This Row],[TASA FINANCIACION MENSUAL]]/365)*Tabla1[[#This Row],[PLAZO ENTREGA VALORES]]</f>
        <v>#VALUE!</v>
      </c>
      <c r="AE570" s="845" t="e">
        <f>SUM(Tabla1[[#This Row],[PRECIO $ BOLSA50 KG  FOB TUCUMAN A PLAZO (IVA INC)]]+Tabla1[[#This Row],[GASTOS FINANCIEROS $ BOLSA 50 KG (IVA INC)]])</f>
        <v>#VALUE!</v>
      </c>
      <c r="AF570" s="828"/>
      <c r="AG570" s="828"/>
      <c r="AH570" s="828"/>
      <c r="AI570" s="828"/>
      <c r="AJ57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70" s="846" t="e">
        <f>SUM(Tabla1[[#This Row],[PRECIO $ BOLSA 50KG  FOB CDO TUC (IVA INC)]]-Tabla1[[#This Row],[PRECIO REF $ BOLSA 50 KG CACTU (IVA INC)]])</f>
        <v>#VALUE!</v>
      </c>
      <c r="AL570" s="847" t="str">
        <f>IFERROR(Tabla1[[#This Row],[PRECIO $ BOLSA 50KG  FOB CDO TUC (IVA INC)]]/Tabla1[[#This Row],[PRECIO REF $ BOLSA 50 KG CACTU (IVA INC)]]-1,"")</f>
        <v/>
      </c>
      <c r="AM570" s="846" t="e">
        <f>+Tabla1[[#This Row],[DIF $ PRECIO NETO INDUSTRIA vs Neto TUCUMAN (IVA INC)]]*Tabla1[[#This Row],[Q Bolsas Equivalentes 50kg]]</f>
        <v>#VALUE!</v>
      </c>
      <c r="AN570" s="846" t="e">
        <f>Tabla1[[#This Row],[PRECIO REF $ BOLSA 50 KG CACTU (IVA INC)]]*Tabla1[[#This Row],[Q Bolsas Equivalentes 50kg]]</f>
        <v>#VALUE!</v>
      </c>
      <c r="AO570" s="846" t="e">
        <f>+Tabla1[[#This Row],[PRECIO $ BOLSA 50KG  FOB CDO TUC (IVA INC)]]*Tabla1[[#This Row],[Q Bolsas Equivalentes 50kg]]</f>
        <v>#VALUE!</v>
      </c>
      <c r="AP570" s="847"/>
      <c r="AQ570" s="846">
        <v>0</v>
      </c>
      <c r="AR570" s="828"/>
      <c r="AS570" s="849"/>
      <c r="AT570" s="923">
        <f>+Tabla1[[#This Row],[VENTA TOTAL $ (IVA INC) ]]-(SUM(Tabla1[[#This Row],[PENDIENTE DE ENTREGA]:[VALORES COBRADOS]]))</f>
        <v>0</v>
      </c>
      <c r="AU570" s="850" t="e">
        <f>VLOOKUP(Tabla1[[#This Row],[FECHA OC]],'TIPO DE CAMBIO'!A:B,2,TRUE)</f>
        <v>#N/A</v>
      </c>
      <c r="AV570" s="850" t="e">
        <f>+Tabla1[[#This Row],[SUBTOTAL]]/Tabla1[[#This Row],[TIPO DE CAMBIO]]</f>
        <v>#N/A</v>
      </c>
      <c r="AW570" s="851"/>
      <c r="AX570" s="850" t="str">
        <f>IFERROR(Tabla1[[#This Row],[VENTA TOTAL USD A PLAZO EN CLIENTE  (SIN IVA)]]*(1+Tabla1[[#This Row],[% IVA ]]),"")</f>
        <v/>
      </c>
      <c r="AY570" s="850" t="e">
        <f>+Tabla1[[#This Row],[VENTA TOTAL USD A PLAZO EN CLIENTE  (SIN IVA)]]/Tabla1[[#This Row],[KGS]]*1000</f>
        <v>#N/A</v>
      </c>
      <c r="AZ570" s="850" t="e">
        <f>-Tabla1[[#This Row],[COSTO FLETE $ POR BOLSA 5O KG (SIN IVA)]]*20/Tabla1[[#This Row],[TIPO DE CAMBIO]]</f>
        <v>#N/A</v>
      </c>
      <c r="BA570" s="850" t="e">
        <f>+Tabla1[[#This Row],[GASTOS FINANCIEROS $ BOLSA 50 KG (IVA INC)]]*20/Tabla1[[#This Row],[TIPO DE CAMBIO]]</f>
        <v>#VALUE!</v>
      </c>
      <c r="BB570" s="850" t="e">
        <f>+Tabla1[[#This Row],[PRECIO POR TN USD EN CLIENTE A PLAZO (SIN IVA)]]+Tabla1[[#This Row],[COSTO USD FLETE /TN (SIN IVA)]]+Tabla1[[#This Row],[COSTO FINANCIERO USD POR BOLSA 50KG (IVA INC)]]</f>
        <v>#N/A</v>
      </c>
      <c r="BC570" s="848"/>
      <c r="BD570" s="944"/>
    </row>
    <row r="571" spans="1:56" ht="15.75" customHeight="1">
      <c r="A571" s="912">
        <v>46266</v>
      </c>
      <c r="B571" s="853"/>
      <c r="C571" s="792"/>
      <c r="D571" s="829">
        <f>+Tabla1[[#This Row],[FECHA Entrega]]</f>
        <v>0</v>
      </c>
      <c r="E571" s="830"/>
      <c r="F571" s="831"/>
      <c r="G571" s="832"/>
      <c r="H571" s="852"/>
      <c r="I571" s="834"/>
      <c r="J571" s="835"/>
      <c r="K571" s="836">
        <f t="shared" si="145"/>
        <v>0</v>
      </c>
      <c r="L57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71" s="837">
        <f t="shared" si="147"/>
        <v>0</v>
      </c>
      <c r="N571" s="838">
        <f>+Tabla1[[#This Row],[VENTA TOTAL $ (IVA INC) ]]</f>
        <v>0</v>
      </c>
      <c r="O571" s="838">
        <v>0</v>
      </c>
      <c r="P571" s="838">
        <v>0</v>
      </c>
      <c r="Q571" s="839">
        <f>+Tabla1[[#This Row],[VENTA TOTAL $ (IVA INC) ]]-Tabla1[[#This Row],[PENDIENTE DE COBRO]]</f>
        <v>0</v>
      </c>
      <c r="R571" s="840">
        <f>+Tabla1[[#This Row],[FECHA FC]]+Tabla1[[#This Row],[PLAZO ENTREGA VALORES]]</f>
        <v>0</v>
      </c>
      <c r="S571" s="840">
        <f>+Tabla1[[#This Row],[FECHA FC]]+Tabla1[[#This Row],[PLAZO PAGO (DIAS)]]</f>
        <v>0</v>
      </c>
      <c r="T571" s="834">
        <f t="shared" ca="1" si="146"/>
        <v>-46181</v>
      </c>
      <c r="U571" s="831"/>
      <c r="V571" s="831"/>
      <c r="W571" s="841">
        <f>+Tabla1[[#This Row],[FECHA VTO VALORES]]+7</f>
        <v>7</v>
      </c>
      <c r="X571" s="830"/>
      <c r="Y571" s="859"/>
      <c r="Z571" s="860">
        <f>Tabla1[[#This Row],[KGS]]/50</f>
        <v>0</v>
      </c>
      <c r="AA57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71" s="844">
        <f>-Tabla1[[#This Row],[COSTO FLETE $ POR BOLSA 5O KG (SIN IVA)]]*1.21-Tabla1[[#This Row],[PRECIO $/ KG A PLAZO EN CLIENTE ( SIN IVA)]]*0.003*1.21*50</f>
        <v>0</v>
      </c>
      <c r="AC571" s="845" t="e">
        <f>SUM(Tabla1[[#This Row],[PRECIO $ BOLSA 50 KG (IVA INC) ]]+Tabla1[[#This Row],[COSTO FLETE $ BOLSA 50 KG (IVA INC)]])</f>
        <v>#VALUE!</v>
      </c>
      <c r="AD571" s="844" t="e">
        <f>-Tabla1[[#This Row],[PRECIO $ BOLSA 50 KG (IVA INC) ]]*(Tabla1[[#This Row],[TASA FINANCIACION MENSUAL]]/365)*Tabla1[[#This Row],[PLAZO ENTREGA VALORES]]</f>
        <v>#VALUE!</v>
      </c>
      <c r="AE571" s="845" t="e">
        <f>SUM(Tabla1[[#This Row],[PRECIO $ BOLSA50 KG  FOB TUCUMAN A PLAZO (IVA INC)]]+Tabla1[[#This Row],[GASTOS FINANCIEROS $ BOLSA 50 KG (IVA INC)]])</f>
        <v>#VALUE!</v>
      </c>
      <c r="AF571" s="828"/>
      <c r="AG571" s="828"/>
      <c r="AH571" s="828"/>
      <c r="AI571" s="828"/>
      <c r="AJ57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71" s="846" t="e">
        <f>SUM(Tabla1[[#This Row],[PRECIO $ BOLSA 50KG  FOB CDO TUC (IVA INC)]]-Tabla1[[#This Row],[PRECIO REF $ BOLSA 50 KG CACTU (IVA INC)]])</f>
        <v>#VALUE!</v>
      </c>
      <c r="AL571" s="847" t="str">
        <f>IFERROR(Tabla1[[#This Row],[PRECIO $ BOLSA 50KG  FOB CDO TUC (IVA INC)]]/Tabla1[[#This Row],[PRECIO REF $ BOLSA 50 KG CACTU (IVA INC)]]-1,"")</f>
        <v/>
      </c>
      <c r="AM571" s="846" t="e">
        <f>+Tabla1[[#This Row],[DIF $ PRECIO NETO INDUSTRIA vs Neto TUCUMAN (IVA INC)]]*Tabla1[[#This Row],[Q Bolsas Equivalentes 50kg]]</f>
        <v>#VALUE!</v>
      </c>
      <c r="AN571" s="846" t="e">
        <f>Tabla1[[#This Row],[PRECIO REF $ BOLSA 50 KG CACTU (IVA INC)]]*Tabla1[[#This Row],[Q Bolsas Equivalentes 50kg]]</f>
        <v>#VALUE!</v>
      </c>
      <c r="AO571" s="846" t="e">
        <f>+Tabla1[[#This Row],[PRECIO $ BOLSA 50KG  FOB CDO TUC (IVA INC)]]*Tabla1[[#This Row],[Q Bolsas Equivalentes 50kg]]</f>
        <v>#VALUE!</v>
      </c>
      <c r="AP571" s="847"/>
      <c r="AQ571" s="846">
        <v>0</v>
      </c>
      <c r="AR571" s="828"/>
      <c r="AS571" s="849"/>
      <c r="AT571" s="923">
        <f>+Tabla1[[#This Row],[VENTA TOTAL $ (IVA INC) ]]-(SUM(Tabla1[[#This Row],[PENDIENTE DE ENTREGA]:[VALORES COBRADOS]]))</f>
        <v>0</v>
      </c>
      <c r="AU571" s="850" t="e">
        <f>VLOOKUP(Tabla1[[#This Row],[FECHA OC]],'TIPO DE CAMBIO'!A:B,2,TRUE)</f>
        <v>#N/A</v>
      </c>
      <c r="AV571" s="850" t="e">
        <f>+Tabla1[[#This Row],[SUBTOTAL]]/Tabla1[[#This Row],[TIPO DE CAMBIO]]</f>
        <v>#N/A</v>
      </c>
      <c r="AW571" s="851"/>
      <c r="AX571" s="850" t="str">
        <f>IFERROR(Tabla1[[#This Row],[VENTA TOTAL USD A PLAZO EN CLIENTE  (SIN IVA)]]*(1+Tabla1[[#This Row],[% IVA ]]),"")</f>
        <v/>
      </c>
      <c r="AY571" s="850" t="e">
        <f>+Tabla1[[#This Row],[VENTA TOTAL USD A PLAZO EN CLIENTE  (SIN IVA)]]/Tabla1[[#This Row],[KGS]]*1000</f>
        <v>#N/A</v>
      </c>
      <c r="AZ571" s="850" t="e">
        <f>-Tabla1[[#This Row],[COSTO FLETE $ POR BOLSA 5O KG (SIN IVA)]]*20/Tabla1[[#This Row],[TIPO DE CAMBIO]]</f>
        <v>#N/A</v>
      </c>
      <c r="BA571" s="850" t="e">
        <f>+Tabla1[[#This Row],[GASTOS FINANCIEROS $ BOLSA 50 KG (IVA INC)]]*20/Tabla1[[#This Row],[TIPO DE CAMBIO]]</f>
        <v>#VALUE!</v>
      </c>
      <c r="BB571" s="850" t="e">
        <f>+Tabla1[[#This Row],[PRECIO POR TN USD EN CLIENTE A PLAZO (SIN IVA)]]+Tabla1[[#This Row],[COSTO USD FLETE /TN (SIN IVA)]]+Tabla1[[#This Row],[COSTO FINANCIERO USD POR BOLSA 50KG (IVA INC)]]</f>
        <v>#N/A</v>
      </c>
      <c r="BC571" s="848"/>
      <c r="BD571" s="944"/>
    </row>
    <row r="572" spans="1:56" ht="15.75" customHeight="1">
      <c r="A572" s="912">
        <v>46266</v>
      </c>
      <c r="B572" s="853"/>
      <c r="C572" s="792"/>
      <c r="D572" s="829">
        <f>+Tabla1[[#This Row],[FECHA Entrega]]</f>
        <v>0</v>
      </c>
      <c r="E572" s="830"/>
      <c r="F572" s="831"/>
      <c r="G572" s="832"/>
      <c r="H572" s="852"/>
      <c r="I572" s="834"/>
      <c r="J572" s="835"/>
      <c r="K572" s="836">
        <f t="shared" si="145"/>
        <v>0</v>
      </c>
      <c r="L57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72" s="837">
        <f t="shared" si="147"/>
        <v>0</v>
      </c>
      <c r="N572" s="838">
        <f>+Tabla1[[#This Row],[VENTA TOTAL $ (IVA INC) ]]</f>
        <v>0</v>
      </c>
      <c r="O572" s="838">
        <v>0</v>
      </c>
      <c r="P572" s="838">
        <v>0</v>
      </c>
      <c r="Q572" s="839">
        <f>+Tabla1[[#This Row],[VENTA TOTAL $ (IVA INC) ]]-Tabla1[[#This Row],[PENDIENTE DE COBRO]]</f>
        <v>0</v>
      </c>
      <c r="R572" s="840">
        <f>+Tabla1[[#This Row],[FECHA FC]]+Tabla1[[#This Row],[PLAZO ENTREGA VALORES]]</f>
        <v>0</v>
      </c>
      <c r="S572" s="840">
        <f>+Tabla1[[#This Row],[FECHA FC]]+Tabla1[[#This Row],[PLAZO PAGO (DIAS)]]</f>
        <v>0</v>
      </c>
      <c r="T572" s="834">
        <f t="shared" ca="1" si="146"/>
        <v>-46181</v>
      </c>
      <c r="U572" s="831"/>
      <c r="V572" s="831"/>
      <c r="W572" s="841">
        <f>+Tabla1[[#This Row],[FECHA VTO VALORES]]+7</f>
        <v>7</v>
      </c>
      <c r="X572" s="830"/>
      <c r="Y572" s="859"/>
      <c r="Z572" s="860">
        <f>Tabla1[[#This Row],[KGS]]/50</f>
        <v>0</v>
      </c>
      <c r="AA57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72" s="844">
        <f>-Tabla1[[#This Row],[COSTO FLETE $ POR BOLSA 5O KG (SIN IVA)]]*1.21-Tabla1[[#This Row],[PRECIO $/ KG A PLAZO EN CLIENTE ( SIN IVA)]]*0.003*1.21*50</f>
        <v>0</v>
      </c>
      <c r="AC572" s="845" t="e">
        <f>SUM(Tabla1[[#This Row],[PRECIO $ BOLSA 50 KG (IVA INC) ]]+Tabla1[[#This Row],[COSTO FLETE $ BOLSA 50 KG (IVA INC)]])</f>
        <v>#VALUE!</v>
      </c>
      <c r="AD572" s="844" t="e">
        <f>-Tabla1[[#This Row],[PRECIO $ BOLSA 50 KG (IVA INC) ]]*(Tabla1[[#This Row],[TASA FINANCIACION MENSUAL]]/365)*Tabla1[[#This Row],[PLAZO ENTREGA VALORES]]</f>
        <v>#VALUE!</v>
      </c>
      <c r="AE572" s="845" t="e">
        <f>SUM(Tabla1[[#This Row],[PRECIO $ BOLSA50 KG  FOB TUCUMAN A PLAZO (IVA INC)]]+Tabla1[[#This Row],[GASTOS FINANCIEROS $ BOLSA 50 KG (IVA INC)]])</f>
        <v>#VALUE!</v>
      </c>
      <c r="AF572" s="828"/>
      <c r="AG572" s="828"/>
      <c r="AH572" s="828"/>
      <c r="AI572" s="828"/>
      <c r="AJ57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72" s="846" t="e">
        <f>SUM(Tabla1[[#This Row],[PRECIO $ BOLSA 50KG  FOB CDO TUC (IVA INC)]]-Tabla1[[#This Row],[PRECIO REF $ BOLSA 50 KG CACTU (IVA INC)]])</f>
        <v>#VALUE!</v>
      </c>
      <c r="AL572" s="847" t="str">
        <f>IFERROR(Tabla1[[#This Row],[PRECIO $ BOLSA 50KG  FOB CDO TUC (IVA INC)]]/Tabla1[[#This Row],[PRECIO REF $ BOLSA 50 KG CACTU (IVA INC)]]-1,"")</f>
        <v/>
      </c>
      <c r="AM572" s="846" t="e">
        <f>+Tabla1[[#This Row],[DIF $ PRECIO NETO INDUSTRIA vs Neto TUCUMAN (IVA INC)]]*Tabla1[[#This Row],[Q Bolsas Equivalentes 50kg]]</f>
        <v>#VALUE!</v>
      </c>
      <c r="AN572" s="846" t="e">
        <f>Tabla1[[#This Row],[PRECIO REF $ BOLSA 50 KG CACTU (IVA INC)]]*Tabla1[[#This Row],[Q Bolsas Equivalentes 50kg]]</f>
        <v>#VALUE!</v>
      </c>
      <c r="AO572" s="846" t="e">
        <f>+Tabla1[[#This Row],[PRECIO $ BOLSA 50KG  FOB CDO TUC (IVA INC)]]*Tabla1[[#This Row],[Q Bolsas Equivalentes 50kg]]</f>
        <v>#VALUE!</v>
      </c>
      <c r="AP572" s="847"/>
      <c r="AQ572" s="846">
        <v>0</v>
      </c>
      <c r="AR572" s="828"/>
      <c r="AS572" s="849"/>
      <c r="AT572" s="923">
        <f>+Tabla1[[#This Row],[VENTA TOTAL $ (IVA INC) ]]-(SUM(Tabla1[[#This Row],[PENDIENTE DE ENTREGA]:[VALORES COBRADOS]]))</f>
        <v>0</v>
      </c>
      <c r="AU572" s="850" t="e">
        <f>VLOOKUP(Tabla1[[#This Row],[FECHA OC]],'TIPO DE CAMBIO'!A:B,2,TRUE)</f>
        <v>#N/A</v>
      </c>
      <c r="AV572" s="850" t="e">
        <f>+Tabla1[[#This Row],[SUBTOTAL]]/Tabla1[[#This Row],[TIPO DE CAMBIO]]</f>
        <v>#N/A</v>
      </c>
      <c r="AW572" s="851"/>
      <c r="AX572" s="850" t="str">
        <f>IFERROR(Tabla1[[#This Row],[VENTA TOTAL USD A PLAZO EN CLIENTE  (SIN IVA)]]*(1+Tabla1[[#This Row],[% IVA ]]),"")</f>
        <v/>
      </c>
      <c r="AY572" s="850" t="e">
        <f>+Tabla1[[#This Row],[VENTA TOTAL USD A PLAZO EN CLIENTE  (SIN IVA)]]/Tabla1[[#This Row],[KGS]]*1000</f>
        <v>#N/A</v>
      </c>
      <c r="AZ572" s="850" t="e">
        <f>-Tabla1[[#This Row],[COSTO FLETE $ POR BOLSA 5O KG (SIN IVA)]]*20/Tabla1[[#This Row],[TIPO DE CAMBIO]]</f>
        <v>#N/A</v>
      </c>
      <c r="BA572" s="850" t="e">
        <f>+Tabla1[[#This Row],[GASTOS FINANCIEROS $ BOLSA 50 KG (IVA INC)]]*20/Tabla1[[#This Row],[TIPO DE CAMBIO]]</f>
        <v>#VALUE!</v>
      </c>
      <c r="BB572" s="850" t="e">
        <f>+Tabla1[[#This Row],[PRECIO POR TN USD EN CLIENTE A PLAZO (SIN IVA)]]+Tabla1[[#This Row],[COSTO USD FLETE /TN (SIN IVA)]]+Tabla1[[#This Row],[COSTO FINANCIERO USD POR BOLSA 50KG (IVA INC)]]</f>
        <v>#N/A</v>
      </c>
      <c r="BC572" s="848"/>
      <c r="BD572" s="944"/>
    </row>
    <row r="573" spans="1:56" ht="15.75" customHeight="1">
      <c r="A573" s="912">
        <v>46266</v>
      </c>
      <c r="B573" s="853"/>
      <c r="C573" s="792"/>
      <c r="D573" s="829">
        <f>+Tabla1[[#This Row],[FECHA Entrega]]</f>
        <v>0</v>
      </c>
      <c r="E573" s="830"/>
      <c r="F573" s="831"/>
      <c r="G573" s="832"/>
      <c r="H573" s="852"/>
      <c r="I573" s="834"/>
      <c r="J573" s="835"/>
      <c r="K573" s="836">
        <f t="shared" si="145"/>
        <v>0</v>
      </c>
      <c r="L57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73" s="837">
        <f t="shared" si="147"/>
        <v>0</v>
      </c>
      <c r="N573" s="838">
        <f>+Tabla1[[#This Row],[VENTA TOTAL $ (IVA INC) ]]</f>
        <v>0</v>
      </c>
      <c r="O573" s="838">
        <v>0</v>
      </c>
      <c r="P573" s="838">
        <v>0</v>
      </c>
      <c r="Q573" s="839">
        <f>+Tabla1[[#This Row],[VENTA TOTAL $ (IVA INC) ]]-Tabla1[[#This Row],[PENDIENTE DE COBRO]]</f>
        <v>0</v>
      </c>
      <c r="R573" s="840">
        <f>+Tabla1[[#This Row],[FECHA FC]]+Tabla1[[#This Row],[PLAZO ENTREGA VALORES]]</f>
        <v>0</v>
      </c>
      <c r="S573" s="840">
        <f>+Tabla1[[#This Row],[FECHA FC]]+Tabla1[[#This Row],[PLAZO PAGO (DIAS)]]</f>
        <v>0</v>
      </c>
      <c r="T573" s="834">
        <f t="shared" ca="1" si="146"/>
        <v>-46181</v>
      </c>
      <c r="U573" s="831"/>
      <c r="V573" s="831"/>
      <c r="W573" s="841">
        <f>+Tabla1[[#This Row],[FECHA VTO VALORES]]+7</f>
        <v>7</v>
      </c>
      <c r="X573" s="830"/>
      <c r="Y573" s="859"/>
      <c r="Z573" s="860">
        <f>Tabla1[[#This Row],[KGS]]/50</f>
        <v>0</v>
      </c>
      <c r="AA57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73" s="844">
        <f>-Tabla1[[#This Row],[COSTO FLETE $ POR BOLSA 5O KG (SIN IVA)]]*1.21-Tabla1[[#This Row],[PRECIO $/ KG A PLAZO EN CLIENTE ( SIN IVA)]]*0.003*1.21*50</f>
        <v>0</v>
      </c>
      <c r="AC573" s="845" t="e">
        <f>SUM(Tabla1[[#This Row],[PRECIO $ BOLSA 50 KG (IVA INC) ]]+Tabla1[[#This Row],[COSTO FLETE $ BOLSA 50 KG (IVA INC)]])</f>
        <v>#VALUE!</v>
      </c>
      <c r="AD573" s="844" t="e">
        <f>-Tabla1[[#This Row],[PRECIO $ BOLSA 50 KG (IVA INC) ]]*(Tabla1[[#This Row],[TASA FINANCIACION MENSUAL]]/365)*Tabla1[[#This Row],[PLAZO ENTREGA VALORES]]</f>
        <v>#VALUE!</v>
      </c>
      <c r="AE573" s="845" t="e">
        <f>SUM(Tabla1[[#This Row],[PRECIO $ BOLSA50 KG  FOB TUCUMAN A PLAZO (IVA INC)]]+Tabla1[[#This Row],[GASTOS FINANCIEROS $ BOLSA 50 KG (IVA INC)]])</f>
        <v>#VALUE!</v>
      </c>
      <c r="AF573" s="828"/>
      <c r="AG573" s="828"/>
      <c r="AH573" s="828"/>
      <c r="AI573" s="828"/>
      <c r="AJ57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73" s="846" t="e">
        <f>SUM(Tabla1[[#This Row],[PRECIO $ BOLSA 50KG  FOB CDO TUC (IVA INC)]]-Tabla1[[#This Row],[PRECIO REF $ BOLSA 50 KG CACTU (IVA INC)]])</f>
        <v>#VALUE!</v>
      </c>
      <c r="AL573" s="847" t="str">
        <f>IFERROR(Tabla1[[#This Row],[PRECIO $ BOLSA 50KG  FOB CDO TUC (IVA INC)]]/Tabla1[[#This Row],[PRECIO REF $ BOLSA 50 KG CACTU (IVA INC)]]-1,"")</f>
        <v/>
      </c>
      <c r="AM573" s="846" t="e">
        <f>+Tabla1[[#This Row],[DIF $ PRECIO NETO INDUSTRIA vs Neto TUCUMAN (IVA INC)]]*Tabla1[[#This Row],[Q Bolsas Equivalentes 50kg]]</f>
        <v>#VALUE!</v>
      </c>
      <c r="AN573" s="846" t="e">
        <f>Tabla1[[#This Row],[PRECIO REF $ BOLSA 50 KG CACTU (IVA INC)]]*Tabla1[[#This Row],[Q Bolsas Equivalentes 50kg]]</f>
        <v>#VALUE!</v>
      </c>
      <c r="AO573" s="846" t="e">
        <f>+Tabla1[[#This Row],[PRECIO $ BOLSA 50KG  FOB CDO TUC (IVA INC)]]*Tabla1[[#This Row],[Q Bolsas Equivalentes 50kg]]</f>
        <v>#VALUE!</v>
      </c>
      <c r="AP573" s="847"/>
      <c r="AQ573" s="846">
        <v>0</v>
      </c>
      <c r="AR573" s="828"/>
      <c r="AS573" s="849"/>
      <c r="AT573" s="923">
        <f>+Tabla1[[#This Row],[VENTA TOTAL $ (IVA INC) ]]-(SUM(Tabla1[[#This Row],[PENDIENTE DE ENTREGA]:[VALORES COBRADOS]]))</f>
        <v>0</v>
      </c>
      <c r="AU573" s="850" t="e">
        <f>VLOOKUP(Tabla1[[#This Row],[FECHA OC]],'TIPO DE CAMBIO'!A:B,2,TRUE)</f>
        <v>#N/A</v>
      </c>
      <c r="AV573" s="850" t="e">
        <f>+Tabla1[[#This Row],[SUBTOTAL]]/Tabla1[[#This Row],[TIPO DE CAMBIO]]</f>
        <v>#N/A</v>
      </c>
      <c r="AW573" s="851"/>
      <c r="AX573" s="850" t="str">
        <f>IFERROR(Tabla1[[#This Row],[VENTA TOTAL USD A PLAZO EN CLIENTE  (SIN IVA)]]*(1+Tabla1[[#This Row],[% IVA ]]),"")</f>
        <v/>
      </c>
      <c r="AY573" s="850" t="e">
        <f>+Tabla1[[#This Row],[VENTA TOTAL USD A PLAZO EN CLIENTE  (SIN IVA)]]/Tabla1[[#This Row],[KGS]]*1000</f>
        <v>#N/A</v>
      </c>
      <c r="AZ573" s="850" t="e">
        <f>-Tabla1[[#This Row],[COSTO FLETE $ POR BOLSA 5O KG (SIN IVA)]]*20/Tabla1[[#This Row],[TIPO DE CAMBIO]]</f>
        <v>#N/A</v>
      </c>
      <c r="BA573" s="850" t="e">
        <f>+Tabla1[[#This Row],[GASTOS FINANCIEROS $ BOLSA 50 KG (IVA INC)]]*20/Tabla1[[#This Row],[TIPO DE CAMBIO]]</f>
        <v>#VALUE!</v>
      </c>
      <c r="BB573" s="850" t="e">
        <f>+Tabla1[[#This Row],[PRECIO POR TN USD EN CLIENTE A PLAZO (SIN IVA)]]+Tabla1[[#This Row],[COSTO USD FLETE /TN (SIN IVA)]]+Tabla1[[#This Row],[COSTO FINANCIERO USD POR BOLSA 50KG (IVA INC)]]</f>
        <v>#N/A</v>
      </c>
      <c r="BC573" s="848"/>
      <c r="BD573" s="944"/>
    </row>
    <row r="574" spans="1:56" ht="15.75" customHeight="1">
      <c r="A574" s="912">
        <v>46266</v>
      </c>
      <c r="B574" s="853"/>
      <c r="C574" s="792"/>
      <c r="D574" s="829">
        <f>+Tabla1[[#This Row],[FECHA Entrega]]</f>
        <v>0</v>
      </c>
      <c r="E574" s="830"/>
      <c r="F574" s="831"/>
      <c r="G574" s="832"/>
      <c r="H574" s="852"/>
      <c r="I574" s="834"/>
      <c r="J574" s="835"/>
      <c r="K574" s="836">
        <f t="shared" si="145"/>
        <v>0</v>
      </c>
      <c r="L57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74" s="837">
        <f t="shared" si="147"/>
        <v>0</v>
      </c>
      <c r="N574" s="838">
        <f>+Tabla1[[#This Row],[VENTA TOTAL $ (IVA INC) ]]</f>
        <v>0</v>
      </c>
      <c r="O574" s="838">
        <v>0</v>
      </c>
      <c r="P574" s="838">
        <v>0</v>
      </c>
      <c r="Q574" s="839">
        <f>+Tabla1[[#This Row],[VENTA TOTAL $ (IVA INC) ]]-Tabla1[[#This Row],[PENDIENTE DE COBRO]]</f>
        <v>0</v>
      </c>
      <c r="R574" s="840">
        <f>+Tabla1[[#This Row],[FECHA FC]]+Tabla1[[#This Row],[PLAZO ENTREGA VALORES]]</f>
        <v>0</v>
      </c>
      <c r="S574" s="840">
        <f>+Tabla1[[#This Row],[FECHA FC]]+Tabla1[[#This Row],[PLAZO PAGO (DIAS)]]</f>
        <v>0</v>
      </c>
      <c r="T574" s="834">
        <f t="shared" ca="1" si="146"/>
        <v>-46181</v>
      </c>
      <c r="U574" s="831"/>
      <c r="V574" s="831"/>
      <c r="W574" s="841">
        <f>+Tabla1[[#This Row],[FECHA VTO VALORES]]+7</f>
        <v>7</v>
      </c>
      <c r="X574" s="830"/>
      <c r="Y574" s="859"/>
      <c r="Z574" s="860">
        <f>Tabla1[[#This Row],[KGS]]/50</f>
        <v>0</v>
      </c>
      <c r="AA57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74" s="844">
        <f>-Tabla1[[#This Row],[COSTO FLETE $ POR BOLSA 5O KG (SIN IVA)]]*1.21-Tabla1[[#This Row],[PRECIO $/ KG A PLAZO EN CLIENTE ( SIN IVA)]]*0.003*1.21*50</f>
        <v>0</v>
      </c>
      <c r="AC574" s="845" t="e">
        <f>SUM(Tabla1[[#This Row],[PRECIO $ BOLSA 50 KG (IVA INC) ]]+Tabla1[[#This Row],[COSTO FLETE $ BOLSA 50 KG (IVA INC)]])</f>
        <v>#VALUE!</v>
      </c>
      <c r="AD574" s="844" t="e">
        <f>-Tabla1[[#This Row],[PRECIO $ BOLSA 50 KG (IVA INC) ]]*(Tabla1[[#This Row],[TASA FINANCIACION MENSUAL]]/365)*Tabla1[[#This Row],[PLAZO ENTREGA VALORES]]</f>
        <v>#VALUE!</v>
      </c>
      <c r="AE574" s="845" t="e">
        <f>SUM(Tabla1[[#This Row],[PRECIO $ BOLSA50 KG  FOB TUCUMAN A PLAZO (IVA INC)]]+Tabla1[[#This Row],[GASTOS FINANCIEROS $ BOLSA 50 KG (IVA INC)]])</f>
        <v>#VALUE!</v>
      </c>
      <c r="AF574" s="828"/>
      <c r="AG574" s="828"/>
      <c r="AH574" s="828"/>
      <c r="AI574" s="828"/>
      <c r="AJ57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74" s="846" t="e">
        <f>SUM(Tabla1[[#This Row],[PRECIO $ BOLSA 50KG  FOB CDO TUC (IVA INC)]]-Tabla1[[#This Row],[PRECIO REF $ BOLSA 50 KG CACTU (IVA INC)]])</f>
        <v>#VALUE!</v>
      </c>
      <c r="AL574" s="847" t="str">
        <f>IFERROR(Tabla1[[#This Row],[PRECIO $ BOLSA 50KG  FOB CDO TUC (IVA INC)]]/Tabla1[[#This Row],[PRECIO REF $ BOLSA 50 KG CACTU (IVA INC)]]-1,"")</f>
        <v/>
      </c>
      <c r="AM574" s="846" t="e">
        <f>+Tabla1[[#This Row],[DIF $ PRECIO NETO INDUSTRIA vs Neto TUCUMAN (IVA INC)]]*Tabla1[[#This Row],[Q Bolsas Equivalentes 50kg]]</f>
        <v>#VALUE!</v>
      </c>
      <c r="AN574" s="846" t="e">
        <f>Tabla1[[#This Row],[PRECIO REF $ BOLSA 50 KG CACTU (IVA INC)]]*Tabla1[[#This Row],[Q Bolsas Equivalentes 50kg]]</f>
        <v>#VALUE!</v>
      </c>
      <c r="AO574" s="846" t="e">
        <f>+Tabla1[[#This Row],[PRECIO $ BOLSA 50KG  FOB CDO TUC (IVA INC)]]*Tabla1[[#This Row],[Q Bolsas Equivalentes 50kg]]</f>
        <v>#VALUE!</v>
      </c>
      <c r="AP574" s="847"/>
      <c r="AQ574" s="846">
        <v>0</v>
      </c>
      <c r="AR574" s="828"/>
      <c r="AS574" s="849"/>
      <c r="AT574" s="923">
        <f>+Tabla1[[#This Row],[VENTA TOTAL $ (IVA INC) ]]-(SUM(Tabla1[[#This Row],[PENDIENTE DE ENTREGA]:[VALORES COBRADOS]]))</f>
        <v>0</v>
      </c>
      <c r="AU574" s="850" t="e">
        <f>VLOOKUP(Tabla1[[#This Row],[FECHA OC]],'TIPO DE CAMBIO'!A:B,2,TRUE)</f>
        <v>#N/A</v>
      </c>
      <c r="AV574" s="850" t="e">
        <f>+Tabla1[[#This Row],[SUBTOTAL]]/Tabla1[[#This Row],[TIPO DE CAMBIO]]</f>
        <v>#N/A</v>
      </c>
      <c r="AW574" s="851"/>
      <c r="AX574" s="850" t="str">
        <f>IFERROR(Tabla1[[#This Row],[VENTA TOTAL USD A PLAZO EN CLIENTE  (SIN IVA)]]*(1+Tabla1[[#This Row],[% IVA ]]),"")</f>
        <v/>
      </c>
      <c r="AY574" s="850" t="e">
        <f>+Tabla1[[#This Row],[VENTA TOTAL USD A PLAZO EN CLIENTE  (SIN IVA)]]/Tabla1[[#This Row],[KGS]]*1000</f>
        <v>#N/A</v>
      </c>
      <c r="AZ574" s="850" t="e">
        <f>-Tabla1[[#This Row],[COSTO FLETE $ POR BOLSA 5O KG (SIN IVA)]]*20/Tabla1[[#This Row],[TIPO DE CAMBIO]]</f>
        <v>#N/A</v>
      </c>
      <c r="BA574" s="850" t="e">
        <f>+Tabla1[[#This Row],[GASTOS FINANCIEROS $ BOLSA 50 KG (IVA INC)]]*20/Tabla1[[#This Row],[TIPO DE CAMBIO]]</f>
        <v>#VALUE!</v>
      </c>
      <c r="BB574" s="850" t="e">
        <f>+Tabla1[[#This Row],[PRECIO POR TN USD EN CLIENTE A PLAZO (SIN IVA)]]+Tabla1[[#This Row],[COSTO USD FLETE /TN (SIN IVA)]]+Tabla1[[#This Row],[COSTO FINANCIERO USD POR BOLSA 50KG (IVA INC)]]</f>
        <v>#N/A</v>
      </c>
      <c r="BC574" s="848"/>
      <c r="BD574" s="944"/>
    </row>
    <row r="575" spans="1:56" ht="15.75" customHeight="1">
      <c r="A575" s="912">
        <v>46266</v>
      </c>
      <c r="B575" s="853"/>
      <c r="C575" s="792"/>
      <c r="D575" s="829">
        <f>+Tabla1[[#This Row],[FECHA Entrega]]</f>
        <v>0</v>
      </c>
      <c r="E575" s="830"/>
      <c r="F575" s="831"/>
      <c r="G575" s="832"/>
      <c r="H575" s="852"/>
      <c r="I575" s="834"/>
      <c r="J575" s="835"/>
      <c r="K575" s="836">
        <f t="shared" si="145"/>
        <v>0</v>
      </c>
      <c r="L57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75" s="837">
        <f t="shared" si="147"/>
        <v>0</v>
      </c>
      <c r="N575" s="838">
        <f>+Tabla1[[#This Row],[VENTA TOTAL $ (IVA INC) ]]</f>
        <v>0</v>
      </c>
      <c r="O575" s="838">
        <v>0</v>
      </c>
      <c r="P575" s="838">
        <v>0</v>
      </c>
      <c r="Q575" s="839">
        <f>+Tabla1[[#This Row],[VENTA TOTAL $ (IVA INC) ]]-Tabla1[[#This Row],[PENDIENTE DE COBRO]]</f>
        <v>0</v>
      </c>
      <c r="R575" s="840">
        <f>+Tabla1[[#This Row],[FECHA FC]]+Tabla1[[#This Row],[PLAZO ENTREGA VALORES]]</f>
        <v>0</v>
      </c>
      <c r="S575" s="840">
        <f>+Tabla1[[#This Row],[FECHA FC]]+Tabla1[[#This Row],[PLAZO PAGO (DIAS)]]</f>
        <v>0</v>
      </c>
      <c r="T575" s="834">
        <f t="shared" ca="1" si="146"/>
        <v>-46181</v>
      </c>
      <c r="U575" s="831"/>
      <c r="V575" s="831"/>
      <c r="W575" s="841">
        <f>+Tabla1[[#This Row],[FECHA VTO VALORES]]+7</f>
        <v>7</v>
      </c>
      <c r="X575" s="830"/>
      <c r="Y575" s="859"/>
      <c r="Z575" s="860">
        <f>Tabla1[[#This Row],[KGS]]/50</f>
        <v>0</v>
      </c>
      <c r="AA57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75" s="844">
        <f>-Tabla1[[#This Row],[COSTO FLETE $ POR BOLSA 5O KG (SIN IVA)]]*1.21-Tabla1[[#This Row],[PRECIO $/ KG A PLAZO EN CLIENTE ( SIN IVA)]]*0.003*1.21*50</f>
        <v>0</v>
      </c>
      <c r="AC575" s="845" t="e">
        <f>SUM(Tabla1[[#This Row],[PRECIO $ BOLSA 50 KG (IVA INC) ]]+Tabla1[[#This Row],[COSTO FLETE $ BOLSA 50 KG (IVA INC)]])</f>
        <v>#VALUE!</v>
      </c>
      <c r="AD575" s="844" t="e">
        <f>-Tabla1[[#This Row],[PRECIO $ BOLSA 50 KG (IVA INC) ]]*(Tabla1[[#This Row],[TASA FINANCIACION MENSUAL]]/365)*Tabla1[[#This Row],[PLAZO ENTREGA VALORES]]</f>
        <v>#VALUE!</v>
      </c>
      <c r="AE575" s="845" t="e">
        <f>SUM(Tabla1[[#This Row],[PRECIO $ BOLSA50 KG  FOB TUCUMAN A PLAZO (IVA INC)]]+Tabla1[[#This Row],[GASTOS FINANCIEROS $ BOLSA 50 KG (IVA INC)]])</f>
        <v>#VALUE!</v>
      </c>
      <c r="AF575" s="828"/>
      <c r="AG575" s="828"/>
      <c r="AH575" s="828"/>
      <c r="AI575" s="828"/>
      <c r="AJ57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75" s="846" t="e">
        <f>SUM(Tabla1[[#This Row],[PRECIO $ BOLSA 50KG  FOB CDO TUC (IVA INC)]]-Tabla1[[#This Row],[PRECIO REF $ BOLSA 50 KG CACTU (IVA INC)]])</f>
        <v>#VALUE!</v>
      </c>
      <c r="AL575" s="847" t="str">
        <f>IFERROR(Tabla1[[#This Row],[PRECIO $ BOLSA 50KG  FOB CDO TUC (IVA INC)]]/Tabla1[[#This Row],[PRECIO REF $ BOLSA 50 KG CACTU (IVA INC)]]-1,"")</f>
        <v/>
      </c>
      <c r="AM575" s="846" t="e">
        <f>+Tabla1[[#This Row],[DIF $ PRECIO NETO INDUSTRIA vs Neto TUCUMAN (IVA INC)]]*Tabla1[[#This Row],[Q Bolsas Equivalentes 50kg]]</f>
        <v>#VALUE!</v>
      </c>
      <c r="AN575" s="846" t="e">
        <f>Tabla1[[#This Row],[PRECIO REF $ BOLSA 50 KG CACTU (IVA INC)]]*Tabla1[[#This Row],[Q Bolsas Equivalentes 50kg]]</f>
        <v>#VALUE!</v>
      </c>
      <c r="AO575" s="846" t="e">
        <f>+Tabla1[[#This Row],[PRECIO $ BOLSA 50KG  FOB CDO TUC (IVA INC)]]*Tabla1[[#This Row],[Q Bolsas Equivalentes 50kg]]</f>
        <v>#VALUE!</v>
      </c>
      <c r="AP575" s="847"/>
      <c r="AQ575" s="846">
        <v>0</v>
      </c>
      <c r="AR575" s="828"/>
      <c r="AS575" s="849"/>
      <c r="AT575" s="923">
        <f>+Tabla1[[#This Row],[VENTA TOTAL $ (IVA INC) ]]-(SUM(Tabla1[[#This Row],[PENDIENTE DE ENTREGA]:[VALORES COBRADOS]]))</f>
        <v>0</v>
      </c>
      <c r="AU575" s="850" t="e">
        <f>VLOOKUP(Tabla1[[#This Row],[FECHA OC]],'TIPO DE CAMBIO'!A:B,2,TRUE)</f>
        <v>#N/A</v>
      </c>
      <c r="AV575" s="850" t="e">
        <f>+Tabla1[[#This Row],[SUBTOTAL]]/Tabla1[[#This Row],[TIPO DE CAMBIO]]</f>
        <v>#N/A</v>
      </c>
      <c r="AW575" s="851"/>
      <c r="AX575" s="850" t="str">
        <f>IFERROR(Tabla1[[#This Row],[VENTA TOTAL USD A PLAZO EN CLIENTE  (SIN IVA)]]*(1+Tabla1[[#This Row],[% IVA ]]),"")</f>
        <v/>
      </c>
      <c r="AY575" s="850" t="e">
        <f>+Tabla1[[#This Row],[VENTA TOTAL USD A PLAZO EN CLIENTE  (SIN IVA)]]/Tabla1[[#This Row],[KGS]]*1000</f>
        <v>#N/A</v>
      </c>
      <c r="AZ575" s="850" t="e">
        <f>-Tabla1[[#This Row],[COSTO FLETE $ POR BOLSA 5O KG (SIN IVA)]]*20/Tabla1[[#This Row],[TIPO DE CAMBIO]]</f>
        <v>#N/A</v>
      </c>
      <c r="BA575" s="850" t="e">
        <f>+Tabla1[[#This Row],[GASTOS FINANCIEROS $ BOLSA 50 KG (IVA INC)]]*20/Tabla1[[#This Row],[TIPO DE CAMBIO]]</f>
        <v>#VALUE!</v>
      </c>
      <c r="BB575" s="850" t="e">
        <f>+Tabla1[[#This Row],[PRECIO POR TN USD EN CLIENTE A PLAZO (SIN IVA)]]+Tabla1[[#This Row],[COSTO USD FLETE /TN (SIN IVA)]]+Tabla1[[#This Row],[COSTO FINANCIERO USD POR BOLSA 50KG (IVA INC)]]</f>
        <v>#N/A</v>
      </c>
      <c r="BC575" s="848"/>
      <c r="BD575" s="944"/>
    </row>
    <row r="576" spans="1:56" ht="15.75" customHeight="1">
      <c r="A576" s="912">
        <v>46266</v>
      </c>
      <c r="B576" s="853"/>
      <c r="C576" s="792"/>
      <c r="D576" s="829">
        <f>+Tabla1[[#This Row],[FECHA Entrega]]</f>
        <v>0</v>
      </c>
      <c r="E576" s="830"/>
      <c r="F576" s="831"/>
      <c r="G576" s="832"/>
      <c r="H576" s="852"/>
      <c r="I576" s="834"/>
      <c r="J576" s="835"/>
      <c r="K576" s="836">
        <f t="shared" si="145"/>
        <v>0</v>
      </c>
      <c r="L57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76" s="837">
        <f t="shared" si="147"/>
        <v>0</v>
      </c>
      <c r="N576" s="838">
        <f>+Tabla1[[#This Row],[VENTA TOTAL $ (IVA INC) ]]</f>
        <v>0</v>
      </c>
      <c r="O576" s="838">
        <v>0</v>
      </c>
      <c r="P576" s="838">
        <v>0</v>
      </c>
      <c r="Q576" s="839">
        <f>+Tabla1[[#This Row],[VENTA TOTAL $ (IVA INC) ]]-Tabla1[[#This Row],[PENDIENTE DE COBRO]]</f>
        <v>0</v>
      </c>
      <c r="R576" s="840">
        <f>+Tabla1[[#This Row],[FECHA FC]]+Tabla1[[#This Row],[PLAZO ENTREGA VALORES]]</f>
        <v>0</v>
      </c>
      <c r="S576" s="840">
        <f>+Tabla1[[#This Row],[FECHA FC]]+Tabla1[[#This Row],[PLAZO PAGO (DIAS)]]</f>
        <v>0</v>
      </c>
      <c r="T576" s="834">
        <f t="shared" ca="1" si="146"/>
        <v>-46181</v>
      </c>
      <c r="U576" s="831"/>
      <c r="V576" s="831"/>
      <c r="W576" s="841">
        <f>+Tabla1[[#This Row],[FECHA VTO VALORES]]+7</f>
        <v>7</v>
      </c>
      <c r="X576" s="830"/>
      <c r="Y576" s="859"/>
      <c r="Z576" s="860">
        <f>Tabla1[[#This Row],[KGS]]/50</f>
        <v>0</v>
      </c>
      <c r="AA57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76" s="844">
        <f>-Tabla1[[#This Row],[COSTO FLETE $ POR BOLSA 5O KG (SIN IVA)]]*1.21-Tabla1[[#This Row],[PRECIO $/ KG A PLAZO EN CLIENTE ( SIN IVA)]]*0.003*1.21*50</f>
        <v>0</v>
      </c>
      <c r="AC576" s="845" t="e">
        <f>SUM(Tabla1[[#This Row],[PRECIO $ BOLSA 50 KG (IVA INC) ]]+Tabla1[[#This Row],[COSTO FLETE $ BOLSA 50 KG (IVA INC)]])</f>
        <v>#VALUE!</v>
      </c>
      <c r="AD576" s="844" t="e">
        <f>-Tabla1[[#This Row],[PRECIO $ BOLSA 50 KG (IVA INC) ]]*(Tabla1[[#This Row],[TASA FINANCIACION MENSUAL]]/365)*Tabla1[[#This Row],[PLAZO ENTREGA VALORES]]</f>
        <v>#VALUE!</v>
      </c>
      <c r="AE576" s="845" t="e">
        <f>SUM(Tabla1[[#This Row],[PRECIO $ BOLSA50 KG  FOB TUCUMAN A PLAZO (IVA INC)]]+Tabla1[[#This Row],[GASTOS FINANCIEROS $ BOLSA 50 KG (IVA INC)]])</f>
        <v>#VALUE!</v>
      </c>
      <c r="AF576" s="828"/>
      <c r="AG576" s="828"/>
      <c r="AH576" s="828"/>
      <c r="AI576" s="828"/>
      <c r="AJ57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76" s="846" t="e">
        <f>SUM(Tabla1[[#This Row],[PRECIO $ BOLSA 50KG  FOB CDO TUC (IVA INC)]]-Tabla1[[#This Row],[PRECIO REF $ BOLSA 50 KG CACTU (IVA INC)]])</f>
        <v>#VALUE!</v>
      </c>
      <c r="AL576" s="847" t="str">
        <f>IFERROR(Tabla1[[#This Row],[PRECIO $ BOLSA 50KG  FOB CDO TUC (IVA INC)]]/Tabla1[[#This Row],[PRECIO REF $ BOLSA 50 KG CACTU (IVA INC)]]-1,"")</f>
        <v/>
      </c>
      <c r="AM576" s="846" t="e">
        <f>+Tabla1[[#This Row],[DIF $ PRECIO NETO INDUSTRIA vs Neto TUCUMAN (IVA INC)]]*Tabla1[[#This Row],[Q Bolsas Equivalentes 50kg]]</f>
        <v>#VALUE!</v>
      </c>
      <c r="AN576" s="846" t="e">
        <f>Tabla1[[#This Row],[PRECIO REF $ BOLSA 50 KG CACTU (IVA INC)]]*Tabla1[[#This Row],[Q Bolsas Equivalentes 50kg]]</f>
        <v>#VALUE!</v>
      </c>
      <c r="AO576" s="846" t="e">
        <f>+Tabla1[[#This Row],[PRECIO $ BOLSA 50KG  FOB CDO TUC (IVA INC)]]*Tabla1[[#This Row],[Q Bolsas Equivalentes 50kg]]</f>
        <v>#VALUE!</v>
      </c>
      <c r="AP576" s="847"/>
      <c r="AQ576" s="846">
        <v>0</v>
      </c>
      <c r="AR576" s="828"/>
      <c r="AS576" s="849"/>
      <c r="AT576" s="923">
        <f>+Tabla1[[#This Row],[VENTA TOTAL $ (IVA INC) ]]-(SUM(Tabla1[[#This Row],[PENDIENTE DE ENTREGA]:[VALORES COBRADOS]]))</f>
        <v>0</v>
      </c>
      <c r="AU576" s="850" t="e">
        <f>VLOOKUP(Tabla1[[#This Row],[FECHA OC]],'TIPO DE CAMBIO'!A:B,2,TRUE)</f>
        <v>#N/A</v>
      </c>
      <c r="AV576" s="850" t="e">
        <f>+Tabla1[[#This Row],[SUBTOTAL]]/Tabla1[[#This Row],[TIPO DE CAMBIO]]</f>
        <v>#N/A</v>
      </c>
      <c r="AW576" s="851"/>
      <c r="AX576" s="850" t="str">
        <f>IFERROR(Tabla1[[#This Row],[VENTA TOTAL USD A PLAZO EN CLIENTE  (SIN IVA)]]*(1+Tabla1[[#This Row],[% IVA ]]),"")</f>
        <v/>
      </c>
      <c r="AY576" s="850" t="e">
        <f>+Tabla1[[#This Row],[VENTA TOTAL USD A PLAZO EN CLIENTE  (SIN IVA)]]/Tabla1[[#This Row],[KGS]]*1000</f>
        <v>#N/A</v>
      </c>
      <c r="AZ576" s="850" t="e">
        <f>-Tabla1[[#This Row],[COSTO FLETE $ POR BOLSA 5O KG (SIN IVA)]]*20/Tabla1[[#This Row],[TIPO DE CAMBIO]]</f>
        <v>#N/A</v>
      </c>
      <c r="BA576" s="850" t="e">
        <f>+Tabla1[[#This Row],[GASTOS FINANCIEROS $ BOLSA 50 KG (IVA INC)]]*20/Tabla1[[#This Row],[TIPO DE CAMBIO]]</f>
        <v>#VALUE!</v>
      </c>
      <c r="BB576" s="850" t="e">
        <f>+Tabla1[[#This Row],[PRECIO POR TN USD EN CLIENTE A PLAZO (SIN IVA)]]+Tabla1[[#This Row],[COSTO USD FLETE /TN (SIN IVA)]]+Tabla1[[#This Row],[COSTO FINANCIERO USD POR BOLSA 50KG (IVA INC)]]</f>
        <v>#N/A</v>
      </c>
      <c r="BC576" s="848"/>
      <c r="BD576" s="944"/>
    </row>
    <row r="577" spans="1:56" ht="15.75" customHeight="1">
      <c r="A577" s="912">
        <v>46266</v>
      </c>
      <c r="B577" s="853"/>
      <c r="C577" s="792"/>
      <c r="D577" s="829">
        <f>+Tabla1[[#This Row],[FECHA Entrega]]</f>
        <v>0</v>
      </c>
      <c r="E577" s="830"/>
      <c r="F577" s="831"/>
      <c r="G577" s="832"/>
      <c r="H577" s="852"/>
      <c r="I577" s="834"/>
      <c r="J577" s="835"/>
      <c r="K577" s="836">
        <f t="shared" si="145"/>
        <v>0</v>
      </c>
      <c r="L57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77" s="837">
        <f t="shared" si="147"/>
        <v>0</v>
      </c>
      <c r="N577" s="838">
        <f>+Tabla1[[#This Row],[VENTA TOTAL $ (IVA INC) ]]</f>
        <v>0</v>
      </c>
      <c r="O577" s="838">
        <v>0</v>
      </c>
      <c r="P577" s="838">
        <v>0</v>
      </c>
      <c r="Q577" s="839">
        <f>+Tabla1[[#This Row],[VENTA TOTAL $ (IVA INC) ]]-Tabla1[[#This Row],[PENDIENTE DE COBRO]]</f>
        <v>0</v>
      </c>
      <c r="R577" s="840">
        <f>+Tabla1[[#This Row],[FECHA FC]]+Tabla1[[#This Row],[PLAZO ENTREGA VALORES]]</f>
        <v>0</v>
      </c>
      <c r="S577" s="840">
        <f>+Tabla1[[#This Row],[FECHA FC]]+Tabla1[[#This Row],[PLAZO PAGO (DIAS)]]</f>
        <v>0</v>
      </c>
      <c r="T577" s="834">
        <f t="shared" ca="1" si="146"/>
        <v>-46181</v>
      </c>
      <c r="U577" s="831"/>
      <c r="V577" s="831"/>
      <c r="W577" s="841">
        <f>+Tabla1[[#This Row],[FECHA VTO VALORES]]+7</f>
        <v>7</v>
      </c>
      <c r="X577" s="830"/>
      <c r="Y577" s="859"/>
      <c r="Z577" s="860">
        <f>Tabla1[[#This Row],[KGS]]/50</f>
        <v>0</v>
      </c>
      <c r="AA57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77" s="844">
        <f>-Tabla1[[#This Row],[COSTO FLETE $ POR BOLSA 5O KG (SIN IVA)]]*1.21-Tabla1[[#This Row],[PRECIO $/ KG A PLAZO EN CLIENTE ( SIN IVA)]]*0.003*1.21*50</f>
        <v>0</v>
      </c>
      <c r="AC577" s="845" t="e">
        <f>SUM(Tabla1[[#This Row],[PRECIO $ BOLSA 50 KG (IVA INC) ]]+Tabla1[[#This Row],[COSTO FLETE $ BOLSA 50 KG (IVA INC)]])</f>
        <v>#VALUE!</v>
      </c>
      <c r="AD577" s="844" t="e">
        <f>-Tabla1[[#This Row],[PRECIO $ BOLSA 50 KG (IVA INC) ]]*(Tabla1[[#This Row],[TASA FINANCIACION MENSUAL]]/365)*Tabla1[[#This Row],[PLAZO ENTREGA VALORES]]</f>
        <v>#VALUE!</v>
      </c>
      <c r="AE577" s="845" t="e">
        <f>SUM(Tabla1[[#This Row],[PRECIO $ BOLSA50 KG  FOB TUCUMAN A PLAZO (IVA INC)]]+Tabla1[[#This Row],[GASTOS FINANCIEROS $ BOLSA 50 KG (IVA INC)]])</f>
        <v>#VALUE!</v>
      </c>
      <c r="AF577" s="828"/>
      <c r="AG577" s="828"/>
      <c r="AH577" s="828"/>
      <c r="AI577" s="828"/>
      <c r="AJ57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77" s="846" t="e">
        <f>SUM(Tabla1[[#This Row],[PRECIO $ BOLSA 50KG  FOB CDO TUC (IVA INC)]]-Tabla1[[#This Row],[PRECIO REF $ BOLSA 50 KG CACTU (IVA INC)]])</f>
        <v>#VALUE!</v>
      </c>
      <c r="AL577" s="847" t="str">
        <f>IFERROR(Tabla1[[#This Row],[PRECIO $ BOLSA 50KG  FOB CDO TUC (IVA INC)]]/Tabla1[[#This Row],[PRECIO REF $ BOLSA 50 KG CACTU (IVA INC)]]-1,"")</f>
        <v/>
      </c>
      <c r="AM577" s="846" t="e">
        <f>+Tabla1[[#This Row],[DIF $ PRECIO NETO INDUSTRIA vs Neto TUCUMAN (IVA INC)]]*Tabla1[[#This Row],[Q Bolsas Equivalentes 50kg]]</f>
        <v>#VALUE!</v>
      </c>
      <c r="AN577" s="846" t="e">
        <f>Tabla1[[#This Row],[PRECIO REF $ BOLSA 50 KG CACTU (IVA INC)]]*Tabla1[[#This Row],[Q Bolsas Equivalentes 50kg]]</f>
        <v>#VALUE!</v>
      </c>
      <c r="AO577" s="846" t="e">
        <f>+Tabla1[[#This Row],[PRECIO $ BOLSA 50KG  FOB CDO TUC (IVA INC)]]*Tabla1[[#This Row],[Q Bolsas Equivalentes 50kg]]</f>
        <v>#VALUE!</v>
      </c>
      <c r="AP577" s="847"/>
      <c r="AQ577" s="846">
        <v>0</v>
      </c>
      <c r="AR577" s="828"/>
      <c r="AS577" s="849"/>
      <c r="AT577" s="923">
        <f>+Tabla1[[#This Row],[VENTA TOTAL $ (IVA INC) ]]-(SUM(Tabla1[[#This Row],[PENDIENTE DE ENTREGA]:[VALORES COBRADOS]]))</f>
        <v>0</v>
      </c>
      <c r="AU577" s="850" t="e">
        <f>VLOOKUP(Tabla1[[#This Row],[FECHA OC]],'TIPO DE CAMBIO'!A:B,2,TRUE)</f>
        <v>#N/A</v>
      </c>
      <c r="AV577" s="850" t="e">
        <f>+Tabla1[[#This Row],[SUBTOTAL]]/Tabla1[[#This Row],[TIPO DE CAMBIO]]</f>
        <v>#N/A</v>
      </c>
      <c r="AW577" s="851"/>
      <c r="AX577" s="850" t="str">
        <f>IFERROR(Tabla1[[#This Row],[VENTA TOTAL USD A PLAZO EN CLIENTE  (SIN IVA)]]*(1+Tabla1[[#This Row],[% IVA ]]),"")</f>
        <v/>
      </c>
      <c r="AY577" s="850" t="e">
        <f>+Tabla1[[#This Row],[VENTA TOTAL USD A PLAZO EN CLIENTE  (SIN IVA)]]/Tabla1[[#This Row],[KGS]]*1000</f>
        <v>#N/A</v>
      </c>
      <c r="AZ577" s="850" t="e">
        <f>-Tabla1[[#This Row],[COSTO FLETE $ POR BOLSA 5O KG (SIN IVA)]]*20/Tabla1[[#This Row],[TIPO DE CAMBIO]]</f>
        <v>#N/A</v>
      </c>
      <c r="BA577" s="850" t="e">
        <f>+Tabla1[[#This Row],[GASTOS FINANCIEROS $ BOLSA 50 KG (IVA INC)]]*20/Tabla1[[#This Row],[TIPO DE CAMBIO]]</f>
        <v>#VALUE!</v>
      </c>
      <c r="BB577" s="850" t="e">
        <f>+Tabla1[[#This Row],[PRECIO POR TN USD EN CLIENTE A PLAZO (SIN IVA)]]+Tabla1[[#This Row],[COSTO USD FLETE /TN (SIN IVA)]]+Tabla1[[#This Row],[COSTO FINANCIERO USD POR BOLSA 50KG (IVA INC)]]</f>
        <v>#N/A</v>
      </c>
      <c r="BC577" s="848"/>
      <c r="BD577" s="944"/>
    </row>
    <row r="578" spans="1:56" ht="15.75" customHeight="1">
      <c r="A578" s="912">
        <v>46266</v>
      </c>
      <c r="B578" s="853"/>
      <c r="C578" s="792"/>
      <c r="D578" s="829">
        <f>+Tabla1[[#This Row],[FECHA Entrega]]</f>
        <v>0</v>
      </c>
      <c r="E578" s="830"/>
      <c r="F578" s="831"/>
      <c r="G578" s="832"/>
      <c r="H578" s="852"/>
      <c r="I578" s="834"/>
      <c r="J578" s="835"/>
      <c r="K578" s="836">
        <f t="shared" si="145"/>
        <v>0</v>
      </c>
      <c r="L57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78" s="837">
        <f t="shared" si="147"/>
        <v>0</v>
      </c>
      <c r="N578" s="838">
        <f>+Tabla1[[#This Row],[VENTA TOTAL $ (IVA INC) ]]</f>
        <v>0</v>
      </c>
      <c r="O578" s="838">
        <v>0</v>
      </c>
      <c r="P578" s="838">
        <v>0</v>
      </c>
      <c r="Q578" s="839">
        <f>+Tabla1[[#This Row],[VENTA TOTAL $ (IVA INC) ]]-Tabla1[[#This Row],[PENDIENTE DE COBRO]]</f>
        <v>0</v>
      </c>
      <c r="R578" s="840">
        <f>+Tabla1[[#This Row],[FECHA FC]]+Tabla1[[#This Row],[PLAZO ENTREGA VALORES]]</f>
        <v>0</v>
      </c>
      <c r="S578" s="840">
        <f>+Tabla1[[#This Row],[FECHA FC]]+Tabla1[[#This Row],[PLAZO PAGO (DIAS)]]</f>
        <v>0</v>
      </c>
      <c r="T578" s="834">
        <f t="shared" ca="1" si="146"/>
        <v>-46181</v>
      </c>
      <c r="U578" s="831"/>
      <c r="V578" s="831"/>
      <c r="W578" s="841">
        <f>+Tabla1[[#This Row],[FECHA VTO VALORES]]+7</f>
        <v>7</v>
      </c>
      <c r="X578" s="830"/>
      <c r="Y578" s="859"/>
      <c r="Z578" s="860">
        <f>Tabla1[[#This Row],[KGS]]/50</f>
        <v>0</v>
      </c>
      <c r="AA57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78" s="844">
        <f>-Tabla1[[#This Row],[COSTO FLETE $ POR BOLSA 5O KG (SIN IVA)]]*1.21-Tabla1[[#This Row],[PRECIO $/ KG A PLAZO EN CLIENTE ( SIN IVA)]]*0.003*1.21*50</f>
        <v>0</v>
      </c>
      <c r="AC578" s="845" t="e">
        <f>SUM(Tabla1[[#This Row],[PRECIO $ BOLSA 50 KG (IVA INC) ]]+Tabla1[[#This Row],[COSTO FLETE $ BOLSA 50 KG (IVA INC)]])</f>
        <v>#VALUE!</v>
      </c>
      <c r="AD578" s="844" t="e">
        <f>-Tabla1[[#This Row],[PRECIO $ BOLSA 50 KG (IVA INC) ]]*(Tabla1[[#This Row],[TASA FINANCIACION MENSUAL]]/365)*Tabla1[[#This Row],[PLAZO ENTREGA VALORES]]</f>
        <v>#VALUE!</v>
      </c>
      <c r="AE578" s="845" t="e">
        <f>SUM(Tabla1[[#This Row],[PRECIO $ BOLSA50 KG  FOB TUCUMAN A PLAZO (IVA INC)]]+Tabla1[[#This Row],[GASTOS FINANCIEROS $ BOLSA 50 KG (IVA INC)]])</f>
        <v>#VALUE!</v>
      </c>
      <c r="AF578" s="828"/>
      <c r="AG578" s="828"/>
      <c r="AH578" s="828"/>
      <c r="AI578" s="828"/>
      <c r="AJ57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78" s="846" t="e">
        <f>SUM(Tabla1[[#This Row],[PRECIO $ BOLSA 50KG  FOB CDO TUC (IVA INC)]]-Tabla1[[#This Row],[PRECIO REF $ BOLSA 50 KG CACTU (IVA INC)]])</f>
        <v>#VALUE!</v>
      </c>
      <c r="AL578" s="847" t="str">
        <f>IFERROR(Tabla1[[#This Row],[PRECIO $ BOLSA 50KG  FOB CDO TUC (IVA INC)]]/Tabla1[[#This Row],[PRECIO REF $ BOLSA 50 KG CACTU (IVA INC)]]-1,"")</f>
        <v/>
      </c>
      <c r="AM578" s="846" t="e">
        <f>+Tabla1[[#This Row],[DIF $ PRECIO NETO INDUSTRIA vs Neto TUCUMAN (IVA INC)]]*Tabla1[[#This Row],[Q Bolsas Equivalentes 50kg]]</f>
        <v>#VALUE!</v>
      </c>
      <c r="AN578" s="846" t="e">
        <f>Tabla1[[#This Row],[PRECIO REF $ BOLSA 50 KG CACTU (IVA INC)]]*Tabla1[[#This Row],[Q Bolsas Equivalentes 50kg]]</f>
        <v>#VALUE!</v>
      </c>
      <c r="AO578" s="846" t="e">
        <f>+Tabla1[[#This Row],[PRECIO $ BOLSA 50KG  FOB CDO TUC (IVA INC)]]*Tabla1[[#This Row],[Q Bolsas Equivalentes 50kg]]</f>
        <v>#VALUE!</v>
      </c>
      <c r="AP578" s="847"/>
      <c r="AQ578" s="846">
        <v>0</v>
      </c>
      <c r="AR578" s="828"/>
      <c r="AS578" s="849"/>
      <c r="AT578" s="923">
        <f>+Tabla1[[#This Row],[VENTA TOTAL $ (IVA INC) ]]-(SUM(Tabla1[[#This Row],[PENDIENTE DE ENTREGA]:[VALORES COBRADOS]]))</f>
        <v>0</v>
      </c>
      <c r="AU578" s="850" t="e">
        <f>VLOOKUP(Tabla1[[#This Row],[FECHA OC]],'TIPO DE CAMBIO'!A:B,2,TRUE)</f>
        <v>#N/A</v>
      </c>
      <c r="AV578" s="850" t="e">
        <f>+Tabla1[[#This Row],[SUBTOTAL]]/Tabla1[[#This Row],[TIPO DE CAMBIO]]</f>
        <v>#N/A</v>
      </c>
      <c r="AW578" s="851"/>
      <c r="AX578" s="850" t="str">
        <f>IFERROR(Tabla1[[#This Row],[VENTA TOTAL USD A PLAZO EN CLIENTE  (SIN IVA)]]*(1+Tabla1[[#This Row],[% IVA ]]),"")</f>
        <v/>
      </c>
      <c r="AY578" s="850" t="e">
        <f>+Tabla1[[#This Row],[VENTA TOTAL USD A PLAZO EN CLIENTE  (SIN IVA)]]/Tabla1[[#This Row],[KGS]]*1000</f>
        <v>#N/A</v>
      </c>
      <c r="AZ578" s="850" t="e">
        <f>-Tabla1[[#This Row],[COSTO FLETE $ POR BOLSA 5O KG (SIN IVA)]]*20/Tabla1[[#This Row],[TIPO DE CAMBIO]]</f>
        <v>#N/A</v>
      </c>
      <c r="BA578" s="850" t="e">
        <f>+Tabla1[[#This Row],[GASTOS FINANCIEROS $ BOLSA 50 KG (IVA INC)]]*20/Tabla1[[#This Row],[TIPO DE CAMBIO]]</f>
        <v>#VALUE!</v>
      </c>
      <c r="BB578" s="850" t="e">
        <f>+Tabla1[[#This Row],[PRECIO POR TN USD EN CLIENTE A PLAZO (SIN IVA)]]+Tabla1[[#This Row],[COSTO USD FLETE /TN (SIN IVA)]]+Tabla1[[#This Row],[COSTO FINANCIERO USD POR BOLSA 50KG (IVA INC)]]</f>
        <v>#N/A</v>
      </c>
      <c r="BC578" s="848"/>
      <c r="BD578" s="944"/>
    </row>
    <row r="579" spans="1:56" ht="15.75" customHeight="1">
      <c r="A579" s="912">
        <v>46266</v>
      </c>
      <c r="B579" s="853"/>
      <c r="C579" s="792"/>
      <c r="D579" s="829">
        <f>+Tabla1[[#This Row],[FECHA Entrega]]</f>
        <v>0</v>
      </c>
      <c r="E579" s="830"/>
      <c r="F579" s="831"/>
      <c r="G579" s="832"/>
      <c r="H579" s="852"/>
      <c r="I579" s="834"/>
      <c r="J579" s="835"/>
      <c r="K579" s="836">
        <f t="shared" si="145"/>
        <v>0</v>
      </c>
      <c r="L57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79" s="837">
        <f t="shared" si="147"/>
        <v>0</v>
      </c>
      <c r="N579" s="838">
        <f>+Tabla1[[#This Row],[VENTA TOTAL $ (IVA INC) ]]</f>
        <v>0</v>
      </c>
      <c r="O579" s="838">
        <v>0</v>
      </c>
      <c r="P579" s="838">
        <v>0</v>
      </c>
      <c r="Q579" s="839">
        <f>+Tabla1[[#This Row],[VENTA TOTAL $ (IVA INC) ]]-Tabla1[[#This Row],[PENDIENTE DE COBRO]]</f>
        <v>0</v>
      </c>
      <c r="R579" s="840">
        <f>+Tabla1[[#This Row],[FECHA FC]]+Tabla1[[#This Row],[PLAZO ENTREGA VALORES]]</f>
        <v>0</v>
      </c>
      <c r="S579" s="840">
        <f>+Tabla1[[#This Row],[FECHA FC]]+Tabla1[[#This Row],[PLAZO PAGO (DIAS)]]</f>
        <v>0</v>
      </c>
      <c r="T579" s="834">
        <f t="shared" ca="1" si="146"/>
        <v>-46181</v>
      </c>
      <c r="U579" s="831"/>
      <c r="V579" s="831"/>
      <c r="W579" s="841">
        <f>+Tabla1[[#This Row],[FECHA VTO VALORES]]+7</f>
        <v>7</v>
      </c>
      <c r="X579" s="830"/>
      <c r="Y579" s="859"/>
      <c r="Z579" s="860">
        <f>Tabla1[[#This Row],[KGS]]/50</f>
        <v>0</v>
      </c>
      <c r="AA57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79" s="844">
        <f>-Tabla1[[#This Row],[COSTO FLETE $ POR BOLSA 5O KG (SIN IVA)]]*1.21-Tabla1[[#This Row],[PRECIO $/ KG A PLAZO EN CLIENTE ( SIN IVA)]]*0.003*1.21*50</f>
        <v>0</v>
      </c>
      <c r="AC579" s="845" t="e">
        <f>SUM(Tabla1[[#This Row],[PRECIO $ BOLSA 50 KG (IVA INC) ]]+Tabla1[[#This Row],[COSTO FLETE $ BOLSA 50 KG (IVA INC)]])</f>
        <v>#VALUE!</v>
      </c>
      <c r="AD579" s="844" t="e">
        <f>-Tabla1[[#This Row],[PRECIO $ BOLSA 50 KG (IVA INC) ]]*(Tabla1[[#This Row],[TASA FINANCIACION MENSUAL]]/365)*Tabla1[[#This Row],[PLAZO ENTREGA VALORES]]</f>
        <v>#VALUE!</v>
      </c>
      <c r="AE579" s="845" t="e">
        <f>SUM(Tabla1[[#This Row],[PRECIO $ BOLSA50 KG  FOB TUCUMAN A PLAZO (IVA INC)]]+Tabla1[[#This Row],[GASTOS FINANCIEROS $ BOLSA 50 KG (IVA INC)]])</f>
        <v>#VALUE!</v>
      </c>
      <c r="AF579" s="828"/>
      <c r="AG579" s="828"/>
      <c r="AH579" s="828"/>
      <c r="AI579" s="828"/>
      <c r="AJ57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79" s="846" t="e">
        <f>SUM(Tabla1[[#This Row],[PRECIO $ BOLSA 50KG  FOB CDO TUC (IVA INC)]]-Tabla1[[#This Row],[PRECIO REF $ BOLSA 50 KG CACTU (IVA INC)]])</f>
        <v>#VALUE!</v>
      </c>
      <c r="AL579" s="847" t="str">
        <f>IFERROR(Tabla1[[#This Row],[PRECIO $ BOLSA 50KG  FOB CDO TUC (IVA INC)]]/Tabla1[[#This Row],[PRECIO REF $ BOLSA 50 KG CACTU (IVA INC)]]-1,"")</f>
        <v/>
      </c>
      <c r="AM579" s="846" t="e">
        <f>+Tabla1[[#This Row],[DIF $ PRECIO NETO INDUSTRIA vs Neto TUCUMAN (IVA INC)]]*Tabla1[[#This Row],[Q Bolsas Equivalentes 50kg]]</f>
        <v>#VALUE!</v>
      </c>
      <c r="AN579" s="846" t="e">
        <f>Tabla1[[#This Row],[PRECIO REF $ BOLSA 50 KG CACTU (IVA INC)]]*Tabla1[[#This Row],[Q Bolsas Equivalentes 50kg]]</f>
        <v>#VALUE!</v>
      </c>
      <c r="AO579" s="846" t="e">
        <f>+Tabla1[[#This Row],[PRECIO $ BOLSA 50KG  FOB CDO TUC (IVA INC)]]*Tabla1[[#This Row],[Q Bolsas Equivalentes 50kg]]</f>
        <v>#VALUE!</v>
      </c>
      <c r="AP579" s="847"/>
      <c r="AQ579" s="846">
        <v>0</v>
      </c>
      <c r="AR579" s="828"/>
      <c r="AS579" s="849"/>
      <c r="AT579" s="923">
        <f>+Tabla1[[#This Row],[VENTA TOTAL $ (IVA INC) ]]-(SUM(Tabla1[[#This Row],[PENDIENTE DE ENTREGA]:[VALORES COBRADOS]]))</f>
        <v>0</v>
      </c>
      <c r="AU579" s="850" t="e">
        <f>VLOOKUP(Tabla1[[#This Row],[FECHA OC]],'TIPO DE CAMBIO'!A:B,2,TRUE)</f>
        <v>#N/A</v>
      </c>
      <c r="AV579" s="850" t="e">
        <f>+Tabla1[[#This Row],[SUBTOTAL]]/Tabla1[[#This Row],[TIPO DE CAMBIO]]</f>
        <v>#N/A</v>
      </c>
      <c r="AW579" s="851"/>
      <c r="AX579" s="850" t="str">
        <f>IFERROR(Tabla1[[#This Row],[VENTA TOTAL USD A PLAZO EN CLIENTE  (SIN IVA)]]*(1+Tabla1[[#This Row],[% IVA ]]),"")</f>
        <v/>
      </c>
      <c r="AY579" s="850" t="e">
        <f>+Tabla1[[#This Row],[VENTA TOTAL USD A PLAZO EN CLIENTE  (SIN IVA)]]/Tabla1[[#This Row],[KGS]]*1000</f>
        <v>#N/A</v>
      </c>
      <c r="AZ579" s="850" t="e">
        <f>-Tabla1[[#This Row],[COSTO FLETE $ POR BOLSA 5O KG (SIN IVA)]]*20/Tabla1[[#This Row],[TIPO DE CAMBIO]]</f>
        <v>#N/A</v>
      </c>
      <c r="BA579" s="850" t="e">
        <f>+Tabla1[[#This Row],[GASTOS FINANCIEROS $ BOLSA 50 KG (IVA INC)]]*20/Tabla1[[#This Row],[TIPO DE CAMBIO]]</f>
        <v>#VALUE!</v>
      </c>
      <c r="BB579" s="850" t="e">
        <f>+Tabla1[[#This Row],[PRECIO POR TN USD EN CLIENTE A PLAZO (SIN IVA)]]+Tabla1[[#This Row],[COSTO USD FLETE /TN (SIN IVA)]]+Tabla1[[#This Row],[COSTO FINANCIERO USD POR BOLSA 50KG (IVA INC)]]</f>
        <v>#N/A</v>
      </c>
      <c r="BC579" s="848"/>
      <c r="BD579" s="944"/>
    </row>
    <row r="580" spans="1:56" ht="15.75" customHeight="1">
      <c r="A580" s="912">
        <v>46266</v>
      </c>
      <c r="B580" s="853"/>
      <c r="C580" s="792"/>
      <c r="D580" s="829">
        <f>+Tabla1[[#This Row],[FECHA Entrega]]</f>
        <v>0</v>
      </c>
      <c r="E580" s="830"/>
      <c r="F580" s="831"/>
      <c r="G580" s="832"/>
      <c r="H580" s="852"/>
      <c r="I580" s="834"/>
      <c r="J580" s="835"/>
      <c r="K580" s="836">
        <f t="shared" si="145"/>
        <v>0</v>
      </c>
      <c r="L58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80" s="837">
        <f t="shared" si="147"/>
        <v>0</v>
      </c>
      <c r="N580" s="838">
        <f>+Tabla1[[#This Row],[VENTA TOTAL $ (IVA INC) ]]</f>
        <v>0</v>
      </c>
      <c r="O580" s="838">
        <v>0</v>
      </c>
      <c r="P580" s="838">
        <v>0</v>
      </c>
      <c r="Q580" s="839">
        <f>+Tabla1[[#This Row],[VENTA TOTAL $ (IVA INC) ]]-Tabla1[[#This Row],[PENDIENTE DE COBRO]]</f>
        <v>0</v>
      </c>
      <c r="R580" s="840">
        <f>+Tabla1[[#This Row],[FECHA FC]]+Tabla1[[#This Row],[PLAZO ENTREGA VALORES]]</f>
        <v>0</v>
      </c>
      <c r="S580" s="840">
        <f>+Tabla1[[#This Row],[FECHA FC]]+Tabla1[[#This Row],[PLAZO PAGO (DIAS)]]</f>
        <v>0</v>
      </c>
      <c r="T580" s="834">
        <f t="shared" ca="1" si="146"/>
        <v>-46181</v>
      </c>
      <c r="U580" s="831"/>
      <c r="V580" s="831"/>
      <c r="W580" s="841">
        <f>+Tabla1[[#This Row],[FECHA VTO VALORES]]+7</f>
        <v>7</v>
      </c>
      <c r="X580" s="830"/>
      <c r="Y580" s="859"/>
      <c r="Z580" s="860">
        <f>Tabla1[[#This Row],[KGS]]/50</f>
        <v>0</v>
      </c>
      <c r="AA58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80" s="844">
        <f>-Tabla1[[#This Row],[COSTO FLETE $ POR BOLSA 5O KG (SIN IVA)]]*1.21-Tabla1[[#This Row],[PRECIO $/ KG A PLAZO EN CLIENTE ( SIN IVA)]]*0.003*1.21*50</f>
        <v>0</v>
      </c>
      <c r="AC580" s="845" t="e">
        <f>SUM(Tabla1[[#This Row],[PRECIO $ BOLSA 50 KG (IVA INC) ]]+Tabla1[[#This Row],[COSTO FLETE $ BOLSA 50 KG (IVA INC)]])</f>
        <v>#VALUE!</v>
      </c>
      <c r="AD580" s="844" t="e">
        <f>-Tabla1[[#This Row],[PRECIO $ BOLSA 50 KG (IVA INC) ]]*(Tabla1[[#This Row],[TASA FINANCIACION MENSUAL]]/365)*Tabla1[[#This Row],[PLAZO ENTREGA VALORES]]</f>
        <v>#VALUE!</v>
      </c>
      <c r="AE580" s="845" t="e">
        <f>SUM(Tabla1[[#This Row],[PRECIO $ BOLSA50 KG  FOB TUCUMAN A PLAZO (IVA INC)]]+Tabla1[[#This Row],[GASTOS FINANCIEROS $ BOLSA 50 KG (IVA INC)]])</f>
        <v>#VALUE!</v>
      </c>
      <c r="AF580" s="828"/>
      <c r="AG580" s="828"/>
      <c r="AH580" s="828"/>
      <c r="AI580" s="828"/>
      <c r="AJ58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80" s="846" t="e">
        <f>SUM(Tabla1[[#This Row],[PRECIO $ BOLSA 50KG  FOB CDO TUC (IVA INC)]]-Tabla1[[#This Row],[PRECIO REF $ BOLSA 50 KG CACTU (IVA INC)]])</f>
        <v>#VALUE!</v>
      </c>
      <c r="AL580" s="847" t="str">
        <f>IFERROR(Tabla1[[#This Row],[PRECIO $ BOLSA 50KG  FOB CDO TUC (IVA INC)]]/Tabla1[[#This Row],[PRECIO REF $ BOLSA 50 KG CACTU (IVA INC)]]-1,"")</f>
        <v/>
      </c>
      <c r="AM580" s="846" t="e">
        <f>+Tabla1[[#This Row],[DIF $ PRECIO NETO INDUSTRIA vs Neto TUCUMAN (IVA INC)]]*Tabla1[[#This Row],[Q Bolsas Equivalentes 50kg]]</f>
        <v>#VALUE!</v>
      </c>
      <c r="AN580" s="846" t="e">
        <f>Tabla1[[#This Row],[PRECIO REF $ BOLSA 50 KG CACTU (IVA INC)]]*Tabla1[[#This Row],[Q Bolsas Equivalentes 50kg]]</f>
        <v>#VALUE!</v>
      </c>
      <c r="AO580" s="846" t="e">
        <f>+Tabla1[[#This Row],[PRECIO $ BOLSA 50KG  FOB CDO TUC (IVA INC)]]*Tabla1[[#This Row],[Q Bolsas Equivalentes 50kg]]</f>
        <v>#VALUE!</v>
      </c>
      <c r="AP580" s="847"/>
      <c r="AQ580" s="846">
        <v>0</v>
      </c>
      <c r="AR580" s="828"/>
      <c r="AS580" s="849"/>
      <c r="AT580" s="923">
        <f>+Tabla1[[#This Row],[VENTA TOTAL $ (IVA INC) ]]-(SUM(Tabla1[[#This Row],[PENDIENTE DE ENTREGA]:[VALORES COBRADOS]]))</f>
        <v>0</v>
      </c>
      <c r="AU580" s="850" t="e">
        <f>VLOOKUP(Tabla1[[#This Row],[FECHA OC]],'TIPO DE CAMBIO'!A:B,2,TRUE)</f>
        <v>#N/A</v>
      </c>
      <c r="AV580" s="850" t="e">
        <f>+Tabla1[[#This Row],[SUBTOTAL]]/Tabla1[[#This Row],[TIPO DE CAMBIO]]</f>
        <v>#N/A</v>
      </c>
      <c r="AW580" s="851"/>
      <c r="AX580" s="850" t="str">
        <f>IFERROR(Tabla1[[#This Row],[VENTA TOTAL USD A PLAZO EN CLIENTE  (SIN IVA)]]*(1+Tabla1[[#This Row],[% IVA ]]),"")</f>
        <v/>
      </c>
      <c r="AY580" s="850" t="e">
        <f>+Tabla1[[#This Row],[VENTA TOTAL USD A PLAZO EN CLIENTE  (SIN IVA)]]/Tabla1[[#This Row],[KGS]]*1000</f>
        <v>#N/A</v>
      </c>
      <c r="AZ580" s="850" t="e">
        <f>-Tabla1[[#This Row],[COSTO FLETE $ POR BOLSA 5O KG (SIN IVA)]]*20/Tabla1[[#This Row],[TIPO DE CAMBIO]]</f>
        <v>#N/A</v>
      </c>
      <c r="BA580" s="850" t="e">
        <f>+Tabla1[[#This Row],[GASTOS FINANCIEROS $ BOLSA 50 KG (IVA INC)]]*20/Tabla1[[#This Row],[TIPO DE CAMBIO]]</f>
        <v>#VALUE!</v>
      </c>
      <c r="BB580" s="850" t="e">
        <f>+Tabla1[[#This Row],[PRECIO POR TN USD EN CLIENTE A PLAZO (SIN IVA)]]+Tabla1[[#This Row],[COSTO USD FLETE /TN (SIN IVA)]]+Tabla1[[#This Row],[COSTO FINANCIERO USD POR BOLSA 50KG (IVA INC)]]</f>
        <v>#N/A</v>
      </c>
      <c r="BC580" s="848"/>
      <c r="BD580" s="944"/>
    </row>
    <row r="581" spans="1:56" ht="15.75" customHeight="1">
      <c r="A581" s="912">
        <v>46266</v>
      </c>
      <c r="B581" s="853"/>
      <c r="C581" s="792"/>
      <c r="D581" s="829">
        <f>+Tabla1[[#This Row],[FECHA Entrega]]</f>
        <v>0</v>
      </c>
      <c r="E581" s="830"/>
      <c r="F581" s="831"/>
      <c r="G581" s="832"/>
      <c r="H581" s="852"/>
      <c r="I581" s="834"/>
      <c r="J581" s="835"/>
      <c r="K581" s="836">
        <f t="shared" si="145"/>
        <v>0</v>
      </c>
      <c r="L58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81" s="837">
        <f t="shared" si="147"/>
        <v>0</v>
      </c>
      <c r="N581" s="838">
        <f>+Tabla1[[#This Row],[VENTA TOTAL $ (IVA INC) ]]</f>
        <v>0</v>
      </c>
      <c r="O581" s="838">
        <v>0</v>
      </c>
      <c r="P581" s="838">
        <v>0</v>
      </c>
      <c r="Q581" s="839">
        <f>+Tabla1[[#This Row],[VENTA TOTAL $ (IVA INC) ]]-Tabla1[[#This Row],[PENDIENTE DE COBRO]]</f>
        <v>0</v>
      </c>
      <c r="R581" s="840">
        <f>+Tabla1[[#This Row],[FECHA FC]]+Tabla1[[#This Row],[PLAZO ENTREGA VALORES]]</f>
        <v>0</v>
      </c>
      <c r="S581" s="840">
        <f>+Tabla1[[#This Row],[FECHA FC]]+Tabla1[[#This Row],[PLAZO PAGO (DIAS)]]</f>
        <v>0</v>
      </c>
      <c r="T581" s="834">
        <f t="shared" ca="1" si="146"/>
        <v>-46181</v>
      </c>
      <c r="U581" s="831"/>
      <c r="V581" s="831"/>
      <c r="W581" s="841">
        <f>+Tabla1[[#This Row],[FECHA VTO VALORES]]+7</f>
        <v>7</v>
      </c>
      <c r="X581" s="830"/>
      <c r="Y581" s="859"/>
      <c r="Z581" s="860">
        <f>Tabla1[[#This Row],[KGS]]/50</f>
        <v>0</v>
      </c>
      <c r="AA58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81" s="844">
        <f>-Tabla1[[#This Row],[COSTO FLETE $ POR BOLSA 5O KG (SIN IVA)]]*1.21-Tabla1[[#This Row],[PRECIO $/ KG A PLAZO EN CLIENTE ( SIN IVA)]]*0.003*1.21*50</f>
        <v>0</v>
      </c>
      <c r="AC581" s="845" t="e">
        <f>SUM(Tabla1[[#This Row],[PRECIO $ BOLSA 50 KG (IVA INC) ]]+Tabla1[[#This Row],[COSTO FLETE $ BOLSA 50 KG (IVA INC)]])</f>
        <v>#VALUE!</v>
      </c>
      <c r="AD581" s="844" t="e">
        <f>-Tabla1[[#This Row],[PRECIO $ BOLSA 50 KG (IVA INC) ]]*(Tabla1[[#This Row],[TASA FINANCIACION MENSUAL]]/365)*Tabla1[[#This Row],[PLAZO ENTREGA VALORES]]</f>
        <v>#VALUE!</v>
      </c>
      <c r="AE581" s="845" t="e">
        <f>SUM(Tabla1[[#This Row],[PRECIO $ BOLSA50 KG  FOB TUCUMAN A PLAZO (IVA INC)]]+Tabla1[[#This Row],[GASTOS FINANCIEROS $ BOLSA 50 KG (IVA INC)]])</f>
        <v>#VALUE!</v>
      </c>
      <c r="AF581" s="828"/>
      <c r="AG581" s="828"/>
      <c r="AH581" s="828"/>
      <c r="AI581" s="828"/>
      <c r="AJ58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81" s="846" t="e">
        <f>SUM(Tabla1[[#This Row],[PRECIO $ BOLSA 50KG  FOB CDO TUC (IVA INC)]]-Tabla1[[#This Row],[PRECIO REF $ BOLSA 50 KG CACTU (IVA INC)]])</f>
        <v>#VALUE!</v>
      </c>
      <c r="AL581" s="847" t="str">
        <f>IFERROR(Tabla1[[#This Row],[PRECIO $ BOLSA 50KG  FOB CDO TUC (IVA INC)]]/Tabla1[[#This Row],[PRECIO REF $ BOLSA 50 KG CACTU (IVA INC)]]-1,"")</f>
        <v/>
      </c>
      <c r="AM581" s="846" t="e">
        <f>+Tabla1[[#This Row],[DIF $ PRECIO NETO INDUSTRIA vs Neto TUCUMAN (IVA INC)]]*Tabla1[[#This Row],[Q Bolsas Equivalentes 50kg]]</f>
        <v>#VALUE!</v>
      </c>
      <c r="AN581" s="846" t="e">
        <f>Tabla1[[#This Row],[PRECIO REF $ BOLSA 50 KG CACTU (IVA INC)]]*Tabla1[[#This Row],[Q Bolsas Equivalentes 50kg]]</f>
        <v>#VALUE!</v>
      </c>
      <c r="AO581" s="846" t="e">
        <f>+Tabla1[[#This Row],[PRECIO $ BOLSA 50KG  FOB CDO TUC (IVA INC)]]*Tabla1[[#This Row],[Q Bolsas Equivalentes 50kg]]</f>
        <v>#VALUE!</v>
      </c>
      <c r="AP581" s="847"/>
      <c r="AQ581" s="846">
        <v>0</v>
      </c>
      <c r="AR581" s="828"/>
      <c r="AS581" s="849"/>
      <c r="AT581" s="923">
        <f>+Tabla1[[#This Row],[VENTA TOTAL $ (IVA INC) ]]-(SUM(Tabla1[[#This Row],[PENDIENTE DE ENTREGA]:[VALORES COBRADOS]]))</f>
        <v>0</v>
      </c>
      <c r="AU581" s="850" t="e">
        <f>VLOOKUP(Tabla1[[#This Row],[FECHA OC]],'TIPO DE CAMBIO'!A:B,2,TRUE)</f>
        <v>#N/A</v>
      </c>
      <c r="AV581" s="850" t="e">
        <f>+Tabla1[[#This Row],[SUBTOTAL]]/Tabla1[[#This Row],[TIPO DE CAMBIO]]</f>
        <v>#N/A</v>
      </c>
      <c r="AW581" s="851"/>
      <c r="AX581" s="850" t="str">
        <f>IFERROR(Tabla1[[#This Row],[VENTA TOTAL USD A PLAZO EN CLIENTE  (SIN IVA)]]*(1+Tabla1[[#This Row],[% IVA ]]),"")</f>
        <v/>
      </c>
      <c r="AY581" s="850" t="e">
        <f>+Tabla1[[#This Row],[VENTA TOTAL USD A PLAZO EN CLIENTE  (SIN IVA)]]/Tabla1[[#This Row],[KGS]]*1000</f>
        <v>#N/A</v>
      </c>
      <c r="AZ581" s="850" t="e">
        <f>-Tabla1[[#This Row],[COSTO FLETE $ POR BOLSA 5O KG (SIN IVA)]]*20/Tabla1[[#This Row],[TIPO DE CAMBIO]]</f>
        <v>#N/A</v>
      </c>
      <c r="BA581" s="850" t="e">
        <f>+Tabla1[[#This Row],[GASTOS FINANCIEROS $ BOLSA 50 KG (IVA INC)]]*20/Tabla1[[#This Row],[TIPO DE CAMBIO]]</f>
        <v>#VALUE!</v>
      </c>
      <c r="BB581" s="850" t="e">
        <f>+Tabla1[[#This Row],[PRECIO POR TN USD EN CLIENTE A PLAZO (SIN IVA)]]+Tabla1[[#This Row],[COSTO USD FLETE /TN (SIN IVA)]]+Tabla1[[#This Row],[COSTO FINANCIERO USD POR BOLSA 50KG (IVA INC)]]</f>
        <v>#N/A</v>
      </c>
      <c r="BC581" s="848"/>
      <c r="BD581" s="944"/>
    </row>
    <row r="582" spans="1:56" ht="15.75" customHeight="1">
      <c r="A582" s="912">
        <v>46266</v>
      </c>
      <c r="B582" s="853"/>
      <c r="C582" s="792"/>
      <c r="D582" s="829">
        <f>+Tabla1[[#This Row],[FECHA Entrega]]</f>
        <v>0</v>
      </c>
      <c r="E582" s="830"/>
      <c r="F582" s="831"/>
      <c r="G582" s="832"/>
      <c r="H582" s="852"/>
      <c r="I582" s="834"/>
      <c r="J582" s="835"/>
      <c r="K582" s="836">
        <f t="shared" si="145"/>
        <v>0</v>
      </c>
      <c r="L58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82" s="837">
        <f t="shared" si="147"/>
        <v>0</v>
      </c>
      <c r="N582" s="838">
        <f>+Tabla1[[#This Row],[VENTA TOTAL $ (IVA INC) ]]</f>
        <v>0</v>
      </c>
      <c r="O582" s="838">
        <v>0</v>
      </c>
      <c r="P582" s="838">
        <v>0</v>
      </c>
      <c r="Q582" s="839">
        <f>+Tabla1[[#This Row],[VENTA TOTAL $ (IVA INC) ]]-Tabla1[[#This Row],[PENDIENTE DE COBRO]]</f>
        <v>0</v>
      </c>
      <c r="R582" s="840">
        <f>+Tabla1[[#This Row],[FECHA FC]]+Tabla1[[#This Row],[PLAZO ENTREGA VALORES]]</f>
        <v>0</v>
      </c>
      <c r="S582" s="840">
        <f>+Tabla1[[#This Row],[FECHA FC]]+Tabla1[[#This Row],[PLAZO PAGO (DIAS)]]</f>
        <v>0</v>
      </c>
      <c r="T582" s="834">
        <f t="shared" ca="1" si="146"/>
        <v>-46181</v>
      </c>
      <c r="U582" s="831"/>
      <c r="V582" s="831"/>
      <c r="W582" s="841">
        <f>+Tabla1[[#This Row],[FECHA VTO VALORES]]+7</f>
        <v>7</v>
      </c>
      <c r="X582" s="830"/>
      <c r="Y582" s="859"/>
      <c r="Z582" s="860">
        <f>Tabla1[[#This Row],[KGS]]/50</f>
        <v>0</v>
      </c>
      <c r="AA58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82" s="844">
        <f>-Tabla1[[#This Row],[COSTO FLETE $ POR BOLSA 5O KG (SIN IVA)]]*1.21-Tabla1[[#This Row],[PRECIO $/ KG A PLAZO EN CLIENTE ( SIN IVA)]]*0.003*1.21*50</f>
        <v>0</v>
      </c>
      <c r="AC582" s="845" t="e">
        <f>SUM(Tabla1[[#This Row],[PRECIO $ BOLSA 50 KG (IVA INC) ]]+Tabla1[[#This Row],[COSTO FLETE $ BOLSA 50 KG (IVA INC)]])</f>
        <v>#VALUE!</v>
      </c>
      <c r="AD582" s="844" t="e">
        <f>-Tabla1[[#This Row],[PRECIO $ BOLSA 50 KG (IVA INC) ]]*(Tabla1[[#This Row],[TASA FINANCIACION MENSUAL]]/365)*Tabla1[[#This Row],[PLAZO ENTREGA VALORES]]</f>
        <v>#VALUE!</v>
      </c>
      <c r="AE582" s="845" t="e">
        <f>SUM(Tabla1[[#This Row],[PRECIO $ BOLSA50 KG  FOB TUCUMAN A PLAZO (IVA INC)]]+Tabla1[[#This Row],[GASTOS FINANCIEROS $ BOLSA 50 KG (IVA INC)]])</f>
        <v>#VALUE!</v>
      </c>
      <c r="AF582" s="828"/>
      <c r="AG582" s="828"/>
      <c r="AH582" s="828"/>
      <c r="AI582" s="828"/>
      <c r="AJ58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82" s="846" t="e">
        <f>SUM(Tabla1[[#This Row],[PRECIO $ BOLSA 50KG  FOB CDO TUC (IVA INC)]]-Tabla1[[#This Row],[PRECIO REF $ BOLSA 50 KG CACTU (IVA INC)]])</f>
        <v>#VALUE!</v>
      </c>
      <c r="AL582" s="847" t="str">
        <f>IFERROR(Tabla1[[#This Row],[PRECIO $ BOLSA 50KG  FOB CDO TUC (IVA INC)]]/Tabla1[[#This Row],[PRECIO REF $ BOLSA 50 KG CACTU (IVA INC)]]-1,"")</f>
        <v/>
      </c>
      <c r="AM582" s="846" t="e">
        <f>+Tabla1[[#This Row],[DIF $ PRECIO NETO INDUSTRIA vs Neto TUCUMAN (IVA INC)]]*Tabla1[[#This Row],[Q Bolsas Equivalentes 50kg]]</f>
        <v>#VALUE!</v>
      </c>
      <c r="AN582" s="846" t="e">
        <f>Tabla1[[#This Row],[PRECIO REF $ BOLSA 50 KG CACTU (IVA INC)]]*Tabla1[[#This Row],[Q Bolsas Equivalentes 50kg]]</f>
        <v>#VALUE!</v>
      </c>
      <c r="AO582" s="846" t="e">
        <f>+Tabla1[[#This Row],[PRECIO $ BOLSA 50KG  FOB CDO TUC (IVA INC)]]*Tabla1[[#This Row],[Q Bolsas Equivalentes 50kg]]</f>
        <v>#VALUE!</v>
      </c>
      <c r="AP582" s="847"/>
      <c r="AQ582" s="846">
        <v>0</v>
      </c>
      <c r="AR582" s="828"/>
      <c r="AS582" s="849"/>
      <c r="AT582" s="923">
        <f>+Tabla1[[#This Row],[VENTA TOTAL $ (IVA INC) ]]-(SUM(Tabla1[[#This Row],[PENDIENTE DE ENTREGA]:[VALORES COBRADOS]]))</f>
        <v>0</v>
      </c>
      <c r="AU582" s="850" t="e">
        <f>VLOOKUP(Tabla1[[#This Row],[FECHA OC]],'TIPO DE CAMBIO'!A:B,2,TRUE)</f>
        <v>#N/A</v>
      </c>
      <c r="AV582" s="850" t="e">
        <f>+Tabla1[[#This Row],[SUBTOTAL]]/Tabla1[[#This Row],[TIPO DE CAMBIO]]</f>
        <v>#N/A</v>
      </c>
      <c r="AW582" s="851"/>
      <c r="AX582" s="850" t="str">
        <f>IFERROR(Tabla1[[#This Row],[VENTA TOTAL USD A PLAZO EN CLIENTE  (SIN IVA)]]*(1+Tabla1[[#This Row],[% IVA ]]),"")</f>
        <v/>
      </c>
      <c r="AY582" s="850" t="e">
        <f>+Tabla1[[#This Row],[VENTA TOTAL USD A PLAZO EN CLIENTE  (SIN IVA)]]/Tabla1[[#This Row],[KGS]]*1000</f>
        <v>#N/A</v>
      </c>
      <c r="AZ582" s="850" t="e">
        <f>-Tabla1[[#This Row],[COSTO FLETE $ POR BOLSA 5O KG (SIN IVA)]]*20/Tabla1[[#This Row],[TIPO DE CAMBIO]]</f>
        <v>#N/A</v>
      </c>
      <c r="BA582" s="850" t="e">
        <f>+Tabla1[[#This Row],[GASTOS FINANCIEROS $ BOLSA 50 KG (IVA INC)]]*20/Tabla1[[#This Row],[TIPO DE CAMBIO]]</f>
        <v>#VALUE!</v>
      </c>
      <c r="BB582" s="850" t="e">
        <f>+Tabla1[[#This Row],[PRECIO POR TN USD EN CLIENTE A PLAZO (SIN IVA)]]+Tabla1[[#This Row],[COSTO USD FLETE /TN (SIN IVA)]]+Tabla1[[#This Row],[COSTO FINANCIERO USD POR BOLSA 50KG (IVA INC)]]</f>
        <v>#N/A</v>
      </c>
      <c r="BC582" s="848"/>
      <c r="BD582" s="944"/>
    </row>
    <row r="583" spans="1:56" ht="15.75" customHeight="1">
      <c r="A583" s="912">
        <v>46266</v>
      </c>
      <c r="B583" s="853"/>
      <c r="C583" s="792"/>
      <c r="D583" s="829">
        <f>+Tabla1[[#This Row],[FECHA Entrega]]</f>
        <v>0</v>
      </c>
      <c r="E583" s="830"/>
      <c r="F583" s="831"/>
      <c r="G583" s="832"/>
      <c r="H583" s="852"/>
      <c r="I583" s="834"/>
      <c r="J583" s="835"/>
      <c r="K583" s="836">
        <f t="shared" si="145"/>
        <v>0</v>
      </c>
      <c r="L58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83" s="837">
        <f t="shared" si="147"/>
        <v>0</v>
      </c>
      <c r="N583" s="838">
        <f>+Tabla1[[#This Row],[VENTA TOTAL $ (IVA INC) ]]</f>
        <v>0</v>
      </c>
      <c r="O583" s="838">
        <v>0</v>
      </c>
      <c r="P583" s="838">
        <v>0</v>
      </c>
      <c r="Q583" s="839">
        <f>+Tabla1[[#This Row],[VENTA TOTAL $ (IVA INC) ]]-Tabla1[[#This Row],[PENDIENTE DE COBRO]]</f>
        <v>0</v>
      </c>
      <c r="R583" s="840">
        <f>+Tabla1[[#This Row],[FECHA FC]]+Tabla1[[#This Row],[PLAZO ENTREGA VALORES]]</f>
        <v>0</v>
      </c>
      <c r="S583" s="840">
        <f>+Tabla1[[#This Row],[FECHA FC]]+Tabla1[[#This Row],[PLAZO PAGO (DIAS)]]</f>
        <v>0</v>
      </c>
      <c r="T583" s="834">
        <f t="shared" ca="1" si="146"/>
        <v>-46181</v>
      </c>
      <c r="U583" s="831"/>
      <c r="V583" s="831"/>
      <c r="W583" s="841">
        <f>+Tabla1[[#This Row],[FECHA VTO VALORES]]+7</f>
        <v>7</v>
      </c>
      <c r="X583" s="830"/>
      <c r="Y583" s="859"/>
      <c r="Z583" s="860">
        <f>Tabla1[[#This Row],[KGS]]/50</f>
        <v>0</v>
      </c>
      <c r="AA58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83" s="844">
        <f>-Tabla1[[#This Row],[COSTO FLETE $ POR BOLSA 5O KG (SIN IVA)]]*1.21-Tabla1[[#This Row],[PRECIO $/ KG A PLAZO EN CLIENTE ( SIN IVA)]]*0.003*1.21*50</f>
        <v>0</v>
      </c>
      <c r="AC583" s="845" t="e">
        <f>SUM(Tabla1[[#This Row],[PRECIO $ BOLSA 50 KG (IVA INC) ]]+Tabla1[[#This Row],[COSTO FLETE $ BOLSA 50 KG (IVA INC)]])</f>
        <v>#VALUE!</v>
      </c>
      <c r="AD583" s="844" t="e">
        <f>-Tabla1[[#This Row],[PRECIO $ BOLSA 50 KG (IVA INC) ]]*(Tabla1[[#This Row],[TASA FINANCIACION MENSUAL]]/365)*Tabla1[[#This Row],[PLAZO ENTREGA VALORES]]</f>
        <v>#VALUE!</v>
      </c>
      <c r="AE583" s="845" t="e">
        <f>SUM(Tabla1[[#This Row],[PRECIO $ BOLSA50 KG  FOB TUCUMAN A PLAZO (IVA INC)]]+Tabla1[[#This Row],[GASTOS FINANCIEROS $ BOLSA 50 KG (IVA INC)]])</f>
        <v>#VALUE!</v>
      </c>
      <c r="AF583" s="828"/>
      <c r="AG583" s="828"/>
      <c r="AH583" s="828"/>
      <c r="AI583" s="828"/>
      <c r="AJ58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83" s="846" t="e">
        <f>SUM(Tabla1[[#This Row],[PRECIO $ BOLSA 50KG  FOB CDO TUC (IVA INC)]]-Tabla1[[#This Row],[PRECIO REF $ BOLSA 50 KG CACTU (IVA INC)]])</f>
        <v>#VALUE!</v>
      </c>
      <c r="AL583" s="847" t="str">
        <f>IFERROR(Tabla1[[#This Row],[PRECIO $ BOLSA 50KG  FOB CDO TUC (IVA INC)]]/Tabla1[[#This Row],[PRECIO REF $ BOLSA 50 KG CACTU (IVA INC)]]-1,"")</f>
        <v/>
      </c>
      <c r="AM583" s="846" t="e">
        <f>+Tabla1[[#This Row],[DIF $ PRECIO NETO INDUSTRIA vs Neto TUCUMAN (IVA INC)]]*Tabla1[[#This Row],[Q Bolsas Equivalentes 50kg]]</f>
        <v>#VALUE!</v>
      </c>
      <c r="AN583" s="846" t="e">
        <f>Tabla1[[#This Row],[PRECIO REF $ BOLSA 50 KG CACTU (IVA INC)]]*Tabla1[[#This Row],[Q Bolsas Equivalentes 50kg]]</f>
        <v>#VALUE!</v>
      </c>
      <c r="AO583" s="846" t="e">
        <f>+Tabla1[[#This Row],[PRECIO $ BOLSA 50KG  FOB CDO TUC (IVA INC)]]*Tabla1[[#This Row],[Q Bolsas Equivalentes 50kg]]</f>
        <v>#VALUE!</v>
      </c>
      <c r="AP583" s="847"/>
      <c r="AQ583" s="846">
        <v>0</v>
      </c>
      <c r="AR583" s="828"/>
      <c r="AS583" s="849"/>
      <c r="AT583" s="923">
        <f>+Tabla1[[#This Row],[VENTA TOTAL $ (IVA INC) ]]-(SUM(Tabla1[[#This Row],[PENDIENTE DE ENTREGA]:[VALORES COBRADOS]]))</f>
        <v>0</v>
      </c>
      <c r="AU583" s="850" t="e">
        <f>VLOOKUP(Tabla1[[#This Row],[FECHA OC]],'TIPO DE CAMBIO'!A:B,2,TRUE)</f>
        <v>#N/A</v>
      </c>
      <c r="AV583" s="850" t="e">
        <f>+Tabla1[[#This Row],[SUBTOTAL]]/Tabla1[[#This Row],[TIPO DE CAMBIO]]</f>
        <v>#N/A</v>
      </c>
      <c r="AW583" s="851"/>
      <c r="AX583" s="850" t="str">
        <f>IFERROR(Tabla1[[#This Row],[VENTA TOTAL USD A PLAZO EN CLIENTE  (SIN IVA)]]*(1+Tabla1[[#This Row],[% IVA ]]),"")</f>
        <v/>
      </c>
      <c r="AY583" s="850" t="e">
        <f>+Tabla1[[#This Row],[VENTA TOTAL USD A PLAZO EN CLIENTE  (SIN IVA)]]/Tabla1[[#This Row],[KGS]]*1000</f>
        <v>#N/A</v>
      </c>
      <c r="AZ583" s="850" t="e">
        <f>-Tabla1[[#This Row],[COSTO FLETE $ POR BOLSA 5O KG (SIN IVA)]]*20/Tabla1[[#This Row],[TIPO DE CAMBIO]]</f>
        <v>#N/A</v>
      </c>
      <c r="BA583" s="850" t="e">
        <f>+Tabla1[[#This Row],[GASTOS FINANCIEROS $ BOLSA 50 KG (IVA INC)]]*20/Tabla1[[#This Row],[TIPO DE CAMBIO]]</f>
        <v>#VALUE!</v>
      </c>
      <c r="BB583" s="850" t="e">
        <f>+Tabla1[[#This Row],[PRECIO POR TN USD EN CLIENTE A PLAZO (SIN IVA)]]+Tabla1[[#This Row],[COSTO USD FLETE /TN (SIN IVA)]]+Tabla1[[#This Row],[COSTO FINANCIERO USD POR BOLSA 50KG (IVA INC)]]</f>
        <v>#N/A</v>
      </c>
      <c r="BC583" s="848"/>
      <c r="BD583" s="944"/>
    </row>
    <row r="584" spans="1:56" ht="15.75" customHeight="1">
      <c r="A584" s="912">
        <v>46266</v>
      </c>
      <c r="B584" s="853"/>
      <c r="C584" s="792"/>
      <c r="D584" s="829">
        <f>+Tabla1[[#This Row],[FECHA Entrega]]</f>
        <v>0</v>
      </c>
      <c r="E584" s="830"/>
      <c r="F584" s="831"/>
      <c r="G584" s="832"/>
      <c r="H584" s="852"/>
      <c r="I584" s="834"/>
      <c r="J584" s="835"/>
      <c r="K584" s="836">
        <f t="shared" si="145"/>
        <v>0</v>
      </c>
      <c r="L58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84" s="837">
        <f t="shared" si="147"/>
        <v>0</v>
      </c>
      <c r="N584" s="838">
        <f>+Tabla1[[#This Row],[VENTA TOTAL $ (IVA INC) ]]</f>
        <v>0</v>
      </c>
      <c r="O584" s="838">
        <v>0</v>
      </c>
      <c r="P584" s="838">
        <v>0</v>
      </c>
      <c r="Q584" s="839">
        <f>+Tabla1[[#This Row],[VENTA TOTAL $ (IVA INC) ]]-Tabla1[[#This Row],[PENDIENTE DE COBRO]]</f>
        <v>0</v>
      </c>
      <c r="R584" s="840">
        <f>+Tabla1[[#This Row],[FECHA FC]]+Tabla1[[#This Row],[PLAZO ENTREGA VALORES]]</f>
        <v>0</v>
      </c>
      <c r="S584" s="840">
        <f>+Tabla1[[#This Row],[FECHA FC]]+Tabla1[[#This Row],[PLAZO PAGO (DIAS)]]</f>
        <v>0</v>
      </c>
      <c r="T584" s="834">
        <f t="shared" ca="1" si="146"/>
        <v>-46181</v>
      </c>
      <c r="U584" s="831"/>
      <c r="V584" s="831"/>
      <c r="W584" s="841">
        <f>+Tabla1[[#This Row],[FECHA VTO VALORES]]+7</f>
        <v>7</v>
      </c>
      <c r="X584" s="830"/>
      <c r="Y584" s="859"/>
      <c r="Z584" s="860">
        <f>Tabla1[[#This Row],[KGS]]/50</f>
        <v>0</v>
      </c>
      <c r="AA58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84" s="844">
        <f>-Tabla1[[#This Row],[COSTO FLETE $ POR BOLSA 5O KG (SIN IVA)]]*1.21-Tabla1[[#This Row],[PRECIO $/ KG A PLAZO EN CLIENTE ( SIN IVA)]]*0.003*1.21*50</f>
        <v>0</v>
      </c>
      <c r="AC584" s="845" t="e">
        <f>SUM(Tabla1[[#This Row],[PRECIO $ BOLSA 50 KG (IVA INC) ]]+Tabla1[[#This Row],[COSTO FLETE $ BOLSA 50 KG (IVA INC)]])</f>
        <v>#VALUE!</v>
      </c>
      <c r="AD584" s="844" t="e">
        <f>-Tabla1[[#This Row],[PRECIO $ BOLSA 50 KG (IVA INC) ]]*(Tabla1[[#This Row],[TASA FINANCIACION MENSUAL]]/365)*Tabla1[[#This Row],[PLAZO ENTREGA VALORES]]</f>
        <v>#VALUE!</v>
      </c>
      <c r="AE584" s="845" t="e">
        <f>SUM(Tabla1[[#This Row],[PRECIO $ BOLSA50 KG  FOB TUCUMAN A PLAZO (IVA INC)]]+Tabla1[[#This Row],[GASTOS FINANCIEROS $ BOLSA 50 KG (IVA INC)]])</f>
        <v>#VALUE!</v>
      </c>
      <c r="AF584" s="828"/>
      <c r="AG584" s="828"/>
      <c r="AH584" s="828"/>
      <c r="AI584" s="828"/>
      <c r="AJ58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84" s="846" t="e">
        <f>SUM(Tabla1[[#This Row],[PRECIO $ BOLSA 50KG  FOB CDO TUC (IVA INC)]]-Tabla1[[#This Row],[PRECIO REF $ BOLSA 50 KG CACTU (IVA INC)]])</f>
        <v>#VALUE!</v>
      </c>
      <c r="AL584" s="847" t="str">
        <f>IFERROR(Tabla1[[#This Row],[PRECIO $ BOLSA 50KG  FOB CDO TUC (IVA INC)]]/Tabla1[[#This Row],[PRECIO REF $ BOLSA 50 KG CACTU (IVA INC)]]-1,"")</f>
        <v/>
      </c>
      <c r="AM584" s="846" t="e">
        <f>+Tabla1[[#This Row],[DIF $ PRECIO NETO INDUSTRIA vs Neto TUCUMAN (IVA INC)]]*Tabla1[[#This Row],[Q Bolsas Equivalentes 50kg]]</f>
        <v>#VALUE!</v>
      </c>
      <c r="AN584" s="846" t="e">
        <f>Tabla1[[#This Row],[PRECIO REF $ BOLSA 50 KG CACTU (IVA INC)]]*Tabla1[[#This Row],[Q Bolsas Equivalentes 50kg]]</f>
        <v>#VALUE!</v>
      </c>
      <c r="AO584" s="846" t="e">
        <f>+Tabla1[[#This Row],[PRECIO $ BOLSA 50KG  FOB CDO TUC (IVA INC)]]*Tabla1[[#This Row],[Q Bolsas Equivalentes 50kg]]</f>
        <v>#VALUE!</v>
      </c>
      <c r="AP584" s="847"/>
      <c r="AQ584" s="846">
        <v>0</v>
      </c>
      <c r="AR584" s="828"/>
      <c r="AS584" s="849"/>
      <c r="AT584" s="923">
        <f>+Tabla1[[#This Row],[VENTA TOTAL $ (IVA INC) ]]-(SUM(Tabla1[[#This Row],[PENDIENTE DE ENTREGA]:[VALORES COBRADOS]]))</f>
        <v>0</v>
      </c>
      <c r="AU584" s="850" t="e">
        <f>VLOOKUP(Tabla1[[#This Row],[FECHA OC]],'TIPO DE CAMBIO'!A:B,2,TRUE)</f>
        <v>#N/A</v>
      </c>
      <c r="AV584" s="850" t="e">
        <f>+Tabla1[[#This Row],[SUBTOTAL]]/Tabla1[[#This Row],[TIPO DE CAMBIO]]</f>
        <v>#N/A</v>
      </c>
      <c r="AW584" s="851"/>
      <c r="AX584" s="850" t="str">
        <f>IFERROR(Tabla1[[#This Row],[VENTA TOTAL USD A PLAZO EN CLIENTE  (SIN IVA)]]*(1+Tabla1[[#This Row],[% IVA ]]),"")</f>
        <v/>
      </c>
      <c r="AY584" s="850" t="e">
        <f>+Tabla1[[#This Row],[VENTA TOTAL USD A PLAZO EN CLIENTE  (SIN IVA)]]/Tabla1[[#This Row],[KGS]]*1000</f>
        <v>#N/A</v>
      </c>
      <c r="AZ584" s="850" t="e">
        <f>-Tabla1[[#This Row],[COSTO FLETE $ POR BOLSA 5O KG (SIN IVA)]]*20/Tabla1[[#This Row],[TIPO DE CAMBIO]]</f>
        <v>#N/A</v>
      </c>
      <c r="BA584" s="850" t="e">
        <f>+Tabla1[[#This Row],[GASTOS FINANCIEROS $ BOLSA 50 KG (IVA INC)]]*20/Tabla1[[#This Row],[TIPO DE CAMBIO]]</f>
        <v>#VALUE!</v>
      </c>
      <c r="BB584" s="850" t="e">
        <f>+Tabla1[[#This Row],[PRECIO POR TN USD EN CLIENTE A PLAZO (SIN IVA)]]+Tabla1[[#This Row],[COSTO USD FLETE /TN (SIN IVA)]]+Tabla1[[#This Row],[COSTO FINANCIERO USD POR BOLSA 50KG (IVA INC)]]</f>
        <v>#N/A</v>
      </c>
      <c r="BC584" s="848"/>
      <c r="BD584" s="944"/>
    </row>
    <row r="585" spans="1:56" ht="15.75" customHeight="1">
      <c r="A585" s="912">
        <v>46266</v>
      </c>
      <c r="B585" s="853"/>
      <c r="C585" s="792"/>
      <c r="D585" s="829">
        <f>+Tabla1[[#This Row],[FECHA Entrega]]</f>
        <v>0</v>
      </c>
      <c r="E585" s="830"/>
      <c r="F585" s="831"/>
      <c r="G585" s="832"/>
      <c r="H585" s="852"/>
      <c r="I585" s="834"/>
      <c r="J585" s="835"/>
      <c r="K585" s="836">
        <f t="shared" si="145"/>
        <v>0</v>
      </c>
      <c r="L58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85" s="837">
        <f t="shared" si="147"/>
        <v>0</v>
      </c>
      <c r="N585" s="838">
        <f>+Tabla1[[#This Row],[VENTA TOTAL $ (IVA INC) ]]</f>
        <v>0</v>
      </c>
      <c r="O585" s="838">
        <v>0</v>
      </c>
      <c r="P585" s="838">
        <v>0</v>
      </c>
      <c r="Q585" s="839">
        <f>+Tabla1[[#This Row],[VENTA TOTAL $ (IVA INC) ]]-Tabla1[[#This Row],[PENDIENTE DE COBRO]]</f>
        <v>0</v>
      </c>
      <c r="R585" s="840">
        <f>+Tabla1[[#This Row],[FECHA FC]]+Tabla1[[#This Row],[PLAZO ENTREGA VALORES]]</f>
        <v>0</v>
      </c>
      <c r="S585" s="840">
        <f>+Tabla1[[#This Row],[FECHA FC]]+Tabla1[[#This Row],[PLAZO PAGO (DIAS)]]</f>
        <v>0</v>
      </c>
      <c r="T585" s="834">
        <f t="shared" ca="1" si="146"/>
        <v>-46181</v>
      </c>
      <c r="U585" s="831"/>
      <c r="V585" s="831"/>
      <c r="W585" s="841">
        <f>+Tabla1[[#This Row],[FECHA VTO VALORES]]+7</f>
        <v>7</v>
      </c>
      <c r="X585" s="830"/>
      <c r="Y585" s="859"/>
      <c r="Z585" s="860">
        <f>Tabla1[[#This Row],[KGS]]/50</f>
        <v>0</v>
      </c>
      <c r="AA58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85" s="844">
        <f>-Tabla1[[#This Row],[COSTO FLETE $ POR BOLSA 5O KG (SIN IVA)]]*1.21-Tabla1[[#This Row],[PRECIO $/ KG A PLAZO EN CLIENTE ( SIN IVA)]]*0.003*1.21*50</f>
        <v>0</v>
      </c>
      <c r="AC585" s="845" t="e">
        <f>SUM(Tabla1[[#This Row],[PRECIO $ BOLSA 50 KG (IVA INC) ]]+Tabla1[[#This Row],[COSTO FLETE $ BOLSA 50 KG (IVA INC)]])</f>
        <v>#VALUE!</v>
      </c>
      <c r="AD585" s="844" t="e">
        <f>-Tabla1[[#This Row],[PRECIO $ BOLSA 50 KG (IVA INC) ]]*(Tabla1[[#This Row],[TASA FINANCIACION MENSUAL]]/365)*Tabla1[[#This Row],[PLAZO ENTREGA VALORES]]</f>
        <v>#VALUE!</v>
      </c>
      <c r="AE585" s="845" t="e">
        <f>SUM(Tabla1[[#This Row],[PRECIO $ BOLSA50 KG  FOB TUCUMAN A PLAZO (IVA INC)]]+Tabla1[[#This Row],[GASTOS FINANCIEROS $ BOLSA 50 KG (IVA INC)]])</f>
        <v>#VALUE!</v>
      </c>
      <c r="AF585" s="828"/>
      <c r="AG585" s="828"/>
      <c r="AH585" s="828"/>
      <c r="AI585" s="828"/>
      <c r="AJ58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85" s="846" t="e">
        <f>SUM(Tabla1[[#This Row],[PRECIO $ BOLSA 50KG  FOB CDO TUC (IVA INC)]]-Tabla1[[#This Row],[PRECIO REF $ BOLSA 50 KG CACTU (IVA INC)]])</f>
        <v>#VALUE!</v>
      </c>
      <c r="AL585" s="847" t="str">
        <f>IFERROR(Tabla1[[#This Row],[PRECIO $ BOLSA 50KG  FOB CDO TUC (IVA INC)]]/Tabla1[[#This Row],[PRECIO REF $ BOLSA 50 KG CACTU (IVA INC)]]-1,"")</f>
        <v/>
      </c>
      <c r="AM585" s="846" t="e">
        <f>+Tabla1[[#This Row],[DIF $ PRECIO NETO INDUSTRIA vs Neto TUCUMAN (IVA INC)]]*Tabla1[[#This Row],[Q Bolsas Equivalentes 50kg]]</f>
        <v>#VALUE!</v>
      </c>
      <c r="AN585" s="846" t="e">
        <f>Tabla1[[#This Row],[PRECIO REF $ BOLSA 50 KG CACTU (IVA INC)]]*Tabla1[[#This Row],[Q Bolsas Equivalentes 50kg]]</f>
        <v>#VALUE!</v>
      </c>
      <c r="AO585" s="846" t="e">
        <f>+Tabla1[[#This Row],[PRECIO $ BOLSA 50KG  FOB CDO TUC (IVA INC)]]*Tabla1[[#This Row],[Q Bolsas Equivalentes 50kg]]</f>
        <v>#VALUE!</v>
      </c>
      <c r="AP585" s="847"/>
      <c r="AQ585" s="846">
        <v>0</v>
      </c>
      <c r="AR585" s="828"/>
      <c r="AS585" s="849"/>
      <c r="AT585" s="923">
        <f>+Tabla1[[#This Row],[VENTA TOTAL $ (IVA INC) ]]-(SUM(Tabla1[[#This Row],[PENDIENTE DE ENTREGA]:[VALORES COBRADOS]]))</f>
        <v>0</v>
      </c>
      <c r="AU585" s="850" t="e">
        <f>VLOOKUP(Tabla1[[#This Row],[FECHA OC]],'TIPO DE CAMBIO'!A:B,2,TRUE)</f>
        <v>#N/A</v>
      </c>
      <c r="AV585" s="850" t="e">
        <f>+Tabla1[[#This Row],[SUBTOTAL]]/Tabla1[[#This Row],[TIPO DE CAMBIO]]</f>
        <v>#N/A</v>
      </c>
      <c r="AW585" s="851"/>
      <c r="AX585" s="850" t="str">
        <f>IFERROR(Tabla1[[#This Row],[VENTA TOTAL USD A PLAZO EN CLIENTE  (SIN IVA)]]*(1+Tabla1[[#This Row],[% IVA ]]),"")</f>
        <v/>
      </c>
      <c r="AY585" s="850" t="e">
        <f>+Tabla1[[#This Row],[VENTA TOTAL USD A PLAZO EN CLIENTE  (SIN IVA)]]/Tabla1[[#This Row],[KGS]]*1000</f>
        <v>#N/A</v>
      </c>
      <c r="AZ585" s="850" t="e">
        <f>-Tabla1[[#This Row],[COSTO FLETE $ POR BOLSA 5O KG (SIN IVA)]]*20/Tabla1[[#This Row],[TIPO DE CAMBIO]]</f>
        <v>#N/A</v>
      </c>
      <c r="BA585" s="850" t="e">
        <f>+Tabla1[[#This Row],[GASTOS FINANCIEROS $ BOLSA 50 KG (IVA INC)]]*20/Tabla1[[#This Row],[TIPO DE CAMBIO]]</f>
        <v>#VALUE!</v>
      </c>
      <c r="BB585" s="850" t="e">
        <f>+Tabla1[[#This Row],[PRECIO POR TN USD EN CLIENTE A PLAZO (SIN IVA)]]+Tabla1[[#This Row],[COSTO USD FLETE /TN (SIN IVA)]]+Tabla1[[#This Row],[COSTO FINANCIERO USD POR BOLSA 50KG (IVA INC)]]</f>
        <v>#N/A</v>
      </c>
      <c r="BC585" s="848"/>
      <c r="BD585" s="944"/>
    </row>
    <row r="586" spans="1:56" ht="15.75" customHeight="1">
      <c r="A586" s="912">
        <v>46266</v>
      </c>
      <c r="B586" s="853"/>
      <c r="C586" s="792"/>
      <c r="D586" s="829">
        <f>+Tabla1[[#This Row],[FECHA Entrega]]</f>
        <v>0</v>
      </c>
      <c r="E586" s="830"/>
      <c r="F586" s="831"/>
      <c r="G586" s="832"/>
      <c r="H586" s="852"/>
      <c r="I586" s="834"/>
      <c r="J586" s="835"/>
      <c r="K586" s="836">
        <f t="shared" si="145"/>
        <v>0</v>
      </c>
      <c r="L58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86" s="837">
        <f t="shared" si="147"/>
        <v>0</v>
      </c>
      <c r="N586" s="838">
        <f>+Tabla1[[#This Row],[VENTA TOTAL $ (IVA INC) ]]</f>
        <v>0</v>
      </c>
      <c r="O586" s="838">
        <v>0</v>
      </c>
      <c r="P586" s="838">
        <v>0</v>
      </c>
      <c r="Q586" s="839">
        <f>+Tabla1[[#This Row],[VENTA TOTAL $ (IVA INC) ]]-Tabla1[[#This Row],[PENDIENTE DE COBRO]]</f>
        <v>0</v>
      </c>
      <c r="R586" s="840">
        <f>+Tabla1[[#This Row],[FECHA FC]]+Tabla1[[#This Row],[PLAZO ENTREGA VALORES]]</f>
        <v>0</v>
      </c>
      <c r="S586" s="840">
        <f>+Tabla1[[#This Row],[FECHA FC]]+Tabla1[[#This Row],[PLAZO PAGO (DIAS)]]</f>
        <v>0</v>
      </c>
      <c r="T586" s="834">
        <f t="shared" ca="1" si="146"/>
        <v>-46181</v>
      </c>
      <c r="U586" s="831"/>
      <c r="V586" s="831"/>
      <c r="W586" s="841">
        <f>+Tabla1[[#This Row],[FECHA VTO VALORES]]+7</f>
        <v>7</v>
      </c>
      <c r="X586" s="830"/>
      <c r="Y586" s="859"/>
      <c r="Z586" s="860">
        <f>Tabla1[[#This Row],[KGS]]/50</f>
        <v>0</v>
      </c>
      <c r="AA58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86" s="844">
        <f>-Tabla1[[#This Row],[COSTO FLETE $ POR BOLSA 5O KG (SIN IVA)]]*1.21-Tabla1[[#This Row],[PRECIO $/ KG A PLAZO EN CLIENTE ( SIN IVA)]]*0.003*1.21*50</f>
        <v>0</v>
      </c>
      <c r="AC586" s="845" t="e">
        <f>SUM(Tabla1[[#This Row],[PRECIO $ BOLSA 50 KG (IVA INC) ]]+Tabla1[[#This Row],[COSTO FLETE $ BOLSA 50 KG (IVA INC)]])</f>
        <v>#VALUE!</v>
      </c>
      <c r="AD586" s="844" t="e">
        <f>-Tabla1[[#This Row],[PRECIO $ BOLSA 50 KG (IVA INC) ]]*(Tabla1[[#This Row],[TASA FINANCIACION MENSUAL]]/365)*Tabla1[[#This Row],[PLAZO ENTREGA VALORES]]</f>
        <v>#VALUE!</v>
      </c>
      <c r="AE586" s="845" t="e">
        <f>SUM(Tabla1[[#This Row],[PRECIO $ BOLSA50 KG  FOB TUCUMAN A PLAZO (IVA INC)]]+Tabla1[[#This Row],[GASTOS FINANCIEROS $ BOLSA 50 KG (IVA INC)]])</f>
        <v>#VALUE!</v>
      </c>
      <c r="AF586" s="828"/>
      <c r="AG586" s="828"/>
      <c r="AH586" s="828"/>
      <c r="AI586" s="828"/>
      <c r="AJ58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86" s="846" t="e">
        <f>SUM(Tabla1[[#This Row],[PRECIO $ BOLSA 50KG  FOB CDO TUC (IVA INC)]]-Tabla1[[#This Row],[PRECIO REF $ BOLSA 50 KG CACTU (IVA INC)]])</f>
        <v>#VALUE!</v>
      </c>
      <c r="AL586" s="847" t="str">
        <f>IFERROR(Tabla1[[#This Row],[PRECIO $ BOLSA 50KG  FOB CDO TUC (IVA INC)]]/Tabla1[[#This Row],[PRECIO REF $ BOLSA 50 KG CACTU (IVA INC)]]-1,"")</f>
        <v/>
      </c>
      <c r="AM586" s="846" t="e">
        <f>+Tabla1[[#This Row],[DIF $ PRECIO NETO INDUSTRIA vs Neto TUCUMAN (IVA INC)]]*Tabla1[[#This Row],[Q Bolsas Equivalentes 50kg]]</f>
        <v>#VALUE!</v>
      </c>
      <c r="AN586" s="846" t="e">
        <f>Tabla1[[#This Row],[PRECIO REF $ BOLSA 50 KG CACTU (IVA INC)]]*Tabla1[[#This Row],[Q Bolsas Equivalentes 50kg]]</f>
        <v>#VALUE!</v>
      </c>
      <c r="AO586" s="846" t="e">
        <f>+Tabla1[[#This Row],[PRECIO $ BOLSA 50KG  FOB CDO TUC (IVA INC)]]*Tabla1[[#This Row],[Q Bolsas Equivalentes 50kg]]</f>
        <v>#VALUE!</v>
      </c>
      <c r="AP586" s="847"/>
      <c r="AQ586" s="846">
        <v>0</v>
      </c>
      <c r="AR586" s="828"/>
      <c r="AS586" s="849"/>
      <c r="AT586" s="923">
        <f>+Tabla1[[#This Row],[VENTA TOTAL $ (IVA INC) ]]-(SUM(Tabla1[[#This Row],[PENDIENTE DE ENTREGA]:[VALORES COBRADOS]]))</f>
        <v>0</v>
      </c>
      <c r="AU586" s="850" t="e">
        <f>VLOOKUP(Tabla1[[#This Row],[FECHA OC]],'TIPO DE CAMBIO'!A:B,2,TRUE)</f>
        <v>#N/A</v>
      </c>
      <c r="AV586" s="850" t="e">
        <f>+Tabla1[[#This Row],[SUBTOTAL]]/Tabla1[[#This Row],[TIPO DE CAMBIO]]</f>
        <v>#N/A</v>
      </c>
      <c r="AW586" s="851"/>
      <c r="AX586" s="850" t="str">
        <f>IFERROR(Tabla1[[#This Row],[VENTA TOTAL USD A PLAZO EN CLIENTE  (SIN IVA)]]*(1+Tabla1[[#This Row],[% IVA ]]),"")</f>
        <v/>
      </c>
      <c r="AY586" s="850" t="e">
        <f>+Tabla1[[#This Row],[VENTA TOTAL USD A PLAZO EN CLIENTE  (SIN IVA)]]/Tabla1[[#This Row],[KGS]]*1000</f>
        <v>#N/A</v>
      </c>
      <c r="AZ586" s="850" t="e">
        <f>-Tabla1[[#This Row],[COSTO FLETE $ POR BOLSA 5O KG (SIN IVA)]]*20/Tabla1[[#This Row],[TIPO DE CAMBIO]]</f>
        <v>#N/A</v>
      </c>
      <c r="BA586" s="850" t="e">
        <f>+Tabla1[[#This Row],[GASTOS FINANCIEROS $ BOLSA 50 KG (IVA INC)]]*20/Tabla1[[#This Row],[TIPO DE CAMBIO]]</f>
        <v>#VALUE!</v>
      </c>
      <c r="BB586" s="850" t="e">
        <f>+Tabla1[[#This Row],[PRECIO POR TN USD EN CLIENTE A PLAZO (SIN IVA)]]+Tabla1[[#This Row],[COSTO USD FLETE /TN (SIN IVA)]]+Tabla1[[#This Row],[COSTO FINANCIERO USD POR BOLSA 50KG (IVA INC)]]</f>
        <v>#N/A</v>
      </c>
      <c r="BC586" s="848"/>
      <c r="BD586" s="944"/>
    </row>
    <row r="587" spans="1:56" ht="15.75" customHeight="1">
      <c r="A587" s="912">
        <v>46266</v>
      </c>
      <c r="B587" s="853"/>
      <c r="C587" s="792"/>
      <c r="D587" s="829">
        <f>+Tabla1[[#This Row],[FECHA Entrega]]</f>
        <v>0</v>
      </c>
      <c r="E587" s="830"/>
      <c r="F587" s="831"/>
      <c r="G587" s="832"/>
      <c r="H587" s="852"/>
      <c r="I587" s="834"/>
      <c r="J587" s="835"/>
      <c r="K587" s="836">
        <f t="shared" si="145"/>
        <v>0</v>
      </c>
      <c r="L58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87" s="837">
        <f t="shared" si="147"/>
        <v>0</v>
      </c>
      <c r="N587" s="838">
        <f>+Tabla1[[#This Row],[VENTA TOTAL $ (IVA INC) ]]</f>
        <v>0</v>
      </c>
      <c r="O587" s="838">
        <v>0</v>
      </c>
      <c r="P587" s="838">
        <v>0</v>
      </c>
      <c r="Q587" s="839">
        <f>+Tabla1[[#This Row],[VENTA TOTAL $ (IVA INC) ]]-Tabla1[[#This Row],[PENDIENTE DE COBRO]]</f>
        <v>0</v>
      </c>
      <c r="R587" s="840">
        <f>+Tabla1[[#This Row],[FECHA FC]]+Tabla1[[#This Row],[PLAZO ENTREGA VALORES]]</f>
        <v>0</v>
      </c>
      <c r="S587" s="840">
        <f>+Tabla1[[#This Row],[FECHA FC]]+Tabla1[[#This Row],[PLAZO PAGO (DIAS)]]</f>
        <v>0</v>
      </c>
      <c r="T587" s="834">
        <f t="shared" ca="1" si="146"/>
        <v>-46181</v>
      </c>
      <c r="U587" s="831"/>
      <c r="V587" s="831"/>
      <c r="W587" s="841">
        <f>+Tabla1[[#This Row],[FECHA VTO VALORES]]+7</f>
        <v>7</v>
      </c>
      <c r="X587" s="830"/>
      <c r="Y587" s="859"/>
      <c r="Z587" s="860">
        <f>Tabla1[[#This Row],[KGS]]/50</f>
        <v>0</v>
      </c>
      <c r="AA58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87" s="844">
        <f>-Tabla1[[#This Row],[COSTO FLETE $ POR BOLSA 5O KG (SIN IVA)]]*1.21-Tabla1[[#This Row],[PRECIO $/ KG A PLAZO EN CLIENTE ( SIN IVA)]]*0.003*1.21*50</f>
        <v>0</v>
      </c>
      <c r="AC587" s="845" t="e">
        <f>SUM(Tabla1[[#This Row],[PRECIO $ BOLSA 50 KG (IVA INC) ]]+Tabla1[[#This Row],[COSTO FLETE $ BOLSA 50 KG (IVA INC)]])</f>
        <v>#VALUE!</v>
      </c>
      <c r="AD587" s="844" t="e">
        <f>-Tabla1[[#This Row],[PRECIO $ BOLSA 50 KG (IVA INC) ]]*(Tabla1[[#This Row],[TASA FINANCIACION MENSUAL]]/365)*Tabla1[[#This Row],[PLAZO ENTREGA VALORES]]</f>
        <v>#VALUE!</v>
      </c>
      <c r="AE587" s="845" t="e">
        <f>SUM(Tabla1[[#This Row],[PRECIO $ BOLSA50 KG  FOB TUCUMAN A PLAZO (IVA INC)]]+Tabla1[[#This Row],[GASTOS FINANCIEROS $ BOLSA 50 KG (IVA INC)]])</f>
        <v>#VALUE!</v>
      </c>
      <c r="AF587" s="828"/>
      <c r="AG587" s="828"/>
      <c r="AH587" s="828"/>
      <c r="AI587" s="828"/>
      <c r="AJ58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87" s="846" t="e">
        <f>SUM(Tabla1[[#This Row],[PRECIO $ BOLSA 50KG  FOB CDO TUC (IVA INC)]]-Tabla1[[#This Row],[PRECIO REF $ BOLSA 50 KG CACTU (IVA INC)]])</f>
        <v>#VALUE!</v>
      </c>
      <c r="AL587" s="847" t="str">
        <f>IFERROR(Tabla1[[#This Row],[PRECIO $ BOLSA 50KG  FOB CDO TUC (IVA INC)]]/Tabla1[[#This Row],[PRECIO REF $ BOLSA 50 KG CACTU (IVA INC)]]-1,"")</f>
        <v/>
      </c>
      <c r="AM587" s="846" t="e">
        <f>+Tabla1[[#This Row],[DIF $ PRECIO NETO INDUSTRIA vs Neto TUCUMAN (IVA INC)]]*Tabla1[[#This Row],[Q Bolsas Equivalentes 50kg]]</f>
        <v>#VALUE!</v>
      </c>
      <c r="AN587" s="846" t="e">
        <f>Tabla1[[#This Row],[PRECIO REF $ BOLSA 50 KG CACTU (IVA INC)]]*Tabla1[[#This Row],[Q Bolsas Equivalentes 50kg]]</f>
        <v>#VALUE!</v>
      </c>
      <c r="AO587" s="846" t="e">
        <f>+Tabla1[[#This Row],[PRECIO $ BOLSA 50KG  FOB CDO TUC (IVA INC)]]*Tabla1[[#This Row],[Q Bolsas Equivalentes 50kg]]</f>
        <v>#VALUE!</v>
      </c>
      <c r="AP587" s="847"/>
      <c r="AQ587" s="846">
        <v>0</v>
      </c>
      <c r="AR587" s="828"/>
      <c r="AS587" s="849"/>
      <c r="AT587" s="923">
        <f>+Tabla1[[#This Row],[VENTA TOTAL $ (IVA INC) ]]-(SUM(Tabla1[[#This Row],[PENDIENTE DE ENTREGA]:[VALORES COBRADOS]]))</f>
        <v>0</v>
      </c>
      <c r="AU587" s="850" t="e">
        <f>VLOOKUP(Tabla1[[#This Row],[FECHA OC]],'TIPO DE CAMBIO'!A:B,2,TRUE)</f>
        <v>#N/A</v>
      </c>
      <c r="AV587" s="850" t="e">
        <f>+Tabla1[[#This Row],[SUBTOTAL]]/Tabla1[[#This Row],[TIPO DE CAMBIO]]</f>
        <v>#N/A</v>
      </c>
      <c r="AW587" s="851"/>
      <c r="AX587" s="850" t="str">
        <f>IFERROR(Tabla1[[#This Row],[VENTA TOTAL USD A PLAZO EN CLIENTE  (SIN IVA)]]*(1+Tabla1[[#This Row],[% IVA ]]),"")</f>
        <v/>
      </c>
      <c r="AY587" s="850" t="e">
        <f>+Tabla1[[#This Row],[VENTA TOTAL USD A PLAZO EN CLIENTE  (SIN IVA)]]/Tabla1[[#This Row],[KGS]]*1000</f>
        <v>#N/A</v>
      </c>
      <c r="AZ587" s="850" t="e">
        <f>-Tabla1[[#This Row],[COSTO FLETE $ POR BOLSA 5O KG (SIN IVA)]]*20/Tabla1[[#This Row],[TIPO DE CAMBIO]]</f>
        <v>#N/A</v>
      </c>
      <c r="BA587" s="850" t="e">
        <f>+Tabla1[[#This Row],[GASTOS FINANCIEROS $ BOLSA 50 KG (IVA INC)]]*20/Tabla1[[#This Row],[TIPO DE CAMBIO]]</f>
        <v>#VALUE!</v>
      </c>
      <c r="BB587" s="850" t="e">
        <f>+Tabla1[[#This Row],[PRECIO POR TN USD EN CLIENTE A PLAZO (SIN IVA)]]+Tabla1[[#This Row],[COSTO USD FLETE /TN (SIN IVA)]]+Tabla1[[#This Row],[COSTO FINANCIERO USD POR BOLSA 50KG (IVA INC)]]</f>
        <v>#N/A</v>
      </c>
      <c r="BC587" s="848"/>
      <c r="BD587" s="944"/>
    </row>
    <row r="588" spans="1:56" ht="15.75" customHeight="1">
      <c r="A588" s="912">
        <v>46266</v>
      </c>
      <c r="B588" s="853"/>
      <c r="C588" s="792"/>
      <c r="D588" s="829">
        <f>+Tabla1[[#This Row],[FECHA Entrega]]</f>
        <v>0</v>
      </c>
      <c r="E588" s="830"/>
      <c r="F588" s="831"/>
      <c r="G588" s="832"/>
      <c r="H588" s="852"/>
      <c r="I588" s="834"/>
      <c r="J588" s="835"/>
      <c r="K588" s="836">
        <f t="shared" si="145"/>
        <v>0</v>
      </c>
      <c r="L58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88" s="837">
        <f t="shared" si="147"/>
        <v>0</v>
      </c>
      <c r="N588" s="838">
        <f>+Tabla1[[#This Row],[VENTA TOTAL $ (IVA INC) ]]</f>
        <v>0</v>
      </c>
      <c r="O588" s="838">
        <v>0</v>
      </c>
      <c r="P588" s="838">
        <v>0</v>
      </c>
      <c r="Q588" s="839">
        <f>+Tabla1[[#This Row],[VENTA TOTAL $ (IVA INC) ]]-Tabla1[[#This Row],[PENDIENTE DE COBRO]]</f>
        <v>0</v>
      </c>
      <c r="R588" s="840">
        <f>+Tabla1[[#This Row],[FECHA FC]]+Tabla1[[#This Row],[PLAZO ENTREGA VALORES]]</f>
        <v>0</v>
      </c>
      <c r="S588" s="840">
        <f>+Tabla1[[#This Row],[FECHA FC]]+Tabla1[[#This Row],[PLAZO PAGO (DIAS)]]</f>
        <v>0</v>
      </c>
      <c r="T588" s="834">
        <f t="shared" ca="1" si="146"/>
        <v>-46181</v>
      </c>
      <c r="U588" s="831"/>
      <c r="V588" s="831"/>
      <c r="W588" s="841">
        <f>+Tabla1[[#This Row],[FECHA VTO VALORES]]+7</f>
        <v>7</v>
      </c>
      <c r="X588" s="830"/>
      <c r="Y588" s="859"/>
      <c r="Z588" s="860">
        <f>Tabla1[[#This Row],[KGS]]/50</f>
        <v>0</v>
      </c>
      <c r="AA58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88" s="844">
        <f>-Tabla1[[#This Row],[COSTO FLETE $ POR BOLSA 5O KG (SIN IVA)]]*1.21-Tabla1[[#This Row],[PRECIO $/ KG A PLAZO EN CLIENTE ( SIN IVA)]]*0.003*1.21*50</f>
        <v>0</v>
      </c>
      <c r="AC588" s="845" t="e">
        <f>SUM(Tabla1[[#This Row],[PRECIO $ BOLSA 50 KG (IVA INC) ]]+Tabla1[[#This Row],[COSTO FLETE $ BOLSA 50 KG (IVA INC)]])</f>
        <v>#VALUE!</v>
      </c>
      <c r="AD588" s="844" t="e">
        <f>-Tabla1[[#This Row],[PRECIO $ BOLSA 50 KG (IVA INC) ]]*(Tabla1[[#This Row],[TASA FINANCIACION MENSUAL]]/365)*Tabla1[[#This Row],[PLAZO ENTREGA VALORES]]</f>
        <v>#VALUE!</v>
      </c>
      <c r="AE588" s="845" t="e">
        <f>SUM(Tabla1[[#This Row],[PRECIO $ BOLSA50 KG  FOB TUCUMAN A PLAZO (IVA INC)]]+Tabla1[[#This Row],[GASTOS FINANCIEROS $ BOLSA 50 KG (IVA INC)]])</f>
        <v>#VALUE!</v>
      </c>
      <c r="AF588" s="828"/>
      <c r="AG588" s="828"/>
      <c r="AH588" s="828"/>
      <c r="AI588" s="828"/>
      <c r="AJ58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88" s="846" t="e">
        <f>SUM(Tabla1[[#This Row],[PRECIO $ BOLSA 50KG  FOB CDO TUC (IVA INC)]]-Tabla1[[#This Row],[PRECIO REF $ BOLSA 50 KG CACTU (IVA INC)]])</f>
        <v>#VALUE!</v>
      </c>
      <c r="AL588" s="847" t="str">
        <f>IFERROR(Tabla1[[#This Row],[PRECIO $ BOLSA 50KG  FOB CDO TUC (IVA INC)]]/Tabla1[[#This Row],[PRECIO REF $ BOLSA 50 KG CACTU (IVA INC)]]-1,"")</f>
        <v/>
      </c>
      <c r="AM588" s="846" t="e">
        <f>+Tabla1[[#This Row],[DIF $ PRECIO NETO INDUSTRIA vs Neto TUCUMAN (IVA INC)]]*Tabla1[[#This Row],[Q Bolsas Equivalentes 50kg]]</f>
        <v>#VALUE!</v>
      </c>
      <c r="AN588" s="846" t="e">
        <f>Tabla1[[#This Row],[PRECIO REF $ BOLSA 50 KG CACTU (IVA INC)]]*Tabla1[[#This Row],[Q Bolsas Equivalentes 50kg]]</f>
        <v>#VALUE!</v>
      </c>
      <c r="AO588" s="846" t="e">
        <f>+Tabla1[[#This Row],[PRECIO $ BOLSA 50KG  FOB CDO TUC (IVA INC)]]*Tabla1[[#This Row],[Q Bolsas Equivalentes 50kg]]</f>
        <v>#VALUE!</v>
      </c>
      <c r="AP588" s="847"/>
      <c r="AQ588" s="846">
        <v>0</v>
      </c>
      <c r="AR588" s="828"/>
      <c r="AS588" s="849"/>
      <c r="AT588" s="923">
        <f>+Tabla1[[#This Row],[VENTA TOTAL $ (IVA INC) ]]-(SUM(Tabla1[[#This Row],[PENDIENTE DE ENTREGA]:[VALORES COBRADOS]]))</f>
        <v>0</v>
      </c>
      <c r="AU588" s="850" t="e">
        <f>VLOOKUP(Tabla1[[#This Row],[FECHA OC]],'TIPO DE CAMBIO'!A:B,2,TRUE)</f>
        <v>#N/A</v>
      </c>
      <c r="AV588" s="850" t="e">
        <f>+Tabla1[[#This Row],[SUBTOTAL]]/Tabla1[[#This Row],[TIPO DE CAMBIO]]</f>
        <v>#N/A</v>
      </c>
      <c r="AW588" s="851"/>
      <c r="AX588" s="850" t="str">
        <f>IFERROR(Tabla1[[#This Row],[VENTA TOTAL USD A PLAZO EN CLIENTE  (SIN IVA)]]*(1+Tabla1[[#This Row],[% IVA ]]),"")</f>
        <v/>
      </c>
      <c r="AY588" s="850" t="e">
        <f>+Tabla1[[#This Row],[VENTA TOTAL USD A PLAZO EN CLIENTE  (SIN IVA)]]/Tabla1[[#This Row],[KGS]]*1000</f>
        <v>#N/A</v>
      </c>
      <c r="AZ588" s="850" t="e">
        <f>-Tabla1[[#This Row],[COSTO FLETE $ POR BOLSA 5O KG (SIN IVA)]]*20/Tabla1[[#This Row],[TIPO DE CAMBIO]]</f>
        <v>#N/A</v>
      </c>
      <c r="BA588" s="850" t="e">
        <f>+Tabla1[[#This Row],[GASTOS FINANCIEROS $ BOLSA 50 KG (IVA INC)]]*20/Tabla1[[#This Row],[TIPO DE CAMBIO]]</f>
        <v>#VALUE!</v>
      </c>
      <c r="BB588" s="850" t="e">
        <f>+Tabla1[[#This Row],[PRECIO POR TN USD EN CLIENTE A PLAZO (SIN IVA)]]+Tabla1[[#This Row],[COSTO USD FLETE /TN (SIN IVA)]]+Tabla1[[#This Row],[COSTO FINANCIERO USD POR BOLSA 50KG (IVA INC)]]</f>
        <v>#N/A</v>
      </c>
      <c r="BC588" s="828"/>
      <c r="BD588" s="944"/>
    </row>
    <row r="589" spans="1:56" ht="15.75" customHeight="1">
      <c r="A589" s="912">
        <v>46266</v>
      </c>
      <c r="B589" s="853"/>
      <c r="C589" s="792"/>
      <c r="D589" s="829">
        <f>+Tabla1[[#This Row],[FECHA Entrega]]</f>
        <v>0</v>
      </c>
      <c r="E589" s="830"/>
      <c r="F589" s="831"/>
      <c r="G589" s="832"/>
      <c r="H589" s="852"/>
      <c r="I589" s="834"/>
      <c r="J589" s="835"/>
      <c r="K589" s="836">
        <f t="shared" si="145"/>
        <v>0</v>
      </c>
      <c r="L58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89" s="837">
        <f t="shared" si="147"/>
        <v>0</v>
      </c>
      <c r="N589" s="838">
        <f>+Tabla1[[#This Row],[VENTA TOTAL $ (IVA INC) ]]</f>
        <v>0</v>
      </c>
      <c r="O589" s="838">
        <v>0</v>
      </c>
      <c r="P589" s="838">
        <v>0</v>
      </c>
      <c r="Q589" s="839">
        <f>+Tabla1[[#This Row],[VENTA TOTAL $ (IVA INC) ]]-Tabla1[[#This Row],[PENDIENTE DE COBRO]]</f>
        <v>0</v>
      </c>
      <c r="R589" s="840">
        <f>+Tabla1[[#This Row],[FECHA FC]]+Tabla1[[#This Row],[PLAZO ENTREGA VALORES]]</f>
        <v>0</v>
      </c>
      <c r="S589" s="840">
        <f>+Tabla1[[#This Row],[FECHA FC]]+Tabla1[[#This Row],[PLAZO PAGO (DIAS)]]</f>
        <v>0</v>
      </c>
      <c r="T589" s="834">
        <f t="shared" ca="1" si="146"/>
        <v>-46181</v>
      </c>
      <c r="U589" s="831"/>
      <c r="V589" s="831"/>
      <c r="W589" s="841">
        <f>+Tabla1[[#This Row],[FECHA VTO VALORES]]+7</f>
        <v>7</v>
      </c>
      <c r="X589" s="830"/>
      <c r="Y589" s="859"/>
      <c r="Z589" s="860">
        <f>Tabla1[[#This Row],[KGS]]/50</f>
        <v>0</v>
      </c>
      <c r="AA58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89" s="844">
        <f>-Tabla1[[#This Row],[COSTO FLETE $ POR BOLSA 5O KG (SIN IVA)]]*1.21-Tabla1[[#This Row],[PRECIO $/ KG A PLAZO EN CLIENTE ( SIN IVA)]]*0.003*1.21*50</f>
        <v>0</v>
      </c>
      <c r="AC589" s="845" t="e">
        <f>SUM(Tabla1[[#This Row],[PRECIO $ BOLSA 50 KG (IVA INC) ]]+Tabla1[[#This Row],[COSTO FLETE $ BOLSA 50 KG (IVA INC)]])</f>
        <v>#VALUE!</v>
      </c>
      <c r="AD589" s="844" t="e">
        <f>-Tabla1[[#This Row],[PRECIO $ BOLSA 50 KG (IVA INC) ]]*(Tabla1[[#This Row],[TASA FINANCIACION MENSUAL]]/365)*Tabla1[[#This Row],[PLAZO ENTREGA VALORES]]</f>
        <v>#VALUE!</v>
      </c>
      <c r="AE589" s="845" t="e">
        <f>SUM(Tabla1[[#This Row],[PRECIO $ BOLSA50 KG  FOB TUCUMAN A PLAZO (IVA INC)]]+Tabla1[[#This Row],[GASTOS FINANCIEROS $ BOLSA 50 KG (IVA INC)]])</f>
        <v>#VALUE!</v>
      </c>
      <c r="AF589" s="828"/>
      <c r="AG589" s="828"/>
      <c r="AH589" s="828"/>
      <c r="AI589" s="828"/>
      <c r="AJ58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89" s="846" t="e">
        <f>SUM(Tabla1[[#This Row],[PRECIO $ BOLSA 50KG  FOB CDO TUC (IVA INC)]]-Tabla1[[#This Row],[PRECIO REF $ BOLSA 50 KG CACTU (IVA INC)]])</f>
        <v>#VALUE!</v>
      </c>
      <c r="AL589" s="847" t="str">
        <f>IFERROR(Tabla1[[#This Row],[PRECIO $ BOLSA 50KG  FOB CDO TUC (IVA INC)]]/Tabla1[[#This Row],[PRECIO REF $ BOLSA 50 KG CACTU (IVA INC)]]-1,"")</f>
        <v/>
      </c>
      <c r="AM589" s="846" t="e">
        <f>+Tabla1[[#This Row],[DIF $ PRECIO NETO INDUSTRIA vs Neto TUCUMAN (IVA INC)]]*Tabla1[[#This Row],[Q Bolsas Equivalentes 50kg]]</f>
        <v>#VALUE!</v>
      </c>
      <c r="AN589" s="846" t="e">
        <f>Tabla1[[#This Row],[PRECIO REF $ BOLSA 50 KG CACTU (IVA INC)]]*Tabla1[[#This Row],[Q Bolsas Equivalentes 50kg]]</f>
        <v>#VALUE!</v>
      </c>
      <c r="AO589" s="846" t="e">
        <f>+Tabla1[[#This Row],[PRECIO $ BOLSA 50KG  FOB CDO TUC (IVA INC)]]*Tabla1[[#This Row],[Q Bolsas Equivalentes 50kg]]</f>
        <v>#VALUE!</v>
      </c>
      <c r="AP589" s="847"/>
      <c r="AQ589" s="846">
        <v>0</v>
      </c>
      <c r="AR589" s="828"/>
      <c r="AS589" s="849"/>
      <c r="AT589" s="923">
        <f>+Tabla1[[#This Row],[VENTA TOTAL $ (IVA INC) ]]-(SUM(Tabla1[[#This Row],[PENDIENTE DE ENTREGA]:[VALORES COBRADOS]]))</f>
        <v>0</v>
      </c>
      <c r="AU589" s="850" t="e">
        <f>VLOOKUP(Tabla1[[#This Row],[FECHA OC]],'TIPO DE CAMBIO'!A:B,2,TRUE)</f>
        <v>#N/A</v>
      </c>
      <c r="AV589" s="850" t="e">
        <f>+Tabla1[[#This Row],[SUBTOTAL]]/Tabla1[[#This Row],[TIPO DE CAMBIO]]</f>
        <v>#N/A</v>
      </c>
      <c r="AW589" s="851"/>
      <c r="AX589" s="850" t="str">
        <f>IFERROR(Tabla1[[#This Row],[VENTA TOTAL USD A PLAZO EN CLIENTE  (SIN IVA)]]*(1+Tabla1[[#This Row],[% IVA ]]),"")</f>
        <v/>
      </c>
      <c r="AY589" s="850" t="e">
        <f>+Tabla1[[#This Row],[VENTA TOTAL USD A PLAZO EN CLIENTE  (SIN IVA)]]/Tabla1[[#This Row],[KGS]]*1000</f>
        <v>#N/A</v>
      </c>
      <c r="AZ589" s="850" t="e">
        <f>-Tabla1[[#This Row],[COSTO FLETE $ POR BOLSA 5O KG (SIN IVA)]]*20/Tabla1[[#This Row],[TIPO DE CAMBIO]]</f>
        <v>#N/A</v>
      </c>
      <c r="BA589" s="850" t="e">
        <f>+Tabla1[[#This Row],[GASTOS FINANCIEROS $ BOLSA 50 KG (IVA INC)]]*20/Tabla1[[#This Row],[TIPO DE CAMBIO]]</f>
        <v>#VALUE!</v>
      </c>
      <c r="BB589" s="850" t="e">
        <f>+Tabla1[[#This Row],[PRECIO POR TN USD EN CLIENTE A PLAZO (SIN IVA)]]+Tabla1[[#This Row],[COSTO USD FLETE /TN (SIN IVA)]]+Tabla1[[#This Row],[COSTO FINANCIERO USD POR BOLSA 50KG (IVA INC)]]</f>
        <v>#N/A</v>
      </c>
      <c r="BC589" s="828"/>
      <c r="BD589" s="944"/>
    </row>
    <row r="590" spans="1:56" ht="15.75" customHeight="1">
      <c r="A590" s="912">
        <v>46266</v>
      </c>
      <c r="B590" s="853"/>
      <c r="C590" s="792"/>
      <c r="D590" s="829">
        <f>+Tabla1[[#This Row],[FECHA Entrega]]</f>
        <v>0</v>
      </c>
      <c r="E590" s="830"/>
      <c r="F590" s="831"/>
      <c r="G590" s="832"/>
      <c r="H590" s="852"/>
      <c r="I590" s="834"/>
      <c r="J590" s="835"/>
      <c r="K590" s="836">
        <f t="shared" si="145"/>
        <v>0</v>
      </c>
      <c r="L59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90" s="837">
        <f t="shared" si="147"/>
        <v>0</v>
      </c>
      <c r="N590" s="838">
        <f>+Tabla1[[#This Row],[VENTA TOTAL $ (IVA INC) ]]</f>
        <v>0</v>
      </c>
      <c r="O590" s="838">
        <v>0</v>
      </c>
      <c r="P590" s="838">
        <v>0</v>
      </c>
      <c r="Q590" s="839">
        <f>+Tabla1[[#This Row],[VENTA TOTAL $ (IVA INC) ]]-Tabla1[[#This Row],[PENDIENTE DE COBRO]]</f>
        <v>0</v>
      </c>
      <c r="R590" s="840">
        <f>+Tabla1[[#This Row],[FECHA FC]]+Tabla1[[#This Row],[PLAZO ENTREGA VALORES]]</f>
        <v>0</v>
      </c>
      <c r="S590" s="840">
        <f>+Tabla1[[#This Row],[FECHA FC]]+Tabla1[[#This Row],[PLAZO PAGO (DIAS)]]</f>
        <v>0</v>
      </c>
      <c r="T590" s="834">
        <f t="shared" ca="1" si="146"/>
        <v>-46181</v>
      </c>
      <c r="U590" s="831"/>
      <c r="V590" s="831"/>
      <c r="W590" s="841">
        <f>+Tabla1[[#This Row],[FECHA VTO VALORES]]+7</f>
        <v>7</v>
      </c>
      <c r="X590" s="830"/>
      <c r="Y590" s="859"/>
      <c r="Z590" s="860">
        <f>Tabla1[[#This Row],[KGS]]/50</f>
        <v>0</v>
      </c>
      <c r="AA59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90" s="844">
        <f>-Tabla1[[#This Row],[COSTO FLETE $ POR BOLSA 5O KG (SIN IVA)]]*1.21-Tabla1[[#This Row],[PRECIO $/ KG A PLAZO EN CLIENTE ( SIN IVA)]]*0.003*1.21*50</f>
        <v>0</v>
      </c>
      <c r="AC590" s="845" t="e">
        <f>SUM(Tabla1[[#This Row],[PRECIO $ BOLSA 50 KG (IVA INC) ]]+Tabla1[[#This Row],[COSTO FLETE $ BOLSA 50 KG (IVA INC)]])</f>
        <v>#VALUE!</v>
      </c>
      <c r="AD590" s="844" t="e">
        <f>-Tabla1[[#This Row],[PRECIO $ BOLSA 50 KG (IVA INC) ]]*(Tabla1[[#This Row],[TASA FINANCIACION MENSUAL]]/365)*Tabla1[[#This Row],[PLAZO ENTREGA VALORES]]</f>
        <v>#VALUE!</v>
      </c>
      <c r="AE590" s="845" t="e">
        <f>SUM(Tabla1[[#This Row],[PRECIO $ BOLSA50 KG  FOB TUCUMAN A PLAZO (IVA INC)]]+Tabla1[[#This Row],[GASTOS FINANCIEROS $ BOLSA 50 KG (IVA INC)]])</f>
        <v>#VALUE!</v>
      </c>
      <c r="AF590" s="828"/>
      <c r="AG590" s="828"/>
      <c r="AH590" s="828"/>
      <c r="AI590" s="828"/>
      <c r="AJ59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90" s="846" t="e">
        <f>SUM(Tabla1[[#This Row],[PRECIO $ BOLSA 50KG  FOB CDO TUC (IVA INC)]]-Tabla1[[#This Row],[PRECIO REF $ BOLSA 50 KG CACTU (IVA INC)]])</f>
        <v>#VALUE!</v>
      </c>
      <c r="AL590" s="847" t="str">
        <f>IFERROR(Tabla1[[#This Row],[PRECIO $ BOLSA 50KG  FOB CDO TUC (IVA INC)]]/Tabla1[[#This Row],[PRECIO REF $ BOLSA 50 KG CACTU (IVA INC)]]-1,"")</f>
        <v/>
      </c>
      <c r="AM590" s="846" t="e">
        <f>+Tabla1[[#This Row],[DIF $ PRECIO NETO INDUSTRIA vs Neto TUCUMAN (IVA INC)]]*Tabla1[[#This Row],[Q Bolsas Equivalentes 50kg]]</f>
        <v>#VALUE!</v>
      </c>
      <c r="AN590" s="846" t="e">
        <f>Tabla1[[#This Row],[PRECIO REF $ BOLSA 50 KG CACTU (IVA INC)]]*Tabla1[[#This Row],[Q Bolsas Equivalentes 50kg]]</f>
        <v>#VALUE!</v>
      </c>
      <c r="AO590" s="846" t="e">
        <f>+Tabla1[[#This Row],[PRECIO $ BOLSA 50KG  FOB CDO TUC (IVA INC)]]*Tabla1[[#This Row],[Q Bolsas Equivalentes 50kg]]</f>
        <v>#VALUE!</v>
      </c>
      <c r="AP590" s="847"/>
      <c r="AQ590" s="846">
        <v>0</v>
      </c>
      <c r="AR590" s="828"/>
      <c r="AS590" s="849"/>
      <c r="AT590" s="923">
        <f>+Tabla1[[#This Row],[VENTA TOTAL $ (IVA INC) ]]-(SUM(Tabla1[[#This Row],[PENDIENTE DE ENTREGA]:[VALORES COBRADOS]]))</f>
        <v>0</v>
      </c>
      <c r="AU590" s="850" t="e">
        <f>VLOOKUP(Tabla1[[#This Row],[FECHA OC]],'TIPO DE CAMBIO'!A:B,2,TRUE)</f>
        <v>#N/A</v>
      </c>
      <c r="AV590" s="850" t="e">
        <f>+Tabla1[[#This Row],[SUBTOTAL]]/Tabla1[[#This Row],[TIPO DE CAMBIO]]</f>
        <v>#N/A</v>
      </c>
      <c r="AW590" s="851"/>
      <c r="AX590" s="850" t="str">
        <f>IFERROR(Tabla1[[#This Row],[VENTA TOTAL USD A PLAZO EN CLIENTE  (SIN IVA)]]*(1+Tabla1[[#This Row],[% IVA ]]),"")</f>
        <v/>
      </c>
      <c r="AY590" s="850" t="e">
        <f>+Tabla1[[#This Row],[VENTA TOTAL USD A PLAZO EN CLIENTE  (SIN IVA)]]/Tabla1[[#This Row],[KGS]]*1000</f>
        <v>#N/A</v>
      </c>
      <c r="AZ590" s="850" t="e">
        <f>-Tabla1[[#This Row],[COSTO FLETE $ POR BOLSA 5O KG (SIN IVA)]]*20/Tabla1[[#This Row],[TIPO DE CAMBIO]]</f>
        <v>#N/A</v>
      </c>
      <c r="BA590" s="850" t="e">
        <f>+Tabla1[[#This Row],[GASTOS FINANCIEROS $ BOLSA 50 KG (IVA INC)]]*20/Tabla1[[#This Row],[TIPO DE CAMBIO]]</f>
        <v>#VALUE!</v>
      </c>
      <c r="BB590" s="850" t="e">
        <f>+Tabla1[[#This Row],[PRECIO POR TN USD EN CLIENTE A PLAZO (SIN IVA)]]+Tabla1[[#This Row],[COSTO USD FLETE /TN (SIN IVA)]]+Tabla1[[#This Row],[COSTO FINANCIERO USD POR BOLSA 50KG (IVA INC)]]</f>
        <v>#N/A</v>
      </c>
      <c r="BC590" s="828"/>
      <c r="BD590" s="944"/>
    </row>
    <row r="591" spans="1:56" ht="15.75" customHeight="1">
      <c r="A591" s="912">
        <v>46266</v>
      </c>
      <c r="B591" s="853"/>
      <c r="C591" s="792"/>
      <c r="D591" s="829">
        <f>+Tabla1[[#This Row],[FECHA Entrega]]</f>
        <v>0</v>
      </c>
      <c r="E591" s="830"/>
      <c r="F591" s="831"/>
      <c r="G591" s="832"/>
      <c r="H591" s="852"/>
      <c r="I591" s="834"/>
      <c r="J591" s="835"/>
      <c r="K591" s="836">
        <f t="shared" si="145"/>
        <v>0</v>
      </c>
      <c r="L59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91" s="837">
        <f t="shared" si="147"/>
        <v>0</v>
      </c>
      <c r="N591" s="838">
        <f>+Tabla1[[#This Row],[VENTA TOTAL $ (IVA INC) ]]</f>
        <v>0</v>
      </c>
      <c r="O591" s="838">
        <v>0</v>
      </c>
      <c r="P591" s="838">
        <v>0</v>
      </c>
      <c r="Q591" s="839">
        <f>+Tabla1[[#This Row],[VENTA TOTAL $ (IVA INC) ]]-Tabla1[[#This Row],[PENDIENTE DE COBRO]]</f>
        <v>0</v>
      </c>
      <c r="R591" s="840">
        <f>+Tabla1[[#This Row],[FECHA FC]]+Tabla1[[#This Row],[PLAZO ENTREGA VALORES]]</f>
        <v>0</v>
      </c>
      <c r="S591" s="840">
        <f>+Tabla1[[#This Row],[FECHA FC]]+Tabla1[[#This Row],[PLAZO PAGO (DIAS)]]</f>
        <v>0</v>
      </c>
      <c r="T591" s="834">
        <f t="shared" ca="1" si="146"/>
        <v>-46181</v>
      </c>
      <c r="U591" s="831"/>
      <c r="V591" s="831"/>
      <c r="W591" s="841">
        <f>+Tabla1[[#This Row],[FECHA VTO VALORES]]+7</f>
        <v>7</v>
      </c>
      <c r="X591" s="830"/>
      <c r="Y591" s="859"/>
      <c r="Z591" s="860">
        <f>Tabla1[[#This Row],[KGS]]/50</f>
        <v>0</v>
      </c>
      <c r="AA59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91" s="844">
        <f>-Tabla1[[#This Row],[COSTO FLETE $ POR BOLSA 5O KG (SIN IVA)]]*1.21-Tabla1[[#This Row],[PRECIO $/ KG A PLAZO EN CLIENTE ( SIN IVA)]]*0.003*1.21*50</f>
        <v>0</v>
      </c>
      <c r="AC591" s="845" t="e">
        <f>SUM(Tabla1[[#This Row],[PRECIO $ BOLSA 50 KG (IVA INC) ]]+Tabla1[[#This Row],[COSTO FLETE $ BOLSA 50 KG (IVA INC)]])</f>
        <v>#VALUE!</v>
      </c>
      <c r="AD591" s="844" t="e">
        <f>-Tabla1[[#This Row],[PRECIO $ BOLSA 50 KG (IVA INC) ]]*(Tabla1[[#This Row],[TASA FINANCIACION MENSUAL]]/365)*Tabla1[[#This Row],[PLAZO ENTREGA VALORES]]</f>
        <v>#VALUE!</v>
      </c>
      <c r="AE591" s="845" t="e">
        <f>SUM(Tabla1[[#This Row],[PRECIO $ BOLSA50 KG  FOB TUCUMAN A PLAZO (IVA INC)]]+Tabla1[[#This Row],[GASTOS FINANCIEROS $ BOLSA 50 KG (IVA INC)]])</f>
        <v>#VALUE!</v>
      </c>
      <c r="AF591" s="828"/>
      <c r="AG591" s="828"/>
      <c r="AH591" s="828"/>
      <c r="AI591" s="828"/>
      <c r="AJ59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91" s="846" t="e">
        <f>SUM(Tabla1[[#This Row],[PRECIO $ BOLSA 50KG  FOB CDO TUC (IVA INC)]]-Tabla1[[#This Row],[PRECIO REF $ BOLSA 50 KG CACTU (IVA INC)]])</f>
        <v>#VALUE!</v>
      </c>
      <c r="AL591" s="847" t="str">
        <f>IFERROR(Tabla1[[#This Row],[PRECIO $ BOLSA 50KG  FOB CDO TUC (IVA INC)]]/Tabla1[[#This Row],[PRECIO REF $ BOLSA 50 KG CACTU (IVA INC)]]-1,"")</f>
        <v/>
      </c>
      <c r="AM591" s="846" t="e">
        <f>+Tabla1[[#This Row],[DIF $ PRECIO NETO INDUSTRIA vs Neto TUCUMAN (IVA INC)]]*Tabla1[[#This Row],[Q Bolsas Equivalentes 50kg]]</f>
        <v>#VALUE!</v>
      </c>
      <c r="AN591" s="846" t="e">
        <f>Tabla1[[#This Row],[PRECIO REF $ BOLSA 50 KG CACTU (IVA INC)]]*Tabla1[[#This Row],[Q Bolsas Equivalentes 50kg]]</f>
        <v>#VALUE!</v>
      </c>
      <c r="AO591" s="846" t="e">
        <f>+Tabla1[[#This Row],[PRECIO $ BOLSA 50KG  FOB CDO TUC (IVA INC)]]*Tabla1[[#This Row],[Q Bolsas Equivalentes 50kg]]</f>
        <v>#VALUE!</v>
      </c>
      <c r="AP591" s="847"/>
      <c r="AQ591" s="846">
        <v>0</v>
      </c>
      <c r="AR591" s="828"/>
      <c r="AS591" s="849"/>
      <c r="AT591" s="923">
        <f>+Tabla1[[#This Row],[VENTA TOTAL $ (IVA INC) ]]-(SUM(Tabla1[[#This Row],[PENDIENTE DE ENTREGA]:[VALORES COBRADOS]]))</f>
        <v>0</v>
      </c>
      <c r="AU591" s="850" t="e">
        <f>VLOOKUP(Tabla1[[#This Row],[FECHA OC]],'TIPO DE CAMBIO'!A:B,2,TRUE)</f>
        <v>#N/A</v>
      </c>
      <c r="AV591" s="850" t="e">
        <f>+Tabla1[[#This Row],[SUBTOTAL]]/Tabla1[[#This Row],[TIPO DE CAMBIO]]</f>
        <v>#N/A</v>
      </c>
      <c r="AW591" s="851"/>
      <c r="AX591" s="850" t="str">
        <f>IFERROR(Tabla1[[#This Row],[VENTA TOTAL USD A PLAZO EN CLIENTE  (SIN IVA)]]*(1+Tabla1[[#This Row],[% IVA ]]),"")</f>
        <v/>
      </c>
      <c r="AY591" s="850" t="e">
        <f>+Tabla1[[#This Row],[VENTA TOTAL USD A PLAZO EN CLIENTE  (SIN IVA)]]/Tabla1[[#This Row],[KGS]]*1000</f>
        <v>#N/A</v>
      </c>
      <c r="AZ591" s="850" t="e">
        <f>-Tabla1[[#This Row],[COSTO FLETE $ POR BOLSA 5O KG (SIN IVA)]]*20/Tabla1[[#This Row],[TIPO DE CAMBIO]]</f>
        <v>#N/A</v>
      </c>
      <c r="BA591" s="850" t="e">
        <f>+Tabla1[[#This Row],[GASTOS FINANCIEROS $ BOLSA 50 KG (IVA INC)]]*20/Tabla1[[#This Row],[TIPO DE CAMBIO]]</f>
        <v>#VALUE!</v>
      </c>
      <c r="BB591" s="850" t="e">
        <f>+Tabla1[[#This Row],[PRECIO POR TN USD EN CLIENTE A PLAZO (SIN IVA)]]+Tabla1[[#This Row],[COSTO USD FLETE /TN (SIN IVA)]]+Tabla1[[#This Row],[COSTO FINANCIERO USD POR BOLSA 50KG (IVA INC)]]</f>
        <v>#N/A</v>
      </c>
      <c r="BC591" s="828"/>
      <c r="BD591" s="944"/>
    </row>
    <row r="592" spans="1:56" ht="15.75" customHeight="1">
      <c r="A592" s="912">
        <v>46266</v>
      </c>
      <c r="B592" s="853"/>
      <c r="C592" s="792"/>
      <c r="D592" s="829">
        <f>+Tabla1[[#This Row],[FECHA Entrega]]</f>
        <v>0</v>
      </c>
      <c r="E592" s="830"/>
      <c r="F592" s="831"/>
      <c r="G592" s="832"/>
      <c r="H592" s="852"/>
      <c r="I592" s="834"/>
      <c r="J592" s="835"/>
      <c r="K592" s="836">
        <f t="shared" si="145"/>
        <v>0</v>
      </c>
      <c r="L59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92" s="837">
        <f t="shared" si="147"/>
        <v>0</v>
      </c>
      <c r="N592" s="838">
        <f>+Tabla1[[#This Row],[VENTA TOTAL $ (IVA INC) ]]</f>
        <v>0</v>
      </c>
      <c r="O592" s="838">
        <v>0</v>
      </c>
      <c r="P592" s="838">
        <v>0</v>
      </c>
      <c r="Q592" s="839">
        <f>+Tabla1[[#This Row],[VENTA TOTAL $ (IVA INC) ]]-Tabla1[[#This Row],[PENDIENTE DE COBRO]]</f>
        <v>0</v>
      </c>
      <c r="R592" s="840">
        <f>+Tabla1[[#This Row],[FECHA FC]]+Tabla1[[#This Row],[PLAZO ENTREGA VALORES]]</f>
        <v>0</v>
      </c>
      <c r="S592" s="840">
        <f>+Tabla1[[#This Row],[FECHA FC]]+Tabla1[[#This Row],[PLAZO PAGO (DIAS)]]</f>
        <v>0</v>
      </c>
      <c r="T592" s="834">
        <f t="shared" ca="1" si="146"/>
        <v>-46181</v>
      </c>
      <c r="U592" s="831"/>
      <c r="V592" s="831"/>
      <c r="W592" s="841">
        <f>+Tabla1[[#This Row],[FECHA VTO VALORES]]+7</f>
        <v>7</v>
      </c>
      <c r="X592" s="830"/>
      <c r="Y592" s="859"/>
      <c r="Z592" s="860">
        <f>Tabla1[[#This Row],[KGS]]/50</f>
        <v>0</v>
      </c>
      <c r="AA59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92" s="844">
        <f>-Tabla1[[#This Row],[COSTO FLETE $ POR BOLSA 5O KG (SIN IVA)]]*1.21-Tabla1[[#This Row],[PRECIO $/ KG A PLAZO EN CLIENTE ( SIN IVA)]]*0.003*1.21*50</f>
        <v>0</v>
      </c>
      <c r="AC592" s="845" t="e">
        <f>SUM(Tabla1[[#This Row],[PRECIO $ BOLSA 50 KG (IVA INC) ]]+Tabla1[[#This Row],[COSTO FLETE $ BOLSA 50 KG (IVA INC)]])</f>
        <v>#VALUE!</v>
      </c>
      <c r="AD592" s="844" t="e">
        <f>-Tabla1[[#This Row],[PRECIO $ BOLSA 50 KG (IVA INC) ]]*(Tabla1[[#This Row],[TASA FINANCIACION MENSUAL]]/365)*Tabla1[[#This Row],[PLAZO ENTREGA VALORES]]</f>
        <v>#VALUE!</v>
      </c>
      <c r="AE592" s="845" t="e">
        <f>SUM(Tabla1[[#This Row],[PRECIO $ BOLSA50 KG  FOB TUCUMAN A PLAZO (IVA INC)]]+Tabla1[[#This Row],[GASTOS FINANCIEROS $ BOLSA 50 KG (IVA INC)]])</f>
        <v>#VALUE!</v>
      </c>
      <c r="AF592" s="828"/>
      <c r="AG592" s="828"/>
      <c r="AH592" s="828"/>
      <c r="AI592" s="828"/>
      <c r="AJ59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92" s="846" t="e">
        <f>SUM(Tabla1[[#This Row],[PRECIO $ BOLSA 50KG  FOB CDO TUC (IVA INC)]]-Tabla1[[#This Row],[PRECIO REF $ BOLSA 50 KG CACTU (IVA INC)]])</f>
        <v>#VALUE!</v>
      </c>
      <c r="AL592" s="847" t="str">
        <f>IFERROR(Tabla1[[#This Row],[PRECIO $ BOLSA 50KG  FOB CDO TUC (IVA INC)]]/Tabla1[[#This Row],[PRECIO REF $ BOLSA 50 KG CACTU (IVA INC)]]-1,"")</f>
        <v/>
      </c>
      <c r="AM592" s="846" t="e">
        <f>+Tabla1[[#This Row],[DIF $ PRECIO NETO INDUSTRIA vs Neto TUCUMAN (IVA INC)]]*Tabla1[[#This Row],[Q Bolsas Equivalentes 50kg]]</f>
        <v>#VALUE!</v>
      </c>
      <c r="AN592" s="846" t="e">
        <f>Tabla1[[#This Row],[PRECIO REF $ BOLSA 50 KG CACTU (IVA INC)]]*Tabla1[[#This Row],[Q Bolsas Equivalentes 50kg]]</f>
        <v>#VALUE!</v>
      </c>
      <c r="AO592" s="846" t="e">
        <f>+Tabla1[[#This Row],[PRECIO $ BOLSA 50KG  FOB CDO TUC (IVA INC)]]*Tabla1[[#This Row],[Q Bolsas Equivalentes 50kg]]</f>
        <v>#VALUE!</v>
      </c>
      <c r="AP592" s="847"/>
      <c r="AQ592" s="846">
        <v>0</v>
      </c>
      <c r="AR592" s="828"/>
      <c r="AS592" s="849"/>
      <c r="AT592" s="923">
        <f>+Tabla1[[#This Row],[VENTA TOTAL $ (IVA INC) ]]-(SUM(Tabla1[[#This Row],[PENDIENTE DE ENTREGA]:[VALORES COBRADOS]]))</f>
        <v>0</v>
      </c>
      <c r="AU592" s="850" t="e">
        <f>VLOOKUP(Tabla1[[#This Row],[FECHA OC]],'TIPO DE CAMBIO'!A:B,2,TRUE)</f>
        <v>#N/A</v>
      </c>
      <c r="AV592" s="850" t="e">
        <f>+Tabla1[[#This Row],[SUBTOTAL]]/Tabla1[[#This Row],[TIPO DE CAMBIO]]</f>
        <v>#N/A</v>
      </c>
      <c r="AW592" s="851"/>
      <c r="AX592" s="850" t="str">
        <f>IFERROR(Tabla1[[#This Row],[VENTA TOTAL USD A PLAZO EN CLIENTE  (SIN IVA)]]*(1+Tabla1[[#This Row],[% IVA ]]),"")</f>
        <v/>
      </c>
      <c r="AY592" s="850" t="e">
        <f>+Tabla1[[#This Row],[VENTA TOTAL USD A PLAZO EN CLIENTE  (SIN IVA)]]/Tabla1[[#This Row],[KGS]]*1000</f>
        <v>#N/A</v>
      </c>
      <c r="AZ592" s="850" t="e">
        <f>-Tabla1[[#This Row],[COSTO FLETE $ POR BOLSA 5O KG (SIN IVA)]]*20/Tabla1[[#This Row],[TIPO DE CAMBIO]]</f>
        <v>#N/A</v>
      </c>
      <c r="BA592" s="850" t="e">
        <f>+Tabla1[[#This Row],[GASTOS FINANCIEROS $ BOLSA 50 KG (IVA INC)]]*20/Tabla1[[#This Row],[TIPO DE CAMBIO]]</f>
        <v>#VALUE!</v>
      </c>
      <c r="BB592" s="850" t="e">
        <f>+Tabla1[[#This Row],[PRECIO POR TN USD EN CLIENTE A PLAZO (SIN IVA)]]+Tabla1[[#This Row],[COSTO USD FLETE /TN (SIN IVA)]]+Tabla1[[#This Row],[COSTO FINANCIERO USD POR BOLSA 50KG (IVA INC)]]</f>
        <v>#N/A</v>
      </c>
      <c r="BC592" s="828"/>
      <c r="BD592" s="944"/>
    </row>
    <row r="593" spans="1:56" ht="15.75" customHeight="1">
      <c r="A593" s="912">
        <v>46266</v>
      </c>
      <c r="B593" s="853"/>
      <c r="C593" s="792"/>
      <c r="D593" s="829">
        <f>+Tabla1[[#This Row],[FECHA Entrega]]</f>
        <v>0</v>
      </c>
      <c r="E593" s="830"/>
      <c r="F593" s="831"/>
      <c r="G593" s="832"/>
      <c r="H593" s="852"/>
      <c r="I593" s="834"/>
      <c r="J593" s="835"/>
      <c r="K593" s="836">
        <f t="shared" si="145"/>
        <v>0</v>
      </c>
      <c r="L59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93" s="837">
        <f t="shared" si="147"/>
        <v>0</v>
      </c>
      <c r="N593" s="838">
        <f>+Tabla1[[#This Row],[VENTA TOTAL $ (IVA INC) ]]</f>
        <v>0</v>
      </c>
      <c r="O593" s="838">
        <v>0</v>
      </c>
      <c r="P593" s="838">
        <v>0</v>
      </c>
      <c r="Q593" s="839">
        <f>+Tabla1[[#This Row],[VENTA TOTAL $ (IVA INC) ]]-Tabla1[[#This Row],[PENDIENTE DE COBRO]]</f>
        <v>0</v>
      </c>
      <c r="R593" s="840">
        <f>+Tabla1[[#This Row],[FECHA FC]]+Tabla1[[#This Row],[PLAZO ENTREGA VALORES]]</f>
        <v>0</v>
      </c>
      <c r="S593" s="840">
        <f>+Tabla1[[#This Row],[FECHA FC]]+Tabla1[[#This Row],[PLAZO PAGO (DIAS)]]</f>
        <v>0</v>
      </c>
      <c r="T593" s="834">
        <f t="shared" ca="1" si="146"/>
        <v>-46181</v>
      </c>
      <c r="U593" s="831"/>
      <c r="V593" s="831"/>
      <c r="W593" s="841">
        <f>+Tabla1[[#This Row],[FECHA VTO VALORES]]+7</f>
        <v>7</v>
      </c>
      <c r="X593" s="830"/>
      <c r="Y593" s="859"/>
      <c r="Z593" s="860">
        <f>Tabla1[[#This Row],[KGS]]/50</f>
        <v>0</v>
      </c>
      <c r="AA59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93" s="844">
        <f>-Tabla1[[#This Row],[COSTO FLETE $ POR BOLSA 5O KG (SIN IVA)]]*1.21-Tabla1[[#This Row],[PRECIO $/ KG A PLAZO EN CLIENTE ( SIN IVA)]]*0.003*1.21*50</f>
        <v>0</v>
      </c>
      <c r="AC593" s="845" t="e">
        <f>SUM(Tabla1[[#This Row],[PRECIO $ BOLSA 50 KG (IVA INC) ]]+Tabla1[[#This Row],[COSTO FLETE $ BOLSA 50 KG (IVA INC)]])</f>
        <v>#VALUE!</v>
      </c>
      <c r="AD593" s="844" t="e">
        <f>-Tabla1[[#This Row],[PRECIO $ BOLSA 50 KG (IVA INC) ]]*(Tabla1[[#This Row],[TASA FINANCIACION MENSUAL]]/365)*Tabla1[[#This Row],[PLAZO ENTREGA VALORES]]</f>
        <v>#VALUE!</v>
      </c>
      <c r="AE593" s="845" t="e">
        <f>SUM(Tabla1[[#This Row],[PRECIO $ BOLSA50 KG  FOB TUCUMAN A PLAZO (IVA INC)]]+Tabla1[[#This Row],[GASTOS FINANCIEROS $ BOLSA 50 KG (IVA INC)]])</f>
        <v>#VALUE!</v>
      </c>
      <c r="AF593" s="828"/>
      <c r="AG593" s="828"/>
      <c r="AH593" s="828"/>
      <c r="AI593" s="828"/>
      <c r="AJ59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93" s="846" t="e">
        <f>SUM(Tabla1[[#This Row],[PRECIO $ BOLSA 50KG  FOB CDO TUC (IVA INC)]]-Tabla1[[#This Row],[PRECIO REF $ BOLSA 50 KG CACTU (IVA INC)]])</f>
        <v>#VALUE!</v>
      </c>
      <c r="AL593" s="847" t="str">
        <f>IFERROR(Tabla1[[#This Row],[PRECIO $ BOLSA 50KG  FOB CDO TUC (IVA INC)]]/Tabla1[[#This Row],[PRECIO REF $ BOLSA 50 KG CACTU (IVA INC)]]-1,"")</f>
        <v/>
      </c>
      <c r="AM593" s="846" t="e">
        <f>+Tabla1[[#This Row],[DIF $ PRECIO NETO INDUSTRIA vs Neto TUCUMAN (IVA INC)]]*Tabla1[[#This Row],[Q Bolsas Equivalentes 50kg]]</f>
        <v>#VALUE!</v>
      </c>
      <c r="AN593" s="846" t="e">
        <f>Tabla1[[#This Row],[PRECIO REF $ BOLSA 50 KG CACTU (IVA INC)]]*Tabla1[[#This Row],[Q Bolsas Equivalentes 50kg]]</f>
        <v>#VALUE!</v>
      </c>
      <c r="AO593" s="846" t="e">
        <f>+Tabla1[[#This Row],[PRECIO $ BOLSA 50KG  FOB CDO TUC (IVA INC)]]*Tabla1[[#This Row],[Q Bolsas Equivalentes 50kg]]</f>
        <v>#VALUE!</v>
      </c>
      <c r="AP593" s="847"/>
      <c r="AQ593" s="846">
        <v>0</v>
      </c>
      <c r="AR593" s="828"/>
      <c r="AS593" s="849"/>
      <c r="AT593" s="923">
        <f>+Tabla1[[#This Row],[VENTA TOTAL $ (IVA INC) ]]-(SUM(Tabla1[[#This Row],[PENDIENTE DE ENTREGA]:[VALORES COBRADOS]]))</f>
        <v>0</v>
      </c>
      <c r="AU593" s="850" t="e">
        <f>VLOOKUP(Tabla1[[#This Row],[FECHA OC]],'TIPO DE CAMBIO'!A:B,2,TRUE)</f>
        <v>#N/A</v>
      </c>
      <c r="AV593" s="850" t="e">
        <f>+Tabla1[[#This Row],[SUBTOTAL]]/Tabla1[[#This Row],[TIPO DE CAMBIO]]</f>
        <v>#N/A</v>
      </c>
      <c r="AW593" s="851"/>
      <c r="AX593" s="850" t="str">
        <f>IFERROR(Tabla1[[#This Row],[VENTA TOTAL USD A PLAZO EN CLIENTE  (SIN IVA)]]*(1+Tabla1[[#This Row],[% IVA ]]),"")</f>
        <v/>
      </c>
      <c r="AY593" s="850" t="e">
        <f>+Tabla1[[#This Row],[VENTA TOTAL USD A PLAZO EN CLIENTE  (SIN IVA)]]/Tabla1[[#This Row],[KGS]]*1000</f>
        <v>#N/A</v>
      </c>
      <c r="AZ593" s="850" t="e">
        <f>-Tabla1[[#This Row],[COSTO FLETE $ POR BOLSA 5O KG (SIN IVA)]]*20/Tabla1[[#This Row],[TIPO DE CAMBIO]]</f>
        <v>#N/A</v>
      </c>
      <c r="BA593" s="850" t="e">
        <f>+Tabla1[[#This Row],[GASTOS FINANCIEROS $ BOLSA 50 KG (IVA INC)]]*20/Tabla1[[#This Row],[TIPO DE CAMBIO]]</f>
        <v>#VALUE!</v>
      </c>
      <c r="BB593" s="850" t="e">
        <f>+Tabla1[[#This Row],[PRECIO POR TN USD EN CLIENTE A PLAZO (SIN IVA)]]+Tabla1[[#This Row],[COSTO USD FLETE /TN (SIN IVA)]]+Tabla1[[#This Row],[COSTO FINANCIERO USD POR BOLSA 50KG (IVA INC)]]</f>
        <v>#N/A</v>
      </c>
      <c r="BC593" s="828"/>
      <c r="BD593" s="944"/>
    </row>
    <row r="594" spans="1:56" ht="15.75" customHeight="1">
      <c r="A594" s="912">
        <v>46266</v>
      </c>
      <c r="B594" s="853"/>
      <c r="C594" s="792"/>
      <c r="D594" s="829">
        <f>+Tabla1[[#This Row],[FECHA Entrega]]</f>
        <v>0</v>
      </c>
      <c r="E594" s="830"/>
      <c r="F594" s="831"/>
      <c r="G594" s="832"/>
      <c r="H594" s="852"/>
      <c r="I594" s="834"/>
      <c r="J594" s="835"/>
      <c r="K594" s="836">
        <f t="shared" si="145"/>
        <v>0</v>
      </c>
      <c r="L59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94" s="837">
        <f t="shared" si="147"/>
        <v>0</v>
      </c>
      <c r="N594" s="838">
        <f>+Tabla1[[#This Row],[VENTA TOTAL $ (IVA INC) ]]</f>
        <v>0</v>
      </c>
      <c r="O594" s="838">
        <v>0</v>
      </c>
      <c r="P594" s="838">
        <v>0</v>
      </c>
      <c r="Q594" s="839">
        <f>+Tabla1[[#This Row],[VENTA TOTAL $ (IVA INC) ]]-Tabla1[[#This Row],[PENDIENTE DE COBRO]]</f>
        <v>0</v>
      </c>
      <c r="R594" s="840">
        <f>+Tabla1[[#This Row],[FECHA FC]]+Tabla1[[#This Row],[PLAZO ENTREGA VALORES]]</f>
        <v>0</v>
      </c>
      <c r="S594" s="840">
        <f>+Tabla1[[#This Row],[FECHA FC]]+Tabla1[[#This Row],[PLAZO PAGO (DIAS)]]</f>
        <v>0</v>
      </c>
      <c r="T594" s="834">
        <f t="shared" ca="1" si="146"/>
        <v>-46181</v>
      </c>
      <c r="U594" s="831"/>
      <c r="V594" s="831"/>
      <c r="W594" s="841">
        <f>+Tabla1[[#This Row],[FECHA VTO VALORES]]+7</f>
        <v>7</v>
      </c>
      <c r="X594" s="830"/>
      <c r="Y594" s="859"/>
      <c r="Z594" s="860">
        <f>Tabla1[[#This Row],[KGS]]/50</f>
        <v>0</v>
      </c>
      <c r="AA59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94" s="844">
        <f>-Tabla1[[#This Row],[COSTO FLETE $ POR BOLSA 5O KG (SIN IVA)]]*1.21-Tabla1[[#This Row],[PRECIO $/ KG A PLAZO EN CLIENTE ( SIN IVA)]]*0.003*1.21*50</f>
        <v>0</v>
      </c>
      <c r="AC594" s="845" t="e">
        <f>SUM(Tabla1[[#This Row],[PRECIO $ BOLSA 50 KG (IVA INC) ]]+Tabla1[[#This Row],[COSTO FLETE $ BOLSA 50 KG (IVA INC)]])</f>
        <v>#VALUE!</v>
      </c>
      <c r="AD594" s="844" t="e">
        <f>-Tabla1[[#This Row],[PRECIO $ BOLSA 50 KG (IVA INC) ]]*(Tabla1[[#This Row],[TASA FINANCIACION MENSUAL]]/365)*Tabla1[[#This Row],[PLAZO ENTREGA VALORES]]</f>
        <v>#VALUE!</v>
      </c>
      <c r="AE594" s="845" t="e">
        <f>SUM(Tabla1[[#This Row],[PRECIO $ BOLSA50 KG  FOB TUCUMAN A PLAZO (IVA INC)]]+Tabla1[[#This Row],[GASTOS FINANCIEROS $ BOLSA 50 KG (IVA INC)]])</f>
        <v>#VALUE!</v>
      </c>
      <c r="AF594" s="828"/>
      <c r="AG594" s="828"/>
      <c r="AH594" s="828"/>
      <c r="AI594" s="828"/>
      <c r="AJ59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94" s="846" t="e">
        <f>SUM(Tabla1[[#This Row],[PRECIO $ BOLSA 50KG  FOB CDO TUC (IVA INC)]]-Tabla1[[#This Row],[PRECIO REF $ BOLSA 50 KG CACTU (IVA INC)]])</f>
        <v>#VALUE!</v>
      </c>
      <c r="AL594" s="847" t="str">
        <f>IFERROR(Tabla1[[#This Row],[PRECIO $ BOLSA 50KG  FOB CDO TUC (IVA INC)]]/Tabla1[[#This Row],[PRECIO REF $ BOLSA 50 KG CACTU (IVA INC)]]-1,"")</f>
        <v/>
      </c>
      <c r="AM594" s="846" t="e">
        <f>+Tabla1[[#This Row],[DIF $ PRECIO NETO INDUSTRIA vs Neto TUCUMAN (IVA INC)]]*Tabla1[[#This Row],[Q Bolsas Equivalentes 50kg]]</f>
        <v>#VALUE!</v>
      </c>
      <c r="AN594" s="846" t="e">
        <f>Tabla1[[#This Row],[PRECIO REF $ BOLSA 50 KG CACTU (IVA INC)]]*Tabla1[[#This Row],[Q Bolsas Equivalentes 50kg]]</f>
        <v>#VALUE!</v>
      </c>
      <c r="AO594" s="846" t="e">
        <f>+Tabla1[[#This Row],[PRECIO $ BOLSA 50KG  FOB CDO TUC (IVA INC)]]*Tabla1[[#This Row],[Q Bolsas Equivalentes 50kg]]</f>
        <v>#VALUE!</v>
      </c>
      <c r="AP594" s="847"/>
      <c r="AQ594" s="846">
        <v>0</v>
      </c>
      <c r="AR594" s="828"/>
      <c r="AS594" s="849"/>
      <c r="AT594" s="923">
        <f>+Tabla1[[#This Row],[VENTA TOTAL $ (IVA INC) ]]-(SUM(Tabla1[[#This Row],[PENDIENTE DE ENTREGA]:[VALORES COBRADOS]]))</f>
        <v>0</v>
      </c>
      <c r="AU594" s="850" t="e">
        <f>VLOOKUP(Tabla1[[#This Row],[FECHA OC]],'TIPO DE CAMBIO'!A:B,2,TRUE)</f>
        <v>#N/A</v>
      </c>
      <c r="AV594" s="850" t="e">
        <f>+Tabla1[[#This Row],[SUBTOTAL]]/Tabla1[[#This Row],[TIPO DE CAMBIO]]</f>
        <v>#N/A</v>
      </c>
      <c r="AW594" s="851"/>
      <c r="AX594" s="850" t="str">
        <f>IFERROR(Tabla1[[#This Row],[VENTA TOTAL USD A PLAZO EN CLIENTE  (SIN IVA)]]*(1+Tabla1[[#This Row],[% IVA ]]),"")</f>
        <v/>
      </c>
      <c r="AY594" s="850" t="e">
        <f>+Tabla1[[#This Row],[VENTA TOTAL USD A PLAZO EN CLIENTE  (SIN IVA)]]/Tabla1[[#This Row],[KGS]]*1000</f>
        <v>#N/A</v>
      </c>
      <c r="AZ594" s="850" t="e">
        <f>-Tabla1[[#This Row],[COSTO FLETE $ POR BOLSA 5O KG (SIN IVA)]]*20/Tabla1[[#This Row],[TIPO DE CAMBIO]]</f>
        <v>#N/A</v>
      </c>
      <c r="BA594" s="850" t="e">
        <f>+Tabla1[[#This Row],[GASTOS FINANCIEROS $ BOLSA 50 KG (IVA INC)]]*20/Tabla1[[#This Row],[TIPO DE CAMBIO]]</f>
        <v>#VALUE!</v>
      </c>
      <c r="BB594" s="850" t="e">
        <f>+Tabla1[[#This Row],[PRECIO POR TN USD EN CLIENTE A PLAZO (SIN IVA)]]+Tabla1[[#This Row],[COSTO USD FLETE /TN (SIN IVA)]]+Tabla1[[#This Row],[COSTO FINANCIERO USD POR BOLSA 50KG (IVA INC)]]</f>
        <v>#N/A</v>
      </c>
      <c r="BC594" s="828"/>
      <c r="BD594" s="944"/>
    </row>
    <row r="595" spans="1:56" ht="15.75" customHeight="1">
      <c r="A595" s="912">
        <v>46266</v>
      </c>
      <c r="B595" s="853"/>
      <c r="C595" s="792"/>
      <c r="D595" s="829">
        <f>+Tabla1[[#This Row],[FECHA Entrega]]</f>
        <v>0</v>
      </c>
      <c r="E595" s="830"/>
      <c r="F595" s="831"/>
      <c r="G595" s="832"/>
      <c r="H595" s="852"/>
      <c r="I595" s="834"/>
      <c r="J595" s="835"/>
      <c r="K595" s="836">
        <f t="shared" si="145"/>
        <v>0</v>
      </c>
      <c r="L59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95" s="837">
        <f t="shared" si="147"/>
        <v>0</v>
      </c>
      <c r="N595" s="838">
        <f>+Tabla1[[#This Row],[VENTA TOTAL $ (IVA INC) ]]</f>
        <v>0</v>
      </c>
      <c r="O595" s="838">
        <v>0</v>
      </c>
      <c r="P595" s="838">
        <v>0</v>
      </c>
      <c r="Q595" s="839">
        <f>+Tabla1[[#This Row],[VENTA TOTAL $ (IVA INC) ]]-Tabla1[[#This Row],[PENDIENTE DE COBRO]]</f>
        <v>0</v>
      </c>
      <c r="R595" s="840">
        <f>+Tabla1[[#This Row],[FECHA FC]]+Tabla1[[#This Row],[PLAZO ENTREGA VALORES]]</f>
        <v>0</v>
      </c>
      <c r="S595" s="840">
        <f>+Tabla1[[#This Row],[FECHA FC]]+Tabla1[[#This Row],[PLAZO PAGO (DIAS)]]</f>
        <v>0</v>
      </c>
      <c r="T595" s="834">
        <f t="shared" ca="1" si="146"/>
        <v>-46181</v>
      </c>
      <c r="U595" s="831"/>
      <c r="V595" s="831"/>
      <c r="W595" s="841">
        <f>+Tabla1[[#This Row],[FECHA VTO VALORES]]+7</f>
        <v>7</v>
      </c>
      <c r="X595" s="830"/>
      <c r="Y595" s="859"/>
      <c r="Z595" s="860">
        <f>Tabla1[[#This Row],[KGS]]/50</f>
        <v>0</v>
      </c>
      <c r="AA59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95" s="844">
        <f>-Tabla1[[#This Row],[COSTO FLETE $ POR BOLSA 5O KG (SIN IVA)]]*1.21-Tabla1[[#This Row],[PRECIO $/ KG A PLAZO EN CLIENTE ( SIN IVA)]]*0.003*1.21*50</f>
        <v>0</v>
      </c>
      <c r="AC595" s="845" t="e">
        <f>SUM(Tabla1[[#This Row],[PRECIO $ BOLSA 50 KG (IVA INC) ]]+Tabla1[[#This Row],[COSTO FLETE $ BOLSA 50 KG (IVA INC)]])</f>
        <v>#VALUE!</v>
      </c>
      <c r="AD595" s="844" t="e">
        <f>-Tabla1[[#This Row],[PRECIO $ BOLSA 50 KG (IVA INC) ]]*(Tabla1[[#This Row],[TASA FINANCIACION MENSUAL]]/365)*Tabla1[[#This Row],[PLAZO ENTREGA VALORES]]</f>
        <v>#VALUE!</v>
      </c>
      <c r="AE595" s="845" t="e">
        <f>SUM(Tabla1[[#This Row],[PRECIO $ BOLSA50 KG  FOB TUCUMAN A PLAZO (IVA INC)]]+Tabla1[[#This Row],[GASTOS FINANCIEROS $ BOLSA 50 KG (IVA INC)]])</f>
        <v>#VALUE!</v>
      </c>
      <c r="AF595" s="828"/>
      <c r="AG595" s="828"/>
      <c r="AH595" s="828"/>
      <c r="AI595" s="828"/>
      <c r="AJ59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95" s="846" t="e">
        <f>SUM(Tabla1[[#This Row],[PRECIO $ BOLSA 50KG  FOB CDO TUC (IVA INC)]]-Tabla1[[#This Row],[PRECIO REF $ BOLSA 50 KG CACTU (IVA INC)]])</f>
        <v>#VALUE!</v>
      </c>
      <c r="AL595" s="847" t="str">
        <f>IFERROR(Tabla1[[#This Row],[PRECIO $ BOLSA 50KG  FOB CDO TUC (IVA INC)]]/Tabla1[[#This Row],[PRECIO REF $ BOLSA 50 KG CACTU (IVA INC)]]-1,"")</f>
        <v/>
      </c>
      <c r="AM595" s="846" t="e">
        <f>+Tabla1[[#This Row],[DIF $ PRECIO NETO INDUSTRIA vs Neto TUCUMAN (IVA INC)]]*Tabla1[[#This Row],[Q Bolsas Equivalentes 50kg]]</f>
        <v>#VALUE!</v>
      </c>
      <c r="AN595" s="846" t="e">
        <f>Tabla1[[#This Row],[PRECIO REF $ BOLSA 50 KG CACTU (IVA INC)]]*Tabla1[[#This Row],[Q Bolsas Equivalentes 50kg]]</f>
        <v>#VALUE!</v>
      </c>
      <c r="AO595" s="846" t="e">
        <f>+Tabla1[[#This Row],[PRECIO $ BOLSA 50KG  FOB CDO TUC (IVA INC)]]*Tabla1[[#This Row],[Q Bolsas Equivalentes 50kg]]</f>
        <v>#VALUE!</v>
      </c>
      <c r="AP595" s="847"/>
      <c r="AQ595" s="846">
        <v>0</v>
      </c>
      <c r="AR595" s="828"/>
      <c r="AS595" s="849"/>
      <c r="AT595" s="923">
        <f>+Tabla1[[#This Row],[VENTA TOTAL $ (IVA INC) ]]-(SUM(Tabla1[[#This Row],[PENDIENTE DE ENTREGA]:[VALORES COBRADOS]]))</f>
        <v>0</v>
      </c>
      <c r="AU595" s="850" t="e">
        <f>VLOOKUP(Tabla1[[#This Row],[FECHA OC]],'TIPO DE CAMBIO'!A:B,2,TRUE)</f>
        <v>#N/A</v>
      </c>
      <c r="AV595" s="850" t="e">
        <f>+Tabla1[[#This Row],[SUBTOTAL]]/Tabla1[[#This Row],[TIPO DE CAMBIO]]</f>
        <v>#N/A</v>
      </c>
      <c r="AW595" s="851"/>
      <c r="AX595" s="850" t="str">
        <f>IFERROR(Tabla1[[#This Row],[VENTA TOTAL USD A PLAZO EN CLIENTE  (SIN IVA)]]*(1+Tabla1[[#This Row],[% IVA ]]),"")</f>
        <v/>
      </c>
      <c r="AY595" s="850" t="e">
        <f>+Tabla1[[#This Row],[VENTA TOTAL USD A PLAZO EN CLIENTE  (SIN IVA)]]/Tabla1[[#This Row],[KGS]]*1000</f>
        <v>#N/A</v>
      </c>
      <c r="AZ595" s="850" t="e">
        <f>-Tabla1[[#This Row],[COSTO FLETE $ POR BOLSA 5O KG (SIN IVA)]]*20/Tabla1[[#This Row],[TIPO DE CAMBIO]]</f>
        <v>#N/A</v>
      </c>
      <c r="BA595" s="850" t="e">
        <f>+Tabla1[[#This Row],[GASTOS FINANCIEROS $ BOLSA 50 KG (IVA INC)]]*20/Tabla1[[#This Row],[TIPO DE CAMBIO]]</f>
        <v>#VALUE!</v>
      </c>
      <c r="BB595" s="850" t="e">
        <f>+Tabla1[[#This Row],[PRECIO POR TN USD EN CLIENTE A PLAZO (SIN IVA)]]+Tabla1[[#This Row],[COSTO USD FLETE /TN (SIN IVA)]]+Tabla1[[#This Row],[COSTO FINANCIERO USD POR BOLSA 50KG (IVA INC)]]</f>
        <v>#N/A</v>
      </c>
      <c r="BC595" s="828"/>
      <c r="BD595" s="944"/>
    </row>
    <row r="596" spans="1:56" ht="15.75" customHeight="1">
      <c r="A596" s="912">
        <v>46266</v>
      </c>
      <c r="B596" s="853"/>
      <c r="C596" s="792"/>
      <c r="D596" s="829">
        <f>+Tabla1[[#This Row],[FECHA Entrega]]</f>
        <v>0</v>
      </c>
      <c r="E596" s="830"/>
      <c r="F596" s="831"/>
      <c r="G596" s="832"/>
      <c r="H596" s="852"/>
      <c r="I596" s="834"/>
      <c r="J596" s="835"/>
      <c r="K596" s="836">
        <f t="shared" si="145"/>
        <v>0</v>
      </c>
      <c r="L59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96" s="837">
        <f t="shared" si="147"/>
        <v>0</v>
      </c>
      <c r="N596" s="838">
        <f>+Tabla1[[#This Row],[VENTA TOTAL $ (IVA INC) ]]</f>
        <v>0</v>
      </c>
      <c r="O596" s="838">
        <v>0</v>
      </c>
      <c r="P596" s="838">
        <v>0</v>
      </c>
      <c r="Q596" s="839">
        <f>+Tabla1[[#This Row],[VENTA TOTAL $ (IVA INC) ]]-Tabla1[[#This Row],[PENDIENTE DE COBRO]]</f>
        <v>0</v>
      </c>
      <c r="R596" s="840">
        <f>+Tabla1[[#This Row],[FECHA FC]]+Tabla1[[#This Row],[PLAZO ENTREGA VALORES]]</f>
        <v>0</v>
      </c>
      <c r="S596" s="840">
        <f>+Tabla1[[#This Row],[FECHA FC]]+Tabla1[[#This Row],[PLAZO PAGO (DIAS)]]</f>
        <v>0</v>
      </c>
      <c r="T596" s="834">
        <f t="shared" ca="1" si="146"/>
        <v>-46181</v>
      </c>
      <c r="U596" s="831"/>
      <c r="V596" s="831"/>
      <c r="W596" s="841">
        <f>+Tabla1[[#This Row],[FECHA VTO VALORES]]+7</f>
        <v>7</v>
      </c>
      <c r="X596" s="830"/>
      <c r="Y596" s="859"/>
      <c r="Z596" s="860">
        <f>Tabla1[[#This Row],[KGS]]/50</f>
        <v>0</v>
      </c>
      <c r="AA59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96" s="844">
        <f>-Tabla1[[#This Row],[COSTO FLETE $ POR BOLSA 5O KG (SIN IVA)]]*1.21-Tabla1[[#This Row],[PRECIO $/ KG A PLAZO EN CLIENTE ( SIN IVA)]]*0.003*1.21*50</f>
        <v>0</v>
      </c>
      <c r="AC596" s="845" t="e">
        <f>SUM(Tabla1[[#This Row],[PRECIO $ BOLSA 50 KG (IVA INC) ]]+Tabla1[[#This Row],[COSTO FLETE $ BOLSA 50 KG (IVA INC)]])</f>
        <v>#VALUE!</v>
      </c>
      <c r="AD596" s="844" t="e">
        <f>-Tabla1[[#This Row],[PRECIO $ BOLSA 50 KG (IVA INC) ]]*(Tabla1[[#This Row],[TASA FINANCIACION MENSUAL]]/365)*Tabla1[[#This Row],[PLAZO ENTREGA VALORES]]</f>
        <v>#VALUE!</v>
      </c>
      <c r="AE596" s="845" t="e">
        <f>SUM(Tabla1[[#This Row],[PRECIO $ BOLSA50 KG  FOB TUCUMAN A PLAZO (IVA INC)]]+Tabla1[[#This Row],[GASTOS FINANCIEROS $ BOLSA 50 KG (IVA INC)]])</f>
        <v>#VALUE!</v>
      </c>
      <c r="AF596" s="828"/>
      <c r="AG596" s="828"/>
      <c r="AH596" s="828"/>
      <c r="AI596" s="828"/>
      <c r="AJ59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96" s="846" t="e">
        <f>SUM(Tabla1[[#This Row],[PRECIO $ BOLSA 50KG  FOB CDO TUC (IVA INC)]]-Tabla1[[#This Row],[PRECIO REF $ BOLSA 50 KG CACTU (IVA INC)]])</f>
        <v>#VALUE!</v>
      </c>
      <c r="AL596" s="847" t="str">
        <f>IFERROR(Tabla1[[#This Row],[PRECIO $ BOLSA 50KG  FOB CDO TUC (IVA INC)]]/Tabla1[[#This Row],[PRECIO REF $ BOLSA 50 KG CACTU (IVA INC)]]-1,"")</f>
        <v/>
      </c>
      <c r="AM596" s="846" t="e">
        <f>+Tabla1[[#This Row],[DIF $ PRECIO NETO INDUSTRIA vs Neto TUCUMAN (IVA INC)]]*Tabla1[[#This Row],[Q Bolsas Equivalentes 50kg]]</f>
        <v>#VALUE!</v>
      </c>
      <c r="AN596" s="846" t="e">
        <f>Tabla1[[#This Row],[PRECIO REF $ BOLSA 50 KG CACTU (IVA INC)]]*Tabla1[[#This Row],[Q Bolsas Equivalentes 50kg]]</f>
        <v>#VALUE!</v>
      </c>
      <c r="AO596" s="846" t="e">
        <f>+Tabla1[[#This Row],[PRECIO $ BOLSA 50KG  FOB CDO TUC (IVA INC)]]*Tabla1[[#This Row],[Q Bolsas Equivalentes 50kg]]</f>
        <v>#VALUE!</v>
      </c>
      <c r="AP596" s="847"/>
      <c r="AQ596" s="846">
        <v>0</v>
      </c>
      <c r="AR596" s="828"/>
      <c r="AS596" s="849"/>
      <c r="AT596" s="923">
        <f>+Tabla1[[#This Row],[VENTA TOTAL $ (IVA INC) ]]-(SUM(Tabla1[[#This Row],[PENDIENTE DE ENTREGA]:[VALORES COBRADOS]]))</f>
        <v>0</v>
      </c>
      <c r="AU596" s="850" t="e">
        <f>VLOOKUP(Tabla1[[#This Row],[FECHA OC]],'TIPO DE CAMBIO'!A:B,2,TRUE)</f>
        <v>#N/A</v>
      </c>
      <c r="AV596" s="850" t="e">
        <f>+Tabla1[[#This Row],[SUBTOTAL]]/Tabla1[[#This Row],[TIPO DE CAMBIO]]</f>
        <v>#N/A</v>
      </c>
      <c r="AW596" s="851"/>
      <c r="AX596" s="850" t="str">
        <f>IFERROR(Tabla1[[#This Row],[VENTA TOTAL USD A PLAZO EN CLIENTE  (SIN IVA)]]*(1+Tabla1[[#This Row],[% IVA ]]),"")</f>
        <v/>
      </c>
      <c r="AY596" s="850" t="e">
        <f>+Tabla1[[#This Row],[VENTA TOTAL USD A PLAZO EN CLIENTE  (SIN IVA)]]/Tabla1[[#This Row],[KGS]]*1000</f>
        <v>#N/A</v>
      </c>
      <c r="AZ596" s="850" t="e">
        <f>-Tabla1[[#This Row],[COSTO FLETE $ POR BOLSA 5O KG (SIN IVA)]]*20/Tabla1[[#This Row],[TIPO DE CAMBIO]]</f>
        <v>#N/A</v>
      </c>
      <c r="BA596" s="850" t="e">
        <f>+Tabla1[[#This Row],[GASTOS FINANCIEROS $ BOLSA 50 KG (IVA INC)]]*20/Tabla1[[#This Row],[TIPO DE CAMBIO]]</f>
        <v>#VALUE!</v>
      </c>
      <c r="BB596" s="850" t="e">
        <f>+Tabla1[[#This Row],[PRECIO POR TN USD EN CLIENTE A PLAZO (SIN IVA)]]+Tabla1[[#This Row],[COSTO USD FLETE /TN (SIN IVA)]]+Tabla1[[#This Row],[COSTO FINANCIERO USD POR BOLSA 50KG (IVA INC)]]</f>
        <v>#N/A</v>
      </c>
      <c r="BC596" s="828"/>
      <c r="BD596" s="944"/>
    </row>
    <row r="597" spans="1:56" ht="15.75" customHeight="1">
      <c r="A597" s="912">
        <v>46296</v>
      </c>
      <c r="B597" s="863"/>
      <c r="C597" s="792"/>
      <c r="D597" s="829">
        <f>+Tabla1[[#This Row],[FECHA Entrega]]</f>
        <v>0</v>
      </c>
      <c r="E597" s="830"/>
      <c r="F597" s="831"/>
      <c r="G597" s="832"/>
      <c r="H597" s="852"/>
      <c r="I597" s="834"/>
      <c r="J597" s="835"/>
      <c r="K597" s="836">
        <f t="shared" si="145"/>
        <v>0</v>
      </c>
      <c r="L59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97" s="837">
        <f t="shared" si="147"/>
        <v>0</v>
      </c>
      <c r="N597" s="838">
        <f>+Tabla1[[#This Row],[VENTA TOTAL $ (IVA INC) ]]</f>
        <v>0</v>
      </c>
      <c r="O597" s="838">
        <v>0</v>
      </c>
      <c r="P597" s="838">
        <v>0</v>
      </c>
      <c r="Q597" s="839">
        <f>+Tabla1[[#This Row],[VENTA TOTAL $ (IVA INC) ]]-Tabla1[[#This Row],[PENDIENTE DE COBRO]]</f>
        <v>0</v>
      </c>
      <c r="R597" s="840">
        <f>+Tabla1[[#This Row],[FECHA FC]]+Tabla1[[#This Row],[PLAZO ENTREGA VALORES]]</f>
        <v>0</v>
      </c>
      <c r="S597" s="840">
        <f>+Tabla1[[#This Row],[FECHA FC]]+Tabla1[[#This Row],[PLAZO PAGO (DIAS)]]</f>
        <v>0</v>
      </c>
      <c r="T597" s="834">
        <f t="shared" ca="1" si="146"/>
        <v>-46181</v>
      </c>
      <c r="U597" s="831"/>
      <c r="V597" s="831"/>
      <c r="W597" s="841">
        <f>+Tabla1[[#This Row],[FECHA VTO VALORES]]+7</f>
        <v>7</v>
      </c>
      <c r="X597" s="830"/>
      <c r="Y597" s="859"/>
      <c r="Z597" s="860">
        <f>Tabla1[[#This Row],[KGS]]/50</f>
        <v>0</v>
      </c>
      <c r="AA59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97" s="844">
        <f>-Tabla1[[#This Row],[COSTO FLETE $ POR BOLSA 5O KG (SIN IVA)]]*1.21-Tabla1[[#This Row],[PRECIO $/ KG A PLAZO EN CLIENTE ( SIN IVA)]]*0.003*1.21*50</f>
        <v>0</v>
      </c>
      <c r="AC597" s="845" t="e">
        <f>SUM(Tabla1[[#This Row],[PRECIO $ BOLSA 50 KG (IVA INC) ]]+Tabla1[[#This Row],[COSTO FLETE $ BOLSA 50 KG (IVA INC)]])</f>
        <v>#VALUE!</v>
      </c>
      <c r="AD597" s="844" t="e">
        <f>-Tabla1[[#This Row],[PRECIO $ BOLSA 50 KG (IVA INC) ]]*(Tabla1[[#This Row],[TASA FINANCIACION MENSUAL]]/365)*Tabla1[[#This Row],[PLAZO ENTREGA VALORES]]</f>
        <v>#VALUE!</v>
      </c>
      <c r="AE597" s="845" t="e">
        <f>SUM(Tabla1[[#This Row],[PRECIO $ BOLSA50 KG  FOB TUCUMAN A PLAZO (IVA INC)]]+Tabla1[[#This Row],[GASTOS FINANCIEROS $ BOLSA 50 KG (IVA INC)]])</f>
        <v>#VALUE!</v>
      </c>
      <c r="AF597" s="828"/>
      <c r="AG597" s="828"/>
      <c r="AH597" s="828"/>
      <c r="AI597" s="828"/>
      <c r="AJ59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97" s="846" t="e">
        <f>SUM(Tabla1[[#This Row],[PRECIO $ BOLSA 50KG  FOB CDO TUC (IVA INC)]]-Tabla1[[#This Row],[PRECIO REF $ BOLSA 50 KG CACTU (IVA INC)]])</f>
        <v>#VALUE!</v>
      </c>
      <c r="AL597" s="847" t="str">
        <f>IFERROR(Tabla1[[#This Row],[PRECIO $ BOLSA 50KG  FOB CDO TUC (IVA INC)]]/Tabla1[[#This Row],[PRECIO REF $ BOLSA 50 KG CACTU (IVA INC)]]-1,"")</f>
        <v/>
      </c>
      <c r="AM597" s="846" t="e">
        <f>+Tabla1[[#This Row],[DIF $ PRECIO NETO INDUSTRIA vs Neto TUCUMAN (IVA INC)]]*Tabla1[[#This Row],[Q Bolsas Equivalentes 50kg]]</f>
        <v>#VALUE!</v>
      </c>
      <c r="AN597" s="846" t="e">
        <f>Tabla1[[#This Row],[PRECIO REF $ BOLSA 50 KG CACTU (IVA INC)]]*Tabla1[[#This Row],[Q Bolsas Equivalentes 50kg]]</f>
        <v>#VALUE!</v>
      </c>
      <c r="AO597" s="846" t="e">
        <f>+Tabla1[[#This Row],[PRECIO $ BOLSA 50KG  FOB CDO TUC (IVA INC)]]*Tabla1[[#This Row],[Q Bolsas Equivalentes 50kg]]</f>
        <v>#VALUE!</v>
      </c>
      <c r="AP597" s="847"/>
      <c r="AQ597" s="846">
        <v>0</v>
      </c>
      <c r="AR597" s="828"/>
      <c r="AS597" s="849"/>
      <c r="AT597" s="923">
        <f>+Tabla1[[#This Row],[VENTA TOTAL $ (IVA INC) ]]-(SUM(Tabla1[[#This Row],[PENDIENTE DE ENTREGA]:[VALORES COBRADOS]]))</f>
        <v>0</v>
      </c>
      <c r="AU597" s="850" t="e">
        <f>VLOOKUP(Tabla1[[#This Row],[FECHA OC]],'TIPO DE CAMBIO'!A:B,2,TRUE)</f>
        <v>#N/A</v>
      </c>
      <c r="AV597" s="850" t="e">
        <f>+Tabla1[[#This Row],[SUBTOTAL]]/Tabla1[[#This Row],[TIPO DE CAMBIO]]</f>
        <v>#N/A</v>
      </c>
      <c r="AW597" s="851"/>
      <c r="AX597" s="850" t="str">
        <f>IFERROR(Tabla1[[#This Row],[VENTA TOTAL USD A PLAZO EN CLIENTE  (SIN IVA)]]*(1+Tabla1[[#This Row],[% IVA ]]),"")</f>
        <v/>
      </c>
      <c r="AY597" s="850" t="e">
        <f>+Tabla1[[#This Row],[VENTA TOTAL USD A PLAZO EN CLIENTE  (SIN IVA)]]/Tabla1[[#This Row],[KGS]]*1000</f>
        <v>#N/A</v>
      </c>
      <c r="AZ597" s="850" t="e">
        <f>-Tabla1[[#This Row],[COSTO FLETE $ POR BOLSA 5O KG (SIN IVA)]]*20/Tabla1[[#This Row],[TIPO DE CAMBIO]]</f>
        <v>#N/A</v>
      </c>
      <c r="BA597" s="850" t="e">
        <f>+Tabla1[[#This Row],[GASTOS FINANCIEROS $ BOLSA 50 KG (IVA INC)]]*20/Tabla1[[#This Row],[TIPO DE CAMBIO]]</f>
        <v>#VALUE!</v>
      </c>
      <c r="BB597" s="850" t="e">
        <f>+Tabla1[[#This Row],[PRECIO POR TN USD EN CLIENTE A PLAZO (SIN IVA)]]+Tabla1[[#This Row],[COSTO USD FLETE /TN (SIN IVA)]]+Tabla1[[#This Row],[COSTO FINANCIERO USD POR BOLSA 50KG (IVA INC)]]</f>
        <v>#N/A</v>
      </c>
      <c r="BC597" s="828"/>
      <c r="BD597" s="944"/>
    </row>
    <row r="598" spans="1:56" ht="15.75" customHeight="1">
      <c r="A598" s="912">
        <v>46296</v>
      </c>
      <c r="B598" s="863"/>
      <c r="C598" s="792"/>
      <c r="D598" s="829">
        <f>+Tabla1[[#This Row],[FECHA Entrega]]</f>
        <v>0</v>
      </c>
      <c r="E598" s="830"/>
      <c r="F598" s="831"/>
      <c r="G598" s="832"/>
      <c r="H598" s="852"/>
      <c r="I598" s="834"/>
      <c r="J598" s="835"/>
      <c r="K598" s="836">
        <f t="shared" si="145"/>
        <v>0</v>
      </c>
      <c r="L59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98" s="837">
        <f t="shared" si="147"/>
        <v>0</v>
      </c>
      <c r="N598" s="838">
        <f>+Tabla1[[#This Row],[VENTA TOTAL $ (IVA INC) ]]</f>
        <v>0</v>
      </c>
      <c r="O598" s="838">
        <v>0</v>
      </c>
      <c r="P598" s="838">
        <v>0</v>
      </c>
      <c r="Q598" s="839">
        <f>+Tabla1[[#This Row],[VENTA TOTAL $ (IVA INC) ]]-Tabla1[[#This Row],[PENDIENTE DE COBRO]]</f>
        <v>0</v>
      </c>
      <c r="R598" s="840">
        <f>+Tabla1[[#This Row],[FECHA FC]]+Tabla1[[#This Row],[PLAZO ENTREGA VALORES]]</f>
        <v>0</v>
      </c>
      <c r="S598" s="840">
        <f>+Tabla1[[#This Row],[FECHA FC]]+Tabla1[[#This Row],[PLAZO PAGO (DIAS)]]</f>
        <v>0</v>
      </c>
      <c r="T598" s="834">
        <f t="shared" ca="1" si="146"/>
        <v>-46181</v>
      </c>
      <c r="U598" s="831"/>
      <c r="V598" s="831"/>
      <c r="W598" s="841">
        <f>+Tabla1[[#This Row],[FECHA VTO VALORES]]+7</f>
        <v>7</v>
      </c>
      <c r="X598" s="830"/>
      <c r="Y598" s="859"/>
      <c r="Z598" s="860">
        <f>Tabla1[[#This Row],[KGS]]/50</f>
        <v>0</v>
      </c>
      <c r="AA59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98" s="844">
        <f>-Tabla1[[#This Row],[COSTO FLETE $ POR BOLSA 5O KG (SIN IVA)]]*1.21-Tabla1[[#This Row],[PRECIO $/ KG A PLAZO EN CLIENTE ( SIN IVA)]]*0.003*1.21*50</f>
        <v>0</v>
      </c>
      <c r="AC598" s="845" t="e">
        <f>SUM(Tabla1[[#This Row],[PRECIO $ BOLSA 50 KG (IVA INC) ]]+Tabla1[[#This Row],[COSTO FLETE $ BOLSA 50 KG (IVA INC)]])</f>
        <v>#VALUE!</v>
      </c>
      <c r="AD598" s="844" t="e">
        <f>-Tabla1[[#This Row],[PRECIO $ BOLSA 50 KG (IVA INC) ]]*(Tabla1[[#This Row],[TASA FINANCIACION MENSUAL]]/365)*Tabla1[[#This Row],[PLAZO ENTREGA VALORES]]</f>
        <v>#VALUE!</v>
      </c>
      <c r="AE598" s="845" t="e">
        <f>SUM(Tabla1[[#This Row],[PRECIO $ BOLSA50 KG  FOB TUCUMAN A PLAZO (IVA INC)]]+Tabla1[[#This Row],[GASTOS FINANCIEROS $ BOLSA 50 KG (IVA INC)]])</f>
        <v>#VALUE!</v>
      </c>
      <c r="AF598" s="828"/>
      <c r="AG598" s="828"/>
      <c r="AH598" s="828"/>
      <c r="AI598" s="828"/>
      <c r="AJ59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98" s="846" t="e">
        <f>SUM(Tabla1[[#This Row],[PRECIO $ BOLSA 50KG  FOB CDO TUC (IVA INC)]]-Tabla1[[#This Row],[PRECIO REF $ BOLSA 50 KG CACTU (IVA INC)]])</f>
        <v>#VALUE!</v>
      </c>
      <c r="AL598" s="847" t="str">
        <f>IFERROR(Tabla1[[#This Row],[PRECIO $ BOLSA 50KG  FOB CDO TUC (IVA INC)]]/Tabla1[[#This Row],[PRECIO REF $ BOLSA 50 KG CACTU (IVA INC)]]-1,"")</f>
        <v/>
      </c>
      <c r="AM598" s="846" t="e">
        <f>+Tabla1[[#This Row],[DIF $ PRECIO NETO INDUSTRIA vs Neto TUCUMAN (IVA INC)]]*Tabla1[[#This Row],[Q Bolsas Equivalentes 50kg]]</f>
        <v>#VALUE!</v>
      </c>
      <c r="AN598" s="846" t="e">
        <f>Tabla1[[#This Row],[PRECIO REF $ BOLSA 50 KG CACTU (IVA INC)]]*Tabla1[[#This Row],[Q Bolsas Equivalentes 50kg]]</f>
        <v>#VALUE!</v>
      </c>
      <c r="AO598" s="846" t="e">
        <f>+Tabla1[[#This Row],[PRECIO $ BOLSA 50KG  FOB CDO TUC (IVA INC)]]*Tabla1[[#This Row],[Q Bolsas Equivalentes 50kg]]</f>
        <v>#VALUE!</v>
      </c>
      <c r="AP598" s="847"/>
      <c r="AQ598" s="846">
        <v>0</v>
      </c>
      <c r="AR598" s="828"/>
      <c r="AS598" s="849"/>
      <c r="AT598" s="923">
        <f>+Tabla1[[#This Row],[VENTA TOTAL $ (IVA INC) ]]-(SUM(Tabla1[[#This Row],[PENDIENTE DE ENTREGA]:[VALORES COBRADOS]]))</f>
        <v>0</v>
      </c>
      <c r="AU598" s="850" t="e">
        <f>VLOOKUP(Tabla1[[#This Row],[FECHA OC]],'TIPO DE CAMBIO'!A:B,2,TRUE)</f>
        <v>#N/A</v>
      </c>
      <c r="AV598" s="850" t="e">
        <f>+Tabla1[[#This Row],[SUBTOTAL]]/Tabla1[[#This Row],[TIPO DE CAMBIO]]</f>
        <v>#N/A</v>
      </c>
      <c r="AW598" s="851"/>
      <c r="AX598" s="850" t="str">
        <f>IFERROR(Tabla1[[#This Row],[VENTA TOTAL USD A PLAZO EN CLIENTE  (SIN IVA)]]*(1+Tabla1[[#This Row],[% IVA ]]),"")</f>
        <v/>
      </c>
      <c r="AY598" s="850" t="e">
        <f>+Tabla1[[#This Row],[VENTA TOTAL USD A PLAZO EN CLIENTE  (SIN IVA)]]/Tabla1[[#This Row],[KGS]]*1000</f>
        <v>#N/A</v>
      </c>
      <c r="AZ598" s="850" t="e">
        <f>-Tabla1[[#This Row],[COSTO FLETE $ POR BOLSA 5O KG (SIN IVA)]]*20/Tabla1[[#This Row],[TIPO DE CAMBIO]]</f>
        <v>#N/A</v>
      </c>
      <c r="BA598" s="850" t="e">
        <f>+Tabla1[[#This Row],[GASTOS FINANCIEROS $ BOLSA 50 KG (IVA INC)]]*20/Tabla1[[#This Row],[TIPO DE CAMBIO]]</f>
        <v>#VALUE!</v>
      </c>
      <c r="BB598" s="850" t="e">
        <f>+Tabla1[[#This Row],[PRECIO POR TN USD EN CLIENTE A PLAZO (SIN IVA)]]+Tabla1[[#This Row],[COSTO USD FLETE /TN (SIN IVA)]]+Tabla1[[#This Row],[COSTO FINANCIERO USD POR BOLSA 50KG (IVA INC)]]</f>
        <v>#N/A</v>
      </c>
      <c r="BC598" s="828"/>
      <c r="BD598" s="944"/>
    </row>
    <row r="599" spans="1:56" ht="15.75" customHeight="1">
      <c r="A599" s="912">
        <v>46296</v>
      </c>
      <c r="B599" s="863"/>
      <c r="C599" s="792"/>
      <c r="D599" s="829">
        <f>+Tabla1[[#This Row],[FECHA Entrega]]</f>
        <v>0</v>
      </c>
      <c r="E599" s="830"/>
      <c r="F599" s="831"/>
      <c r="G599" s="832"/>
      <c r="H599" s="852"/>
      <c r="I599" s="834"/>
      <c r="J599" s="835"/>
      <c r="K599" s="836">
        <f t="shared" si="145"/>
        <v>0</v>
      </c>
      <c r="L59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599" s="837">
        <f t="shared" si="147"/>
        <v>0</v>
      </c>
      <c r="N599" s="838">
        <f>+Tabla1[[#This Row],[VENTA TOTAL $ (IVA INC) ]]</f>
        <v>0</v>
      </c>
      <c r="O599" s="838">
        <v>0</v>
      </c>
      <c r="P599" s="838">
        <v>0</v>
      </c>
      <c r="Q599" s="839">
        <f>+Tabla1[[#This Row],[VENTA TOTAL $ (IVA INC) ]]-Tabla1[[#This Row],[PENDIENTE DE COBRO]]</f>
        <v>0</v>
      </c>
      <c r="R599" s="840">
        <f>+Tabla1[[#This Row],[FECHA FC]]+Tabla1[[#This Row],[PLAZO ENTREGA VALORES]]</f>
        <v>0</v>
      </c>
      <c r="S599" s="840">
        <f>+Tabla1[[#This Row],[FECHA FC]]+Tabla1[[#This Row],[PLAZO PAGO (DIAS)]]</f>
        <v>0</v>
      </c>
      <c r="T599" s="834">
        <f t="shared" ca="1" si="146"/>
        <v>-46181</v>
      </c>
      <c r="U599" s="831"/>
      <c r="V599" s="831"/>
      <c r="W599" s="841">
        <f>+Tabla1[[#This Row],[FECHA VTO VALORES]]+7</f>
        <v>7</v>
      </c>
      <c r="X599" s="830"/>
      <c r="Y599" s="859"/>
      <c r="Z599" s="860">
        <f>Tabla1[[#This Row],[KGS]]/50</f>
        <v>0</v>
      </c>
      <c r="AA59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599" s="844">
        <f>-Tabla1[[#This Row],[COSTO FLETE $ POR BOLSA 5O KG (SIN IVA)]]*1.21-Tabla1[[#This Row],[PRECIO $/ KG A PLAZO EN CLIENTE ( SIN IVA)]]*0.003*1.21*50</f>
        <v>0</v>
      </c>
      <c r="AC599" s="845" t="e">
        <f>SUM(Tabla1[[#This Row],[PRECIO $ BOLSA 50 KG (IVA INC) ]]+Tabla1[[#This Row],[COSTO FLETE $ BOLSA 50 KG (IVA INC)]])</f>
        <v>#VALUE!</v>
      </c>
      <c r="AD599" s="844" t="e">
        <f>-Tabla1[[#This Row],[PRECIO $ BOLSA 50 KG (IVA INC) ]]*(Tabla1[[#This Row],[TASA FINANCIACION MENSUAL]]/365)*Tabla1[[#This Row],[PLAZO ENTREGA VALORES]]</f>
        <v>#VALUE!</v>
      </c>
      <c r="AE599" s="845" t="e">
        <f>SUM(Tabla1[[#This Row],[PRECIO $ BOLSA50 KG  FOB TUCUMAN A PLAZO (IVA INC)]]+Tabla1[[#This Row],[GASTOS FINANCIEROS $ BOLSA 50 KG (IVA INC)]])</f>
        <v>#VALUE!</v>
      </c>
      <c r="AF599" s="828"/>
      <c r="AG599" s="828"/>
      <c r="AH599" s="828"/>
      <c r="AI599" s="828"/>
      <c r="AJ59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599" s="846" t="e">
        <f>SUM(Tabla1[[#This Row],[PRECIO $ BOLSA 50KG  FOB CDO TUC (IVA INC)]]-Tabla1[[#This Row],[PRECIO REF $ BOLSA 50 KG CACTU (IVA INC)]])</f>
        <v>#VALUE!</v>
      </c>
      <c r="AL599" s="847" t="str">
        <f>IFERROR(Tabla1[[#This Row],[PRECIO $ BOLSA 50KG  FOB CDO TUC (IVA INC)]]/Tabla1[[#This Row],[PRECIO REF $ BOLSA 50 KG CACTU (IVA INC)]]-1,"")</f>
        <v/>
      </c>
      <c r="AM599" s="846" t="e">
        <f>+Tabla1[[#This Row],[DIF $ PRECIO NETO INDUSTRIA vs Neto TUCUMAN (IVA INC)]]*Tabla1[[#This Row],[Q Bolsas Equivalentes 50kg]]</f>
        <v>#VALUE!</v>
      </c>
      <c r="AN599" s="846" t="e">
        <f>Tabla1[[#This Row],[PRECIO REF $ BOLSA 50 KG CACTU (IVA INC)]]*Tabla1[[#This Row],[Q Bolsas Equivalentes 50kg]]</f>
        <v>#VALUE!</v>
      </c>
      <c r="AO599" s="846" t="e">
        <f>+Tabla1[[#This Row],[PRECIO $ BOLSA 50KG  FOB CDO TUC (IVA INC)]]*Tabla1[[#This Row],[Q Bolsas Equivalentes 50kg]]</f>
        <v>#VALUE!</v>
      </c>
      <c r="AP599" s="847"/>
      <c r="AQ599" s="846">
        <v>0</v>
      </c>
      <c r="AR599" s="828"/>
      <c r="AS599" s="849"/>
      <c r="AT599" s="923">
        <f>+Tabla1[[#This Row],[VENTA TOTAL $ (IVA INC) ]]-(SUM(Tabla1[[#This Row],[PENDIENTE DE ENTREGA]:[VALORES COBRADOS]]))</f>
        <v>0</v>
      </c>
      <c r="AU599" s="850" t="e">
        <f>VLOOKUP(Tabla1[[#This Row],[FECHA OC]],'TIPO DE CAMBIO'!A:B,2,TRUE)</f>
        <v>#N/A</v>
      </c>
      <c r="AV599" s="850" t="e">
        <f>+Tabla1[[#This Row],[SUBTOTAL]]/Tabla1[[#This Row],[TIPO DE CAMBIO]]</f>
        <v>#N/A</v>
      </c>
      <c r="AW599" s="851"/>
      <c r="AX599" s="850" t="str">
        <f>IFERROR(Tabla1[[#This Row],[VENTA TOTAL USD A PLAZO EN CLIENTE  (SIN IVA)]]*(1+Tabla1[[#This Row],[% IVA ]]),"")</f>
        <v/>
      </c>
      <c r="AY599" s="850" t="e">
        <f>+Tabla1[[#This Row],[VENTA TOTAL USD A PLAZO EN CLIENTE  (SIN IVA)]]/Tabla1[[#This Row],[KGS]]*1000</f>
        <v>#N/A</v>
      </c>
      <c r="AZ599" s="850" t="e">
        <f>-Tabla1[[#This Row],[COSTO FLETE $ POR BOLSA 5O KG (SIN IVA)]]*20/Tabla1[[#This Row],[TIPO DE CAMBIO]]</f>
        <v>#N/A</v>
      </c>
      <c r="BA599" s="850" t="e">
        <f>+Tabla1[[#This Row],[GASTOS FINANCIEROS $ BOLSA 50 KG (IVA INC)]]*20/Tabla1[[#This Row],[TIPO DE CAMBIO]]</f>
        <v>#VALUE!</v>
      </c>
      <c r="BB599" s="850" t="e">
        <f>+Tabla1[[#This Row],[PRECIO POR TN USD EN CLIENTE A PLAZO (SIN IVA)]]+Tabla1[[#This Row],[COSTO USD FLETE /TN (SIN IVA)]]+Tabla1[[#This Row],[COSTO FINANCIERO USD POR BOLSA 50KG (IVA INC)]]</f>
        <v>#N/A</v>
      </c>
      <c r="BC599" s="828"/>
      <c r="BD599" s="944"/>
    </row>
    <row r="600" spans="1:56" ht="15.75" customHeight="1">
      <c r="A600" s="912">
        <v>46296</v>
      </c>
      <c r="B600" s="863"/>
      <c r="C600" s="792"/>
      <c r="D600" s="829">
        <f>+Tabla1[[#This Row],[FECHA Entrega]]</f>
        <v>0</v>
      </c>
      <c r="E600" s="830"/>
      <c r="F600" s="831"/>
      <c r="G600" s="832"/>
      <c r="H600" s="852"/>
      <c r="I600" s="834"/>
      <c r="J600" s="835"/>
      <c r="K600" s="836">
        <f t="shared" si="145"/>
        <v>0</v>
      </c>
      <c r="L60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00" s="837">
        <f t="shared" si="147"/>
        <v>0</v>
      </c>
      <c r="N600" s="838">
        <f>+Tabla1[[#This Row],[VENTA TOTAL $ (IVA INC) ]]</f>
        <v>0</v>
      </c>
      <c r="O600" s="838">
        <v>0</v>
      </c>
      <c r="P600" s="838">
        <v>0</v>
      </c>
      <c r="Q600" s="839">
        <f>+Tabla1[[#This Row],[VENTA TOTAL $ (IVA INC) ]]-Tabla1[[#This Row],[PENDIENTE DE COBRO]]</f>
        <v>0</v>
      </c>
      <c r="R600" s="840">
        <f>+Tabla1[[#This Row],[FECHA FC]]+Tabla1[[#This Row],[PLAZO ENTREGA VALORES]]</f>
        <v>0</v>
      </c>
      <c r="S600" s="840">
        <f>+Tabla1[[#This Row],[FECHA FC]]+Tabla1[[#This Row],[PLAZO PAGO (DIAS)]]</f>
        <v>0</v>
      </c>
      <c r="T600" s="834">
        <f t="shared" ca="1" si="146"/>
        <v>-46181</v>
      </c>
      <c r="U600" s="831"/>
      <c r="V600" s="831"/>
      <c r="W600" s="841">
        <f>+Tabla1[[#This Row],[FECHA VTO VALORES]]+7</f>
        <v>7</v>
      </c>
      <c r="X600" s="830"/>
      <c r="Y600" s="859"/>
      <c r="Z600" s="860">
        <f>Tabla1[[#This Row],[KGS]]/50</f>
        <v>0</v>
      </c>
      <c r="AA60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00" s="844">
        <f>-Tabla1[[#This Row],[COSTO FLETE $ POR BOLSA 5O KG (SIN IVA)]]*1.21-Tabla1[[#This Row],[PRECIO $/ KG A PLAZO EN CLIENTE ( SIN IVA)]]*0.003*1.21*50</f>
        <v>0</v>
      </c>
      <c r="AC600" s="845" t="e">
        <f>SUM(Tabla1[[#This Row],[PRECIO $ BOLSA 50 KG (IVA INC) ]]+Tabla1[[#This Row],[COSTO FLETE $ BOLSA 50 KG (IVA INC)]])</f>
        <v>#VALUE!</v>
      </c>
      <c r="AD600" s="844" t="e">
        <f>-Tabla1[[#This Row],[PRECIO $ BOLSA 50 KG (IVA INC) ]]*(Tabla1[[#This Row],[TASA FINANCIACION MENSUAL]]/365)*Tabla1[[#This Row],[PLAZO ENTREGA VALORES]]</f>
        <v>#VALUE!</v>
      </c>
      <c r="AE600" s="845" t="e">
        <f>SUM(Tabla1[[#This Row],[PRECIO $ BOLSA50 KG  FOB TUCUMAN A PLAZO (IVA INC)]]+Tabla1[[#This Row],[GASTOS FINANCIEROS $ BOLSA 50 KG (IVA INC)]])</f>
        <v>#VALUE!</v>
      </c>
      <c r="AF600" s="828"/>
      <c r="AG600" s="828"/>
      <c r="AH600" s="828"/>
      <c r="AI600" s="828"/>
      <c r="AJ60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00" s="846" t="e">
        <f>SUM(Tabla1[[#This Row],[PRECIO $ BOLSA 50KG  FOB CDO TUC (IVA INC)]]-Tabla1[[#This Row],[PRECIO REF $ BOLSA 50 KG CACTU (IVA INC)]])</f>
        <v>#VALUE!</v>
      </c>
      <c r="AL600" s="847" t="str">
        <f>IFERROR(Tabla1[[#This Row],[PRECIO $ BOLSA 50KG  FOB CDO TUC (IVA INC)]]/Tabla1[[#This Row],[PRECIO REF $ BOLSA 50 KG CACTU (IVA INC)]]-1,"")</f>
        <v/>
      </c>
      <c r="AM600" s="846" t="e">
        <f>+Tabla1[[#This Row],[DIF $ PRECIO NETO INDUSTRIA vs Neto TUCUMAN (IVA INC)]]*Tabla1[[#This Row],[Q Bolsas Equivalentes 50kg]]</f>
        <v>#VALUE!</v>
      </c>
      <c r="AN600" s="846" t="e">
        <f>Tabla1[[#This Row],[PRECIO REF $ BOLSA 50 KG CACTU (IVA INC)]]*Tabla1[[#This Row],[Q Bolsas Equivalentes 50kg]]</f>
        <v>#VALUE!</v>
      </c>
      <c r="AO600" s="846" t="e">
        <f>+Tabla1[[#This Row],[PRECIO $ BOLSA 50KG  FOB CDO TUC (IVA INC)]]*Tabla1[[#This Row],[Q Bolsas Equivalentes 50kg]]</f>
        <v>#VALUE!</v>
      </c>
      <c r="AP600" s="847"/>
      <c r="AQ600" s="846">
        <v>0</v>
      </c>
      <c r="AR600" s="828"/>
      <c r="AS600" s="849"/>
      <c r="AT600" s="923">
        <f>+Tabla1[[#This Row],[VENTA TOTAL $ (IVA INC) ]]-(SUM(Tabla1[[#This Row],[PENDIENTE DE ENTREGA]:[VALORES COBRADOS]]))</f>
        <v>0</v>
      </c>
      <c r="AU600" s="850" t="e">
        <f>VLOOKUP(Tabla1[[#This Row],[FECHA OC]],'TIPO DE CAMBIO'!A:B,2,TRUE)</f>
        <v>#N/A</v>
      </c>
      <c r="AV600" s="850" t="e">
        <f>+Tabla1[[#This Row],[SUBTOTAL]]/Tabla1[[#This Row],[TIPO DE CAMBIO]]</f>
        <v>#N/A</v>
      </c>
      <c r="AW600" s="851"/>
      <c r="AX600" s="850" t="str">
        <f>IFERROR(Tabla1[[#This Row],[VENTA TOTAL USD A PLAZO EN CLIENTE  (SIN IVA)]]*(1+Tabla1[[#This Row],[% IVA ]]),"")</f>
        <v/>
      </c>
      <c r="AY600" s="850" t="e">
        <f>+Tabla1[[#This Row],[VENTA TOTAL USD A PLAZO EN CLIENTE  (SIN IVA)]]/Tabla1[[#This Row],[KGS]]*1000</f>
        <v>#N/A</v>
      </c>
      <c r="AZ600" s="850" t="e">
        <f>-Tabla1[[#This Row],[COSTO FLETE $ POR BOLSA 5O KG (SIN IVA)]]*20/Tabla1[[#This Row],[TIPO DE CAMBIO]]</f>
        <v>#N/A</v>
      </c>
      <c r="BA600" s="850" t="e">
        <f>+Tabla1[[#This Row],[GASTOS FINANCIEROS $ BOLSA 50 KG (IVA INC)]]*20/Tabla1[[#This Row],[TIPO DE CAMBIO]]</f>
        <v>#VALUE!</v>
      </c>
      <c r="BB600" s="850" t="e">
        <f>+Tabla1[[#This Row],[PRECIO POR TN USD EN CLIENTE A PLAZO (SIN IVA)]]+Tabla1[[#This Row],[COSTO USD FLETE /TN (SIN IVA)]]+Tabla1[[#This Row],[COSTO FINANCIERO USD POR BOLSA 50KG (IVA INC)]]</f>
        <v>#N/A</v>
      </c>
      <c r="BC600" s="828"/>
      <c r="BD600" s="944"/>
    </row>
    <row r="601" spans="1:56" ht="15.75" customHeight="1">
      <c r="A601" s="912">
        <v>46296</v>
      </c>
      <c r="B601" s="863"/>
      <c r="C601" s="792"/>
      <c r="D601" s="829">
        <f>+Tabla1[[#This Row],[FECHA Entrega]]</f>
        <v>0</v>
      </c>
      <c r="E601" s="830"/>
      <c r="F601" s="831"/>
      <c r="G601" s="832"/>
      <c r="H601" s="852"/>
      <c r="I601" s="834"/>
      <c r="J601" s="835"/>
      <c r="K601" s="836">
        <f t="shared" ref="K601:K664" si="148">+J601*I601</f>
        <v>0</v>
      </c>
      <c r="L60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01" s="837">
        <f t="shared" si="147"/>
        <v>0</v>
      </c>
      <c r="N601" s="838">
        <f>+Tabla1[[#This Row],[VENTA TOTAL $ (IVA INC) ]]</f>
        <v>0</v>
      </c>
      <c r="O601" s="838">
        <v>0</v>
      </c>
      <c r="P601" s="838">
        <v>0</v>
      </c>
      <c r="Q601" s="839">
        <f>+Tabla1[[#This Row],[VENTA TOTAL $ (IVA INC) ]]</f>
        <v>0</v>
      </c>
      <c r="R601" s="840">
        <f>+Tabla1[[#This Row],[FECHA FC]]+Tabla1[[#This Row],[PLAZO ENTREGA VALORES]]</f>
        <v>0</v>
      </c>
      <c r="S601" s="840">
        <f>+Tabla1[[#This Row],[FECHA FC]]+Tabla1[[#This Row],[PLAZO PAGO (DIAS)]]</f>
        <v>0</v>
      </c>
      <c r="T601" s="834">
        <f t="shared" ref="T601:T664" ca="1" si="149">+S601-$U$2</f>
        <v>-46181</v>
      </c>
      <c r="U601" s="831"/>
      <c r="V601" s="831"/>
      <c r="W601" s="841">
        <f>+Tabla1[[#This Row],[FECHA VTO VALORES]]+7</f>
        <v>7</v>
      </c>
      <c r="X601" s="830"/>
      <c r="Y601" s="859"/>
      <c r="Z601" s="860">
        <f>Tabla1[[#This Row],[KGS]]/50</f>
        <v>0</v>
      </c>
      <c r="AA60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01" s="844">
        <f>-Tabla1[[#This Row],[COSTO FLETE $ POR BOLSA 5O KG (SIN IVA)]]*1.21-Tabla1[[#This Row],[PRECIO $/ KG A PLAZO EN CLIENTE ( SIN IVA)]]*0.003*1.21*50</f>
        <v>0</v>
      </c>
      <c r="AC601" s="845" t="e">
        <f>SUM(Tabla1[[#This Row],[PRECIO $ BOLSA 50 KG (IVA INC) ]]+Tabla1[[#This Row],[COSTO FLETE $ BOLSA 50 KG (IVA INC)]])</f>
        <v>#VALUE!</v>
      </c>
      <c r="AD601" s="844" t="e">
        <f>-Tabla1[[#This Row],[PRECIO $ BOLSA 50 KG (IVA INC) ]]*(Tabla1[[#This Row],[TASA FINANCIACION MENSUAL]]/365)*Tabla1[[#This Row],[PLAZO ENTREGA VALORES]]</f>
        <v>#VALUE!</v>
      </c>
      <c r="AE601" s="845" t="e">
        <f>SUM(Tabla1[[#This Row],[PRECIO $ BOLSA50 KG  FOB TUCUMAN A PLAZO (IVA INC)]]+Tabla1[[#This Row],[GASTOS FINANCIEROS $ BOLSA 50 KG (IVA INC)]])</f>
        <v>#VALUE!</v>
      </c>
      <c r="AF601" s="828"/>
      <c r="AG601" s="828"/>
      <c r="AH601" s="828"/>
      <c r="AI601" s="828"/>
      <c r="AJ60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01" s="846" t="e">
        <f>SUM(Tabla1[[#This Row],[PRECIO $ BOLSA 50KG  FOB CDO TUC (IVA INC)]]-Tabla1[[#This Row],[PRECIO REF $ BOLSA 50 KG CACTU (IVA INC)]])</f>
        <v>#VALUE!</v>
      </c>
      <c r="AL601" s="847" t="str">
        <f>IFERROR(Tabla1[[#This Row],[PRECIO $ BOLSA 50KG  FOB CDO TUC (IVA INC)]]/Tabla1[[#This Row],[PRECIO REF $ BOLSA 50 KG CACTU (IVA INC)]]-1,"")</f>
        <v/>
      </c>
      <c r="AM601" s="846" t="e">
        <f>+Tabla1[[#This Row],[DIF $ PRECIO NETO INDUSTRIA vs Neto TUCUMAN (IVA INC)]]*Tabla1[[#This Row],[Q Bolsas Equivalentes 50kg]]</f>
        <v>#VALUE!</v>
      </c>
      <c r="AN601" s="846" t="e">
        <f>Tabla1[[#This Row],[PRECIO REF $ BOLSA 50 KG CACTU (IVA INC)]]*Tabla1[[#This Row],[Q Bolsas Equivalentes 50kg]]</f>
        <v>#VALUE!</v>
      </c>
      <c r="AO601" s="846" t="e">
        <f>+Tabla1[[#This Row],[PRECIO $ BOLSA 50KG  FOB CDO TUC (IVA INC)]]*Tabla1[[#This Row],[Q Bolsas Equivalentes 50kg]]</f>
        <v>#VALUE!</v>
      </c>
      <c r="AP601" s="847"/>
      <c r="AQ601" s="846">
        <v>0</v>
      </c>
      <c r="AR601" s="828"/>
      <c r="AS601" s="849"/>
      <c r="AT601" s="923">
        <f>+Tabla1[[#This Row],[VENTA TOTAL $ (IVA INC) ]]-(SUM(Tabla1[[#This Row],[PENDIENTE DE ENTREGA]:[VALORES COBRADOS]]))</f>
        <v>0</v>
      </c>
      <c r="AU601" s="850" t="e">
        <f>VLOOKUP(Tabla1[[#This Row],[FECHA OC]],'TIPO DE CAMBIO'!A:B,2,TRUE)</f>
        <v>#N/A</v>
      </c>
      <c r="AV601" s="850" t="e">
        <f>+Tabla1[[#This Row],[SUBTOTAL]]/Tabla1[[#This Row],[TIPO DE CAMBIO]]</f>
        <v>#N/A</v>
      </c>
      <c r="AW601" s="851"/>
      <c r="AX601" s="850" t="str">
        <f>IFERROR(Tabla1[[#This Row],[VENTA TOTAL USD A PLAZO EN CLIENTE  (SIN IVA)]]*(1+Tabla1[[#This Row],[% IVA ]]),"")</f>
        <v/>
      </c>
      <c r="AY601" s="850" t="e">
        <f>+Tabla1[[#This Row],[VENTA TOTAL USD A PLAZO EN CLIENTE  (SIN IVA)]]/Tabla1[[#This Row],[KGS]]*1000</f>
        <v>#N/A</v>
      </c>
      <c r="AZ601" s="850" t="e">
        <f>-Tabla1[[#This Row],[COSTO FLETE $ POR BOLSA 5O KG (SIN IVA)]]*20/Tabla1[[#This Row],[TIPO DE CAMBIO]]</f>
        <v>#N/A</v>
      </c>
      <c r="BA601" s="850" t="e">
        <f>+Tabla1[[#This Row],[GASTOS FINANCIEROS $ BOLSA 50 KG (IVA INC)]]*20/Tabla1[[#This Row],[TIPO DE CAMBIO]]</f>
        <v>#VALUE!</v>
      </c>
      <c r="BB601" s="850" t="e">
        <f>+Tabla1[[#This Row],[PRECIO POR TN USD EN CLIENTE A PLAZO (SIN IVA)]]+Tabla1[[#This Row],[COSTO USD FLETE /TN (SIN IVA)]]+Tabla1[[#This Row],[COSTO FINANCIERO USD POR BOLSA 50KG (IVA INC)]]</f>
        <v>#N/A</v>
      </c>
      <c r="BC601" s="828"/>
      <c r="BD601" s="944"/>
    </row>
    <row r="602" spans="1:56" ht="15.75" customHeight="1">
      <c r="A602" s="912">
        <v>46296</v>
      </c>
      <c r="B602" s="863"/>
      <c r="C602" s="792"/>
      <c r="D602" s="829">
        <f>+Tabla1[[#This Row],[FECHA Entrega]]</f>
        <v>0</v>
      </c>
      <c r="E602" s="830"/>
      <c r="F602" s="831"/>
      <c r="G602" s="832"/>
      <c r="H602" s="852"/>
      <c r="I602" s="834"/>
      <c r="J602" s="835"/>
      <c r="K602" s="836">
        <f t="shared" si="148"/>
        <v>0</v>
      </c>
      <c r="L60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02" s="837">
        <f t="shared" si="147"/>
        <v>0</v>
      </c>
      <c r="N602" s="838">
        <f>+Tabla1[[#This Row],[VENTA TOTAL $ (IVA INC) ]]</f>
        <v>0</v>
      </c>
      <c r="O602" s="838">
        <v>0</v>
      </c>
      <c r="P602" s="838">
        <v>0</v>
      </c>
      <c r="Q602" s="839">
        <f>+Tabla1[[#This Row],[VENTA TOTAL $ (IVA INC) ]]-Tabla1[[#This Row],[PENDIENTE DE COBRO]]</f>
        <v>0</v>
      </c>
      <c r="R602" s="840">
        <f>+Tabla1[[#This Row],[FECHA FC]]+Tabla1[[#This Row],[PLAZO ENTREGA VALORES]]</f>
        <v>0</v>
      </c>
      <c r="S602" s="840">
        <f>+Tabla1[[#This Row],[FECHA FC]]+Tabla1[[#This Row],[PLAZO PAGO (DIAS)]]</f>
        <v>0</v>
      </c>
      <c r="T602" s="834">
        <f t="shared" ca="1" si="149"/>
        <v>-46181</v>
      </c>
      <c r="U602" s="831"/>
      <c r="V602" s="831"/>
      <c r="W602" s="841">
        <f>+Tabla1[[#This Row],[FECHA VTO VALORES]]+7</f>
        <v>7</v>
      </c>
      <c r="X602" s="830"/>
      <c r="Y602" s="859"/>
      <c r="Z602" s="860">
        <f>Tabla1[[#This Row],[KGS]]/50</f>
        <v>0</v>
      </c>
      <c r="AA60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02" s="844">
        <f>-Tabla1[[#This Row],[COSTO FLETE $ POR BOLSA 5O KG (SIN IVA)]]*1.21-Tabla1[[#This Row],[PRECIO $/ KG A PLAZO EN CLIENTE ( SIN IVA)]]*0.003*1.21*50</f>
        <v>0</v>
      </c>
      <c r="AC602" s="845" t="e">
        <f>SUM(Tabla1[[#This Row],[PRECIO $ BOLSA 50 KG (IVA INC) ]]+Tabla1[[#This Row],[COSTO FLETE $ BOLSA 50 KG (IVA INC)]])</f>
        <v>#VALUE!</v>
      </c>
      <c r="AD602" s="844" t="e">
        <f>-Tabla1[[#This Row],[PRECIO $ BOLSA 50 KG (IVA INC) ]]*(Tabla1[[#This Row],[TASA FINANCIACION MENSUAL]]/365)*Tabla1[[#This Row],[PLAZO ENTREGA VALORES]]</f>
        <v>#VALUE!</v>
      </c>
      <c r="AE602" s="845" t="e">
        <f>SUM(Tabla1[[#This Row],[PRECIO $ BOLSA50 KG  FOB TUCUMAN A PLAZO (IVA INC)]]+Tabla1[[#This Row],[GASTOS FINANCIEROS $ BOLSA 50 KG (IVA INC)]])</f>
        <v>#VALUE!</v>
      </c>
      <c r="AF602" s="828"/>
      <c r="AG602" s="828"/>
      <c r="AH602" s="828"/>
      <c r="AI602" s="828"/>
      <c r="AJ60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02" s="846" t="e">
        <f>SUM(Tabla1[[#This Row],[PRECIO $ BOLSA 50KG  FOB CDO TUC (IVA INC)]]-Tabla1[[#This Row],[PRECIO REF $ BOLSA 50 KG CACTU (IVA INC)]])</f>
        <v>#VALUE!</v>
      </c>
      <c r="AL602" s="847" t="str">
        <f>IFERROR(Tabla1[[#This Row],[PRECIO $ BOLSA 50KG  FOB CDO TUC (IVA INC)]]/Tabla1[[#This Row],[PRECIO REF $ BOLSA 50 KG CACTU (IVA INC)]]-1,"")</f>
        <v/>
      </c>
      <c r="AM602" s="846" t="e">
        <f>+Tabla1[[#This Row],[DIF $ PRECIO NETO INDUSTRIA vs Neto TUCUMAN (IVA INC)]]*Tabla1[[#This Row],[Q Bolsas Equivalentes 50kg]]</f>
        <v>#VALUE!</v>
      </c>
      <c r="AN602" s="846" t="e">
        <f>Tabla1[[#This Row],[PRECIO REF $ BOLSA 50 KG CACTU (IVA INC)]]*Tabla1[[#This Row],[Q Bolsas Equivalentes 50kg]]</f>
        <v>#VALUE!</v>
      </c>
      <c r="AO602" s="846" t="e">
        <f>+Tabla1[[#This Row],[PRECIO $ BOLSA 50KG  FOB CDO TUC (IVA INC)]]*Tabla1[[#This Row],[Q Bolsas Equivalentes 50kg]]</f>
        <v>#VALUE!</v>
      </c>
      <c r="AP602" s="847"/>
      <c r="AQ602" s="846">
        <v>0</v>
      </c>
      <c r="AR602" s="828"/>
      <c r="AS602" s="849"/>
      <c r="AT602" s="923">
        <f>+Tabla1[[#This Row],[VENTA TOTAL $ (IVA INC) ]]-(SUM(Tabla1[[#This Row],[PENDIENTE DE ENTREGA]:[VALORES COBRADOS]]))</f>
        <v>0</v>
      </c>
      <c r="AU602" s="850" t="e">
        <f>VLOOKUP(Tabla1[[#This Row],[FECHA OC]],'TIPO DE CAMBIO'!A:B,2,TRUE)</f>
        <v>#N/A</v>
      </c>
      <c r="AV602" s="850" t="e">
        <f>+Tabla1[[#This Row],[SUBTOTAL]]/Tabla1[[#This Row],[TIPO DE CAMBIO]]</f>
        <v>#N/A</v>
      </c>
      <c r="AW602" s="851"/>
      <c r="AX602" s="850" t="str">
        <f>IFERROR(Tabla1[[#This Row],[VENTA TOTAL USD A PLAZO EN CLIENTE  (SIN IVA)]]*(1+Tabla1[[#This Row],[% IVA ]]),"")</f>
        <v/>
      </c>
      <c r="AY602" s="850" t="e">
        <f>+Tabla1[[#This Row],[VENTA TOTAL USD A PLAZO EN CLIENTE  (SIN IVA)]]/Tabla1[[#This Row],[KGS]]*1000</f>
        <v>#N/A</v>
      </c>
      <c r="AZ602" s="850" t="e">
        <f>-Tabla1[[#This Row],[COSTO FLETE $ POR BOLSA 5O KG (SIN IVA)]]*20/Tabla1[[#This Row],[TIPO DE CAMBIO]]</f>
        <v>#N/A</v>
      </c>
      <c r="BA602" s="850" t="e">
        <f>+Tabla1[[#This Row],[GASTOS FINANCIEROS $ BOLSA 50 KG (IVA INC)]]*20/Tabla1[[#This Row],[TIPO DE CAMBIO]]</f>
        <v>#VALUE!</v>
      </c>
      <c r="BB602" s="850" t="e">
        <f>+Tabla1[[#This Row],[PRECIO POR TN USD EN CLIENTE A PLAZO (SIN IVA)]]+Tabla1[[#This Row],[COSTO USD FLETE /TN (SIN IVA)]]+Tabla1[[#This Row],[COSTO FINANCIERO USD POR BOLSA 50KG (IVA INC)]]</f>
        <v>#N/A</v>
      </c>
      <c r="BC602" s="828"/>
      <c r="BD602" s="944"/>
    </row>
    <row r="603" spans="1:56" ht="15.75" customHeight="1">
      <c r="A603" s="912">
        <v>46296</v>
      </c>
      <c r="B603" s="863"/>
      <c r="C603" s="792"/>
      <c r="D603" s="829">
        <f>+Tabla1[[#This Row],[FECHA Entrega]]</f>
        <v>0</v>
      </c>
      <c r="E603" s="830"/>
      <c r="F603" s="831"/>
      <c r="G603" s="832"/>
      <c r="H603" s="852"/>
      <c r="I603" s="834"/>
      <c r="J603" s="835"/>
      <c r="K603" s="836">
        <f t="shared" si="148"/>
        <v>0</v>
      </c>
      <c r="L60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03" s="837">
        <f t="shared" si="147"/>
        <v>0</v>
      </c>
      <c r="N603" s="838">
        <f>+Tabla1[[#This Row],[VENTA TOTAL $ (IVA INC) ]]</f>
        <v>0</v>
      </c>
      <c r="O603" s="838">
        <v>0</v>
      </c>
      <c r="P603" s="838">
        <v>0</v>
      </c>
      <c r="Q603" s="839">
        <f>+Tabla1[[#This Row],[VENTA TOTAL $ (IVA INC) ]]-Tabla1[[#This Row],[PENDIENTE DE COBRO]]</f>
        <v>0</v>
      </c>
      <c r="R603" s="840">
        <f>+Tabla1[[#This Row],[FECHA FC]]+Tabla1[[#This Row],[PLAZO ENTREGA VALORES]]</f>
        <v>0</v>
      </c>
      <c r="S603" s="840">
        <f>+Tabla1[[#This Row],[FECHA FC]]+Tabla1[[#This Row],[PLAZO PAGO (DIAS)]]</f>
        <v>0</v>
      </c>
      <c r="T603" s="834">
        <f t="shared" ca="1" si="149"/>
        <v>-46181</v>
      </c>
      <c r="U603" s="831"/>
      <c r="V603" s="831"/>
      <c r="W603" s="841">
        <f>+Tabla1[[#This Row],[FECHA VTO VALORES]]+7</f>
        <v>7</v>
      </c>
      <c r="X603" s="830"/>
      <c r="Y603" s="859"/>
      <c r="Z603" s="860">
        <f>Tabla1[[#This Row],[KGS]]/50</f>
        <v>0</v>
      </c>
      <c r="AA60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03" s="844">
        <f>-Tabla1[[#This Row],[COSTO FLETE $ POR BOLSA 5O KG (SIN IVA)]]*1.21-Tabla1[[#This Row],[PRECIO $/ KG A PLAZO EN CLIENTE ( SIN IVA)]]*0.003*1.21*50</f>
        <v>0</v>
      </c>
      <c r="AC603" s="845" t="e">
        <f>SUM(Tabla1[[#This Row],[PRECIO $ BOLSA 50 KG (IVA INC) ]]+Tabla1[[#This Row],[COSTO FLETE $ BOLSA 50 KG (IVA INC)]])</f>
        <v>#VALUE!</v>
      </c>
      <c r="AD603" s="844" t="e">
        <f>-Tabla1[[#This Row],[PRECIO $ BOLSA 50 KG (IVA INC) ]]*(Tabla1[[#This Row],[TASA FINANCIACION MENSUAL]]/365)*Tabla1[[#This Row],[PLAZO ENTREGA VALORES]]</f>
        <v>#VALUE!</v>
      </c>
      <c r="AE603" s="845" t="e">
        <f>SUM(Tabla1[[#This Row],[PRECIO $ BOLSA50 KG  FOB TUCUMAN A PLAZO (IVA INC)]]+Tabla1[[#This Row],[GASTOS FINANCIEROS $ BOLSA 50 KG (IVA INC)]])</f>
        <v>#VALUE!</v>
      </c>
      <c r="AF603" s="828"/>
      <c r="AG603" s="828"/>
      <c r="AH603" s="828"/>
      <c r="AI603" s="828"/>
      <c r="AJ60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03" s="846" t="e">
        <f>SUM(Tabla1[[#This Row],[PRECIO $ BOLSA 50KG  FOB CDO TUC (IVA INC)]]-Tabla1[[#This Row],[PRECIO REF $ BOLSA 50 KG CACTU (IVA INC)]])</f>
        <v>#VALUE!</v>
      </c>
      <c r="AL603" s="847" t="str">
        <f>IFERROR(Tabla1[[#This Row],[PRECIO $ BOLSA 50KG  FOB CDO TUC (IVA INC)]]/Tabla1[[#This Row],[PRECIO REF $ BOLSA 50 KG CACTU (IVA INC)]]-1,"")</f>
        <v/>
      </c>
      <c r="AM603" s="846" t="e">
        <f>+Tabla1[[#This Row],[DIF $ PRECIO NETO INDUSTRIA vs Neto TUCUMAN (IVA INC)]]*Tabla1[[#This Row],[Q Bolsas Equivalentes 50kg]]</f>
        <v>#VALUE!</v>
      </c>
      <c r="AN603" s="846" t="e">
        <f>Tabla1[[#This Row],[PRECIO REF $ BOLSA 50 KG CACTU (IVA INC)]]*Tabla1[[#This Row],[Q Bolsas Equivalentes 50kg]]</f>
        <v>#VALUE!</v>
      </c>
      <c r="AO603" s="846" t="e">
        <f>+Tabla1[[#This Row],[PRECIO $ BOLSA 50KG  FOB CDO TUC (IVA INC)]]*Tabla1[[#This Row],[Q Bolsas Equivalentes 50kg]]</f>
        <v>#VALUE!</v>
      </c>
      <c r="AP603" s="847"/>
      <c r="AQ603" s="846">
        <v>0</v>
      </c>
      <c r="AR603" s="828"/>
      <c r="AS603" s="849"/>
      <c r="AT603" s="923">
        <f>+Tabla1[[#This Row],[VENTA TOTAL $ (IVA INC) ]]-(SUM(Tabla1[[#This Row],[PENDIENTE DE ENTREGA]:[VALORES COBRADOS]]))</f>
        <v>0</v>
      </c>
      <c r="AU603" s="850" t="e">
        <f>VLOOKUP(Tabla1[[#This Row],[FECHA OC]],'TIPO DE CAMBIO'!A:B,2,TRUE)</f>
        <v>#N/A</v>
      </c>
      <c r="AV603" s="850" t="e">
        <f>+Tabla1[[#This Row],[SUBTOTAL]]/Tabla1[[#This Row],[TIPO DE CAMBIO]]</f>
        <v>#N/A</v>
      </c>
      <c r="AW603" s="851"/>
      <c r="AX603" s="850" t="str">
        <f>IFERROR(Tabla1[[#This Row],[VENTA TOTAL USD A PLAZO EN CLIENTE  (SIN IVA)]]*(1+Tabla1[[#This Row],[% IVA ]]),"")</f>
        <v/>
      </c>
      <c r="AY603" s="850" t="e">
        <f>+Tabla1[[#This Row],[VENTA TOTAL USD A PLAZO EN CLIENTE  (SIN IVA)]]/Tabla1[[#This Row],[KGS]]*1000</f>
        <v>#N/A</v>
      </c>
      <c r="AZ603" s="850" t="e">
        <f>-Tabla1[[#This Row],[COSTO FLETE $ POR BOLSA 5O KG (SIN IVA)]]*20/Tabla1[[#This Row],[TIPO DE CAMBIO]]</f>
        <v>#N/A</v>
      </c>
      <c r="BA603" s="850" t="e">
        <f>+Tabla1[[#This Row],[GASTOS FINANCIEROS $ BOLSA 50 KG (IVA INC)]]*20/Tabla1[[#This Row],[TIPO DE CAMBIO]]</f>
        <v>#VALUE!</v>
      </c>
      <c r="BB603" s="850" t="e">
        <f>+Tabla1[[#This Row],[PRECIO POR TN USD EN CLIENTE A PLAZO (SIN IVA)]]+Tabla1[[#This Row],[COSTO USD FLETE /TN (SIN IVA)]]+Tabla1[[#This Row],[COSTO FINANCIERO USD POR BOLSA 50KG (IVA INC)]]</f>
        <v>#N/A</v>
      </c>
      <c r="BC603" s="828"/>
      <c r="BD603" s="944"/>
    </row>
    <row r="604" spans="1:56" ht="15.75" customHeight="1">
      <c r="A604" s="912">
        <v>46296</v>
      </c>
      <c r="B604" s="853"/>
      <c r="C604" s="862"/>
      <c r="D604" s="829">
        <f>+Tabla1[[#This Row],[FECHA Entrega]]</f>
        <v>0</v>
      </c>
      <c r="E604" s="830"/>
      <c r="F604" s="831"/>
      <c r="G604" s="832"/>
      <c r="H604" s="852"/>
      <c r="I604" s="834"/>
      <c r="J604" s="835"/>
      <c r="K604" s="836">
        <f t="shared" si="148"/>
        <v>0</v>
      </c>
      <c r="L60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04" s="837">
        <f t="shared" si="147"/>
        <v>0</v>
      </c>
      <c r="N604" s="838">
        <f>+Tabla1[[#This Row],[VENTA TOTAL $ (IVA INC) ]]</f>
        <v>0</v>
      </c>
      <c r="O604" s="838">
        <v>0</v>
      </c>
      <c r="P604" s="855">
        <v>0</v>
      </c>
      <c r="Q604" s="839">
        <f>+Tabla1[[#This Row],[VENTA TOTAL $ (IVA INC) ]]</f>
        <v>0</v>
      </c>
      <c r="R604" s="840">
        <f>+Tabla1[[#This Row],[FECHA FC]]+Tabla1[[#This Row],[PLAZO ENTREGA VALORES]]</f>
        <v>0</v>
      </c>
      <c r="S604" s="840">
        <f>+Tabla1[[#This Row],[FECHA FC]]+Tabla1[[#This Row],[PLAZO PAGO (DIAS)]]</f>
        <v>0</v>
      </c>
      <c r="T604" s="834">
        <f t="shared" ca="1" si="149"/>
        <v>-46181</v>
      </c>
      <c r="U604" s="831"/>
      <c r="V604" s="831"/>
      <c r="W604" s="841">
        <f>+Tabla1[[#This Row],[FECHA VTO VALORES]]+7</f>
        <v>7</v>
      </c>
      <c r="X604" s="830"/>
      <c r="Y604" s="859"/>
      <c r="Z604" s="860">
        <f>Tabla1[[#This Row],[KGS]]/50</f>
        <v>0</v>
      </c>
      <c r="AA60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04" s="844">
        <f>-Tabla1[[#This Row],[COSTO FLETE $ POR BOLSA 5O KG (SIN IVA)]]*1.21-Tabla1[[#This Row],[PRECIO $/ KG A PLAZO EN CLIENTE ( SIN IVA)]]*0.003*1.21*50</f>
        <v>0</v>
      </c>
      <c r="AC604" s="845" t="e">
        <f>+Tabla1[[#This Row],[PRECIO $ BOLSA 50 KG (IVA INC) ]]+Tabla1[[#This Row],[COSTO FLETE $ BOLSA 50 KG (IVA INC)]]</f>
        <v>#VALUE!</v>
      </c>
      <c r="AD604" s="844" t="e">
        <f>-Tabla1[[#This Row],[PRECIO $ BOLSA 50 KG (IVA INC) ]]*(Tabla1[[#This Row],[TASA FINANCIACION MENSUAL]]/365)*Tabla1[[#This Row],[PLAZO ENTREGA VALORES]]</f>
        <v>#VALUE!</v>
      </c>
      <c r="AE604" s="845" t="e">
        <f>+Tabla1[[#This Row],[PRECIO $ BOLSA50 KG  FOB TUCUMAN A PLAZO (IVA INC)]]+Tabla1[[#This Row],[GASTOS FINANCIEROS $ BOLSA 50 KG (IVA INC)]]</f>
        <v>#VALUE!</v>
      </c>
      <c r="AF604" s="828"/>
      <c r="AG604" s="828"/>
      <c r="AH604" s="828"/>
      <c r="AI604" s="828"/>
      <c r="AJ60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04" s="846" t="e">
        <f>SUM(Tabla1[[#This Row],[PRECIO $ BOLSA 50KG  FOB CDO TUC (IVA INC)]]-Tabla1[[#This Row],[PRECIO REF $ BOLSA 50 KG CACTU (IVA INC)]])</f>
        <v>#VALUE!</v>
      </c>
      <c r="AL604" s="847" t="str">
        <f>IFERROR(Tabla1[[#This Row],[PRECIO $ BOLSA 50KG  FOB CDO TUC (IVA INC)]]/Tabla1[[#This Row],[PRECIO REF $ BOLSA 50 KG CACTU (IVA INC)]]-1,"")</f>
        <v/>
      </c>
      <c r="AM604" s="846" t="e">
        <f>+Tabla1[[#This Row],[DIF $ PRECIO NETO INDUSTRIA vs Neto TUCUMAN (IVA INC)]]*Tabla1[[#This Row],[Q Bolsas Equivalentes 50kg]]</f>
        <v>#VALUE!</v>
      </c>
      <c r="AN604" s="846" t="e">
        <f>Tabla1[[#This Row],[PRECIO REF $ BOLSA 50 KG CACTU (IVA INC)]]*Tabla1[[#This Row],[Q Bolsas Equivalentes 50kg]]</f>
        <v>#VALUE!</v>
      </c>
      <c r="AO604" s="846" t="e">
        <f>+Tabla1[[#This Row],[PRECIO $ BOLSA 50KG  FOB CDO TUC (IVA INC)]]*Tabla1[[#This Row],[Q Bolsas Equivalentes 50kg]]</f>
        <v>#VALUE!</v>
      </c>
      <c r="AP604" s="847"/>
      <c r="AQ604" s="846">
        <v>0</v>
      </c>
      <c r="AR604" s="828"/>
      <c r="AS604" s="849"/>
      <c r="AT604" s="923">
        <f>+Tabla1[[#This Row],[VENTA TOTAL $ (IVA INC) ]]-(SUM(Tabla1[[#This Row],[PENDIENTE DE ENTREGA]:[VALORES COBRADOS]]))</f>
        <v>0</v>
      </c>
      <c r="AU604" s="850" t="e">
        <f>VLOOKUP(Tabla1[[#This Row],[FECHA OC]],'TIPO DE CAMBIO'!A:B,2,TRUE)</f>
        <v>#N/A</v>
      </c>
      <c r="AV604" s="850" t="e">
        <f>+Tabla1[[#This Row],[SUBTOTAL]]/Tabla1[[#This Row],[TIPO DE CAMBIO]]</f>
        <v>#N/A</v>
      </c>
      <c r="AW604" s="851"/>
      <c r="AX604" s="850" t="str">
        <f>IFERROR(Tabla1[[#This Row],[VENTA TOTAL USD A PLAZO EN CLIENTE  (SIN IVA)]]*(1+Tabla1[[#This Row],[% IVA ]]),"")</f>
        <v/>
      </c>
      <c r="AY604" s="850" t="e">
        <f>+Tabla1[[#This Row],[VENTA TOTAL USD A PLAZO EN CLIENTE  (SIN IVA)]]/Tabla1[[#This Row],[KGS]]*1000</f>
        <v>#N/A</v>
      </c>
      <c r="AZ604" s="850" t="e">
        <f>-Tabla1[[#This Row],[COSTO FLETE $ POR BOLSA 5O KG (SIN IVA)]]*20/Tabla1[[#This Row],[TIPO DE CAMBIO]]</f>
        <v>#N/A</v>
      </c>
      <c r="BA604" s="850" t="e">
        <f>+Tabla1[[#This Row],[GASTOS FINANCIEROS $ BOLSA 50 KG (IVA INC)]]*20/Tabla1[[#This Row],[TIPO DE CAMBIO]]</f>
        <v>#VALUE!</v>
      </c>
      <c r="BB604" s="850" t="e">
        <f>+Tabla1[[#This Row],[PRECIO POR TN USD EN CLIENTE A PLAZO (SIN IVA)]]+Tabla1[[#This Row],[COSTO USD FLETE /TN (SIN IVA)]]+Tabla1[[#This Row],[COSTO FINANCIERO USD POR BOLSA 50KG (IVA INC)]]</f>
        <v>#N/A</v>
      </c>
      <c r="BC604" s="828"/>
      <c r="BD604" s="944"/>
    </row>
    <row r="605" spans="1:56" ht="15.75" customHeight="1">
      <c r="A605" s="912">
        <v>46296</v>
      </c>
      <c r="B605" s="853"/>
      <c r="C605" s="862"/>
      <c r="D605" s="829">
        <f>+Tabla1[[#This Row],[FECHA Entrega]]</f>
        <v>0</v>
      </c>
      <c r="E605" s="830"/>
      <c r="F605" s="831"/>
      <c r="G605" s="832"/>
      <c r="H605" s="852"/>
      <c r="I605" s="834"/>
      <c r="J605" s="835"/>
      <c r="K605" s="836">
        <f t="shared" si="148"/>
        <v>0</v>
      </c>
      <c r="L60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05" s="837">
        <f t="shared" si="147"/>
        <v>0</v>
      </c>
      <c r="N605" s="838">
        <f>+Tabla1[[#This Row],[VENTA TOTAL $ (IVA INC) ]]</f>
        <v>0</v>
      </c>
      <c r="O605" s="838">
        <v>0</v>
      </c>
      <c r="P605" s="855">
        <v>0</v>
      </c>
      <c r="Q605" s="839">
        <f>+Tabla1[[#This Row],[VENTA TOTAL $ (IVA INC) ]]-Tabla1[[#This Row],[PENDIENTE DE COBRO]]</f>
        <v>0</v>
      </c>
      <c r="R605" s="840">
        <f>+Tabla1[[#This Row],[FECHA FC]]+Tabla1[[#This Row],[PLAZO ENTREGA VALORES]]</f>
        <v>0</v>
      </c>
      <c r="S605" s="840">
        <f>+Tabla1[[#This Row],[FECHA FC]]+Tabla1[[#This Row],[PLAZO PAGO (DIAS)]]</f>
        <v>0</v>
      </c>
      <c r="T605" s="834">
        <f t="shared" ca="1" si="149"/>
        <v>-46181</v>
      </c>
      <c r="U605" s="831"/>
      <c r="V605" s="831"/>
      <c r="W605" s="841">
        <f>+Tabla1[[#This Row],[FECHA VTO VALORES]]+7</f>
        <v>7</v>
      </c>
      <c r="X605" s="830"/>
      <c r="Y605" s="859"/>
      <c r="Z605" s="860">
        <f>Tabla1[[#This Row],[KGS]]/50</f>
        <v>0</v>
      </c>
      <c r="AA60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05" s="844">
        <f>-Tabla1[[#This Row],[COSTO FLETE $ POR BOLSA 5O KG (SIN IVA)]]*1.21-Tabla1[[#This Row],[PRECIO $/ KG A PLAZO EN CLIENTE ( SIN IVA)]]*0.003*1.21*50</f>
        <v>0</v>
      </c>
      <c r="AC605" s="845" t="e">
        <f>+Tabla1[[#This Row],[PRECIO $ BOLSA 50 KG (IVA INC) ]]+Tabla1[[#This Row],[COSTO FLETE $ BOLSA 50 KG (IVA INC)]]</f>
        <v>#VALUE!</v>
      </c>
      <c r="AD605" s="844" t="e">
        <f>-Tabla1[[#This Row],[PRECIO $ BOLSA 50 KG (IVA INC) ]]*(Tabla1[[#This Row],[TASA FINANCIACION MENSUAL]]/365)*Tabla1[[#This Row],[PLAZO ENTREGA VALORES]]</f>
        <v>#VALUE!</v>
      </c>
      <c r="AE605" s="845" t="e">
        <f>+Tabla1[[#This Row],[PRECIO $ BOLSA50 KG  FOB TUCUMAN A PLAZO (IVA INC)]]+Tabla1[[#This Row],[GASTOS FINANCIEROS $ BOLSA 50 KG (IVA INC)]]</f>
        <v>#VALUE!</v>
      </c>
      <c r="AF605" s="828"/>
      <c r="AG605" s="828"/>
      <c r="AH605" s="828"/>
      <c r="AI605" s="828"/>
      <c r="AJ60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05" s="846" t="e">
        <f>SUM(Tabla1[[#This Row],[PRECIO $ BOLSA 50KG  FOB CDO TUC (IVA INC)]]-Tabla1[[#This Row],[PRECIO REF $ BOLSA 50 KG CACTU (IVA INC)]])</f>
        <v>#VALUE!</v>
      </c>
      <c r="AL605" s="847" t="str">
        <f>IFERROR(Tabla1[[#This Row],[PRECIO $ BOLSA 50KG  FOB CDO TUC (IVA INC)]]/Tabla1[[#This Row],[PRECIO REF $ BOLSA 50 KG CACTU (IVA INC)]]-1,"")</f>
        <v/>
      </c>
      <c r="AM605" s="846" t="e">
        <f>+Tabla1[[#This Row],[DIF $ PRECIO NETO INDUSTRIA vs Neto TUCUMAN (IVA INC)]]*Tabla1[[#This Row],[Q Bolsas Equivalentes 50kg]]</f>
        <v>#VALUE!</v>
      </c>
      <c r="AN605" s="846" t="e">
        <f>Tabla1[[#This Row],[PRECIO REF $ BOLSA 50 KG CACTU (IVA INC)]]*Tabla1[[#This Row],[Q Bolsas Equivalentes 50kg]]</f>
        <v>#VALUE!</v>
      </c>
      <c r="AO605" s="846" t="e">
        <f>+Tabla1[[#This Row],[PRECIO $ BOLSA 50KG  FOB CDO TUC (IVA INC)]]*Tabla1[[#This Row],[Q Bolsas Equivalentes 50kg]]</f>
        <v>#VALUE!</v>
      </c>
      <c r="AP605" s="847"/>
      <c r="AQ605" s="846">
        <v>0</v>
      </c>
      <c r="AR605" s="828"/>
      <c r="AS605" s="849"/>
      <c r="AT605" s="923">
        <f>+Tabla1[[#This Row],[VENTA TOTAL $ (IVA INC) ]]-(SUM(Tabla1[[#This Row],[PENDIENTE DE ENTREGA]:[VALORES COBRADOS]]))</f>
        <v>0</v>
      </c>
      <c r="AU605" s="850" t="e">
        <f>VLOOKUP(Tabla1[[#This Row],[FECHA OC]],'TIPO DE CAMBIO'!A:B,2,TRUE)</f>
        <v>#N/A</v>
      </c>
      <c r="AV605" s="850" t="e">
        <f>+Tabla1[[#This Row],[SUBTOTAL]]/Tabla1[[#This Row],[TIPO DE CAMBIO]]</f>
        <v>#N/A</v>
      </c>
      <c r="AW605" s="851"/>
      <c r="AX605" s="850" t="str">
        <f>IFERROR(Tabla1[[#This Row],[VENTA TOTAL USD A PLAZO EN CLIENTE  (SIN IVA)]]*(1+Tabla1[[#This Row],[% IVA ]]),"")</f>
        <v/>
      </c>
      <c r="AY605" s="850" t="e">
        <f>+Tabla1[[#This Row],[VENTA TOTAL USD A PLAZO EN CLIENTE  (SIN IVA)]]/Tabla1[[#This Row],[KGS]]*1000</f>
        <v>#N/A</v>
      </c>
      <c r="AZ605" s="850" t="e">
        <f>-Tabla1[[#This Row],[COSTO FLETE $ POR BOLSA 5O KG (SIN IVA)]]*20/Tabla1[[#This Row],[TIPO DE CAMBIO]]</f>
        <v>#N/A</v>
      </c>
      <c r="BA605" s="850" t="e">
        <f>+Tabla1[[#This Row],[GASTOS FINANCIEROS $ BOLSA 50 KG (IVA INC)]]*20/Tabla1[[#This Row],[TIPO DE CAMBIO]]</f>
        <v>#VALUE!</v>
      </c>
      <c r="BB605" s="850" t="e">
        <f>+Tabla1[[#This Row],[PRECIO POR TN USD EN CLIENTE A PLAZO (SIN IVA)]]+Tabla1[[#This Row],[COSTO USD FLETE /TN (SIN IVA)]]+Tabla1[[#This Row],[COSTO FINANCIERO USD POR BOLSA 50KG (IVA INC)]]</f>
        <v>#N/A</v>
      </c>
      <c r="BC605" s="828"/>
      <c r="BD605" s="944"/>
    </row>
    <row r="606" spans="1:56" ht="15.75" customHeight="1">
      <c r="A606" s="912">
        <v>46296</v>
      </c>
      <c r="B606" s="863"/>
      <c r="C606" s="792"/>
      <c r="D606" s="829">
        <f>+Tabla1[[#This Row],[FECHA Entrega]]</f>
        <v>0</v>
      </c>
      <c r="E606" s="830"/>
      <c r="F606" s="831"/>
      <c r="G606" s="832"/>
      <c r="H606" s="852"/>
      <c r="I606" s="834"/>
      <c r="J606" s="835"/>
      <c r="K606" s="836">
        <f t="shared" si="148"/>
        <v>0</v>
      </c>
      <c r="L60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06" s="837">
        <f t="shared" si="147"/>
        <v>0</v>
      </c>
      <c r="N606" s="838">
        <f>+Tabla1[[#This Row],[VENTA TOTAL $ (IVA INC) ]]</f>
        <v>0</v>
      </c>
      <c r="O606" s="838">
        <v>0</v>
      </c>
      <c r="P606" s="838">
        <v>0</v>
      </c>
      <c r="Q606" s="839">
        <f>+Tabla1[[#This Row],[VENTA TOTAL $ (IVA INC) ]]-Tabla1[[#This Row],[PENDIENTE DE COBRO]]</f>
        <v>0</v>
      </c>
      <c r="R606" s="840">
        <f>+Tabla1[[#This Row],[FECHA FC]]+Tabla1[[#This Row],[PLAZO ENTREGA VALORES]]</f>
        <v>0</v>
      </c>
      <c r="S606" s="840">
        <f>+Tabla1[[#This Row],[FECHA FC]]+Tabla1[[#This Row],[PLAZO PAGO (DIAS)]]</f>
        <v>0</v>
      </c>
      <c r="T606" s="834">
        <f t="shared" ca="1" si="149"/>
        <v>-46181</v>
      </c>
      <c r="U606" s="831"/>
      <c r="V606" s="831"/>
      <c r="W606" s="841">
        <f>+Tabla1[[#This Row],[FECHA VTO VALORES]]+7</f>
        <v>7</v>
      </c>
      <c r="X606" s="830"/>
      <c r="Y606" s="859"/>
      <c r="Z606" s="860">
        <f>Tabla1[[#This Row],[KGS]]/50</f>
        <v>0</v>
      </c>
      <c r="AA60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06" s="844">
        <f>-Tabla1[[#This Row],[COSTO FLETE $ POR BOLSA 5O KG (SIN IVA)]]*1.21-Tabla1[[#This Row],[PRECIO $/ KG A PLAZO EN CLIENTE ( SIN IVA)]]*0.003*1.21*50</f>
        <v>0</v>
      </c>
      <c r="AC606" s="845" t="e">
        <f>SUM(Tabla1[[#This Row],[PRECIO $ BOLSA 50 KG (IVA INC) ]]+Tabla1[[#This Row],[COSTO FLETE $ BOLSA 50 KG (IVA INC)]])</f>
        <v>#VALUE!</v>
      </c>
      <c r="AD606" s="844" t="e">
        <f>-Tabla1[[#This Row],[PRECIO $ BOLSA 50 KG (IVA INC) ]]*(Tabla1[[#This Row],[TASA FINANCIACION MENSUAL]]/365)*Tabla1[[#This Row],[PLAZO ENTREGA VALORES]]</f>
        <v>#VALUE!</v>
      </c>
      <c r="AE606" s="845" t="e">
        <f>SUM(Tabla1[[#This Row],[PRECIO $ BOLSA50 KG  FOB TUCUMAN A PLAZO (IVA INC)]]+Tabla1[[#This Row],[GASTOS FINANCIEROS $ BOLSA 50 KG (IVA INC)]])</f>
        <v>#VALUE!</v>
      </c>
      <c r="AF606" s="828"/>
      <c r="AG606" s="828"/>
      <c r="AH606" s="828"/>
      <c r="AI606" s="828"/>
      <c r="AJ60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06" s="846" t="e">
        <f>SUM(Tabla1[[#This Row],[PRECIO $ BOLSA 50KG  FOB CDO TUC (IVA INC)]]-Tabla1[[#This Row],[PRECIO REF $ BOLSA 50 KG CACTU (IVA INC)]])</f>
        <v>#VALUE!</v>
      </c>
      <c r="AL606" s="847" t="str">
        <f>IFERROR(Tabla1[[#This Row],[PRECIO $ BOLSA 50KG  FOB CDO TUC (IVA INC)]]/Tabla1[[#This Row],[PRECIO REF $ BOLSA 50 KG CACTU (IVA INC)]]-1,"")</f>
        <v/>
      </c>
      <c r="AM606" s="846" t="e">
        <f>+Tabla1[[#This Row],[DIF $ PRECIO NETO INDUSTRIA vs Neto TUCUMAN (IVA INC)]]*Tabla1[[#This Row],[Q Bolsas Equivalentes 50kg]]</f>
        <v>#VALUE!</v>
      </c>
      <c r="AN606" s="846" t="e">
        <f>Tabla1[[#This Row],[PRECIO REF $ BOLSA 50 KG CACTU (IVA INC)]]*Tabla1[[#This Row],[Q Bolsas Equivalentes 50kg]]</f>
        <v>#VALUE!</v>
      </c>
      <c r="AO606" s="846" t="e">
        <f>+Tabla1[[#This Row],[PRECIO $ BOLSA 50KG  FOB CDO TUC (IVA INC)]]*Tabla1[[#This Row],[Q Bolsas Equivalentes 50kg]]</f>
        <v>#VALUE!</v>
      </c>
      <c r="AP606" s="847"/>
      <c r="AQ606" s="846">
        <v>0</v>
      </c>
      <c r="AR606" s="828"/>
      <c r="AS606" s="849"/>
      <c r="AT606" s="923">
        <f>+Tabla1[[#This Row],[VENTA TOTAL $ (IVA INC) ]]-(SUM(Tabla1[[#This Row],[PENDIENTE DE ENTREGA]:[VALORES COBRADOS]]))</f>
        <v>0</v>
      </c>
      <c r="AU606" s="850" t="e">
        <f>VLOOKUP(Tabla1[[#This Row],[FECHA OC]],'TIPO DE CAMBIO'!A:B,2,TRUE)</f>
        <v>#N/A</v>
      </c>
      <c r="AV606" s="850" t="e">
        <f>+Tabla1[[#This Row],[SUBTOTAL]]/Tabla1[[#This Row],[TIPO DE CAMBIO]]</f>
        <v>#N/A</v>
      </c>
      <c r="AW606" s="851"/>
      <c r="AX606" s="850" t="str">
        <f>IFERROR(Tabla1[[#This Row],[VENTA TOTAL USD A PLAZO EN CLIENTE  (SIN IVA)]]*(1+Tabla1[[#This Row],[% IVA ]]),"")</f>
        <v/>
      </c>
      <c r="AY606" s="850" t="e">
        <f>+Tabla1[[#This Row],[VENTA TOTAL USD A PLAZO EN CLIENTE  (SIN IVA)]]/Tabla1[[#This Row],[KGS]]*1000</f>
        <v>#N/A</v>
      </c>
      <c r="AZ606" s="850" t="e">
        <f>-Tabla1[[#This Row],[COSTO FLETE $ POR BOLSA 5O KG (SIN IVA)]]*20/Tabla1[[#This Row],[TIPO DE CAMBIO]]</f>
        <v>#N/A</v>
      </c>
      <c r="BA606" s="850" t="e">
        <f>+Tabla1[[#This Row],[GASTOS FINANCIEROS $ BOLSA 50 KG (IVA INC)]]*20/Tabla1[[#This Row],[TIPO DE CAMBIO]]</f>
        <v>#VALUE!</v>
      </c>
      <c r="BB606" s="850" t="e">
        <f>+Tabla1[[#This Row],[PRECIO POR TN USD EN CLIENTE A PLAZO (SIN IVA)]]+Tabla1[[#This Row],[COSTO USD FLETE /TN (SIN IVA)]]+Tabla1[[#This Row],[COSTO FINANCIERO USD POR BOLSA 50KG (IVA INC)]]</f>
        <v>#N/A</v>
      </c>
      <c r="BC606" s="828"/>
      <c r="BD606" s="944"/>
    </row>
    <row r="607" spans="1:56" ht="15.75" customHeight="1">
      <c r="A607" s="912">
        <v>46296</v>
      </c>
      <c r="B607" s="863"/>
      <c r="C607" s="792"/>
      <c r="D607" s="829">
        <f>+Tabla1[[#This Row],[FECHA Entrega]]</f>
        <v>0</v>
      </c>
      <c r="E607" s="830"/>
      <c r="F607" s="831"/>
      <c r="G607" s="832"/>
      <c r="H607" s="852"/>
      <c r="I607" s="834"/>
      <c r="J607" s="835"/>
      <c r="K607" s="836">
        <f t="shared" si="148"/>
        <v>0</v>
      </c>
      <c r="L60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07" s="837">
        <f t="shared" si="147"/>
        <v>0</v>
      </c>
      <c r="N607" s="838">
        <f>+Tabla1[[#This Row],[VENTA TOTAL $ (IVA INC) ]]</f>
        <v>0</v>
      </c>
      <c r="O607" s="838">
        <v>0</v>
      </c>
      <c r="P607" s="838">
        <v>0</v>
      </c>
      <c r="Q607" s="839">
        <f>+Tabla1[[#This Row],[VENTA TOTAL $ (IVA INC) ]]-Tabla1[[#This Row],[PENDIENTE DE COBRO]]</f>
        <v>0</v>
      </c>
      <c r="R607" s="840">
        <f>+Tabla1[[#This Row],[FECHA FC]]+Tabla1[[#This Row],[PLAZO ENTREGA VALORES]]</f>
        <v>0</v>
      </c>
      <c r="S607" s="840">
        <f>+Tabla1[[#This Row],[FECHA FC]]+Tabla1[[#This Row],[PLAZO PAGO (DIAS)]]</f>
        <v>0</v>
      </c>
      <c r="T607" s="834">
        <f t="shared" ca="1" si="149"/>
        <v>-46181</v>
      </c>
      <c r="U607" s="831"/>
      <c r="V607" s="831"/>
      <c r="W607" s="841">
        <f>+Tabla1[[#This Row],[FECHA VTO VALORES]]+7</f>
        <v>7</v>
      </c>
      <c r="X607" s="830"/>
      <c r="Y607" s="859"/>
      <c r="Z607" s="860">
        <f>Tabla1[[#This Row],[KGS]]/50</f>
        <v>0</v>
      </c>
      <c r="AA60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07" s="844">
        <f>-Tabla1[[#This Row],[COSTO FLETE $ POR BOLSA 5O KG (SIN IVA)]]*1.21-Tabla1[[#This Row],[PRECIO $/ KG A PLAZO EN CLIENTE ( SIN IVA)]]*0.003*1.21*50</f>
        <v>0</v>
      </c>
      <c r="AC607" s="845" t="e">
        <f>SUM(Tabla1[[#This Row],[PRECIO $ BOLSA 50 KG (IVA INC) ]]+Tabla1[[#This Row],[COSTO FLETE $ BOLSA 50 KG (IVA INC)]])</f>
        <v>#VALUE!</v>
      </c>
      <c r="AD607" s="844" t="e">
        <f>-Tabla1[[#This Row],[PRECIO $ BOLSA 50 KG (IVA INC) ]]*(Tabla1[[#This Row],[TASA FINANCIACION MENSUAL]]/365)*Tabla1[[#This Row],[PLAZO ENTREGA VALORES]]</f>
        <v>#VALUE!</v>
      </c>
      <c r="AE607" s="845" t="e">
        <f>SUM(Tabla1[[#This Row],[PRECIO $ BOLSA50 KG  FOB TUCUMAN A PLAZO (IVA INC)]]+Tabla1[[#This Row],[GASTOS FINANCIEROS $ BOLSA 50 KG (IVA INC)]])</f>
        <v>#VALUE!</v>
      </c>
      <c r="AF607" s="828"/>
      <c r="AG607" s="828"/>
      <c r="AH607" s="828"/>
      <c r="AI607" s="828"/>
      <c r="AJ60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07" s="846" t="e">
        <f>SUM(Tabla1[[#This Row],[PRECIO $ BOLSA 50KG  FOB CDO TUC (IVA INC)]]-Tabla1[[#This Row],[PRECIO REF $ BOLSA 50 KG CACTU (IVA INC)]])</f>
        <v>#VALUE!</v>
      </c>
      <c r="AL607" s="847" t="str">
        <f>IFERROR(Tabla1[[#This Row],[PRECIO $ BOLSA 50KG  FOB CDO TUC (IVA INC)]]/Tabla1[[#This Row],[PRECIO REF $ BOLSA 50 KG CACTU (IVA INC)]]-1,"")</f>
        <v/>
      </c>
      <c r="AM607" s="846" t="e">
        <f>+Tabla1[[#This Row],[DIF $ PRECIO NETO INDUSTRIA vs Neto TUCUMAN (IVA INC)]]*Tabla1[[#This Row],[Q Bolsas Equivalentes 50kg]]</f>
        <v>#VALUE!</v>
      </c>
      <c r="AN607" s="846" t="e">
        <f>Tabla1[[#This Row],[PRECIO REF $ BOLSA 50 KG CACTU (IVA INC)]]*Tabla1[[#This Row],[Q Bolsas Equivalentes 50kg]]</f>
        <v>#VALUE!</v>
      </c>
      <c r="AO607" s="846" t="e">
        <f>+Tabla1[[#This Row],[PRECIO $ BOLSA 50KG  FOB CDO TUC (IVA INC)]]*Tabla1[[#This Row],[Q Bolsas Equivalentes 50kg]]</f>
        <v>#VALUE!</v>
      </c>
      <c r="AP607" s="847"/>
      <c r="AQ607" s="846">
        <v>0</v>
      </c>
      <c r="AR607" s="828"/>
      <c r="AS607" s="849"/>
      <c r="AT607" s="923">
        <f>+Tabla1[[#This Row],[VENTA TOTAL $ (IVA INC) ]]-(SUM(Tabla1[[#This Row],[PENDIENTE DE ENTREGA]:[VALORES COBRADOS]]))</f>
        <v>0</v>
      </c>
      <c r="AU607" s="850" t="e">
        <f>VLOOKUP(Tabla1[[#This Row],[FECHA OC]],'TIPO DE CAMBIO'!A:B,2,TRUE)</f>
        <v>#N/A</v>
      </c>
      <c r="AV607" s="850" t="e">
        <f>+Tabla1[[#This Row],[SUBTOTAL]]/Tabla1[[#This Row],[TIPO DE CAMBIO]]</f>
        <v>#N/A</v>
      </c>
      <c r="AW607" s="851"/>
      <c r="AX607" s="850" t="str">
        <f>IFERROR(Tabla1[[#This Row],[VENTA TOTAL USD A PLAZO EN CLIENTE  (SIN IVA)]]*(1+Tabla1[[#This Row],[% IVA ]]),"")</f>
        <v/>
      </c>
      <c r="AY607" s="850" t="e">
        <f>+Tabla1[[#This Row],[VENTA TOTAL USD A PLAZO EN CLIENTE  (SIN IVA)]]/Tabla1[[#This Row],[KGS]]*1000</f>
        <v>#N/A</v>
      </c>
      <c r="AZ607" s="850" t="e">
        <f>-Tabla1[[#This Row],[COSTO FLETE $ POR BOLSA 5O KG (SIN IVA)]]*20/Tabla1[[#This Row],[TIPO DE CAMBIO]]</f>
        <v>#N/A</v>
      </c>
      <c r="BA607" s="850" t="e">
        <f>+Tabla1[[#This Row],[GASTOS FINANCIEROS $ BOLSA 50 KG (IVA INC)]]*20/Tabla1[[#This Row],[TIPO DE CAMBIO]]</f>
        <v>#VALUE!</v>
      </c>
      <c r="BB607" s="850" t="e">
        <f>+Tabla1[[#This Row],[PRECIO POR TN USD EN CLIENTE A PLAZO (SIN IVA)]]+Tabla1[[#This Row],[COSTO USD FLETE /TN (SIN IVA)]]+Tabla1[[#This Row],[COSTO FINANCIERO USD POR BOLSA 50KG (IVA INC)]]</f>
        <v>#N/A</v>
      </c>
      <c r="BC607" s="828"/>
      <c r="BD607" s="944"/>
    </row>
    <row r="608" spans="1:56" ht="15.75" customHeight="1">
      <c r="A608" s="912">
        <v>46296</v>
      </c>
      <c r="B608" s="863"/>
      <c r="C608" s="792"/>
      <c r="D608" s="829">
        <f>+Tabla1[[#This Row],[FECHA Entrega]]</f>
        <v>0</v>
      </c>
      <c r="E608" s="830"/>
      <c r="F608" s="831"/>
      <c r="G608" s="832"/>
      <c r="H608" s="852"/>
      <c r="I608" s="834"/>
      <c r="J608" s="835"/>
      <c r="K608" s="836">
        <f t="shared" si="148"/>
        <v>0</v>
      </c>
      <c r="L60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08" s="837">
        <f t="shared" si="147"/>
        <v>0</v>
      </c>
      <c r="N608" s="838">
        <f>+Tabla1[[#This Row],[VENTA TOTAL $ (IVA INC) ]]</f>
        <v>0</v>
      </c>
      <c r="O608" s="838">
        <v>0</v>
      </c>
      <c r="P608" s="838">
        <v>0</v>
      </c>
      <c r="Q608" s="839">
        <f>+Tabla1[[#This Row],[VENTA TOTAL $ (IVA INC) ]]-Tabla1[[#This Row],[PENDIENTE DE COBRO]]</f>
        <v>0</v>
      </c>
      <c r="R608" s="840">
        <f>+Tabla1[[#This Row],[FECHA FC]]+Tabla1[[#This Row],[PLAZO ENTREGA VALORES]]</f>
        <v>0</v>
      </c>
      <c r="S608" s="840">
        <f>+Tabla1[[#This Row],[FECHA FC]]+Tabla1[[#This Row],[PLAZO PAGO (DIAS)]]</f>
        <v>0</v>
      </c>
      <c r="T608" s="834">
        <f t="shared" ca="1" si="149"/>
        <v>-46181</v>
      </c>
      <c r="U608" s="831"/>
      <c r="V608" s="831"/>
      <c r="W608" s="841">
        <f>+Tabla1[[#This Row],[FECHA VTO VALORES]]+7</f>
        <v>7</v>
      </c>
      <c r="X608" s="830"/>
      <c r="Y608" s="859"/>
      <c r="Z608" s="860">
        <f>Tabla1[[#This Row],[KGS]]/50</f>
        <v>0</v>
      </c>
      <c r="AA60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08" s="844">
        <f>-Tabla1[[#This Row],[COSTO FLETE $ POR BOLSA 5O KG (SIN IVA)]]*1.21-Tabla1[[#This Row],[PRECIO $/ KG A PLAZO EN CLIENTE ( SIN IVA)]]*0.003*1.21*50</f>
        <v>0</v>
      </c>
      <c r="AC608" s="845" t="e">
        <f>SUM(Tabla1[[#This Row],[PRECIO $ BOLSA 50 KG (IVA INC) ]]+Tabla1[[#This Row],[COSTO FLETE $ BOLSA 50 KG (IVA INC)]])</f>
        <v>#VALUE!</v>
      </c>
      <c r="AD608" s="844" t="e">
        <f>-Tabla1[[#This Row],[PRECIO $ BOLSA 50 KG (IVA INC) ]]*(Tabla1[[#This Row],[TASA FINANCIACION MENSUAL]]/365)*Tabla1[[#This Row],[PLAZO ENTREGA VALORES]]</f>
        <v>#VALUE!</v>
      </c>
      <c r="AE608" s="845" t="e">
        <f>SUM(Tabla1[[#This Row],[PRECIO $ BOLSA50 KG  FOB TUCUMAN A PLAZO (IVA INC)]]+Tabla1[[#This Row],[GASTOS FINANCIEROS $ BOLSA 50 KG (IVA INC)]])</f>
        <v>#VALUE!</v>
      </c>
      <c r="AF608" s="828"/>
      <c r="AG608" s="828"/>
      <c r="AH608" s="828"/>
      <c r="AI608" s="828"/>
      <c r="AJ60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08" s="846" t="e">
        <f>SUM(Tabla1[[#This Row],[PRECIO $ BOLSA 50KG  FOB CDO TUC (IVA INC)]]-Tabla1[[#This Row],[PRECIO REF $ BOLSA 50 KG CACTU (IVA INC)]])</f>
        <v>#VALUE!</v>
      </c>
      <c r="AL608" s="847" t="str">
        <f>IFERROR(Tabla1[[#This Row],[PRECIO $ BOLSA 50KG  FOB CDO TUC (IVA INC)]]/Tabla1[[#This Row],[PRECIO REF $ BOLSA 50 KG CACTU (IVA INC)]]-1,"")</f>
        <v/>
      </c>
      <c r="AM608" s="846" t="e">
        <f>+Tabla1[[#This Row],[DIF $ PRECIO NETO INDUSTRIA vs Neto TUCUMAN (IVA INC)]]*Tabla1[[#This Row],[Q Bolsas Equivalentes 50kg]]</f>
        <v>#VALUE!</v>
      </c>
      <c r="AN608" s="846" t="e">
        <f>Tabla1[[#This Row],[PRECIO REF $ BOLSA 50 KG CACTU (IVA INC)]]*Tabla1[[#This Row],[Q Bolsas Equivalentes 50kg]]</f>
        <v>#VALUE!</v>
      </c>
      <c r="AO608" s="846" t="e">
        <f>+Tabla1[[#This Row],[PRECIO $ BOLSA 50KG  FOB CDO TUC (IVA INC)]]*Tabla1[[#This Row],[Q Bolsas Equivalentes 50kg]]</f>
        <v>#VALUE!</v>
      </c>
      <c r="AP608" s="847"/>
      <c r="AQ608" s="846">
        <v>0</v>
      </c>
      <c r="AR608" s="828"/>
      <c r="AS608" s="849"/>
      <c r="AT608" s="923">
        <f>+Tabla1[[#This Row],[VENTA TOTAL $ (IVA INC) ]]-(SUM(Tabla1[[#This Row],[PENDIENTE DE ENTREGA]:[VALORES COBRADOS]]))</f>
        <v>0</v>
      </c>
      <c r="AU608" s="850" t="e">
        <f>VLOOKUP(Tabla1[[#This Row],[FECHA OC]],'TIPO DE CAMBIO'!A:B,2,TRUE)</f>
        <v>#N/A</v>
      </c>
      <c r="AV608" s="850" t="e">
        <f>+Tabla1[[#This Row],[SUBTOTAL]]/Tabla1[[#This Row],[TIPO DE CAMBIO]]</f>
        <v>#N/A</v>
      </c>
      <c r="AW608" s="851"/>
      <c r="AX608" s="850" t="str">
        <f>IFERROR(Tabla1[[#This Row],[VENTA TOTAL USD A PLAZO EN CLIENTE  (SIN IVA)]]*(1+Tabla1[[#This Row],[% IVA ]]),"")</f>
        <v/>
      </c>
      <c r="AY608" s="850" t="e">
        <f>+Tabla1[[#This Row],[VENTA TOTAL USD A PLAZO EN CLIENTE  (SIN IVA)]]/Tabla1[[#This Row],[KGS]]*1000</f>
        <v>#N/A</v>
      </c>
      <c r="AZ608" s="850" t="e">
        <f>-Tabla1[[#This Row],[COSTO FLETE $ POR BOLSA 5O KG (SIN IVA)]]*20/Tabla1[[#This Row],[TIPO DE CAMBIO]]</f>
        <v>#N/A</v>
      </c>
      <c r="BA608" s="850" t="e">
        <f>+Tabla1[[#This Row],[GASTOS FINANCIEROS $ BOLSA 50 KG (IVA INC)]]*20/Tabla1[[#This Row],[TIPO DE CAMBIO]]</f>
        <v>#VALUE!</v>
      </c>
      <c r="BB608" s="850" t="e">
        <f>+Tabla1[[#This Row],[PRECIO POR TN USD EN CLIENTE A PLAZO (SIN IVA)]]+Tabla1[[#This Row],[COSTO USD FLETE /TN (SIN IVA)]]+Tabla1[[#This Row],[COSTO FINANCIERO USD POR BOLSA 50KG (IVA INC)]]</f>
        <v>#N/A</v>
      </c>
      <c r="BC608" s="828"/>
      <c r="BD608" s="944"/>
    </row>
    <row r="609" spans="1:56" ht="15.75" customHeight="1">
      <c r="A609" s="912">
        <v>46296</v>
      </c>
      <c r="B609" s="863"/>
      <c r="C609" s="792"/>
      <c r="D609" s="829">
        <f>+Tabla1[[#This Row],[FECHA Entrega]]</f>
        <v>0</v>
      </c>
      <c r="E609" s="830"/>
      <c r="F609" s="831"/>
      <c r="G609" s="832"/>
      <c r="H609" s="852"/>
      <c r="I609" s="834"/>
      <c r="J609" s="835"/>
      <c r="K609" s="836">
        <f t="shared" si="148"/>
        <v>0</v>
      </c>
      <c r="L60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09" s="837">
        <f t="shared" ref="M609:M672" si="150">SUM(K609:L609)</f>
        <v>0</v>
      </c>
      <c r="N609" s="838">
        <f>+Tabla1[[#This Row],[VENTA TOTAL $ (IVA INC) ]]</f>
        <v>0</v>
      </c>
      <c r="O609" s="838">
        <v>0</v>
      </c>
      <c r="P609" s="838">
        <v>0</v>
      </c>
      <c r="Q609" s="839">
        <f>+Tabla1[[#This Row],[VENTA TOTAL $ (IVA INC) ]]-Tabla1[[#This Row],[PENDIENTE DE COBRO]]</f>
        <v>0</v>
      </c>
      <c r="R609" s="840">
        <f>+Tabla1[[#This Row],[FECHA FC]]+Tabla1[[#This Row],[PLAZO ENTREGA VALORES]]</f>
        <v>0</v>
      </c>
      <c r="S609" s="840">
        <f>+Tabla1[[#This Row],[FECHA FC]]+Tabla1[[#This Row],[PLAZO PAGO (DIAS)]]</f>
        <v>0</v>
      </c>
      <c r="T609" s="834">
        <f t="shared" ca="1" si="149"/>
        <v>-46181</v>
      </c>
      <c r="U609" s="831"/>
      <c r="V609" s="831"/>
      <c r="W609" s="841">
        <f>+Tabla1[[#This Row],[FECHA VTO VALORES]]+7</f>
        <v>7</v>
      </c>
      <c r="X609" s="830"/>
      <c r="Y609" s="859"/>
      <c r="Z609" s="860">
        <f>Tabla1[[#This Row],[KGS]]/50</f>
        <v>0</v>
      </c>
      <c r="AA60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09" s="844">
        <f>-Tabla1[[#This Row],[COSTO FLETE $ POR BOLSA 5O KG (SIN IVA)]]*1.21-Tabla1[[#This Row],[PRECIO $/ KG A PLAZO EN CLIENTE ( SIN IVA)]]*0.003*1.21*50</f>
        <v>0</v>
      </c>
      <c r="AC609" s="845" t="e">
        <f>SUM(Tabla1[[#This Row],[PRECIO $ BOLSA 50 KG (IVA INC) ]]+Tabla1[[#This Row],[COSTO FLETE $ BOLSA 50 KG (IVA INC)]])</f>
        <v>#VALUE!</v>
      </c>
      <c r="AD609" s="844" t="e">
        <f>-Tabla1[[#This Row],[PRECIO $ BOLSA 50 KG (IVA INC) ]]*(Tabla1[[#This Row],[TASA FINANCIACION MENSUAL]]/365)*Tabla1[[#This Row],[PLAZO ENTREGA VALORES]]</f>
        <v>#VALUE!</v>
      </c>
      <c r="AE609" s="845" t="e">
        <f>SUM(Tabla1[[#This Row],[PRECIO $ BOLSA50 KG  FOB TUCUMAN A PLAZO (IVA INC)]]+Tabla1[[#This Row],[GASTOS FINANCIEROS $ BOLSA 50 KG (IVA INC)]])</f>
        <v>#VALUE!</v>
      </c>
      <c r="AF609" s="828"/>
      <c r="AG609" s="828"/>
      <c r="AH609" s="828"/>
      <c r="AI609" s="828"/>
      <c r="AJ60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09" s="846" t="e">
        <f>SUM(Tabla1[[#This Row],[PRECIO $ BOLSA 50KG  FOB CDO TUC (IVA INC)]]-Tabla1[[#This Row],[PRECIO REF $ BOLSA 50 KG CACTU (IVA INC)]])</f>
        <v>#VALUE!</v>
      </c>
      <c r="AL609" s="847" t="str">
        <f>IFERROR(Tabla1[[#This Row],[PRECIO $ BOLSA 50KG  FOB CDO TUC (IVA INC)]]/Tabla1[[#This Row],[PRECIO REF $ BOLSA 50 KG CACTU (IVA INC)]]-1,"")</f>
        <v/>
      </c>
      <c r="AM609" s="846" t="e">
        <f>+Tabla1[[#This Row],[DIF $ PRECIO NETO INDUSTRIA vs Neto TUCUMAN (IVA INC)]]*Tabla1[[#This Row],[Q Bolsas Equivalentes 50kg]]</f>
        <v>#VALUE!</v>
      </c>
      <c r="AN609" s="846" t="e">
        <f>Tabla1[[#This Row],[PRECIO REF $ BOLSA 50 KG CACTU (IVA INC)]]*Tabla1[[#This Row],[Q Bolsas Equivalentes 50kg]]</f>
        <v>#VALUE!</v>
      </c>
      <c r="AO609" s="846" t="e">
        <f>+Tabla1[[#This Row],[PRECIO $ BOLSA 50KG  FOB CDO TUC (IVA INC)]]*Tabla1[[#This Row],[Q Bolsas Equivalentes 50kg]]</f>
        <v>#VALUE!</v>
      </c>
      <c r="AP609" s="847"/>
      <c r="AQ609" s="846">
        <v>0</v>
      </c>
      <c r="AR609" s="828"/>
      <c r="AS609" s="849"/>
      <c r="AT609" s="923">
        <f>+Tabla1[[#This Row],[VENTA TOTAL $ (IVA INC) ]]-(SUM(Tabla1[[#This Row],[PENDIENTE DE ENTREGA]:[VALORES COBRADOS]]))</f>
        <v>0</v>
      </c>
      <c r="AU609" s="850" t="e">
        <f>VLOOKUP(Tabla1[[#This Row],[FECHA OC]],'TIPO DE CAMBIO'!A:B,2,TRUE)</f>
        <v>#N/A</v>
      </c>
      <c r="AV609" s="850" t="e">
        <f>+Tabla1[[#This Row],[SUBTOTAL]]/Tabla1[[#This Row],[TIPO DE CAMBIO]]</f>
        <v>#N/A</v>
      </c>
      <c r="AW609" s="851"/>
      <c r="AX609" s="850" t="str">
        <f>IFERROR(Tabla1[[#This Row],[VENTA TOTAL USD A PLAZO EN CLIENTE  (SIN IVA)]]*(1+Tabla1[[#This Row],[% IVA ]]),"")</f>
        <v/>
      </c>
      <c r="AY609" s="850" t="e">
        <f>+Tabla1[[#This Row],[VENTA TOTAL USD A PLAZO EN CLIENTE  (SIN IVA)]]/Tabla1[[#This Row],[KGS]]*1000</f>
        <v>#N/A</v>
      </c>
      <c r="AZ609" s="850" t="e">
        <f>-Tabla1[[#This Row],[COSTO FLETE $ POR BOLSA 5O KG (SIN IVA)]]*20/Tabla1[[#This Row],[TIPO DE CAMBIO]]</f>
        <v>#N/A</v>
      </c>
      <c r="BA609" s="850" t="e">
        <f>+Tabla1[[#This Row],[GASTOS FINANCIEROS $ BOLSA 50 KG (IVA INC)]]*20/Tabla1[[#This Row],[TIPO DE CAMBIO]]</f>
        <v>#VALUE!</v>
      </c>
      <c r="BB609" s="850" t="e">
        <f>+Tabla1[[#This Row],[PRECIO POR TN USD EN CLIENTE A PLAZO (SIN IVA)]]+Tabla1[[#This Row],[COSTO USD FLETE /TN (SIN IVA)]]+Tabla1[[#This Row],[COSTO FINANCIERO USD POR BOLSA 50KG (IVA INC)]]</f>
        <v>#N/A</v>
      </c>
      <c r="BC609" s="828"/>
      <c r="BD609" s="944"/>
    </row>
    <row r="610" spans="1:56" ht="15.75" customHeight="1">
      <c r="A610" s="912">
        <v>46296</v>
      </c>
      <c r="B610" s="863"/>
      <c r="C610" s="792"/>
      <c r="D610" s="829">
        <f>+Tabla1[[#This Row],[FECHA Entrega]]</f>
        <v>0</v>
      </c>
      <c r="E610" s="830"/>
      <c r="F610" s="831"/>
      <c r="G610" s="832"/>
      <c r="H610" s="852"/>
      <c r="I610" s="834"/>
      <c r="J610" s="835"/>
      <c r="K610" s="836">
        <f t="shared" si="148"/>
        <v>0</v>
      </c>
      <c r="L61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10" s="837">
        <f t="shared" si="150"/>
        <v>0</v>
      </c>
      <c r="N610" s="838">
        <f>+Tabla1[[#This Row],[VENTA TOTAL $ (IVA INC) ]]</f>
        <v>0</v>
      </c>
      <c r="O610" s="838">
        <v>0</v>
      </c>
      <c r="P610" s="838">
        <v>0</v>
      </c>
      <c r="Q610" s="839">
        <f>+Tabla1[[#This Row],[VENTA TOTAL $ (IVA INC) ]]</f>
        <v>0</v>
      </c>
      <c r="R610" s="840">
        <f>+Tabla1[[#This Row],[FECHA FC]]+Tabla1[[#This Row],[PLAZO ENTREGA VALORES]]</f>
        <v>0</v>
      </c>
      <c r="S610" s="840">
        <f>+Tabla1[[#This Row],[FECHA FC]]+Tabla1[[#This Row],[PLAZO PAGO (DIAS)]]</f>
        <v>0</v>
      </c>
      <c r="T610" s="834">
        <f t="shared" ca="1" si="149"/>
        <v>-46181</v>
      </c>
      <c r="U610" s="831"/>
      <c r="V610" s="831"/>
      <c r="W610" s="841">
        <f>+Tabla1[[#This Row],[FECHA VTO VALORES]]+7</f>
        <v>7</v>
      </c>
      <c r="X610" s="830"/>
      <c r="Y610" s="859"/>
      <c r="Z610" s="860">
        <f>Tabla1[[#This Row],[KGS]]/50</f>
        <v>0</v>
      </c>
      <c r="AA61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10" s="844">
        <f>-Tabla1[[#This Row],[COSTO FLETE $ POR BOLSA 5O KG (SIN IVA)]]*1.21-Tabla1[[#This Row],[PRECIO $/ KG A PLAZO EN CLIENTE ( SIN IVA)]]*0.003*1.21*50</f>
        <v>0</v>
      </c>
      <c r="AC610" s="845" t="e">
        <f>SUM(Tabla1[[#This Row],[PRECIO $ BOLSA 50 KG (IVA INC) ]]+Tabla1[[#This Row],[COSTO FLETE $ BOLSA 50 KG (IVA INC)]])</f>
        <v>#VALUE!</v>
      </c>
      <c r="AD610" s="844" t="e">
        <f>-Tabla1[[#This Row],[PRECIO $ BOLSA 50 KG (IVA INC) ]]*(Tabla1[[#This Row],[TASA FINANCIACION MENSUAL]]/365)*Tabla1[[#This Row],[PLAZO ENTREGA VALORES]]</f>
        <v>#VALUE!</v>
      </c>
      <c r="AE610" s="845" t="e">
        <f>SUM(Tabla1[[#This Row],[PRECIO $ BOLSA50 KG  FOB TUCUMAN A PLAZO (IVA INC)]]+Tabla1[[#This Row],[GASTOS FINANCIEROS $ BOLSA 50 KG (IVA INC)]])</f>
        <v>#VALUE!</v>
      </c>
      <c r="AF610" s="828"/>
      <c r="AG610" s="828"/>
      <c r="AH610" s="828"/>
      <c r="AI610" s="828"/>
      <c r="AJ61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10" s="846" t="e">
        <f>SUM(Tabla1[[#This Row],[PRECIO $ BOLSA 50KG  FOB CDO TUC (IVA INC)]]-Tabla1[[#This Row],[PRECIO REF $ BOLSA 50 KG CACTU (IVA INC)]])</f>
        <v>#VALUE!</v>
      </c>
      <c r="AL610" s="847" t="str">
        <f>IFERROR(Tabla1[[#This Row],[PRECIO $ BOLSA 50KG  FOB CDO TUC (IVA INC)]]/Tabla1[[#This Row],[PRECIO REF $ BOLSA 50 KG CACTU (IVA INC)]]-1,"")</f>
        <v/>
      </c>
      <c r="AM610" s="846" t="e">
        <f>+Tabla1[[#This Row],[DIF $ PRECIO NETO INDUSTRIA vs Neto TUCUMAN (IVA INC)]]*Tabla1[[#This Row],[Q Bolsas Equivalentes 50kg]]</f>
        <v>#VALUE!</v>
      </c>
      <c r="AN610" s="846" t="e">
        <f>Tabla1[[#This Row],[PRECIO REF $ BOLSA 50 KG CACTU (IVA INC)]]*Tabla1[[#This Row],[Q Bolsas Equivalentes 50kg]]</f>
        <v>#VALUE!</v>
      </c>
      <c r="AO610" s="846" t="e">
        <f>+Tabla1[[#This Row],[PRECIO $ BOLSA 50KG  FOB CDO TUC (IVA INC)]]*Tabla1[[#This Row],[Q Bolsas Equivalentes 50kg]]</f>
        <v>#VALUE!</v>
      </c>
      <c r="AP610" s="847"/>
      <c r="AQ610" s="846">
        <v>0</v>
      </c>
      <c r="AR610" s="828"/>
      <c r="AS610" s="849"/>
      <c r="AT610" s="923">
        <f>+Tabla1[[#This Row],[VENTA TOTAL $ (IVA INC) ]]-(SUM(Tabla1[[#This Row],[PENDIENTE DE ENTREGA]:[VALORES COBRADOS]]))</f>
        <v>0</v>
      </c>
      <c r="AU610" s="850" t="e">
        <f>VLOOKUP(Tabla1[[#This Row],[FECHA OC]],'TIPO DE CAMBIO'!A:B,2,TRUE)</f>
        <v>#N/A</v>
      </c>
      <c r="AV610" s="850" t="e">
        <f>+Tabla1[[#This Row],[SUBTOTAL]]/Tabla1[[#This Row],[TIPO DE CAMBIO]]</f>
        <v>#N/A</v>
      </c>
      <c r="AW610" s="851"/>
      <c r="AX610" s="850" t="str">
        <f>IFERROR(Tabla1[[#This Row],[VENTA TOTAL USD A PLAZO EN CLIENTE  (SIN IVA)]]*(1+Tabla1[[#This Row],[% IVA ]]),"")</f>
        <v/>
      </c>
      <c r="AY610" s="850" t="e">
        <f>+Tabla1[[#This Row],[VENTA TOTAL USD A PLAZO EN CLIENTE  (SIN IVA)]]/Tabla1[[#This Row],[KGS]]*1000</f>
        <v>#N/A</v>
      </c>
      <c r="AZ610" s="850" t="e">
        <f>-Tabla1[[#This Row],[COSTO FLETE $ POR BOLSA 5O KG (SIN IVA)]]*20/Tabla1[[#This Row],[TIPO DE CAMBIO]]</f>
        <v>#N/A</v>
      </c>
      <c r="BA610" s="850" t="e">
        <f>+Tabla1[[#This Row],[GASTOS FINANCIEROS $ BOLSA 50 KG (IVA INC)]]*20/Tabla1[[#This Row],[TIPO DE CAMBIO]]</f>
        <v>#VALUE!</v>
      </c>
      <c r="BB610" s="850" t="e">
        <f>+Tabla1[[#This Row],[PRECIO POR TN USD EN CLIENTE A PLAZO (SIN IVA)]]+Tabla1[[#This Row],[COSTO USD FLETE /TN (SIN IVA)]]+Tabla1[[#This Row],[COSTO FINANCIERO USD POR BOLSA 50KG (IVA INC)]]</f>
        <v>#N/A</v>
      </c>
      <c r="BC610" s="828"/>
      <c r="BD610" s="944"/>
    </row>
    <row r="611" spans="1:56" ht="15.75" customHeight="1">
      <c r="A611" s="912">
        <v>46296</v>
      </c>
      <c r="B611" s="863"/>
      <c r="C611" s="792"/>
      <c r="D611" s="829">
        <f>+Tabla1[[#This Row],[FECHA Entrega]]</f>
        <v>0</v>
      </c>
      <c r="E611" s="830"/>
      <c r="F611" s="831"/>
      <c r="G611" s="832"/>
      <c r="H611" s="852"/>
      <c r="I611" s="834"/>
      <c r="J611" s="835"/>
      <c r="K611" s="836">
        <f t="shared" si="148"/>
        <v>0</v>
      </c>
      <c r="L61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11" s="837">
        <f t="shared" si="150"/>
        <v>0</v>
      </c>
      <c r="N611" s="838">
        <f>+Tabla1[[#This Row],[VENTA TOTAL $ (IVA INC) ]]</f>
        <v>0</v>
      </c>
      <c r="O611" s="838">
        <v>0</v>
      </c>
      <c r="P611" s="838">
        <v>0</v>
      </c>
      <c r="Q611" s="839">
        <f>+Tabla1[[#This Row],[VENTA TOTAL $ (IVA INC) ]]-Tabla1[[#This Row],[PENDIENTE DE COBRO]]</f>
        <v>0</v>
      </c>
      <c r="R611" s="840">
        <f>+Tabla1[[#This Row],[FECHA FC]]+Tabla1[[#This Row],[PLAZO ENTREGA VALORES]]</f>
        <v>0</v>
      </c>
      <c r="S611" s="840">
        <f>+Tabla1[[#This Row],[FECHA FC]]+Tabla1[[#This Row],[PLAZO PAGO (DIAS)]]</f>
        <v>0</v>
      </c>
      <c r="T611" s="834">
        <f t="shared" ca="1" si="149"/>
        <v>-46181</v>
      </c>
      <c r="U611" s="831"/>
      <c r="V611" s="831"/>
      <c r="W611" s="841">
        <f>+Tabla1[[#This Row],[FECHA VTO VALORES]]+7</f>
        <v>7</v>
      </c>
      <c r="X611" s="830"/>
      <c r="Y611" s="859"/>
      <c r="Z611" s="860">
        <f>Tabla1[[#This Row],[KGS]]/50</f>
        <v>0</v>
      </c>
      <c r="AA61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11" s="844">
        <f>-Tabla1[[#This Row],[COSTO FLETE $ POR BOLSA 5O KG (SIN IVA)]]*1.21-Tabla1[[#This Row],[PRECIO $/ KG A PLAZO EN CLIENTE ( SIN IVA)]]*0.003*1.21*50</f>
        <v>0</v>
      </c>
      <c r="AC611" s="845" t="e">
        <f>SUM(Tabla1[[#This Row],[PRECIO $ BOLSA 50 KG (IVA INC) ]]+Tabla1[[#This Row],[COSTO FLETE $ BOLSA 50 KG (IVA INC)]])</f>
        <v>#VALUE!</v>
      </c>
      <c r="AD611" s="844" t="e">
        <f>-Tabla1[[#This Row],[PRECIO $ BOLSA 50 KG (IVA INC) ]]*(Tabla1[[#This Row],[TASA FINANCIACION MENSUAL]]/365)*Tabla1[[#This Row],[PLAZO ENTREGA VALORES]]</f>
        <v>#VALUE!</v>
      </c>
      <c r="AE611" s="845" t="e">
        <f>SUM(Tabla1[[#This Row],[PRECIO $ BOLSA50 KG  FOB TUCUMAN A PLAZO (IVA INC)]]+Tabla1[[#This Row],[GASTOS FINANCIEROS $ BOLSA 50 KG (IVA INC)]])</f>
        <v>#VALUE!</v>
      </c>
      <c r="AF611" s="828"/>
      <c r="AG611" s="828"/>
      <c r="AH611" s="828"/>
      <c r="AI611" s="828"/>
      <c r="AJ61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11" s="846" t="e">
        <f>SUM(Tabla1[[#This Row],[PRECIO $ BOLSA 50KG  FOB CDO TUC (IVA INC)]]-Tabla1[[#This Row],[PRECIO REF $ BOLSA 50 KG CACTU (IVA INC)]])</f>
        <v>#VALUE!</v>
      </c>
      <c r="AL611" s="847" t="str">
        <f>IFERROR(Tabla1[[#This Row],[PRECIO $ BOLSA 50KG  FOB CDO TUC (IVA INC)]]/Tabla1[[#This Row],[PRECIO REF $ BOLSA 50 KG CACTU (IVA INC)]]-1,"")</f>
        <v/>
      </c>
      <c r="AM611" s="846" t="e">
        <f>+Tabla1[[#This Row],[DIF $ PRECIO NETO INDUSTRIA vs Neto TUCUMAN (IVA INC)]]*Tabla1[[#This Row],[Q Bolsas Equivalentes 50kg]]</f>
        <v>#VALUE!</v>
      </c>
      <c r="AN611" s="846" t="e">
        <f>Tabla1[[#This Row],[PRECIO REF $ BOLSA 50 KG CACTU (IVA INC)]]*Tabla1[[#This Row],[Q Bolsas Equivalentes 50kg]]</f>
        <v>#VALUE!</v>
      </c>
      <c r="AO611" s="846" t="e">
        <f>+Tabla1[[#This Row],[PRECIO $ BOLSA 50KG  FOB CDO TUC (IVA INC)]]*Tabla1[[#This Row],[Q Bolsas Equivalentes 50kg]]</f>
        <v>#VALUE!</v>
      </c>
      <c r="AP611" s="847"/>
      <c r="AQ611" s="846">
        <v>0</v>
      </c>
      <c r="AR611" s="828"/>
      <c r="AS611" s="849"/>
      <c r="AT611" s="923">
        <f>+Tabla1[[#This Row],[VENTA TOTAL $ (IVA INC) ]]-(SUM(Tabla1[[#This Row],[PENDIENTE DE ENTREGA]:[VALORES COBRADOS]]))</f>
        <v>0</v>
      </c>
      <c r="AU611" s="850" t="e">
        <f>VLOOKUP(Tabla1[[#This Row],[FECHA OC]],'TIPO DE CAMBIO'!A:B,2,TRUE)</f>
        <v>#N/A</v>
      </c>
      <c r="AV611" s="850" t="e">
        <f>+Tabla1[[#This Row],[SUBTOTAL]]/Tabla1[[#This Row],[TIPO DE CAMBIO]]</f>
        <v>#N/A</v>
      </c>
      <c r="AW611" s="851"/>
      <c r="AX611" s="850" t="str">
        <f>IFERROR(Tabla1[[#This Row],[VENTA TOTAL USD A PLAZO EN CLIENTE  (SIN IVA)]]*(1+Tabla1[[#This Row],[% IVA ]]),"")</f>
        <v/>
      </c>
      <c r="AY611" s="850" t="e">
        <f>+Tabla1[[#This Row],[VENTA TOTAL USD A PLAZO EN CLIENTE  (SIN IVA)]]/Tabla1[[#This Row],[KGS]]*1000</f>
        <v>#N/A</v>
      </c>
      <c r="AZ611" s="850" t="e">
        <f>-Tabla1[[#This Row],[COSTO FLETE $ POR BOLSA 5O KG (SIN IVA)]]*20/Tabla1[[#This Row],[TIPO DE CAMBIO]]</f>
        <v>#N/A</v>
      </c>
      <c r="BA611" s="850" t="e">
        <f>+Tabla1[[#This Row],[GASTOS FINANCIEROS $ BOLSA 50 KG (IVA INC)]]*20/Tabla1[[#This Row],[TIPO DE CAMBIO]]</f>
        <v>#VALUE!</v>
      </c>
      <c r="BB611" s="850" t="e">
        <f>+Tabla1[[#This Row],[PRECIO POR TN USD EN CLIENTE A PLAZO (SIN IVA)]]+Tabla1[[#This Row],[COSTO USD FLETE /TN (SIN IVA)]]+Tabla1[[#This Row],[COSTO FINANCIERO USD POR BOLSA 50KG (IVA INC)]]</f>
        <v>#N/A</v>
      </c>
      <c r="BC611" s="828"/>
      <c r="BD611" s="944"/>
    </row>
    <row r="612" spans="1:56" ht="15.75" customHeight="1">
      <c r="A612" s="912">
        <v>46296</v>
      </c>
      <c r="B612" s="863"/>
      <c r="C612" s="792"/>
      <c r="D612" s="829">
        <f>+Tabla1[[#This Row],[FECHA Entrega]]</f>
        <v>0</v>
      </c>
      <c r="E612" s="830"/>
      <c r="F612" s="831"/>
      <c r="G612" s="832"/>
      <c r="H612" s="852"/>
      <c r="I612" s="834"/>
      <c r="J612" s="835"/>
      <c r="K612" s="836">
        <f t="shared" si="148"/>
        <v>0</v>
      </c>
      <c r="L61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12" s="837">
        <f t="shared" si="150"/>
        <v>0</v>
      </c>
      <c r="N612" s="838">
        <f>+Tabla1[[#This Row],[VENTA TOTAL $ (IVA INC) ]]</f>
        <v>0</v>
      </c>
      <c r="O612" s="838">
        <v>0</v>
      </c>
      <c r="P612" s="838">
        <v>0</v>
      </c>
      <c r="Q612" s="839">
        <f>+Tabla1[[#This Row],[VENTA TOTAL $ (IVA INC) ]]-Tabla1[[#This Row],[PENDIENTE DE COBRO]]</f>
        <v>0</v>
      </c>
      <c r="R612" s="840">
        <f>+Tabla1[[#This Row],[FECHA FC]]+Tabla1[[#This Row],[PLAZO ENTREGA VALORES]]</f>
        <v>0</v>
      </c>
      <c r="S612" s="840">
        <f>+Tabla1[[#This Row],[FECHA FC]]+Tabla1[[#This Row],[PLAZO PAGO (DIAS)]]</f>
        <v>0</v>
      </c>
      <c r="T612" s="834">
        <f t="shared" ca="1" si="149"/>
        <v>-46181</v>
      </c>
      <c r="U612" s="831"/>
      <c r="V612" s="831"/>
      <c r="W612" s="841">
        <f>+Tabla1[[#This Row],[FECHA VTO VALORES]]+7</f>
        <v>7</v>
      </c>
      <c r="X612" s="830"/>
      <c r="Y612" s="859"/>
      <c r="Z612" s="860">
        <f>Tabla1[[#This Row],[KGS]]/50</f>
        <v>0</v>
      </c>
      <c r="AA61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12" s="844">
        <f>-Tabla1[[#This Row],[COSTO FLETE $ POR BOLSA 5O KG (SIN IVA)]]*1.21-Tabla1[[#This Row],[PRECIO $/ KG A PLAZO EN CLIENTE ( SIN IVA)]]*0.003*1.21*50</f>
        <v>0</v>
      </c>
      <c r="AC612" s="845" t="e">
        <f>SUM(Tabla1[[#This Row],[PRECIO $ BOLSA 50 KG (IVA INC) ]]+Tabla1[[#This Row],[COSTO FLETE $ BOLSA 50 KG (IVA INC)]])</f>
        <v>#VALUE!</v>
      </c>
      <c r="AD612" s="844" t="e">
        <f>-Tabla1[[#This Row],[PRECIO $ BOLSA 50 KG (IVA INC) ]]*(Tabla1[[#This Row],[TASA FINANCIACION MENSUAL]]/365)*Tabla1[[#This Row],[PLAZO ENTREGA VALORES]]</f>
        <v>#VALUE!</v>
      </c>
      <c r="AE612" s="845" t="e">
        <f>SUM(Tabla1[[#This Row],[PRECIO $ BOLSA50 KG  FOB TUCUMAN A PLAZO (IVA INC)]]+Tabla1[[#This Row],[GASTOS FINANCIEROS $ BOLSA 50 KG (IVA INC)]])</f>
        <v>#VALUE!</v>
      </c>
      <c r="AF612" s="828"/>
      <c r="AG612" s="828"/>
      <c r="AH612" s="828"/>
      <c r="AI612" s="828"/>
      <c r="AJ61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12" s="846" t="e">
        <f>SUM(Tabla1[[#This Row],[PRECIO $ BOLSA 50KG  FOB CDO TUC (IVA INC)]]-Tabla1[[#This Row],[PRECIO REF $ BOLSA 50 KG CACTU (IVA INC)]])</f>
        <v>#VALUE!</v>
      </c>
      <c r="AL612" s="847" t="str">
        <f>IFERROR(Tabla1[[#This Row],[PRECIO $ BOLSA 50KG  FOB CDO TUC (IVA INC)]]/Tabla1[[#This Row],[PRECIO REF $ BOLSA 50 KG CACTU (IVA INC)]]-1,"")</f>
        <v/>
      </c>
      <c r="AM612" s="846" t="e">
        <f>+Tabla1[[#This Row],[DIF $ PRECIO NETO INDUSTRIA vs Neto TUCUMAN (IVA INC)]]*Tabla1[[#This Row],[Q Bolsas Equivalentes 50kg]]</f>
        <v>#VALUE!</v>
      </c>
      <c r="AN612" s="846" t="e">
        <f>Tabla1[[#This Row],[PRECIO REF $ BOLSA 50 KG CACTU (IVA INC)]]*Tabla1[[#This Row],[Q Bolsas Equivalentes 50kg]]</f>
        <v>#VALUE!</v>
      </c>
      <c r="AO612" s="846" t="e">
        <f>+Tabla1[[#This Row],[PRECIO $ BOLSA 50KG  FOB CDO TUC (IVA INC)]]*Tabla1[[#This Row],[Q Bolsas Equivalentes 50kg]]</f>
        <v>#VALUE!</v>
      </c>
      <c r="AP612" s="847"/>
      <c r="AQ612" s="846">
        <v>0</v>
      </c>
      <c r="AR612" s="828"/>
      <c r="AS612" s="849"/>
      <c r="AT612" s="923">
        <f>+Tabla1[[#This Row],[VENTA TOTAL $ (IVA INC) ]]-(SUM(Tabla1[[#This Row],[PENDIENTE DE ENTREGA]:[VALORES COBRADOS]]))</f>
        <v>0</v>
      </c>
      <c r="AU612" s="850" t="e">
        <f>VLOOKUP(Tabla1[[#This Row],[FECHA OC]],'TIPO DE CAMBIO'!A:B,2,TRUE)</f>
        <v>#N/A</v>
      </c>
      <c r="AV612" s="850" t="e">
        <f>+Tabla1[[#This Row],[SUBTOTAL]]/Tabla1[[#This Row],[TIPO DE CAMBIO]]</f>
        <v>#N/A</v>
      </c>
      <c r="AW612" s="851"/>
      <c r="AX612" s="850" t="str">
        <f>IFERROR(Tabla1[[#This Row],[VENTA TOTAL USD A PLAZO EN CLIENTE  (SIN IVA)]]*(1+Tabla1[[#This Row],[% IVA ]]),"")</f>
        <v/>
      </c>
      <c r="AY612" s="850" t="e">
        <f>+Tabla1[[#This Row],[VENTA TOTAL USD A PLAZO EN CLIENTE  (SIN IVA)]]/Tabla1[[#This Row],[KGS]]*1000</f>
        <v>#N/A</v>
      </c>
      <c r="AZ612" s="850" t="e">
        <f>-Tabla1[[#This Row],[COSTO FLETE $ POR BOLSA 5O KG (SIN IVA)]]*20/Tabla1[[#This Row],[TIPO DE CAMBIO]]</f>
        <v>#N/A</v>
      </c>
      <c r="BA612" s="850" t="e">
        <f>+Tabla1[[#This Row],[GASTOS FINANCIEROS $ BOLSA 50 KG (IVA INC)]]*20/Tabla1[[#This Row],[TIPO DE CAMBIO]]</f>
        <v>#VALUE!</v>
      </c>
      <c r="BB612" s="850" t="e">
        <f>+Tabla1[[#This Row],[PRECIO POR TN USD EN CLIENTE A PLAZO (SIN IVA)]]+Tabla1[[#This Row],[COSTO USD FLETE /TN (SIN IVA)]]+Tabla1[[#This Row],[COSTO FINANCIERO USD POR BOLSA 50KG (IVA INC)]]</f>
        <v>#N/A</v>
      </c>
      <c r="BC612" s="828"/>
      <c r="BD612" s="944"/>
    </row>
    <row r="613" spans="1:56" ht="15.75" customHeight="1">
      <c r="A613" s="912">
        <v>46296</v>
      </c>
      <c r="B613" s="863"/>
      <c r="C613" s="792"/>
      <c r="D613" s="829">
        <f>+Tabla1[[#This Row],[FECHA Entrega]]</f>
        <v>0</v>
      </c>
      <c r="E613" s="830"/>
      <c r="F613" s="831"/>
      <c r="G613" s="832"/>
      <c r="H613" s="852"/>
      <c r="I613" s="834"/>
      <c r="J613" s="835"/>
      <c r="K613" s="836">
        <f t="shared" si="148"/>
        <v>0</v>
      </c>
      <c r="L61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13" s="837">
        <f t="shared" si="150"/>
        <v>0</v>
      </c>
      <c r="N613" s="838">
        <f>+Tabla1[[#This Row],[VENTA TOTAL $ (IVA INC) ]]</f>
        <v>0</v>
      </c>
      <c r="O613" s="838">
        <v>0</v>
      </c>
      <c r="P613" s="838">
        <v>0</v>
      </c>
      <c r="Q613" s="839">
        <f>+Tabla1[[#This Row],[VENTA TOTAL $ (IVA INC) ]]-Tabla1[[#This Row],[PENDIENTE DE COBRO]]</f>
        <v>0</v>
      </c>
      <c r="R613" s="840">
        <f>+Tabla1[[#This Row],[FECHA FC]]+Tabla1[[#This Row],[PLAZO ENTREGA VALORES]]</f>
        <v>0</v>
      </c>
      <c r="S613" s="840">
        <f>+Tabla1[[#This Row],[FECHA FC]]+Tabla1[[#This Row],[PLAZO PAGO (DIAS)]]</f>
        <v>0</v>
      </c>
      <c r="T613" s="834">
        <f t="shared" ca="1" si="149"/>
        <v>-46181</v>
      </c>
      <c r="U613" s="831"/>
      <c r="V613" s="831"/>
      <c r="W613" s="841">
        <f>+Tabla1[[#This Row],[FECHA VTO VALORES]]+7</f>
        <v>7</v>
      </c>
      <c r="X613" s="830"/>
      <c r="Y613" s="859"/>
      <c r="Z613" s="860">
        <f>Tabla1[[#This Row],[KGS]]/50</f>
        <v>0</v>
      </c>
      <c r="AA61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13" s="844">
        <f>-Tabla1[[#This Row],[COSTO FLETE $ POR BOLSA 5O KG (SIN IVA)]]*1.21-Tabla1[[#This Row],[PRECIO $/ KG A PLAZO EN CLIENTE ( SIN IVA)]]*0.003*1.21*50</f>
        <v>0</v>
      </c>
      <c r="AC613" s="845" t="e">
        <f>SUM(Tabla1[[#This Row],[PRECIO $ BOLSA 50 KG (IVA INC) ]]+Tabla1[[#This Row],[COSTO FLETE $ BOLSA 50 KG (IVA INC)]])</f>
        <v>#VALUE!</v>
      </c>
      <c r="AD613" s="844" t="e">
        <f>-Tabla1[[#This Row],[PRECIO $ BOLSA 50 KG (IVA INC) ]]*(Tabla1[[#This Row],[TASA FINANCIACION MENSUAL]]/365)*Tabla1[[#This Row],[PLAZO ENTREGA VALORES]]</f>
        <v>#VALUE!</v>
      </c>
      <c r="AE613" s="845" t="e">
        <f>SUM(Tabla1[[#This Row],[PRECIO $ BOLSA50 KG  FOB TUCUMAN A PLAZO (IVA INC)]]+Tabla1[[#This Row],[GASTOS FINANCIEROS $ BOLSA 50 KG (IVA INC)]])</f>
        <v>#VALUE!</v>
      </c>
      <c r="AF613" s="828"/>
      <c r="AG613" s="828"/>
      <c r="AH613" s="828"/>
      <c r="AI613" s="828"/>
      <c r="AJ61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13" s="846" t="e">
        <f>SUM(Tabla1[[#This Row],[PRECIO $ BOLSA 50KG  FOB CDO TUC (IVA INC)]]-Tabla1[[#This Row],[PRECIO REF $ BOLSA 50 KG CACTU (IVA INC)]])</f>
        <v>#VALUE!</v>
      </c>
      <c r="AL613" s="847" t="str">
        <f>IFERROR(Tabla1[[#This Row],[PRECIO $ BOLSA 50KG  FOB CDO TUC (IVA INC)]]/Tabla1[[#This Row],[PRECIO REF $ BOLSA 50 KG CACTU (IVA INC)]]-1,"")</f>
        <v/>
      </c>
      <c r="AM613" s="846" t="e">
        <f>+Tabla1[[#This Row],[DIF $ PRECIO NETO INDUSTRIA vs Neto TUCUMAN (IVA INC)]]*Tabla1[[#This Row],[Q Bolsas Equivalentes 50kg]]</f>
        <v>#VALUE!</v>
      </c>
      <c r="AN613" s="846" t="e">
        <f>Tabla1[[#This Row],[PRECIO REF $ BOLSA 50 KG CACTU (IVA INC)]]*Tabla1[[#This Row],[Q Bolsas Equivalentes 50kg]]</f>
        <v>#VALUE!</v>
      </c>
      <c r="AO613" s="846" t="e">
        <f>+Tabla1[[#This Row],[PRECIO $ BOLSA 50KG  FOB CDO TUC (IVA INC)]]*Tabla1[[#This Row],[Q Bolsas Equivalentes 50kg]]</f>
        <v>#VALUE!</v>
      </c>
      <c r="AP613" s="847"/>
      <c r="AQ613" s="846">
        <v>0</v>
      </c>
      <c r="AR613" s="828"/>
      <c r="AS613" s="849"/>
      <c r="AT613" s="923">
        <f>+Tabla1[[#This Row],[VENTA TOTAL $ (IVA INC) ]]-(SUM(Tabla1[[#This Row],[PENDIENTE DE ENTREGA]:[VALORES COBRADOS]]))</f>
        <v>0</v>
      </c>
      <c r="AU613" s="850" t="e">
        <f>VLOOKUP(Tabla1[[#This Row],[FECHA OC]],'TIPO DE CAMBIO'!A:B,2,TRUE)</f>
        <v>#N/A</v>
      </c>
      <c r="AV613" s="850" t="e">
        <f>+Tabla1[[#This Row],[SUBTOTAL]]/Tabla1[[#This Row],[TIPO DE CAMBIO]]</f>
        <v>#N/A</v>
      </c>
      <c r="AW613" s="851"/>
      <c r="AX613" s="850" t="str">
        <f>IFERROR(Tabla1[[#This Row],[VENTA TOTAL USD A PLAZO EN CLIENTE  (SIN IVA)]]*(1+Tabla1[[#This Row],[% IVA ]]),"")</f>
        <v/>
      </c>
      <c r="AY613" s="850" t="e">
        <f>+Tabla1[[#This Row],[VENTA TOTAL USD A PLAZO EN CLIENTE  (SIN IVA)]]/Tabla1[[#This Row],[KGS]]*1000</f>
        <v>#N/A</v>
      </c>
      <c r="AZ613" s="850" t="e">
        <f>-Tabla1[[#This Row],[COSTO FLETE $ POR BOLSA 5O KG (SIN IVA)]]*20/Tabla1[[#This Row],[TIPO DE CAMBIO]]</f>
        <v>#N/A</v>
      </c>
      <c r="BA613" s="850" t="e">
        <f>+Tabla1[[#This Row],[GASTOS FINANCIEROS $ BOLSA 50 KG (IVA INC)]]*20/Tabla1[[#This Row],[TIPO DE CAMBIO]]</f>
        <v>#VALUE!</v>
      </c>
      <c r="BB613" s="850" t="e">
        <f>+Tabla1[[#This Row],[PRECIO POR TN USD EN CLIENTE A PLAZO (SIN IVA)]]+Tabla1[[#This Row],[COSTO USD FLETE /TN (SIN IVA)]]+Tabla1[[#This Row],[COSTO FINANCIERO USD POR BOLSA 50KG (IVA INC)]]</f>
        <v>#N/A</v>
      </c>
      <c r="BC613" s="828"/>
      <c r="BD613" s="944"/>
    </row>
    <row r="614" spans="1:56" ht="15.75" customHeight="1">
      <c r="A614" s="912">
        <v>46296</v>
      </c>
      <c r="B614" s="863"/>
      <c r="C614" s="792"/>
      <c r="D614" s="829">
        <f>+Tabla1[[#This Row],[FECHA Entrega]]</f>
        <v>0</v>
      </c>
      <c r="E614" s="830"/>
      <c r="F614" s="831"/>
      <c r="G614" s="832"/>
      <c r="H614" s="852"/>
      <c r="I614" s="834"/>
      <c r="J614" s="835"/>
      <c r="K614" s="836">
        <f t="shared" si="148"/>
        <v>0</v>
      </c>
      <c r="L61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14" s="837">
        <f t="shared" si="150"/>
        <v>0</v>
      </c>
      <c r="N614" s="838">
        <f>+Tabla1[[#This Row],[VENTA TOTAL $ (IVA INC) ]]</f>
        <v>0</v>
      </c>
      <c r="O614" s="838">
        <v>0</v>
      </c>
      <c r="P614" s="838">
        <v>0</v>
      </c>
      <c r="Q614" s="839">
        <f>+Tabla1[[#This Row],[VENTA TOTAL $ (IVA INC) ]]-Tabla1[[#This Row],[PENDIENTE DE COBRO]]</f>
        <v>0</v>
      </c>
      <c r="R614" s="840">
        <f>+Tabla1[[#This Row],[FECHA FC]]+Tabla1[[#This Row],[PLAZO ENTREGA VALORES]]</f>
        <v>0</v>
      </c>
      <c r="S614" s="840">
        <f>+Tabla1[[#This Row],[FECHA FC]]+Tabla1[[#This Row],[PLAZO PAGO (DIAS)]]</f>
        <v>0</v>
      </c>
      <c r="T614" s="834">
        <f t="shared" ca="1" si="149"/>
        <v>-46181</v>
      </c>
      <c r="U614" s="831"/>
      <c r="V614" s="831"/>
      <c r="W614" s="841">
        <f>+Tabla1[[#This Row],[FECHA VTO VALORES]]+7</f>
        <v>7</v>
      </c>
      <c r="X614" s="830"/>
      <c r="Y614" s="859"/>
      <c r="Z614" s="860">
        <f>Tabla1[[#This Row],[KGS]]/50</f>
        <v>0</v>
      </c>
      <c r="AA61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14" s="844">
        <f>-Tabla1[[#This Row],[COSTO FLETE $ POR BOLSA 5O KG (SIN IVA)]]*1.21-Tabla1[[#This Row],[PRECIO $/ KG A PLAZO EN CLIENTE ( SIN IVA)]]*0.003*1.21*50</f>
        <v>0</v>
      </c>
      <c r="AC614" s="845" t="e">
        <f>SUM(Tabla1[[#This Row],[PRECIO $ BOLSA 50 KG (IVA INC) ]]+Tabla1[[#This Row],[COSTO FLETE $ BOLSA 50 KG (IVA INC)]])</f>
        <v>#VALUE!</v>
      </c>
      <c r="AD614" s="844" t="e">
        <f>-Tabla1[[#This Row],[PRECIO $ BOLSA 50 KG (IVA INC) ]]*(Tabla1[[#This Row],[TASA FINANCIACION MENSUAL]]/365)*Tabla1[[#This Row],[PLAZO ENTREGA VALORES]]</f>
        <v>#VALUE!</v>
      </c>
      <c r="AE614" s="845" t="e">
        <f>SUM(Tabla1[[#This Row],[PRECIO $ BOLSA50 KG  FOB TUCUMAN A PLAZO (IVA INC)]]+Tabla1[[#This Row],[GASTOS FINANCIEROS $ BOLSA 50 KG (IVA INC)]])</f>
        <v>#VALUE!</v>
      </c>
      <c r="AF614" s="828"/>
      <c r="AG614" s="828"/>
      <c r="AH614" s="828"/>
      <c r="AI614" s="828"/>
      <c r="AJ61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14" s="846" t="e">
        <f>SUM(Tabla1[[#This Row],[PRECIO $ BOLSA 50KG  FOB CDO TUC (IVA INC)]]-Tabla1[[#This Row],[PRECIO REF $ BOLSA 50 KG CACTU (IVA INC)]])</f>
        <v>#VALUE!</v>
      </c>
      <c r="AL614" s="847" t="str">
        <f>IFERROR(Tabla1[[#This Row],[PRECIO $ BOLSA 50KG  FOB CDO TUC (IVA INC)]]/Tabla1[[#This Row],[PRECIO REF $ BOLSA 50 KG CACTU (IVA INC)]]-1,"")</f>
        <v/>
      </c>
      <c r="AM614" s="846" t="e">
        <f>+Tabla1[[#This Row],[DIF $ PRECIO NETO INDUSTRIA vs Neto TUCUMAN (IVA INC)]]*Tabla1[[#This Row],[Q Bolsas Equivalentes 50kg]]</f>
        <v>#VALUE!</v>
      </c>
      <c r="AN614" s="846" t="e">
        <f>Tabla1[[#This Row],[PRECIO REF $ BOLSA 50 KG CACTU (IVA INC)]]*Tabla1[[#This Row],[Q Bolsas Equivalentes 50kg]]</f>
        <v>#VALUE!</v>
      </c>
      <c r="AO614" s="846" t="e">
        <f>+Tabla1[[#This Row],[PRECIO $ BOLSA 50KG  FOB CDO TUC (IVA INC)]]*Tabla1[[#This Row],[Q Bolsas Equivalentes 50kg]]</f>
        <v>#VALUE!</v>
      </c>
      <c r="AP614" s="847"/>
      <c r="AQ614" s="846">
        <v>0</v>
      </c>
      <c r="AR614" s="828"/>
      <c r="AS614" s="849"/>
      <c r="AT614" s="923">
        <f>+Tabla1[[#This Row],[VENTA TOTAL $ (IVA INC) ]]-(SUM(Tabla1[[#This Row],[PENDIENTE DE ENTREGA]:[VALORES COBRADOS]]))</f>
        <v>0</v>
      </c>
      <c r="AU614" s="850" t="e">
        <f>VLOOKUP(Tabla1[[#This Row],[FECHA OC]],'TIPO DE CAMBIO'!A:B,2,TRUE)</f>
        <v>#N/A</v>
      </c>
      <c r="AV614" s="850" t="e">
        <f>+Tabla1[[#This Row],[SUBTOTAL]]/Tabla1[[#This Row],[TIPO DE CAMBIO]]</f>
        <v>#N/A</v>
      </c>
      <c r="AW614" s="851"/>
      <c r="AX614" s="850" t="str">
        <f>IFERROR(Tabla1[[#This Row],[VENTA TOTAL USD A PLAZO EN CLIENTE  (SIN IVA)]]*(1+Tabla1[[#This Row],[% IVA ]]),"")</f>
        <v/>
      </c>
      <c r="AY614" s="850" t="e">
        <f>+Tabla1[[#This Row],[VENTA TOTAL USD A PLAZO EN CLIENTE  (SIN IVA)]]/Tabla1[[#This Row],[KGS]]*1000</f>
        <v>#N/A</v>
      </c>
      <c r="AZ614" s="850" t="e">
        <f>-Tabla1[[#This Row],[COSTO FLETE $ POR BOLSA 5O KG (SIN IVA)]]*20/Tabla1[[#This Row],[TIPO DE CAMBIO]]</f>
        <v>#N/A</v>
      </c>
      <c r="BA614" s="850" t="e">
        <f>+Tabla1[[#This Row],[GASTOS FINANCIEROS $ BOLSA 50 KG (IVA INC)]]*20/Tabla1[[#This Row],[TIPO DE CAMBIO]]</f>
        <v>#VALUE!</v>
      </c>
      <c r="BB614" s="850" t="e">
        <f>+Tabla1[[#This Row],[PRECIO POR TN USD EN CLIENTE A PLAZO (SIN IVA)]]+Tabla1[[#This Row],[COSTO USD FLETE /TN (SIN IVA)]]+Tabla1[[#This Row],[COSTO FINANCIERO USD POR BOLSA 50KG (IVA INC)]]</f>
        <v>#N/A</v>
      </c>
      <c r="BC614" s="828"/>
      <c r="BD614" s="944"/>
    </row>
    <row r="615" spans="1:56" ht="15.75" customHeight="1">
      <c r="A615" s="912">
        <v>46296</v>
      </c>
      <c r="B615" s="863"/>
      <c r="C615" s="792"/>
      <c r="D615" s="829">
        <f>+Tabla1[[#This Row],[FECHA Entrega]]</f>
        <v>0</v>
      </c>
      <c r="E615" s="830"/>
      <c r="F615" s="831"/>
      <c r="G615" s="832"/>
      <c r="H615" s="852"/>
      <c r="I615" s="834"/>
      <c r="J615" s="835"/>
      <c r="K615" s="836">
        <f t="shared" si="148"/>
        <v>0</v>
      </c>
      <c r="L61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15" s="837">
        <f t="shared" si="150"/>
        <v>0</v>
      </c>
      <c r="N615" s="838">
        <f>+Tabla1[[#This Row],[VENTA TOTAL $ (IVA INC) ]]</f>
        <v>0</v>
      </c>
      <c r="O615" s="838">
        <v>0</v>
      </c>
      <c r="P615" s="838">
        <v>0</v>
      </c>
      <c r="Q615" s="839">
        <f>+Tabla1[[#This Row],[VENTA TOTAL $ (IVA INC) ]]-Tabla1[[#This Row],[PENDIENTE DE COBRO]]</f>
        <v>0</v>
      </c>
      <c r="R615" s="840">
        <f>+Tabla1[[#This Row],[FECHA FC]]+Tabla1[[#This Row],[PLAZO ENTREGA VALORES]]</f>
        <v>0</v>
      </c>
      <c r="S615" s="840">
        <f>+Tabla1[[#This Row],[FECHA FC]]+Tabla1[[#This Row],[PLAZO PAGO (DIAS)]]</f>
        <v>0</v>
      </c>
      <c r="T615" s="834">
        <f t="shared" ca="1" si="149"/>
        <v>-46181</v>
      </c>
      <c r="U615" s="831"/>
      <c r="V615" s="831"/>
      <c r="W615" s="841">
        <f>+Tabla1[[#This Row],[FECHA VTO VALORES]]+7</f>
        <v>7</v>
      </c>
      <c r="X615" s="830"/>
      <c r="Y615" s="859"/>
      <c r="Z615" s="860">
        <f>Tabla1[[#This Row],[KGS]]/50</f>
        <v>0</v>
      </c>
      <c r="AA61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15" s="844">
        <f>-Tabla1[[#This Row],[COSTO FLETE $ POR BOLSA 5O KG (SIN IVA)]]*1.21-Tabla1[[#This Row],[PRECIO $/ KG A PLAZO EN CLIENTE ( SIN IVA)]]*0.003*1.21*50</f>
        <v>0</v>
      </c>
      <c r="AC615" s="845" t="e">
        <f>SUM(Tabla1[[#This Row],[PRECIO $ BOLSA 50 KG (IVA INC) ]]+Tabla1[[#This Row],[COSTO FLETE $ BOLSA 50 KG (IVA INC)]])</f>
        <v>#VALUE!</v>
      </c>
      <c r="AD615" s="844" t="e">
        <f>-Tabla1[[#This Row],[PRECIO $ BOLSA 50 KG (IVA INC) ]]*(Tabla1[[#This Row],[TASA FINANCIACION MENSUAL]]/365)*Tabla1[[#This Row],[PLAZO ENTREGA VALORES]]</f>
        <v>#VALUE!</v>
      </c>
      <c r="AE615" s="845" t="e">
        <f>SUM(Tabla1[[#This Row],[PRECIO $ BOLSA50 KG  FOB TUCUMAN A PLAZO (IVA INC)]]+Tabla1[[#This Row],[GASTOS FINANCIEROS $ BOLSA 50 KG (IVA INC)]])</f>
        <v>#VALUE!</v>
      </c>
      <c r="AF615" s="828"/>
      <c r="AG615" s="828"/>
      <c r="AH615" s="828"/>
      <c r="AI615" s="828"/>
      <c r="AJ61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15" s="846" t="e">
        <f>SUM(Tabla1[[#This Row],[PRECIO $ BOLSA 50KG  FOB CDO TUC (IVA INC)]]-Tabla1[[#This Row],[PRECIO REF $ BOLSA 50 KG CACTU (IVA INC)]])</f>
        <v>#VALUE!</v>
      </c>
      <c r="AL615" s="847" t="str">
        <f>IFERROR(Tabla1[[#This Row],[PRECIO $ BOLSA 50KG  FOB CDO TUC (IVA INC)]]/Tabla1[[#This Row],[PRECIO REF $ BOLSA 50 KG CACTU (IVA INC)]]-1,"")</f>
        <v/>
      </c>
      <c r="AM615" s="846" t="e">
        <f>+Tabla1[[#This Row],[DIF $ PRECIO NETO INDUSTRIA vs Neto TUCUMAN (IVA INC)]]*Tabla1[[#This Row],[Q Bolsas Equivalentes 50kg]]</f>
        <v>#VALUE!</v>
      </c>
      <c r="AN615" s="846" t="e">
        <f>Tabla1[[#This Row],[PRECIO REF $ BOLSA 50 KG CACTU (IVA INC)]]*Tabla1[[#This Row],[Q Bolsas Equivalentes 50kg]]</f>
        <v>#VALUE!</v>
      </c>
      <c r="AO615" s="846" t="e">
        <f>+Tabla1[[#This Row],[PRECIO $ BOLSA 50KG  FOB CDO TUC (IVA INC)]]*Tabla1[[#This Row],[Q Bolsas Equivalentes 50kg]]</f>
        <v>#VALUE!</v>
      </c>
      <c r="AP615" s="847"/>
      <c r="AQ615" s="846">
        <v>0</v>
      </c>
      <c r="AR615" s="828"/>
      <c r="AS615" s="849"/>
      <c r="AT615" s="923">
        <f>+Tabla1[[#This Row],[VENTA TOTAL $ (IVA INC) ]]-(SUM(Tabla1[[#This Row],[PENDIENTE DE ENTREGA]:[VALORES COBRADOS]]))</f>
        <v>0</v>
      </c>
      <c r="AU615" s="850" t="e">
        <f>VLOOKUP(Tabla1[[#This Row],[FECHA OC]],'TIPO DE CAMBIO'!A:B,2,TRUE)</f>
        <v>#N/A</v>
      </c>
      <c r="AV615" s="850" t="e">
        <f>+Tabla1[[#This Row],[SUBTOTAL]]/Tabla1[[#This Row],[TIPO DE CAMBIO]]</f>
        <v>#N/A</v>
      </c>
      <c r="AW615" s="851"/>
      <c r="AX615" s="850" t="str">
        <f>IFERROR(Tabla1[[#This Row],[VENTA TOTAL USD A PLAZO EN CLIENTE  (SIN IVA)]]*(1+Tabla1[[#This Row],[% IVA ]]),"")</f>
        <v/>
      </c>
      <c r="AY615" s="850" t="e">
        <f>+Tabla1[[#This Row],[VENTA TOTAL USD A PLAZO EN CLIENTE  (SIN IVA)]]/Tabla1[[#This Row],[KGS]]*1000</f>
        <v>#N/A</v>
      </c>
      <c r="AZ615" s="850" t="e">
        <f>-Tabla1[[#This Row],[COSTO FLETE $ POR BOLSA 5O KG (SIN IVA)]]*20/Tabla1[[#This Row],[TIPO DE CAMBIO]]</f>
        <v>#N/A</v>
      </c>
      <c r="BA615" s="850" t="e">
        <f>+Tabla1[[#This Row],[GASTOS FINANCIEROS $ BOLSA 50 KG (IVA INC)]]*20/Tabla1[[#This Row],[TIPO DE CAMBIO]]</f>
        <v>#VALUE!</v>
      </c>
      <c r="BB615" s="850" t="e">
        <f>+Tabla1[[#This Row],[PRECIO POR TN USD EN CLIENTE A PLAZO (SIN IVA)]]+Tabla1[[#This Row],[COSTO USD FLETE /TN (SIN IVA)]]+Tabla1[[#This Row],[COSTO FINANCIERO USD POR BOLSA 50KG (IVA INC)]]</f>
        <v>#N/A</v>
      </c>
      <c r="BC615" s="828"/>
      <c r="BD615" s="944"/>
    </row>
    <row r="616" spans="1:56" ht="15.75" customHeight="1">
      <c r="A616" s="912">
        <v>46296</v>
      </c>
      <c r="B616" s="863"/>
      <c r="C616" s="792"/>
      <c r="D616" s="829">
        <f>+Tabla1[[#This Row],[FECHA Entrega]]</f>
        <v>0</v>
      </c>
      <c r="E616" s="830"/>
      <c r="F616" s="831"/>
      <c r="G616" s="832"/>
      <c r="H616" s="852"/>
      <c r="I616" s="834"/>
      <c r="J616" s="835"/>
      <c r="K616" s="836">
        <f t="shared" si="148"/>
        <v>0</v>
      </c>
      <c r="L61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16" s="837">
        <f t="shared" si="150"/>
        <v>0</v>
      </c>
      <c r="N616" s="838">
        <f>+Tabla1[[#This Row],[VENTA TOTAL $ (IVA INC) ]]</f>
        <v>0</v>
      </c>
      <c r="O616" s="838">
        <v>0</v>
      </c>
      <c r="P616" s="838">
        <v>0</v>
      </c>
      <c r="Q616" s="839">
        <f>+Tabla1[[#This Row],[VENTA TOTAL $ (IVA INC) ]]-Tabla1[[#This Row],[PENDIENTE DE COBRO]]</f>
        <v>0</v>
      </c>
      <c r="R616" s="840">
        <f>+Tabla1[[#This Row],[FECHA FC]]+Tabla1[[#This Row],[PLAZO ENTREGA VALORES]]</f>
        <v>0</v>
      </c>
      <c r="S616" s="840">
        <f>+Tabla1[[#This Row],[FECHA FC]]+Tabla1[[#This Row],[PLAZO PAGO (DIAS)]]</f>
        <v>0</v>
      </c>
      <c r="T616" s="834">
        <f t="shared" ca="1" si="149"/>
        <v>-46181</v>
      </c>
      <c r="U616" s="831"/>
      <c r="V616" s="831"/>
      <c r="W616" s="841">
        <f>+Tabla1[[#This Row],[FECHA VTO VALORES]]+7</f>
        <v>7</v>
      </c>
      <c r="X616" s="830"/>
      <c r="Y616" s="859"/>
      <c r="Z616" s="860">
        <f>Tabla1[[#This Row],[KGS]]/50</f>
        <v>0</v>
      </c>
      <c r="AA61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16" s="844">
        <f>-Tabla1[[#This Row],[COSTO FLETE $ POR BOLSA 5O KG (SIN IVA)]]*1.21-Tabla1[[#This Row],[PRECIO $/ KG A PLAZO EN CLIENTE ( SIN IVA)]]*0.003*1.21*50</f>
        <v>0</v>
      </c>
      <c r="AC616" s="845" t="e">
        <f>SUM(Tabla1[[#This Row],[PRECIO $ BOLSA 50 KG (IVA INC) ]]+Tabla1[[#This Row],[COSTO FLETE $ BOLSA 50 KG (IVA INC)]])</f>
        <v>#VALUE!</v>
      </c>
      <c r="AD616" s="844" t="e">
        <f>-Tabla1[[#This Row],[PRECIO $ BOLSA 50 KG (IVA INC) ]]*(Tabla1[[#This Row],[TASA FINANCIACION MENSUAL]]/365)*Tabla1[[#This Row],[PLAZO ENTREGA VALORES]]</f>
        <v>#VALUE!</v>
      </c>
      <c r="AE616" s="845" t="e">
        <f>SUM(Tabla1[[#This Row],[PRECIO $ BOLSA50 KG  FOB TUCUMAN A PLAZO (IVA INC)]]+Tabla1[[#This Row],[GASTOS FINANCIEROS $ BOLSA 50 KG (IVA INC)]])</f>
        <v>#VALUE!</v>
      </c>
      <c r="AF616" s="828"/>
      <c r="AG616" s="828"/>
      <c r="AH616" s="828"/>
      <c r="AI616" s="828"/>
      <c r="AJ61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16" s="846" t="e">
        <f>SUM(Tabla1[[#This Row],[PRECIO $ BOLSA 50KG  FOB CDO TUC (IVA INC)]]-Tabla1[[#This Row],[PRECIO REF $ BOLSA 50 KG CACTU (IVA INC)]])</f>
        <v>#VALUE!</v>
      </c>
      <c r="AL616" s="847" t="str">
        <f>IFERROR(Tabla1[[#This Row],[PRECIO $ BOLSA 50KG  FOB CDO TUC (IVA INC)]]/Tabla1[[#This Row],[PRECIO REF $ BOLSA 50 KG CACTU (IVA INC)]]-1,"")</f>
        <v/>
      </c>
      <c r="AM616" s="846" t="e">
        <f>+Tabla1[[#This Row],[DIF $ PRECIO NETO INDUSTRIA vs Neto TUCUMAN (IVA INC)]]*Tabla1[[#This Row],[Q Bolsas Equivalentes 50kg]]</f>
        <v>#VALUE!</v>
      </c>
      <c r="AN616" s="846" t="e">
        <f>Tabla1[[#This Row],[PRECIO REF $ BOLSA 50 KG CACTU (IVA INC)]]*Tabla1[[#This Row],[Q Bolsas Equivalentes 50kg]]</f>
        <v>#VALUE!</v>
      </c>
      <c r="AO616" s="846" t="e">
        <f>+Tabla1[[#This Row],[PRECIO $ BOLSA 50KG  FOB CDO TUC (IVA INC)]]*Tabla1[[#This Row],[Q Bolsas Equivalentes 50kg]]</f>
        <v>#VALUE!</v>
      </c>
      <c r="AP616" s="847"/>
      <c r="AQ616" s="846">
        <v>0</v>
      </c>
      <c r="AR616" s="828"/>
      <c r="AS616" s="849"/>
      <c r="AT616" s="923">
        <f>+Tabla1[[#This Row],[VENTA TOTAL $ (IVA INC) ]]-(SUM(Tabla1[[#This Row],[PENDIENTE DE ENTREGA]:[VALORES COBRADOS]]))</f>
        <v>0</v>
      </c>
      <c r="AU616" s="850" t="e">
        <f>VLOOKUP(Tabla1[[#This Row],[FECHA OC]],'TIPO DE CAMBIO'!A:B,2,TRUE)</f>
        <v>#N/A</v>
      </c>
      <c r="AV616" s="850" t="e">
        <f>+Tabla1[[#This Row],[SUBTOTAL]]/Tabla1[[#This Row],[TIPO DE CAMBIO]]</f>
        <v>#N/A</v>
      </c>
      <c r="AW616" s="851"/>
      <c r="AX616" s="850" t="str">
        <f>IFERROR(Tabla1[[#This Row],[VENTA TOTAL USD A PLAZO EN CLIENTE  (SIN IVA)]]*(1+Tabla1[[#This Row],[% IVA ]]),"")</f>
        <v/>
      </c>
      <c r="AY616" s="850" t="e">
        <f>+Tabla1[[#This Row],[VENTA TOTAL USD A PLAZO EN CLIENTE  (SIN IVA)]]/Tabla1[[#This Row],[KGS]]*1000</f>
        <v>#N/A</v>
      </c>
      <c r="AZ616" s="850" t="e">
        <f>-Tabla1[[#This Row],[COSTO FLETE $ POR BOLSA 5O KG (SIN IVA)]]*20/Tabla1[[#This Row],[TIPO DE CAMBIO]]</f>
        <v>#N/A</v>
      </c>
      <c r="BA616" s="850" t="e">
        <f>+Tabla1[[#This Row],[GASTOS FINANCIEROS $ BOLSA 50 KG (IVA INC)]]*20/Tabla1[[#This Row],[TIPO DE CAMBIO]]</f>
        <v>#VALUE!</v>
      </c>
      <c r="BB616" s="850" t="e">
        <f>+Tabla1[[#This Row],[PRECIO POR TN USD EN CLIENTE A PLAZO (SIN IVA)]]+Tabla1[[#This Row],[COSTO USD FLETE /TN (SIN IVA)]]+Tabla1[[#This Row],[COSTO FINANCIERO USD POR BOLSA 50KG (IVA INC)]]</f>
        <v>#N/A</v>
      </c>
      <c r="BC616" s="828"/>
      <c r="BD616" s="944"/>
    </row>
    <row r="617" spans="1:56" ht="15.75" customHeight="1">
      <c r="A617" s="912">
        <v>46296</v>
      </c>
      <c r="B617" s="863"/>
      <c r="C617" s="792"/>
      <c r="D617" s="829">
        <f>+Tabla1[[#This Row],[FECHA Entrega]]</f>
        <v>0</v>
      </c>
      <c r="E617" s="830"/>
      <c r="F617" s="831"/>
      <c r="G617" s="832"/>
      <c r="H617" s="852"/>
      <c r="I617" s="834"/>
      <c r="J617" s="835"/>
      <c r="K617" s="836">
        <f t="shared" si="148"/>
        <v>0</v>
      </c>
      <c r="L61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17" s="837">
        <f t="shared" si="150"/>
        <v>0</v>
      </c>
      <c r="N617" s="838">
        <f>+Tabla1[[#This Row],[VENTA TOTAL $ (IVA INC) ]]</f>
        <v>0</v>
      </c>
      <c r="O617" s="838">
        <v>0</v>
      </c>
      <c r="P617" s="838">
        <v>0</v>
      </c>
      <c r="Q617" s="839">
        <f>+Tabla1[[#This Row],[VENTA TOTAL $ (IVA INC) ]]-Tabla1[[#This Row],[PENDIENTE DE COBRO]]</f>
        <v>0</v>
      </c>
      <c r="R617" s="840">
        <f>+Tabla1[[#This Row],[FECHA FC]]+Tabla1[[#This Row],[PLAZO ENTREGA VALORES]]</f>
        <v>0</v>
      </c>
      <c r="S617" s="840">
        <f>+Tabla1[[#This Row],[FECHA FC]]+Tabla1[[#This Row],[PLAZO PAGO (DIAS)]]</f>
        <v>0</v>
      </c>
      <c r="T617" s="834">
        <f t="shared" ca="1" si="149"/>
        <v>-46181</v>
      </c>
      <c r="U617" s="831"/>
      <c r="V617" s="831"/>
      <c r="W617" s="841">
        <f>+Tabla1[[#This Row],[FECHA VTO VALORES]]+7</f>
        <v>7</v>
      </c>
      <c r="X617" s="830"/>
      <c r="Y617" s="859"/>
      <c r="Z617" s="860">
        <f>Tabla1[[#This Row],[KGS]]/50</f>
        <v>0</v>
      </c>
      <c r="AA61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17" s="844">
        <f>-Tabla1[[#This Row],[COSTO FLETE $ POR BOLSA 5O KG (SIN IVA)]]*1.21-Tabla1[[#This Row],[PRECIO $/ KG A PLAZO EN CLIENTE ( SIN IVA)]]*0.003*1.21*50</f>
        <v>0</v>
      </c>
      <c r="AC617" s="845" t="e">
        <f>SUM(Tabla1[[#This Row],[PRECIO $ BOLSA 50 KG (IVA INC) ]]+Tabla1[[#This Row],[COSTO FLETE $ BOLSA 50 KG (IVA INC)]])</f>
        <v>#VALUE!</v>
      </c>
      <c r="AD617" s="844" t="e">
        <f>-Tabla1[[#This Row],[PRECIO $ BOLSA 50 KG (IVA INC) ]]*(Tabla1[[#This Row],[TASA FINANCIACION MENSUAL]]/365)*Tabla1[[#This Row],[PLAZO ENTREGA VALORES]]</f>
        <v>#VALUE!</v>
      </c>
      <c r="AE617" s="845" t="e">
        <f>SUM(Tabla1[[#This Row],[PRECIO $ BOLSA50 KG  FOB TUCUMAN A PLAZO (IVA INC)]]+Tabla1[[#This Row],[GASTOS FINANCIEROS $ BOLSA 50 KG (IVA INC)]])</f>
        <v>#VALUE!</v>
      </c>
      <c r="AF617" s="828"/>
      <c r="AG617" s="828"/>
      <c r="AH617" s="828"/>
      <c r="AI617" s="828"/>
      <c r="AJ61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17" s="846" t="e">
        <f>SUM(Tabla1[[#This Row],[PRECIO $ BOLSA 50KG  FOB CDO TUC (IVA INC)]]-Tabla1[[#This Row],[PRECIO REF $ BOLSA 50 KG CACTU (IVA INC)]])</f>
        <v>#VALUE!</v>
      </c>
      <c r="AL617" s="847" t="str">
        <f>IFERROR(Tabla1[[#This Row],[PRECIO $ BOLSA 50KG  FOB CDO TUC (IVA INC)]]/Tabla1[[#This Row],[PRECIO REF $ BOLSA 50 KG CACTU (IVA INC)]]-1,"")</f>
        <v/>
      </c>
      <c r="AM617" s="846" t="e">
        <f>+Tabla1[[#This Row],[DIF $ PRECIO NETO INDUSTRIA vs Neto TUCUMAN (IVA INC)]]*Tabla1[[#This Row],[Q Bolsas Equivalentes 50kg]]</f>
        <v>#VALUE!</v>
      </c>
      <c r="AN617" s="846" t="e">
        <f>Tabla1[[#This Row],[PRECIO REF $ BOLSA 50 KG CACTU (IVA INC)]]*Tabla1[[#This Row],[Q Bolsas Equivalentes 50kg]]</f>
        <v>#VALUE!</v>
      </c>
      <c r="AO617" s="846" t="e">
        <f>+Tabla1[[#This Row],[PRECIO $ BOLSA 50KG  FOB CDO TUC (IVA INC)]]*Tabla1[[#This Row],[Q Bolsas Equivalentes 50kg]]</f>
        <v>#VALUE!</v>
      </c>
      <c r="AP617" s="847"/>
      <c r="AQ617" s="846">
        <v>0</v>
      </c>
      <c r="AR617" s="828"/>
      <c r="AS617" s="849"/>
      <c r="AT617" s="923">
        <f>+Tabla1[[#This Row],[VENTA TOTAL $ (IVA INC) ]]-(SUM(Tabla1[[#This Row],[PENDIENTE DE ENTREGA]:[VALORES COBRADOS]]))</f>
        <v>0</v>
      </c>
      <c r="AU617" s="850" t="e">
        <f>VLOOKUP(Tabla1[[#This Row],[FECHA OC]],'TIPO DE CAMBIO'!A:B,2,TRUE)</f>
        <v>#N/A</v>
      </c>
      <c r="AV617" s="850" t="e">
        <f>+Tabla1[[#This Row],[SUBTOTAL]]/Tabla1[[#This Row],[TIPO DE CAMBIO]]</f>
        <v>#N/A</v>
      </c>
      <c r="AW617" s="851"/>
      <c r="AX617" s="850" t="str">
        <f>IFERROR(Tabla1[[#This Row],[VENTA TOTAL USD A PLAZO EN CLIENTE  (SIN IVA)]]*(1+Tabla1[[#This Row],[% IVA ]]),"")</f>
        <v/>
      </c>
      <c r="AY617" s="850" t="e">
        <f>+Tabla1[[#This Row],[VENTA TOTAL USD A PLAZO EN CLIENTE  (SIN IVA)]]/Tabla1[[#This Row],[KGS]]*1000</f>
        <v>#N/A</v>
      </c>
      <c r="AZ617" s="850" t="e">
        <f>-Tabla1[[#This Row],[COSTO FLETE $ POR BOLSA 5O KG (SIN IVA)]]*20/Tabla1[[#This Row],[TIPO DE CAMBIO]]</f>
        <v>#N/A</v>
      </c>
      <c r="BA617" s="850" t="e">
        <f>+Tabla1[[#This Row],[GASTOS FINANCIEROS $ BOLSA 50 KG (IVA INC)]]*20/Tabla1[[#This Row],[TIPO DE CAMBIO]]</f>
        <v>#VALUE!</v>
      </c>
      <c r="BB617" s="850" t="e">
        <f>+Tabla1[[#This Row],[PRECIO POR TN USD EN CLIENTE A PLAZO (SIN IVA)]]+Tabla1[[#This Row],[COSTO USD FLETE /TN (SIN IVA)]]+Tabla1[[#This Row],[COSTO FINANCIERO USD POR BOLSA 50KG (IVA INC)]]</f>
        <v>#N/A</v>
      </c>
      <c r="BC617" s="828"/>
      <c r="BD617" s="944"/>
    </row>
    <row r="618" spans="1:56" ht="15.75" customHeight="1">
      <c r="A618" s="912">
        <v>46296</v>
      </c>
      <c r="B618" s="863"/>
      <c r="C618" s="792"/>
      <c r="D618" s="829">
        <f>+Tabla1[[#This Row],[FECHA Entrega]]</f>
        <v>0</v>
      </c>
      <c r="E618" s="830"/>
      <c r="F618" s="831"/>
      <c r="G618" s="832"/>
      <c r="H618" s="852"/>
      <c r="I618" s="834"/>
      <c r="J618" s="835"/>
      <c r="K618" s="836">
        <f t="shared" si="148"/>
        <v>0</v>
      </c>
      <c r="L61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18" s="837">
        <f t="shared" si="150"/>
        <v>0</v>
      </c>
      <c r="N618" s="838">
        <f>+Tabla1[[#This Row],[VENTA TOTAL $ (IVA INC) ]]</f>
        <v>0</v>
      </c>
      <c r="O618" s="838">
        <v>0</v>
      </c>
      <c r="P618" s="838">
        <v>0</v>
      </c>
      <c r="Q618" s="839">
        <f>+Tabla1[[#This Row],[VENTA TOTAL $ (IVA INC) ]]-Tabla1[[#This Row],[PENDIENTE DE COBRO]]</f>
        <v>0</v>
      </c>
      <c r="R618" s="840">
        <f>+Tabla1[[#This Row],[FECHA FC]]+Tabla1[[#This Row],[PLAZO ENTREGA VALORES]]</f>
        <v>0</v>
      </c>
      <c r="S618" s="840">
        <f>+Tabla1[[#This Row],[FECHA FC]]+Tabla1[[#This Row],[PLAZO PAGO (DIAS)]]</f>
        <v>0</v>
      </c>
      <c r="T618" s="834">
        <f t="shared" ca="1" si="149"/>
        <v>-46181</v>
      </c>
      <c r="U618" s="831"/>
      <c r="V618" s="831"/>
      <c r="W618" s="841">
        <f>+Tabla1[[#This Row],[FECHA VTO VALORES]]+7</f>
        <v>7</v>
      </c>
      <c r="X618" s="830"/>
      <c r="Y618" s="859"/>
      <c r="Z618" s="860">
        <f>Tabla1[[#This Row],[KGS]]/50</f>
        <v>0</v>
      </c>
      <c r="AA61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18" s="844">
        <f>-Tabla1[[#This Row],[COSTO FLETE $ POR BOLSA 5O KG (SIN IVA)]]*1.21-Tabla1[[#This Row],[PRECIO $/ KG A PLAZO EN CLIENTE ( SIN IVA)]]*0.003*1.21*50</f>
        <v>0</v>
      </c>
      <c r="AC618" s="845" t="e">
        <f>SUM(Tabla1[[#This Row],[PRECIO $ BOLSA 50 KG (IVA INC) ]]+Tabla1[[#This Row],[COSTO FLETE $ BOLSA 50 KG (IVA INC)]])</f>
        <v>#VALUE!</v>
      </c>
      <c r="AD618" s="844" t="e">
        <f>-Tabla1[[#This Row],[PRECIO $ BOLSA 50 KG (IVA INC) ]]*(Tabla1[[#This Row],[TASA FINANCIACION MENSUAL]]/365)*Tabla1[[#This Row],[PLAZO ENTREGA VALORES]]</f>
        <v>#VALUE!</v>
      </c>
      <c r="AE618" s="845" t="e">
        <f>SUM(Tabla1[[#This Row],[PRECIO $ BOLSA50 KG  FOB TUCUMAN A PLAZO (IVA INC)]]+Tabla1[[#This Row],[GASTOS FINANCIEROS $ BOLSA 50 KG (IVA INC)]])</f>
        <v>#VALUE!</v>
      </c>
      <c r="AF618" s="828"/>
      <c r="AG618" s="828"/>
      <c r="AH618" s="828"/>
      <c r="AI618" s="828"/>
      <c r="AJ61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18" s="846" t="e">
        <f>SUM(Tabla1[[#This Row],[PRECIO $ BOLSA 50KG  FOB CDO TUC (IVA INC)]]-Tabla1[[#This Row],[PRECIO REF $ BOLSA 50 KG CACTU (IVA INC)]])</f>
        <v>#VALUE!</v>
      </c>
      <c r="AL618" s="847" t="str">
        <f>IFERROR(Tabla1[[#This Row],[PRECIO $ BOLSA 50KG  FOB CDO TUC (IVA INC)]]/Tabla1[[#This Row],[PRECIO REF $ BOLSA 50 KG CACTU (IVA INC)]]-1,"")</f>
        <v/>
      </c>
      <c r="AM618" s="846" t="e">
        <f>+Tabla1[[#This Row],[DIF $ PRECIO NETO INDUSTRIA vs Neto TUCUMAN (IVA INC)]]*Tabla1[[#This Row],[Q Bolsas Equivalentes 50kg]]</f>
        <v>#VALUE!</v>
      </c>
      <c r="AN618" s="846" t="e">
        <f>Tabla1[[#This Row],[PRECIO REF $ BOLSA 50 KG CACTU (IVA INC)]]*Tabla1[[#This Row],[Q Bolsas Equivalentes 50kg]]</f>
        <v>#VALUE!</v>
      </c>
      <c r="AO618" s="846" t="e">
        <f>+Tabla1[[#This Row],[PRECIO $ BOLSA 50KG  FOB CDO TUC (IVA INC)]]*Tabla1[[#This Row],[Q Bolsas Equivalentes 50kg]]</f>
        <v>#VALUE!</v>
      </c>
      <c r="AP618" s="847"/>
      <c r="AQ618" s="846">
        <v>0</v>
      </c>
      <c r="AR618" s="828"/>
      <c r="AS618" s="849"/>
      <c r="AT618" s="923">
        <f>+Tabla1[[#This Row],[VENTA TOTAL $ (IVA INC) ]]-(SUM(Tabla1[[#This Row],[PENDIENTE DE ENTREGA]:[VALORES COBRADOS]]))</f>
        <v>0</v>
      </c>
      <c r="AU618" s="850" t="e">
        <f>VLOOKUP(Tabla1[[#This Row],[FECHA OC]],'TIPO DE CAMBIO'!A:B,2,TRUE)</f>
        <v>#N/A</v>
      </c>
      <c r="AV618" s="850" t="e">
        <f>+Tabla1[[#This Row],[SUBTOTAL]]/Tabla1[[#This Row],[TIPO DE CAMBIO]]</f>
        <v>#N/A</v>
      </c>
      <c r="AW618" s="851"/>
      <c r="AX618" s="850" t="str">
        <f>IFERROR(Tabla1[[#This Row],[VENTA TOTAL USD A PLAZO EN CLIENTE  (SIN IVA)]]*(1+Tabla1[[#This Row],[% IVA ]]),"")</f>
        <v/>
      </c>
      <c r="AY618" s="850" t="e">
        <f>+Tabla1[[#This Row],[VENTA TOTAL USD A PLAZO EN CLIENTE  (SIN IVA)]]/Tabla1[[#This Row],[KGS]]*1000</f>
        <v>#N/A</v>
      </c>
      <c r="AZ618" s="850" t="e">
        <f>-Tabla1[[#This Row],[COSTO FLETE $ POR BOLSA 5O KG (SIN IVA)]]*20/Tabla1[[#This Row],[TIPO DE CAMBIO]]</f>
        <v>#N/A</v>
      </c>
      <c r="BA618" s="850" t="e">
        <f>+Tabla1[[#This Row],[GASTOS FINANCIEROS $ BOLSA 50 KG (IVA INC)]]*20/Tabla1[[#This Row],[TIPO DE CAMBIO]]</f>
        <v>#VALUE!</v>
      </c>
      <c r="BB618" s="850" t="e">
        <f>+Tabla1[[#This Row],[PRECIO POR TN USD EN CLIENTE A PLAZO (SIN IVA)]]+Tabla1[[#This Row],[COSTO USD FLETE /TN (SIN IVA)]]+Tabla1[[#This Row],[COSTO FINANCIERO USD POR BOLSA 50KG (IVA INC)]]</f>
        <v>#N/A</v>
      </c>
      <c r="BC618" s="828"/>
      <c r="BD618" s="944"/>
    </row>
    <row r="619" spans="1:56" ht="15.75" customHeight="1">
      <c r="A619" s="912">
        <v>46296</v>
      </c>
      <c r="B619" s="863"/>
      <c r="C619" s="792"/>
      <c r="D619" s="829">
        <f>+Tabla1[[#This Row],[FECHA Entrega]]</f>
        <v>0</v>
      </c>
      <c r="E619" s="830"/>
      <c r="F619" s="831"/>
      <c r="G619" s="832"/>
      <c r="H619" s="852"/>
      <c r="I619" s="834"/>
      <c r="J619" s="835"/>
      <c r="K619" s="836">
        <f t="shared" si="148"/>
        <v>0</v>
      </c>
      <c r="L61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19" s="837">
        <f t="shared" si="150"/>
        <v>0</v>
      </c>
      <c r="N619" s="838">
        <f>+Tabla1[[#This Row],[VENTA TOTAL $ (IVA INC) ]]</f>
        <v>0</v>
      </c>
      <c r="O619" s="838">
        <v>0</v>
      </c>
      <c r="P619" s="838">
        <v>0</v>
      </c>
      <c r="Q619" s="839">
        <f>+Tabla1[[#This Row],[VENTA TOTAL $ (IVA INC) ]]-Tabla1[[#This Row],[PENDIENTE DE COBRO]]</f>
        <v>0</v>
      </c>
      <c r="R619" s="840">
        <f>+Tabla1[[#This Row],[FECHA FC]]+Tabla1[[#This Row],[PLAZO ENTREGA VALORES]]</f>
        <v>0</v>
      </c>
      <c r="S619" s="840">
        <f>+Tabla1[[#This Row],[FECHA FC]]+Tabla1[[#This Row],[PLAZO PAGO (DIAS)]]</f>
        <v>0</v>
      </c>
      <c r="T619" s="834">
        <f t="shared" ca="1" si="149"/>
        <v>-46181</v>
      </c>
      <c r="U619" s="831"/>
      <c r="V619" s="831"/>
      <c r="W619" s="841">
        <f>+Tabla1[[#This Row],[FECHA VTO VALORES]]+7</f>
        <v>7</v>
      </c>
      <c r="X619" s="830"/>
      <c r="Y619" s="859"/>
      <c r="Z619" s="860">
        <f>Tabla1[[#This Row],[KGS]]/50</f>
        <v>0</v>
      </c>
      <c r="AA61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19" s="844">
        <f>-Tabla1[[#This Row],[COSTO FLETE $ POR BOLSA 5O KG (SIN IVA)]]*1.21-Tabla1[[#This Row],[PRECIO $/ KG A PLAZO EN CLIENTE ( SIN IVA)]]*0.003*1.21*50</f>
        <v>0</v>
      </c>
      <c r="AC619" s="845" t="e">
        <f>SUM(Tabla1[[#This Row],[PRECIO $ BOLSA 50 KG (IVA INC) ]]+Tabla1[[#This Row],[COSTO FLETE $ BOLSA 50 KG (IVA INC)]])</f>
        <v>#VALUE!</v>
      </c>
      <c r="AD619" s="844" t="e">
        <f>-Tabla1[[#This Row],[PRECIO $ BOLSA 50 KG (IVA INC) ]]*(Tabla1[[#This Row],[TASA FINANCIACION MENSUAL]]/365)*Tabla1[[#This Row],[PLAZO ENTREGA VALORES]]</f>
        <v>#VALUE!</v>
      </c>
      <c r="AE619" s="845" t="e">
        <f>SUM(Tabla1[[#This Row],[PRECIO $ BOLSA50 KG  FOB TUCUMAN A PLAZO (IVA INC)]]+Tabla1[[#This Row],[GASTOS FINANCIEROS $ BOLSA 50 KG (IVA INC)]])</f>
        <v>#VALUE!</v>
      </c>
      <c r="AF619" s="828"/>
      <c r="AG619" s="828"/>
      <c r="AH619" s="828"/>
      <c r="AI619" s="828"/>
      <c r="AJ61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19" s="846" t="e">
        <f>SUM(Tabla1[[#This Row],[PRECIO $ BOLSA 50KG  FOB CDO TUC (IVA INC)]]-Tabla1[[#This Row],[PRECIO REF $ BOLSA 50 KG CACTU (IVA INC)]])</f>
        <v>#VALUE!</v>
      </c>
      <c r="AL619" s="847" t="str">
        <f>IFERROR(Tabla1[[#This Row],[PRECIO $ BOLSA 50KG  FOB CDO TUC (IVA INC)]]/Tabla1[[#This Row],[PRECIO REF $ BOLSA 50 KG CACTU (IVA INC)]]-1,"")</f>
        <v/>
      </c>
      <c r="AM619" s="846" t="e">
        <f>+Tabla1[[#This Row],[DIF $ PRECIO NETO INDUSTRIA vs Neto TUCUMAN (IVA INC)]]*Tabla1[[#This Row],[Q Bolsas Equivalentes 50kg]]</f>
        <v>#VALUE!</v>
      </c>
      <c r="AN619" s="846" t="e">
        <f>Tabla1[[#This Row],[PRECIO REF $ BOLSA 50 KG CACTU (IVA INC)]]*Tabla1[[#This Row],[Q Bolsas Equivalentes 50kg]]</f>
        <v>#VALUE!</v>
      </c>
      <c r="AO619" s="846" t="e">
        <f>+Tabla1[[#This Row],[PRECIO $ BOLSA 50KG  FOB CDO TUC (IVA INC)]]*Tabla1[[#This Row],[Q Bolsas Equivalentes 50kg]]</f>
        <v>#VALUE!</v>
      </c>
      <c r="AP619" s="847"/>
      <c r="AQ619" s="846">
        <v>0</v>
      </c>
      <c r="AR619" s="828"/>
      <c r="AS619" s="849"/>
      <c r="AT619" s="923">
        <f>+Tabla1[[#This Row],[VENTA TOTAL $ (IVA INC) ]]-(SUM(Tabla1[[#This Row],[PENDIENTE DE ENTREGA]:[VALORES COBRADOS]]))</f>
        <v>0</v>
      </c>
      <c r="AU619" s="850" t="e">
        <f>VLOOKUP(Tabla1[[#This Row],[FECHA OC]],'TIPO DE CAMBIO'!A:B,2,TRUE)</f>
        <v>#N/A</v>
      </c>
      <c r="AV619" s="850" t="e">
        <f>+Tabla1[[#This Row],[SUBTOTAL]]/Tabla1[[#This Row],[TIPO DE CAMBIO]]</f>
        <v>#N/A</v>
      </c>
      <c r="AW619" s="851"/>
      <c r="AX619" s="850" t="str">
        <f>IFERROR(Tabla1[[#This Row],[VENTA TOTAL USD A PLAZO EN CLIENTE  (SIN IVA)]]*(1+Tabla1[[#This Row],[% IVA ]]),"")</f>
        <v/>
      </c>
      <c r="AY619" s="850" t="e">
        <f>+Tabla1[[#This Row],[VENTA TOTAL USD A PLAZO EN CLIENTE  (SIN IVA)]]/Tabla1[[#This Row],[KGS]]*1000</f>
        <v>#N/A</v>
      </c>
      <c r="AZ619" s="850" t="e">
        <f>-Tabla1[[#This Row],[COSTO FLETE $ POR BOLSA 5O KG (SIN IVA)]]*20/Tabla1[[#This Row],[TIPO DE CAMBIO]]</f>
        <v>#N/A</v>
      </c>
      <c r="BA619" s="850" t="e">
        <f>+Tabla1[[#This Row],[GASTOS FINANCIEROS $ BOLSA 50 KG (IVA INC)]]*20/Tabla1[[#This Row],[TIPO DE CAMBIO]]</f>
        <v>#VALUE!</v>
      </c>
      <c r="BB619" s="850" t="e">
        <f>+Tabla1[[#This Row],[PRECIO POR TN USD EN CLIENTE A PLAZO (SIN IVA)]]+Tabla1[[#This Row],[COSTO USD FLETE /TN (SIN IVA)]]+Tabla1[[#This Row],[COSTO FINANCIERO USD POR BOLSA 50KG (IVA INC)]]</f>
        <v>#N/A</v>
      </c>
      <c r="BC619" s="828"/>
      <c r="BD619" s="944"/>
    </row>
    <row r="620" spans="1:56" ht="15.75" customHeight="1">
      <c r="A620" s="912">
        <v>46296</v>
      </c>
      <c r="B620" s="863"/>
      <c r="C620" s="792"/>
      <c r="D620" s="829">
        <f>+Tabla1[[#This Row],[FECHA Entrega]]</f>
        <v>0</v>
      </c>
      <c r="E620" s="830"/>
      <c r="F620" s="831"/>
      <c r="G620" s="832"/>
      <c r="H620" s="852"/>
      <c r="I620" s="834"/>
      <c r="J620" s="835"/>
      <c r="K620" s="836">
        <f t="shared" si="148"/>
        <v>0</v>
      </c>
      <c r="L62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20" s="837">
        <f t="shared" si="150"/>
        <v>0</v>
      </c>
      <c r="N620" s="838">
        <f>+Tabla1[[#This Row],[VENTA TOTAL $ (IVA INC) ]]</f>
        <v>0</v>
      </c>
      <c r="O620" s="838">
        <v>0</v>
      </c>
      <c r="P620" s="838">
        <v>0</v>
      </c>
      <c r="Q620" s="839">
        <f>+Tabla1[[#This Row],[VENTA TOTAL $ (IVA INC) ]]</f>
        <v>0</v>
      </c>
      <c r="R620" s="840">
        <f>+Tabla1[[#This Row],[FECHA FC]]+Tabla1[[#This Row],[PLAZO ENTREGA VALORES]]</f>
        <v>0</v>
      </c>
      <c r="S620" s="840">
        <f>+Tabla1[[#This Row],[FECHA FC]]+Tabla1[[#This Row],[PLAZO PAGO (DIAS)]]</f>
        <v>0</v>
      </c>
      <c r="T620" s="834">
        <f t="shared" ca="1" si="149"/>
        <v>-46181</v>
      </c>
      <c r="U620" s="831"/>
      <c r="V620" s="831"/>
      <c r="W620" s="841">
        <f>+Tabla1[[#This Row],[FECHA VTO VALORES]]+7</f>
        <v>7</v>
      </c>
      <c r="X620" s="830"/>
      <c r="Y620" s="859"/>
      <c r="Z620" s="860">
        <f>Tabla1[[#This Row],[KGS]]/50</f>
        <v>0</v>
      </c>
      <c r="AA62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20" s="844">
        <f>-Tabla1[[#This Row],[COSTO FLETE $ POR BOLSA 5O KG (SIN IVA)]]*1.21-Tabla1[[#This Row],[PRECIO $/ KG A PLAZO EN CLIENTE ( SIN IVA)]]*0.003*1.21*50</f>
        <v>0</v>
      </c>
      <c r="AC620" s="845" t="e">
        <f>SUM(Tabla1[[#This Row],[PRECIO $ BOLSA 50 KG (IVA INC) ]]+Tabla1[[#This Row],[COSTO FLETE $ BOLSA 50 KG (IVA INC)]])</f>
        <v>#VALUE!</v>
      </c>
      <c r="AD620" s="844" t="e">
        <f>-Tabla1[[#This Row],[PRECIO $ BOLSA 50 KG (IVA INC) ]]*(Tabla1[[#This Row],[TASA FINANCIACION MENSUAL]]/365)*Tabla1[[#This Row],[PLAZO ENTREGA VALORES]]</f>
        <v>#VALUE!</v>
      </c>
      <c r="AE620" s="845" t="e">
        <f>SUM(Tabla1[[#This Row],[PRECIO $ BOLSA50 KG  FOB TUCUMAN A PLAZO (IVA INC)]]+Tabla1[[#This Row],[GASTOS FINANCIEROS $ BOLSA 50 KG (IVA INC)]])</f>
        <v>#VALUE!</v>
      </c>
      <c r="AF620" s="828"/>
      <c r="AG620" s="828"/>
      <c r="AH620" s="828"/>
      <c r="AI620" s="828"/>
      <c r="AJ62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20" s="846" t="e">
        <f>SUM(Tabla1[[#This Row],[PRECIO $ BOLSA 50KG  FOB CDO TUC (IVA INC)]]-Tabla1[[#This Row],[PRECIO REF $ BOLSA 50 KG CACTU (IVA INC)]])</f>
        <v>#VALUE!</v>
      </c>
      <c r="AL620" s="847" t="str">
        <f>IFERROR(Tabla1[[#This Row],[PRECIO $ BOLSA 50KG  FOB CDO TUC (IVA INC)]]/Tabla1[[#This Row],[PRECIO REF $ BOLSA 50 KG CACTU (IVA INC)]]-1,"")</f>
        <v/>
      </c>
      <c r="AM620" s="846" t="e">
        <f>+Tabla1[[#This Row],[DIF $ PRECIO NETO INDUSTRIA vs Neto TUCUMAN (IVA INC)]]*Tabla1[[#This Row],[Q Bolsas Equivalentes 50kg]]</f>
        <v>#VALUE!</v>
      </c>
      <c r="AN620" s="846" t="e">
        <f>Tabla1[[#This Row],[PRECIO REF $ BOLSA 50 KG CACTU (IVA INC)]]*Tabla1[[#This Row],[Q Bolsas Equivalentes 50kg]]</f>
        <v>#VALUE!</v>
      </c>
      <c r="AO620" s="846" t="e">
        <f>+Tabla1[[#This Row],[PRECIO $ BOLSA 50KG  FOB CDO TUC (IVA INC)]]*Tabla1[[#This Row],[Q Bolsas Equivalentes 50kg]]</f>
        <v>#VALUE!</v>
      </c>
      <c r="AP620" s="847"/>
      <c r="AQ620" s="846">
        <v>0</v>
      </c>
      <c r="AR620" s="828"/>
      <c r="AS620" s="849"/>
      <c r="AT620" s="923">
        <f>+Tabla1[[#This Row],[VENTA TOTAL $ (IVA INC) ]]-(SUM(Tabla1[[#This Row],[PENDIENTE DE ENTREGA]:[VALORES COBRADOS]]))</f>
        <v>0</v>
      </c>
      <c r="AU620" s="850" t="e">
        <f>VLOOKUP(Tabla1[[#This Row],[FECHA OC]],'TIPO DE CAMBIO'!A:B,2,TRUE)</f>
        <v>#N/A</v>
      </c>
      <c r="AV620" s="850" t="e">
        <f>+Tabla1[[#This Row],[SUBTOTAL]]/Tabla1[[#This Row],[TIPO DE CAMBIO]]</f>
        <v>#N/A</v>
      </c>
      <c r="AW620" s="851"/>
      <c r="AX620" s="850" t="str">
        <f>IFERROR(Tabla1[[#This Row],[VENTA TOTAL USD A PLAZO EN CLIENTE  (SIN IVA)]]*(1+Tabla1[[#This Row],[% IVA ]]),"")</f>
        <v/>
      </c>
      <c r="AY620" s="850" t="e">
        <f>+Tabla1[[#This Row],[VENTA TOTAL USD A PLAZO EN CLIENTE  (SIN IVA)]]/Tabla1[[#This Row],[KGS]]*1000</f>
        <v>#N/A</v>
      </c>
      <c r="AZ620" s="850" t="e">
        <f>-Tabla1[[#This Row],[COSTO FLETE $ POR BOLSA 5O KG (SIN IVA)]]*20/Tabla1[[#This Row],[TIPO DE CAMBIO]]</f>
        <v>#N/A</v>
      </c>
      <c r="BA620" s="850" t="e">
        <f>+Tabla1[[#This Row],[GASTOS FINANCIEROS $ BOLSA 50 KG (IVA INC)]]*20/Tabla1[[#This Row],[TIPO DE CAMBIO]]</f>
        <v>#VALUE!</v>
      </c>
      <c r="BB620" s="850" t="e">
        <f>+Tabla1[[#This Row],[PRECIO POR TN USD EN CLIENTE A PLAZO (SIN IVA)]]+Tabla1[[#This Row],[COSTO USD FLETE /TN (SIN IVA)]]+Tabla1[[#This Row],[COSTO FINANCIERO USD POR BOLSA 50KG (IVA INC)]]</f>
        <v>#N/A</v>
      </c>
      <c r="BC620" s="828"/>
      <c r="BD620" s="944"/>
    </row>
    <row r="621" spans="1:56" ht="15.75" customHeight="1">
      <c r="A621" s="912">
        <v>46296</v>
      </c>
      <c r="B621" s="863"/>
      <c r="C621" s="792"/>
      <c r="D621" s="829">
        <f>+Tabla1[[#This Row],[FECHA Entrega]]</f>
        <v>0</v>
      </c>
      <c r="E621" s="830"/>
      <c r="F621" s="831"/>
      <c r="G621" s="832"/>
      <c r="H621" s="852"/>
      <c r="I621" s="834"/>
      <c r="J621" s="835"/>
      <c r="K621" s="836">
        <f t="shared" si="148"/>
        <v>0</v>
      </c>
      <c r="L62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21" s="837">
        <f t="shared" si="150"/>
        <v>0</v>
      </c>
      <c r="N621" s="838">
        <f>+Tabla1[[#This Row],[VENTA TOTAL $ (IVA INC) ]]</f>
        <v>0</v>
      </c>
      <c r="O621" s="838">
        <v>0</v>
      </c>
      <c r="P621" s="838">
        <v>0</v>
      </c>
      <c r="Q621" s="839">
        <f>+Tabla1[[#This Row],[VENTA TOTAL $ (IVA INC) ]]-Tabla1[[#This Row],[PENDIENTE DE COBRO]]</f>
        <v>0</v>
      </c>
      <c r="R621" s="840">
        <f>+Tabla1[[#This Row],[FECHA FC]]+Tabla1[[#This Row],[PLAZO ENTREGA VALORES]]</f>
        <v>0</v>
      </c>
      <c r="S621" s="840">
        <f>+Tabla1[[#This Row],[FECHA FC]]+Tabla1[[#This Row],[PLAZO PAGO (DIAS)]]</f>
        <v>0</v>
      </c>
      <c r="T621" s="834">
        <f t="shared" ca="1" si="149"/>
        <v>-46181</v>
      </c>
      <c r="U621" s="831"/>
      <c r="V621" s="831"/>
      <c r="W621" s="841">
        <f>+Tabla1[[#This Row],[FECHA VTO VALORES]]+7</f>
        <v>7</v>
      </c>
      <c r="X621" s="830"/>
      <c r="Y621" s="859"/>
      <c r="Z621" s="860">
        <f>Tabla1[[#This Row],[KGS]]/50</f>
        <v>0</v>
      </c>
      <c r="AA62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21" s="844">
        <f>-Tabla1[[#This Row],[COSTO FLETE $ POR BOLSA 5O KG (SIN IVA)]]*1.21-Tabla1[[#This Row],[PRECIO $/ KG A PLAZO EN CLIENTE ( SIN IVA)]]*0.003*1.21*50</f>
        <v>0</v>
      </c>
      <c r="AC621" s="845" t="e">
        <f>SUM(Tabla1[[#This Row],[PRECIO $ BOLSA 50 KG (IVA INC) ]]+Tabla1[[#This Row],[COSTO FLETE $ BOLSA 50 KG (IVA INC)]])</f>
        <v>#VALUE!</v>
      </c>
      <c r="AD621" s="844" t="e">
        <f>-Tabla1[[#This Row],[PRECIO $ BOLSA 50 KG (IVA INC) ]]*(Tabla1[[#This Row],[TASA FINANCIACION MENSUAL]]/365)*Tabla1[[#This Row],[PLAZO ENTREGA VALORES]]</f>
        <v>#VALUE!</v>
      </c>
      <c r="AE621" s="845" t="e">
        <f>SUM(Tabla1[[#This Row],[PRECIO $ BOLSA50 KG  FOB TUCUMAN A PLAZO (IVA INC)]]+Tabla1[[#This Row],[GASTOS FINANCIEROS $ BOLSA 50 KG (IVA INC)]])</f>
        <v>#VALUE!</v>
      </c>
      <c r="AF621" s="828"/>
      <c r="AG621" s="828"/>
      <c r="AH621" s="828"/>
      <c r="AI621" s="828"/>
      <c r="AJ62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21" s="846" t="e">
        <f>SUM(Tabla1[[#This Row],[PRECIO $ BOLSA 50KG  FOB CDO TUC (IVA INC)]]-Tabla1[[#This Row],[PRECIO REF $ BOLSA 50 KG CACTU (IVA INC)]])</f>
        <v>#VALUE!</v>
      </c>
      <c r="AL621" s="847" t="str">
        <f>IFERROR(Tabla1[[#This Row],[PRECIO $ BOLSA 50KG  FOB CDO TUC (IVA INC)]]/Tabla1[[#This Row],[PRECIO REF $ BOLSA 50 KG CACTU (IVA INC)]]-1,"")</f>
        <v/>
      </c>
      <c r="AM621" s="846" t="e">
        <f>+Tabla1[[#This Row],[DIF $ PRECIO NETO INDUSTRIA vs Neto TUCUMAN (IVA INC)]]*Tabla1[[#This Row],[Q Bolsas Equivalentes 50kg]]</f>
        <v>#VALUE!</v>
      </c>
      <c r="AN621" s="846" t="e">
        <f>Tabla1[[#This Row],[PRECIO REF $ BOLSA 50 KG CACTU (IVA INC)]]*Tabla1[[#This Row],[Q Bolsas Equivalentes 50kg]]</f>
        <v>#VALUE!</v>
      </c>
      <c r="AO621" s="846" t="e">
        <f>+Tabla1[[#This Row],[PRECIO $ BOLSA 50KG  FOB CDO TUC (IVA INC)]]*Tabla1[[#This Row],[Q Bolsas Equivalentes 50kg]]</f>
        <v>#VALUE!</v>
      </c>
      <c r="AP621" s="847"/>
      <c r="AQ621" s="846">
        <v>0</v>
      </c>
      <c r="AR621" s="828"/>
      <c r="AS621" s="849"/>
      <c r="AT621" s="923">
        <f>+Tabla1[[#This Row],[VENTA TOTAL $ (IVA INC) ]]-(SUM(Tabla1[[#This Row],[PENDIENTE DE ENTREGA]:[VALORES COBRADOS]]))</f>
        <v>0</v>
      </c>
      <c r="AU621" s="850" t="e">
        <f>VLOOKUP(Tabla1[[#This Row],[FECHA OC]],'TIPO DE CAMBIO'!A:B,2,TRUE)</f>
        <v>#N/A</v>
      </c>
      <c r="AV621" s="850" t="e">
        <f>+Tabla1[[#This Row],[SUBTOTAL]]/Tabla1[[#This Row],[TIPO DE CAMBIO]]</f>
        <v>#N/A</v>
      </c>
      <c r="AW621" s="851"/>
      <c r="AX621" s="850" t="str">
        <f>IFERROR(Tabla1[[#This Row],[VENTA TOTAL USD A PLAZO EN CLIENTE  (SIN IVA)]]*(1+Tabla1[[#This Row],[% IVA ]]),"")</f>
        <v/>
      </c>
      <c r="AY621" s="850" t="e">
        <f>+Tabla1[[#This Row],[VENTA TOTAL USD A PLAZO EN CLIENTE  (SIN IVA)]]/Tabla1[[#This Row],[KGS]]*1000</f>
        <v>#N/A</v>
      </c>
      <c r="AZ621" s="850" t="e">
        <f>-Tabla1[[#This Row],[COSTO FLETE $ POR BOLSA 5O KG (SIN IVA)]]*20/Tabla1[[#This Row],[TIPO DE CAMBIO]]</f>
        <v>#N/A</v>
      </c>
      <c r="BA621" s="850" t="e">
        <f>+Tabla1[[#This Row],[GASTOS FINANCIEROS $ BOLSA 50 KG (IVA INC)]]*20/Tabla1[[#This Row],[TIPO DE CAMBIO]]</f>
        <v>#VALUE!</v>
      </c>
      <c r="BB621" s="850" t="e">
        <f>+Tabla1[[#This Row],[PRECIO POR TN USD EN CLIENTE A PLAZO (SIN IVA)]]+Tabla1[[#This Row],[COSTO USD FLETE /TN (SIN IVA)]]+Tabla1[[#This Row],[COSTO FINANCIERO USD POR BOLSA 50KG (IVA INC)]]</f>
        <v>#N/A</v>
      </c>
      <c r="BC621" s="848"/>
      <c r="BD621" s="944"/>
    </row>
    <row r="622" spans="1:56" ht="15.75" customHeight="1">
      <c r="A622" s="912">
        <v>46296</v>
      </c>
      <c r="B622" s="863"/>
      <c r="C622" s="792"/>
      <c r="D622" s="829">
        <f>+Tabla1[[#This Row],[FECHA Entrega]]</f>
        <v>0</v>
      </c>
      <c r="E622" s="830"/>
      <c r="F622" s="831"/>
      <c r="G622" s="832"/>
      <c r="H622" s="852"/>
      <c r="I622" s="834"/>
      <c r="J622" s="835"/>
      <c r="K622" s="836">
        <f t="shared" si="148"/>
        <v>0</v>
      </c>
      <c r="L62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22" s="837">
        <f t="shared" si="150"/>
        <v>0</v>
      </c>
      <c r="N622" s="838">
        <f>+Tabla1[[#This Row],[VENTA TOTAL $ (IVA INC) ]]</f>
        <v>0</v>
      </c>
      <c r="O622" s="838">
        <v>0</v>
      </c>
      <c r="P622" s="838">
        <v>0</v>
      </c>
      <c r="Q622" s="839">
        <f>+Tabla1[[#This Row],[VENTA TOTAL $ (IVA INC) ]]-Tabla1[[#This Row],[PENDIENTE DE COBRO]]</f>
        <v>0</v>
      </c>
      <c r="R622" s="840">
        <f>+Tabla1[[#This Row],[FECHA FC]]+Tabla1[[#This Row],[PLAZO ENTREGA VALORES]]</f>
        <v>0</v>
      </c>
      <c r="S622" s="840">
        <f>+Tabla1[[#This Row],[FECHA FC]]+Tabla1[[#This Row],[PLAZO PAGO (DIAS)]]</f>
        <v>0</v>
      </c>
      <c r="T622" s="834">
        <f t="shared" ca="1" si="149"/>
        <v>-46181</v>
      </c>
      <c r="U622" s="831"/>
      <c r="V622" s="831"/>
      <c r="W622" s="841">
        <f>+Tabla1[[#This Row],[FECHA VTO VALORES]]+7</f>
        <v>7</v>
      </c>
      <c r="X622" s="830"/>
      <c r="Y622" s="859"/>
      <c r="Z622" s="860">
        <f>Tabla1[[#This Row],[KGS]]/50</f>
        <v>0</v>
      </c>
      <c r="AA62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22" s="844">
        <f>-Tabla1[[#This Row],[COSTO FLETE $ POR BOLSA 5O KG (SIN IVA)]]*1.21-Tabla1[[#This Row],[PRECIO $/ KG A PLAZO EN CLIENTE ( SIN IVA)]]*0.003*1.21*50</f>
        <v>0</v>
      </c>
      <c r="AC622" s="845" t="e">
        <f>SUM(Tabla1[[#This Row],[PRECIO $ BOLSA 50 KG (IVA INC) ]]+Tabla1[[#This Row],[COSTO FLETE $ BOLSA 50 KG (IVA INC)]])</f>
        <v>#VALUE!</v>
      </c>
      <c r="AD622" s="844" t="e">
        <f>-Tabla1[[#This Row],[PRECIO $ BOLSA 50 KG (IVA INC) ]]*(Tabla1[[#This Row],[TASA FINANCIACION MENSUAL]]/365)*Tabla1[[#This Row],[PLAZO ENTREGA VALORES]]</f>
        <v>#VALUE!</v>
      </c>
      <c r="AE622" s="845" t="e">
        <f>SUM(Tabla1[[#This Row],[PRECIO $ BOLSA50 KG  FOB TUCUMAN A PLAZO (IVA INC)]]+Tabla1[[#This Row],[GASTOS FINANCIEROS $ BOLSA 50 KG (IVA INC)]])</f>
        <v>#VALUE!</v>
      </c>
      <c r="AF622" s="828"/>
      <c r="AG622" s="828"/>
      <c r="AH622" s="828"/>
      <c r="AI622" s="828"/>
      <c r="AJ62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22" s="846" t="e">
        <f>SUM(Tabla1[[#This Row],[PRECIO $ BOLSA 50KG  FOB CDO TUC (IVA INC)]]-Tabla1[[#This Row],[PRECIO REF $ BOLSA 50 KG CACTU (IVA INC)]])</f>
        <v>#VALUE!</v>
      </c>
      <c r="AL622" s="847" t="str">
        <f>IFERROR(Tabla1[[#This Row],[PRECIO $ BOLSA 50KG  FOB CDO TUC (IVA INC)]]/Tabla1[[#This Row],[PRECIO REF $ BOLSA 50 KG CACTU (IVA INC)]]-1,"")</f>
        <v/>
      </c>
      <c r="AM622" s="846" t="e">
        <f>+Tabla1[[#This Row],[DIF $ PRECIO NETO INDUSTRIA vs Neto TUCUMAN (IVA INC)]]*Tabla1[[#This Row],[Q Bolsas Equivalentes 50kg]]</f>
        <v>#VALUE!</v>
      </c>
      <c r="AN622" s="846" t="e">
        <f>Tabla1[[#This Row],[PRECIO REF $ BOLSA 50 KG CACTU (IVA INC)]]*Tabla1[[#This Row],[Q Bolsas Equivalentes 50kg]]</f>
        <v>#VALUE!</v>
      </c>
      <c r="AO622" s="846" t="e">
        <f>+Tabla1[[#This Row],[PRECIO $ BOLSA 50KG  FOB CDO TUC (IVA INC)]]*Tabla1[[#This Row],[Q Bolsas Equivalentes 50kg]]</f>
        <v>#VALUE!</v>
      </c>
      <c r="AP622" s="847"/>
      <c r="AQ622" s="846">
        <v>0</v>
      </c>
      <c r="AR622" s="828"/>
      <c r="AS622" s="849"/>
      <c r="AT622" s="923">
        <f>+Tabla1[[#This Row],[VENTA TOTAL $ (IVA INC) ]]-(SUM(Tabla1[[#This Row],[PENDIENTE DE ENTREGA]:[VALORES COBRADOS]]))</f>
        <v>0</v>
      </c>
      <c r="AU622" s="850" t="e">
        <f>VLOOKUP(Tabla1[[#This Row],[FECHA OC]],'TIPO DE CAMBIO'!A:B,2,TRUE)</f>
        <v>#N/A</v>
      </c>
      <c r="AV622" s="850" t="e">
        <f>+Tabla1[[#This Row],[SUBTOTAL]]/Tabla1[[#This Row],[TIPO DE CAMBIO]]</f>
        <v>#N/A</v>
      </c>
      <c r="AW622" s="851"/>
      <c r="AX622" s="850" t="str">
        <f>IFERROR(Tabla1[[#This Row],[VENTA TOTAL USD A PLAZO EN CLIENTE  (SIN IVA)]]*(1+Tabla1[[#This Row],[% IVA ]]),"")</f>
        <v/>
      </c>
      <c r="AY622" s="850" t="e">
        <f>+Tabla1[[#This Row],[VENTA TOTAL USD A PLAZO EN CLIENTE  (SIN IVA)]]/Tabla1[[#This Row],[KGS]]*1000</f>
        <v>#N/A</v>
      </c>
      <c r="AZ622" s="850" t="e">
        <f>-Tabla1[[#This Row],[COSTO FLETE $ POR BOLSA 5O KG (SIN IVA)]]*20/Tabla1[[#This Row],[TIPO DE CAMBIO]]</f>
        <v>#N/A</v>
      </c>
      <c r="BA622" s="850" t="e">
        <f>+Tabla1[[#This Row],[GASTOS FINANCIEROS $ BOLSA 50 KG (IVA INC)]]*20/Tabla1[[#This Row],[TIPO DE CAMBIO]]</f>
        <v>#VALUE!</v>
      </c>
      <c r="BB622" s="850" t="e">
        <f>+Tabla1[[#This Row],[PRECIO POR TN USD EN CLIENTE A PLAZO (SIN IVA)]]+Tabla1[[#This Row],[COSTO USD FLETE /TN (SIN IVA)]]+Tabla1[[#This Row],[COSTO FINANCIERO USD POR BOLSA 50KG (IVA INC)]]</f>
        <v>#N/A</v>
      </c>
      <c r="BC622" s="848"/>
      <c r="BD622" s="944"/>
    </row>
    <row r="623" spans="1:56" ht="15.75" customHeight="1">
      <c r="A623" s="912">
        <v>46296</v>
      </c>
      <c r="B623" s="863"/>
      <c r="C623" s="792"/>
      <c r="D623" s="829">
        <f>+Tabla1[[#This Row],[FECHA Entrega]]</f>
        <v>0</v>
      </c>
      <c r="E623" s="830"/>
      <c r="F623" s="831"/>
      <c r="G623" s="832"/>
      <c r="H623" s="852"/>
      <c r="I623" s="834"/>
      <c r="J623" s="835"/>
      <c r="K623" s="836">
        <f t="shared" si="148"/>
        <v>0</v>
      </c>
      <c r="L62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23" s="837">
        <f t="shared" si="150"/>
        <v>0</v>
      </c>
      <c r="N623" s="838">
        <f>+Tabla1[[#This Row],[VENTA TOTAL $ (IVA INC) ]]</f>
        <v>0</v>
      </c>
      <c r="O623" s="838">
        <v>0</v>
      </c>
      <c r="P623" s="838">
        <v>0</v>
      </c>
      <c r="Q623" s="839">
        <f>+Tabla1[[#This Row],[VENTA TOTAL $ (IVA INC) ]]-Tabla1[[#This Row],[PENDIENTE DE COBRO]]</f>
        <v>0</v>
      </c>
      <c r="R623" s="840">
        <f>+Tabla1[[#This Row],[FECHA FC]]+Tabla1[[#This Row],[PLAZO ENTREGA VALORES]]</f>
        <v>0</v>
      </c>
      <c r="S623" s="840">
        <f>+Tabla1[[#This Row],[FECHA FC]]+Tabla1[[#This Row],[PLAZO PAGO (DIAS)]]</f>
        <v>0</v>
      </c>
      <c r="T623" s="834">
        <f t="shared" ca="1" si="149"/>
        <v>-46181</v>
      </c>
      <c r="U623" s="831"/>
      <c r="V623" s="831"/>
      <c r="W623" s="841">
        <f>+Tabla1[[#This Row],[FECHA VTO VALORES]]+7</f>
        <v>7</v>
      </c>
      <c r="X623" s="830"/>
      <c r="Y623" s="859"/>
      <c r="Z623" s="860">
        <f>Tabla1[[#This Row],[KGS]]/50</f>
        <v>0</v>
      </c>
      <c r="AA62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23" s="844">
        <f>-Tabla1[[#This Row],[COSTO FLETE $ POR BOLSA 5O KG (SIN IVA)]]*1.21-Tabla1[[#This Row],[PRECIO $/ KG A PLAZO EN CLIENTE ( SIN IVA)]]*0.003*1.21*50</f>
        <v>0</v>
      </c>
      <c r="AC623" s="845" t="e">
        <f>SUM(Tabla1[[#This Row],[PRECIO $ BOLSA 50 KG (IVA INC) ]]+Tabla1[[#This Row],[COSTO FLETE $ BOLSA 50 KG (IVA INC)]])</f>
        <v>#VALUE!</v>
      </c>
      <c r="AD623" s="844" t="e">
        <f>-Tabla1[[#This Row],[PRECIO $ BOLSA 50 KG (IVA INC) ]]*(Tabla1[[#This Row],[TASA FINANCIACION MENSUAL]]/365)*Tabla1[[#This Row],[PLAZO ENTREGA VALORES]]</f>
        <v>#VALUE!</v>
      </c>
      <c r="AE623" s="845" t="e">
        <f>SUM(Tabla1[[#This Row],[PRECIO $ BOLSA50 KG  FOB TUCUMAN A PLAZO (IVA INC)]]+Tabla1[[#This Row],[GASTOS FINANCIEROS $ BOLSA 50 KG (IVA INC)]])</f>
        <v>#VALUE!</v>
      </c>
      <c r="AF623" s="828"/>
      <c r="AG623" s="828"/>
      <c r="AH623" s="828"/>
      <c r="AI623" s="828"/>
      <c r="AJ62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23" s="846" t="e">
        <f>SUM(Tabla1[[#This Row],[PRECIO $ BOLSA 50KG  FOB CDO TUC (IVA INC)]]-Tabla1[[#This Row],[PRECIO REF $ BOLSA 50 KG CACTU (IVA INC)]])</f>
        <v>#VALUE!</v>
      </c>
      <c r="AL623" s="847" t="str">
        <f>IFERROR(Tabla1[[#This Row],[PRECIO $ BOLSA 50KG  FOB CDO TUC (IVA INC)]]/Tabla1[[#This Row],[PRECIO REF $ BOLSA 50 KG CACTU (IVA INC)]]-1,"")</f>
        <v/>
      </c>
      <c r="AM623" s="846" t="e">
        <f>+Tabla1[[#This Row],[DIF $ PRECIO NETO INDUSTRIA vs Neto TUCUMAN (IVA INC)]]*Tabla1[[#This Row],[Q Bolsas Equivalentes 50kg]]</f>
        <v>#VALUE!</v>
      </c>
      <c r="AN623" s="846" t="e">
        <f>Tabla1[[#This Row],[PRECIO REF $ BOLSA 50 KG CACTU (IVA INC)]]*Tabla1[[#This Row],[Q Bolsas Equivalentes 50kg]]</f>
        <v>#VALUE!</v>
      </c>
      <c r="AO623" s="846" t="e">
        <f>+Tabla1[[#This Row],[PRECIO $ BOLSA 50KG  FOB CDO TUC (IVA INC)]]*Tabla1[[#This Row],[Q Bolsas Equivalentes 50kg]]</f>
        <v>#VALUE!</v>
      </c>
      <c r="AP623" s="847"/>
      <c r="AQ623" s="846">
        <v>0</v>
      </c>
      <c r="AR623" s="828"/>
      <c r="AS623" s="849"/>
      <c r="AT623" s="923">
        <f>+Tabla1[[#This Row],[VENTA TOTAL $ (IVA INC) ]]-(SUM(Tabla1[[#This Row],[PENDIENTE DE ENTREGA]:[VALORES COBRADOS]]))</f>
        <v>0</v>
      </c>
      <c r="AU623" s="850" t="e">
        <f>VLOOKUP(Tabla1[[#This Row],[FECHA OC]],'TIPO DE CAMBIO'!A:B,2,TRUE)</f>
        <v>#N/A</v>
      </c>
      <c r="AV623" s="850" t="e">
        <f>+Tabla1[[#This Row],[SUBTOTAL]]/Tabla1[[#This Row],[TIPO DE CAMBIO]]</f>
        <v>#N/A</v>
      </c>
      <c r="AW623" s="851"/>
      <c r="AX623" s="850" t="str">
        <f>IFERROR(Tabla1[[#This Row],[VENTA TOTAL USD A PLAZO EN CLIENTE  (SIN IVA)]]*(1+Tabla1[[#This Row],[% IVA ]]),"")</f>
        <v/>
      </c>
      <c r="AY623" s="850" t="e">
        <f>+Tabla1[[#This Row],[VENTA TOTAL USD A PLAZO EN CLIENTE  (SIN IVA)]]/Tabla1[[#This Row],[KGS]]*1000</f>
        <v>#N/A</v>
      </c>
      <c r="AZ623" s="850" t="e">
        <f>-Tabla1[[#This Row],[COSTO FLETE $ POR BOLSA 5O KG (SIN IVA)]]*20/Tabla1[[#This Row],[TIPO DE CAMBIO]]</f>
        <v>#N/A</v>
      </c>
      <c r="BA623" s="850" t="e">
        <f>+Tabla1[[#This Row],[GASTOS FINANCIEROS $ BOLSA 50 KG (IVA INC)]]*20/Tabla1[[#This Row],[TIPO DE CAMBIO]]</f>
        <v>#VALUE!</v>
      </c>
      <c r="BB623" s="850" t="e">
        <f>+Tabla1[[#This Row],[PRECIO POR TN USD EN CLIENTE A PLAZO (SIN IVA)]]+Tabla1[[#This Row],[COSTO USD FLETE /TN (SIN IVA)]]+Tabla1[[#This Row],[COSTO FINANCIERO USD POR BOLSA 50KG (IVA INC)]]</f>
        <v>#N/A</v>
      </c>
      <c r="BC623" s="848"/>
      <c r="BD623" s="944"/>
    </row>
    <row r="624" spans="1:56" ht="15.75" customHeight="1">
      <c r="A624" s="912">
        <v>46296</v>
      </c>
      <c r="B624" s="863"/>
      <c r="C624" s="792"/>
      <c r="D624" s="829">
        <f>+Tabla1[[#This Row],[FECHA Entrega]]</f>
        <v>0</v>
      </c>
      <c r="E624" s="830"/>
      <c r="F624" s="831"/>
      <c r="G624" s="832"/>
      <c r="H624" s="852"/>
      <c r="I624" s="834"/>
      <c r="J624" s="835"/>
      <c r="K624" s="836">
        <f t="shared" si="148"/>
        <v>0</v>
      </c>
      <c r="L62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24" s="837">
        <f t="shared" si="150"/>
        <v>0</v>
      </c>
      <c r="N624" s="838">
        <f>+Tabla1[[#This Row],[VENTA TOTAL $ (IVA INC) ]]</f>
        <v>0</v>
      </c>
      <c r="O624" s="838">
        <v>0</v>
      </c>
      <c r="P624" s="838">
        <v>0</v>
      </c>
      <c r="Q624" s="839">
        <f>+Tabla1[[#This Row],[VENTA TOTAL $ (IVA INC) ]]-Tabla1[[#This Row],[PENDIENTE DE COBRO]]</f>
        <v>0</v>
      </c>
      <c r="R624" s="840">
        <f>+Tabla1[[#This Row],[FECHA FC]]+Tabla1[[#This Row],[PLAZO ENTREGA VALORES]]</f>
        <v>0</v>
      </c>
      <c r="S624" s="840">
        <f>+Tabla1[[#This Row],[FECHA FC]]+Tabla1[[#This Row],[PLAZO PAGO (DIAS)]]</f>
        <v>0</v>
      </c>
      <c r="T624" s="834">
        <f t="shared" ca="1" si="149"/>
        <v>-46181</v>
      </c>
      <c r="U624" s="831"/>
      <c r="V624" s="831"/>
      <c r="W624" s="841">
        <f>+Tabla1[[#This Row],[FECHA VTO VALORES]]+7</f>
        <v>7</v>
      </c>
      <c r="X624" s="830"/>
      <c r="Y624" s="859"/>
      <c r="Z624" s="860">
        <f>Tabla1[[#This Row],[KGS]]/50</f>
        <v>0</v>
      </c>
      <c r="AA62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24" s="844">
        <f>-Tabla1[[#This Row],[COSTO FLETE $ POR BOLSA 5O KG (SIN IVA)]]*1.21-Tabla1[[#This Row],[PRECIO $/ KG A PLAZO EN CLIENTE ( SIN IVA)]]*0.003*1.21*50</f>
        <v>0</v>
      </c>
      <c r="AC624" s="845" t="e">
        <f>SUM(Tabla1[[#This Row],[PRECIO $ BOLSA 50 KG (IVA INC) ]]+Tabla1[[#This Row],[COSTO FLETE $ BOLSA 50 KG (IVA INC)]])</f>
        <v>#VALUE!</v>
      </c>
      <c r="AD624" s="844" t="e">
        <f>-Tabla1[[#This Row],[PRECIO $ BOLSA 50 KG (IVA INC) ]]*(Tabla1[[#This Row],[TASA FINANCIACION MENSUAL]]/365)*Tabla1[[#This Row],[PLAZO ENTREGA VALORES]]</f>
        <v>#VALUE!</v>
      </c>
      <c r="AE624" s="845" t="e">
        <f>SUM(Tabla1[[#This Row],[PRECIO $ BOLSA50 KG  FOB TUCUMAN A PLAZO (IVA INC)]]+Tabla1[[#This Row],[GASTOS FINANCIEROS $ BOLSA 50 KG (IVA INC)]])</f>
        <v>#VALUE!</v>
      </c>
      <c r="AF624" s="828"/>
      <c r="AG624" s="828"/>
      <c r="AH624" s="828"/>
      <c r="AI624" s="828"/>
      <c r="AJ62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24" s="846" t="e">
        <f>SUM(Tabla1[[#This Row],[PRECIO $ BOLSA 50KG  FOB CDO TUC (IVA INC)]]-Tabla1[[#This Row],[PRECIO REF $ BOLSA 50 KG CACTU (IVA INC)]])</f>
        <v>#VALUE!</v>
      </c>
      <c r="AL624" s="847" t="str">
        <f>IFERROR(Tabla1[[#This Row],[PRECIO $ BOLSA 50KG  FOB CDO TUC (IVA INC)]]/Tabla1[[#This Row],[PRECIO REF $ BOLSA 50 KG CACTU (IVA INC)]]-1,"")</f>
        <v/>
      </c>
      <c r="AM624" s="846" t="e">
        <f>+Tabla1[[#This Row],[DIF $ PRECIO NETO INDUSTRIA vs Neto TUCUMAN (IVA INC)]]*Tabla1[[#This Row],[Q Bolsas Equivalentes 50kg]]</f>
        <v>#VALUE!</v>
      </c>
      <c r="AN624" s="846" t="e">
        <f>Tabla1[[#This Row],[PRECIO REF $ BOLSA 50 KG CACTU (IVA INC)]]*Tabla1[[#This Row],[Q Bolsas Equivalentes 50kg]]</f>
        <v>#VALUE!</v>
      </c>
      <c r="AO624" s="846" t="e">
        <f>+Tabla1[[#This Row],[PRECIO $ BOLSA 50KG  FOB CDO TUC (IVA INC)]]*Tabla1[[#This Row],[Q Bolsas Equivalentes 50kg]]</f>
        <v>#VALUE!</v>
      </c>
      <c r="AP624" s="847"/>
      <c r="AQ624" s="846">
        <v>0</v>
      </c>
      <c r="AR624" s="828"/>
      <c r="AS624" s="849"/>
      <c r="AT624" s="923">
        <f>+Tabla1[[#This Row],[VENTA TOTAL $ (IVA INC) ]]-(SUM(Tabla1[[#This Row],[PENDIENTE DE ENTREGA]:[VALORES COBRADOS]]))</f>
        <v>0</v>
      </c>
      <c r="AU624" s="850" t="e">
        <f>VLOOKUP(Tabla1[[#This Row],[FECHA OC]],'TIPO DE CAMBIO'!A:B,2,TRUE)</f>
        <v>#N/A</v>
      </c>
      <c r="AV624" s="850" t="e">
        <f>+Tabla1[[#This Row],[SUBTOTAL]]/Tabla1[[#This Row],[TIPO DE CAMBIO]]</f>
        <v>#N/A</v>
      </c>
      <c r="AW624" s="851"/>
      <c r="AX624" s="850" t="str">
        <f>IFERROR(Tabla1[[#This Row],[VENTA TOTAL USD A PLAZO EN CLIENTE  (SIN IVA)]]*(1+Tabla1[[#This Row],[% IVA ]]),"")</f>
        <v/>
      </c>
      <c r="AY624" s="850" t="e">
        <f>+Tabla1[[#This Row],[VENTA TOTAL USD A PLAZO EN CLIENTE  (SIN IVA)]]/Tabla1[[#This Row],[KGS]]*1000</f>
        <v>#N/A</v>
      </c>
      <c r="AZ624" s="850" t="e">
        <f>-Tabla1[[#This Row],[COSTO FLETE $ POR BOLSA 5O KG (SIN IVA)]]*20/Tabla1[[#This Row],[TIPO DE CAMBIO]]</f>
        <v>#N/A</v>
      </c>
      <c r="BA624" s="850" t="e">
        <f>+Tabla1[[#This Row],[GASTOS FINANCIEROS $ BOLSA 50 KG (IVA INC)]]*20/Tabla1[[#This Row],[TIPO DE CAMBIO]]</f>
        <v>#VALUE!</v>
      </c>
      <c r="BB624" s="850" t="e">
        <f>+Tabla1[[#This Row],[PRECIO POR TN USD EN CLIENTE A PLAZO (SIN IVA)]]+Tabla1[[#This Row],[COSTO USD FLETE /TN (SIN IVA)]]+Tabla1[[#This Row],[COSTO FINANCIERO USD POR BOLSA 50KG (IVA INC)]]</f>
        <v>#N/A</v>
      </c>
      <c r="BC624" s="848"/>
      <c r="BD624" s="944"/>
    </row>
    <row r="625" spans="1:56" ht="15.75" customHeight="1">
      <c r="A625" s="912">
        <v>46296</v>
      </c>
      <c r="B625" s="863"/>
      <c r="C625" s="792"/>
      <c r="D625" s="829">
        <f>+Tabla1[[#This Row],[FECHA Entrega]]</f>
        <v>0</v>
      </c>
      <c r="E625" s="830"/>
      <c r="F625" s="831"/>
      <c r="G625" s="832"/>
      <c r="H625" s="852"/>
      <c r="I625" s="834"/>
      <c r="J625" s="835"/>
      <c r="K625" s="836">
        <f t="shared" si="148"/>
        <v>0</v>
      </c>
      <c r="L62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25" s="837">
        <f t="shared" si="150"/>
        <v>0</v>
      </c>
      <c r="N625" s="838">
        <f>+Tabla1[[#This Row],[VENTA TOTAL $ (IVA INC) ]]</f>
        <v>0</v>
      </c>
      <c r="O625" s="838">
        <v>0</v>
      </c>
      <c r="P625" s="838">
        <v>0</v>
      </c>
      <c r="Q625" s="839">
        <f>+Tabla1[[#This Row],[VENTA TOTAL $ (IVA INC) ]]-Tabla1[[#This Row],[PENDIENTE DE COBRO]]</f>
        <v>0</v>
      </c>
      <c r="R625" s="840">
        <f>+Tabla1[[#This Row],[FECHA FC]]+Tabla1[[#This Row],[PLAZO ENTREGA VALORES]]</f>
        <v>0</v>
      </c>
      <c r="S625" s="840">
        <f>+Tabla1[[#This Row],[FECHA FC]]+Tabla1[[#This Row],[PLAZO PAGO (DIAS)]]</f>
        <v>0</v>
      </c>
      <c r="T625" s="834">
        <f t="shared" ca="1" si="149"/>
        <v>-46181</v>
      </c>
      <c r="U625" s="831"/>
      <c r="V625" s="831"/>
      <c r="W625" s="841">
        <f>+Tabla1[[#This Row],[FECHA VTO VALORES]]+7</f>
        <v>7</v>
      </c>
      <c r="X625" s="830"/>
      <c r="Y625" s="859"/>
      <c r="Z625" s="860">
        <f>Tabla1[[#This Row],[KGS]]/50</f>
        <v>0</v>
      </c>
      <c r="AA62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25" s="844">
        <f>-Tabla1[[#This Row],[COSTO FLETE $ POR BOLSA 5O KG (SIN IVA)]]*1.21-Tabla1[[#This Row],[PRECIO $/ KG A PLAZO EN CLIENTE ( SIN IVA)]]*0.003*1.21*50</f>
        <v>0</v>
      </c>
      <c r="AC625" s="845" t="e">
        <f>SUM(Tabla1[[#This Row],[PRECIO $ BOLSA 50 KG (IVA INC) ]]+Tabla1[[#This Row],[COSTO FLETE $ BOLSA 50 KG (IVA INC)]])</f>
        <v>#VALUE!</v>
      </c>
      <c r="AD625" s="844" t="e">
        <f>-Tabla1[[#This Row],[PRECIO $ BOLSA 50 KG (IVA INC) ]]*(Tabla1[[#This Row],[TASA FINANCIACION MENSUAL]]/365)*Tabla1[[#This Row],[PLAZO ENTREGA VALORES]]</f>
        <v>#VALUE!</v>
      </c>
      <c r="AE625" s="845" t="e">
        <f>SUM(Tabla1[[#This Row],[PRECIO $ BOLSA50 KG  FOB TUCUMAN A PLAZO (IVA INC)]]+Tabla1[[#This Row],[GASTOS FINANCIEROS $ BOLSA 50 KG (IVA INC)]])</f>
        <v>#VALUE!</v>
      </c>
      <c r="AF625" s="828"/>
      <c r="AG625" s="828"/>
      <c r="AH625" s="828"/>
      <c r="AI625" s="828"/>
      <c r="AJ62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25" s="846" t="e">
        <f>SUM(Tabla1[[#This Row],[PRECIO $ BOLSA 50KG  FOB CDO TUC (IVA INC)]]-Tabla1[[#This Row],[PRECIO REF $ BOLSA 50 KG CACTU (IVA INC)]])</f>
        <v>#VALUE!</v>
      </c>
      <c r="AL625" s="847" t="str">
        <f>IFERROR(Tabla1[[#This Row],[PRECIO $ BOLSA 50KG  FOB CDO TUC (IVA INC)]]/Tabla1[[#This Row],[PRECIO REF $ BOLSA 50 KG CACTU (IVA INC)]]-1,"")</f>
        <v/>
      </c>
      <c r="AM625" s="846" t="e">
        <f>+Tabla1[[#This Row],[DIF $ PRECIO NETO INDUSTRIA vs Neto TUCUMAN (IVA INC)]]*Tabla1[[#This Row],[Q Bolsas Equivalentes 50kg]]</f>
        <v>#VALUE!</v>
      </c>
      <c r="AN625" s="846" t="e">
        <f>Tabla1[[#This Row],[PRECIO REF $ BOLSA 50 KG CACTU (IVA INC)]]*Tabla1[[#This Row],[Q Bolsas Equivalentes 50kg]]</f>
        <v>#VALUE!</v>
      </c>
      <c r="AO625" s="846" t="e">
        <f>+Tabla1[[#This Row],[PRECIO $ BOLSA 50KG  FOB CDO TUC (IVA INC)]]*Tabla1[[#This Row],[Q Bolsas Equivalentes 50kg]]</f>
        <v>#VALUE!</v>
      </c>
      <c r="AP625" s="847"/>
      <c r="AQ625" s="846">
        <v>0</v>
      </c>
      <c r="AR625" s="828"/>
      <c r="AS625" s="849"/>
      <c r="AT625" s="923">
        <f>+Tabla1[[#This Row],[VENTA TOTAL $ (IVA INC) ]]-(SUM(Tabla1[[#This Row],[PENDIENTE DE ENTREGA]:[VALORES COBRADOS]]))</f>
        <v>0</v>
      </c>
      <c r="AU625" s="850" t="e">
        <f>VLOOKUP(Tabla1[[#This Row],[FECHA OC]],'TIPO DE CAMBIO'!A:B,2,TRUE)</f>
        <v>#N/A</v>
      </c>
      <c r="AV625" s="850" t="e">
        <f>+Tabla1[[#This Row],[SUBTOTAL]]/Tabla1[[#This Row],[TIPO DE CAMBIO]]</f>
        <v>#N/A</v>
      </c>
      <c r="AW625" s="851"/>
      <c r="AX625" s="850" t="str">
        <f>IFERROR(Tabla1[[#This Row],[VENTA TOTAL USD A PLAZO EN CLIENTE  (SIN IVA)]]*(1+Tabla1[[#This Row],[% IVA ]]),"")</f>
        <v/>
      </c>
      <c r="AY625" s="850" t="e">
        <f>+Tabla1[[#This Row],[VENTA TOTAL USD A PLAZO EN CLIENTE  (SIN IVA)]]/Tabla1[[#This Row],[KGS]]*1000</f>
        <v>#N/A</v>
      </c>
      <c r="AZ625" s="850" t="e">
        <f>-Tabla1[[#This Row],[COSTO FLETE $ POR BOLSA 5O KG (SIN IVA)]]*20/Tabla1[[#This Row],[TIPO DE CAMBIO]]</f>
        <v>#N/A</v>
      </c>
      <c r="BA625" s="850" t="e">
        <f>+Tabla1[[#This Row],[GASTOS FINANCIEROS $ BOLSA 50 KG (IVA INC)]]*20/Tabla1[[#This Row],[TIPO DE CAMBIO]]</f>
        <v>#VALUE!</v>
      </c>
      <c r="BB625" s="850" t="e">
        <f>+Tabla1[[#This Row],[PRECIO POR TN USD EN CLIENTE A PLAZO (SIN IVA)]]+Tabla1[[#This Row],[COSTO USD FLETE /TN (SIN IVA)]]+Tabla1[[#This Row],[COSTO FINANCIERO USD POR BOLSA 50KG (IVA INC)]]</f>
        <v>#N/A</v>
      </c>
      <c r="BC625" s="848"/>
      <c r="BD625" s="944"/>
    </row>
    <row r="626" spans="1:56" ht="15.75" customHeight="1">
      <c r="A626" s="912">
        <v>46296</v>
      </c>
      <c r="B626" s="863"/>
      <c r="C626" s="792"/>
      <c r="D626" s="829">
        <f>+Tabla1[[#This Row],[FECHA Entrega]]</f>
        <v>0</v>
      </c>
      <c r="E626" s="830"/>
      <c r="F626" s="831"/>
      <c r="G626" s="832"/>
      <c r="H626" s="852"/>
      <c r="I626" s="834"/>
      <c r="J626" s="835"/>
      <c r="K626" s="836">
        <f t="shared" si="148"/>
        <v>0</v>
      </c>
      <c r="L62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26" s="837">
        <f t="shared" si="150"/>
        <v>0</v>
      </c>
      <c r="N626" s="838">
        <f>+Tabla1[[#This Row],[VENTA TOTAL $ (IVA INC) ]]</f>
        <v>0</v>
      </c>
      <c r="O626" s="838">
        <v>0</v>
      </c>
      <c r="P626" s="838">
        <v>0</v>
      </c>
      <c r="Q626" s="839">
        <f>+Tabla1[[#This Row],[VENTA TOTAL $ (IVA INC) ]]-Tabla1[[#This Row],[PENDIENTE DE COBRO]]</f>
        <v>0</v>
      </c>
      <c r="R626" s="840">
        <f>+Tabla1[[#This Row],[FECHA FC]]+Tabla1[[#This Row],[PLAZO ENTREGA VALORES]]</f>
        <v>0</v>
      </c>
      <c r="S626" s="840">
        <f>+Tabla1[[#This Row],[FECHA FC]]+Tabla1[[#This Row],[PLAZO PAGO (DIAS)]]</f>
        <v>0</v>
      </c>
      <c r="T626" s="834">
        <f t="shared" ca="1" si="149"/>
        <v>-46181</v>
      </c>
      <c r="U626" s="831"/>
      <c r="V626" s="831"/>
      <c r="W626" s="841">
        <f>+Tabla1[[#This Row],[FECHA VTO VALORES]]+7</f>
        <v>7</v>
      </c>
      <c r="X626" s="830"/>
      <c r="Y626" s="859"/>
      <c r="Z626" s="860">
        <f>Tabla1[[#This Row],[KGS]]/50</f>
        <v>0</v>
      </c>
      <c r="AA62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26" s="844">
        <f>-Tabla1[[#This Row],[COSTO FLETE $ POR BOLSA 5O KG (SIN IVA)]]*1.21-Tabla1[[#This Row],[PRECIO $/ KG A PLAZO EN CLIENTE ( SIN IVA)]]*0.003*1.21*50</f>
        <v>0</v>
      </c>
      <c r="AC626" s="845" t="e">
        <f>SUM(Tabla1[[#This Row],[PRECIO $ BOLSA 50 KG (IVA INC) ]]+Tabla1[[#This Row],[COSTO FLETE $ BOLSA 50 KG (IVA INC)]])</f>
        <v>#VALUE!</v>
      </c>
      <c r="AD626" s="844" t="e">
        <f>-Tabla1[[#This Row],[PRECIO $ BOLSA 50 KG (IVA INC) ]]*(Tabla1[[#This Row],[TASA FINANCIACION MENSUAL]]/365)*Tabla1[[#This Row],[PLAZO ENTREGA VALORES]]</f>
        <v>#VALUE!</v>
      </c>
      <c r="AE626" s="845" t="e">
        <f>SUM(Tabla1[[#This Row],[PRECIO $ BOLSA50 KG  FOB TUCUMAN A PLAZO (IVA INC)]]+Tabla1[[#This Row],[GASTOS FINANCIEROS $ BOLSA 50 KG (IVA INC)]])</f>
        <v>#VALUE!</v>
      </c>
      <c r="AF626" s="828"/>
      <c r="AG626" s="828"/>
      <c r="AH626" s="828"/>
      <c r="AI626" s="828"/>
      <c r="AJ62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26" s="846" t="e">
        <f>SUM(Tabla1[[#This Row],[PRECIO $ BOLSA 50KG  FOB CDO TUC (IVA INC)]]-Tabla1[[#This Row],[PRECIO REF $ BOLSA 50 KG CACTU (IVA INC)]])</f>
        <v>#VALUE!</v>
      </c>
      <c r="AL626" s="847" t="str">
        <f>IFERROR(Tabla1[[#This Row],[PRECIO $ BOLSA 50KG  FOB CDO TUC (IVA INC)]]/Tabla1[[#This Row],[PRECIO REF $ BOLSA 50 KG CACTU (IVA INC)]]-1,"")</f>
        <v/>
      </c>
      <c r="AM626" s="846" t="e">
        <f>+Tabla1[[#This Row],[DIF $ PRECIO NETO INDUSTRIA vs Neto TUCUMAN (IVA INC)]]*Tabla1[[#This Row],[Q Bolsas Equivalentes 50kg]]</f>
        <v>#VALUE!</v>
      </c>
      <c r="AN626" s="846" t="e">
        <f>Tabla1[[#This Row],[PRECIO REF $ BOLSA 50 KG CACTU (IVA INC)]]*Tabla1[[#This Row],[Q Bolsas Equivalentes 50kg]]</f>
        <v>#VALUE!</v>
      </c>
      <c r="AO626" s="846" t="e">
        <f>+Tabla1[[#This Row],[PRECIO $ BOLSA 50KG  FOB CDO TUC (IVA INC)]]*Tabla1[[#This Row],[Q Bolsas Equivalentes 50kg]]</f>
        <v>#VALUE!</v>
      </c>
      <c r="AP626" s="847"/>
      <c r="AQ626" s="846">
        <v>0</v>
      </c>
      <c r="AR626" s="828"/>
      <c r="AS626" s="849"/>
      <c r="AT626" s="923">
        <f>+Tabla1[[#This Row],[VENTA TOTAL $ (IVA INC) ]]-(SUM(Tabla1[[#This Row],[PENDIENTE DE ENTREGA]:[VALORES COBRADOS]]))</f>
        <v>0</v>
      </c>
      <c r="AU626" s="850" t="e">
        <f>VLOOKUP(Tabla1[[#This Row],[FECHA OC]],'TIPO DE CAMBIO'!A:B,2,TRUE)</f>
        <v>#N/A</v>
      </c>
      <c r="AV626" s="850" t="e">
        <f>+Tabla1[[#This Row],[SUBTOTAL]]/Tabla1[[#This Row],[TIPO DE CAMBIO]]</f>
        <v>#N/A</v>
      </c>
      <c r="AW626" s="851"/>
      <c r="AX626" s="850" t="str">
        <f>IFERROR(Tabla1[[#This Row],[VENTA TOTAL USD A PLAZO EN CLIENTE  (SIN IVA)]]*(1+Tabla1[[#This Row],[% IVA ]]),"")</f>
        <v/>
      </c>
      <c r="AY626" s="850" t="e">
        <f>+Tabla1[[#This Row],[VENTA TOTAL USD A PLAZO EN CLIENTE  (SIN IVA)]]/Tabla1[[#This Row],[KGS]]*1000</f>
        <v>#N/A</v>
      </c>
      <c r="AZ626" s="850" t="e">
        <f>-Tabla1[[#This Row],[COSTO FLETE $ POR BOLSA 5O KG (SIN IVA)]]*20/Tabla1[[#This Row],[TIPO DE CAMBIO]]</f>
        <v>#N/A</v>
      </c>
      <c r="BA626" s="850" t="e">
        <f>+Tabla1[[#This Row],[GASTOS FINANCIEROS $ BOLSA 50 KG (IVA INC)]]*20/Tabla1[[#This Row],[TIPO DE CAMBIO]]</f>
        <v>#VALUE!</v>
      </c>
      <c r="BB626" s="850" t="e">
        <f>+Tabla1[[#This Row],[PRECIO POR TN USD EN CLIENTE A PLAZO (SIN IVA)]]+Tabla1[[#This Row],[COSTO USD FLETE /TN (SIN IVA)]]+Tabla1[[#This Row],[COSTO FINANCIERO USD POR BOLSA 50KG (IVA INC)]]</f>
        <v>#N/A</v>
      </c>
      <c r="BC626" s="828"/>
      <c r="BD626" s="944"/>
    </row>
    <row r="627" spans="1:56" ht="15.75" customHeight="1">
      <c r="A627" s="912">
        <v>46296</v>
      </c>
      <c r="B627" s="863"/>
      <c r="C627" s="792"/>
      <c r="D627" s="829">
        <f>+Tabla1[[#This Row],[FECHA Entrega]]</f>
        <v>0</v>
      </c>
      <c r="E627" s="830"/>
      <c r="F627" s="831"/>
      <c r="G627" s="832"/>
      <c r="H627" s="852"/>
      <c r="I627" s="834"/>
      <c r="J627" s="835"/>
      <c r="K627" s="836">
        <f t="shared" si="148"/>
        <v>0</v>
      </c>
      <c r="L62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27" s="837">
        <f t="shared" si="150"/>
        <v>0</v>
      </c>
      <c r="N627" s="838">
        <f>+Tabla1[[#This Row],[VENTA TOTAL $ (IVA INC) ]]</f>
        <v>0</v>
      </c>
      <c r="O627" s="838">
        <v>0</v>
      </c>
      <c r="P627" s="838">
        <v>0</v>
      </c>
      <c r="Q627" s="839">
        <f>+Tabla1[[#This Row],[VENTA TOTAL $ (IVA INC) ]]-Tabla1[[#This Row],[PENDIENTE DE COBRO]]</f>
        <v>0</v>
      </c>
      <c r="R627" s="840">
        <f>+Tabla1[[#This Row],[FECHA FC]]+Tabla1[[#This Row],[PLAZO ENTREGA VALORES]]</f>
        <v>0</v>
      </c>
      <c r="S627" s="840">
        <f>+Tabla1[[#This Row],[FECHA FC]]+Tabla1[[#This Row],[PLAZO PAGO (DIAS)]]</f>
        <v>0</v>
      </c>
      <c r="T627" s="834">
        <f t="shared" ca="1" si="149"/>
        <v>-46181</v>
      </c>
      <c r="U627" s="831"/>
      <c r="V627" s="831"/>
      <c r="W627" s="841">
        <f>+Tabla1[[#This Row],[FECHA VTO VALORES]]+7</f>
        <v>7</v>
      </c>
      <c r="X627" s="830"/>
      <c r="Y627" s="859"/>
      <c r="Z627" s="860">
        <f>Tabla1[[#This Row],[KGS]]/50</f>
        <v>0</v>
      </c>
      <c r="AA62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27" s="844">
        <f>-Tabla1[[#This Row],[COSTO FLETE $ POR BOLSA 5O KG (SIN IVA)]]*1.21-Tabla1[[#This Row],[PRECIO $/ KG A PLAZO EN CLIENTE ( SIN IVA)]]*0.003*1.21*50</f>
        <v>0</v>
      </c>
      <c r="AC627" s="845" t="e">
        <f>SUM(Tabla1[[#This Row],[PRECIO $ BOLSA 50 KG (IVA INC) ]]+Tabla1[[#This Row],[COSTO FLETE $ BOLSA 50 KG (IVA INC)]])</f>
        <v>#VALUE!</v>
      </c>
      <c r="AD627" s="844" t="e">
        <f>-Tabla1[[#This Row],[PRECIO $ BOLSA 50 KG (IVA INC) ]]*(Tabla1[[#This Row],[TASA FINANCIACION MENSUAL]]/365)*Tabla1[[#This Row],[PLAZO ENTREGA VALORES]]</f>
        <v>#VALUE!</v>
      </c>
      <c r="AE627" s="845" t="e">
        <f>SUM(Tabla1[[#This Row],[PRECIO $ BOLSA50 KG  FOB TUCUMAN A PLAZO (IVA INC)]]+Tabla1[[#This Row],[GASTOS FINANCIEROS $ BOLSA 50 KG (IVA INC)]])</f>
        <v>#VALUE!</v>
      </c>
      <c r="AF627" s="828"/>
      <c r="AG627" s="828"/>
      <c r="AH627" s="828"/>
      <c r="AI627" s="828"/>
      <c r="AJ62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27" s="846" t="e">
        <f>SUM(Tabla1[[#This Row],[PRECIO $ BOLSA 50KG  FOB CDO TUC (IVA INC)]]-Tabla1[[#This Row],[PRECIO REF $ BOLSA 50 KG CACTU (IVA INC)]])</f>
        <v>#VALUE!</v>
      </c>
      <c r="AL627" s="847" t="str">
        <f>IFERROR(Tabla1[[#This Row],[PRECIO $ BOLSA 50KG  FOB CDO TUC (IVA INC)]]/Tabla1[[#This Row],[PRECIO REF $ BOLSA 50 KG CACTU (IVA INC)]]-1,"")</f>
        <v/>
      </c>
      <c r="AM627" s="846" t="e">
        <f>+Tabla1[[#This Row],[DIF $ PRECIO NETO INDUSTRIA vs Neto TUCUMAN (IVA INC)]]*Tabla1[[#This Row],[Q Bolsas Equivalentes 50kg]]</f>
        <v>#VALUE!</v>
      </c>
      <c r="AN627" s="846" t="e">
        <f>Tabla1[[#This Row],[PRECIO REF $ BOLSA 50 KG CACTU (IVA INC)]]*Tabla1[[#This Row],[Q Bolsas Equivalentes 50kg]]</f>
        <v>#VALUE!</v>
      </c>
      <c r="AO627" s="846" t="e">
        <f>+Tabla1[[#This Row],[PRECIO $ BOLSA 50KG  FOB CDO TUC (IVA INC)]]*Tabla1[[#This Row],[Q Bolsas Equivalentes 50kg]]</f>
        <v>#VALUE!</v>
      </c>
      <c r="AP627" s="847"/>
      <c r="AQ627" s="846">
        <v>0</v>
      </c>
      <c r="AR627" s="828"/>
      <c r="AS627" s="849"/>
      <c r="AT627" s="923">
        <f>+Tabla1[[#This Row],[VENTA TOTAL $ (IVA INC) ]]-(SUM(Tabla1[[#This Row],[PENDIENTE DE ENTREGA]:[VALORES COBRADOS]]))</f>
        <v>0</v>
      </c>
      <c r="AU627" s="850" t="e">
        <f>VLOOKUP(Tabla1[[#This Row],[FECHA OC]],'TIPO DE CAMBIO'!A:B,2,TRUE)</f>
        <v>#N/A</v>
      </c>
      <c r="AV627" s="850" t="e">
        <f>+Tabla1[[#This Row],[SUBTOTAL]]/Tabla1[[#This Row],[TIPO DE CAMBIO]]</f>
        <v>#N/A</v>
      </c>
      <c r="AW627" s="851"/>
      <c r="AX627" s="850" t="str">
        <f>IFERROR(Tabla1[[#This Row],[VENTA TOTAL USD A PLAZO EN CLIENTE  (SIN IVA)]]*(1+Tabla1[[#This Row],[% IVA ]]),"")</f>
        <v/>
      </c>
      <c r="AY627" s="850" t="e">
        <f>+Tabla1[[#This Row],[VENTA TOTAL USD A PLAZO EN CLIENTE  (SIN IVA)]]/Tabla1[[#This Row],[KGS]]*1000</f>
        <v>#N/A</v>
      </c>
      <c r="AZ627" s="850" t="e">
        <f>-Tabla1[[#This Row],[COSTO FLETE $ POR BOLSA 5O KG (SIN IVA)]]*20/Tabla1[[#This Row],[TIPO DE CAMBIO]]</f>
        <v>#N/A</v>
      </c>
      <c r="BA627" s="850" t="e">
        <f>+Tabla1[[#This Row],[GASTOS FINANCIEROS $ BOLSA 50 KG (IVA INC)]]*20/Tabla1[[#This Row],[TIPO DE CAMBIO]]</f>
        <v>#VALUE!</v>
      </c>
      <c r="BB627" s="850" t="e">
        <f>+Tabla1[[#This Row],[PRECIO POR TN USD EN CLIENTE A PLAZO (SIN IVA)]]+Tabla1[[#This Row],[COSTO USD FLETE /TN (SIN IVA)]]+Tabla1[[#This Row],[COSTO FINANCIERO USD POR BOLSA 50KG (IVA INC)]]</f>
        <v>#N/A</v>
      </c>
      <c r="BC627" s="828"/>
      <c r="BD627" s="944"/>
    </row>
    <row r="628" spans="1:56" ht="15.75" customHeight="1">
      <c r="A628" s="912">
        <v>46296</v>
      </c>
      <c r="B628" s="863"/>
      <c r="C628" s="792"/>
      <c r="D628" s="829">
        <f>+Tabla1[[#This Row],[FECHA Entrega]]</f>
        <v>0</v>
      </c>
      <c r="E628" s="830"/>
      <c r="F628" s="831"/>
      <c r="G628" s="832"/>
      <c r="H628" s="852"/>
      <c r="I628" s="834"/>
      <c r="J628" s="835"/>
      <c r="K628" s="836">
        <f t="shared" si="148"/>
        <v>0</v>
      </c>
      <c r="L62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28" s="837">
        <f t="shared" si="150"/>
        <v>0</v>
      </c>
      <c r="N628" s="838">
        <f>+Tabla1[[#This Row],[VENTA TOTAL $ (IVA INC) ]]</f>
        <v>0</v>
      </c>
      <c r="O628" s="838">
        <v>0</v>
      </c>
      <c r="P628" s="838">
        <v>0</v>
      </c>
      <c r="Q628" s="839">
        <f>+Tabla1[[#This Row],[VENTA TOTAL $ (IVA INC) ]]-Tabla1[[#This Row],[PENDIENTE DE COBRO]]</f>
        <v>0</v>
      </c>
      <c r="R628" s="840">
        <f>+Tabla1[[#This Row],[FECHA FC]]+Tabla1[[#This Row],[PLAZO ENTREGA VALORES]]</f>
        <v>0</v>
      </c>
      <c r="S628" s="840">
        <f>+Tabla1[[#This Row],[FECHA FC]]+Tabla1[[#This Row],[PLAZO PAGO (DIAS)]]</f>
        <v>0</v>
      </c>
      <c r="T628" s="834">
        <f t="shared" ca="1" si="149"/>
        <v>-46181</v>
      </c>
      <c r="U628" s="831"/>
      <c r="V628" s="831"/>
      <c r="W628" s="841">
        <f>+Tabla1[[#This Row],[FECHA VTO VALORES]]+7</f>
        <v>7</v>
      </c>
      <c r="X628" s="830"/>
      <c r="Y628" s="859"/>
      <c r="Z628" s="860">
        <f>Tabla1[[#This Row],[KGS]]/50</f>
        <v>0</v>
      </c>
      <c r="AA62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28" s="844">
        <f>-Tabla1[[#This Row],[COSTO FLETE $ POR BOLSA 5O KG (SIN IVA)]]*1.21-Tabla1[[#This Row],[PRECIO $/ KG A PLAZO EN CLIENTE ( SIN IVA)]]*0.003*1.21*50</f>
        <v>0</v>
      </c>
      <c r="AC628" s="845" t="e">
        <f>SUM(Tabla1[[#This Row],[PRECIO $ BOLSA 50 KG (IVA INC) ]]+Tabla1[[#This Row],[COSTO FLETE $ BOLSA 50 KG (IVA INC)]])</f>
        <v>#VALUE!</v>
      </c>
      <c r="AD628" s="844" t="e">
        <f>-Tabla1[[#This Row],[PRECIO $ BOLSA 50 KG (IVA INC) ]]*(Tabla1[[#This Row],[TASA FINANCIACION MENSUAL]]/365)*Tabla1[[#This Row],[PLAZO ENTREGA VALORES]]</f>
        <v>#VALUE!</v>
      </c>
      <c r="AE628" s="845" t="e">
        <f>SUM(Tabla1[[#This Row],[PRECIO $ BOLSA50 KG  FOB TUCUMAN A PLAZO (IVA INC)]]+Tabla1[[#This Row],[GASTOS FINANCIEROS $ BOLSA 50 KG (IVA INC)]])</f>
        <v>#VALUE!</v>
      </c>
      <c r="AF628" s="828"/>
      <c r="AG628" s="828"/>
      <c r="AH628" s="828"/>
      <c r="AI628" s="828"/>
      <c r="AJ62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28" s="846" t="e">
        <f>SUM(Tabla1[[#This Row],[PRECIO $ BOLSA 50KG  FOB CDO TUC (IVA INC)]]-Tabla1[[#This Row],[PRECIO REF $ BOLSA 50 KG CACTU (IVA INC)]])</f>
        <v>#VALUE!</v>
      </c>
      <c r="AL628" s="847" t="str">
        <f>IFERROR(Tabla1[[#This Row],[PRECIO $ BOLSA 50KG  FOB CDO TUC (IVA INC)]]/Tabla1[[#This Row],[PRECIO REF $ BOLSA 50 KG CACTU (IVA INC)]]-1,"")</f>
        <v/>
      </c>
      <c r="AM628" s="846" t="e">
        <f>+Tabla1[[#This Row],[DIF $ PRECIO NETO INDUSTRIA vs Neto TUCUMAN (IVA INC)]]*Tabla1[[#This Row],[Q Bolsas Equivalentes 50kg]]</f>
        <v>#VALUE!</v>
      </c>
      <c r="AN628" s="846" t="e">
        <f>Tabla1[[#This Row],[PRECIO REF $ BOLSA 50 KG CACTU (IVA INC)]]*Tabla1[[#This Row],[Q Bolsas Equivalentes 50kg]]</f>
        <v>#VALUE!</v>
      </c>
      <c r="AO628" s="846" t="e">
        <f>+Tabla1[[#This Row],[PRECIO $ BOLSA 50KG  FOB CDO TUC (IVA INC)]]*Tabla1[[#This Row],[Q Bolsas Equivalentes 50kg]]</f>
        <v>#VALUE!</v>
      </c>
      <c r="AP628" s="847"/>
      <c r="AQ628" s="846">
        <v>0</v>
      </c>
      <c r="AR628" s="828"/>
      <c r="AS628" s="849"/>
      <c r="AT628" s="923">
        <f>+Tabla1[[#This Row],[VENTA TOTAL $ (IVA INC) ]]-(SUM(Tabla1[[#This Row],[PENDIENTE DE ENTREGA]:[VALORES COBRADOS]]))</f>
        <v>0</v>
      </c>
      <c r="AU628" s="850" t="e">
        <f>VLOOKUP(Tabla1[[#This Row],[FECHA OC]],'TIPO DE CAMBIO'!A:B,2,TRUE)</f>
        <v>#N/A</v>
      </c>
      <c r="AV628" s="850" t="e">
        <f>+Tabla1[[#This Row],[SUBTOTAL]]/Tabla1[[#This Row],[TIPO DE CAMBIO]]</f>
        <v>#N/A</v>
      </c>
      <c r="AW628" s="851"/>
      <c r="AX628" s="850" t="str">
        <f>IFERROR(Tabla1[[#This Row],[VENTA TOTAL USD A PLAZO EN CLIENTE  (SIN IVA)]]*(1+Tabla1[[#This Row],[% IVA ]]),"")</f>
        <v/>
      </c>
      <c r="AY628" s="850" t="e">
        <f>+Tabla1[[#This Row],[VENTA TOTAL USD A PLAZO EN CLIENTE  (SIN IVA)]]/Tabla1[[#This Row],[KGS]]*1000</f>
        <v>#N/A</v>
      </c>
      <c r="AZ628" s="850" t="e">
        <f>-Tabla1[[#This Row],[COSTO FLETE $ POR BOLSA 5O KG (SIN IVA)]]*20/Tabla1[[#This Row],[TIPO DE CAMBIO]]</f>
        <v>#N/A</v>
      </c>
      <c r="BA628" s="850" t="e">
        <f>+Tabla1[[#This Row],[GASTOS FINANCIEROS $ BOLSA 50 KG (IVA INC)]]*20/Tabla1[[#This Row],[TIPO DE CAMBIO]]</f>
        <v>#VALUE!</v>
      </c>
      <c r="BB628" s="850" t="e">
        <f>+Tabla1[[#This Row],[PRECIO POR TN USD EN CLIENTE A PLAZO (SIN IVA)]]+Tabla1[[#This Row],[COSTO USD FLETE /TN (SIN IVA)]]+Tabla1[[#This Row],[COSTO FINANCIERO USD POR BOLSA 50KG (IVA INC)]]</f>
        <v>#N/A</v>
      </c>
      <c r="BC628" s="828"/>
      <c r="BD628" s="944"/>
    </row>
    <row r="629" spans="1:56" ht="15.75" customHeight="1">
      <c r="A629" s="912">
        <v>46296</v>
      </c>
      <c r="B629" s="863"/>
      <c r="C629" s="792"/>
      <c r="D629" s="829">
        <f>+Tabla1[[#This Row],[FECHA Entrega]]</f>
        <v>0</v>
      </c>
      <c r="E629" s="830"/>
      <c r="F629" s="831"/>
      <c r="G629" s="832"/>
      <c r="H629" s="852"/>
      <c r="I629" s="834"/>
      <c r="J629" s="835"/>
      <c r="K629" s="836">
        <f t="shared" si="148"/>
        <v>0</v>
      </c>
      <c r="L62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29" s="837">
        <f t="shared" si="150"/>
        <v>0</v>
      </c>
      <c r="N629" s="838">
        <f>+Tabla1[[#This Row],[VENTA TOTAL $ (IVA INC) ]]</f>
        <v>0</v>
      </c>
      <c r="O629" s="838">
        <v>0</v>
      </c>
      <c r="P629" s="838">
        <v>0</v>
      </c>
      <c r="Q629" s="839">
        <f>+Tabla1[[#This Row],[VENTA TOTAL $ (IVA INC) ]]-Tabla1[[#This Row],[PENDIENTE DE COBRO]]</f>
        <v>0</v>
      </c>
      <c r="R629" s="840">
        <f>+Tabla1[[#This Row],[FECHA FC]]+Tabla1[[#This Row],[PLAZO ENTREGA VALORES]]</f>
        <v>0</v>
      </c>
      <c r="S629" s="840">
        <f>+Tabla1[[#This Row],[FECHA FC]]+Tabla1[[#This Row],[PLAZO PAGO (DIAS)]]</f>
        <v>0</v>
      </c>
      <c r="T629" s="834">
        <f t="shared" ca="1" si="149"/>
        <v>-46181</v>
      </c>
      <c r="U629" s="831"/>
      <c r="V629" s="831"/>
      <c r="W629" s="841">
        <f>+Tabla1[[#This Row],[FECHA VTO VALORES]]+7</f>
        <v>7</v>
      </c>
      <c r="X629" s="830"/>
      <c r="Y629" s="859"/>
      <c r="Z629" s="860">
        <f>Tabla1[[#This Row],[KGS]]/50</f>
        <v>0</v>
      </c>
      <c r="AA62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29" s="844">
        <f>-Tabla1[[#This Row],[COSTO FLETE $ POR BOLSA 5O KG (SIN IVA)]]*1.21-Tabla1[[#This Row],[PRECIO $/ KG A PLAZO EN CLIENTE ( SIN IVA)]]*0.003*1.21*50</f>
        <v>0</v>
      </c>
      <c r="AC629" s="845" t="e">
        <f>SUM(Tabla1[[#This Row],[PRECIO $ BOLSA 50 KG (IVA INC) ]]+Tabla1[[#This Row],[COSTO FLETE $ BOLSA 50 KG (IVA INC)]])</f>
        <v>#VALUE!</v>
      </c>
      <c r="AD629" s="844" t="e">
        <f>-Tabla1[[#This Row],[PRECIO $ BOLSA 50 KG (IVA INC) ]]*(Tabla1[[#This Row],[TASA FINANCIACION MENSUAL]]/365)*Tabla1[[#This Row],[PLAZO ENTREGA VALORES]]</f>
        <v>#VALUE!</v>
      </c>
      <c r="AE629" s="845" t="e">
        <f>SUM(Tabla1[[#This Row],[PRECIO $ BOLSA50 KG  FOB TUCUMAN A PLAZO (IVA INC)]]+Tabla1[[#This Row],[GASTOS FINANCIEROS $ BOLSA 50 KG (IVA INC)]])</f>
        <v>#VALUE!</v>
      </c>
      <c r="AF629" s="828"/>
      <c r="AG629" s="828"/>
      <c r="AH629" s="828"/>
      <c r="AI629" s="828"/>
      <c r="AJ62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29" s="846" t="e">
        <f>SUM(Tabla1[[#This Row],[PRECIO $ BOLSA 50KG  FOB CDO TUC (IVA INC)]]-Tabla1[[#This Row],[PRECIO REF $ BOLSA 50 KG CACTU (IVA INC)]])</f>
        <v>#VALUE!</v>
      </c>
      <c r="AL629" s="847" t="str">
        <f>IFERROR(Tabla1[[#This Row],[PRECIO $ BOLSA 50KG  FOB CDO TUC (IVA INC)]]/Tabla1[[#This Row],[PRECIO REF $ BOLSA 50 KG CACTU (IVA INC)]]-1,"")</f>
        <v/>
      </c>
      <c r="AM629" s="846" t="e">
        <f>+Tabla1[[#This Row],[DIF $ PRECIO NETO INDUSTRIA vs Neto TUCUMAN (IVA INC)]]*Tabla1[[#This Row],[Q Bolsas Equivalentes 50kg]]</f>
        <v>#VALUE!</v>
      </c>
      <c r="AN629" s="846" t="e">
        <f>Tabla1[[#This Row],[PRECIO REF $ BOLSA 50 KG CACTU (IVA INC)]]*Tabla1[[#This Row],[Q Bolsas Equivalentes 50kg]]</f>
        <v>#VALUE!</v>
      </c>
      <c r="AO629" s="846" t="e">
        <f>+Tabla1[[#This Row],[PRECIO $ BOLSA 50KG  FOB CDO TUC (IVA INC)]]*Tabla1[[#This Row],[Q Bolsas Equivalentes 50kg]]</f>
        <v>#VALUE!</v>
      </c>
      <c r="AP629" s="847"/>
      <c r="AQ629" s="846">
        <v>0</v>
      </c>
      <c r="AR629" s="828"/>
      <c r="AS629" s="849"/>
      <c r="AT629" s="923">
        <f>+Tabla1[[#This Row],[VENTA TOTAL $ (IVA INC) ]]-(SUM(Tabla1[[#This Row],[PENDIENTE DE ENTREGA]:[VALORES COBRADOS]]))</f>
        <v>0</v>
      </c>
      <c r="AU629" s="850" t="e">
        <f>VLOOKUP(Tabla1[[#This Row],[FECHA OC]],'TIPO DE CAMBIO'!A:B,2,TRUE)</f>
        <v>#N/A</v>
      </c>
      <c r="AV629" s="850" t="e">
        <f>+Tabla1[[#This Row],[SUBTOTAL]]/Tabla1[[#This Row],[TIPO DE CAMBIO]]</f>
        <v>#N/A</v>
      </c>
      <c r="AW629" s="851"/>
      <c r="AX629" s="850" t="str">
        <f>IFERROR(Tabla1[[#This Row],[VENTA TOTAL USD A PLAZO EN CLIENTE  (SIN IVA)]]*(1+Tabla1[[#This Row],[% IVA ]]),"")</f>
        <v/>
      </c>
      <c r="AY629" s="850" t="e">
        <f>+Tabla1[[#This Row],[VENTA TOTAL USD A PLAZO EN CLIENTE  (SIN IVA)]]/Tabla1[[#This Row],[KGS]]*1000</f>
        <v>#N/A</v>
      </c>
      <c r="AZ629" s="850" t="e">
        <f>-Tabla1[[#This Row],[COSTO FLETE $ POR BOLSA 5O KG (SIN IVA)]]*20/Tabla1[[#This Row],[TIPO DE CAMBIO]]</f>
        <v>#N/A</v>
      </c>
      <c r="BA629" s="850" t="e">
        <f>+Tabla1[[#This Row],[GASTOS FINANCIEROS $ BOLSA 50 KG (IVA INC)]]*20/Tabla1[[#This Row],[TIPO DE CAMBIO]]</f>
        <v>#VALUE!</v>
      </c>
      <c r="BB629" s="850" t="e">
        <f>+Tabla1[[#This Row],[PRECIO POR TN USD EN CLIENTE A PLAZO (SIN IVA)]]+Tabla1[[#This Row],[COSTO USD FLETE /TN (SIN IVA)]]+Tabla1[[#This Row],[COSTO FINANCIERO USD POR BOLSA 50KG (IVA INC)]]</f>
        <v>#N/A</v>
      </c>
      <c r="BC629" s="828"/>
      <c r="BD629" s="944"/>
    </row>
    <row r="630" spans="1:56" ht="15.75" customHeight="1">
      <c r="A630" s="912">
        <v>46296</v>
      </c>
      <c r="B630" s="863"/>
      <c r="C630" s="792"/>
      <c r="D630" s="829">
        <f>+Tabla1[[#This Row],[FECHA Entrega]]</f>
        <v>0</v>
      </c>
      <c r="E630" s="830"/>
      <c r="F630" s="831"/>
      <c r="G630" s="832"/>
      <c r="H630" s="852"/>
      <c r="I630" s="834"/>
      <c r="J630" s="835"/>
      <c r="K630" s="836">
        <f t="shared" si="148"/>
        <v>0</v>
      </c>
      <c r="L63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30" s="837">
        <f t="shared" si="150"/>
        <v>0</v>
      </c>
      <c r="N630" s="838">
        <f>+Tabla1[[#This Row],[VENTA TOTAL $ (IVA INC) ]]</f>
        <v>0</v>
      </c>
      <c r="O630" s="838">
        <v>0</v>
      </c>
      <c r="P630" s="838">
        <v>0</v>
      </c>
      <c r="Q630" s="839">
        <f>+Tabla1[[#This Row],[VENTA TOTAL $ (IVA INC) ]]-Tabla1[[#This Row],[PENDIENTE DE COBRO]]</f>
        <v>0</v>
      </c>
      <c r="R630" s="840">
        <f>+Tabla1[[#This Row],[FECHA FC]]+Tabla1[[#This Row],[PLAZO ENTREGA VALORES]]</f>
        <v>0</v>
      </c>
      <c r="S630" s="840">
        <f>+Tabla1[[#This Row],[FECHA FC]]+Tabla1[[#This Row],[PLAZO PAGO (DIAS)]]</f>
        <v>0</v>
      </c>
      <c r="T630" s="834">
        <f t="shared" ca="1" si="149"/>
        <v>-46181</v>
      </c>
      <c r="U630" s="831"/>
      <c r="V630" s="831"/>
      <c r="W630" s="841">
        <f>+Tabla1[[#This Row],[FECHA VTO VALORES]]+7</f>
        <v>7</v>
      </c>
      <c r="X630" s="830"/>
      <c r="Y630" s="859"/>
      <c r="Z630" s="860">
        <f>Tabla1[[#This Row],[KGS]]/50</f>
        <v>0</v>
      </c>
      <c r="AA63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30" s="844">
        <f>-Tabla1[[#This Row],[COSTO FLETE $ POR BOLSA 5O KG (SIN IVA)]]*1.21-Tabla1[[#This Row],[PRECIO $/ KG A PLAZO EN CLIENTE ( SIN IVA)]]*0.003*1.21*50</f>
        <v>0</v>
      </c>
      <c r="AC630" s="845" t="e">
        <f>SUM(Tabla1[[#This Row],[PRECIO $ BOLSA 50 KG (IVA INC) ]]+Tabla1[[#This Row],[COSTO FLETE $ BOLSA 50 KG (IVA INC)]])</f>
        <v>#VALUE!</v>
      </c>
      <c r="AD630" s="844" t="e">
        <f>-Tabla1[[#This Row],[PRECIO $ BOLSA 50 KG (IVA INC) ]]*(Tabla1[[#This Row],[TASA FINANCIACION MENSUAL]]/365)*Tabla1[[#This Row],[PLAZO ENTREGA VALORES]]</f>
        <v>#VALUE!</v>
      </c>
      <c r="AE630" s="845" t="e">
        <f>SUM(Tabla1[[#This Row],[PRECIO $ BOLSA50 KG  FOB TUCUMAN A PLAZO (IVA INC)]]+Tabla1[[#This Row],[GASTOS FINANCIEROS $ BOLSA 50 KG (IVA INC)]])</f>
        <v>#VALUE!</v>
      </c>
      <c r="AF630" s="828"/>
      <c r="AG630" s="828"/>
      <c r="AH630" s="828"/>
      <c r="AI630" s="828"/>
      <c r="AJ63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30" s="846" t="e">
        <f>SUM(Tabla1[[#This Row],[PRECIO $ BOLSA 50KG  FOB CDO TUC (IVA INC)]]-Tabla1[[#This Row],[PRECIO REF $ BOLSA 50 KG CACTU (IVA INC)]])</f>
        <v>#VALUE!</v>
      </c>
      <c r="AL630" s="847" t="str">
        <f>IFERROR(Tabla1[[#This Row],[PRECIO $ BOLSA 50KG  FOB CDO TUC (IVA INC)]]/Tabla1[[#This Row],[PRECIO REF $ BOLSA 50 KG CACTU (IVA INC)]]-1,"")</f>
        <v/>
      </c>
      <c r="AM630" s="846" t="e">
        <f>+Tabla1[[#This Row],[DIF $ PRECIO NETO INDUSTRIA vs Neto TUCUMAN (IVA INC)]]*Tabla1[[#This Row],[Q Bolsas Equivalentes 50kg]]</f>
        <v>#VALUE!</v>
      </c>
      <c r="AN630" s="846" t="e">
        <f>Tabla1[[#This Row],[PRECIO REF $ BOLSA 50 KG CACTU (IVA INC)]]*Tabla1[[#This Row],[Q Bolsas Equivalentes 50kg]]</f>
        <v>#VALUE!</v>
      </c>
      <c r="AO630" s="846" t="e">
        <f>+Tabla1[[#This Row],[PRECIO $ BOLSA 50KG  FOB CDO TUC (IVA INC)]]*Tabla1[[#This Row],[Q Bolsas Equivalentes 50kg]]</f>
        <v>#VALUE!</v>
      </c>
      <c r="AP630" s="847"/>
      <c r="AQ630" s="846">
        <v>0</v>
      </c>
      <c r="AR630" s="828"/>
      <c r="AS630" s="849"/>
      <c r="AT630" s="923">
        <f>+Tabla1[[#This Row],[VENTA TOTAL $ (IVA INC) ]]-(SUM(Tabla1[[#This Row],[PENDIENTE DE ENTREGA]:[VALORES COBRADOS]]))</f>
        <v>0</v>
      </c>
      <c r="AU630" s="850" t="e">
        <f>VLOOKUP(Tabla1[[#This Row],[FECHA OC]],'TIPO DE CAMBIO'!A:B,2,TRUE)</f>
        <v>#N/A</v>
      </c>
      <c r="AV630" s="850" t="e">
        <f>+Tabla1[[#This Row],[SUBTOTAL]]/Tabla1[[#This Row],[TIPO DE CAMBIO]]</f>
        <v>#N/A</v>
      </c>
      <c r="AW630" s="851"/>
      <c r="AX630" s="850" t="str">
        <f>IFERROR(Tabla1[[#This Row],[VENTA TOTAL USD A PLAZO EN CLIENTE  (SIN IVA)]]*(1+Tabla1[[#This Row],[% IVA ]]),"")</f>
        <v/>
      </c>
      <c r="AY630" s="850" t="e">
        <f>+Tabla1[[#This Row],[VENTA TOTAL USD A PLAZO EN CLIENTE  (SIN IVA)]]/Tabla1[[#This Row],[KGS]]*1000</f>
        <v>#N/A</v>
      </c>
      <c r="AZ630" s="850" t="e">
        <f>-Tabla1[[#This Row],[COSTO FLETE $ POR BOLSA 5O KG (SIN IVA)]]*20/Tabla1[[#This Row],[TIPO DE CAMBIO]]</f>
        <v>#N/A</v>
      </c>
      <c r="BA630" s="850" t="e">
        <f>+Tabla1[[#This Row],[GASTOS FINANCIEROS $ BOLSA 50 KG (IVA INC)]]*20/Tabla1[[#This Row],[TIPO DE CAMBIO]]</f>
        <v>#VALUE!</v>
      </c>
      <c r="BB630" s="850" t="e">
        <f>+Tabla1[[#This Row],[PRECIO POR TN USD EN CLIENTE A PLAZO (SIN IVA)]]+Tabla1[[#This Row],[COSTO USD FLETE /TN (SIN IVA)]]+Tabla1[[#This Row],[COSTO FINANCIERO USD POR BOLSA 50KG (IVA INC)]]</f>
        <v>#N/A</v>
      </c>
      <c r="BC630" s="828"/>
      <c r="BD630" s="944"/>
    </row>
    <row r="631" spans="1:56" ht="15.75" customHeight="1">
      <c r="A631" s="912">
        <v>46296</v>
      </c>
      <c r="B631" s="863"/>
      <c r="C631" s="792"/>
      <c r="D631" s="829">
        <f>+Tabla1[[#This Row],[FECHA Entrega]]</f>
        <v>0</v>
      </c>
      <c r="E631" s="830"/>
      <c r="F631" s="831"/>
      <c r="G631" s="832"/>
      <c r="H631" s="852"/>
      <c r="I631" s="834"/>
      <c r="J631" s="835"/>
      <c r="K631" s="836">
        <f t="shared" si="148"/>
        <v>0</v>
      </c>
      <c r="L63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31" s="837">
        <f t="shared" si="150"/>
        <v>0</v>
      </c>
      <c r="N631" s="838">
        <f>+Tabla1[[#This Row],[VENTA TOTAL $ (IVA INC) ]]</f>
        <v>0</v>
      </c>
      <c r="O631" s="838">
        <v>0</v>
      </c>
      <c r="P631" s="838">
        <v>0</v>
      </c>
      <c r="Q631" s="839">
        <f>+Tabla1[[#This Row],[VENTA TOTAL $ (IVA INC) ]]-Tabla1[[#This Row],[PENDIENTE DE COBRO]]</f>
        <v>0</v>
      </c>
      <c r="R631" s="840">
        <f>+Tabla1[[#This Row],[FECHA FC]]+Tabla1[[#This Row],[PLAZO ENTREGA VALORES]]</f>
        <v>0</v>
      </c>
      <c r="S631" s="840">
        <f>+Tabla1[[#This Row],[FECHA FC]]+Tabla1[[#This Row],[PLAZO PAGO (DIAS)]]</f>
        <v>0</v>
      </c>
      <c r="T631" s="834">
        <f t="shared" ca="1" si="149"/>
        <v>-46181</v>
      </c>
      <c r="U631" s="831"/>
      <c r="V631" s="831"/>
      <c r="W631" s="841">
        <f>+Tabla1[[#This Row],[FECHA VTO VALORES]]+7</f>
        <v>7</v>
      </c>
      <c r="X631" s="830"/>
      <c r="Y631" s="859"/>
      <c r="Z631" s="860">
        <f>Tabla1[[#This Row],[KGS]]/50</f>
        <v>0</v>
      </c>
      <c r="AA63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31" s="844">
        <f>-Tabla1[[#This Row],[COSTO FLETE $ POR BOLSA 5O KG (SIN IVA)]]*1.21-Tabla1[[#This Row],[PRECIO $/ KG A PLAZO EN CLIENTE ( SIN IVA)]]*0.003*1.21*50</f>
        <v>0</v>
      </c>
      <c r="AC631" s="845" t="e">
        <f>SUM(Tabla1[[#This Row],[PRECIO $ BOLSA 50 KG (IVA INC) ]]+Tabla1[[#This Row],[COSTO FLETE $ BOLSA 50 KG (IVA INC)]])</f>
        <v>#VALUE!</v>
      </c>
      <c r="AD631" s="844" t="e">
        <f>-Tabla1[[#This Row],[PRECIO $ BOLSA 50 KG (IVA INC) ]]*(Tabla1[[#This Row],[TASA FINANCIACION MENSUAL]]/365)*Tabla1[[#This Row],[PLAZO ENTREGA VALORES]]</f>
        <v>#VALUE!</v>
      </c>
      <c r="AE631" s="845" t="e">
        <f>SUM(Tabla1[[#This Row],[PRECIO $ BOLSA50 KG  FOB TUCUMAN A PLAZO (IVA INC)]]+Tabla1[[#This Row],[GASTOS FINANCIEROS $ BOLSA 50 KG (IVA INC)]])</f>
        <v>#VALUE!</v>
      </c>
      <c r="AF631" s="828"/>
      <c r="AG631" s="828"/>
      <c r="AH631" s="828"/>
      <c r="AI631" s="828"/>
      <c r="AJ63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31" s="846" t="e">
        <f>SUM(Tabla1[[#This Row],[PRECIO $ BOLSA 50KG  FOB CDO TUC (IVA INC)]]-Tabla1[[#This Row],[PRECIO REF $ BOLSA 50 KG CACTU (IVA INC)]])</f>
        <v>#VALUE!</v>
      </c>
      <c r="AL631" s="847" t="str">
        <f>IFERROR(Tabla1[[#This Row],[PRECIO $ BOLSA 50KG  FOB CDO TUC (IVA INC)]]/Tabla1[[#This Row],[PRECIO REF $ BOLSA 50 KG CACTU (IVA INC)]]-1,"")</f>
        <v/>
      </c>
      <c r="AM631" s="846" t="e">
        <f>+Tabla1[[#This Row],[DIF $ PRECIO NETO INDUSTRIA vs Neto TUCUMAN (IVA INC)]]*Tabla1[[#This Row],[Q Bolsas Equivalentes 50kg]]</f>
        <v>#VALUE!</v>
      </c>
      <c r="AN631" s="846" t="e">
        <f>Tabla1[[#This Row],[PRECIO REF $ BOLSA 50 KG CACTU (IVA INC)]]*Tabla1[[#This Row],[Q Bolsas Equivalentes 50kg]]</f>
        <v>#VALUE!</v>
      </c>
      <c r="AO631" s="846" t="e">
        <f>+Tabla1[[#This Row],[PRECIO $ BOLSA 50KG  FOB CDO TUC (IVA INC)]]*Tabla1[[#This Row],[Q Bolsas Equivalentes 50kg]]</f>
        <v>#VALUE!</v>
      </c>
      <c r="AP631" s="847"/>
      <c r="AQ631" s="846">
        <v>0</v>
      </c>
      <c r="AR631" s="828"/>
      <c r="AS631" s="849"/>
      <c r="AT631" s="923">
        <f>+Tabla1[[#This Row],[VENTA TOTAL $ (IVA INC) ]]-(SUM(Tabla1[[#This Row],[PENDIENTE DE ENTREGA]:[VALORES COBRADOS]]))</f>
        <v>0</v>
      </c>
      <c r="AU631" s="850" t="e">
        <f>VLOOKUP(Tabla1[[#This Row],[FECHA OC]],'TIPO DE CAMBIO'!A:B,2,TRUE)</f>
        <v>#N/A</v>
      </c>
      <c r="AV631" s="850" t="e">
        <f>+Tabla1[[#This Row],[SUBTOTAL]]/Tabla1[[#This Row],[TIPO DE CAMBIO]]</f>
        <v>#N/A</v>
      </c>
      <c r="AW631" s="851"/>
      <c r="AX631" s="850" t="str">
        <f>IFERROR(Tabla1[[#This Row],[VENTA TOTAL USD A PLAZO EN CLIENTE  (SIN IVA)]]*(1+Tabla1[[#This Row],[% IVA ]]),"")</f>
        <v/>
      </c>
      <c r="AY631" s="850" t="e">
        <f>+Tabla1[[#This Row],[VENTA TOTAL USD A PLAZO EN CLIENTE  (SIN IVA)]]/Tabla1[[#This Row],[KGS]]*1000</f>
        <v>#N/A</v>
      </c>
      <c r="AZ631" s="850" t="e">
        <f>-Tabla1[[#This Row],[COSTO FLETE $ POR BOLSA 5O KG (SIN IVA)]]*20/Tabla1[[#This Row],[TIPO DE CAMBIO]]</f>
        <v>#N/A</v>
      </c>
      <c r="BA631" s="850" t="e">
        <f>+Tabla1[[#This Row],[GASTOS FINANCIEROS $ BOLSA 50 KG (IVA INC)]]*20/Tabla1[[#This Row],[TIPO DE CAMBIO]]</f>
        <v>#VALUE!</v>
      </c>
      <c r="BB631" s="850" t="e">
        <f>+Tabla1[[#This Row],[PRECIO POR TN USD EN CLIENTE A PLAZO (SIN IVA)]]+Tabla1[[#This Row],[COSTO USD FLETE /TN (SIN IVA)]]+Tabla1[[#This Row],[COSTO FINANCIERO USD POR BOLSA 50KG (IVA INC)]]</f>
        <v>#N/A</v>
      </c>
      <c r="BC631" s="828"/>
      <c r="BD631" s="944"/>
    </row>
    <row r="632" spans="1:56" ht="15.75" customHeight="1">
      <c r="A632" s="912">
        <v>46296</v>
      </c>
      <c r="B632" s="863"/>
      <c r="C632" s="792"/>
      <c r="D632" s="829">
        <f>+Tabla1[[#This Row],[FECHA Entrega]]</f>
        <v>0</v>
      </c>
      <c r="E632" s="830"/>
      <c r="F632" s="831"/>
      <c r="G632" s="832"/>
      <c r="H632" s="852"/>
      <c r="I632" s="834"/>
      <c r="J632" s="835"/>
      <c r="K632" s="836">
        <f t="shared" si="148"/>
        <v>0</v>
      </c>
      <c r="L63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32" s="837">
        <f t="shared" si="150"/>
        <v>0</v>
      </c>
      <c r="N632" s="838">
        <f>+Tabla1[[#This Row],[VENTA TOTAL $ (IVA INC) ]]</f>
        <v>0</v>
      </c>
      <c r="O632" s="838">
        <v>0</v>
      </c>
      <c r="P632" s="838">
        <v>0</v>
      </c>
      <c r="Q632" s="839">
        <f>+Tabla1[[#This Row],[VENTA TOTAL $ (IVA INC) ]]-Tabla1[[#This Row],[PENDIENTE DE COBRO]]</f>
        <v>0</v>
      </c>
      <c r="R632" s="840">
        <f>+Tabla1[[#This Row],[FECHA FC]]+Tabla1[[#This Row],[PLAZO ENTREGA VALORES]]</f>
        <v>0</v>
      </c>
      <c r="S632" s="840">
        <f>+Tabla1[[#This Row],[FECHA FC]]+Tabla1[[#This Row],[PLAZO PAGO (DIAS)]]</f>
        <v>0</v>
      </c>
      <c r="T632" s="834">
        <f t="shared" ca="1" si="149"/>
        <v>-46181</v>
      </c>
      <c r="U632" s="831"/>
      <c r="V632" s="831"/>
      <c r="W632" s="841">
        <f>+Tabla1[[#This Row],[FECHA VTO VALORES]]+7</f>
        <v>7</v>
      </c>
      <c r="X632" s="830"/>
      <c r="Y632" s="859"/>
      <c r="Z632" s="860">
        <f>Tabla1[[#This Row],[KGS]]/50</f>
        <v>0</v>
      </c>
      <c r="AA63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32" s="844">
        <f>-Tabla1[[#This Row],[COSTO FLETE $ POR BOLSA 5O KG (SIN IVA)]]*1.21-Tabla1[[#This Row],[PRECIO $/ KG A PLAZO EN CLIENTE ( SIN IVA)]]*0.003*1.21*50</f>
        <v>0</v>
      </c>
      <c r="AC632" s="845" t="e">
        <f>SUM(Tabla1[[#This Row],[PRECIO $ BOLSA 50 KG (IVA INC) ]]+Tabla1[[#This Row],[COSTO FLETE $ BOLSA 50 KG (IVA INC)]])</f>
        <v>#VALUE!</v>
      </c>
      <c r="AD632" s="844" t="e">
        <f>-Tabla1[[#This Row],[PRECIO $ BOLSA 50 KG (IVA INC) ]]*(Tabla1[[#This Row],[TASA FINANCIACION MENSUAL]]/365)*Tabla1[[#This Row],[PLAZO ENTREGA VALORES]]</f>
        <v>#VALUE!</v>
      </c>
      <c r="AE632" s="845" t="e">
        <f>SUM(Tabla1[[#This Row],[PRECIO $ BOLSA50 KG  FOB TUCUMAN A PLAZO (IVA INC)]]+Tabla1[[#This Row],[GASTOS FINANCIEROS $ BOLSA 50 KG (IVA INC)]])</f>
        <v>#VALUE!</v>
      </c>
      <c r="AF632" s="828"/>
      <c r="AG632" s="828"/>
      <c r="AH632" s="828"/>
      <c r="AI632" s="828"/>
      <c r="AJ63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32" s="846" t="e">
        <f>SUM(Tabla1[[#This Row],[PRECIO $ BOLSA 50KG  FOB CDO TUC (IVA INC)]]-Tabla1[[#This Row],[PRECIO REF $ BOLSA 50 KG CACTU (IVA INC)]])</f>
        <v>#VALUE!</v>
      </c>
      <c r="AL632" s="847" t="str">
        <f>IFERROR(Tabla1[[#This Row],[PRECIO $ BOLSA 50KG  FOB CDO TUC (IVA INC)]]/Tabla1[[#This Row],[PRECIO REF $ BOLSA 50 KG CACTU (IVA INC)]]-1,"")</f>
        <v/>
      </c>
      <c r="AM632" s="846" t="e">
        <f>+Tabla1[[#This Row],[DIF $ PRECIO NETO INDUSTRIA vs Neto TUCUMAN (IVA INC)]]*Tabla1[[#This Row],[Q Bolsas Equivalentes 50kg]]</f>
        <v>#VALUE!</v>
      </c>
      <c r="AN632" s="846" t="e">
        <f>Tabla1[[#This Row],[PRECIO REF $ BOLSA 50 KG CACTU (IVA INC)]]*Tabla1[[#This Row],[Q Bolsas Equivalentes 50kg]]</f>
        <v>#VALUE!</v>
      </c>
      <c r="AO632" s="846" t="e">
        <f>+Tabla1[[#This Row],[PRECIO $ BOLSA 50KG  FOB CDO TUC (IVA INC)]]*Tabla1[[#This Row],[Q Bolsas Equivalentes 50kg]]</f>
        <v>#VALUE!</v>
      </c>
      <c r="AP632" s="847"/>
      <c r="AQ632" s="846">
        <v>0</v>
      </c>
      <c r="AR632" s="828"/>
      <c r="AS632" s="849"/>
      <c r="AT632" s="923">
        <f>+Tabla1[[#This Row],[VENTA TOTAL $ (IVA INC) ]]-(SUM(Tabla1[[#This Row],[PENDIENTE DE ENTREGA]:[VALORES COBRADOS]]))</f>
        <v>0</v>
      </c>
      <c r="AU632" s="850" t="e">
        <f>VLOOKUP(Tabla1[[#This Row],[FECHA OC]],'TIPO DE CAMBIO'!A:B,2,TRUE)</f>
        <v>#N/A</v>
      </c>
      <c r="AV632" s="850" t="e">
        <f>+Tabla1[[#This Row],[SUBTOTAL]]/Tabla1[[#This Row],[TIPO DE CAMBIO]]</f>
        <v>#N/A</v>
      </c>
      <c r="AW632" s="851"/>
      <c r="AX632" s="850" t="str">
        <f>IFERROR(Tabla1[[#This Row],[VENTA TOTAL USD A PLAZO EN CLIENTE  (SIN IVA)]]*(1+Tabla1[[#This Row],[% IVA ]]),"")</f>
        <v/>
      </c>
      <c r="AY632" s="850" t="e">
        <f>+Tabla1[[#This Row],[VENTA TOTAL USD A PLAZO EN CLIENTE  (SIN IVA)]]/Tabla1[[#This Row],[KGS]]*1000</f>
        <v>#N/A</v>
      </c>
      <c r="AZ632" s="850" t="e">
        <f>-Tabla1[[#This Row],[COSTO FLETE $ POR BOLSA 5O KG (SIN IVA)]]*20/Tabla1[[#This Row],[TIPO DE CAMBIO]]</f>
        <v>#N/A</v>
      </c>
      <c r="BA632" s="850" t="e">
        <f>+Tabla1[[#This Row],[GASTOS FINANCIEROS $ BOLSA 50 KG (IVA INC)]]*20/Tabla1[[#This Row],[TIPO DE CAMBIO]]</f>
        <v>#VALUE!</v>
      </c>
      <c r="BB632" s="850" t="e">
        <f>+Tabla1[[#This Row],[PRECIO POR TN USD EN CLIENTE A PLAZO (SIN IVA)]]+Tabla1[[#This Row],[COSTO USD FLETE /TN (SIN IVA)]]+Tabla1[[#This Row],[COSTO FINANCIERO USD POR BOLSA 50KG (IVA INC)]]</f>
        <v>#N/A</v>
      </c>
      <c r="BC632" s="828"/>
      <c r="BD632" s="944"/>
    </row>
    <row r="633" spans="1:56" ht="15.75" customHeight="1">
      <c r="A633" s="912">
        <v>46296</v>
      </c>
      <c r="B633" s="863"/>
      <c r="C633" s="792"/>
      <c r="D633" s="829">
        <f>+Tabla1[[#This Row],[FECHA Entrega]]</f>
        <v>0</v>
      </c>
      <c r="E633" s="830"/>
      <c r="F633" s="831"/>
      <c r="G633" s="832"/>
      <c r="H633" s="852"/>
      <c r="I633" s="834"/>
      <c r="J633" s="835"/>
      <c r="K633" s="836">
        <f t="shared" si="148"/>
        <v>0</v>
      </c>
      <c r="L63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33" s="837">
        <f t="shared" si="150"/>
        <v>0</v>
      </c>
      <c r="N633" s="838">
        <f>+Tabla1[[#This Row],[VENTA TOTAL $ (IVA INC) ]]</f>
        <v>0</v>
      </c>
      <c r="O633" s="838">
        <v>0</v>
      </c>
      <c r="P633" s="838">
        <v>0</v>
      </c>
      <c r="Q633" s="839">
        <f>+Tabla1[[#This Row],[VENTA TOTAL $ (IVA INC) ]]-Tabla1[[#This Row],[PENDIENTE DE COBRO]]</f>
        <v>0</v>
      </c>
      <c r="R633" s="840">
        <f>+Tabla1[[#This Row],[FECHA FC]]+Tabla1[[#This Row],[PLAZO ENTREGA VALORES]]</f>
        <v>0</v>
      </c>
      <c r="S633" s="840">
        <f>+Tabla1[[#This Row],[FECHA FC]]+Tabla1[[#This Row],[PLAZO PAGO (DIAS)]]</f>
        <v>0</v>
      </c>
      <c r="T633" s="834">
        <f t="shared" ca="1" si="149"/>
        <v>-46181</v>
      </c>
      <c r="U633" s="831"/>
      <c r="V633" s="831"/>
      <c r="W633" s="841">
        <f>+Tabla1[[#This Row],[FECHA VTO VALORES]]+7</f>
        <v>7</v>
      </c>
      <c r="X633" s="830"/>
      <c r="Y633" s="859"/>
      <c r="Z633" s="860">
        <f>Tabla1[[#This Row],[KGS]]/50</f>
        <v>0</v>
      </c>
      <c r="AA63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33" s="844">
        <f>-Tabla1[[#This Row],[COSTO FLETE $ POR BOLSA 5O KG (SIN IVA)]]*1.21-Tabla1[[#This Row],[PRECIO $/ KG A PLAZO EN CLIENTE ( SIN IVA)]]*0.003*1.21*50</f>
        <v>0</v>
      </c>
      <c r="AC633" s="845" t="e">
        <f>SUM(Tabla1[[#This Row],[PRECIO $ BOLSA 50 KG (IVA INC) ]]+Tabla1[[#This Row],[COSTO FLETE $ BOLSA 50 KG (IVA INC)]])</f>
        <v>#VALUE!</v>
      </c>
      <c r="AD633" s="844" t="e">
        <f>-Tabla1[[#This Row],[PRECIO $ BOLSA 50 KG (IVA INC) ]]*(Tabla1[[#This Row],[TASA FINANCIACION MENSUAL]]/365)*Tabla1[[#This Row],[PLAZO ENTREGA VALORES]]</f>
        <v>#VALUE!</v>
      </c>
      <c r="AE633" s="845" t="e">
        <f>SUM(Tabla1[[#This Row],[PRECIO $ BOLSA50 KG  FOB TUCUMAN A PLAZO (IVA INC)]]+Tabla1[[#This Row],[GASTOS FINANCIEROS $ BOLSA 50 KG (IVA INC)]])</f>
        <v>#VALUE!</v>
      </c>
      <c r="AF633" s="828"/>
      <c r="AG633" s="828"/>
      <c r="AH633" s="828"/>
      <c r="AI633" s="828"/>
      <c r="AJ63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33" s="846" t="e">
        <f>SUM(Tabla1[[#This Row],[PRECIO $ BOLSA 50KG  FOB CDO TUC (IVA INC)]]-Tabla1[[#This Row],[PRECIO REF $ BOLSA 50 KG CACTU (IVA INC)]])</f>
        <v>#VALUE!</v>
      </c>
      <c r="AL633" s="847" t="str">
        <f>IFERROR(Tabla1[[#This Row],[PRECIO $ BOLSA 50KG  FOB CDO TUC (IVA INC)]]/Tabla1[[#This Row],[PRECIO REF $ BOLSA 50 KG CACTU (IVA INC)]]-1,"")</f>
        <v/>
      </c>
      <c r="AM633" s="846" t="e">
        <f>+Tabla1[[#This Row],[DIF $ PRECIO NETO INDUSTRIA vs Neto TUCUMAN (IVA INC)]]*Tabla1[[#This Row],[Q Bolsas Equivalentes 50kg]]</f>
        <v>#VALUE!</v>
      </c>
      <c r="AN633" s="846" t="e">
        <f>Tabla1[[#This Row],[PRECIO REF $ BOLSA 50 KG CACTU (IVA INC)]]*Tabla1[[#This Row],[Q Bolsas Equivalentes 50kg]]</f>
        <v>#VALUE!</v>
      </c>
      <c r="AO633" s="846" t="e">
        <f>+Tabla1[[#This Row],[PRECIO $ BOLSA 50KG  FOB CDO TUC (IVA INC)]]*Tabla1[[#This Row],[Q Bolsas Equivalentes 50kg]]</f>
        <v>#VALUE!</v>
      </c>
      <c r="AP633" s="847"/>
      <c r="AQ633" s="846">
        <v>0</v>
      </c>
      <c r="AR633" s="828"/>
      <c r="AS633" s="849"/>
      <c r="AT633" s="923">
        <f>+Tabla1[[#This Row],[VENTA TOTAL $ (IVA INC) ]]-(SUM(Tabla1[[#This Row],[PENDIENTE DE ENTREGA]:[VALORES COBRADOS]]))</f>
        <v>0</v>
      </c>
      <c r="AU633" s="850" t="e">
        <f>VLOOKUP(Tabla1[[#This Row],[FECHA OC]],'TIPO DE CAMBIO'!A:B,2,TRUE)</f>
        <v>#N/A</v>
      </c>
      <c r="AV633" s="850" t="e">
        <f>+Tabla1[[#This Row],[SUBTOTAL]]/Tabla1[[#This Row],[TIPO DE CAMBIO]]</f>
        <v>#N/A</v>
      </c>
      <c r="AW633" s="851"/>
      <c r="AX633" s="850" t="str">
        <f>IFERROR(Tabla1[[#This Row],[VENTA TOTAL USD A PLAZO EN CLIENTE  (SIN IVA)]]*(1+Tabla1[[#This Row],[% IVA ]]),"")</f>
        <v/>
      </c>
      <c r="AY633" s="850" t="e">
        <f>+Tabla1[[#This Row],[VENTA TOTAL USD A PLAZO EN CLIENTE  (SIN IVA)]]/Tabla1[[#This Row],[KGS]]*1000</f>
        <v>#N/A</v>
      </c>
      <c r="AZ633" s="850" t="e">
        <f>-Tabla1[[#This Row],[COSTO FLETE $ POR BOLSA 5O KG (SIN IVA)]]*20/Tabla1[[#This Row],[TIPO DE CAMBIO]]</f>
        <v>#N/A</v>
      </c>
      <c r="BA633" s="850" t="e">
        <f>+Tabla1[[#This Row],[GASTOS FINANCIEROS $ BOLSA 50 KG (IVA INC)]]*20/Tabla1[[#This Row],[TIPO DE CAMBIO]]</f>
        <v>#VALUE!</v>
      </c>
      <c r="BB633" s="850" t="e">
        <f>+Tabla1[[#This Row],[PRECIO POR TN USD EN CLIENTE A PLAZO (SIN IVA)]]+Tabla1[[#This Row],[COSTO USD FLETE /TN (SIN IVA)]]+Tabla1[[#This Row],[COSTO FINANCIERO USD POR BOLSA 50KG (IVA INC)]]</f>
        <v>#N/A</v>
      </c>
      <c r="BC633" s="828"/>
      <c r="BD633" s="944"/>
    </row>
    <row r="634" spans="1:56" ht="15.75" customHeight="1">
      <c r="A634" s="912">
        <v>46296</v>
      </c>
      <c r="B634" s="863"/>
      <c r="C634" s="792"/>
      <c r="D634" s="829">
        <f>+Tabla1[[#This Row],[FECHA Entrega]]</f>
        <v>0</v>
      </c>
      <c r="E634" s="830"/>
      <c r="F634" s="831"/>
      <c r="G634" s="832"/>
      <c r="H634" s="852"/>
      <c r="I634" s="834"/>
      <c r="J634" s="835"/>
      <c r="K634" s="836">
        <f t="shared" si="148"/>
        <v>0</v>
      </c>
      <c r="L63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34" s="837">
        <f t="shared" si="150"/>
        <v>0</v>
      </c>
      <c r="N634" s="838">
        <f>+Tabla1[[#This Row],[VENTA TOTAL $ (IVA INC) ]]</f>
        <v>0</v>
      </c>
      <c r="O634" s="838">
        <v>0</v>
      </c>
      <c r="P634" s="838">
        <v>0</v>
      </c>
      <c r="Q634" s="839">
        <f>+Tabla1[[#This Row],[VENTA TOTAL $ (IVA INC) ]]-Tabla1[[#This Row],[PENDIENTE DE COBRO]]</f>
        <v>0</v>
      </c>
      <c r="R634" s="840">
        <f>+Tabla1[[#This Row],[FECHA FC]]+Tabla1[[#This Row],[PLAZO ENTREGA VALORES]]</f>
        <v>0</v>
      </c>
      <c r="S634" s="840">
        <f>+Tabla1[[#This Row],[FECHA FC]]+Tabla1[[#This Row],[PLAZO PAGO (DIAS)]]</f>
        <v>0</v>
      </c>
      <c r="T634" s="834">
        <f t="shared" ca="1" si="149"/>
        <v>-46181</v>
      </c>
      <c r="U634" s="831"/>
      <c r="V634" s="831"/>
      <c r="W634" s="841">
        <f>+Tabla1[[#This Row],[FECHA VTO VALORES]]+7</f>
        <v>7</v>
      </c>
      <c r="X634" s="830"/>
      <c r="Y634" s="859"/>
      <c r="Z634" s="860">
        <f>Tabla1[[#This Row],[KGS]]/50</f>
        <v>0</v>
      </c>
      <c r="AA63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34" s="844">
        <f>-Tabla1[[#This Row],[COSTO FLETE $ POR BOLSA 5O KG (SIN IVA)]]*1.21-Tabla1[[#This Row],[PRECIO $/ KG A PLAZO EN CLIENTE ( SIN IVA)]]*0.003*1.21*50</f>
        <v>0</v>
      </c>
      <c r="AC634" s="845" t="e">
        <f>SUM(Tabla1[[#This Row],[PRECIO $ BOLSA 50 KG (IVA INC) ]]+Tabla1[[#This Row],[COSTO FLETE $ BOLSA 50 KG (IVA INC)]])</f>
        <v>#VALUE!</v>
      </c>
      <c r="AD634" s="844" t="e">
        <f>-Tabla1[[#This Row],[PRECIO $ BOLSA 50 KG (IVA INC) ]]*(Tabla1[[#This Row],[TASA FINANCIACION MENSUAL]]/365)*Tabla1[[#This Row],[PLAZO ENTREGA VALORES]]</f>
        <v>#VALUE!</v>
      </c>
      <c r="AE634" s="845" t="e">
        <f>SUM(Tabla1[[#This Row],[PRECIO $ BOLSA50 KG  FOB TUCUMAN A PLAZO (IVA INC)]]+Tabla1[[#This Row],[GASTOS FINANCIEROS $ BOLSA 50 KG (IVA INC)]])</f>
        <v>#VALUE!</v>
      </c>
      <c r="AF634" s="828"/>
      <c r="AG634" s="828"/>
      <c r="AH634" s="828"/>
      <c r="AI634" s="828"/>
      <c r="AJ63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34" s="846" t="e">
        <f>SUM(Tabla1[[#This Row],[PRECIO $ BOLSA 50KG  FOB CDO TUC (IVA INC)]]-Tabla1[[#This Row],[PRECIO REF $ BOLSA 50 KG CACTU (IVA INC)]])</f>
        <v>#VALUE!</v>
      </c>
      <c r="AL634" s="847" t="str">
        <f>IFERROR(Tabla1[[#This Row],[PRECIO $ BOLSA 50KG  FOB CDO TUC (IVA INC)]]/Tabla1[[#This Row],[PRECIO REF $ BOLSA 50 KG CACTU (IVA INC)]]-1,"")</f>
        <v/>
      </c>
      <c r="AM634" s="846" t="e">
        <f>+Tabla1[[#This Row],[DIF $ PRECIO NETO INDUSTRIA vs Neto TUCUMAN (IVA INC)]]*Tabla1[[#This Row],[Q Bolsas Equivalentes 50kg]]</f>
        <v>#VALUE!</v>
      </c>
      <c r="AN634" s="846" t="e">
        <f>Tabla1[[#This Row],[PRECIO REF $ BOLSA 50 KG CACTU (IVA INC)]]*Tabla1[[#This Row],[Q Bolsas Equivalentes 50kg]]</f>
        <v>#VALUE!</v>
      </c>
      <c r="AO634" s="846" t="e">
        <f>+Tabla1[[#This Row],[PRECIO $ BOLSA 50KG  FOB CDO TUC (IVA INC)]]*Tabla1[[#This Row],[Q Bolsas Equivalentes 50kg]]</f>
        <v>#VALUE!</v>
      </c>
      <c r="AP634" s="847"/>
      <c r="AQ634" s="846">
        <v>0</v>
      </c>
      <c r="AR634" s="828"/>
      <c r="AS634" s="849"/>
      <c r="AT634" s="923">
        <f>+Tabla1[[#This Row],[VENTA TOTAL $ (IVA INC) ]]-(SUM(Tabla1[[#This Row],[PENDIENTE DE ENTREGA]:[VALORES COBRADOS]]))</f>
        <v>0</v>
      </c>
      <c r="AU634" s="850" t="e">
        <f>VLOOKUP(Tabla1[[#This Row],[FECHA OC]],'TIPO DE CAMBIO'!A:B,2,TRUE)</f>
        <v>#N/A</v>
      </c>
      <c r="AV634" s="850" t="e">
        <f>+Tabla1[[#This Row],[SUBTOTAL]]/Tabla1[[#This Row],[TIPO DE CAMBIO]]</f>
        <v>#N/A</v>
      </c>
      <c r="AW634" s="851"/>
      <c r="AX634" s="850" t="str">
        <f>IFERROR(Tabla1[[#This Row],[VENTA TOTAL USD A PLAZO EN CLIENTE  (SIN IVA)]]*(1+Tabla1[[#This Row],[% IVA ]]),"")</f>
        <v/>
      </c>
      <c r="AY634" s="850" t="e">
        <f>+Tabla1[[#This Row],[VENTA TOTAL USD A PLAZO EN CLIENTE  (SIN IVA)]]/Tabla1[[#This Row],[KGS]]*1000</f>
        <v>#N/A</v>
      </c>
      <c r="AZ634" s="850" t="e">
        <f>-Tabla1[[#This Row],[COSTO FLETE $ POR BOLSA 5O KG (SIN IVA)]]*20/Tabla1[[#This Row],[TIPO DE CAMBIO]]</f>
        <v>#N/A</v>
      </c>
      <c r="BA634" s="850" t="e">
        <f>+Tabla1[[#This Row],[GASTOS FINANCIEROS $ BOLSA 50 KG (IVA INC)]]*20/Tabla1[[#This Row],[TIPO DE CAMBIO]]</f>
        <v>#VALUE!</v>
      </c>
      <c r="BB634" s="850" t="e">
        <f>+Tabla1[[#This Row],[PRECIO POR TN USD EN CLIENTE A PLAZO (SIN IVA)]]+Tabla1[[#This Row],[COSTO USD FLETE /TN (SIN IVA)]]+Tabla1[[#This Row],[COSTO FINANCIERO USD POR BOLSA 50KG (IVA INC)]]</f>
        <v>#N/A</v>
      </c>
      <c r="BC634" s="828"/>
      <c r="BD634" s="944"/>
    </row>
    <row r="635" spans="1:56" ht="15.75" customHeight="1">
      <c r="A635" s="912">
        <v>46296</v>
      </c>
      <c r="B635" s="863"/>
      <c r="C635" s="792"/>
      <c r="D635" s="829">
        <f>+Tabla1[[#This Row],[FECHA Entrega]]</f>
        <v>0</v>
      </c>
      <c r="E635" s="830"/>
      <c r="F635" s="831"/>
      <c r="G635" s="832"/>
      <c r="H635" s="852"/>
      <c r="I635" s="834"/>
      <c r="J635" s="835"/>
      <c r="K635" s="836">
        <f t="shared" si="148"/>
        <v>0</v>
      </c>
      <c r="L63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35" s="837">
        <f t="shared" si="150"/>
        <v>0</v>
      </c>
      <c r="N635" s="838">
        <f>+Tabla1[[#This Row],[VENTA TOTAL $ (IVA INC) ]]</f>
        <v>0</v>
      </c>
      <c r="O635" s="838">
        <v>0</v>
      </c>
      <c r="P635" s="838">
        <v>0</v>
      </c>
      <c r="Q635" s="839">
        <f>+Tabla1[[#This Row],[VENTA TOTAL $ (IVA INC) ]]-Tabla1[[#This Row],[PENDIENTE DE COBRO]]</f>
        <v>0</v>
      </c>
      <c r="R635" s="840">
        <f>+Tabla1[[#This Row],[FECHA FC]]+Tabla1[[#This Row],[PLAZO ENTREGA VALORES]]</f>
        <v>0</v>
      </c>
      <c r="S635" s="840">
        <f>+Tabla1[[#This Row],[FECHA FC]]+Tabla1[[#This Row],[PLAZO PAGO (DIAS)]]</f>
        <v>0</v>
      </c>
      <c r="T635" s="834">
        <f t="shared" ca="1" si="149"/>
        <v>-46181</v>
      </c>
      <c r="U635" s="831"/>
      <c r="V635" s="831"/>
      <c r="W635" s="841">
        <f>+Tabla1[[#This Row],[FECHA VTO VALORES]]+7</f>
        <v>7</v>
      </c>
      <c r="X635" s="830"/>
      <c r="Y635" s="859"/>
      <c r="Z635" s="860">
        <f>Tabla1[[#This Row],[KGS]]/50</f>
        <v>0</v>
      </c>
      <c r="AA63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35" s="844">
        <f>-Tabla1[[#This Row],[COSTO FLETE $ POR BOLSA 5O KG (SIN IVA)]]*1.21-Tabla1[[#This Row],[PRECIO $/ KG A PLAZO EN CLIENTE ( SIN IVA)]]*0.003*1.21*50</f>
        <v>0</v>
      </c>
      <c r="AC635" s="845" t="e">
        <f>SUM(Tabla1[[#This Row],[PRECIO $ BOLSA 50 KG (IVA INC) ]]+Tabla1[[#This Row],[COSTO FLETE $ BOLSA 50 KG (IVA INC)]])</f>
        <v>#VALUE!</v>
      </c>
      <c r="AD635" s="844" t="e">
        <f>-Tabla1[[#This Row],[PRECIO $ BOLSA 50 KG (IVA INC) ]]*(Tabla1[[#This Row],[TASA FINANCIACION MENSUAL]]/365)*Tabla1[[#This Row],[PLAZO ENTREGA VALORES]]</f>
        <v>#VALUE!</v>
      </c>
      <c r="AE635" s="845" t="e">
        <f>SUM(Tabla1[[#This Row],[PRECIO $ BOLSA50 KG  FOB TUCUMAN A PLAZO (IVA INC)]]+Tabla1[[#This Row],[GASTOS FINANCIEROS $ BOLSA 50 KG (IVA INC)]])</f>
        <v>#VALUE!</v>
      </c>
      <c r="AF635" s="828"/>
      <c r="AG635" s="828"/>
      <c r="AH635" s="828"/>
      <c r="AI635" s="828"/>
      <c r="AJ63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35" s="846" t="e">
        <f>SUM(Tabla1[[#This Row],[PRECIO $ BOLSA 50KG  FOB CDO TUC (IVA INC)]]-Tabla1[[#This Row],[PRECIO REF $ BOLSA 50 KG CACTU (IVA INC)]])</f>
        <v>#VALUE!</v>
      </c>
      <c r="AL635" s="847" t="str">
        <f>IFERROR(Tabla1[[#This Row],[PRECIO $ BOLSA 50KG  FOB CDO TUC (IVA INC)]]/Tabla1[[#This Row],[PRECIO REF $ BOLSA 50 KG CACTU (IVA INC)]]-1,"")</f>
        <v/>
      </c>
      <c r="AM635" s="846" t="e">
        <f>+Tabla1[[#This Row],[DIF $ PRECIO NETO INDUSTRIA vs Neto TUCUMAN (IVA INC)]]*Tabla1[[#This Row],[Q Bolsas Equivalentes 50kg]]</f>
        <v>#VALUE!</v>
      </c>
      <c r="AN635" s="846" t="e">
        <f>Tabla1[[#This Row],[PRECIO REF $ BOLSA 50 KG CACTU (IVA INC)]]*Tabla1[[#This Row],[Q Bolsas Equivalentes 50kg]]</f>
        <v>#VALUE!</v>
      </c>
      <c r="AO635" s="846" t="e">
        <f>+Tabla1[[#This Row],[PRECIO $ BOLSA 50KG  FOB CDO TUC (IVA INC)]]*Tabla1[[#This Row],[Q Bolsas Equivalentes 50kg]]</f>
        <v>#VALUE!</v>
      </c>
      <c r="AP635" s="847"/>
      <c r="AQ635" s="846">
        <v>0</v>
      </c>
      <c r="AR635" s="828"/>
      <c r="AS635" s="849"/>
      <c r="AT635" s="923">
        <f>+Tabla1[[#This Row],[VENTA TOTAL $ (IVA INC) ]]-(SUM(Tabla1[[#This Row],[PENDIENTE DE ENTREGA]:[VALORES COBRADOS]]))</f>
        <v>0</v>
      </c>
      <c r="AU635" s="850" t="e">
        <f>VLOOKUP(Tabla1[[#This Row],[FECHA OC]],'TIPO DE CAMBIO'!A:B,2,TRUE)</f>
        <v>#N/A</v>
      </c>
      <c r="AV635" s="850" t="e">
        <f>+Tabla1[[#This Row],[SUBTOTAL]]/Tabla1[[#This Row],[TIPO DE CAMBIO]]</f>
        <v>#N/A</v>
      </c>
      <c r="AW635" s="851"/>
      <c r="AX635" s="850" t="str">
        <f>IFERROR(Tabla1[[#This Row],[VENTA TOTAL USD A PLAZO EN CLIENTE  (SIN IVA)]]*(1+Tabla1[[#This Row],[% IVA ]]),"")</f>
        <v/>
      </c>
      <c r="AY635" s="850" t="e">
        <f>+Tabla1[[#This Row],[VENTA TOTAL USD A PLAZO EN CLIENTE  (SIN IVA)]]/Tabla1[[#This Row],[KGS]]*1000</f>
        <v>#N/A</v>
      </c>
      <c r="AZ635" s="850" t="e">
        <f>-Tabla1[[#This Row],[COSTO FLETE $ POR BOLSA 5O KG (SIN IVA)]]*20/Tabla1[[#This Row],[TIPO DE CAMBIO]]</f>
        <v>#N/A</v>
      </c>
      <c r="BA635" s="850" t="e">
        <f>+Tabla1[[#This Row],[GASTOS FINANCIEROS $ BOLSA 50 KG (IVA INC)]]*20/Tabla1[[#This Row],[TIPO DE CAMBIO]]</f>
        <v>#VALUE!</v>
      </c>
      <c r="BB635" s="850" t="e">
        <f>+Tabla1[[#This Row],[PRECIO POR TN USD EN CLIENTE A PLAZO (SIN IVA)]]+Tabla1[[#This Row],[COSTO USD FLETE /TN (SIN IVA)]]+Tabla1[[#This Row],[COSTO FINANCIERO USD POR BOLSA 50KG (IVA INC)]]</f>
        <v>#N/A</v>
      </c>
      <c r="BC635" s="828"/>
      <c r="BD635" s="944"/>
    </row>
    <row r="636" spans="1:56" ht="15.75" customHeight="1">
      <c r="A636" s="912">
        <v>46296</v>
      </c>
      <c r="B636" s="853"/>
      <c r="C636" s="792"/>
      <c r="D636" s="829">
        <f>+Tabla1[[#This Row],[FECHA Entrega]]</f>
        <v>0</v>
      </c>
      <c r="E636" s="830"/>
      <c r="F636" s="831"/>
      <c r="G636" s="832"/>
      <c r="H636" s="852"/>
      <c r="I636" s="834"/>
      <c r="J636" s="835"/>
      <c r="K636" s="836">
        <f t="shared" si="148"/>
        <v>0</v>
      </c>
      <c r="L63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36" s="837">
        <f t="shared" si="150"/>
        <v>0</v>
      </c>
      <c r="N636" s="838">
        <f>+Tabla1[[#This Row],[VENTA TOTAL $ (IVA INC) ]]</f>
        <v>0</v>
      </c>
      <c r="O636" s="838">
        <v>0</v>
      </c>
      <c r="P636" s="838">
        <v>0</v>
      </c>
      <c r="Q636" s="839">
        <f>+Tabla1[[#This Row],[VENTA TOTAL $ (IVA INC) ]]</f>
        <v>0</v>
      </c>
      <c r="R636" s="840">
        <f>+Tabla1[[#This Row],[FECHA FC]]+Tabla1[[#This Row],[PLAZO ENTREGA VALORES]]</f>
        <v>0</v>
      </c>
      <c r="S636" s="840">
        <f>+Tabla1[[#This Row],[FECHA FC]]+Tabla1[[#This Row],[PLAZO PAGO (DIAS)]]</f>
        <v>0</v>
      </c>
      <c r="T636" s="834">
        <f t="shared" ca="1" si="149"/>
        <v>-46181</v>
      </c>
      <c r="U636" s="831"/>
      <c r="V636" s="831"/>
      <c r="W636" s="841">
        <f>+S636+7</f>
        <v>7</v>
      </c>
      <c r="X636" s="830"/>
      <c r="Y636" s="859"/>
      <c r="Z636" s="860">
        <f>Tabla1[[#This Row],[KGS]]/50</f>
        <v>0</v>
      </c>
      <c r="AA63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36" s="844">
        <f>-Tabla1[[#This Row],[COSTO FLETE $ POR BOLSA 5O KG (SIN IVA)]]*1.21-Tabla1[[#This Row],[PRECIO $/ KG A PLAZO EN CLIENTE ( SIN IVA)]]*0.003*1.21*50</f>
        <v>0</v>
      </c>
      <c r="AC636" s="845" t="e">
        <f>SUM(Tabla1[[#This Row],[PRECIO $ BOLSA 50 KG (IVA INC) ]]+Tabla1[[#This Row],[COSTO FLETE $ BOLSA 50 KG (IVA INC)]])</f>
        <v>#VALUE!</v>
      </c>
      <c r="AD636" s="844" t="e">
        <f>-Tabla1[[#This Row],[PRECIO $ BOLSA 50 KG (IVA INC) ]]*(Tabla1[[#This Row],[TASA FINANCIACION MENSUAL]]/365)*Tabla1[[#This Row],[PLAZO ENTREGA VALORES]]</f>
        <v>#VALUE!</v>
      </c>
      <c r="AE636" s="845" t="e">
        <f>SUM(Tabla1[[#This Row],[PRECIO $ BOLSA50 KG  FOB TUCUMAN A PLAZO (IVA INC)]]+Tabla1[[#This Row],[GASTOS FINANCIEROS $ BOLSA 50 KG (IVA INC)]])</f>
        <v>#VALUE!</v>
      </c>
      <c r="AF636" s="828"/>
      <c r="AG636" s="828"/>
      <c r="AH636" s="828"/>
      <c r="AI636" s="828"/>
      <c r="AJ63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36" s="846" t="e">
        <f>SUM(Tabla1[[#This Row],[PRECIO $ BOLSA 50KG  FOB CDO TUC (IVA INC)]]-Tabla1[[#This Row],[PRECIO REF $ BOLSA 50 KG CACTU (IVA INC)]])</f>
        <v>#VALUE!</v>
      </c>
      <c r="AL636" s="847" t="str">
        <f>IFERROR(Tabla1[[#This Row],[PRECIO $ BOLSA 50KG  FOB CDO TUC (IVA INC)]]/Tabla1[[#This Row],[PRECIO REF $ BOLSA 50 KG CACTU (IVA INC)]]-1,"")</f>
        <v/>
      </c>
      <c r="AM636" s="846" t="e">
        <f>+Tabla1[[#This Row],[DIF $ PRECIO NETO INDUSTRIA vs Neto TUCUMAN (IVA INC)]]*Tabla1[[#This Row],[Q Bolsas Equivalentes 50kg]]</f>
        <v>#VALUE!</v>
      </c>
      <c r="AN636" s="846" t="e">
        <f>Tabla1[[#This Row],[PRECIO REF $ BOLSA 50 KG CACTU (IVA INC)]]*Tabla1[[#This Row],[Q Bolsas Equivalentes 50kg]]</f>
        <v>#VALUE!</v>
      </c>
      <c r="AO636" s="846" t="e">
        <f>+Tabla1[[#This Row],[PRECIO $ BOLSA 50KG  FOB CDO TUC (IVA INC)]]*Tabla1[[#This Row],[Q Bolsas Equivalentes 50kg]]</f>
        <v>#VALUE!</v>
      </c>
      <c r="AP636" s="847"/>
      <c r="AQ636" s="846">
        <v>0</v>
      </c>
      <c r="AR636" s="828"/>
      <c r="AS636" s="849"/>
      <c r="AT636" s="923">
        <f>+Tabla1[[#This Row],[VENTA TOTAL $ (IVA INC) ]]-(SUM(Tabla1[[#This Row],[PENDIENTE DE ENTREGA]:[VALORES COBRADOS]]))</f>
        <v>0</v>
      </c>
      <c r="AU636" s="850" t="e">
        <f>VLOOKUP(Tabla1[[#This Row],[FECHA OC]],'TIPO DE CAMBIO'!A:B,2,TRUE)</f>
        <v>#N/A</v>
      </c>
      <c r="AV636" s="850" t="e">
        <f>+Tabla1[[#This Row],[SUBTOTAL]]/Tabla1[[#This Row],[TIPO DE CAMBIO]]</f>
        <v>#N/A</v>
      </c>
      <c r="AW636" s="851"/>
      <c r="AX636" s="850" t="str">
        <f>IFERROR(Tabla1[[#This Row],[VENTA TOTAL USD A PLAZO EN CLIENTE  (SIN IVA)]]*(1+Tabla1[[#This Row],[% IVA ]]),"")</f>
        <v/>
      </c>
      <c r="AY636" s="850" t="e">
        <f>+Tabla1[[#This Row],[VENTA TOTAL USD A PLAZO EN CLIENTE  (SIN IVA)]]/Tabla1[[#This Row],[KGS]]*1000</f>
        <v>#N/A</v>
      </c>
      <c r="AZ636" s="850" t="e">
        <f>-Tabla1[[#This Row],[COSTO FLETE $ POR BOLSA 5O KG (SIN IVA)]]*20/Tabla1[[#This Row],[TIPO DE CAMBIO]]</f>
        <v>#N/A</v>
      </c>
      <c r="BA636" s="850" t="e">
        <f>+Tabla1[[#This Row],[GASTOS FINANCIEROS $ BOLSA 50 KG (IVA INC)]]*20/Tabla1[[#This Row],[TIPO DE CAMBIO]]</f>
        <v>#VALUE!</v>
      </c>
      <c r="BB636" s="850" t="e">
        <f>+Tabla1[[#This Row],[PRECIO POR TN USD EN CLIENTE A PLAZO (SIN IVA)]]+Tabla1[[#This Row],[COSTO USD FLETE /TN (SIN IVA)]]+Tabla1[[#This Row],[COSTO FINANCIERO USD POR BOLSA 50KG (IVA INC)]]</f>
        <v>#N/A</v>
      </c>
      <c r="BC636" s="828"/>
      <c r="BD636" s="944"/>
    </row>
    <row r="637" spans="1:56" ht="15.75" customHeight="1">
      <c r="A637" s="912">
        <v>46296</v>
      </c>
      <c r="B637" s="863"/>
      <c r="C637" s="792"/>
      <c r="D637" s="829">
        <f>+Tabla1[[#This Row],[FECHA Entrega]]</f>
        <v>0</v>
      </c>
      <c r="E637" s="830"/>
      <c r="F637" s="831"/>
      <c r="G637" s="832"/>
      <c r="H637" s="852"/>
      <c r="I637" s="834"/>
      <c r="J637" s="835"/>
      <c r="K637" s="836">
        <f t="shared" si="148"/>
        <v>0</v>
      </c>
      <c r="L63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37" s="837">
        <f t="shared" si="150"/>
        <v>0</v>
      </c>
      <c r="N637" s="838">
        <f>+Tabla1[[#This Row],[VENTA TOTAL $ (IVA INC) ]]</f>
        <v>0</v>
      </c>
      <c r="O637" s="838">
        <v>0</v>
      </c>
      <c r="P637" s="838">
        <v>0</v>
      </c>
      <c r="Q637" s="839">
        <f>+Tabla1[[#This Row],[VENTA TOTAL $ (IVA INC) ]]-Tabla1[[#This Row],[PENDIENTE DE COBRO]]</f>
        <v>0</v>
      </c>
      <c r="R637" s="840">
        <f>+Tabla1[[#This Row],[FECHA FC]]+Tabla1[[#This Row],[PLAZO ENTREGA VALORES]]</f>
        <v>0</v>
      </c>
      <c r="S637" s="840">
        <f>+Tabla1[[#This Row],[FECHA FC]]+Tabla1[[#This Row],[PLAZO PAGO (DIAS)]]</f>
        <v>0</v>
      </c>
      <c r="T637" s="834">
        <f t="shared" ca="1" si="149"/>
        <v>-46181</v>
      </c>
      <c r="U637" s="831"/>
      <c r="V637" s="831"/>
      <c r="W637" s="841">
        <f>+Tabla1[[#This Row],[FECHA VTO VALORES]]+7</f>
        <v>7</v>
      </c>
      <c r="X637" s="830"/>
      <c r="Y637" s="859"/>
      <c r="Z637" s="860">
        <f>Tabla1[[#This Row],[KGS]]/50</f>
        <v>0</v>
      </c>
      <c r="AA63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37" s="844">
        <f>-Tabla1[[#This Row],[COSTO FLETE $ POR BOLSA 5O KG (SIN IVA)]]*1.21-Tabla1[[#This Row],[PRECIO $/ KG A PLAZO EN CLIENTE ( SIN IVA)]]*0.003*1.21*50</f>
        <v>0</v>
      </c>
      <c r="AC637" s="845" t="e">
        <f>SUM(Tabla1[[#This Row],[PRECIO $ BOLSA 50 KG (IVA INC) ]]+Tabla1[[#This Row],[COSTO FLETE $ BOLSA 50 KG (IVA INC)]])</f>
        <v>#VALUE!</v>
      </c>
      <c r="AD637" s="844" t="e">
        <f>-Tabla1[[#This Row],[PRECIO $ BOLSA 50 KG (IVA INC) ]]*(Tabla1[[#This Row],[TASA FINANCIACION MENSUAL]]/365)*Tabla1[[#This Row],[PLAZO ENTREGA VALORES]]</f>
        <v>#VALUE!</v>
      </c>
      <c r="AE637" s="845" t="e">
        <f>SUM(Tabla1[[#This Row],[PRECIO $ BOLSA50 KG  FOB TUCUMAN A PLAZO (IVA INC)]]+Tabla1[[#This Row],[GASTOS FINANCIEROS $ BOLSA 50 KG (IVA INC)]])</f>
        <v>#VALUE!</v>
      </c>
      <c r="AF637" s="828"/>
      <c r="AG637" s="828"/>
      <c r="AH637" s="828"/>
      <c r="AI637" s="828"/>
      <c r="AJ63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37" s="846" t="e">
        <f>SUM(Tabla1[[#This Row],[PRECIO $ BOLSA 50KG  FOB CDO TUC (IVA INC)]]-Tabla1[[#This Row],[PRECIO REF $ BOLSA 50 KG CACTU (IVA INC)]])</f>
        <v>#VALUE!</v>
      </c>
      <c r="AL637" s="847" t="str">
        <f>IFERROR(Tabla1[[#This Row],[PRECIO $ BOLSA 50KG  FOB CDO TUC (IVA INC)]]/Tabla1[[#This Row],[PRECIO REF $ BOLSA 50 KG CACTU (IVA INC)]]-1,"")</f>
        <v/>
      </c>
      <c r="AM637" s="846" t="e">
        <f>+Tabla1[[#This Row],[DIF $ PRECIO NETO INDUSTRIA vs Neto TUCUMAN (IVA INC)]]*Tabla1[[#This Row],[Q Bolsas Equivalentes 50kg]]</f>
        <v>#VALUE!</v>
      </c>
      <c r="AN637" s="846" t="e">
        <f>Tabla1[[#This Row],[PRECIO REF $ BOLSA 50 KG CACTU (IVA INC)]]*Tabla1[[#This Row],[Q Bolsas Equivalentes 50kg]]</f>
        <v>#VALUE!</v>
      </c>
      <c r="AO637" s="846" t="e">
        <f>+Tabla1[[#This Row],[PRECIO $ BOLSA 50KG  FOB CDO TUC (IVA INC)]]*Tabla1[[#This Row],[Q Bolsas Equivalentes 50kg]]</f>
        <v>#VALUE!</v>
      </c>
      <c r="AP637" s="847"/>
      <c r="AQ637" s="846">
        <v>0</v>
      </c>
      <c r="AR637" s="828"/>
      <c r="AS637" s="849"/>
      <c r="AT637" s="923">
        <f>+Tabla1[[#This Row],[VENTA TOTAL $ (IVA INC) ]]-(SUM(Tabla1[[#This Row],[PENDIENTE DE ENTREGA]:[VALORES COBRADOS]]))</f>
        <v>0</v>
      </c>
      <c r="AU637" s="850" t="e">
        <f>VLOOKUP(Tabla1[[#This Row],[FECHA OC]],'TIPO DE CAMBIO'!A:B,2,TRUE)</f>
        <v>#N/A</v>
      </c>
      <c r="AV637" s="850" t="e">
        <f>+Tabla1[[#This Row],[SUBTOTAL]]/Tabla1[[#This Row],[TIPO DE CAMBIO]]</f>
        <v>#N/A</v>
      </c>
      <c r="AW637" s="851"/>
      <c r="AX637" s="850" t="str">
        <f>IFERROR(Tabla1[[#This Row],[VENTA TOTAL USD A PLAZO EN CLIENTE  (SIN IVA)]]*(1+Tabla1[[#This Row],[% IVA ]]),"")</f>
        <v/>
      </c>
      <c r="AY637" s="850" t="e">
        <f>+Tabla1[[#This Row],[VENTA TOTAL USD A PLAZO EN CLIENTE  (SIN IVA)]]/Tabla1[[#This Row],[KGS]]*1000</f>
        <v>#N/A</v>
      </c>
      <c r="AZ637" s="850" t="e">
        <f>-Tabla1[[#This Row],[COSTO FLETE $ POR BOLSA 5O KG (SIN IVA)]]*20/Tabla1[[#This Row],[TIPO DE CAMBIO]]</f>
        <v>#N/A</v>
      </c>
      <c r="BA637" s="850" t="e">
        <f>+Tabla1[[#This Row],[GASTOS FINANCIEROS $ BOLSA 50 KG (IVA INC)]]*20/Tabla1[[#This Row],[TIPO DE CAMBIO]]</f>
        <v>#VALUE!</v>
      </c>
      <c r="BB637" s="850" t="e">
        <f>+Tabla1[[#This Row],[PRECIO POR TN USD EN CLIENTE A PLAZO (SIN IVA)]]+Tabla1[[#This Row],[COSTO USD FLETE /TN (SIN IVA)]]+Tabla1[[#This Row],[COSTO FINANCIERO USD POR BOLSA 50KG (IVA INC)]]</f>
        <v>#N/A</v>
      </c>
      <c r="BC637" s="828"/>
      <c r="BD637" s="944"/>
    </row>
    <row r="638" spans="1:56" ht="15.75" customHeight="1">
      <c r="A638" s="912">
        <v>46296</v>
      </c>
      <c r="B638" s="863"/>
      <c r="C638" s="792"/>
      <c r="D638" s="829">
        <f>+Tabla1[[#This Row],[FECHA Entrega]]</f>
        <v>0</v>
      </c>
      <c r="E638" s="830"/>
      <c r="F638" s="831"/>
      <c r="G638" s="832"/>
      <c r="H638" s="852"/>
      <c r="I638" s="834"/>
      <c r="J638" s="835"/>
      <c r="K638" s="836">
        <f t="shared" si="148"/>
        <v>0</v>
      </c>
      <c r="L63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38" s="837">
        <f t="shared" si="150"/>
        <v>0</v>
      </c>
      <c r="N638" s="838">
        <f>+Tabla1[[#This Row],[VENTA TOTAL $ (IVA INC) ]]</f>
        <v>0</v>
      </c>
      <c r="O638" s="838">
        <v>0</v>
      </c>
      <c r="P638" s="838">
        <v>0</v>
      </c>
      <c r="Q638" s="839">
        <f>+Tabla1[[#This Row],[VENTA TOTAL $ (IVA INC) ]]-Tabla1[[#This Row],[PENDIENTE DE COBRO]]</f>
        <v>0</v>
      </c>
      <c r="R638" s="840">
        <f>+Tabla1[[#This Row],[FECHA FC]]+Tabla1[[#This Row],[PLAZO ENTREGA VALORES]]</f>
        <v>0</v>
      </c>
      <c r="S638" s="840">
        <f>+Tabla1[[#This Row],[FECHA FC]]+Tabla1[[#This Row],[PLAZO PAGO (DIAS)]]</f>
        <v>0</v>
      </c>
      <c r="T638" s="834">
        <f t="shared" ca="1" si="149"/>
        <v>-46181</v>
      </c>
      <c r="U638" s="831"/>
      <c r="V638" s="831"/>
      <c r="W638" s="841">
        <f>+Tabla1[[#This Row],[FECHA VTO VALORES]]+7</f>
        <v>7</v>
      </c>
      <c r="X638" s="830"/>
      <c r="Y638" s="859"/>
      <c r="Z638" s="860">
        <f>Tabla1[[#This Row],[KGS]]/50</f>
        <v>0</v>
      </c>
      <c r="AA63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38" s="844">
        <f>-Tabla1[[#This Row],[COSTO FLETE $ POR BOLSA 5O KG (SIN IVA)]]*1.21-Tabla1[[#This Row],[PRECIO $/ KG A PLAZO EN CLIENTE ( SIN IVA)]]*0.003*1.21*50</f>
        <v>0</v>
      </c>
      <c r="AC638" s="845" t="e">
        <f>SUM(Tabla1[[#This Row],[PRECIO $ BOLSA 50 KG (IVA INC) ]]+Tabla1[[#This Row],[COSTO FLETE $ BOLSA 50 KG (IVA INC)]])</f>
        <v>#VALUE!</v>
      </c>
      <c r="AD638" s="844" t="e">
        <f>-Tabla1[[#This Row],[PRECIO $ BOLSA 50 KG (IVA INC) ]]*(Tabla1[[#This Row],[TASA FINANCIACION MENSUAL]]/365)*Tabla1[[#This Row],[PLAZO ENTREGA VALORES]]</f>
        <v>#VALUE!</v>
      </c>
      <c r="AE638" s="845" t="e">
        <f>SUM(Tabla1[[#This Row],[PRECIO $ BOLSA50 KG  FOB TUCUMAN A PLAZO (IVA INC)]]+Tabla1[[#This Row],[GASTOS FINANCIEROS $ BOLSA 50 KG (IVA INC)]])</f>
        <v>#VALUE!</v>
      </c>
      <c r="AF638" s="828"/>
      <c r="AG638" s="828"/>
      <c r="AH638" s="828"/>
      <c r="AI638" s="828"/>
      <c r="AJ63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38" s="846" t="e">
        <f>SUM(Tabla1[[#This Row],[PRECIO $ BOLSA 50KG  FOB CDO TUC (IVA INC)]]-Tabla1[[#This Row],[PRECIO REF $ BOLSA 50 KG CACTU (IVA INC)]])</f>
        <v>#VALUE!</v>
      </c>
      <c r="AL638" s="847" t="str">
        <f>IFERROR(Tabla1[[#This Row],[PRECIO $ BOLSA 50KG  FOB CDO TUC (IVA INC)]]/Tabla1[[#This Row],[PRECIO REF $ BOLSA 50 KG CACTU (IVA INC)]]-1,"")</f>
        <v/>
      </c>
      <c r="AM638" s="846" t="e">
        <f>+Tabla1[[#This Row],[DIF $ PRECIO NETO INDUSTRIA vs Neto TUCUMAN (IVA INC)]]*Tabla1[[#This Row],[Q Bolsas Equivalentes 50kg]]</f>
        <v>#VALUE!</v>
      </c>
      <c r="AN638" s="846" t="e">
        <f>Tabla1[[#This Row],[PRECIO REF $ BOLSA 50 KG CACTU (IVA INC)]]*Tabla1[[#This Row],[Q Bolsas Equivalentes 50kg]]</f>
        <v>#VALUE!</v>
      </c>
      <c r="AO638" s="846" t="e">
        <f>+Tabla1[[#This Row],[PRECIO $ BOLSA 50KG  FOB CDO TUC (IVA INC)]]*Tabla1[[#This Row],[Q Bolsas Equivalentes 50kg]]</f>
        <v>#VALUE!</v>
      </c>
      <c r="AP638" s="847"/>
      <c r="AQ638" s="846">
        <v>0</v>
      </c>
      <c r="AR638" s="828"/>
      <c r="AS638" s="849"/>
      <c r="AT638" s="923">
        <f>+Tabla1[[#This Row],[VENTA TOTAL $ (IVA INC) ]]-(SUM(Tabla1[[#This Row],[PENDIENTE DE ENTREGA]:[VALORES COBRADOS]]))</f>
        <v>0</v>
      </c>
      <c r="AU638" s="850" t="e">
        <f>VLOOKUP(Tabla1[[#This Row],[FECHA OC]],'TIPO DE CAMBIO'!A:B,2,TRUE)</f>
        <v>#N/A</v>
      </c>
      <c r="AV638" s="850" t="e">
        <f>+Tabla1[[#This Row],[SUBTOTAL]]/Tabla1[[#This Row],[TIPO DE CAMBIO]]</f>
        <v>#N/A</v>
      </c>
      <c r="AW638" s="851"/>
      <c r="AX638" s="850" t="str">
        <f>IFERROR(Tabla1[[#This Row],[VENTA TOTAL USD A PLAZO EN CLIENTE  (SIN IVA)]]*(1+Tabla1[[#This Row],[% IVA ]]),"")</f>
        <v/>
      </c>
      <c r="AY638" s="850" t="e">
        <f>+Tabla1[[#This Row],[VENTA TOTAL USD A PLAZO EN CLIENTE  (SIN IVA)]]/Tabla1[[#This Row],[KGS]]*1000</f>
        <v>#N/A</v>
      </c>
      <c r="AZ638" s="850" t="e">
        <f>-Tabla1[[#This Row],[COSTO FLETE $ POR BOLSA 5O KG (SIN IVA)]]*20/Tabla1[[#This Row],[TIPO DE CAMBIO]]</f>
        <v>#N/A</v>
      </c>
      <c r="BA638" s="850" t="e">
        <f>+Tabla1[[#This Row],[GASTOS FINANCIEROS $ BOLSA 50 KG (IVA INC)]]*20/Tabla1[[#This Row],[TIPO DE CAMBIO]]</f>
        <v>#VALUE!</v>
      </c>
      <c r="BB638" s="850" t="e">
        <f>+Tabla1[[#This Row],[PRECIO POR TN USD EN CLIENTE A PLAZO (SIN IVA)]]+Tabla1[[#This Row],[COSTO USD FLETE /TN (SIN IVA)]]+Tabla1[[#This Row],[COSTO FINANCIERO USD POR BOLSA 50KG (IVA INC)]]</f>
        <v>#N/A</v>
      </c>
      <c r="BC638" s="828"/>
      <c r="BD638" s="944"/>
    </row>
    <row r="639" spans="1:56" ht="15.75" customHeight="1">
      <c r="A639" s="912">
        <v>46296</v>
      </c>
      <c r="B639" s="863"/>
      <c r="C639" s="792"/>
      <c r="D639" s="829">
        <f>+Tabla1[[#This Row],[FECHA Entrega]]</f>
        <v>0</v>
      </c>
      <c r="E639" s="830"/>
      <c r="F639" s="831"/>
      <c r="G639" s="832"/>
      <c r="H639" s="852"/>
      <c r="I639" s="834"/>
      <c r="J639" s="835"/>
      <c r="K639" s="836">
        <f t="shared" si="148"/>
        <v>0</v>
      </c>
      <c r="L63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39" s="837">
        <f t="shared" si="150"/>
        <v>0</v>
      </c>
      <c r="N639" s="838">
        <f>+Tabla1[[#This Row],[VENTA TOTAL $ (IVA INC) ]]</f>
        <v>0</v>
      </c>
      <c r="O639" s="838">
        <v>0</v>
      </c>
      <c r="P639" s="838">
        <v>0</v>
      </c>
      <c r="Q639" s="839">
        <f>+Tabla1[[#This Row],[VENTA TOTAL $ (IVA INC) ]]-Tabla1[[#This Row],[PENDIENTE DE COBRO]]</f>
        <v>0</v>
      </c>
      <c r="R639" s="840">
        <f>+Tabla1[[#This Row],[FECHA FC]]+Tabla1[[#This Row],[PLAZO ENTREGA VALORES]]</f>
        <v>0</v>
      </c>
      <c r="S639" s="840">
        <f>+Tabla1[[#This Row],[FECHA FC]]+Tabla1[[#This Row],[PLAZO PAGO (DIAS)]]</f>
        <v>0</v>
      </c>
      <c r="T639" s="834">
        <f t="shared" ca="1" si="149"/>
        <v>-46181</v>
      </c>
      <c r="U639" s="831"/>
      <c r="V639" s="831"/>
      <c r="W639" s="841">
        <f>+Tabla1[[#This Row],[FECHA VTO VALORES]]+7</f>
        <v>7</v>
      </c>
      <c r="X639" s="830"/>
      <c r="Y639" s="859"/>
      <c r="Z639" s="860">
        <f>Tabla1[[#This Row],[KGS]]/50</f>
        <v>0</v>
      </c>
      <c r="AA63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39" s="844">
        <f>-Tabla1[[#This Row],[COSTO FLETE $ POR BOLSA 5O KG (SIN IVA)]]*1.21-Tabla1[[#This Row],[PRECIO $/ KG A PLAZO EN CLIENTE ( SIN IVA)]]*0.003*1.21*50</f>
        <v>0</v>
      </c>
      <c r="AC639" s="845" t="e">
        <f>SUM(Tabla1[[#This Row],[PRECIO $ BOLSA 50 KG (IVA INC) ]]+Tabla1[[#This Row],[COSTO FLETE $ BOLSA 50 KG (IVA INC)]])</f>
        <v>#VALUE!</v>
      </c>
      <c r="AD639" s="844" t="e">
        <f>-Tabla1[[#This Row],[PRECIO $ BOLSA 50 KG (IVA INC) ]]*(Tabla1[[#This Row],[TASA FINANCIACION MENSUAL]]/365)*Tabla1[[#This Row],[PLAZO ENTREGA VALORES]]</f>
        <v>#VALUE!</v>
      </c>
      <c r="AE639" s="845" t="e">
        <f>SUM(Tabla1[[#This Row],[PRECIO $ BOLSA50 KG  FOB TUCUMAN A PLAZO (IVA INC)]]+Tabla1[[#This Row],[GASTOS FINANCIEROS $ BOLSA 50 KG (IVA INC)]])</f>
        <v>#VALUE!</v>
      </c>
      <c r="AF639" s="828"/>
      <c r="AG639" s="828"/>
      <c r="AH639" s="828"/>
      <c r="AI639" s="828"/>
      <c r="AJ63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39" s="846" t="e">
        <f>SUM(Tabla1[[#This Row],[PRECIO $ BOLSA 50KG  FOB CDO TUC (IVA INC)]]-Tabla1[[#This Row],[PRECIO REF $ BOLSA 50 KG CACTU (IVA INC)]])</f>
        <v>#VALUE!</v>
      </c>
      <c r="AL639" s="847" t="str">
        <f>IFERROR(Tabla1[[#This Row],[PRECIO $ BOLSA 50KG  FOB CDO TUC (IVA INC)]]/Tabla1[[#This Row],[PRECIO REF $ BOLSA 50 KG CACTU (IVA INC)]]-1,"")</f>
        <v/>
      </c>
      <c r="AM639" s="846" t="e">
        <f>+Tabla1[[#This Row],[DIF $ PRECIO NETO INDUSTRIA vs Neto TUCUMAN (IVA INC)]]*Tabla1[[#This Row],[Q Bolsas Equivalentes 50kg]]</f>
        <v>#VALUE!</v>
      </c>
      <c r="AN639" s="846" t="e">
        <f>Tabla1[[#This Row],[PRECIO REF $ BOLSA 50 KG CACTU (IVA INC)]]*Tabla1[[#This Row],[Q Bolsas Equivalentes 50kg]]</f>
        <v>#VALUE!</v>
      </c>
      <c r="AO639" s="846" t="e">
        <f>+Tabla1[[#This Row],[PRECIO $ BOLSA 50KG  FOB CDO TUC (IVA INC)]]*Tabla1[[#This Row],[Q Bolsas Equivalentes 50kg]]</f>
        <v>#VALUE!</v>
      </c>
      <c r="AP639" s="847"/>
      <c r="AQ639" s="846">
        <v>0</v>
      </c>
      <c r="AR639" s="828"/>
      <c r="AS639" s="849"/>
      <c r="AT639" s="923">
        <f>+Tabla1[[#This Row],[VENTA TOTAL $ (IVA INC) ]]-(SUM(Tabla1[[#This Row],[PENDIENTE DE ENTREGA]:[VALORES COBRADOS]]))</f>
        <v>0</v>
      </c>
      <c r="AU639" s="850" t="e">
        <f>VLOOKUP(Tabla1[[#This Row],[FECHA OC]],'TIPO DE CAMBIO'!A:B,2,TRUE)</f>
        <v>#N/A</v>
      </c>
      <c r="AV639" s="850" t="e">
        <f>+Tabla1[[#This Row],[SUBTOTAL]]/Tabla1[[#This Row],[TIPO DE CAMBIO]]</f>
        <v>#N/A</v>
      </c>
      <c r="AW639" s="851"/>
      <c r="AX639" s="850" t="str">
        <f>IFERROR(Tabla1[[#This Row],[VENTA TOTAL USD A PLAZO EN CLIENTE  (SIN IVA)]]*(1+Tabla1[[#This Row],[% IVA ]]),"")</f>
        <v/>
      </c>
      <c r="AY639" s="850" t="e">
        <f>+Tabla1[[#This Row],[VENTA TOTAL USD A PLAZO EN CLIENTE  (SIN IVA)]]/Tabla1[[#This Row],[KGS]]*1000</f>
        <v>#N/A</v>
      </c>
      <c r="AZ639" s="850" t="e">
        <f>-Tabla1[[#This Row],[COSTO FLETE $ POR BOLSA 5O KG (SIN IVA)]]*20/Tabla1[[#This Row],[TIPO DE CAMBIO]]</f>
        <v>#N/A</v>
      </c>
      <c r="BA639" s="850" t="e">
        <f>+Tabla1[[#This Row],[GASTOS FINANCIEROS $ BOLSA 50 KG (IVA INC)]]*20/Tabla1[[#This Row],[TIPO DE CAMBIO]]</f>
        <v>#VALUE!</v>
      </c>
      <c r="BB639" s="850" t="e">
        <f>+Tabla1[[#This Row],[PRECIO POR TN USD EN CLIENTE A PLAZO (SIN IVA)]]+Tabla1[[#This Row],[COSTO USD FLETE /TN (SIN IVA)]]+Tabla1[[#This Row],[COSTO FINANCIERO USD POR BOLSA 50KG (IVA INC)]]</f>
        <v>#N/A</v>
      </c>
      <c r="BC639" s="828"/>
      <c r="BD639" s="944"/>
    </row>
    <row r="640" spans="1:56" ht="15.75" customHeight="1">
      <c r="A640" s="912">
        <v>46296</v>
      </c>
      <c r="B640" s="863"/>
      <c r="C640" s="792"/>
      <c r="D640" s="829">
        <f>+Tabla1[[#This Row],[FECHA Entrega]]</f>
        <v>0</v>
      </c>
      <c r="E640" s="830"/>
      <c r="F640" s="831"/>
      <c r="G640" s="832"/>
      <c r="H640" s="852"/>
      <c r="I640" s="834"/>
      <c r="J640" s="835"/>
      <c r="K640" s="836">
        <f t="shared" si="148"/>
        <v>0</v>
      </c>
      <c r="L64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40" s="837">
        <f t="shared" si="150"/>
        <v>0</v>
      </c>
      <c r="N640" s="838">
        <f>+Tabla1[[#This Row],[VENTA TOTAL $ (IVA INC) ]]</f>
        <v>0</v>
      </c>
      <c r="O640" s="838">
        <v>0</v>
      </c>
      <c r="P640" s="838">
        <v>0</v>
      </c>
      <c r="Q640" s="839">
        <f>+Tabla1[[#This Row],[VENTA TOTAL $ (IVA INC) ]]-Tabla1[[#This Row],[PENDIENTE DE COBRO]]</f>
        <v>0</v>
      </c>
      <c r="R640" s="840">
        <f>+Tabla1[[#This Row],[FECHA FC]]+Tabla1[[#This Row],[PLAZO ENTREGA VALORES]]</f>
        <v>0</v>
      </c>
      <c r="S640" s="840">
        <f>+Tabla1[[#This Row],[FECHA FC]]+Tabla1[[#This Row],[PLAZO PAGO (DIAS)]]</f>
        <v>0</v>
      </c>
      <c r="T640" s="834">
        <f t="shared" ca="1" si="149"/>
        <v>-46181</v>
      </c>
      <c r="U640" s="831"/>
      <c r="V640" s="831"/>
      <c r="W640" s="841">
        <f>+Tabla1[[#This Row],[FECHA VTO VALORES]]+7</f>
        <v>7</v>
      </c>
      <c r="X640" s="830"/>
      <c r="Y640" s="859"/>
      <c r="Z640" s="860">
        <f>Tabla1[[#This Row],[KGS]]/50</f>
        <v>0</v>
      </c>
      <c r="AA64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40" s="844">
        <f>-Tabla1[[#This Row],[COSTO FLETE $ POR BOLSA 5O KG (SIN IVA)]]*1.21-Tabla1[[#This Row],[PRECIO $/ KG A PLAZO EN CLIENTE ( SIN IVA)]]*0.003*1.21*50</f>
        <v>0</v>
      </c>
      <c r="AC640" s="845" t="e">
        <f>SUM(Tabla1[[#This Row],[PRECIO $ BOLSA 50 KG (IVA INC) ]]+Tabla1[[#This Row],[COSTO FLETE $ BOLSA 50 KG (IVA INC)]])</f>
        <v>#VALUE!</v>
      </c>
      <c r="AD640" s="844" t="e">
        <f>-Tabla1[[#This Row],[PRECIO $ BOLSA 50 KG (IVA INC) ]]*(Tabla1[[#This Row],[TASA FINANCIACION MENSUAL]]/365)*Tabla1[[#This Row],[PLAZO ENTREGA VALORES]]</f>
        <v>#VALUE!</v>
      </c>
      <c r="AE640" s="845" t="e">
        <f>SUM(Tabla1[[#This Row],[PRECIO $ BOLSA50 KG  FOB TUCUMAN A PLAZO (IVA INC)]]+Tabla1[[#This Row],[GASTOS FINANCIEROS $ BOLSA 50 KG (IVA INC)]])</f>
        <v>#VALUE!</v>
      </c>
      <c r="AF640" s="828"/>
      <c r="AG640" s="828"/>
      <c r="AH640" s="828"/>
      <c r="AI640" s="828"/>
      <c r="AJ64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40" s="846" t="e">
        <f>SUM(Tabla1[[#This Row],[PRECIO $ BOLSA 50KG  FOB CDO TUC (IVA INC)]]-Tabla1[[#This Row],[PRECIO REF $ BOLSA 50 KG CACTU (IVA INC)]])</f>
        <v>#VALUE!</v>
      </c>
      <c r="AL640" s="847" t="str">
        <f>IFERROR(Tabla1[[#This Row],[PRECIO $ BOLSA 50KG  FOB CDO TUC (IVA INC)]]/Tabla1[[#This Row],[PRECIO REF $ BOLSA 50 KG CACTU (IVA INC)]]-1,"")</f>
        <v/>
      </c>
      <c r="AM640" s="846" t="e">
        <f>+Tabla1[[#This Row],[DIF $ PRECIO NETO INDUSTRIA vs Neto TUCUMAN (IVA INC)]]*Tabla1[[#This Row],[Q Bolsas Equivalentes 50kg]]</f>
        <v>#VALUE!</v>
      </c>
      <c r="AN640" s="846" t="e">
        <f>Tabla1[[#This Row],[PRECIO REF $ BOLSA 50 KG CACTU (IVA INC)]]*Tabla1[[#This Row],[Q Bolsas Equivalentes 50kg]]</f>
        <v>#VALUE!</v>
      </c>
      <c r="AO640" s="846" t="e">
        <f>+Tabla1[[#This Row],[PRECIO $ BOLSA 50KG  FOB CDO TUC (IVA INC)]]*Tabla1[[#This Row],[Q Bolsas Equivalentes 50kg]]</f>
        <v>#VALUE!</v>
      </c>
      <c r="AP640" s="847"/>
      <c r="AQ640" s="846">
        <v>0</v>
      </c>
      <c r="AR640" s="828"/>
      <c r="AS640" s="849"/>
      <c r="AT640" s="923">
        <f>+Tabla1[[#This Row],[VENTA TOTAL $ (IVA INC) ]]-(SUM(Tabla1[[#This Row],[PENDIENTE DE ENTREGA]:[VALORES COBRADOS]]))</f>
        <v>0</v>
      </c>
      <c r="AU640" s="850" t="e">
        <f>VLOOKUP(Tabla1[[#This Row],[FECHA OC]],'TIPO DE CAMBIO'!A:B,2,TRUE)</f>
        <v>#N/A</v>
      </c>
      <c r="AV640" s="850" t="e">
        <f>+Tabla1[[#This Row],[SUBTOTAL]]/Tabla1[[#This Row],[TIPO DE CAMBIO]]</f>
        <v>#N/A</v>
      </c>
      <c r="AW640" s="851"/>
      <c r="AX640" s="850" t="str">
        <f>IFERROR(Tabla1[[#This Row],[VENTA TOTAL USD A PLAZO EN CLIENTE  (SIN IVA)]]*(1+Tabla1[[#This Row],[% IVA ]]),"")</f>
        <v/>
      </c>
      <c r="AY640" s="850" t="e">
        <f>+Tabla1[[#This Row],[VENTA TOTAL USD A PLAZO EN CLIENTE  (SIN IVA)]]/Tabla1[[#This Row],[KGS]]*1000</f>
        <v>#N/A</v>
      </c>
      <c r="AZ640" s="850" t="e">
        <f>-Tabla1[[#This Row],[COSTO FLETE $ POR BOLSA 5O KG (SIN IVA)]]*20/Tabla1[[#This Row],[TIPO DE CAMBIO]]</f>
        <v>#N/A</v>
      </c>
      <c r="BA640" s="850" t="e">
        <f>+Tabla1[[#This Row],[GASTOS FINANCIEROS $ BOLSA 50 KG (IVA INC)]]*20/Tabla1[[#This Row],[TIPO DE CAMBIO]]</f>
        <v>#VALUE!</v>
      </c>
      <c r="BB640" s="850" t="e">
        <f>+Tabla1[[#This Row],[PRECIO POR TN USD EN CLIENTE A PLAZO (SIN IVA)]]+Tabla1[[#This Row],[COSTO USD FLETE /TN (SIN IVA)]]+Tabla1[[#This Row],[COSTO FINANCIERO USD POR BOLSA 50KG (IVA INC)]]</f>
        <v>#N/A</v>
      </c>
      <c r="BC640" s="828"/>
      <c r="BD640" s="944"/>
    </row>
    <row r="641" spans="1:56" ht="15.75" customHeight="1">
      <c r="A641" s="912">
        <v>46296</v>
      </c>
      <c r="B641" s="863"/>
      <c r="C641" s="792"/>
      <c r="D641" s="829">
        <f>+Tabla1[[#This Row],[FECHA Entrega]]</f>
        <v>0</v>
      </c>
      <c r="E641" s="830"/>
      <c r="F641" s="831"/>
      <c r="G641" s="832"/>
      <c r="H641" s="852"/>
      <c r="I641" s="834"/>
      <c r="J641" s="835"/>
      <c r="K641" s="836">
        <f t="shared" si="148"/>
        <v>0</v>
      </c>
      <c r="L64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41" s="837">
        <f t="shared" si="150"/>
        <v>0</v>
      </c>
      <c r="N641" s="838">
        <f>+Tabla1[[#This Row],[VENTA TOTAL $ (IVA INC) ]]</f>
        <v>0</v>
      </c>
      <c r="O641" s="838">
        <v>0</v>
      </c>
      <c r="P641" s="838">
        <v>0</v>
      </c>
      <c r="Q641" s="839">
        <f>+Tabla1[[#This Row],[VENTA TOTAL $ (IVA INC) ]]-Tabla1[[#This Row],[PENDIENTE DE COBRO]]</f>
        <v>0</v>
      </c>
      <c r="R641" s="840">
        <f>+Tabla1[[#This Row],[FECHA FC]]+Tabla1[[#This Row],[PLAZO ENTREGA VALORES]]</f>
        <v>0</v>
      </c>
      <c r="S641" s="840">
        <f>+Tabla1[[#This Row],[FECHA FC]]+Tabla1[[#This Row],[PLAZO PAGO (DIAS)]]</f>
        <v>0</v>
      </c>
      <c r="T641" s="834">
        <f t="shared" ca="1" si="149"/>
        <v>-46181</v>
      </c>
      <c r="U641" s="831"/>
      <c r="V641" s="831"/>
      <c r="W641" s="841">
        <f>+Tabla1[[#This Row],[FECHA VTO VALORES]]+7</f>
        <v>7</v>
      </c>
      <c r="X641" s="830"/>
      <c r="Y641" s="859"/>
      <c r="Z641" s="860">
        <f>Tabla1[[#This Row],[KGS]]/50</f>
        <v>0</v>
      </c>
      <c r="AA64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41" s="844">
        <f>-Tabla1[[#This Row],[COSTO FLETE $ POR BOLSA 5O KG (SIN IVA)]]*1.21-Tabla1[[#This Row],[PRECIO $/ KG A PLAZO EN CLIENTE ( SIN IVA)]]*0.003*1.21*50</f>
        <v>0</v>
      </c>
      <c r="AC641" s="845" t="e">
        <f>SUM(Tabla1[[#This Row],[PRECIO $ BOLSA 50 KG (IVA INC) ]]+Tabla1[[#This Row],[COSTO FLETE $ BOLSA 50 KG (IVA INC)]])</f>
        <v>#VALUE!</v>
      </c>
      <c r="AD641" s="844" t="e">
        <f>-Tabla1[[#This Row],[PRECIO $ BOLSA 50 KG (IVA INC) ]]*(Tabla1[[#This Row],[TASA FINANCIACION MENSUAL]]/365)*Tabla1[[#This Row],[PLAZO ENTREGA VALORES]]</f>
        <v>#VALUE!</v>
      </c>
      <c r="AE641" s="845" t="e">
        <f>SUM(Tabla1[[#This Row],[PRECIO $ BOLSA50 KG  FOB TUCUMAN A PLAZO (IVA INC)]]+Tabla1[[#This Row],[GASTOS FINANCIEROS $ BOLSA 50 KG (IVA INC)]])</f>
        <v>#VALUE!</v>
      </c>
      <c r="AF641" s="828"/>
      <c r="AG641" s="828"/>
      <c r="AH641" s="828"/>
      <c r="AI641" s="828"/>
      <c r="AJ64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41" s="846" t="e">
        <f>SUM(Tabla1[[#This Row],[PRECIO $ BOLSA 50KG  FOB CDO TUC (IVA INC)]]-Tabla1[[#This Row],[PRECIO REF $ BOLSA 50 KG CACTU (IVA INC)]])</f>
        <v>#VALUE!</v>
      </c>
      <c r="AL641" s="847" t="str">
        <f>IFERROR(Tabla1[[#This Row],[PRECIO $ BOLSA 50KG  FOB CDO TUC (IVA INC)]]/Tabla1[[#This Row],[PRECIO REF $ BOLSA 50 KG CACTU (IVA INC)]]-1,"")</f>
        <v/>
      </c>
      <c r="AM641" s="846" t="e">
        <f>+Tabla1[[#This Row],[DIF $ PRECIO NETO INDUSTRIA vs Neto TUCUMAN (IVA INC)]]*Tabla1[[#This Row],[Q Bolsas Equivalentes 50kg]]</f>
        <v>#VALUE!</v>
      </c>
      <c r="AN641" s="846" t="e">
        <f>Tabla1[[#This Row],[PRECIO REF $ BOLSA 50 KG CACTU (IVA INC)]]*Tabla1[[#This Row],[Q Bolsas Equivalentes 50kg]]</f>
        <v>#VALUE!</v>
      </c>
      <c r="AO641" s="846" t="e">
        <f>+Tabla1[[#This Row],[PRECIO $ BOLSA 50KG  FOB CDO TUC (IVA INC)]]*Tabla1[[#This Row],[Q Bolsas Equivalentes 50kg]]</f>
        <v>#VALUE!</v>
      </c>
      <c r="AP641" s="847"/>
      <c r="AQ641" s="846">
        <v>0</v>
      </c>
      <c r="AR641" s="828"/>
      <c r="AS641" s="849"/>
      <c r="AT641" s="923">
        <f>+Tabla1[[#This Row],[VENTA TOTAL $ (IVA INC) ]]-(SUM(Tabla1[[#This Row],[PENDIENTE DE ENTREGA]:[VALORES COBRADOS]]))</f>
        <v>0</v>
      </c>
      <c r="AU641" s="850" t="e">
        <f>VLOOKUP(Tabla1[[#This Row],[FECHA OC]],'TIPO DE CAMBIO'!A:B,2,TRUE)</f>
        <v>#N/A</v>
      </c>
      <c r="AV641" s="850" t="e">
        <f>+Tabla1[[#This Row],[SUBTOTAL]]/Tabla1[[#This Row],[TIPO DE CAMBIO]]</f>
        <v>#N/A</v>
      </c>
      <c r="AW641" s="851"/>
      <c r="AX641" s="850" t="str">
        <f>IFERROR(Tabla1[[#This Row],[VENTA TOTAL USD A PLAZO EN CLIENTE  (SIN IVA)]]*(1+Tabla1[[#This Row],[% IVA ]]),"")</f>
        <v/>
      </c>
      <c r="AY641" s="850" t="e">
        <f>+Tabla1[[#This Row],[VENTA TOTAL USD A PLAZO EN CLIENTE  (SIN IVA)]]/Tabla1[[#This Row],[KGS]]*1000</f>
        <v>#N/A</v>
      </c>
      <c r="AZ641" s="850" t="e">
        <f>-Tabla1[[#This Row],[COSTO FLETE $ POR BOLSA 5O KG (SIN IVA)]]*20/Tabla1[[#This Row],[TIPO DE CAMBIO]]</f>
        <v>#N/A</v>
      </c>
      <c r="BA641" s="850" t="e">
        <f>+Tabla1[[#This Row],[GASTOS FINANCIEROS $ BOLSA 50 KG (IVA INC)]]*20/Tabla1[[#This Row],[TIPO DE CAMBIO]]</f>
        <v>#VALUE!</v>
      </c>
      <c r="BB641" s="850" t="e">
        <f>+Tabla1[[#This Row],[PRECIO POR TN USD EN CLIENTE A PLAZO (SIN IVA)]]+Tabla1[[#This Row],[COSTO USD FLETE /TN (SIN IVA)]]+Tabla1[[#This Row],[COSTO FINANCIERO USD POR BOLSA 50KG (IVA INC)]]</f>
        <v>#N/A</v>
      </c>
      <c r="BC641" s="828"/>
      <c r="BD641" s="944"/>
    </row>
    <row r="642" spans="1:56" ht="15.75" customHeight="1">
      <c r="A642" s="912">
        <v>46296</v>
      </c>
      <c r="B642" s="863"/>
      <c r="C642" s="792"/>
      <c r="D642" s="829">
        <f>+Tabla1[[#This Row],[FECHA Entrega]]</f>
        <v>0</v>
      </c>
      <c r="E642" s="830"/>
      <c r="F642" s="831"/>
      <c r="G642" s="832"/>
      <c r="H642" s="852"/>
      <c r="I642" s="834"/>
      <c r="J642" s="835"/>
      <c r="K642" s="836">
        <f t="shared" si="148"/>
        <v>0</v>
      </c>
      <c r="L64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42" s="837">
        <f t="shared" si="150"/>
        <v>0</v>
      </c>
      <c r="N642" s="838">
        <f>+Tabla1[[#This Row],[VENTA TOTAL $ (IVA INC) ]]</f>
        <v>0</v>
      </c>
      <c r="O642" s="838">
        <v>0</v>
      </c>
      <c r="P642" s="838">
        <v>0</v>
      </c>
      <c r="Q642" s="839">
        <f>+Tabla1[[#This Row],[VENTA TOTAL $ (IVA INC) ]]-Tabla1[[#This Row],[PENDIENTE DE COBRO]]</f>
        <v>0</v>
      </c>
      <c r="R642" s="840">
        <f>+Tabla1[[#This Row],[FECHA FC]]+Tabla1[[#This Row],[PLAZO ENTREGA VALORES]]</f>
        <v>0</v>
      </c>
      <c r="S642" s="840">
        <f>+Tabla1[[#This Row],[FECHA FC]]+Tabla1[[#This Row],[PLAZO PAGO (DIAS)]]</f>
        <v>0</v>
      </c>
      <c r="T642" s="834">
        <f t="shared" ca="1" si="149"/>
        <v>-46181</v>
      </c>
      <c r="U642" s="831"/>
      <c r="V642" s="831"/>
      <c r="W642" s="841">
        <f>+Tabla1[[#This Row],[FECHA VTO VALORES]]+7</f>
        <v>7</v>
      </c>
      <c r="X642" s="830"/>
      <c r="Y642" s="859"/>
      <c r="Z642" s="860">
        <f>Tabla1[[#This Row],[KGS]]/50</f>
        <v>0</v>
      </c>
      <c r="AA64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42" s="844">
        <f>-Tabla1[[#This Row],[COSTO FLETE $ POR BOLSA 5O KG (SIN IVA)]]*1.21-Tabla1[[#This Row],[PRECIO $/ KG A PLAZO EN CLIENTE ( SIN IVA)]]*0.003*1.21*50</f>
        <v>0</v>
      </c>
      <c r="AC642" s="845" t="e">
        <f>SUM(Tabla1[[#This Row],[PRECIO $ BOLSA 50 KG (IVA INC) ]]+Tabla1[[#This Row],[COSTO FLETE $ BOLSA 50 KG (IVA INC)]])</f>
        <v>#VALUE!</v>
      </c>
      <c r="AD642" s="844" t="e">
        <f>-Tabla1[[#This Row],[PRECIO $ BOLSA 50 KG (IVA INC) ]]*(Tabla1[[#This Row],[TASA FINANCIACION MENSUAL]]/365)*Tabla1[[#This Row],[PLAZO ENTREGA VALORES]]</f>
        <v>#VALUE!</v>
      </c>
      <c r="AE642" s="845" t="e">
        <f>SUM(Tabla1[[#This Row],[PRECIO $ BOLSA50 KG  FOB TUCUMAN A PLAZO (IVA INC)]]+Tabla1[[#This Row],[GASTOS FINANCIEROS $ BOLSA 50 KG (IVA INC)]])</f>
        <v>#VALUE!</v>
      </c>
      <c r="AF642" s="828"/>
      <c r="AG642" s="828"/>
      <c r="AH642" s="828"/>
      <c r="AI642" s="828"/>
      <c r="AJ64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42" s="846" t="e">
        <f>SUM(Tabla1[[#This Row],[PRECIO $ BOLSA 50KG  FOB CDO TUC (IVA INC)]]-Tabla1[[#This Row],[PRECIO REF $ BOLSA 50 KG CACTU (IVA INC)]])</f>
        <v>#VALUE!</v>
      </c>
      <c r="AL642" s="847" t="str">
        <f>IFERROR(Tabla1[[#This Row],[PRECIO $ BOLSA 50KG  FOB CDO TUC (IVA INC)]]/Tabla1[[#This Row],[PRECIO REF $ BOLSA 50 KG CACTU (IVA INC)]]-1,"")</f>
        <v/>
      </c>
      <c r="AM642" s="846" t="e">
        <f>+Tabla1[[#This Row],[DIF $ PRECIO NETO INDUSTRIA vs Neto TUCUMAN (IVA INC)]]*Tabla1[[#This Row],[Q Bolsas Equivalentes 50kg]]</f>
        <v>#VALUE!</v>
      </c>
      <c r="AN642" s="846" t="e">
        <f>Tabla1[[#This Row],[PRECIO REF $ BOLSA 50 KG CACTU (IVA INC)]]*Tabla1[[#This Row],[Q Bolsas Equivalentes 50kg]]</f>
        <v>#VALUE!</v>
      </c>
      <c r="AO642" s="846" t="e">
        <f>+Tabla1[[#This Row],[PRECIO $ BOLSA 50KG  FOB CDO TUC (IVA INC)]]*Tabla1[[#This Row],[Q Bolsas Equivalentes 50kg]]</f>
        <v>#VALUE!</v>
      </c>
      <c r="AP642" s="847"/>
      <c r="AQ642" s="846">
        <v>0</v>
      </c>
      <c r="AR642" s="828"/>
      <c r="AS642" s="849"/>
      <c r="AT642" s="923">
        <f>+Tabla1[[#This Row],[VENTA TOTAL $ (IVA INC) ]]-(SUM(Tabla1[[#This Row],[PENDIENTE DE ENTREGA]:[VALORES COBRADOS]]))</f>
        <v>0</v>
      </c>
      <c r="AU642" s="850" t="e">
        <f>VLOOKUP(Tabla1[[#This Row],[FECHA OC]],'TIPO DE CAMBIO'!A:B,2,TRUE)</f>
        <v>#N/A</v>
      </c>
      <c r="AV642" s="850" t="e">
        <f>+Tabla1[[#This Row],[SUBTOTAL]]/Tabla1[[#This Row],[TIPO DE CAMBIO]]</f>
        <v>#N/A</v>
      </c>
      <c r="AW642" s="851"/>
      <c r="AX642" s="850" t="str">
        <f>IFERROR(Tabla1[[#This Row],[VENTA TOTAL USD A PLAZO EN CLIENTE  (SIN IVA)]]*(1+Tabla1[[#This Row],[% IVA ]]),"")</f>
        <v/>
      </c>
      <c r="AY642" s="850" t="e">
        <f>+Tabla1[[#This Row],[VENTA TOTAL USD A PLAZO EN CLIENTE  (SIN IVA)]]/Tabla1[[#This Row],[KGS]]*1000</f>
        <v>#N/A</v>
      </c>
      <c r="AZ642" s="850" t="e">
        <f>-Tabla1[[#This Row],[COSTO FLETE $ POR BOLSA 5O KG (SIN IVA)]]*20/Tabla1[[#This Row],[TIPO DE CAMBIO]]</f>
        <v>#N/A</v>
      </c>
      <c r="BA642" s="850" t="e">
        <f>+Tabla1[[#This Row],[GASTOS FINANCIEROS $ BOLSA 50 KG (IVA INC)]]*20/Tabla1[[#This Row],[TIPO DE CAMBIO]]</f>
        <v>#VALUE!</v>
      </c>
      <c r="BB642" s="850" t="e">
        <f>+Tabla1[[#This Row],[PRECIO POR TN USD EN CLIENTE A PLAZO (SIN IVA)]]+Tabla1[[#This Row],[COSTO USD FLETE /TN (SIN IVA)]]+Tabla1[[#This Row],[COSTO FINANCIERO USD POR BOLSA 50KG (IVA INC)]]</f>
        <v>#N/A</v>
      </c>
      <c r="BC642" s="828"/>
      <c r="BD642" s="944"/>
    </row>
    <row r="643" spans="1:56" ht="15.75" customHeight="1">
      <c r="A643" s="912">
        <v>46296</v>
      </c>
      <c r="B643" s="863"/>
      <c r="C643" s="792"/>
      <c r="D643" s="829">
        <f>+Tabla1[[#This Row],[FECHA Entrega]]</f>
        <v>0</v>
      </c>
      <c r="E643" s="830"/>
      <c r="F643" s="831"/>
      <c r="G643" s="832"/>
      <c r="H643" s="852"/>
      <c r="I643" s="834"/>
      <c r="J643" s="835"/>
      <c r="K643" s="836">
        <f t="shared" si="148"/>
        <v>0</v>
      </c>
      <c r="L64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43" s="837">
        <f t="shared" si="150"/>
        <v>0</v>
      </c>
      <c r="N643" s="838">
        <f>+Tabla1[[#This Row],[VENTA TOTAL $ (IVA INC) ]]</f>
        <v>0</v>
      </c>
      <c r="O643" s="838">
        <v>0</v>
      </c>
      <c r="P643" s="838">
        <v>0</v>
      </c>
      <c r="Q643" s="839">
        <f>+Tabla1[[#This Row],[VENTA TOTAL $ (IVA INC) ]]</f>
        <v>0</v>
      </c>
      <c r="R643" s="840">
        <f>+Tabla1[[#This Row],[FECHA FC]]+Tabla1[[#This Row],[PLAZO ENTREGA VALORES]]</f>
        <v>0</v>
      </c>
      <c r="S643" s="840">
        <f>+Tabla1[[#This Row],[FECHA FC]]+Tabla1[[#This Row],[PLAZO PAGO (DIAS)]]</f>
        <v>0</v>
      </c>
      <c r="T643" s="834">
        <f t="shared" ca="1" si="149"/>
        <v>-46181</v>
      </c>
      <c r="U643" s="831"/>
      <c r="V643" s="831"/>
      <c r="W643" s="841">
        <f>+Tabla1[[#This Row],[FECHA VTO VALORES]]+7</f>
        <v>7</v>
      </c>
      <c r="X643" s="830"/>
      <c r="Y643" s="859"/>
      <c r="Z643" s="860">
        <f>Tabla1[[#This Row],[KGS]]/50</f>
        <v>0</v>
      </c>
      <c r="AA64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43" s="844">
        <f>-Tabla1[[#This Row],[COSTO FLETE $ POR BOLSA 5O KG (SIN IVA)]]*1.21-Tabla1[[#This Row],[PRECIO $/ KG A PLAZO EN CLIENTE ( SIN IVA)]]*0.003*1.21*50</f>
        <v>0</v>
      </c>
      <c r="AC643" s="845" t="e">
        <f>SUM(Tabla1[[#This Row],[PRECIO $ BOLSA 50 KG (IVA INC) ]]+Tabla1[[#This Row],[COSTO FLETE $ BOLSA 50 KG (IVA INC)]])</f>
        <v>#VALUE!</v>
      </c>
      <c r="AD643" s="844" t="e">
        <f>-Tabla1[[#This Row],[PRECIO $ BOLSA 50 KG (IVA INC) ]]*(Tabla1[[#This Row],[TASA FINANCIACION MENSUAL]]/365)*Tabla1[[#This Row],[PLAZO ENTREGA VALORES]]</f>
        <v>#VALUE!</v>
      </c>
      <c r="AE643" s="845" t="e">
        <f>SUM(Tabla1[[#This Row],[PRECIO $ BOLSA50 KG  FOB TUCUMAN A PLAZO (IVA INC)]]+Tabla1[[#This Row],[GASTOS FINANCIEROS $ BOLSA 50 KG (IVA INC)]])</f>
        <v>#VALUE!</v>
      </c>
      <c r="AF643" s="828"/>
      <c r="AG643" s="828"/>
      <c r="AH643" s="828"/>
      <c r="AI643" s="828"/>
      <c r="AJ64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43" s="846" t="e">
        <f>SUM(Tabla1[[#This Row],[PRECIO $ BOLSA 50KG  FOB CDO TUC (IVA INC)]]-Tabla1[[#This Row],[PRECIO REF $ BOLSA 50 KG CACTU (IVA INC)]])</f>
        <v>#VALUE!</v>
      </c>
      <c r="AL643" s="847" t="str">
        <f>IFERROR(Tabla1[[#This Row],[PRECIO $ BOLSA 50KG  FOB CDO TUC (IVA INC)]]/Tabla1[[#This Row],[PRECIO REF $ BOLSA 50 KG CACTU (IVA INC)]]-1,"")</f>
        <v/>
      </c>
      <c r="AM643" s="846" t="e">
        <f>+Tabla1[[#This Row],[DIF $ PRECIO NETO INDUSTRIA vs Neto TUCUMAN (IVA INC)]]*Tabla1[[#This Row],[Q Bolsas Equivalentes 50kg]]</f>
        <v>#VALUE!</v>
      </c>
      <c r="AN643" s="846" t="e">
        <f>Tabla1[[#This Row],[PRECIO REF $ BOLSA 50 KG CACTU (IVA INC)]]*Tabla1[[#This Row],[Q Bolsas Equivalentes 50kg]]</f>
        <v>#VALUE!</v>
      </c>
      <c r="AO643" s="846" t="e">
        <f>+Tabla1[[#This Row],[PRECIO $ BOLSA 50KG  FOB CDO TUC (IVA INC)]]*Tabla1[[#This Row],[Q Bolsas Equivalentes 50kg]]</f>
        <v>#VALUE!</v>
      </c>
      <c r="AP643" s="847"/>
      <c r="AQ643" s="846">
        <v>0</v>
      </c>
      <c r="AR643" s="828"/>
      <c r="AS643" s="849"/>
      <c r="AT643" s="923">
        <f>+Tabla1[[#This Row],[VENTA TOTAL $ (IVA INC) ]]-(SUM(Tabla1[[#This Row],[PENDIENTE DE ENTREGA]:[VALORES COBRADOS]]))</f>
        <v>0</v>
      </c>
      <c r="AU643" s="850" t="e">
        <f>VLOOKUP(Tabla1[[#This Row],[FECHA OC]],'TIPO DE CAMBIO'!A:B,2,TRUE)</f>
        <v>#N/A</v>
      </c>
      <c r="AV643" s="850" t="e">
        <f>+Tabla1[[#This Row],[SUBTOTAL]]/Tabla1[[#This Row],[TIPO DE CAMBIO]]</f>
        <v>#N/A</v>
      </c>
      <c r="AW643" s="851"/>
      <c r="AX643" s="850" t="str">
        <f>IFERROR(Tabla1[[#This Row],[VENTA TOTAL USD A PLAZO EN CLIENTE  (SIN IVA)]]*(1+Tabla1[[#This Row],[% IVA ]]),"")</f>
        <v/>
      </c>
      <c r="AY643" s="850" t="e">
        <f>+Tabla1[[#This Row],[VENTA TOTAL USD A PLAZO EN CLIENTE  (SIN IVA)]]/Tabla1[[#This Row],[KGS]]*1000</f>
        <v>#N/A</v>
      </c>
      <c r="AZ643" s="850" t="e">
        <f>-Tabla1[[#This Row],[COSTO FLETE $ POR BOLSA 5O KG (SIN IVA)]]*20/Tabla1[[#This Row],[TIPO DE CAMBIO]]</f>
        <v>#N/A</v>
      </c>
      <c r="BA643" s="850" t="e">
        <f>+Tabla1[[#This Row],[GASTOS FINANCIEROS $ BOLSA 50 KG (IVA INC)]]*20/Tabla1[[#This Row],[TIPO DE CAMBIO]]</f>
        <v>#VALUE!</v>
      </c>
      <c r="BB643" s="850" t="e">
        <f>+Tabla1[[#This Row],[PRECIO POR TN USD EN CLIENTE A PLAZO (SIN IVA)]]+Tabla1[[#This Row],[COSTO USD FLETE /TN (SIN IVA)]]+Tabla1[[#This Row],[COSTO FINANCIERO USD POR BOLSA 50KG (IVA INC)]]</f>
        <v>#N/A</v>
      </c>
      <c r="BC643" s="828"/>
      <c r="BD643" s="944"/>
    </row>
    <row r="644" spans="1:56" ht="15.75" customHeight="1">
      <c r="A644" s="912">
        <v>46296</v>
      </c>
      <c r="B644" s="853"/>
      <c r="C644" s="792"/>
      <c r="D644" s="829">
        <f>+Tabla1[[#This Row],[FECHA Entrega]]</f>
        <v>0</v>
      </c>
      <c r="E644" s="830"/>
      <c r="F644" s="831"/>
      <c r="G644" s="832"/>
      <c r="H644" s="852"/>
      <c r="I644" s="834"/>
      <c r="J644" s="835"/>
      <c r="K644" s="836">
        <f t="shared" si="148"/>
        <v>0</v>
      </c>
      <c r="L64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44" s="837">
        <f t="shared" si="150"/>
        <v>0</v>
      </c>
      <c r="N644" s="838">
        <f>+Tabla1[[#This Row],[VENTA TOTAL $ (IVA INC) ]]</f>
        <v>0</v>
      </c>
      <c r="O644" s="838">
        <v>0</v>
      </c>
      <c r="P644" s="838">
        <v>0</v>
      </c>
      <c r="Q644" s="839">
        <f>+Tabla1[[#This Row],[VENTA TOTAL $ (IVA INC) ]]-Tabla1[[#This Row],[PENDIENTE DE COBRO]]</f>
        <v>0</v>
      </c>
      <c r="R644" s="840">
        <f>+Tabla1[[#This Row],[FECHA FC]]+Tabla1[[#This Row],[PLAZO ENTREGA VALORES]]</f>
        <v>0</v>
      </c>
      <c r="S644" s="840">
        <f>+Tabla1[[#This Row],[FECHA FC]]+Tabla1[[#This Row],[PLAZO PAGO (DIAS)]]</f>
        <v>0</v>
      </c>
      <c r="T644" s="834">
        <f t="shared" ca="1" si="149"/>
        <v>-46181</v>
      </c>
      <c r="U644" s="831"/>
      <c r="V644" s="831"/>
      <c r="W644" s="841">
        <f>+S644+7</f>
        <v>7</v>
      </c>
      <c r="X644" s="830"/>
      <c r="Y644" s="859"/>
      <c r="Z644" s="860">
        <f>Tabla1[[#This Row],[KGS]]/50</f>
        <v>0</v>
      </c>
      <c r="AA64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44" s="844">
        <f>-Tabla1[[#This Row],[COSTO FLETE $ POR BOLSA 5O KG (SIN IVA)]]*1.21-Tabla1[[#This Row],[PRECIO $/ KG A PLAZO EN CLIENTE ( SIN IVA)]]*0.003*1.21*50</f>
        <v>0</v>
      </c>
      <c r="AC644" s="845" t="e">
        <f>SUM(Tabla1[[#This Row],[PRECIO $ BOLSA 50 KG (IVA INC) ]]+Tabla1[[#This Row],[COSTO FLETE $ BOLSA 50 KG (IVA INC)]])</f>
        <v>#VALUE!</v>
      </c>
      <c r="AD644" s="844" t="e">
        <f>-Tabla1[[#This Row],[PRECIO $ BOLSA 50 KG (IVA INC) ]]*(Tabla1[[#This Row],[TASA FINANCIACION MENSUAL]]/365)*Tabla1[[#This Row],[PLAZO ENTREGA VALORES]]</f>
        <v>#VALUE!</v>
      </c>
      <c r="AE644" s="845" t="e">
        <f>SUM(Tabla1[[#This Row],[PRECIO $ BOLSA50 KG  FOB TUCUMAN A PLAZO (IVA INC)]]+Tabla1[[#This Row],[GASTOS FINANCIEROS $ BOLSA 50 KG (IVA INC)]])</f>
        <v>#VALUE!</v>
      </c>
      <c r="AF644" s="828"/>
      <c r="AG644" s="828"/>
      <c r="AH644" s="828"/>
      <c r="AI644" s="828"/>
      <c r="AJ64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44" s="846" t="e">
        <f>SUM(Tabla1[[#This Row],[PRECIO $ BOLSA 50KG  FOB CDO TUC (IVA INC)]]-Tabla1[[#This Row],[PRECIO REF $ BOLSA 50 KG CACTU (IVA INC)]])</f>
        <v>#VALUE!</v>
      </c>
      <c r="AL644" s="847" t="str">
        <f>IFERROR(Tabla1[[#This Row],[PRECIO $ BOLSA 50KG  FOB CDO TUC (IVA INC)]]/Tabla1[[#This Row],[PRECIO REF $ BOLSA 50 KG CACTU (IVA INC)]]-1,"")</f>
        <v/>
      </c>
      <c r="AM644" s="846" t="e">
        <f>+Tabla1[[#This Row],[DIF $ PRECIO NETO INDUSTRIA vs Neto TUCUMAN (IVA INC)]]*Tabla1[[#This Row],[Q Bolsas Equivalentes 50kg]]</f>
        <v>#VALUE!</v>
      </c>
      <c r="AN644" s="846" t="e">
        <f>Tabla1[[#This Row],[PRECIO REF $ BOLSA 50 KG CACTU (IVA INC)]]*Tabla1[[#This Row],[Q Bolsas Equivalentes 50kg]]</f>
        <v>#VALUE!</v>
      </c>
      <c r="AO644" s="846" t="e">
        <f>+Tabla1[[#This Row],[PRECIO $ BOLSA 50KG  FOB CDO TUC (IVA INC)]]*Tabla1[[#This Row],[Q Bolsas Equivalentes 50kg]]</f>
        <v>#VALUE!</v>
      </c>
      <c r="AP644" s="847"/>
      <c r="AQ644" s="846">
        <v>0</v>
      </c>
      <c r="AR644" s="828"/>
      <c r="AS644" s="849"/>
      <c r="AT644" s="923">
        <f>+Tabla1[[#This Row],[VENTA TOTAL $ (IVA INC) ]]-(SUM(Tabla1[[#This Row],[PENDIENTE DE ENTREGA]:[VALORES COBRADOS]]))</f>
        <v>0</v>
      </c>
      <c r="AU644" s="850" t="e">
        <f>VLOOKUP(Tabla1[[#This Row],[FECHA OC]],'TIPO DE CAMBIO'!A:B,2,TRUE)</f>
        <v>#N/A</v>
      </c>
      <c r="AV644" s="850" t="e">
        <f>+Tabla1[[#This Row],[SUBTOTAL]]/Tabla1[[#This Row],[TIPO DE CAMBIO]]</f>
        <v>#N/A</v>
      </c>
      <c r="AW644" s="851"/>
      <c r="AX644" s="850" t="str">
        <f>IFERROR(Tabla1[[#This Row],[VENTA TOTAL USD A PLAZO EN CLIENTE  (SIN IVA)]]*(1+Tabla1[[#This Row],[% IVA ]]),"")</f>
        <v/>
      </c>
      <c r="AY644" s="850" t="e">
        <f>+Tabla1[[#This Row],[VENTA TOTAL USD A PLAZO EN CLIENTE  (SIN IVA)]]/Tabla1[[#This Row],[KGS]]*1000</f>
        <v>#N/A</v>
      </c>
      <c r="AZ644" s="850" t="e">
        <f>-Tabla1[[#This Row],[COSTO FLETE $ POR BOLSA 5O KG (SIN IVA)]]*20/Tabla1[[#This Row],[TIPO DE CAMBIO]]</f>
        <v>#N/A</v>
      </c>
      <c r="BA644" s="850" t="e">
        <f>+Tabla1[[#This Row],[GASTOS FINANCIEROS $ BOLSA 50 KG (IVA INC)]]*20/Tabla1[[#This Row],[TIPO DE CAMBIO]]</f>
        <v>#VALUE!</v>
      </c>
      <c r="BB644" s="850" t="e">
        <f>+Tabla1[[#This Row],[PRECIO POR TN USD EN CLIENTE A PLAZO (SIN IVA)]]+Tabla1[[#This Row],[COSTO USD FLETE /TN (SIN IVA)]]+Tabla1[[#This Row],[COSTO FINANCIERO USD POR BOLSA 50KG (IVA INC)]]</f>
        <v>#N/A</v>
      </c>
      <c r="BC644" s="848"/>
      <c r="BD644" s="944"/>
    </row>
    <row r="645" spans="1:56" ht="15.75" customHeight="1">
      <c r="A645" s="912">
        <v>46296</v>
      </c>
      <c r="B645" s="853"/>
      <c r="C645" s="792"/>
      <c r="D645" s="829">
        <f>+Tabla1[[#This Row],[FECHA Entrega]]</f>
        <v>0</v>
      </c>
      <c r="E645" s="830"/>
      <c r="F645" s="831"/>
      <c r="G645" s="832"/>
      <c r="H645" s="852"/>
      <c r="I645" s="834"/>
      <c r="J645" s="835"/>
      <c r="K645" s="836">
        <f t="shared" si="148"/>
        <v>0</v>
      </c>
      <c r="L64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45" s="837">
        <f t="shared" si="150"/>
        <v>0</v>
      </c>
      <c r="N645" s="838">
        <f>+Tabla1[[#This Row],[VENTA TOTAL $ (IVA INC) ]]</f>
        <v>0</v>
      </c>
      <c r="O645" s="838">
        <v>0</v>
      </c>
      <c r="P645" s="838">
        <v>0</v>
      </c>
      <c r="Q645" s="839">
        <f>+Tabla1[[#This Row],[VENTA TOTAL $ (IVA INC) ]]-Tabla1[[#This Row],[PENDIENTE DE COBRO]]</f>
        <v>0</v>
      </c>
      <c r="R645" s="840">
        <f>+Tabla1[[#This Row],[FECHA FC]]+Tabla1[[#This Row],[PLAZO ENTREGA VALORES]]</f>
        <v>0</v>
      </c>
      <c r="S645" s="840">
        <f>+Tabla1[[#This Row],[FECHA FC]]+Tabla1[[#This Row],[PLAZO PAGO (DIAS)]]</f>
        <v>0</v>
      </c>
      <c r="T645" s="834">
        <f t="shared" ca="1" si="149"/>
        <v>-46181</v>
      </c>
      <c r="U645" s="831"/>
      <c r="V645" s="831"/>
      <c r="W645" s="841">
        <f>+S645+7</f>
        <v>7</v>
      </c>
      <c r="X645" s="830"/>
      <c r="Y645" s="859"/>
      <c r="Z645" s="860">
        <f>Tabla1[[#This Row],[KGS]]/50</f>
        <v>0</v>
      </c>
      <c r="AA64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45" s="844">
        <f>-Tabla1[[#This Row],[COSTO FLETE $ POR BOLSA 5O KG (SIN IVA)]]*1.21-Tabla1[[#This Row],[PRECIO $/ KG A PLAZO EN CLIENTE ( SIN IVA)]]*0.003*1.21*50</f>
        <v>0</v>
      </c>
      <c r="AC645" s="845" t="e">
        <f>SUM(Tabla1[[#This Row],[PRECIO $ BOLSA 50 KG (IVA INC) ]]+Tabla1[[#This Row],[COSTO FLETE $ BOLSA 50 KG (IVA INC)]])</f>
        <v>#VALUE!</v>
      </c>
      <c r="AD645" s="844" t="e">
        <f>-Tabla1[[#This Row],[PRECIO $ BOLSA 50 KG (IVA INC) ]]*(Tabla1[[#This Row],[TASA FINANCIACION MENSUAL]]/365)*Tabla1[[#This Row],[PLAZO ENTREGA VALORES]]</f>
        <v>#VALUE!</v>
      </c>
      <c r="AE645" s="845" t="e">
        <f>SUM(Tabla1[[#This Row],[PRECIO $ BOLSA50 KG  FOB TUCUMAN A PLAZO (IVA INC)]]+Tabla1[[#This Row],[GASTOS FINANCIEROS $ BOLSA 50 KG (IVA INC)]])</f>
        <v>#VALUE!</v>
      </c>
      <c r="AF645" s="828"/>
      <c r="AG645" s="828"/>
      <c r="AH645" s="828"/>
      <c r="AI645" s="828"/>
      <c r="AJ64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45" s="846" t="e">
        <f>SUM(Tabla1[[#This Row],[PRECIO $ BOLSA 50KG  FOB CDO TUC (IVA INC)]]-Tabla1[[#This Row],[PRECIO REF $ BOLSA 50 KG CACTU (IVA INC)]])</f>
        <v>#VALUE!</v>
      </c>
      <c r="AL645" s="847" t="str">
        <f>IFERROR(Tabla1[[#This Row],[PRECIO $ BOLSA 50KG  FOB CDO TUC (IVA INC)]]/Tabla1[[#This Row],[PRECIO REF $ BOLSA 50 KG CACTU (IVA INC)]]-1,"")</f>
        <v/>
      </c>
      <c r="AM645" s="846" t="e">
        <f>+Tabla1[[#This Row],[DIF $ PRECIO NETO INDUSTRIA vs Neto TUCUMAN (IVA INC)]]*Tabla1[[#This Row],[Q Bolsas Equivalentes 50kg]]</f>
        <v>#VALUE!</v>
      </c>
      <c r="AN645" s="846" t="e">
        <f>Tabla1[[#This Row],[PRECIO REF $ BOLSA 50 KG CACTU (IVA INC)]]*Tabla1[[#This Row],[Q Bolsas Equivalentes 50kg]]</f>
        <v>#VALUE!</v>
      </c>
      <c r="AO645" s="846" t="e">
        <f>+Tabla1[[#This Row],[PRECIO $ BOLSA 50KG  FOB CDO TUC (IVA INC)]]*Tabla1[[#This Row],[Q Bolsas Equivalentes 50kg]]</f>
        <v>#VALUE!</v>
      </c>
      <c r="AP645" s="847"/>
      <c r="AQ645" s="846">
        <v>0</v>
      </c>
      <c r="AR645" s="828"/>
      <c r="AS645" s="849"/>
      <c r="AT645" s="923">
        <f>+Tabla1[[#This Row],[VENTA TOTAL $ (IVA INC) ]]-(SUM(Tabla1[[#This Row],[PENDIENTE DE ENTREGA]:[VALORES COBRADOS]]))</f>
        <v>0</v>
      </c>
      <c r="AU645" s="850" t="e">
        <f>VLOOKUP(Tabla1[[#This Row],[FECHA OC]],'TIPO DE CAMBIO'!A:B,2,TRUE)</f>
        <v>#N/A</v>
      </c>
      <c r="AV645" s="850" t="e">
        <f>+Tabla1[[#This Row],[SUBTOTAL]]/Tabla1[[#This Row],[TIPO DE CAMBIO]]</f>
        <v>#N/A</v>
      </c>
      <c r="AW645" s="851"/>
      <c r="AX645" s="850" t="str">
        <f>IFERROR(Tabla1[[#This Row],[VENTA TOTAL USD A PLAZO EN CLIENTE  (SIN IVA)]]*(1+Tabla1[[#This Row],[% IVA ]]),"")</f>
        <v/>
      </c>
      <c r="AY645" s="850" t="e">
        <f>+Tabla1[[#This Row],[VENTA TOTAL USD A PLAZO EN CLIENTE  (SIN IVA)]]/Tabla1[[#This Row],[KGS]]*1000</f>
        <v>#N/A</v>
      </c>
      <c r="AZ645" s="850" t="e">
        <f>-Tabla1[[#This Row],[COSTO FLETE $ POR BOLSA 5O KG (SIN IVA)]]*20/Tabla1[[#This Row],[TIPO DE CAMBIO]]</f>
        <v>#N/A</v>
      </c>
      <c r="BA645" s="850" t="e">
        <f>+Tabla1[[#This Row],[GASTOS FINANCIEROS $ BOLSA 50 KG (IVA INC)]]*20/Tabla1[[#This Row],[TIPO DE CAMBIO]]</f>
        <v>#VALUE!</v>
      </c>
      <c r="BB645" s="850" t="e">
        <f>+Tabla1[[#This Row],[PRECIO POR TN USD EN CLIENTE A PLAZO (SIN IVA)]]+Tabla1[[#This Row],[COSTO USD FLETE /TN (SIN IVA)]]+Tabla1[[#This Row],[COSTO FINANCIERO USD POR BOLSA 50KG (IVA INC)]]</f>
        <v>#N/A</v>
      </c>
      <c r="BC645" s="848"/>
      <c r="BD645" s="944"/>
    </row>
    <row r="646" spans="1:56" ht="15.75" customHeight="1">
      <c r="A646" s="912">
        <v>46296</v>
      </c>
      <c r="B646" s="853"/>
      <c r="C646" s="792"/>
      <c r="D646" s="829">
        <f>+Tabla1[[#This Row],[FECHA Entrega]]</f>
        <v>0</v>
      </c>
      <c r="E646" s="830"/>
      <c r="F646" s="831"/>
      <c r="G646" s="832"/>
      <c r="H646" s="852"/>
      <c r="I646" s="834"/>
      <c r="J646" s="835"/>
      <c r="K646" s="836">
        <f t="shared" si="148"/>
        <v>0</v>
      </c>
      <c r="L64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46" s="837">
        <f t="shared" si="150"/>
        <v>0</v>
      </c>
      <c r="N646" s="838">
        <f>+Tabla1[[#This Row],[VENTA TOTAL $ (IVA INC) ]]</f>
        <v>0</v>
      </c>
      <c r="O646" s="838">
        <v>0</v>
      </c>
      <c r="P646" s="838">
        <v>0</v>
      </c>
      <c r="Q646" s="839">
        <f>+Tabla1[[#This Row],[VENTA TOTAL $ (IVA INC) ]]-Tabla1[[#This Row],[PENDIENTE DE COBRO]]</f>
        <v>0</v>
      </c>
      <c r="R646" s="840">
        <f>+Tabla1[[#This Row],[FECHA FC]]+Tabla1[[#This Row],[PLAZO ENTREGA VALORES]]</f>
        <v>0</v>
      </c>
      <c r="S646" s="840">
        <f>+Tabla1[[#This Row],[FECHA FC]]+Tabla1[[#This Row],[PLAZO PAGO (DIAS)]]</f>
        <v>0</v>
      </c>
      <c r="T646" s="834">
        <f t="shared" ca="1" si="149"/>
        <v>-46181</v>
      </c>
      <c r="U646" s="831"/>
      <c r="V646" s="831"/>
      <c r="W646" s="841">
        <f>+S646+7</f>
        <v>7</v>
      </c>
      <c r="X646" s="830"/>
      <c r="Y646" s="859"/>
      <c r="Z646" s="860">
        <f>Tabla1[[#This Row],[KGS]]/50</f>
        <v>0</v>
      </c>
      <c r="AA64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46" s="844">
        <f>-Tabla1[[#This Row],[COSTO FLETE $ POR BOLSA 5O KG (SIN IVA)]]*1.21-Tabla1[[#This Row],[PRECIO $/ KG A PLAZO EN CLIENTE ( SIN IVA)]]*0.003*1.21*50</f>
        <v>0</v>
      </c>
      <c r="AC646" s="845" t="e">
        <f>SUM(Tabla1[[#This Row],[PRECIO $ BOLSA 50 KG (IVA INC) ]]+Tabla1[[#This Row],[COSTO FLETE $ BOLSA 50 KG (IVA INC)]])</f>
        <v>#VALUE!</v>
      </c>
      <c r="AD646" s="844" t="e">
        <f>-Tabla1[[#This Row],[PRECIO $ BOLSA 50 KG (IVA INC) ]]*(Tabla1[[#This Row],[TASA FINANCIACION MENSUAL]]/365)*Tabla1[[#This Row],[PLAZO ENTREGA VALORES]]</f>
        <v>#VALUE!</v>
      </c>
      <c r="AE646" s="845" t="e">
        <f>SUM(Tabla1[[#This Row],[PRECIO $ BOLSA50 KG  FOB TUCUMAN A PLAZO (IVA INC)]]+Tabla1[[#This Row],[GASTOS FINANCIEROS $ BOLSA 50 KG (IVA INC)]])</f>
        <v>#VALUE!</v>
      </c>
      <c r="AF646" s="828"/>
      <c r="AG646" s="828"/>
      <c r="AH646" s="828"/>
      <c r="AI646" s="828"/>
      <c r="AJ64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46" s="846" t="e">
        <f>SUM(Tabla1[[#This Row],[PRECIO $ BOLSA 50KG  FOB CDO TUC (IVA INC)]]-Tabla1[[#This Row],[PRECIO REF $ BOLSA 50 KG CACTU (IVA INC)]])</f>
        <v>#VALUE!</v>
      </c>
      <c r="AL646" s="847" t="str">
        <f>IFERROR(Tabla1[[#This Row],[PRECIO $ BOLSA 50KG  FOB CDO TUC (IVA INC)]]/Tabla1[[#This Row],[PRECIO REF $ BOLSA 50 KG CACTU (IVA INC)]]-1,"")</f>
        <v/>
      </c>
      <c r="AM646" s="846" t="e">
        <f>+Tabla1[[#This Row],[DIF $ PRECIO NETO INDUSTRIA vs Neto TUCUMAN (IVA INC)]]*Tabla1[[#This Row],[Q Bolsas Equivalentes 50kg]]</f>
        <v>#VALUE!</v>
      </c>
      <c r="AN646" s="846" t="e">
        <f>Tabla1[[#This Row],[PRECIO REF $ BOLSA 50 KG CACTU (IVA INC)]]*Tabla1[[#This Row],[Q Bolsas Equivalentes 50kg]]</f>
        <v>#VALUE!</v>
      </c>
      <c r="AO646" s="846" t="e">
        <f>+Tabla1[[#This Row],[PRECIO $ BOLSA 50KG  FOB CDO TUC (IVA INC)]]*Tabla1[[#This Row],[Q Bolsas Equivalentes 50kg]]</f>
        <v>#VALUE!</v>
      </c>
      <c r="AP646" s="847"/>
      <c r="AQ646" s="846">
        <v>0</v>
      </c>
      <c r="AR646" s="828"/>
      <c r="AS646" s="849"/>
      <c r="AT646" s="923">
        <f>+Tabla1[[#This Row],[VENTA TOTAL $ (IVA INC) ]]-(SUM(Tabla1[[#This Row],[PENDIENTE DE ENTREGA]:[VALORES COBRADOS]]))</f>
        <v>0</v>
      </c>
      <c r="AU646" s="850" t="e">
        <f>VLOOKUP(Tabla1[[#This Row],[FECHA OC]],'TIPO DE CAMBIO'!A:B,2,TRUE)</f>
        <v>#N/A</v>
      </c>
      <c r="AV646" s="850" t="e">
        <f>+Tabla1[[#This Row],[SUBTOTAL]]/Tabla1[[#This Row],[TIPO DE CAMBIO]]</f>
        <v>#N/A</v>
      </c>
      <c r="AW646" s="851"/>
      <c r="AX646" s="850" t="str">
        <f>IFERROR(Tabla1[[#This Row],[VENTA TOTAL USD A PLAZO EN CLIENTE  (SIN IVA)]]*(1+Tabla1[[#This Row],[% IVA ]]),"")</f>
        <v/>
      </c>
      <c r="AY646" s="850" t="e">
        <f>+Tabla1[[#This Row],[VENTA TOTAL USD A PLAZO EN CLIENTE  (SIN IVA)]]/Tabla1[[#This Row],[KGS]]*1000</f>
        <v>#N/A</v>
      </c>
      <c r="AZ646" s="850" t="e">
        <f>-Tabla1[[#This Row],[COSTO FLETE $ POR BOLSA 5O KG (SIN IVA)]]*20/Tabla1[[#This Row],[TIPO DE CAMBIO]]</f>
        <v>#N/A</v>
      </c>
      <c r="BA646" s="850" t="e">
        <f>+Tabla1[[#This Row],[GASTOS FINANCIEROS $ BOLSA 50 KG (IVA INC)]]*20/Tabla1[[#This Row],[TIPO DE CAMBIO]]</f>
        <v>#VALUE!</v>
      </c>
      <c r="BB646" s="850" t="e">
        <f>+Tabla1[[#This Row],[PRECIO POR TN USD EN CLIENTE A PLAZO (SIN IVA)]]+Tabla1[[#This Row],[COSTO USD FLETE /TN (SIN IVA)]]+Tabla1[[#This Row],[COSTO FINANCIERO USD POR BOLSA 50KG (IVA INC)]]</f>
        <v>#N/A</v>
      </c>
      <c r="BC646" s="848"/>
      <c r="BD646" s="944"/>
    </row>
    <row r="647" spans="1:56" ht="15.75" customHeight="1">
      <c r="A647" s="912">
        <v>46296</v>
      </c>
      <c r="B647" s="853"/>
      <c r="C647" s="792"/>
      <c r="D647" s="829">
        <f>+Tabla1[[#This Row],[FECHA Entrega]]</f>
        <v>0</v>
      </c>
      <c r="E647" s="830"/>
      <c r="F647" s="831"/>
      <c r="G647" s="832"/>
      <c r="H647" s="852"/>
      <c r="I647" s="834"/>
      <c r="J647" s="835"/>
      <c r="K647" s="836">
        <f t="shared" si="148"/>
        <v>0</v>
      </c>
      <c r="L64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47" s="837">
        <f t="shared" si="150"/>
        <v>0</v>
      </c>
      <c r="N647" s="838">
        <f>+Tabla1[[#This Row],[VENTA TOTAL $ (IVA INC) ]]</f>
        <v>0</v>
      </c>
      <c r="O647" s="838">
        <v>0</v>
      </c>
      <c r="P647" s="838">
        <v>0</v>
      </c>
      <c r="Q647" s="839">
        <f>+Tabla1[[#This Row],[VENTA TOTAL $ (IVA INC) ]]-Tabla1[[#This Row],[PENDIENTE DE COBRO]]</f>
        <v>0</v>
      </c>
      <c r="R647" s="840">
        <f>+Tabla1[[#This Row],[FECHA FC]]+Tabla1[[#This Row],[PLAZO ENTREGA VALORES]]</f>
        <v>0</v>
      </c>
      <c r="S647" s="840">
        <f>+Tabla1[[#This Row],[FECHA FC]]+Tabla1[[#This Row],[PLAZO PAGO (DIAS)]]</f>
        <v>0</v>
      </c>
      <c r="T647" s="834">
        <f t="shared" ca="1" si="149"/>
        <v>-46181</v>
      </c>
      <c r="U647" s="831"/>
      <c r="V647" s="831"/>
      <c r="W647" s="841">
        <f>+S647+7</f>
        <v>7</v>
      </c>
      <c r="X647" s="830"/>
      <c r="Y647" s="859"/>
      <c r="Z647" s="860">
        <f>Tabla1[[#This Row],[KGS]]/50</f>
        <v>0</v>
      </c>
      <c r="AA64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47" s="844">
        <f>-Tabla1[[#This Row],[COSTO FLETE $ POR BOLSA 5O KG (SIN IVA)]]*1.21-Tabla1[[#This Row],[PRECIO $/ KG A PLAZO EN CLIENTE ( SIN IVA)]]*0.003*1.21*50</f>
        <v>0</v>
      </c>
      <c r="AC647" s="845" t="e">
        <f>SUM(Tabla1[[#This Row],[PRECIO $ BOLSA 50 KG (IVA INC) ]]+Tabla1[[#This Row],[COSTO FLETE $ BOLSA 50 KG (IVA INC)]])</f>
        <v>#VALUE!</v>
      </c>
      <c r="AD647" s="844" t="e">
        <f>-Tabla1[[#This Row],[PRECIO $ BOLSA 50 KG (IVA INC) ]]*(Tabla1[[#This Row],[TASA FINANCIACION MENSUAL]]/365)*Tabla1[[#This Row],[PLAZO ENTREGA VALORES]]</f>
        <v>#VALUE!</v>
      </c>
      <c r="AE647" s="845" t="e">
        <f>SUM(Tabla1[[#This Row],[PRECIO $ BOLSA50 KG  FOB TUCUMAN A PLAZO (IVA INC)]]+Tabla1[[#This Row],[GASTOS FINANCIEROS $ BOLSA 50 KG (IVA INC)]])</f>
        <v>#VALUE!</v>
      </c>
      <c r="AF647" s="828"/>
      <c r="AG647" s="828"/>
      <c r="AH647" s="828"/>
      <c r="AI647" s="828"/>
      <c r="AJ64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47" s="846" t="e">
        <f>SUM(Tabla1[[#This Row],[PRECIO $ BOLSA 50KG  FOB CDO TUC (IVA INC)]]-Tabla1[[#This Row],[PRECIO REF $ BOLSA 50 KG CACTU (IVA INC)]])</f>
        <v>#VALUE!</v>
      </c>
      <c r="AL647" s="847" t="str">
        <f>IFERROR(Tabla1[[#This Row],[PRECIO $ BOLSA 50KG  FOB CDO TUC (IVA INC)]]/Tabla1[[#This Row],[PRECIO REF $ BOLSA 50 KG CACTU (IVA INC)]]-1,"")</f>
        <v/>
      </c>
      <c r="AM647" s="846" t="e">
        <f>+Tabla1[[#This Row],[DIF $ PRECIO NETO INDUSTRIA vs Neto TUCUMAN (IVA INC)]]*Tabla1[[#This Row],[Q Bolsas Equivalentes 50kg]]</f>
        <v>#VALUE!</v>
      </c>
      <c r="AN647" s="846" t="e">
        <f>Tabla1[[#This Row],[PRECIO REF $ BOLSA 50 KG CACTU (IVA INC)]]*Tabla1[[#This Row],[Q Bolsas Equivalentes 50kg]]</f>
        <v>#VALUE!</v>
      </c>
      <c r="AO647" s="846" t="e">
        <f>+Tabla1[[#This Row],[PRECIO $ BOLSA 50KG  FOB CDO TUC (IVA INC)]]*Tabla1[[#This Row],[Q Bolsas Equivalentes 50kg]]</f>
        <v>#VALUE!</v>
      </c>
      <c r="AP647" s="847"/>
      <c r="AQ647" s="846">
        <v>0</v>
      </c>
      <c r="AR647" s="828"/>
      <c r="AS647" s="849"/>
      <c r="AT647" s="923">
        <f>+Tabla1[[#This Row],[VENTA TOTAL $ (IVA INC) ]]-(SUM(Tabla1[[#This Row],[PENDIENTE DE ENTREGA]:[VALORES COBRADOS]]))</f>
        <v>0</v>
      </c>
      <c r="AU647" s="850" t="e">
        <f>VLOOKUP(Tabla1[[#This Row],[FECHA OC]],'TIPO DE CAMBIO'!A:B,2,TRUE)</f>
        <v>#N/A</v>
      </c>
      <c r="AV647" s="850" t="e">
        <f>+Tabla1[[#This Row],[SUBTOTAL]]/Tabla1[[#This Row],[TIPO DE CAMBIO]]</f>
        <v>#N/A</v>
      </c>
      <c r="AW647" s="851"/>
      <c r="AX647" s="850" t="str">
        <f>IFERROR(Tabla1[[#This Row],[VENTA TOTAL USD A PLAZO EN CLIENTE  (SIN IVA)]]*(1+Tabla1[[#This Row],[% IVA ]]),"")</f>
        <v/>
      </c>
      <c r="AY647" s="850" t="e">
        <f>+Tabla1[[#This Row],[VENTA TOTAL USD A PLAZO EN CLIENTE  (SIN IVA)]]/Tabla1[[#This Row],[KGS]]*1000</f>
        <v>#N/A</v>
      </c>
      <c r="AZ647" s="850" t="e">
        <f>-Tabla1[[#This Row],[COSTO FLETE $ POR BOLSA 5O KG (SIN IVA)]]*20/Tabla1[[#This Row],[TIPO DE CAMBIO]]</f>
        <v>#N/A</v>
      </c>
      <c r="BA647" s="850" t="e">
        <f>+Tabla1[[#This Row],[GASTOS FINANCIEROS $ BOLSA 50 KG (IVA INC)]]*20/Tabla1[[#This Row],[TIPO DE CAMBIO]]</f>
        <v>#VALUE!</v>
      </c>
      <c r="BB647" s="850" t="e">
        <f>+Tabla1[[#This Row],[PRECIO POR TN USD EN CLIENTE A PLAZO (SIN IVA)]]+Tabla1[[#This Row],[COSTO USD FLETE /TN (SIN IVA)]]+Tabla1[[#This Row],[COSTO FINANCIERO USD POR BOLSA 50KG (IVA INC)]]</f>
        <v>#N/A</v>
      </c>
      <c r="BC647" s="848"/>
      <c r="BD647" s="944"/>
    </row>
    <row r="648" spans="1:56" ht="15.75" customHeight="1">
      <c r="A648" s="912">
        <v>46296</v>
      </c>
      <c r="B648" s="853"/>
      <c r="C648" s="792"/>
      <c r="D648" s="829">
        <f>+Tabla1[[#This Row],[FECHA Entrega]]</f>
        <v>0</v>
      </c>
      <c r="E648" s="830"/>
      <c r="F648" s="831"/>
      <c r="G648" s="832"/>
      <c r="H648" s="852"/>
      <c r="I648" s="834"/>
      <c r="J648" s="835"/>
      <c r="K648" s="836">
        <f t="shared" si="148"/>
        <v>0</v>
      </c>
      <c r="L64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48" s="837">
        <f t="shared" si="150"/>
        <v>0</v>
      </c>
      <c r="N648" s="838">
        <f>+Tabla1[[#This Row],[VENTA TOTAL $ (IVA INC) ]]</f>
        <v>0</v>
      </c>
      <c r="O648" s="838">
        <v>0</v>
      </c>
      <c r="P648" s="838">
        <v>0</v>
      </c>
      <c r="Q648" s="839">
        <f>+Tabla1[[#This Row],[VENTA TOTAL $ (IVA INC) ]]-Tabla1[[#This Row],[PENDIENTE DE COBRO]]</f>
        <v>0</v>
      </c>
      <c r="R648" s="840">
        <f>+Tabla1[[#This Row],[FECHA FC]]+Tabla1[[#This Row],[PLAZO ENTREGA VALORES]]</f>
        <v>0</v>
      </c>
      <c r="S648" s="840">
        <f>+Tabla1[[#This Row],[FECHA FC]]+Tabla1[[#This Row],[PLAZO PAGO (DIAS)]]</f>
        <v>0</v>
      </c>
      <c r="T648" s="834">
        <f t="shared" ca="1" si="149"/>
        <v>-46181</v>
      </c>
      <c r="U648" s="831"/>
      <c r="V648" s="831"/>
      <c r="W648" s="841">
        <f>+S648+7</f>
        <v>7</v>
      </c>
      <c r="X648" s="830"/>
      <c r="Y648" s="859"/>
      <c r="Z648" s="860">
        <f>Tabla1[[#This Row],[KGS]]/50</f>
        <v>0</v>
      </c>
      <c r="AA64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48" s="844">
        <f>-Tabla1[[#This Row],[COSTO FLETE $ POR BOLSA 5O KG (SIN IVA)]]*1.21-Tabla1[[#This Row],[PRECIO $/ KG A PLAZO EN CLIENTE ( SIN IVA)]]*0.003*1.21*50</f>
        <v>0</v>
      </c>
      <c r="AC648" s="845" t="e">
        <f>SUM(Tabla1[[#This Row],[PRECIO $ BOLSA 50 KG (IVA INC) ]]+Tabla1[[#This Row],[COSTO FLETE $ BOLSA 50 KG (IVA INC)]])</f>
        <v>#VALUE!</v>
      </c>
      <c r="AD648" s="844" t="e">
        <f>-Tabla1[[#This Row],[PRECIO $ BOLSA 50 KG (IVA INC) ]]*(Tabla1[[#This Row],[TASA FINANCIACION MENSUAL]]/365)*Tabla1[[#This Row],[PLAZO ENTREGA VALORES]]</f>
        <v>#VALUE!</v>
      </c>
      <c r="AE648" s="845" t="e">
        <f>SUM(Tabla1[[#This Row],[PRECIO $ BOLSA50 KG  FOB TUCUMAN A PLAZO (IVA INC)]]+Tabla1[[#This Row],[GASTOS FINANCIEROS $ BOLSA 50 KG (IVA INC)]])</f>
        <v>#VALUE!</v>
      </c>
      <c r="AF648" s="828"/>
      <c r="AG648" s="828"/>
      <c r="AH648" s="828"/>
      <c r="AI648" s="828"/>
      <c r="AJ64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48" s="846" t="e">
        <f>SUM(Tabla1[[#This Row],[PRECIO $ BOLSA 50KG  FOB CDO TUC (IVA INC)]]-Tabla1[[#This Row],[PRECIO REF $ BOLSA 50 KG CACTU (IVA INC)]])</f>
        <v>#VALUE!</v>
      </c>
      <c r="AL648" s="847" t="str">
        <f>IFERROR(Tabla1[[#This Row],[PRECIO $ BOLSA 50KG  FOB CDO TUC (IVA INC)]]/Tabla1[[#This Row],[PRECIO REF $ BOLSA 50 KG CACTU (IVA INC)]]-1,"")</f>
        <v/>
      </c>
      <c r="AM648" s="846" t="e">
        <f>+Tabla1[[#This Row],[DIF $ PRECIO NETO INDUSTRIA vs Neto TUCUMAN (IVA INC)]]*Tabla1[[#This Row],[Q Bolsas Equivalentes 50kg]]</f>
        <v>#VALUE!</v>
      </c>
      <c r="AN648" s="846" t="e">
        <f>Tabla1[[#This Row],[PRECIO REF $ BOLSA 50 KG CACTU (IVA INC)]]*Tabla1[[#This Row],[Q Bolsas Equivalentes 50kg]]</f>
        <v>#VALUE!</v>
      </c>
      <c r="AO648" s="846" t="e">
        <f>+Tabla1[[#This Row],[PRECIO $ BOLSA 50KG  FOB CDO TUC (IVA INC)]]*Tabla1[[#This Row],[Q Bolsas Equivalentes 50kg]]</f>
        <v>#VALUE!</v>
      </c>
      <c r="AP648" s="847"/>
      <c r="AQ648" s="846">
        <v>0</v>
      </c>
      <c r="AR648" s="828"/>
      <c r="AS648" s="849"/>
      <c r="AT648" s="923">
        <f>+Tabla1[[#This Row],[VENTA TOTAL $ (IVA INC) ]]-(SUM(Tabla1[[#This Row],[PENDIENTE DE ENTREGA]:[VALORES COBRADOS]]))</f>
        <v>0</v>
      </c>
      <c r="AU648" s="850" t="e">
        <f>VLOOKUP(Tabla1[[#This Row],[FECHA OC]],'TIPO DE CAMBIO'!A:B,2,TRUE)</f>
        <v>#N/A</v>
      </c>
      <c r="AV648" s="850" t="e">
        <f>+Tabla1[[#This Row],[SUBTOTAL]]/Tabla1[[#This Row],[TIPO DE CAMBIO]]</f>
        <v>#N/A</v>
      </c>
      <c r="AW648" s="851"/>
      <c r="AX648" s="850" t="str">
        <f>IFERROR(Tabla1[[#This Row],[VENTA TOTAL USD A PLAZO EN CLIENTE  (SIN IVA)]]*(1+Tabla1[[#This Row],[% IVA ]]),"")</f>
        <v/>
      </c>
      <c r="AY648" s="850" t="e">
        <f>+Tabla1[[#This Row],[VENTA TOTAL USD A PLAZO EN CLIENTE  (SIN IVA)]]/Tabla1[[#This Row],[KGS]]*1000</f>
        <v>#N/A</v>
      </c>
      <c r="AZ648" s="850" t="e">
        <f>-Tabla1[[#This Row],[COSTO FLETE $ POR BOLSA 5O KG (SIN IVA)]]*20/Tabla1[[#This Row],[TIPO DE CAMBIO]]</f>
        <v>#N/A</v>
      </c>
      <c r="BA648" s="850" t="e">
        <f>+Tabla1[[#This Row],[GASTOS FINANCIEROS $ BOLSA 50 KG (IVA INC)]]*20/Tabla1[[#This Row],[TIPO DE CAMBIO]]</f>
        <v>#VALUE!</v>
      </c>
      <c r="BB648" s="850" t="e">
        <f>+Tabla1[[#This Row],[PRECIO POR TN USD EN CLIENTE A PLAZO (SIN IVA)]]+Tabla1[[#This Row],[COSTO USD FLETE /TN (SIN IVA)]]+Tabla1[[#This Row],[COSTO FINANCIERO USD POR BOLSA 50KG (IVA INC)]]</f>
        <v>#N/A</v>
      </c>
      <c r="BC648" s="848"/>
      <c r="BD648" s="944"/>
    </row>
    <row r="649" spans="1:56" ht="15.75" customHeight="1">
      <c r="A649" s="912">
        <v>46296</v>
      </c>
      <c r="B649" s="863"/>
      <c r="C649" s="792"/>
      <c r="D649" s="829">
        <f>+Tabla1[[#This Row],[FECHA Entrega]]</f>
        <v>0</v>
      </c>
      <c r="E649" s="830"/>
      <c r="F649" s="831"/>
      <c r="G649" s="832"/>
      <c r="H649" s="852"/>
      <c r="I649" s="834"/>
      <c r="J649" s="835"/>
      <c r="K649" s="836">
        <f t="shared" si="148"/>
        <v>0</v>
      </c>
      <c r="L64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49" s="837">
        <f t="shared" si="150"/>
        <v>0</v>
      </c>
      <c r="N649" s="838">
        <f>+Tabla1[[#This Row],[VENTA TOTAL $ (IVA INC) ]]</f>
        <v>0</v>
      </c>
      <c r="O649" s="838">
        <v>0</v>
      </c>
      <c r="P649" s="838">
        <v>0</v>
      </c>
      <c r="Q649" s="839">
        <f>+Tabla1[[#This Row],[VENTA TOTAL $ (IVA INC) ]]-Tabla1[[#This Row],[PENDIENTE DE COBRO]]</f>
        <v>0</v>
      </c>
      <c r="R649" s="840">
        <f>+Tabla1[[#This Row],[FECHA FC]]+Tabla1[[#This Row],[PLAZO ENTREGA VALORES]]</f>
        <v>0</v>
      </c>
      <c r="S649" s="840">
        <f>+Tabla1[[#This Row],[FECHA FC]]+Tabla1[[#This Row],[PLAZO PAGO (DIAS)]]</f>
        <v>0</v>
      </c>
      <c r="T649" s="834">
        <f t="shared" ca="1" si="149"/>
        <v>-46181</v>
      </c>
      <c r="U649" s="831"/>
      <c r="V649" s="831"/>
      <c r="W649" s="841">
        <f>+Tabla1[[#This Row],[FECHA VTO VALORES]]+7</f>
        <v>7</v>
      </c>
      <c r="X649" s="830"/>
      <c r="Y649" s="859"/>
      <c r="Z649" s="860">
        <f>Tabla1[[#This Row],[KGS]]/50</f>
        <v>0</v>
      </c>
      <c r="AA64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49" s="844">
        <f>-Tabla1[[#This Row],[COSTO FLETE $ POR BOLSA 5O KG (SIN IVA)]]*1.21-Tabla1[[#This Row],[PRECIO $/ KG A PLAZO EN CLIENTE ( SIN IVA)]]*0.003*1.21*50</f>
        <v>0</v>
      </c>
      <c r="AC649" s="845" t="e">
        <f>SUM(Tabla1[[#This Row],[PRECIO $ BOLSA 50 KG (IVA INC) ]]+Tabla1[[#This Row],[COSTO FLETE $ BOLSA 50 KG (IVA INC)]])</f>
        <v>#VALUE!</v>
      </c>
      <c r="AD649" s="844" t="e">
        <f>-Tabla1[[#This Row],[PRECIO $ BOLSA 50 KG (IVA INC) ]]*(Tabla1[[#This Row],[TASA FINANCIACION MENSUAL]]/365)*Tabla1[[#This Row],[PLAZO ENTREGA VALORES]]</f>
        <v>#VALUE!</v>
      </c>
      <c r="AE649" s="845" t="e">
        <f>SUM(Tabla1[[#This Row],[PRECIO $ BOLSA50 KG  FOB TUCUMAN A PLAZO (IVA INC)]]+Tabla1[[#This Row],[GASTOS FINANCIEROS $ BOLSA 50 KG (IVA INC)]])</f>
        <v>#VALUE!</v>
      </c>
      <c r="AF649" s="828"/>
      <c r="AG649" s="828"/>
      <c r="AH649" s="828"/>
      <c r="AI649" s="828"/>
      <c r="AJ64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49" s="846" t="e">
        <f>SUM(Tabla1[[#This Row],[PRECIO $ BOLSA 50KG  FOB CDO TUC (IVA INC)]]-Tabla1[[#This Row],[PRECIO REF $ BOLSA 50 KG CACTU (IVA INC)]])</f>
        <v>#VALUE!</v>
      </c>
      <c r="AL649" s="847" t="str">
        <f>IFERROR(Tabla1[[#This Row],[PRECIO $ BOLSA 50KG  FOB CDO TUC (IVA INC)]]/Tabla1[[#This Row],[PRECIO REF $ BOLSA 50 KG CACTU (IVA INC)]]-1,"")</f>
        <v/>
      </c>
      <c r="AM649" s="846" t="e">
        <f>+Tabla1[[#This Row],[DIF $ PRECIO NETO INDUSTRIA vs Neto TUCUMAN (IVA INC)]]*Tabla1[[#This Row],[Q Bolsas Equivalentes 50kg]]</f>
        <v>#VALUE!</v>
      </c>
      <c r="AN649" s="846" t="e">
        <f>Tabla1[[#This Row],[PRECIO REF $ BOLSA 50 KG CACTU (IVA INC)]]*Tabla1[[#This Row],[Q Bolsas Equivalentes 50kg]]</f>
        <v>#VALUE!</v>
      </c>
      <c r="AO649" s="846" t="e">
        <f>+Tabla1[[#This Row],[PRECIO $ BOLSA 50KG  FOB CDO TUC (IVA INC)]]*Tabla1[[#This Row],[Q Bolsas Equivalentes 50kg]]</f>
        <v>#VALUE!</v>
      </c>
      <c r="AP649" s="847"/>
      <c r="AQ649" s="846">
        <v>0</v>
      </c>
      <c r="AR649" s="828"/>
      <c r="AS649" s="849"/>
      <c r="AT649" s="923">
        <f>+Tabla1[[#This Row],[VENTA TOTAL $ (IVA INC) ]]-(SUM(Tabla1[[#This Row],[PENDIENTE DE ENTREGA]:[VALORES COBRADOS]]))</f>
        <v>0</v>
      </c>
      <c r="AU649" s="850" t="e">
        <f>VLOOKUP(Tabla1[[#This Row],[FECHA OC]],'TIPO DE CAMBIO'!A:B,2,TRUE)</f>
        <v>#N/A</v>
      </c>
      <c r="AV649" s="850" t="e">
        <f>+Tabla1[[#This Row],[SUBTOTAL]]/Tabla1[[#This Row],[TIPO DE CAMBIO]]</f>
        <v>#N/A</v>
      </c>
      <c r="AW649" s="851"/>
      <c r="AX649" s="850" t="str">
        <f>IFERROR(Tabla1[[#This Row],[VENTA TOTAL USD A PLAZO EN CLIENTE  (SIN IVA)]]*(1+Tabla1[[#This Row],[% IVA ]]),"")</f>
        <v/>
      </c>
      <c r="AY649" s="850" t="e">
        <f>+Tabla1[[#This Row],[VENTA TOTAL USD A PLAZO EN CLIENTE  (SIN IVA)]]/Tabla1[[#This Row],[KGS]]*1000</f>
        <v>#N/A</v>
      </c>
      <c r="AZ649" s="850" t="e">
        <f>-Tabla1[[#This Row],[COSTO FLETE $ POR BOLSA 5O KG (SIN IVA)]]*20/Tabla1[[#This Row],[TIPO DE CAMBIO]]</f>
        <v>#N/A</v>
      </c>
      <c r="BA649" s="850" t="e">
        <f>+Tabla1[[#This Row],[GASTOS FINANCIEROS $ BOLSA 50 KG (IVA INC)]]*20/Tabla1[[#This Row],[TIPO DE CAMBIO]]</f>
        <v>#VALUE!</v>
      </c>
      <c r="BB649" s="850" t="e">
        <f>+Tabla1[[#This Row],[PRECIO POR TN USD EN CLIENTE A PLAZO (SIN IVA)]]+Tabla1[[#This Row],[COSTO USD FLETE /TN (SIN IVA)]]+Tabla1[[#This Row],[COSTO FINANCIERO USD POR BOLSA 50KG (IVA INC)]]</f>
        <v>#N/A</v>
      </c>
      <c r="BC649" s="848"/>
      <c r="BD649" s="944"/>
    </row>
    <row r="650" spans="1:56" ht="15.75" customHeight="1">
      <c r="A650" s="912">
        <v>46296</v>
      </c>
      <c r="B650" s="863"/>
      <c r="C650" s="792"/>
      <c r="D650" s="829">
        <f>+Tabla1[[#This Row],[FECHA Entrega]]</f>
        <v>0</v>
      </c>
      <c r="E650" s="830"/>
      <c r="F650" s="831"/>
      <c r="G650" s="832"/>
      <c r="H650" s="852"/>
      <c r="I650" s="834"/>
      <c r="J650" s="835"/>
      <c r="K650" s="836">
        <f t="shared" si="148"/>
        <v>0</v>
      </c>
      <c r="L65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50" s="837">
        <f t="shared" si="150"/>
        <v>0</v>
      </c>
      <c r="N650" s="838">
        <f>+Tabla1[[#This Row],[VENTA TOTAL $ (IVA INC) ]]</f>
        <v>0</v>
      </c>
      <c r="O650" s="838">
        <v>0</v>
      </c>
      <c r="P650" s="838">
        <v>0</v>
      </c>
      <c r="Q650" s="839">
        <f>+Tabla1[[#This Row],[VENTA TOTAL $ (IVA INC) ]]-Tabla1[[#This Row],[PENDIENTE DE COBRO]]</f>
        <v>0</v>
      </c>
      <c r="R650" s="840">
        <f>+Tabla1[[#This Row],[FECHA FC]]+Tabla1[[#This Row],[PLAZO ENTREGA VALORES]]</f>
        <v>0</v>
      </c>
      <c r="S650" s="840">
        <f>+Tabla1[[#This Row],[FECHA FC]]+Tabla1[[#This Row],[PLAZO PAGO (DIAS)]]</f>
        <v>0</v>
      </c>
      <c r="T650" s="834">
        <f t="shared" ca="1" si="149"/>
        <v>-46181</v>
      </c>
      <c r="U650" s="831"/>
      <c r="V650" s="831"/>
      <c r="W650" s="841">
        <f>+Tabla1[[#This Row],[FECHA VTO VALORES]]+7</f>
        <v>7</v>
      </c>
      <c r="X650" s="830"/>
      <c r="Y650" s="859"/>
      <c r="Z650" s="860">
        <f>Tabla1[[#This Row],[KGS]]/50</f>
        <v>0</v>
      </c>
      <c r="AA65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50" s="844">
        <f>-Tabla1[[#This Row],[COSTO FLETE $ POR BOLSA 5O KG (SIN IVA)]]*1.21-Tabla1[[#This Row],[PRECIO $/ KG A PLAZO EN CLIENTE ( SIN IVA)]]*0.003*1.21*50</f>
        <v>0</v>
      </c>
      <c r="AC650" s="845" t="e">
        <f>SUM(Tabla1[[#This Row],[PRECIO $ BOLSA 50 KG (IVA INC) ]]+Tabla1[[#This Row],[COSTO FLETE $ BOLSA 50 KG (IVA INC)]])</f>
        <v>#VALUE!</v>
      </c>
      <c r="AD650" s="844" t="e">
        <f>-Tabla1[[#This Row],[PRECIO $ BOLSA 50 KG (IVA INC) ]]*(Tabla1[[#This Row],[TASA FINANCIACION MENSUAL]]/365)*Tabla1[[#This Row],[PLAZO ENTREGA VALORES]]</f>
        <v>#VALUE!</v>
      </c>
      <c r="AE650" s="845" t="e">
        <f>SUM(Tabla1[[#This Row],[PRECIO $ BOLSA50 KG  FOB TUCUMAN A PLAZO (IVA INC)]]+Tabla1[[#This Row],[GASTOS FINANCIEROS $ BOLSA 50 KG (IVA INC)]])</f>
        <v>#VALUE!</v>
      </c>
      <c r="AF650" s="828"/>
      <c r="AG650" s="828"/>
      <c r="AH650" s="828"/>
      <c r="AI650" s="828"/>
      <c r="AJ65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50" s="846" t="e">
        <f>SUM(Tabla1[[#This Row],[PRECIO $ BOLSA 50KG  FOB CDO TUC (IVA INC)]]-Tabla1[[#This Row],[PRECIO REF $ BOLSA 50 KG CACTU (IVA INC)]])</f>
        <v>#VALUE!</v>
      </c>
      <c r="AL650" s="847" t="str">
        <f>IFERROR(Tabla1[[#This Row],[PRECIO $ BOLSA 50KG  FOB CDO TUC (IVA INC)]]/Tabla1[[#This Row],[PRECIO REF $ BOLSA 50 KG CACTU (IVA INC)]]-1,"")</f>
        <v/>
      </c>
      <c r="AM650" s="846" t="e">
        <f>+Tabla1[[#This Row],[DIF $ PRECIO NETO INDUSTRIA vs Neto TUCUMAN (IVA INC)]]*Tabla1[[#This Row],[Q Bolsas Equivalentes 50kg]]</f>
        <v>#VALUE!</v>
      </c>
      <c r="AN650" s="846" t="e">
        <f>Tabla1[[#This Row],[PRECIO REF $ BOLSA 50 KG CACTU (IVA INC)]]*Tabla1[[#This Row],[Q Bolsas Equivalentes 50kg]]</f>
        <v>#VALUE!</v>
      </c>
      <c r="AO650" s="846" t="e">
        <f>+Tabla1[[#This Row],[PRECIO $ BOLSA 50KG  FOB CDO TUC (IVA INC)]]*Tabla1[[#This Row],[Q Bolsas Equivalentes 50kg]]</f>
        <v>#VALUE!</v>
      </c>
      <c r="AP650" s="847"/>
      <c r="AQ650" s="846">
        <v>0</v>
      </c>
      <c r="AR650" s="828"/>
      <c r="AS650" s="849"/>
      <c r="AT650" s="923">
        <f>+Tabla1[[#This Row],[VENTA TOTAL $ (IVA INC) ]]-(SUM(Tabla1[[#This Row],[PENDIENTE DE ENTREGA]:[VALORES COBRADOS]]))</f>
        <v>0</v>
      </c>
      <c r="AU650" s="850" t="e">
        <f>VLOOKUP(Tabla1[[#This Row],[FECHA OC]],'TIPO DE CAMBIO'!A:B,2,TRUE)</f>
        <v>#N/A</v>
      </c>
      <c r="AV650" s="850" t="e">
        <f>+Tabla1[[#This Row],[SUBTOTAL]]/Tabla1[[#This Row],[TIPO DE CAMBIO]]</f>
        <v>#N/A</v>
      </c>
      <c r="AW650" s="851"/>
      <c r="AX650" s="850" t="str">
        <f>IFERROR(Tabla1[[#This Row],[VENTA TOTAL USD A PLAZO EN CLIENTE  (SIN IVA)]]*(1+Tabla1[[#This Row],[% IVA ]]),"")</f>
        <v/>
      </c>
      <c r="AY650" s="850" t="e">
        <f>+Tabla1[[#This Row],[VENTA TOTAL USD A PLAZO EN CLIENTE  (SIN IVA)]]/Tabla1[[#This Row],[KGS]]*1000</f>
        <v>#N/A</v>
      </c>
      <c r="AZ650" s="850" t="e">
        <f>-Tabla1[[#This Row],[COSTO FLETE $ POR BOLSA 5O KG (SIN IVA)]]*20/Tabla1[[#This Row],[TIPO DE CAMBIO]]</f>
        <v>#N/A</v>
      </c>
      <c r="BA650" s="850" t="e">
        <f>+Tabla1[[#This Row],[GASTOS FINANCIEROS $ BOLSA 50 KG (IVA INC)]]*20/Tabla1[[#This Row],[TIPO DE CAMBIO]]</f>
        <v>#VALUE!</v>
      </c>
      <c r="BB650" s="850" t="e">
        <f>+Tabla1[[#This Row],[PRECIO POR TN USD EN CLIENTE A PLAZO (SIN IVA)]]+Tabla1[[#This Row],[COSTO USD FLETE /TN (SIN IVA)]]+Tabla1[[#This Row],[COSTO FINANCIERO USD POR BOLSA 50KG (IVA INC)]]</f>
        <v>#N/A</v>
      </c>
      <c r="BC650" s="848"/>
      <c r="BD650" s="944"/>
    </row>
    <row r="651" spans="1:56" ht="15.75" customHeight="1">
      <c r="A651" s="912">
        <v>46296</v>
      </c>
      <c r="B651" s="863"/>
      <c r="C651" s="792"/>
      <c r="D651" s="829">
        <f>+Tabla1[[#This Row],[FECHA Entrega]]</f>
        <v>0</v>
      </c>
      <c r="E651" s="830"/>
      <c r="F651" s="831"/>
      <c r="G651" s="832"/>
      <c r="H651" s="852"/>
      <c r="I651" s="834"/>
      <c r="J651" s="835"/>
      <c r="K651" s="836">
        <f t="shared" si="148"/>
        <v>0</v>
      </c>
      <c r="L65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51" s="837">
        <f t="shared" si="150"/>
        <v>0</v>
      </c>
      <c r="N651" s="838">
        <f>+Tabla1[[#This Row],[VENTA TOTAL $ (IVA INC) ]]</f>
        <v>0</v>
      </c>
      <c r="O651" s="838">
        <v>0</v>
      </c>
      <c r="P651" s="838">
        <v>0</v>
      </c>
      <c r="Q651" s="839">
        <f>+Tabla1[[#This Row],[VENTA TOTAL $ (IVA INC) ]]-Tabla1[[#This Row],[PENDIENTE DE COBRO]]</f>
        <v>0</v>
      </c>
      <c r="R651" s="840">
        <f>+Tabla1[[#This Row],[FECHA FC]]+Tabla1[[#This Row],[PLAZO ENTREGA VALORES]]</f>
        <v>0</v>
      </c>
      <c r="S651" s="840">
        <f>+Tabla1[[#This Row],[FECHA FC]]+Tabla1[[#This Row],[PLAZO PAGO (DIAS)]]</f>
        <v>0</v>
      </c>
      <c r="T651" s="834">
        <f t="shared" ca="1" si="149"/>
        <v>-46181</v>
      </c>
      <c r="U651" s="831"/>
      <c r="V651" s="831"/>
      <c r="W651" s="841">
        <f>+Tabla1[[#This Row],[FECHA VTO VALORES]]+7</f>
        <v>7</v>
      </c>
      <c r="X651" s="830"/>
      <c r="Y651" s="859"/>
      <c r="Z651" s="860">
        <f>Tabla1[[#This Row],[KGS]]/50</f>
        <v>0</v>
      </c>
      <c r="AA65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51" s="844">
        <f>-Tabla1[[#This Row],[COSTO FLETE $ POR BOLSA 5O KG (SIN IVA)]]*1.21-Tabla1[[#This Row],[PRECIO $/ KG A PLAZO EN CLIENTE ( SIN IVA)]]*0.003*1.21*50</f>
        <v>0</v>
      </c>
      <c r="AC651" s="845" t="e">
        <f>SUM(Tabla1[[#This Row],[PRECIO $ BOLSA 50 KG (IVA INC) ]]+Tabla1[[#This Row],[COSTO FLETE $ BOLSA 50 KG (IVA INC)]])</f>
        <v>#VALUE!</v>
      </c>
      <c r="AD651" s="844" t="e">
        <f>-Tabla1[[#This Row],[PRECIO $ BOLSA 50 KG (IVA INC) ]]*(Tabla1[[#This Row],[TASA FINANCIACION MENSUAL]]/365)*Tabla1[[#This Row],[PLAZO ENTREGA VALORES]]</f>
        <v>#VALUE!</v>
      </c>
      <c r="AE651" s="845" t="e">
        <f>SUM(Tabla1[[#This Row],[PRECIO $ BOLSA50 KG  FOB TUCUMAN A PLAZO (IVA INC)]]+Tabla1[[#This Row],[GASTOS FINANCIEROS $ BOLSA 50 KG (IVA INC)]])</f>
        <v>#VALUE!</v>
      </c>
      <c r="AF651" s="828"/>
      <c r="AG651" s="828"/>
      <c r="AH651" s="828"/>
      <c r="AI651" s="828"/>
      <c r="AJ65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51" s="846" t="e">
        <f>SUM(Tabla1[[#This Row],[PRECIO $ BOLSA 50KG  FOB CDO TUC (IVA INC)]]-Tabla1[[#This Row],[PRECIO REF $ BOLSA 50 KG CACTU (IVA INC)]])</f>
        <v>#VALUE!</v>
      </c>
      <c r="AL651" s="847" t="str">
        <f>IFERROR(Tabla1[[#This Row],[PRECIO $ BOLSA 50KG  FOB CDO TUC (IVA INC)]]/Tabla1[[#This Row],[PRECIO REF $ BOLSA 50 KG CACTU (IVA INC)]]-1,"")</f>
        <v/>
      </c>
      <c r="AM651" s="846" t="e">
        <f>+Tabla1[[#This Row],[DIF $ PRECIO NETO INDUSTRIA vs Neto TUCUMAN (IVA INC)]]*Tabla1[[#This Row],[Q Bolsas Equivalentes 50kg]]</f>
        <v>#VALUE!</v>
      </c>
      <c r="AN651" s="846" t="e">
        <f>Tabla1[[#This Row],[PRECIO REF $ BOLSA 50 KG CACTU (IVA INC)]]*Tabla1[[#This Row],[Q Bolsas Equivalentes 50kg]]</f>
        <v>#VALUE!</v>
      </c>
      <c r="AO651" s="846" t="e">
        <f>+Tabla1[[#This Row],[PRECIO $ BOLSA 50KG  FOB CDO TUC (IVA INC)]]*Tabla1[[#This Row],[Q Bolsas Equivalentes 50kg]]</f>
        <v>#VALUE!</v>
      </c>
      <c r="AP651" s="847"/>
      <c r="AQ651" s="846">
        <v>0</v>
      </c>
      <c r="AR651" s="828"/>
      <c r="AS651" s="849"/>
      <c r="AT651" s="923">
        <f>+Tabla1[[#This Row],[VENTA TOTAL $ (IVA INC) ]]-(SUM(Tabla1[[#This Row],[PENDIENTE DE ENTREGA]:[VALORES COBRADOS]]))</f>
        <v>0</v>
      </c>
      <c r="AU651" s="850" t="e">
        <f>VLOOKUP(Tabla1[[#This Row],[FECHA OC]],'TIPO DE CAMBIO'!A:B,2,TRUE)</f>
        <v>#N/A</v>
      </c>
      <c r="AV651" s="850" t="e">
        <f>+Tabla1[[#This Row],[SUBTOTAL]]/Tabla1[[#This Row],[TIPO DE CAMBIO]]</f>
        <v>#N/A</v>
      </c>
      <c r="AW651" s="851"/>
      <c r="AX651" s="850" t="str">
        <f>IFERROR(Tabla1[[#This Row],[VENTA TOTAL USD A PLAZO EN CLIENTE  (SIN IVA)]]*(1+Tabla1[[#This Row],[% IVA ]]),"")</f>
        <v/>
      </c>
      <c r="AY651" s="850" t="e">
        <f>+Tabla1[[#This Row],[VENTA TOTAL USD A PLAZO EN CLIENTE  (SIN IVA)]]/Tabla1[[#This Row],[KGS]]*1000</f>
        <v>#N/A</v>
      </c>
      <c r="AZ651" s="850" t="e">
        <f>-Tabla1[[#This Row],[COSTO FLETE $ POR BOLSA 5O KG (SIN IVA)]]*20/Tabla1[[#This Row],[TIPO DE CAMBIO]]</f>
        <v>#N/A</v>
      </c>
      <c r="BA651" s="850" t="e">
        <f>+Tabla1[[#This Row],[GASTOS FINANCIEROS $ BOLSA 50 KG (IVA INC)]]*20/Tabla1[[#This Row],[TIPO DE CAMBIO]]</f>
        <v>#VALUE!</v>
      </c>
      <c r="BB651" s="850" t="e">
        <f>+Tabla1[[#This Row],[PRECIO POR TN USD EN CLIENTE A PLAZO (SIN IVA)]]+Tabla1[[#This Row],[COSTO USD FLETE /TN (SIN IVA)]]+Tabla1[[#This Row],[COSTO FINANCIERO USD POR BOLSA 50KG (IVA INC)]]</f>
        <v>#N/A</v>
      </c>
      <c r="BC651" s="848"/>
      <c r="BD651" s="944"/>
    </row>
    <row r="652" spans="1:56" ht="15.75" customHeight="1">
      <c r="A652" s="912">
        <v>46296</v>
      </c>
      <c r="B652" s="863"/>
      <c r="C652" s="792"/>
      <c r="D652" s="829">
        <f>+Tabla1[[#This Row],[FECHA Entrega]]</f>
        <v>0</v>
      </c>
      <c r="E652" s="830"/>
      <c r="F652" s="831"/>
      <c r="G652" s="832"/>
      <c r="H652" s="852"/>
      <c r="I652" s="834"/>
      <c r="J652" s="835"/>
      <c r="K652" s="836">
        <f t="shared" si="148"/>
        <v>0</v>
      </c>
      <c r="L65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52" s="837">
        <f t="shared" si="150"/>
        <v>0</v>
      </c>
      <c r="N652" s="838">
        <f>+Tabla1[[#This Row],[VENTA TOTAL $ (IVA INC) ]]</f>
        <v>0</v>
      </c>
      <c r="O652" s="838">
        <v>0</v>
      </c>
      <c r="P652" s="838">
        <v>0</v>
      </c>
      <c r="Q652" s="839">
        <f>+Tabla1[[#This Row],[VENTA TOTAL $ (IVA INC) ]]-Tabla1[[#This Row],[PENDIENTE DE COBRO]]</f>
        <v>0</v>
      </c>
      <c r="R652" s="840">
        <f>+Tabla1[[#This Row],[FECHA FC]]+Tabla1[[#This Row],[PLAZO ENTREGA VALORES]]</f>
        <v>0</v>
      </c>
      <c r="S652" s="840">
        <f>+Tabla1[[#This Row],[FECHA FC]]+Tabla1[[#This Row],[PLAZO PAGO (DIAS)]]</f>
        <v>0</v>
      </c>
      <c r="T652" s="834">
        <f t="shared" ca="1" si="149"/>
        <v>-46181</v>
      </c>
      <c r="U652" s="831"/>
      <c r="V652" s="831"/>
      <c r="W652" s="841">
        <f>+Tabla1[[#This Row],[FECHA VTO VALORES]]+7</f>
        <v>7</v>
      </c>
      <c r="X652" s="830"/>
      <c r="Y652" s="859"/>
      <c r="Z652" s="860">
        <f>Tabla1[[#This Row],[KGS]]/50</f>
        <v>0</v>
      </c>
      <c r="AA65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52" s="844">
        <f>-Tabla1[[#This Row],[COSTO FLETE $ POR BOLSA 5O KG (SIN IVA)]]*1.21-Tabla1[[#This Row],[PRECIO $/ KG A PLAZO EN CLIENTE ( SIN IVA)]]*0.003*1.21*50</f>
        <v>0</v>
      </c>
      <c r="AC652" s="845" t="e">
        <f>SUM(Tabla1[[#This Row],[PRECIO $ BOLSA 50 KG (IVA INC) ]]+Tabla1[[#This Row],[COSTO FLETE $ BOLSA 50 KG (IVA INC)]])</f>
        <v>#VALUE!</v>
      </c>
      <c r="AD652" s="844" t="e">
        <f>-Tabla1[[#This Row],[PRECIO $ BOLSA 50 KG (IVA INC) ]]*(Tabla1[[#This Row],[TASA FINANCIACION MENSUAL]]/365)*Tabla1[[#This Row],[PLAZO ENTREGA VALORES]]</f>
        <v>#VALUE!</v>
      </c>
      <c r="AE652" s="845" t="e">
        <f>SUM(Tabla1[[#This Row],[PRECIO $ BOLSA50 KG  FOB TUCUMAN A PLAZO (IVA INC)]]+Tabla1[[#This Row],[GASTOS FINANCIEROS $ BOLSA 50 KG (IVA INC)]])</f>
        <v>#VALUE!</v>
      </c>
      <c r="AF652" s="828"/>
      <c r="AG652" s="828"/>
      <c r="AH652" s="828"/>
      <c r="AI652" s="828"/>
      <c r="AJ65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52" s="846" t="e">
        <f>SUM(Tabla1[[#This Row],[PRECIO $ BOLSA 50KG  FOB CDO TUC (IVA INC)]]-Tabla1[[#This Row],[PRECIO REF $ BOLSA 50 KG CACTU (IVA INC)]])</f>
        <v>#VALUE!</v>
      </c>
      <c r="AL652" s="847" t="str">
        <f>IFERROR(Tabla1[[#This Row],[PRECIO $ BOLSA 50KG  FOB CDO TUC (IVA INC)]]/Tabla1[[#This Row],[PRECIO REF $ BOLSA 50 KG CACTU (IVA INC)]]-1,"")</f>
        <v/>
      </c>
      <c r="AM652" s="846" t="e">
        <f>+Tabla1[[#This Row],[DIF $ PRECIO NETO INDUSTRIA vs Neto TUCUMAN (IVA INC)]]*Tabla1[[#This Row],[Q Bolsas Equivalentes 50kg]]</f>
        <v>#VALUE!</v>
      </c>
      <c r="AN652" s="846" t="e">
        <f>Tabla1[[#This Row],[PRECIO REF $ BOLSA 50 KG CACTU (IVA INC)]]*Tabla1[[#This Row],[Q Bolsas Equivalentes 50kg]]</f>
        <v>#VALUE!</v>
      </c>
      <c r="AO652" s="846" t="e">
        <f>+Tabla1[[#This Row],[PRECIO $ BOLSA 50KG  FOB CDO TUC (IVA INC)]]*Tabla1[[#This Row],[Q Bolsas Equivalentes 50kg]]</f>
        <v>#VALUE!</v>
      </c>
      <c r="AP652" s="847"/>
      <c r="AQ652" s="846">
        <v>0</v>
      </c>
      <c r="AR652" s="828"/>
      <c r="AS652" s="849"/>
      <c r="AT652" s="923">
        <f>+Tabla1[[#This Row],[VENTA TOTAL $ (IVA INC) ]]-(SUM(Tabla1[[#This Row],[PENDIENTE DE ENTREGA]:[VALORES COBRADOS]]))</f>
        <v>0</v>
      </c>
      <c r="AU652" s="850" t="e">
        <f>VLOOKUP(Tabla1[[#This Row],[FECHA OC]],'TIPO DE CAMBIO'!A:B,2,TRUE)</f>
        <v>#N/A</v>
      </c>
      <c r="AV652" s="850" t="e">
        <f>+Tabla1[[#This Row],[SUBTOTAL]]/Tabla1[[#This Row],[TIPO DE CAMBIO]]</f>
        <v>#N/A</v>
      </c>
      <c r="AW652" s="851"/>
      <c r="AX652" s="850" t="str">
        <f>IFERROR(Tabla1[[#This Row],[VENTA TOTAL USD A PLAZO EN CLIENTE  (SIN IVA)]]*(1+Tabla1[[#This Row],[% IVA ]]),"")</f>
        <v/>
      </c>
      <c r="AY652" s="850" t="e">
        <f>+Tabla1[[#This Row],[VENTA TOTAL USD A PLAZO EN CLIENTE  (SIN IVA)]]/Tabla1[[#This Row],[KGS]]*1000</f>
        <v>#N/A</v>
      </c>
      <c r="AZ652" s="850" t="e">
        <f>-Tabla1[[#This Row],[COSTO FLETE $ POR BOLSA 5O KG (SIN IVA)]]*20/Tabla1[[#This Row],[TIPO DE CAMBIO]]</f>
        <v>#N/A</v>
      </c>
      <c r="BA652" s="850" t="e">
        <f>+Tabla1[[#This Row],[GASTOS FINANCIEROS $ BOLSA 50 KG (IVA INC)]]*20/Tabla1[[#This Row],[TIPO DE CAMBIO]]</f>
        <v>#VALUE!</v>
      </c>
      <c r="BB652" s="850" t="e">
        <f>+Tabla1[[#This Row],[PRECIO POR TN USD EN CLIENTE A PLAZO (SIN IVA)]]+Tabla1[[#This Row],[COSTO USD FLETE /TN (SIN IVA)]]+Tabla1[[#This Row],[COSTO FINANCIERO USD POR BOLSA 50KG (IVA INC)]]</f>
        <v>#N/A</v>
      </c>
      <c r="BC652" s="848"/>
      <c r="BD652" s="944"/>
    </row>
    <row r="653" spans="1:56" ht="15.75" customHeight="1">
      <c r="A653" s="912">
        <v>46296</v>
      </c>
      <c r="B653" s="863"/>
      <c r="C653" s="792"/>
      <c r="D653" s="829">
        <f>+Tabla1[[#This Row],[FECHA Entrega]]</f>
        <v>0</v>
      </c>
      <c r="E653" s="830"/>
      <c r="F653" s="831"/>
      <c r="G653" s="832"/>
      <c r="H653" s="852"/>
      <c r="I653" s="834"/>
      <c r="J653" s="835"/>
      <c r="K653" s="836">
        <f t="shared" si="148"/>
        <v>0</v>
      </c>
      <c r="L65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53" s="837">
        <f t="shared" si="150"/>
        <v>0</v>
      </c>
      <c r="N653" s="838">
        <f>+Tabla1[[#This Row],[VENTA TOTAL $ (IVA INC) ]]</f>
        <v>0</v>
      </c>
      <c r="O653" s="838">
        <v>0</v>
      </c>
      <c r="P653" s="838">
        <v>0</v>
      </c>
      <c r="Q653" s="839">
        <f>+Tabla1[[#This Row],[VENTA TOTAL $ (IVA INC) ]]-Tabla1[[#This Row],[PENDIENTE DE COBRO]]</f>
        <v>0</v>
      </c>
      <c r="R653" s="840">
        <f>+Tabla1[[#This Row],[FECHA FC]]+Tabla1[[#This Row],[PLAZO ENTREGA VALORES]]</f>
        <v>0</v>
      </c>
      <c r="S653" s="840">
        <f>+Tabla1[[#This Row],[FECHA FC]]+Tabla1[[#This Row],[PLAZO PAGO (DIAS)]]</f>
        <v>0</v>
      </c>
      <c r="T653" s="834">
        <f t="shared" ca="1" si="149"/>
        <v>-46181</v>
      </c>
      <c r="U653" s="831"/>
      <c r="V653" s="831"/>
      <c r="W653" s="841">
        <f>+Tabla1[[#This Row],[FECHA VTO VALORES]]+7</f>
        <v>7</v>
      </c>
      <c r="X653" s="830"/>
      <c r="Y653" s="859"/>
      <c r="Z653" s="860">
        <f>Tabla1[[#This Row],[KGS]]/50</f>
        <v>0</v>
      </c>
      <c r="AA65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53" s="844">
        <f>-Tabla1[[#This Row],[COSTO FLETE $ POR BOLSA 5O KG (SIN IVA)]]*1.21-Tabla1[[#This Row],[PRECIO $/ KG A PLAZO EN CLIENTE ( SIN IVA)]]*0.003*1.21*50</f>
        <v>0</v>
      </c>
      <c r="AC653" s="845" t="e">
        <f>SUM(Tabla1[[#This Row],[PRECIO $ BOLSA 50 KG (IVA INC) ]]+Tabla1[[#This Row],[COSTO FLETE $ BOLSA 50 KG (IVA INC)]])</f>
        <v>#VALUE!</v>
      </c>
      <c r="AD653" s="844" t="e">
        <f>-Tabla1[[#This Row],[PRECIO $ BOLSA 50 KG (IVA INC) ]]*(Tabla1[[#This Row],[TASA FINANCIACION MENSUAL]]/365)*Tabla1[[#This Row],[PLAZO ENTREGA VALORES]]</f>
        <v>#VALUE!</v>
      </c>
      <c r="AE653" s="845" t="e">
        <f>SUM(Tabla1[[#This Row],[PRECIO $ BOLSA50 KG  FOB TUCUMAN A PLAZO (IVA INC)]]+Tabla1[[#This Row],[GASTOS FINANCIEROS $ BOLSA 50 KG (IVA INC)]])</f>
        <v>#VALUE!</v>
      </c>
      <c r="AF653" s="828"/>
      <c r="AG653" s="828"/>
      <c r="AH653" s="828"/>
      <c r="AI653" s="828"/>
      <c r="AJ65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53" s="846" t="e">
        <f>SUM(Tabla1[[#This Row],[PRECIO $ BOLSA 50KG  FOB CDO TUC (IVA INC)]]-Tabla1[[#This Row],[PRECIO REF $ BOLSA 50 KG CACTU (IVA INC)]])</f>
        <v>#VALUE!</v>
      </c>
      <c r="AL653" s="847" t="str">
        <f>IFERROR(Tabla1[[#This Row],[PRECIO $ BOLSA 50KG  FOB CDO TUC (IVA INC)]]/Tabla1[[#This Row],[PRECIO REF $ BOLSA 50 KG CACTU (IVA INC)]]-1,"")</f>
        <v/>
      </c>
      <c r="AM653" s="846" t="e">
        <f>+Tabla1[[#This Row],[DIF $ PRECIO NETO INDUSTRIA vs Neto TUCUMAN (IVA INC)]]*Tabla1[[#This Row],[Q Bolsas Equivalentes 50kg]]</f>
        <v>#VALUE!</v>
      </c>
      <c r="AN653" s="846" t="e">
        <f>Tabla1[[#This Row],[PRECIO REF $ BOLSA 50 KG CACTU (IVA INC)]]*Tabla1[[#This Row],[Q Bolsas Equivalentes 50kg]]</f>
        <v>#VALUE!</v>
      </c>
      <c r="AO653" s="846" t="e">
        <f>+Tabla1[[#This Row],[PRECIO $ BOLSA 50KG  FOB CDO TUC (IVA INC)]]*Tabla1[[#This Row],[Q Bolsas Equivalentes 50kg]]</f>
        <v>#VALUE!</v>
      </c>
      <c r="AP653" s="847"/>
      <c r="AQ653" s="846">
        <v>0</v>
      </c>
      <c r="AR653" s="828"/>
      <c r="AS653" s="849"/>
      <c r="AT653" s="923">
        <f>+Tabla1[[#This Row],[VENTA TOTAL $ (IVA INC) ]]-(SUM(Tabla1[[#This Row],[PENDIENTE DE ENTREGA]:[VALORES COBRADOS]]))</f>
        <v>0</v>
      </c>
      <c r="AU653" s="850" t="e">
        <f>VLOOKUP(Tabla1[[#This Row],[FECHA OC]],'TIPO DE CAMBIO'!A:B,2,TRUE)</f>
        <v>#N/A</v>
      </c>
      <c r="AV653" s="850" t="e">
        <f>+Tabla1[[#This Row],[SUBTOTAL]]/Tabla1[[#This Row],[TIPO DE CAMBIO]]</f>
        <v>#N/A</v>
      </c>
      <c r="AW653" s="851"/>
      <c r="AX653" s="850" t="str">
        <f>IFERROR(Tabla1[[#This Row],[VENTA TOTAL USD A PLAZO EN CLIENTE  (SIN IVA)]]*(1+Tabla1[[#This Row],[% IVA ]]),"")</f>
        <v/>
      </c>
      <c r="AY653" s="850" t="e">
        <f>+Tabla1[[#This Row],[VENTA TOTAL USD A PLAZO EN CLIENTE  (SIN IVA)]]/Tabla1[[#This Row],[KGS]]*1000</f>
        <v>#N/A</v>
      </c>
      <c r="AZ653" s="850" t="e">
        <f>-Tabla1[[#This Row],[COSTO FLETE $ POR BOLSA 5O KG (SIN IVA)]]*20/Tabla1[[#This Row],[TIPO DE CAMBIO]]</f>
        <v>#N/A</v>
      </c>
      <c r="BA653" s="850" t="e">
        <f>+Tabla1[[#This Row],[GASTOS FINANCIEROS $ BOLSA 50 KG (IVA INC)]]*20/Tabla1[[#This Row],[TIPO DE CAMBIO]]</f>
        <v>#VALUE!</v>
      </c>
      <c r="BB653" s="850" t="e">
        <f>+Tabla1[[#This Row],[PRECIO POR TN USD EN CLIENTE A PLAZO (SIN IVA)]]+Tabla1[[#This Row],[COSTO USD FLETE /TN (SIN IVA)]]+Tabla1[[#This Row],[COSTO FINANCIERO USD POR BOLSA 50KG (IVA INC)]]</f>
        <v>#N/A</v>
      </c>
      <c r="BC653" s="848"/>
      <c r="BD653" s="944"/>
    </row>
    <row r="654" spans="1:56" ht="15.75" customHeight="1">
      <c r="A654" s="912">
        <v>46296</v>
      </c>
      <c r="B654" s="863"/>
      <c r="C654" s="792"/>
      <c r="D654" s="829">
        <f>+Tabla1[[#This Row],[FECHA Entrega]]</f>
        <v>0</v>
      </c>
      <c r="E654" s="830"/>
      <c r="F654" s="831"/>
      <c r="G654" s="832"/>
      <c r="H654" s="852"/>
      <c r="I654" s="834"/>
      <c r="J654" s="835"/>
      <c r="K654" s="836">
        <f t="shared" si="148"/>
        <v>0</v>
      </c>
      <c r="L65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54" s="837">
        <f t="shared" si="150"/>
        <v>0</v>
      </c>
      <c r="N654" s="838">
        <f>+Tabla1[[#This Row],[VENTA TOTAL $ (IVA INC) ]]</f>
        <v>0</v>
      </c>
      <c r="O654" s="838">
        <v>0</v>
      </c>
      <c r="P654" s="838">
        <v>0</v>
      </c>
      <c r="Q654" s="839">
        <f>+Tabla1[[#This Row],[VENTA TOTAL $ (IVA INC) ]]-Tabla1[[#This Row],[PENDIENTE DE COBRO]]</f>
        <v>0</v>
      </c>
      <c r="R654" s="840">
        <f>+Tabla1[[#This Row],[FECHA FC]]+Tabla1[[#This Row],[PLAZO ENTREGA VALORES]]</f>
        <v>0</v>
      </c>
      <c r="S654" s="840">
        <f>+Tabla1[[#This Row],[FECHA FC]]+Tabla1[[#This Row],[PLAZO PAGO (DIAS)]]</f>
        <v>0</v>
      </c>
      <c r="T654" s="834">
        <f t="shared" ca="1" si="149"/>
        <v>-46181</v>
      </c>
      <c r="U654" s="831"/>
      <c r="V654" s="831"/>
      <c r="W654" s="841">
        <f>+Tabla1[[#This Row],[FECHA VTO VALORES]]+7</f>
        <v>7</v>
      </c>
      <c r="X654" s="830"/>
      <c r="Y654" s="859"/>
      <c r="Z654" s="860">
        <f>Tabla1[[#This Row],[KGS]]/50</f>
        <v>0</v>
      </c>
      <c r="AA65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54" s="844">
        <f>-Tabla1[[#This Row],[COSTO FLETE $ POR BOLSA 5O KG (SIN IVA)]]*1.21-Tabla1[[#This Row],[PRECIO $/ KG A PLAZO EN CLIENTE ( SIN IVA)]]*0.003*1.21*50</f>
        <v>0</v>
      </c>
      <c r="AC654" s="845" t="e">
        <f>SUM(Tabla1[[#This Row],[PRECIO $ BOLSA 50 KG (IVA INC) ]]+Tabla1[[#This Row],[COSTO FLETE $ BOLSA 50 KG (IVA INC)]])</f>
        <v>#VALUE!</v>
      </c>
      <c r="AD654" s="844" t="e">
        <f>-Tabla1[[#This Row],[PRECIO $ BOLSA 50 KG (IVA INC) ]]*(Tabla1[[#This Row],[TASA FINANCIACION MENSUAL]]/365)*Tabla1[[#This Row],[PLAZO ENTREGA VALORES]]</f>
        <v>#VALUE!</v>
      </c>
      <c r="AE654" s="845" t="e">
        <f>SUM(Tabla1[[#This Row],[PRECIO $ BOLSA50 KG  FOB TUCUMAN A PLAZO (IVA INC)]]+Tabla1[[#This Row],[GASTOS FINANCIEROS $ BOLSA 50 KG (IVA INC)]])</f>
        <v>#VALUE!</v>
      </c>
      <c r="AF654" s="828"/>
      <c r="AG654" s="828"/>
      <c r="AH654" s="828"/>
      <c r="AI654" s="828"/>
      <c r="AJ65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54" s="846" t="e">
        <f>SUM(Tabla1[[#This Row],[PRECIO $ BOLSA 50KG  FOB CDO TUC (IVA INC)]]-Tabla1[[#This Row],[PRECIO REF $ BOLSA 50 KG CACTU (IVA INC)]])</f>
        <v>#VALUE!</v>
      </c>
      <c r="AL654" s="847" t="str">
        <f>IFERROR(Tabla1[[#This Row],[PRECIO $ BOLSA 50KG  FOB CDO TUC (IVA INC)]]/Tabla1[[#This Row],[PRECIO REF $ BOLSA 50 KG CACTU (IVA INC)]]-1,"")</f>
        <v/>
      </c>
      <c r="AM654" s="846" t="e">
        <f>+Tabla1[[#This Row],[DIF $ PRECIO NETO INDUSTRIA vs Neto TUCUMAN (IVA INC)]]*Tabla1[[#This Row],[Q Bolsas Equivalentes 50kg]]</f>
        <v>#VALUE!</v>
      </c>
      <c r="AN654" s="846" t="e">
        <f>Tabla1[[#This Row],[PRECIO REF $ BOLSA 50 KG CACTU (IVA INC)]]*Tabla1[[#This Row],[Q Bolsas Equivalentes 50kg]]</f>
        <v>#VALUE!</v>
      </c>
      <c r="AO654" s="846" t="e">
        <f>+Tabla1[[#This Row],[PRECIO $ BOLSA 50KG  FOB CDO TUC (IVA INC)]]*Tabla1[[#This Row],[Q Bolsas Equivalentes 50kg]]</f>
        <v>#VALUE!</v>
      </c>
      <c r="AP654" s="847"/>
      <c r="AQ654" s="846">
        <v>0</v>
      </c>
      <c r="AR654" s="828"/>
      <c r="AS654" s="849"/>
      <c r="AT654" s="923">
        <f>+Tabla1[[#This Row],[VENTA TOTAL $ (IVA INC) ]]-(SUM(Tabla1[[#This Row],[PENDIENTE DE ENTREGA]:[VALORES COBRADOS]]))</f>
        <v>0</v>
      </c>
      <c r="AU654" s="850" t="e">
        <f>VLOOKUP(Tabla1[[#This Row],[FECHA OC]],'TIPO DE CAMBIO'!A:B,2,TRUE)</f>
        <v>#N/A</v>
      </c>
      <c r="AV654" s="850" t="e">
        <f>+Tabla1[[#This Row],[SUBTOTAL]]/Tabla1[[#This Row],[TIPO DE CAMBIO]]</f>
        <v>#N/A</v>
      </c>
      <c r="AW654" s="851"/>
      <c r="AX654" s="850" t="str">
        <f>IFERROR(Tabla1[[#This Row],[VENTA TOTAL USD A PLAZO EN CLIENTE  (SIN IVA)]]*(1+Tabla1[[#This Row],[% IVA ]]),"")</f>
        <v/>
      </c>
      <c r="AY654" s="850" t="e">
        <f>+Tabla1[[#This Row],[VENTA TOTAL USD A PLAZO EN CLIENTE  (SIN IVA)]]/Tabla1[[#This Row],[KGS]]*1000</f>
        <v>#N/A</v>
      </c>
      <c r="AZ654" s="850" t="e">
        <f>-Tabla1[[#This Row],[COSTO FLETE $ POR BOLSA 5O KG (SIN IVA)]]*20/Tabla1[[#This Row],[TIPO DE CAMBIO]]</f>
        <v>#N/A</v>
      </c>
      <c r="BA654" s="850" t="e">
        <f>+Tabla1[[#This Row],[GASTOS FINANCIEROS $ BOLSA 50 KG (IVA INC)]]*20/Tabla1[[#This Row],[TIPO DE CAMBIO]]</f>
        <v>#VALUE!</v>
      </c>
      <c r="BB654" s="850" t="e">
        <f>+Tabla1[[#This Row],[PRECIO POR TN USD EN CLIENTE A PLAZO (SIN IVA)]]+Tabla1[[#This Row],[COSTO USD FLETE /TN (SIN IVA)]]+Tabla1[[#This Row],[COSTO FINANCIERO USD POR BOLSA 50KG (IVA INC)]]</f>
        <v>#N/A</v>
      </c>
      <c r="BC654" s="848"/>
      <c r="BD654" s="944"/>
    </row>
    <row r="655" spans="1:56" ht="15.75" customHeight="1">
      <c r="A655" s="912">
        <v>46296</v>
      </c>
      <c r="B655" s="863"/>
      <c r="C655" s="792"/>
      <c r="D655" s="829">
        <f>+Tabla1[[#This Row],[FECHA Entrega]]</f>
        <v>0</v>
      </c>
      <c r="E655" s="830"/>
      <c r="F655" s="831"/>
      <c r="G655" s="832"/>
      <c r="H655" s="852"/>
      <c r="I655" s="834"/>
      <c r="J655" s="835"/>
      <c r="K655" s="836">
        <f t="shared" si="148"/>
        <v>0</v>
      </c>
      <c r="L65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55" s="837">
        <f t="shared" si="150"/>
        <v>0</v>
      </c>
      <c r="N655" s="838">
        <f>+Tabla1[[#This Row],[VENTA TOTAL $ (IVA INC) ]]</f>
        <v>0</v>
      </c>
      <c r="O655" s="838">
        <v>0</v>
      </c>
      <c r="P655" s="838">
        <v>0</v>
      </c>
      <c r="Q655" s="839">
        <f>+Tabla1[[#This Row],[VENTA TOTAL $ (IVA INC) ]]-Tabla1[[#This Row],[PENDIENTE DE COBRO]]</f>
        <v>0</v>
      </c>
      <c r="R655" s="840">
        <f>+Tabla1[[#This Row],[FECHA FC]]+Tabla1[[#This Row],[PLAZO ENTREGA VALORES]]</f>
        <v>0</v>
      </c>
      <c r="S655" s="840">
        <f>+Tabla1[[#This Row],[FECHA FC]]+Tabla1[[#This Row],[PLAZO PAGO (DIAS)]]</f>
        <v>0</v>
      </c>
      <c r="T655" s="834">
        <f t="shared" ca="1" si="149"/>
        <v>-46181</v>
      </c>
      <c r="U655" s="831"/>
      <c r="V655" s="831"/>
      <c r="W655" s="841">
        <f>+Tabla1[[#This Row],[FECHA VTO VALORES]]+7</f>
        <v>7</v>
      </c>
      <c r="X655" s="830"/>
      <c r="Y655" s="859"/>
      <c r="Z655" s="860">
        <f>Tabla1[[#This Row],[KGS]]/50</f>
        <v>0</v>
      </c>
      <c r="AA65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55" s="844">
        <f>-Tabla1[[#This Row],[COSTO FLETE $ POR BOLSA 5O KG (SIN IVA)]]*1.21-Tabla1[[#This Row],[PRECIO $/ KG A PLAZO EN CLIENTE ( SIN IVA)]]*0.003*1.21*50</f>
        <v>0</v>
      </c>
      <c r="AC655" s="845" t="e">
        <f>SUM(Tabla1[[#This Row],[PRECIO $ BOLSA 50 KG (IVA INC) ]]+Tabla1[[#This Row],[COSTO FLETE $ BOLSA 50 KG (IVA INC)]])</f>
        <v>#VALUE!</v>
      </c>
      <c r="AD655" s="844" t="e">
        <f>-Tabla1[[#This Row],[PRECIO $ BOLSA 50 KG (IVA INC) ]]*(Tabla1[[#This Row],[TASA FINANCIACION MENSUAL]]/365)*Tabla1[[#This Row],[PLAZO ENTREGA VALORES]]</f>
        <v>#VALUE!</v>
      </c>
      <c r="AE655" s="845" t="e">
        <f>SUM(Tabla1[[#This Row],[PRECIO $ BOLSA50 KG  FOB TUCUMAN A PLAZO (IVA INC)]]+Tabla1[[#This Row],[GASTOS FINANCIEROS $ BOLSA 50 KG (IVA INC)]])</f>
        <v>#VALUE!</v>
      </c>
      <c r="AF655" s="828"/>
      <c r="AG655" s="828"/>
      <c r="AH655" s="828"/>
      <c r="AI655" s="828"/>
      <c r="AJ65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55" s="846" t="e">
        <f>SUM(Tabla1[[#This Row],[PRECIO $ BOLSA 50KG  FOB CDO TUC (IVA INC)]]-Tabla1[[#This Row],[PRECIO REF $ BOLSA 50 KG CACTU (IVA INC)]])</f>
        <v>#VALUE!</v>
      </c>
      <c r="AL655" s="847" t="str">
        <f>IFERROR(Tabla1[[#This Row],[PRECIO $ BOLSA 50KG  FOB CDO TUC (IVA INC)]]/Tabla1[[#This Row],[PRECIO REF $ BOLSA 50 KG CACTU (IVA INC)]]-1,"")</f>
        <v/>
      </c>
      <c r="AM655" s="846" t="e">
        <f>+Tabla1[[#This Row],[DIF $ PRECIO NETO INDUSTRIA vs Neto TUCUMAN (IVA INC)]]*Tabla1[[#This Row],[Q Bolsas Equivalentes 50kg]]</f>
        <v>#VALUE!</v>
      </c>
      <c r="AN655" s="846" t="e">
        <f>Tabla1[[#This Row],[PRECIO REF $ BOLSA 50 KG CACTU (IVA INC)]]*Tabla1[[#This Row],[Q Bolsas Equivalentes 50kg]]</f>
        <v>#VALUE!</v>
      </c>
      <c r="AO655" s="846" t="e">
        <f>+Tabla1[[#This Row],[PRECIO $ BOLSA 50KG  FOB CDO TUC (IVA INC)]]*Tabla1[[#This Row],[Q Bolsas Equivalentes 50kg]]</f>
        <v>#VALUE!</v>
      </c>
      <c r="AP655" s="847"/>
      <c r="AQ655" s="846">
        <v>0</v>
      </c>
      <c r="AR655" s="828"/>
      <c r="AS655" s="849"/>
      <c r="AT655" s="923">
        <f>+Tabla1[[#This Row],[VENTA TOTAL $ (IVA INC) ]]-(SUM(Tabla1[[#This Row],[PENDIENTE DE ENTREGA]:[VALORES COBRADOS]]))</f>
        <v>0</v>
      </c>
      <c r="AU655" s="850" t="e">
        <f>VLOOKUP(Tabla1[[#This Row],[FECHA OC]],'TIPO DE CAMBIO'!A:B,2,TRUE)</f>
        <v>#N/A</v>
      </c>
      <c r="AV655" s="850" t="e">
        <f>+Tabla1[[#This Row],[SUBTOTAL]]/Tabla1[[#This Row],[TIPO DE CAMBIO]]</f>
        <v>#N/A</v>
      </c>
      <c r="AW655" s="851"/>
      <c r="AX655" s="850" t="str">
        <f>IFERROR(Tabla1[[#This Row],[VENTA TOTAL USD A PLAZO EN CLIENTE  (SIN IVA)]]*(1+Tabla1[[#This Row],[% IVA ]]),"")</f>
        <v/>
      </c>
      <c r="AY655" s="850" t="e">
        <f>+Tabla1[[#This Row],[VENTA TOTAL USD A PLAZO EN CLIENTE  (SIN IVA)]]/Tabla1[[#This Row],[KGS]]*1000</f>
        <v>#N/A</v>
      </c>
      <c r="AZ655" s="850" t="e">
        <f>-Tabla1[[#This Row],[COSTO FLETE $ POR BOLSA 5O KG (SIN IVA)]]*20/Tabla1[[#This Row],[TIPO DE CAMBIO]]</f>
        <v>#N/A</v>
      </c>
      <c r="BA655" s="850" t="e">
        <f>+Tabla1[[#This Row],[GASTOS FINANCIEROS $ BOLSA 50 KG (IVA INC)]]*20/Tabla1[[#This Row],[TIPO DE CAMBIO]]</f>
        <v>#VALUE!</v>
      </c>
      <c r="BB655" s="850" t="e">
        <f>+Tabla1[[#This Row],[PRECIO POR TN USD EN CLIENTE A PLAZO (SIN IVA)]]+Tabla1[[#This Row],[COSTO USD FLETE /TN (SIN IVA)]]+Tabla1[[#This Row],[COSTO FINANCIERO USD POR BOLSA 50KG (IVA INC)]]</f>
        <v>#N/A</v>
      </c>
      <c r="BC655" s="848"/>
      <c r="BD655" s="944"/>
    </row>
    <row r="656" spans="1:56" ht="15.75" customHeight="1">
      <c r="A656" s="912">
        <v>46296</v>
      </c>
      <c r="B656" s="853"/>
      <c r="C656" s="792"/>
      <c r="D656" s="829">
        <f>+Tabla1[[#This Row],[FECHA Entrega]]</f>
        <v>0</v>
      </c>
      <c r="E656" s="830"/>
      <c r="F656" s="831"/>
      <c r="G656" s="832"/>
      <c r="H656" s="852"/>
      <c r="I656" s="834"/>
      <c r="J656" s="835"/>
      <c r="K656" s="836">
        <f t="shared" si="148"/>
        <v>0</v>
      </c>
      <c r="L65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56" s="837">
        <f t="shared" si="150"/>
        <v>0</v>
      </c>
      <c r="N656" s="838">
        <f>+Tabla1[[#This Row],[VENTA TOTAL $ (IVA INC) ]]</f>
        <v>0</v>
      </c>
      <c r="O656" s="838">
        <v>0</v>
      </c>
      <c r="P656" s="838">
        <v>0</v>
      </c>
      <c r="Q656" s="839">
        <f>+Tabla1[[#This Row],[VENTA TOTAL $ (IVA INC) ]]-Tabla1[[#This Row],[PENDIENTE DE COBRO]]</f>
        <v>0</v>
      </c>
      <c r="R656" s="840">
        <f>+Tabla1[[#This Row],[FECHA FC]]+Tabla1[[#This Row],[PLAZO ENTREGA VALORES]]</f>
        <v>0</v>
      </c>
      <c r="S656" s="840">
        <f>+Tabla1[[#This Row],[FECHA FC]]+Tabla1[[#This Row],[PLAZO PAGO (DIAS)]]</f>
        <v>0</v>
      </c>
      <c r="T656" s="834">
        <f t="shared" ca="1" si="149"/>
        <v>-46181</v>
      </c>
      <c r="U656" s="831"/>
      <c r="V656" s="831"/>
      <c r="W656" s="841">
        <f>+Tabla1[[#This Row],[FECHA VTO VALORES]]+7</f>
        <v>7</v>
      </c>
      <c r="X656" s="830"/>
      <c r="Y656" s="859"/>
      <c r="Z656" s="860">
        <f>Tabla1[[#This Row],[KGS]]/50</f>
        <v>0</v>
      </c>
      <c r="AA65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56" s="844">
        <f>-Tabla1[[#This Row],[COSTO FLETE $ POR BOLSA 5O KG (SIN IVA)]]*1.21-Tabla1[[#This Row],[PRECIO $/ KG A PLAZO EN CLIENTE ( SIN IVA)]]*0.003*1.21*50</f>
        <v>0</v>
      </c>
      <c r="AC656" s="845" t="e">
        <f>SUM(Tabla1[[#This Row],[PRECIO $ BOLSA 50 KG (IVA INC) ]]+Tabla1[[#This Row],[COSTO FLETE $ BOLSA 50 KG (IVA INC)]])</f>
        <v>#VALUE!</v>
      </c>
      <c r="AD656" s="844" t="e">
        <f>-Tabla1[[#This Row],[PRECIO $ BOLSA 50 KG (IVA INC) ]]*(Tabla1[[#This Row],[TASA FINANCIACION MENSUAL]]/365)*Tabla1[[#This Row],[PLAZO ENTREGA VALORES]]</f>
        <v>#VALUE!</v>
      </c>
      <c r="AE656" s="845" t="e">
        <f>SUM(Tabla1[[#This Row],[PRECIO $ BOLSA50 KG  FOB TUCUMAN A PLAZO (IVA INC)]]+Tabla1[[#This Row],[GASTOS FINANCIEROS $ BOLSA 50 KG (IVA INC)]])</f>
        <v>#VALUE!</v>
      </c>
      <c r="AF656" s="828"/>
      <c r="AG656" s="828"/>
      <c r="AH656" s="828"/>
      <c r="AI656" s="828"/>
      <c r="AJ65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56" s="846" t="e">
        <f>SUM(Tabla1[[#This Row],[PRECIO $ BOLSA 50KG  FOB CDO TUC (IVA INC)]]-Tabla1[[#This Row],[PRECIO REF $ BOLSA 50 KG CACTU (IVA INC)]])</f>
        <v>#VALUE!</v>
      </c>
      <c r="AL656" s="847" t="str">
        <f>IFERROR(Tabla1[[#This Row],[PRECIO $ BOLSA 50KG  FOB CDO TUC (IVA INC)]]/Tabla1[[#This Row],[PRECIO REF $ BOLSA 50 KG CACTU (IVA INC)]]-1,"")</f>
        <v/>
      </c>
      <c r="AM656" s="846" t="e">
        <f>+Tabla1[[#This Row],[DIF $ PRECIO NETO INDUSTRIA vs Neto TUCUMAN (IVA INC)]]*Tabla1[[#This Row],[Q Bolsas Equivalentes 50kg]]</f>
        <v>#VALUE!</v>
      </c>
      <c r="AN656" s="846" t="e">
        <f>Tabla1[[#This Row],[PRECIO REF $ BOLSA 50 KG CACTU (IVA INC)]]*Tabla1[[#This Row],[Q Bolsas Equivalentes 50kg]]</f>
        <v>#VALUE!</v>
      </c>
      <c r="AO656" s="846" t="e">
        <f>+Tabla1[[#This Row],[PRECIO $ BOLSA 50KG  FOB CDO TUC (IVA INC)]]*Tabla1[[#This Row],[Q Bolsas Equivalentes 50kg]]</f>
        <v>#VALUE!</v>
      </c>
      <c r="AP656" s="847"/>
      <c r="AQ656" s="846">
        <v>0</v>
      </c>
      <c r="AR656" s="828"/>
      <c r="AS656" s="849"/>
      <c r="AT656" s="923">
        <f>+Tabla1[[#This Row],[VENTA TOTAL $ (IVA INC) ]]-(SUM(Tabla1[[#This Row],[PENDIENTE DE ENTREGA]:[VALORES COBRADOS]]))</f>
        <v>0</v>
      </c>
      <c r="AU656" s="850" t="e">
        <f>VLOOKUP(Tabla1[[#This Row],[FECHA OC]],'TIPO DE CAMBIO'!A:B,2,TRUE)</f>
        <v>#N/A</v>
      </c>
      <c r="AV656" s="850" t="e">
        <f>+Tabla1[[#This Row],[SUBTOTAL]]/Tabla1[[#This Row],[TIPO DE CAMBIO]]</f>
        <v>#N/A</v>
      </c>
      <c r="AW656" s="851"/>
      <c r="AX656" s="850" t="str">
        <f>IFERROR(Tabla1[[#This Row],[VENTA TOTAL USD A PLAZO EN CLIENTE  (SIN IVA)]]*(1+Tabla1[[#This Row],[% IVA ]]),"")</f>
        <v/>
      </c>
      <c r="AY656" s="850" t="e">
        <f>+Tabla1[[#This Row],[VENTA TOTAL USD A PLAZO EN CLIENTE  (SIN IVA)]]/Tabla1[[#This Row],[KGS]]*1000</f>
        <v>#N/A</v>
      </c>
      <c r="AZ656" s="850" t="e">
        <f>-Tabla1[[#This Row],[COSTO FLETE $ POR BOLSA 5O KG (SIN IVA)]]*20/Tabla1[[#This Row],[TIPO DE CAMBIO]]</f>
        <v>#N/A</v>
      </c>
      <c r="BA656" s="850" t="e">
        <f>+Tabla1[[#This Row],[GASTOS FINANCIEROS $ BOLSA 50 KG (IVA INC)]]*20/Tabla1[[#This Row],[TIPO DE CAMBIO]]</f>
        <v>#VALUE!</v>
      </c>
      <c r="BB656" s="850" t="e">
        <f>+Tabla1[[#This Row],[PRECIO POR TN USD EN CLIENTE A PLAZO (SIN IVA)]]+Tabla1[[#This Row],[COSTO USD FLETE /TN (SIN IVA)]]+Tabla1[[#This Row],[COSTO FINANCIERO USD POR BOLSA 50KG (IVA INC)]]</f>
        <v>#N/A</v>
      </c>
      <c r="BC656" s="828"/>
      <c r="BD656" s="944"/>
    </row>
    <row r="657" spans="1:56" ht="15.75" customHeight="1">
      <c r="A657" s="912">
        <v>46296</v>
      </c>
      <c r="B657" s="853"/>
      <c r="C657" s="792"/>
      <c r="D657" s="829">
        <f>+Tabla1[[#This Row],[FECHA Entrega]]</f>
        <v>0</v>
      </c>
      <c r="E657" s="830"/>
      <c r="F657" s="831"/>
      <c r="G657" s="832"/>
      <c r="H657" s="852"/>
      <c r="I657" s="834"/>
      <c r="J657" s="835"/>
      <c r="K657" s="836">
        <f t="shared" si="148"/>
        <v>0</v>
      </c>
      <c r="L65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57" s="837">
        <f t="shared" si="150"/>
        <v>0</v>
      </c>
      <c r="N657" s="838">
        <f>+Tabla1[[#This Row],[VENTA TOTAL $ (IVA INC) ]]</f>
        <v>0</v>
      </c>
      <c r="O657" s="838">
        <v>0</v>
      </c>
      <c r="P657" s="838">
        <v>0</v>
      </c>
      <c r="Q657" s="839">
        <f>+Tabla1[[#This Row],[VENTA TOTAL $ (IVA INC) ]]-Tabla1[[#This Row],[PENDIENTE DE COBRO]]</f>
        <v>0</v>
      </c>
      <c r="R657" s="840">
        <f>+Tabla1[[#This Row],[FECHA FC]]+Tabla1[[#This Row],[PLAZO ENTREGA VALORES]]</f>
        <v>0</v>
      </c>
      <c r="S657" s="840">
        <f>+Tabla1[[#This Row],[FECHA FC]]+Tabla1[[#This Row],[PLAZO PAGO (DIAS)]]</f>
        <v>0</v>
      </c>
      <c r="T657" s="834">
        <f t="shared" ca="1" si="149"/>
        <v>-46181</v>
      </c>
      <c r="U657" s="831"/>
      <c r="V657" s="831"/>
      <c r="W657" s="841">
        <f>+Tabla1[[#This Row],[FECHA VTO VALORES]]+7</f>
        <v>7</v>
      </c>
      <c r="X657" s="830"/>
      <c r="Y657" s="859"/>
      <c r="Z657" s="860">
        <f>Tabla1[[#This Row],[KGS]]/50</f>
        <v>0</v>
      </c>
      <c r="AA65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57" s="844">
        <f>-Tabla1[[#This Row],[COSTO FLETE $ POR BOLSA 5O KG (SIN IVA)]]*1.21-Tabla1[[#This Row],[PRECIO $/ KG A PLAZO EN CLIENTE ( SIN IVA)]]*0.003*1.21*50</f>
        <v>0</v>
      </c>
      <c r="AC657" s="845" t="e">
        <f>SUM(Tabla1[[#This Row],[PRECIO $ BOLSA 50 KG (IVA INC) ]]+Tabla1[[#This Row],[COSTO FLETE $ BOLSA 50 KG (IVA INC)]])</f>
        <v>#VALUE!</v>
      </c>
      <c r="AD657" s="844" t="e">
        <f>-Tabla1[[#This Row],[PRECIO $ BOLSA 50 KG (IVA INC) ]]*(Tabla1[[#This Row],[TASA FINANCIACION MENSUAL]]/365)*Tabla1[[#This Row],[PLAZO ENTREGA VALORES]]</f>
        <v>#VALUE!</v>
      </c>
      <c r="AE657" s="845" t="e">
        <f>SUM(Tabla1[[#This Row],[PRECIO $ BOLSA50 KG  FOB TUCUMAN A PLAZO (IVA INC)]]+Tabla1[[#This Row],[GASTOS FINANCIEROS $ BOLSA 50 KG (IVA INC)]])</f>
        <v>#VALUE!</v>
      </c>
      <c r="AF657" s="828"/>
      <c r="AG657" s="828"/>
      <c r="AH657" s="828"/>
      <c r="AI657" s="828"/>
      <c r="AJ65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57" s="846" t="e">
        <f>SUM(Tabla1[[#This Row],[PRECIO $ BOLSA 50KG  FOB CDO TUC (IVA INC)]]-Tabla1[[#This Row],[PRECIO REF $ BOLSA 50 KG CACTU (IVA INC)]])</f>
        <v>#VALUE!</v>
      </c>
      <c r="AL657" s="847" t="str">
        <f>IFERROR(Tabla1[[#This Row],[PRECIO $ BOLSA 50KG  FOB CDO TUC (IVA INC)]]/Tabla1[[#This Row],[PRECIO REF $ BOLSA 50 KG CACTU (IVA INC)]]-1,"")</f>
        <v/>
      </c>
      <c r="AM657" s="846" t="e">
        <f>+Tabla1[[#This Row],[DIF $ PRECIO NETO INDUSTRIA vs Neto TUCUMAN (IVA INC)]]*Tabla1[[#This Row],[Q Bolsas Equivalentes 50kg]]</f>
        <v>#VALUE!</v>
      </c>
      <c r="AN657" s="846" t="e">
        <f>Tabla1[[#This Row],[PRECIO REF $ BOLSA 50 KG CACTU (IVA INC)]]*Tabla1[[#This Row],[Q Bolsas Equivalentes 50kg]]</f>
        <v>#VALUE!</v>
      </c>
      <c r="AO657" s="846" t="e">
        <f>+Tabla1[[#This Row],[PRECIO $ BOLSA 50KG  FOB CDO TUC (IVA INC)]]*Tabla1[[#This Row],[Q Bolsas Equivalentes 50kg]]</f>
        <v>#VALUE!</v>
      </c>
      <c r="AP657" s="847"/>
      <c r="AQ657" s="846">
        <v>0</v>
      </c>
      <c r="AR657" s="828"/>
      <c r="AS657" s="849"/>
      <c r="AT657" s="923">
        <f>+Tabla1[[#This Row],[VENTA TOTAL $ (IVA INC) ]]-(SUM(Tabla1[[#This Row],[PENDIENTE DE ENTREGA]:[VALORES COBRADOS]]))</f>
        <v>0</v>
      </c>
      <c r="AU657" s="850" t="e">
        <f>VLOOKUP(Tabla1[[#This Row],[FECHA OC]],'TIPO DE CAMBIO'!A:B,2,TRUE)</f>
        <v>#N/A</v>
      </c>
      <c r="AV657" s="850" t="e">
        <f>+Tabla1[[#This Row],[SUBTOTAL]]/Tabla1[[#This Row],[TIPO DE CAMBIO]]</f>
        <v>#N/A</v>
      </c>
      <c r="AW657" s="851"/>
      <c r="AX657" s="850" t="str">
        <f>IFERROR(Tabla1[[#This Row],[VENTA TOTAL USD A PLAZO EN CLIENTE  (SIN IVA)]]*(1+Tabla1[[#This Row],[% IVA ]]),"")</f>
        <v/>
      </c>
      <c r="AY657" s="850" t="e">
        <f>+Tabla1[[#This Row],[VENTA TOTAL USD A PLAZO EN CLIENTE  (SIN IVA)]]/Tabla1[[#This Row],[KGS]]*1000</f>
        <v>#N/A</v>
      </c>
      <c r="AZ657" s="850" t="e">
        <f>-Tabla1[[#This Row],[COSTO FLETE $ POR BOLSA 5O KG (SIN IVA)]]*20/Tabla1[[#This Row],[TIPO DE CAMBIO]]</f>
        <v>#N/A</v>
      </c>
      <c r="BA657" s="850" t="e">
        <f>+Tabla1[[#This Row],[GASTOS FINANCIEROS $ BOLSA 50 KG (IVA INC)]]*20/Tabla1[[#This Row],[TIPO DE CAMBIO]]</f>
        <v>#VALUE!</v>
      </c>
      <c r="BB657" s="850" t="e">
        <f>+Tabla1[[#This Row],[PRECIO POR TN USD EN CLIENTE A PLAZO (SIN IVA)]]+Tabla1[[#This Row],[COSTO USD FLETE /TN (SIN IVA)]]+Tabla1[[#This Row],[COSTO FINANCIERO USD POR BOLSA 50KG (IVA INC)]]</f>
        <v>#N/A</v>
      </c>
      <c r="BC657" s="828"/>
      <c r="BD657" s="944"/>
    </row>
    <row r="658" spans="1:56" ht="15.75" customHeight="1">
      <c r="A658" s="912">
        <v>46296</v>
      </c>
      <c r="B658" s="853"/>
      <c r="C658" s="792"/>
      <c r="D658" s="829">
        <f>+Tabla1[[#This Row],[FECHA Entrega]]</f>
        <v>0</v>
      </c>
      <c r="E658" s="830"/>
      <c r="F658" s="831"/>
      <c r="G658" s="832"/>
      <c r="H658" s="852"/>
      <c r="I658" s="834"/>
      <c r="J658" s="835"/>
      <c r="K658" s="836">
        <f t="shared" si="148"/>
        <v>0</v>
      </c>
      <c r="L65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58" s="837">
        <f t="shared" si="150"/>
        <v>0</v>
      </c>
      <c r="N658" s="838">
        <f>+Tabla1[[#This Row],[VENTA TOTAL $ (IVA INC) ]]</f>
        <v>0</v>
      </c>
      <c r="O658" s="838">
        <v>0</v>
      </c>
      <c r="P658" s="838">
        <v>0</v>
      </c>
      <c r="Q658" s="839">
        <f>+Tabla1[[#This Row],[VENTA TOTAL $ (IVA INC) ]]</f>
        <v>0</v>
      </c>
      <c r="R658" s="840">
        <f>+Tabla1[[#This Row],[FECHA FC]]+Tabla1[[#This Row],[PLAZO ENTREGA VALORES]]</f>
        <v>0</v>
      </c>
      <c r="S658" s="840">
        <f>+Tabla1[[#This Row],[FECHA FC]]+Tabla1[[#This Row],[PLAZO PAGO (DIAS)]]</f>
        <v>0</v>
      </c>
      <c r="T658" s="834">
        <f t="shared" ca="1" si="149"/>
        <v>-46181</v>
      </c>
      <c r="U658" s="831"/>
      <c r="V658" s="831"/>
      <c r="W658" s="841">
        <f>+Tabla1[[#This Row],[FECHA VTO VALORES]]+7</f>
        <v>7</v>
      </c>
      <c r="X658" s="830"/>
      <c r="Y658" s="859"/>
      <c r="Z658" s="860">
        <f>Tabla1[[#This Row],[KGS]]/50</f>
        <v>0</v>
      </c>
      <c r="AA65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58" s="844">
        <f>-Tabla1[[#This Row],[COSTO FLETE $ POR BOLSA 5O KG (SIN IVA)]]*1.21-Tabla1[[#This Row],[PRECIO $/ KG A PLAZO EN CLIENTE ( SIN IVA)]]*0.003*1.21*50</f>
        <v>0</v>
      </c>
      <c r="AC658" s="845" t="e">
        <f>SUM(Tabla1[[#This Row],[PRECIO $ BOLSA 50 KG (IVA INC) ]]+Tabla1[[#This Row],[COSTO FLETE $ BOLSA 50 KG (IVA INC)]])</f>
        <v>#VALUE!</v>
      </c>
      <c r="AD658" s="844" t="e">
        <f>-Tabla1[[#This Row],[PRECIO $ BOLSA 50 KG (IVA INC) ]]*(Tabla1[[#This Row],[TASA FINANCIACION MENSUAL]]/365)*Tabla1[[#This Row],[PLAZO ENTREGA VALORES]]</f>
        <v>#VALUE!</v>
      </c>
      <c r="AE658" s="845" t="e">
        <f>SUM(Tabla1[[#This Row],[PRECIO $ BOLSA50 KG  FOB TUCUMAN A PLAZO (IVA INC)]]+Tabla1[[#This Row],[GASTOS FINANCIEROS $ BOLSA 50 KG (IVA INC)]])</f>
        <v>#VALUE!</v>
      </c>
      <c r="AF658" s="828"/>
      <c r="AG658" s="828"/>
      <c r="AH658" s="828"/>
      <c r="AI658" s="828"/>
      <c r="AJ65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58" s="846" t="e">
        <f>SUM(Tabla1[[#This Row],[PRECIO $ BOLSA 50KG  FOB CDO TUC (IVA INC)]]-Tabla1[[#This Row],[PRECIO REF $ BOLSA 50 KG CACTU (IVA INC)]])</f>
        <v>#VALUE!</v>
      </c>
      <c r="AL658" s="847" t="str">
        <f>IFERROR(Tabla1[[#This Row],[PRECIO $ BOLSA 50KG  FOB CDO TUC (IVA INC)]]/Tabla1[[#This Row],[PRECIO REF $ BOLSA 50 KG CACTU (IVA INC)]]-1,"")</f>
        <v/>
      </c>
      <c r="AM658" s="846" t="e">
        <f>+Tabla1[[#This Row],[DIF $ PRECIO NETO INDUSTRIA vs Neto TUCUMAN (IVA INC)]]*Tabla1[[#This Row],[Q Bolsas Equivalentes 50kg]]</f>
        <v>#VALUE!</v>
      </c>
      <c r="AN658" s="846" t="e">
        <f>Tabla1[[#This Row],[PRECIO REF $ BOLSA 50 KG CACTU (IVA INC)]]*Tabla1[[#This Row],[Q Bolsas Equivalentes 50kg]]</f>
        <v>#VALUE!</v>
      </c>
      <c r="AO658" s="846" t="e">
        <f>+Tabla1[[#This Row],[PRECIO $ BOLSA 50KG  FOB CDO TUC (IVA INC)]]*Tabla1[[#This Row],[Q Bolsas Equivalentes 50kg]]</f>
        <v>#VALUE!</v>
      </c>
      <c r="AP658" s="847"/>
      <c r="AQ658" s="846">
        <v>0</v>
      </c>
      <c r="AR658" s="828"/>
      <c r="AS658" s="849"/>
      <c r="AT658" s="923">
        <f>+Tabla1[[#This Row],[VENTA TOTAL $ (IVA INC) ]]-(SUM(Tabla1[[#This Row],[PENDIENTE DE ENTREGA]:[VALORES COBRADOS]]))</f>
        <v>0</v>
      </c>
      <c r="AU658" s="850" t="e">
        <f>VLOOKUP(Tabla1[[#This Row],[FECHA OC]],'TIPO DE CAMBIO'!A:B,2,TRUE)</f>
        <v>#N/A</v>
      </c>
      <c r="AV658" s="850" t="e">
        <f>+Tabla1[[#This Row],[SUBTOTAL]]/Tabla1[[#This Row],[TIPO DE CAMBIO]]</f>
        <v>#N/A</v>
      </c>
      <c r="AW658" s="851"/>
      <c r="AX658" s="850" t="str">
        <f>IFERROR(Tabla1[[#This Row],[VENTA TOTAL USD A PLAZO EN CLIENTE  (SIN IVA)]]*(1+Tabla1[[#This Row],[% IVA ]]),"")</f>
        <v/>
      </c>
      <c r="AY658" s="850" t="e">
        <f>+Tabla1[[#This Row],[VENTA TOTAL USD A PLAZO EN CLIENTE  (SIN IVA)]]/Tabla1[[#This Row],[KGS]]*1000</f>
        <v>#N/A</v>
      </c>
      <c r="AZ658" s="850" t="e">
        <f>-Tabla1[[#This Row],[COSTO FLETE $ POR BOLSA 5O KG (SIN IVA)]]*20/Tabla1[[#This Row],[TIPO DE CAMBIO]]</f>
        <v>#N/A</v>
      </c>
      <c r="BA658" s="850" t="e">
        <f>+Tabla1[[#This Row],[GASTOS FINANCIEROS $ BOLSA 50 KG (IVA INC)]]*20/Tabla1[[#This Row],[TIPO DE CAMBIO]]</f>
        <v>#VALUE!</v>
      </c>
      <c r="BB658" s="850" t="e">
        <f>+Tabla1[[#This Row],[PRECIO POR TN USD EN CLIENTE A PLAZO (SIN IVA)]]+Tabla1[[#This Row],[COSTO USD FLETE /TN (SIN IVA)]]+Tabla1[[#This Row],[COSTO FINANCIERO USD POR BOLSA 50KG (IVA INC)]]</f>
        <v>#N/A</v>
      </c>
      <c r="BC658" s="828"/>
      <c r="BD658" s="944"/>
    </row>
    <row r="659" spans="1:56" ht="15.75" customHeight="1">
      <c r="A659" s="912">
        <v>46296</v>
      </c>
      <c r="B659" s="863"/>
      <c r="C659" s="792"/>
      <c r="D659" s="829">
        <f>+Tabla1[[#This Row],[FECHA Entrega]]</f>
        <v>0</v>
      </c>
      <c r="E659" s="830"/>
      <c r="F659" s="831"/>
      <c r="G659" s="832"/>
      <c r="H659" s="852"/>
      <c r="I659" s="834"/>
      <c r="J659" s="835"/>
      <c r="K659" s="836">
        <f t="shared" si="148"/>
        <v>0</v>
      </c>
      <c r="L65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59" s="837">
        <f t="shared" si="150"/>
        <v>0</v>
      </c>
      <c r="N659" s="838">
        <f>+Tabla1[[#This Row],[VENTA TOTAL $ (IVA INC) ]]</f>
        <v>0</v>
      </c>
      <c r="O659" s="838">
        <v>0</v>
      </c>
      <c r="P659" s="838">
        <v>0</v>
      </c>
      <c r="Q659" s="839">
        <f>+Tabla1[[#This Row],[VENTA TOTAL $ (IVA INC) ]]-Tabla1[[#This Row],[PENDIENTE DE COBRO]]</f>
        <v>0</v>
      </c>
      <c r="R659" s="840">
        <f>+Tabla1[[#This Row],[FECHA FC]]+Tabla1[[#This Row],[PLAZO ENTREGA VALORES]]</f>
        <v>0</v>
      </c>
      <c r="S659" s="840">
        <f>+Tabla1[[#This Row],[FECHA FC]]+Tabla1[[#This Row],[PLAZO PAGO (DIAS)]]</f>
        <v>0</v>
      </c>
      <c r="T659" s="834">
        <f t="shared" ca="1" si="149"/>
        <v>-46181</v>
      </c>
      <c r="U659" s="831"/>
      <c r="V659" s="831"/>
      <c r="W659" s="841">
        <f>+Tabla1[[#This Row],[FECHA VTO VALORES]]+7</f>
        <v>7</v>
      </c>
      <c r="X659" s="830"/>
      <c r="Y659" s="859"/>
      <c r="Z659" s="860">
        <f>Tabla1[[#This Row],[KGS]]/50</f>
        <v>0</v>
      </c>
      <c r="AA65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59" s="844">
        <f>-Tabla1[[#This Row],[COSTO FLETE $ POR BOLSA 5O KG (SIN IVA)]]*1.21-Tabla1[[#This Row],[PRECIO $/ KG A PLAZO EN CLIENTE ( SIN IVA)]]*0.003*1.21*50</f>
        <v>0</v>
      </c>
      <c r="AC659" s="845" t="e">
        <f>SUM(Tabla1[[#This Row],[PRECIO $ BOLSA 50 KG (IVA INC) ]]+Tabla1[[#This Row],[COSTO FLETE $ BOLSA 50 KG (IVA INC)]])</f>
        <v>#VALUE!</v>
      </c>
      <c r="AD659" s="844" t="e">
        <f>-Tabla1[[#This Row],[PRECIO $ BOLSA 50 KG (IVA INC) ]]*(Tabla1[[#This Row],[TASA FINANCIACION MENSUAL]]/365)*Tabla1[[#This Row],[PLAZO ENTREGA VALORES]]</f>
        <v>#VALUE!</v>
      </c>
      <c r="AE659" s="845" t="e">
        <f>SUM(Tabla1[[#This Row],[PRECIO $ BOLSA50 KG  FOB TUCUMAN A PLAZO (IVA INC)]]+Tabla1[[#This Row],[GASTOS FINANCIEROS $ BOLSA 50 KG (IVA INC)]])</f>
        <v>#VALUE!</v>
      </c>
      <c r="AF659" s="828"/>
      <c r="AG659" s="828"/>
      <c r="AH659" s="828"/>
      <c r="AI659" s="828"/>
      <c r="AJ65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59" s="846" t="e">
        <f>SUM(Tabla1[[#This Row],[PRECIO $ BOLSA 50KG  FOB CDO TUC (IVA INC)]]-Tabla1[[#This Row],[PRECIO REF $ BOLSA 50 KG CACTU (IVA INC)]])</f>
        <v>#VALUE!</v>
      </c>
      <c r="AL659" s="847" t="str">
        <f>IFERROR(Tabla1[[#This Row],[PRECIO $ BOLSA 50KG  FOB CDO TUC (IVA INC)]]/Tabla1[[#This Row],[PRECIO REF $ BOLSA 50 KG CACTU (IVA INC)]]-1,"")</f>
        <v/>
      </c>
      <c r="AM659" s="846" t="e">
        <f>+Tabla1[[#This Row],[DIF $ PRECIO NETO INDUSTRIA vs Neto TUCUMAN (IVA INC)]]*Tabla1[[#This Row],[Q Bolsas Equivalentes 50kg]]</f>
        <v>#VALUE!</v>
      </c>
      <c r="AN659" s="846" t="e">
        <f>Tabla1[[#This Row],[PRECIO REF $ BOLSA 50 KG CACTU (IVA INC)]]*Tabla1[[#This Row],[Q Bolsas Equivalentes 50kg]]</f>
        <v>#VALUE!</v>
      </c>
      <c r="AO659" s="846" t="e">
        <f>+Tabla1[[#This Row],[PRECIO $ BOLSA 50KG  FOB CDO TUC (IVA INC)]]*Tabla1[[#This Row],[Q Bolsas Equivalentes 50kg]]</f>
        <v>#VALUE!</v>
      </c>
      <c r="AP659" s="847"/>
      <c r="AQ659" s="846">
        <v>0</v>
      </c>
      <c r="AR659" s="828"/>
      <c r="AS659" s="849"/>
      <c r="AT659" s="923">
        <f>+Tabla1[[#This Row],[VENTA TOTAL $ (IVA INC) ]]-(SUM(Tabla1[[#This Row],[PENDIENTE DE ENTREGA]:[VALORES COBRADOS]]))</f>
        <v>0</v>
      </c>
      <c r="AU659" s="850" t="e">
        <f>VLOOKUP(Tabla1[[#This Row],[FECHA OC]],'TIPO DE CAMBIO'!A:B,2,TRUE)</f>
        <v>#N/A</v>
      </c>
      <c r="AV659" s="850" t="e">
        <f>+Tabla1[[#This Row],[SUBTOTAL]]/Tabla1[[#This Row],[TIPO DE CAMBIO]]</f>
        <v>#N/A</v>
      </c>
      <c r="AW659" s="851"/>
      <c r="AX659" s="850" t="str">
        <f>IFERROR(Tabla1[[#This Row],[VENTA TOTAL USD A PLAZO EN CLIENTE  (SIN IVA)]]*(1+Tabla1[[#This Row],[% IVA ]]),"")</f>
        <v/>
      </c>
      <c r="AY659" s="850" t="e">
        <f>+Tabla1[[#This Row],[VENTA TOTAL USD A PLAZO EN CLIENTE  (SIN IVA)]]/Tabla1[[#This Row],[KGS]]*1000</f>
        <v>#N/A</v>
      </c>
      <c r="AZ659" s="850" t="e">
        <f>-Tabla1[[#This Row],[COSTO FLETE $ POR BOLSA 5O KG (SIN IVA)]]*20/Tabla1[[#This Row],[TIPO DE CAMBIO]]</f>
        <v>#N/A</v>
      </c>
      <c r="BA659" s="850" t="e">
        <f>+Tabla1[[#This Row],[GASTOS FINANCIEROS $ BOLSA 50 KG (IVA INC)]]*20/Tabla1[[#This Row],[TIPO DE CAMBIO]]</f>
        <v>#VALUE!</v>
      </c>
      <c r="BB659" s="850" t="e">
        <f>+Tabla1[[#This Row],[PRECIO POR TN USD EN CLIENTE A PLAZO (SIN IVA)]]+Tabla1[[#This Row],[COSTO USD FLETE /TN (SIN IVA)]]+Tabla1[[#This Row],[COSTO FINANCIERO USD POR BOLSA 50KG (IVA INC)]]</f>
        <v>#N/A</v>
      </c>
      <c r="BC659" s="848"/>
      <c r="BD659" s="944"/>
    </row>
    <row r="660" spans="1:56" ht="15.75" customHeight="1">
      <c r="A660" s="912">
        <v>46296</v>
      </c>
      <c r="B660" s="863"/>
      <c r="C660" s="792"/>
      <c r="D660" s="829">
        <f>+Tabla1[[#This Row],[FECHA Entrega]]</f>
        <v>0</v>
      </c>
      <c r="E660" s="830"/>
      <c r="F660" s="831"/>
      <c r="G660" s="832"/>
      <c r="H660" s="852"/>
      <c r="I660" s="834"/>
      <c r="J660" s="835"/>
      <c r="K660" s="836">
        <f t="shared" si="148"/>
        <v>0</v>
      </c>
      <c r="L66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60" s="837">
        <f t="shared" si="150"/>
        <v>0</v>
      </c>
      <c r="N660" s="838">
        <f>+Tabla1[[#This Row],[VENTA TOTAL $ (IVA INC) ]]</f>
        <v>0</v>
      </c>
      <c r="O660" s="838">
        <v>0</v>
      </c>
      <c r="P660" s="838">
        <v>0</v>
      </c>
      <c r="Q660" s="839">
        <f>+Tabla1[[#This Row],[VENTA TOTAL $ (IVA INC) ]]-Tabla1[[#This Row],[PENDIENTE DE COBRO]]</f>
        <v>0</v>
      </c>
      <c r="R660" s="840">
        <f>+Tabla1[[#This Row],[FECHA FC]]+Tabla1[[#This Row],[PLAZO ENTREGA VALORES]]</f>
        <v>0</v>
      </c>
      <c r="S660" s="840">
        <f>+Tabla1[[#This Row],[FECHA FC]]+Tabla1[[#This Row],[PLAZO PAGO (DIAS)]]</f>
        <v>0</v>
      </c>
      <c r="T660" s="834">
        <f t="shared" ca="1" si="149"/>
        <v>-46181</v>
      </c>
      <c r="U660" s="831"/>
      <c r="V660" s="831"/>
      <c r="W660" s="841">
        <f>+Tabla1[[#This Row],[FECHA VTO VALORES]]+7</f>
        <v>7</v>
      </c>
      <c r="X660" s="830"/>
      <c r="Y660" s="859"/>
      <c r="Z660" s="860">
        <f>Tabla1[[#This Row],[KGS]]/50</f>
        <v>0</v>
      </c>
      <c r="AA66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60" s="844">
        <f>-Tabla1[[#This Row],[COSTO FLETE $ POR BOLSA 5O KG (SIN IVA)]]*1.21-Tabla1[[#This Row],[PRECIO $/ KG A PLAZO EN CLIENTE ( SIN IVA)]]*0.003*1.21*50</f>
        <v>0</v>
      </c>
      <c r="AC660" s="845" t="e">
        <f>SUM(Tabla1[[#This Row],[PRECIO $ BOLSA 50 KG (IVA INC) ]]+Tabla1[[#This Row],[COSTO FLETE $ BOLSA 50 KG (IVA INC)]])</f>
        <v>#VALUE!</v>
      </c>
      <c r="AD660" s="844" t="e">
        <f>-Tabla1[[#This Row],[PRECIO $ BOLSA 50 KG (IVA INC) ]]*(Tabla1[[#This Row],[TASA FINANCIACION MENSUAL]]/365)*Tabla1[[#This Row],[PLAZO ENTREGA VALORES]]</f>
        <v>#VALUE!</v>
      </c>
      <c r="AE660" s="845" t="e">
        <f>SUM(Tabla1[[#This Row],[PRECIO $ BOLSA50 KG  FOB TUCUMAN A PLAZO (IVA INC)]]+Tabla1[[#This Row],[GASTOS FINANCIEROS $ BOLSA 50 KG (IVA INC)]])</f>
        <v>#VALUE!</v>
      </c>
      <c r="AF660" s="828"/>
      <c r="AG660" s="828"/>
      <c r="AH660" s="828"/>
      <c r="AI660" s="828"/>
      <c r="AJ66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60" s="846" t="e">
        <f>SUM(Tabla1[[#This Row],[PRECIO $ BOLSA 50KG  FOB CDO TUC (IVA INC)]]-Tabla1[[#This Row],[PRECIO REF $ BOLSA 50 KG CACTU (IVA INC)]])</f>
        <v>#VALUE!</v>
      </c>
      <c r="AL660" s="847" t="str">
        <f>IFERROR(Tabla1[[#This Row],[PRECIO $ BOLSA 50KG  FOB CDO TUC (IVA INC)]]/Tabla1[[#This Row],[PRECIO REF $ BOLSA 50 KG CACTU (IVA INC)]]-1,"")</f>
        <v/>
      </c>
      <c r="AM660" s="846" t="e">
        <f>+Tabla1[[#This Row],[DIF $ PRECIO NETO INDUSTRIA vs Neto TUCUMAN (IVA INC)]]*Tabla1[[#This Row],[Q Bolsas Equivalentes 50kg]]</f>
        <v>#VALUE!</v>
      </c>
      <c r="AN660" s="846" t="e">
        <f>Tabla1[[#This Row],[PRECIO REF $ BOLSA 50 KG CACTU (IVA INC)]]*Tabla1[[#This Row],[Q Bolsas Equivalentes 50kg]]</f>
        <v>#VALUE!</v>
      </c>
      <c r="AO660" s="846" t="e">
        <f>+Tabla1[[#This Row],[PRECIO $ BOLSA 50KG  FOB CDO TUC (IVA INC)]]*Tabla1[[#This Row],[Q Bolsas Equivalentes 50kg]]</f>
        <v>#VALUE!</v>
      </c>
      <c r="AP660" s="847"/>
      <c r="AQ660" s="846">
        <v>0</v>
      </c>
      <c r="AR660" s="828"/>
      <c r="AS660" s="849"/>
      <c r="AT660" s="923">
        <f>+Tabla1[[#This Row],[VENTA TOTAL $ (IVA INC) ]]-(SUM(Tabla1[[#This Row],[PENDIENTE DE ENTREGA]:[VALORES COBRADOS]]))</f>
        <v>0</v>
      </c>
      <c r="AU660" s="850" t="e">
        <f>VLOOKUP(Tabla1[[#This Row],[FECHA OC]],'TIPO DE CAMBIO'!A:B,2,TRUE)</f>
        <v>#N/A</v>
      </c>
      <c r="AV660" s="850" t="e">
        <f>+Tabla1[[#This Row],[SUBTOTAL]]/Tabla1[[#This Row],[TIPO DE CAMBIO]]</f>
        <v>#N/A</v>
      </c>
      <c r="AW660" s="851"/>
      <c r="AX660" s="850" t="str">
        <f>IFERROR(Tabla1[[#This Row],[VENTA TOTAL USD A PLAZO EN CLIENTE  (SIN IVA)]]*(1+Tabla1[[#This Row],[% IVA ]]),"")</f>
        <v/>
      </c>
      <c r="AY660" s="850" t="e">
        <f>+Tabla1[[#This Row],[VENTA TOTAL USD A PLAZO EN CLIENTE  (SIN IVA)]]/Tabla1[[#This Row],[KGS]]*1000</f>
        <v>#N/A</v>
      </c>
      <c r="AZ660" s="850" t="e">
        <f>-Tabla1[[#This Row],[COSTO FLETE $ POR BOLSA 5O KG (SIN IVA)]]*20/Tabla1[[#This Row],[TIPO DE CAMBIO]]</f>
        <v>#N/A</v>
      </c>
      <c r="BA660" s="850" t="e">
        <f>+Tabla1[[#This Row],[GASTOS FINANCIEROS $ BOLSA 50 KG (IVA INC)]]*20/Tabla1[[#This Row],[TIPO DE CAMBIO]]</f>
        <v>#VALUE!</v>
      </c>
      <c r="BB660" s="850" t="e">
        <f>+Tabla1[[#This Row],[PRECIO POR TN USD EN CLIENTE A PLAZO (SIN IVA)]]+Tabla1[[#This Row],[COSTO USD FLETE /TN (SIN IVA)]]+Tabla1[[#This Row],[COSTO FINANCIERO USD POR BOLSA 50KG (IVA INC)]]</f>
        <v>#N/A</v>
      </c>
      <c r="BC660" s="848"/>
      <c r="BD660" s="944"/>
    </row>
    <row r="661" spans="1:56" ht="15.75" customHeight="1">
      <c r="A661" s="912">
        <v>46296</v>
      </c>
      <c r="B661" s="863"/>
      <c r="C661" s="792"/>
      <c r="D661" s="829">
        <f>+Tabla1[[#This Row],[FECHA Entrega]]</f>
        <v>0</v>
      </c>
      <c r="E661" s="830"/>
      <c r="F661" s="831"/>
      <c r="G661" s="832"/>
      <c r="H661" s="852"/>
      <c r="I661" s="834"/>
      <c r="J661" s="835"/>
      <c r="K661" s="836">
        <f t="shared" si="148"/>
        <v>0</v>
      </c>
      <c r="L66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61" s="837">
        <f t="shared" si="150"/>
        <v>0</v>
      </c>
      <c r="N661" s="838">
        <f>+Tabla1[[#This Row],[VENTA TOTAL $ (IVA INC) ]]</f>
        <v>0</v>
      </c>
      <c r="O661" s="838">
        <v>0</v>
      </c>
      <c r="P661" s="838">
        <v>0</v>
      </c>
      <c r="Q661" s="839">
        <f>+Tabla1[[#This Row],[VENTA TOTAL $ (IVA INC) ]]-Tabla1[[#This Row],[PENDIENTE DE COBRO]]</f>
        <v>0</v>
      </c>
      <c r="R661" s="840">
        <f>+Tabla1[[#This Row],[FECHA FC]]+Tabla1[[#This Row],[PLAZO ENTREGA VALORES]]</f>
        <v>0</v>
      </c>
      <c r="S661" s="840">
        <f>+Tabla1[[#This Row],[FECHA FC]]+Tabla1[[#This Row],[PLAZO PAGO (DIAS)]]</f>
        <v>0</v>
      </c>
      <c r="T661" s="834">
        <f t="shared" ca="1" si="149"/>
        <v>-46181</v>
      </c>
      <c r="U661" s="831"/>
      <c r="V661" s="831"/>
      <c r="W661" s="841">
        <f>+Tabla1[[#This Row],[FECHA VTO VALORES]]+7</f>
        <v>7</v>
      </c>
      <c r="X661" s="830"/>
      <c r="Y661" s="859"/>
      <c r="Z661" s="860">
        <f>Tabla1[[#This Row],[KGS]]/50</f>
        <v>0</v>
      </c>
      <c r="AA66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61" s="844">
        <f>-Tabla1[[#This Row],[COSTO FLETE $ POR BOLSA 5O KG (SIN IVA)]]*1.21-Tabla1[[#This Row],[PRECIO $/ KG A PLAZO EN CLIENTE ( SIN IVA)]]*0.003*1.21*50</f>
        <v>0</v>
      </c>
      <c r="AC661" s="845" t="e">
        <f>SUM(Tabla1[[#This Row],[PRECIO $ BOLSA 50 KG (IVA INC) ]]+Tabla1[[#This Row],[COSTO FLETE $ BOLSA 50 KG (IVA INC)]])</f>
        <v>#VALUE!</v>
      </c>
      <c r="AD661" s="844" t="e">
        <f>-Tabla1[[#This Row],[PRECIO $ BOLSA 50 KG (IVA INC) ]]*(Tabla1[[#This Row],[TASA FINANCIACION MENSUAL]]/365)*Tabla1[[#This Row],[PLAZO ENTREGA VALORES]]</f>
        <v>#VALUE!</v>
      </c>
      <c r="AE661" s="845" t="e">
        <f>SUM(Tabla1[[#This Row],[PRECIO $ BOLSA50 KG  FOB TUCUMAN A PLAZO (IVA INC)]]+Tabla1[[#This Row],[GASTOS FINANCIEROS $ BOLSA 50 KG (IVA INC)]])</f>
        <v>#VALUE!</v>
      </c>
      <c r="AF661" s="828"/>
      <c r="AG661" s="828"/>
      <c r="AH661" s="828"/>
      <c r="AI661" s="828"/>
      <c r="AJ66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61" s="846" t="e">
        <f>SUM(Tabla1[[#This Row],[PRECIO $ BOLSA 50KG  FOB CDO TUC (IVA INC)]]-Tabla1[[#This Row],[PRECIO REF $ BOLSA 50 KG CACTU (IVA INC)]])</f>
        <v>#VALUE!</v>
      </c>
      <c r="AL661" s="847" t="str">
        <f>IFERROR(Tabla1[[#This Row],[PRECIO $ BOLSA 50KG  FOB CDO TUC (IVA INC)]]/Tabla1[[#This Row],[PRECIO REF $ BOLSA 50 KG CACTU (IVA INC)]]-1,"")</f>
        <v/>
      </c>
      <c r="AM661" s="846" t="e">
        <f>+Tabla1[[#This Row],[DIF $ PRECIO NETO INDUSTRIA vs Neto TUCUMAN (IVA INC)]]*Tabla1[[#This Row],[Q Bolsas Equivalentes 50kg]]</f>
        <v>#VALUE!</v>
      </c>
      <c r="AN661" s="846" t="e">
        <f>Tabla1[[#This Row],[PRECIO REF $ BOLSA 50 KG CACTU (IVA INC)]]*Tabla1[[#This Row],[Q Bolsas Equivalentes 50kg]]</f>
        <v>#VALUE!</v>
      </c>
      <c r="AO661" s="846" t="e">
        <f>+Tabla1[[#This Row],[PRECIO $ BOLSA 50KG  FOB CDO TUC (IVA INC)]]*Tabla1[[#This Row],[Q Bolsas Equivalentes 50kg]]</f>
        <v>#VALUE!</v>
      </c>
      <c r="AP661" s="847"/>
      <c r="AQ661" s="846">
        <v>0</v>
      </c>
      <c r="AR661" s="828"/>
      <c r="AS661" s="849"/>
      <c r="AT661" s="923">
        <f>+Tabla1[[#This Row],[VENTA TOTAL $ (IVA INC) ]]-(SUM(Tabla1[[#This Row],[PENDIENTE DE ENTREGA]:[VALORES COBRADOS]]))</f>
        <v>0</v>
      </c>
      <c r="AU661" s="850" t="e">
        <f>VLOOKUP(Tabla1[[#This Row],[FECHA OC]],'TIPO DE CAMBIO'!A:B,2,TRUE)</f>
        <v>#N/A</v>
      </c>
      <c r="AV661" s="850" t="e">
        <f>+Tabla1[[#This Row],[SUBTOTAL]]/Tabla1[[#This Row],[TIPO DE CAMBIO]]</f>
        <v>#N/A</v>
      </c>
      <c r="AW661" s="851"/>
      <c r="AX661" s="850" t="str">
        <f>IFERROR(Tabla1[[#This Row],[VENTA TOTAL USD A PLAZO EN CLIENTE  (SIN IVA)]]*(1+Tabla1[[#This Row],[% IVA ]]),"")</f>
        <v/>
      </c>
      <c r="AY661" s="850" t="e">
        <f>+Tabla1[[#This Row],[VENTA TOTAL USD A PLAZO EN CLIENTE  (SIN IVA)]]/Tabla1[[#This Row],[KGS]]*1000</f>
        <v>#N/A</v>
      </c>
      <c r="AZ661" s="850" t="e">
        <f>-Tabla1[[#This Row],[COSTO FLETE $ POR BOLSA 5O KG (SIN IVA)]]*20/Tabla1[[#This Row],[TIPO DE CAMBIO]]</f>
        <v>#N/A</v>
      </c>
      <c r="BA661" s="850" t="e">
        <f>+Tabla1[[#This Row],[GASTOS FINANCIEROS $ BOLSA 50 KG (IVA INC)]]*20/Tabla1[[#This Row],[TIPO DE CAMBIO]]</f>
        <v>#VALUE!</v>
      </c>
      <c r="BB661" s="850" t="e">
        <f>+Tabla1[[#This Row],[PRECIO POR TN USD EN CLIENTE A PLAZO (SIN IVA)]]+Tabla1[[#This Row],[COSTO USD FLETE /TN (SIN IVA)]]+Tabla1[[#This Row],[COSTO FINANCIERO USD POR BOLSA 50KG (IVA INC)]]</f>
        <v>#N/A</v>
      </c>
      <c r="BC661" s="848"/>
      <c r="BD661" s="944"/>
    </row>
    <row r="662" spans="1:56" ht="15.75" customHeight="1">
      <c r="A662" s="912">
        <v>46296</v>
      </c>
      <c r="B662" s="863"/>
      <c r="C662" s="792"/>
      <c r="D662" s="829">
        <f>+Tabla1[[#This Row],[FECHA Entrega]]</f>
        <v>0</v>
      </c>
      <c r="E662" s="830"/>
      <c r="F662" s="831"/>
      <c r="G662" s="832"/>
      <c r="H662" s="852"/>
      <c r="I662" s="834"/>
      <c r="J662" s="835"/>
      <c r="K662" s="836">
        <f t="shared" si="148"/>
        <v>0</v>
      </c>
      <c r="L66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62" s="837">
        <f t="shared" si="150"/>
        <v>0</v>
      </c>
      <c r="N662" s="838">
        <f>+Tabla1[[#This Row],[VENTA TOTAL $ (IVA INC) ]]</f>
        <v>0</v>
      </c>
      <c r="O662" s="838">
        <v>0</v>
      </c>
      <c r="P662" s="838">
        <v>0</v>
      </c>
      <c r="Q662" s="839">
        <f>+Tabla1[[#This Row],[VENTA TOTAL $ (IVA INC) ]]-Tabla1[[#This Row],[PENDIENTE DE COBRO]]</f>
        <v>0</v>
      </c>
      <c r="R662" s="840">
        <f>+Tabla1[[#This Row],[FECHA FC]]+Tabla1[[#This Row],[PLAZO ENTREGA VALORES]]</f>
        <v>0</v>
      </c>
      <c r="S662" s="840">
        <f>+Tabla1[[#This Row],[FECHA FC]]+Tabla1[[#This Row],[PLAZO PAGO (DIAS)]]</f>
        <v>0</v>
      </c>
      <c r="T662" s="834">
        <f t="shared" ca="1" si="149"/>
        <v>-46181</v>
      </c>
      <c r="U662" s="831"/>
      <c r="V662" s="831"/>
      <c r="W662" s="841">
        <f>+Tabla1[[#This Row],[FECHA VTO VALORES]]+7</f>
        <v>7</v>
      </c>
      <c r="X662" s="830"/>
      <c r="Y662" s="859"/>
      <c r="Z662" s="860">
        <f>Tabla1[[#This Row],[KGS]]/50</f>
        <v>0</v>
      </c>
      <c r="AA66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62" s="844">
        <f>-Tabla1[[#This Row],[COSTO FLETE $ POR BOLSA 5O KG (SIN IVA)]]*1.21-Tabla1[[#This Row],[PRECIO $/ KG A PLAZO EN CLIENTE ( SIN IVA)]]*0.003*1.21*50</f>
        <v>0</v>
      </c>
      <c r="AC662" s="845" t="e">
        <f>SUM(Tabla1[[#This Row],[PRECIO $ BOLSA 50 KG (IVA INC) ]]+Tabla1[[#This Row],[COSTO FLETE $ BOLSA 50 KG (IVA INC)]])</f>
        <v>#VALUE!</v>
      </c>
      <c r="AD662" s="844" t="e">
        <f>-Tabla1[[#This Row],[PRECIO $ BOLSA 50 KG (IVA INC) ]]*(Tabla1[[#This Row],[TASA FINANCIACION MENSUAL]]/365)*Tabla1[[#This Row],[PLAZO ENTREGA VALORES]]</f>
        <v>#VALUE!</v>
      </c>
      <c r="AE662" s="845" t="e">
        <f>SUM(Tabla1[[#This Row],[PRECIO $ BOLSA50 KG  FOB TUCUMAN A PLAZO (IVA INC)]]+Tabla1[[#This Row],[GASTOS FINANCIEROS $ BOLSA 50 KG (IVA INC)]])</f>
        <v>#VALUE!</v>
      </c>
      <c r="AF662" s="828"/>
      <c r="AG662" s="828"/>
      <c r="AH662" s="828"/>
      <c r="AI662" s="828"/>
      <c r="AJ66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62" s="846" t="e">
        <f>SUM(Tabla1[[#This Row],[PRECIO $ BOLSA 50KG  FOB CDO TUC (IVA INC)]]-Tabla1[[#This Row],[PRECIO REF $ BOLSA 50 KG CACTU (IVA INC)]])</f>
        <v>#VALUE!</v>
      </c>
      <c r="AL662" s="847" t="str">
        <f>IFERROR(Tabla1[[#This Row],[PRECIO $ BOLSA 50KG  FOB CDO TUC (IVA INC)]]/Tabla1[[#This Row],[PRECIO REF $ BOLSA 50 KG CACTU (IVA INC)]]-1,"")</f>
        <v/>
      </c>
      <c r="AM662" s="846" t="e">
        <f>+Tabla1[[#This Row],[DIF $ PRECIO NETO INDUSTRIA vs Neto TUCUMAN (IVA INC)]]*Tabla1[[#This Row],[Q Bolsas Equivalentes 50kg]]</f>
        <v>#VALUE!</v>
      </c>
      <c r="AN662" s="846" t="e">
        <f>Tabla1[[#This Row],[PRECIO REF $ BOLSA 50 KG CACTU (IVA INC)]]*Tabla1[[#This Row],[Q Bolsas Equivalentes 50kg]]</f>
        <v>#VALUE!</v>
      </c>
      <c r="AO662" s="846" t="e">
        <f>+Tabla1[[#This Row],[PRECIO $ BOLSA 50KG  FOB CDO TUC (IVA INC)]]*Tabla1[[#This Row],[Q Bolsas Equivalentes 50kg]]</f>
        <v>#VALUE!</v>
      </c>
      <c r="AP662" s="847"/>
      <c r="AQ662" s="846">
        <v>0</v>
      </c>
      <c r="AR662" s="828"/>
      <c r="AS662" s="849"/>
      <c r="AT662" s="923">
        <f>+Tabla1[[#This Row],[VENTA TOTAL $ (IVA INC) ]]-(SUM(Tabla1[[#This Row],[PENDIENTE DE ENTREGA]:[VALORES COBRADOS]]))</f>
        <v>0</v>
      </c>
      <c r="AU662" s="850" t="e">
        <f>VLOOKUP(Tabla1[[#This Row],[FECHA OC]],'TIPO DE CAMBIO'!A:B,2,TRUE)</f>
        <v>#N/A</v>
      </c>
      <c r="AV662" s="850" t="e">
        <f>+Tabla1[[#This Row],[SUBTOTAL]]/Tabla1[[#This Row],[TIPO DE CAMBIO]]</f>
        <v>#N/A</v>
      </c>
      <c r="AW662" s="851"/>
      <c r="AX662" s="850" t="str">
        <f>IFERROR(Tabla1[[#This Row],[VENTA TOTAL USD A PLAZO EN CLIENTE  (SIN IVA)]]*(1+Tabla1[[#This Row],[% IVA ]]),"")</f>
        <v/>
      </c>
      <c r="AY662" s="850" t="e">
        <f>+Tabla1[[#This Row],[VENTA TOTAL USD A PLAZO EN CLIENTE  (SIN IVA)]]/Tabla1[[#This Row],[KGS]]*1000</f>
        <v>#N/A</v>
      </c>
      <c r="AZ662" s="850" t="e">
        <f>-Tabla1[[#This Row],[COSTO FLETE $ POR BOLSA 5O KG (SIN IVA)]]*20/Tabla1[[#This Row],[TIPO DE CAMBIO]]</f>
        <v>#N/A</v>
      </c>
      <c r="BA662" s="850" t="e">
        <f>+Tabla1[[#This Row],[GASTOS FINANCIEROS $ BOLSA 50 KG (IVA INC)]]*20/Tabla1[[#This Row],[TIPO DE CAMBIO]]</f>
        <v>#VALUE!</v>
      </c>
      <c r="BB662" s="850" t="e">
        <f>+Tabla1[[#This Row],[PRECIO POR TN USD EN CLIENTE A PLAZO (SIN IVA)]]+Tabla1[[#This Row],[COSTO USD FLETE /TN (SIN IVA)]]+Tabla1[[#This Row],[COSTO FINANCIERO USD POR BOLSA 50KG (IVA INC)]]</f>
        <v>#N/A</v>
      </c>
      <c r="BC662" s="848"/>
      <c r="BD662" s="944"/>
    </row>
    <row r="663" spans="1:56" ht="15.75" customHeight="1">
      <c r="A663" s="912">
        <v>46296</v>
      </c>
      <c r="B663" s="863"/>
      <c r="C663" s="792"/>
      <c r="D663" s="829">
        <f>+Tabla1[[#This Row],[FECHA Entrega]]</f>
        <v>0</v>
      </c>
      <c r="E663" s="830"/>
      <c r="F663" s="831"/>
      <c r="G663" s="832"/>
      <c r="H663" s="852"/>
      <c r="I663" s="834"/>
      <c r="J663" s="835"/>
      <c r="K663" s="836">
        <f t="shared" si="148"/>
        <v>0</v>
      </c>
      <c r="L66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63" s="837">
        <f t="shared" si="150"/>
        <v>0</v>
      </c>
      <c r="N663" s="838">
        <f>+Tabla1[[#This Row],[VENTA TOTAL $ (IVA INC) ]]</f>
        <v>0</v>
      </c>
      <c r="O663" s="838">
        <v>0</v>
      </c>
      <c r="P663" s="838">
        <v>0</v>
      </c>
      <c r="Q663" s="839">
        <f>+Tabla1[[#This Row],[VENTA TOTAL $ (IVA INC) ]]-Tabla1[[#This Row],[PENDIENTE DE COBRO]]</f>
        <v>0</v>
      </c>
      <c r="R663" s="840">
        <f>+Tabla1[[#This Row],[FECHA FC]]+Tabla1[[#This Row],[PLAZO ENTREGA VALORES]]</f>
        <v>0</v>
      </c>
      <c r="S663" s="840">
        <f>+Tabla1[[#This Row],[FECHA FC]]+Tabla1[[#This Row],[PLAZO PAGO (DIAS)]]</f>
        <v>0</v>
      </c>
      <c r="T663" s="834">
        <f t="shared" ca="1" si="149"/>
        <v>-46181</v>
      </c>
      <c r="U663" s="831"/>
      <c r="V663" s="831"/>
      <c r="W663" s="841">
        <f>+Tabla1[[#This Row],[FECHA VTO VALORES]]+7</f>
        <v>7</v>
      </c>
      <c r="X663" s="830"/>
      <c r="Y663" s="859"/>
      <c r="Z663" s="860">
        <f>Tabla1[[#This Row],[KGS]]/50</f>
        <v>0</v>
      </c>
      <c r="AA66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63" s="844">
        <f>-Tabla1[[#This Row],[COSTO FLETE $ POR BOLSA 5O KG (SIN IVA)]]*1.21-Tabla1[[#This Row],[PRECIO $/ KG A PLAZO EN CLIENTE ( SIN IVA)]]*0.003*1.21*50</f>
        <v>0</v>
      </c>
      <c r="AC663" s="845" t="e">
        <f>SUM(Tabla1[[#This Row],[PRECIO $ BOLSA 50 KG (IVA INC) ]]+Tabla1[[#This Row],[COSTO FLETE $ BOLSA 50 KG (IVA INC)]])</f>
        <v>#VALUE!</v>
      </c>
      <c r="AD663" s="844" t="e">
        <f>-Tabla1[[#This Row],[PRECIO $ BOLSA 50 KG (IVA INC) ]]*(Tabla1[[#This Row],[TASA FINANCIACION MENSUAL]]/365)*Tabla1[[#This Row],[PLAZO ENTREGA VALORES]]</f>
        <v>#VALUE!</v>
      </c>
      <c r="AE663" s="845" t="e">
        <f>SUM(Tabla1[[#This Row],[PRECIO $ BOLSA50 KG  FOB TUCUMAN A PLAZO (IVA INC)]]+Tabla1[[#This Row],[GASTOS FINANCIEROS $ BOLSA 50 KG (IVA INC)]])</f>
        <v>#VALUE!</v>
      </c>
      <c r="AF663" s="828"/>
      <c r="AG663" s="828"/>
      <c r="AH663" s="828"/>
      <c r="AI663" s="828"/>
      <c r="AJ66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63" s="846" t="e">
        <f>SUM(Tabla1[[#This Row],[PRECIO $ BOLSA 50KG  FOB CDO TUC (IVA INC)]]-Tabla1[[#This Row],[PRECIO REF $ BOLSA 50 KG CACTU (IVA INC)]])</f>
        <v>#VALUE!</v>
      </c>
      <c r="AL663" s="847" t="str">
        <f>IFERROR(Tabla1[[#This Row],[PRECIO $ BOLSA 50KG  FOB CDO TUC (IVA INC)]]/Tabla1[[#This Row],[PRECIO REF $ BOLSA 50 KG CACTU (IVA INC)]]-1,"")</f>
        <v/>
      </c>
      <c r="AM663" s="846" t="e">
        <f>+Tabla1[[#This Row],[DIF $ PRECIO NETO INDUSTRIA vs Neto TUCUMAN (IVA INC)]]*Tabla1[[#This Row],[Q Bolsas Equivalentes 50kg]]</f>
        <v>#VALUE!</v>
      </c>
      <c r="AN663" s="846" t="e">
        <f>Tabla1[[#This Row],[PRECIO REF $ BOLSA 50 KG CACTU (IVA INC)]]*Tabla1[[#This Row],[Q Bolsas Equivalentes 50kg]]</f>
        <v>#VALUE!</v>
      </c>
      <c r="AO663" s="846" t="e">
        <f>+Tabla1[[#This Row],[PRECIO $ BOLSA 50KG  FOB CDO TUC (IVA INC)]]*Tabla1[[#This Row],[Q Bolsas Equivalentes 50kg]]</f>
        <v>#VALUE!</v>
      </c>
      <c r="AP663" s="847"/>
      <c r="AQ663" s="846">
        <v>0</v>
      </c>
      <c r="AR663" s="828"/>
      <c r="AS663" s="849"/>
      <c r="AT663" s="923">
        <f>+Tabla1[[#This Row],[VENTA TOTAL $ (IVA INC) ]]-(SUM(Tabla1[[#This Row],[PENDIENTE DE ENTREGA]:[VALORES COBRADOS]]))</f>
        <v>0</v>
      </c>
      <c r="AU663" s="850" t="e">
        <f>VLOOKUP(Tabla1[[#This Row],[FECHA OC]],'TIPO DE CAMBIO'!A:B,2,TRUE)</f>
        <v>#N/A</v>
      </c>
      <c r="AV663" s="850" t="e">
        <f>+Tabla1[[#This Row],[SUBTOTAL]]/Tabla1[[#This Row],[TIPO DE CAMBIO]]</f>
        <v>#N/A</v>
      </c>
      <c r="AW663" s="851"/>
      <c r="AX663" s="850" t="str">
        <f>IFERROR(Tabla1[[#This Row],[VENTA TOTAL USD A PLAZO EN CLIENTE  (SIN IVA)]]*(1+Tabla1[[#This Row],[% IVA ]]),"")</f>
        <v/>
      </c>
      <c r="AY663" s="850" t="e">
        <f>+Tabla1[[#This Row],[VENTA TOTAL USD A PLAZO EN CLIENTE  (SIN IVA)]]/Tabla1[[#This Row],[KGS]]*1000</f>
        <v>#N/A</v>
      </c>
      <c r="AZ663" s="850" t="e">
        <f>-Tabla1[[#This Row],[COSTO FLETE $ POR BOLSA 5O KG (SIN IVA)]]*20/Tabla1[[#This Row],[TIPO DE CAMBIO]]</f>
        <v>#N/A</v>
      </c>
      <c r="BA663" s="850" t="e">
        <f>+Tabla1[[#This Row],[GASTOS FINANCIEROS $ BOLSA 50 KG (IVA INC)]]*20/Tabla1[[#This Row],[TIPO DE CAMBIO]]</f>
        <v>#VALUE!</v>
      </c>
      <c r="BB663" s="850" t="e">
        <f>+Tabla1[[#This Row],[PRECIO POR TN USD EN CLIENTE A PLAZO (SIN IVA)]]+Tabla1[[#This Row],[COSTO USD FLETE /TN (SIN IVA)]]+Tabla1[[#This Row],[COSTO FINANCIERO USD POR BOLSA 50KG (IVA INC)]]</f>
        <v>#N/A</v>
      </c>
      <c r="BC663" s="848"/>
      <c r="BD663" s="944"/>
    </row>
    <row r="664" spans="1:56" ht="15.75" customHeight="1">
      <c r="A664" s="912">
        <v>46296</v>
      </c>
      <c r="B664" s="863"/>
      <c r="C664" s="792"/>
      <c r="D664" s="829">
        <f>+Tabla1[[#This Row],[FECHA Entrega]]</f>
        <v>0</v>
      </c>
      <c r="E664" s="830"/>
      <c r="F664" s="831"/>
      <c r="G664" s="832"/>
      <c r="H664" s="852"/>
      <c r="I664" s="834"/>
      <c r="J664" s="835"/>
      <c r="K664" s="836">
        <f t="shared" si="148"/>
        <v>0</v>
      </c>
      <c r="L66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64" s="837">
        <f t="shared" si="150"/>
        <v>0</v>
      </c>
      <c r="N664" s="838">
        <f>+Tabla1[[#This Row],[VENTA TOTAL $ (IVA INC) ]]</f>
        <v>0</v>
      </c>
      <c r="O664" s="838">
        <v>0</v>
      </c>
      <c r="P664" s="838">
        <v>0</v>
      </c>
      <c r="Q664" s="839">
        <f>+Tabla1[[#This Row],[VENTA TOTAL $ (IVA INC) ]]-Tabla1[[#This Row],[PENDIENTE DE COBRO]]</f>
        <v>0</v>
      </c>
      <c r="R664" s="840">
        <f>+Tabla1[[#This Row],[FECHA FC]]+Tabla1[[#This Row],[PLAZO ENTREGA VALORES]]</f>
        <v>0</v>
      </c>
      <c r="S664" s="840">
        <f>+Tabla1[[#This Row],[FECHA FC]]+Tabla1[[#This Row],[PLAZO PAGO (DIAS)]]</f>
        <v>0</v>
      </c>
      <c r="T664" s="834">
        <f t="shared" ca="1" si="149"/>
        <v>-46181</v>
      </c>
      <c r="U664" s="831"/>
      <c r="V664" s="831"/>
      <c r="W664" s="841">
        <f>+Tabla1[[#This Row],[FECHA VTO VALORES]]+7</f>
        <v>7</v>
      </c>
      <c r="X664" s="830"/>
      <c r="Y664" s="859"/>
      <c r="Z664" s="860">
        <f>Tabla1[[#This Row],[KGS]]/50</f>
        <v>0</v>
      </c>
      <c r="AA66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64" s="844">
        <f>-Tabla1[[#This Row],[COSTO FLETE $ POR BOLSA 5O KG (SIN IVA)]]*1.21-Tabla1[[#This Row],[PRECIO $/ KG A PLAZO EN CLIENTE ( SIN IVA)]]*0.003*1.21*50</f>
        <v>0</v>
      </c>
      <c r="AC664" s="845" t="e">
        <f>SUM(Tabla1[[#This Row],[PRECIO $ BOLSA 50 KG (IVA INC) ]]+Tabla1[[#This Row],[COSTO FLETE $ BOLSA 50 KG (IVA INC)]])</f>
        <v>#VALUE!</v>
      </c>
      <c r="AD664" s="844" t="e">
        <f>-Tabla1[[#This Row],[PRECIO $ BOLSA 50 KG (IVA INC) ]]*(Tabla1[[#This Row],[TASA FINANCIACION MENSUAL]]/365)*Tabla1[[#This Row],[PLAZO ENTREGA VALORES]]</f>
        <v>#VALUE!</v>
      </c>
      <c r="AE664" s="845" t="e">
        <f>SUM(Tabla1[[#This Row],[PRECIO $ BOLSA50 KG  FOB TUCUMAN A PLAZO (IVA INC)]]+Tabla1[[#This Row],[GASTOS FINANCIEROS $ BOLSA 50 KG (IVA INC)]])</f>
        <v>#VALUE!</v>
      </c>
      <c r="AF664" s="828"/>
      <c r="AG664" s="828"/>
      <c r="AH664" s="828"/>
      <c r="AI664" s="828"/>
      <c r="AJ66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64" s="846" t="e">
        <f>SUM(Tabla1[[#This Row],[PRECIO $ BOLSA 50KG  FOB CDO TUC (IVA INC)]]-Tabla1[[#This Row],[PRECIO REF $ BOLSA 50 KG CACTU (IVA INC)]])</f>
        <v>#VALUE!</v>
      </c>
      <c r="AL664" s="847" t="str">
        <f>IFERROR(Tabla1[[#This Row],[PRECIO $ BOLSA 50KG  FOB CDO TUC (IVA INC)]]/Tabla1[[#This Row],[PRECIO REF $ BOLSA 50 KG CACTU (IVA INC)]]-1,"")</f>
        <v/>
      </c>
      <c r="AM664" s="846" t="e">
        <f>+Tabla1[[#This Row],[DIF $ PRECIO NETO INDUSTRIA vs Neto TUCUMAN (IVA INC)]]*Tabla1[[#This Row],[Q Bolsas Equivalentes 50kg]]</f>
        <v>#VALUE!</v>
      </c>
      <c r="AN664" s="846" t="e">
        <f>Tabla1[[#This Row],[PRECIO REF $ BOLSA 50 KG CACTU (IVA INC)]]*Tabla1[[#This Row],[Q Bolsas Equivalentes 50kg]]</f>
        <v>#VALUE!</v>
      </c>
      <c r="AO664" s="846" t="e">
        <f>+Tabla1[[#This Row],[PRECIO $ BOLSA 50KG  FOB CDO TUC (IVA INC)]]*Tabla1[[#This Row],[Q Bolsas Equivalentes 50kg]]</f>
        <v>#VALUE!</v>
      </c>
      <c r="AP664" s="847"/>
      <c r="AQ664" s="846">
        <v>0</v>
      </c>
      <c r="AR664" s="828"/>
      <c r="AS664" s="849"/>
      <c r="AT664" s="923">
        <f>+Tabla1[[#This Row],[VENTA TOTAL $ (IVA INC) ]]-(SUM(Tabla1[[#This Row],[PENDIENTE DE ENTREGA]:[VALORES COBRADOS]]))</f>
        <v>0</v>
      </c>
      <c r="AU664" s="850" t="e">
        <f>VLOOKUP(Tabla1[[#This Row],[FECHA OC]],'TIPO DE CAMBIO'!A:B,2,TRUE)</f>
        <v>#N/A</v>
      </c>
      <c r="AV664" s="850" t="e">
        <f>+Tabla1[[#This Row],[SUBTOTAL]]/Tabla1[[#This Row],[TIPO DE CAMBIO]]</f>
        <v>#N/A</v>
      </c>
      <c r="AW664" s="851"/>
      <c r="AX664" s="850" t="str">
        <f>IFERROR(Tabla1[[#This Row],[VENTA TOTAL USD A PLAZO EN CLIENTE  (SIN IVA)]]*(1+Tabla1[[#This Row],[% IVA ]]),"")</f>
        <v/>
      </c>
      <c r="AY664" s="850" t="e">
        <f>+Tabla1[[#This Row],[VENTA TOTAL USD A PLAZO EN CLIENTE  (SIN IVA)]]/Tabla1[[#This Row],[KGS]]*1000</f>
        <v>#N/A</v>
      </c>
      <c r="AZ664" s="850" t="e">
        <f>-Tabla1[[#This Row],[COSTO FLETE $ POR BOLSA 5O KG (SIN IVA)]]*20/Tabla1[[#This Row],[TIPO DE CAMBIO]]</f>
        <v>#N/A</v>
      </c>
      <c r="BA664" s="850" t="e">
        <f>+Tabla1[[#This Row],[GASTOS FINANCIEROS $ BOLSA 50 KG (IVA INC)]]*20/Tabla1[[#This Row],[TIPO DE CAMBIO]]</f>
        <v>#VALUE!</v>
      </c>
      <c r="BB664" s="850" t="e">
        <f>+Tabla1[[#This Row],[PRECIO POR TN USD EN CLIENTE A PLAZO (SIN IVA)]]+Tabla1[[#This Row],[COSTO USD FLETE /TN (SIN IVA)]]+Tabla1[[#This Row],[COSTO FINANCIERO USD POR BOLSA 50KG (IVA INC)]]</f>
        <v>#N/A</v>
      </c>
      <c r="BC664" s="848"/>
      <c r="BD664" s="944"/>
    </row>
    <row r="665" spans="1:56" ht="15.75" customHeight="1">
      <c r="A665" s="912">
        <v>46296</v>
      </c>
      <c r="B665" s="863"/>
      <c r="C665" s="792"/>
      <c r="D665" s="829">
        <f>+Tabla1[[#This Row],[FECHA Entrega]]</f>
        <v>0</v>
      </c>
      <c r="E665" s="830"/>
      <c r="F665" s="831"/>
      <c r="G665" s="832"/>
      <c r="H665" s="852"/>
      <c r="I665" s="834"/>
      <c r="J665" s="835"/>
      <c r="K665" s="836">
        <f t="shared" ref="K665:K728" si="151">+J665*I665</f>
        <v>0</v>
      </c>
      <c r="L66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65" s="837">
        <f t="shared" si="150"/>
        <v>0</v>
      </c>
      <c r="N665" s="838">
        <f>+Tabla1[[#This Row],[VENTA TOTAL $ (IVA INC) ]]</f>
        <v>0</v>
      </c>
      <c r="O665" s="838">
        <v>0</v>
      </c>
      <c r="P665" s="838">
        <v>0</v>
      </c>
      <c r="Q665" s="839">
        <f>+Tabla1[[#This Row],[VENTA TOTAL $ (IVA INC) ]]-Tabla1[[#This Row],[PENDIENTE DE COBRO]]</f>
        <v>0</v>
      </c>
      <c r="R665" s="840">
        <f>+Tabla1[[#This Row],[FECHA FC]]+Tabla1[[#This Row],[PLAZO ENTREGA VALORES]]</f>
        <v>0</v>
      </c>
      <c r="S665" s="840">
        <f>+Tabla1[[#This Row],[FECHA FC]]+Tabla1[[#This Row],[PLAZO PAGO (DIAS)]]</f>
        <v>0</v>
      </c>
      <c r="T665" s="834">
        <f t="shared" ref="T665:T728" ca="1" si="152">+S665-$U$2</f>
        <v>-46181</v>
      </c>
      <c r="U665" s="831"/>
      <c r="V665" s="831"/>
      <c r="W665" s="841">
        <f>+Tabla1[[#This Row],[FECHA VTO VALORES]]+7</f>
        <v>7</v>
      </c>
      <c r="X665" s="830"/>
      <c r="Y665" s="859"/>
      <c r="Z665" s="860">
        <f>Tabla1[[#This Row],[KGS]]/50</f>
        <v>0</v>
      </c>
      <c r="AA66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65" s="844">
        <f>-Tabla1[[#This Row],[COSTO FLETE $ POR BOLSA 5O KG (SIN IVA)]]*1.21-Tabla1[[#This Row],[PRECIO $/ KG A PLAZO EN CLIENTE ( SIN IVA)]]*0.003*1.21*50</f>
        <v>0</v>
      </c>
      <c r="AC665" s="845" t="e">
        <f>SUM(Tabla1[[#This Row],[PRECIO $ BOLSA 50 KG (IVA INC) ]]+Tabla1[[#This Row],[COSTO FLETE $ BOLSA 50 KG (IVA INC)]])</f>
        <v>#VALUE!</v>
      </c>
      <c r="AD665" s="844" t="e">
        <f>-Tabla1[[#This Row],[PRECIO $ BOLSA 50 KG (IVA INC) ]]*(Tabla1[[#This Row],[TASA FINANCIACION MENSUAL]]/365)*Tabla1[[#This Row],[PLAZO ENTREGA VALORES]]</f>
        <v>#VALUE!</v>
      </c>
      <c r="AE665" s="845" t="e">
        <f>SUM(Tabla1[[#This Row],[PRECIO $ BOLSA50 KG  FOB TUCUMAN A PLAZO (IVA INC)]]+Tabla1[[#This Row],[GASTOS FINANCIEROS $ BOLSA 50 KG (IVA INC)]])</f>
        <v>#VALUE!</v>
      </c>
      <c r="AF665" s="828"/>
      <c r="AG665" s="828"/>
      <c r="AH665" s="828"/>
      <c r="AI665" s="828"/>
      <c r="AJ66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65" s="846" t="e">
        <f>SUM(Tabla1[[#This Row],[PRECIO $ BOLSA 50KG  FOB CDO TUC (IVA INC)]]-Tabla1[[#This Row],[PRECIO REF $ BOLSA 50 KG CACTU (IVA INC)]])</f>
        <v>#VALUE!</v>
      </c>
      <c r="AL665" s="847" t="str">
        <f>IFERROR(Tabla1[[#This Row],[PRECIO $ BOLSA 50KG  FOB CDO TUC (IVA INC)]]/Tabla1[[#This Row],[PRECIO REF $ BOLSA 50 KG CACTU (IVA INC)]]-1,"")</f>
        <v/>
      </c>
      <c r="AM665" s="846" t="e">
        <f>+Tabla1[[#This Row],[DIF $ PRECIO NETO INDUSTRIA vs Neto TUCUMAN (IVA INC)]]*Tabla1[[#This Row],[Q Bolsas Equivalentes 50kg]]</f>
        <v>#VALUE!</v>
      </c>
      <c r="AN665" s="846" t="e">
        <f>Tabla1[[#This Row],[PRECIO REF $ BOLSA 50 KG CACTU (IVA INC)]]*Tabla1[[#This Row],[Q Bolsas Equivalentes 50kg]]</f>
        <v>#VALUE!</v>
      </c>
      <c r="AO665" s="846" t="e">
        <f>+Tabla1[[#This Row],[PRECIO $ BOLSA 50KG  FOB CDO TUC (IVA INC)]]*Tabla1[[#This Row],[Q Bolsas Equivalentes 50kg]]</f>
        <v>#VALUE!</v>
      </c>
      <c r="AP665" s="847"/>
      <c r="AQ665" s="846">
        <v>0</v>
      </c>
      <c r="AR665" s="828"/>
      <c r="AS665" s="849"/>
      <c r="AT665" s="923">
        <f>+Tabla1[[#This Row],[VENTA TOTAL $ (IVA INC) ]]-(SUM(Tabla1[[#This Row],[PENDIENTE DE ENTREGA]:[VALORES COBRADOS]]))</f>
        <v>0</v>
      </c>
      <c r="AU665" s="850" t="e">
        <f>VLOOKUP(Tabla1[[#This Row],[FECHA OC]],'TIPO DE CAMBIO'!A:B,2,TRUE)</f>
        <v>#N/A</v>
      </c>
      <c r="AV665" s="850" t="e">
        <f>+Tabla1[[#This Row],[SUBTOTAL]]/Tabla1[[#This Row],[TIPO DE CAMBIO]]</f>
        <v>#N/A</v>
      </c>
      <c r="AW665" s="851"/>
      <c r="AX665" s="850" t="str">
        <f>IFERROR(Tabla1[[#This Row],[VENTA TOTAL USD A PLAZO EN CLIENTE  (SIN IVA)]]*(1+Tabla1[[#This Row],[% IVA ]]),"")</f>
        <v/>
      </c>
      <c r="AY665" s="850" t="e">
        <f>+Tabla1[[#This Row],[VENTA TOTAL USD A PLAZO EN CLIENTE  (SIN IVA)]]/Tabla1[[#This Row],[KGS]]*1000</f>
        <v>#N/A</v>
      </c>
      <c r="AZ665" s="850" t="e">
        <f>-Tabla1[[#This Row],[COSTO FLETE $ POR BOLSA 5O KG (SIN IVA)]]*20/Tabla1[[#This Row],[TIPO DE CAMBIO]]</f>
        <v>#N/A</v>
      </c>
      <c r="BA665" s="850" t="e">
        <f>+Tabla1[[#This Row],[GASTOS FINANCIEROS $ BOLSA 50 KG (IVA INC)]]*20/Tabla1[[#This Row],[TIPO DE CAMBIO]]</f>
        <v>#VALUE!</v>
      </c>
      <c r="BB665" s="850" t="e">
        <f>+Tabla1[[#This Row],[PRECIO POR TN USD EN CLIENTE A PLAZO (SIN IVA)]]+Tabla1[[#This Row],[COSTO USD FLETE /TN (SIN IVA)]]+Tabla1[[#This Row],[COSTO FINANCIERO USD POR BOLSA 50KG (IVA INC)]]</f>
        <v>#N/A</v>
      </c>
      <c r="BC665" s="848"/>
      <c r="BD665" s="944"/>
    </row>
    <row r="666" spans="1:56" ht="15.75" customHeight="1">
      <c r="A666" s="912">
        <v>46296</v>
      </c>
      <c r="B666" s="863"/>
      <c r="C666" s="792"/>
      <c r="D666" s="829">
        <f>+Tabla1[[#This Row],[FECHA Entrega]]</f>
        <v>0</v>
      </c>
      <c r="E666" s="830"/>
      <c r="F666" s="831"/>
      <c r="G666" s="832"/>
      <c r="H666" s="852"/>
      <c r="I666" s="834"/>
      <c r="J666" s="835"/>
      <c r="K666" s="836">
        <f t="shared" si="151"/>
        <v>0</v>
      </c>
      <c r="L66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66" s="837">
        <f t="shared" si="150"/>
        <v>0</v>
      </c>
      <c r="N666" s="838">
        <f>+Tabla1[[#This Row],[VENTA TOTAL $ (IVA INC) ]]</f>
        <v>0</v>
      </c>
      <c r="O666" s="838">
        <v>0</v>
      </c>
      <c r="P666" s="838">
        <v>0</v>
      </c>
      <c r="Q666" s="839">
        <f>+Tabla1[[#This Row],[VENTA TOTAL $ (IVA INC) ]]-Tabla1[[#This Row],[PENDIENTE DE COBRO]]</f>
        <v>0</v>
      </c>
      <c r="R666" s="840">
        <f>+Tabla1[[#This Row],[FECHA FC]]+Tabla1[[#This Row],[PLAZO ENTREGA VALORES]]</f>
        <v>0</v>
      </c>
      <c r="S666" s="840">
        <f>+Tabla1[[#This Row],[FECHA FC]]+Tabla1[[#This Row],[PLAZO PAGO (DIAS)]]</f>
        <v>0</v>
      </c>
      <c r="T666" s="834">
        <f t="shared" ca="1" si="152"/>
        <v>-46181</v>
      </c>
      <c r="U666" s="831"/>
      <c r="V666" s="831"/>
      <c r="W666" s="841">
        <f>+Tabla1[[#This Row],[FECHA VTO VALORES]]+7</f>
        <v>7</v>
      </c>
      <c r="X666" s="830"/>
      <c r="Y666" s="859"/>
      <c r="Z666" s="860">
        <f>Tabla1[[#This Row],[KGS]]/50</f>
        <v>0</v>
      </c>
      <c r="AA66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66" s="844">
        <f>-Tabla1[[#This Row],[COSTO FLETE $ POR BOLSA 5O KG (SIN IVA)]]*1.21-Tabla1[[#This Row],[PRECIO $/ KG A PLAZO EN CLIENTE ( SIN IVA)]]*0.003*1.21*50</f>
        <v>0</v>
      </c>
      <c r="AC666" s="845" t="e">
        <f>SUM(Tabla1[[#This Row],[PRECIO $ BOLSA 50 KG (IVA INC) ]]+Tabla1[[#This Row],[COSTO FLETE $ BOLSA 50 KG (IVA INC)]])</f>
        <v>#VALUE!</v>
      </c>
      <c r="AD666" s="844" t="e">
        <f>-Tabla1[[#This Row],[PRECIO $ BOLSA 50 KG (IVA INC) ]]*(Tabla1[[#This Row],[TASA FINANCIACION MENSUAL]]/365)*Tabla1[[#This Row],[PLAZO ENTREGA VALORES]]</f>
        <v>#VALUE!</v>
      </c>
      <c r="AE666" s="845" t="e">
        <f>SUM(Tabla1[[#This Row],[PRECIO $ BOLSA50 KG  FOB TUCUMAN A PLAZO (IVA INC)]]+Tabla1[[#This Row],[GASTOS FINANCIEROS $ BOLSA 50 KG (IVA INC)]])</f>
        <v>#VALUE!</v>
      </c>
      <c r="AF666" s="828"/>
      <c r="AG666" s="828"/>
      <c r="AH666" s="828"/>
      <c r="AI666" s="828"/>
      <c r="AJ66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66" s="846" t="e">
        <f>SUM(Tabla1[[#This Row],[PRECIO $ BOLSA 50KG  FOB CDO TUC (IVA INC)]]-Tabla1[[#This Row],[PRECIO REF $ BOLSA 50 KG CACTU (IVA INC)]])</f>
        <v>#VALUE!</v>
      </c>
      <c r="AL666" s="847" t="str">
        <f>IFERROR(Tabla1[[#This Row],[PRECIO $ BOLSA 50KG  FOB CDO TUC (IVA INC)]]/Tabla1[[#This Row],[PRECIO REF $ BOLSA 50 KG CACTU (IVA INC)]]-1,"")</f>
        <v/>
      </c>
      <c r="AM666" s="846" t="e">
        <f>+Tabla1[[#This Row],[DIF $ PRECIO NETO INDUSTRIA vs Neto TUCUMAN (IVA INC)]]*Tabla1[[#This Row],[Q Bolsas Equivalentes 50kg]]</f>
        <v>#VALUE!</v>
      </c>
      <c r="AN666" s="846" t="e">
        <f>Tabla1[[#This Row],[PRECIO REF $ BOLSA 50 KG CACTU (IVA INC)]]*Tabla1[[#This Row],[Q Bolsas Equivalentes 50kg]]</f>
        <v>#VALUE!</v>
      </c>
      <c r="AO666" s="846" t="e">
        <f>+Tabla1[[#This Row],[PRECIO $ BOLSA 50KG  FOB CDO TUC (IVA INC)]]*Tabla1[[#This Row],[Q Bolsas Equivalentes 50kg]]</f>
        <v>#VALUE!</v>
      </c>
      <c r="AP666" s="847"/>
      <c r="AQ666" s="846">
        <v>0</v>
      </c>
      <c r="AR666" s="828"/>
      <c r="AS666" s="849"/>
      <c r="AT666" s="923">
        <f>+Tabla1[[#This Row],[VENTA TOTAL $ (IVA INC) ]]-(SUM(Tabla1[[#This Row],[PENDIENTE DE ENTREGA]:[VALORES COBRADOS]]))</f>
        <v>0</v>
      </c>
      <c r="AU666" s="850" t="e">
        <f>VLOOKUP(Tabla1[[#This Row],[FECHA OC]],'TIPO DE CAMBIO'!A:B,2,TRUE)</f>
        <v>#N/A</v>
      </c>
      <c r="AV666" s="850" t="e">
        <f>+Tabla1[[#This Row],[SUBTOTAL]]/Tabla1[[#This Row],[TIPO DE CAMBIO]]</f>
        <v>#N/A</v>
      </c>
      <c r="AW666" s="851"/>
      <c r="AX666" s="850" t="str">
        <f>IFERROR(Tabla1[[#This Row],[VENTA TOTAL USD A PLAZO EN CLIENTE  (SIN IVA)]]*(1+Tabla1[[#This Row],[% IVA ]]),"")</f>
        <v/>
      </c>
      <c r="AY666" s="850" t="e">
        <f>+Tabla1[[#This Row],[VENTA TOTAL USD A PLAZO EN CLIENTE  (SIN IVA)]]/Tabla1[[#This Row],[KGS]]*1000</f>
        <v>#N/A</v>
      </c>
      <c r="AZ666" s="850" t="e">
        <f>-Tabla1[[#This Row],[COSTO FLETE $ POR BOLSA 5O KG (SIN IVA)]]*20/Tabla1[[#This Row],[TIPO DE CAMBIO]]</f>
        <v>#N/A</v>
      </c>
      <c r="BA666" s="850" t="e">
        <f>+Tabla1[[#This Row],[GASTOS FINANCIEROS $ BOLSA 50 KG (IVA INC)]]*20/Tabla1[[#This Row],[TIPO DE CAMBIO]]</f>
        <v>#VALUE!</v>
      </c>
      <c r="BB666" s="850" t="e">
        <f>+Tabla1[[#This Row],[PRECIO POR TN USD EN CLIENTE A PLAZO (SIN IVA)]]+Tabla1[[#This Row],[COSTO USD FLETE /TN (SIN IVA)]]+Tabla1[[#This Row],[COSTO FINANCIERO USD POR BOLSA 50KG (IVA INC)]]</f>
        <v>#N/A</v>
      </c>
      <c r="BC666" s="848"/>
      <c r="BD666" s="944"/>
    </row>
    <row r="667" spans="1:56" ht="15.75" customHeight="1">
      <c r="A667" s="912">
        <v>46296</v>
      </c>
      <c r="B667" s="863"/>
      <c r="C667" s="792"/>
      <c r="D667" s="829">
        <f>+Tabla1[[#This Row],[FECHA Entrega]]</f>
        <v>0</v>
      </c>
      <c r="E667" s="830"/>
      <c r="F667" s="831"/>
      <c r="G667" s="832"/>
      <c r="H667" s="852"/>
      <c r="I667" s="834"/>
      <c r="J667" s="835"/>
      <c r="K667" s="836">
        <f t="shared" si="151"/>
        <v>0</v>
      </c>
      <c r="L66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67" s="837">
        <f t="shared" si="150"/>
        <v>0</v>
      </c>
      <c r="N667" s="838">
        <f>+Tabla1[[#This Row],[VENTA TOTAL $ (IVA INC) ]]</f>
        <v>0</v>
      </c>
      <c r="O667" s="838">
        <v>0</v>
      </c>
      <c r="P667" s="838">
        <v>0</v>
      </c>
      <c r="Q667" s="839">
        <f>+Tabla1[[#This Row],[VENTA TOTAL $ (IVA INC) ]]-Tabla1[[#This Row],[PENDIENTE DE COBRO]]</f>
        <v>0</v>
      </c>
      <c r="R667" s="840">
        <f>+Tabla1[[#This Row],[FECHA FC]]+Tabla1[[#This Row],[PLAZO ENTREGA VALORES]]</f>
        <v>0</v>
      </c>
      <c r="S667" s="840">
        <f>+Tabla1[[#This Row],[FECHA FC]]+Tabla1[[#This Row],[PLAZO PAGO (DIAS)]]</f>
        <v>0</v>
      </c>
      <c r="T667" s="834">
        <f t="shared" ca="1" si="152"/>
        <v>-46181</v>
      </c>
      <c r="U667" s="831"/>
      <c r="V667" s="831"/>
      <c r="W667" s="841">
        <f>+Tabla1[[#This Row],[FECHA VTO VALORES]]+7</f>
        <v>7</v>
      </c>
      <c r="X667" s="830"/>
      <c r="Y667" s="859"/>
      <c r="Z667" s="860">
        <f>Tabla1[[#This Row],[KGS]]/50</f>
        <v>0</v>
      </c>
      <c r="AA66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67" s="844">
        <f>-Tabla1[[#This Row],[COSTO FLETE $ POR BOLSA 5O KG (SIN IVA)]]*1.21-Tabla1[[#This Row],[PRECIO $/ KG A PLAZO EN CLIENTE ( SIN IVA)]]*0.003*1.21*50</f>
        <v>0</v>
      </c>
      <c r="AC667" s="845" t="e">
        <f>SUM(Tabla1[[#This Row],[PRECIO $ BOLSA 50 KG (IVA INC) ]]+Tabla1[[#This Row],[COSTO FLETE $ BOLSA 50 KG (IVA INC)]])</f>
        <v>#VALUE!</v>
      </c>
      <c r="AD667" s="844" t="e">
        <f>-Tabla1[[#This Row],[PRECIO $ BOLSA 50 KG (IVA INC) ]]*(Tabla1[[#This Row],[TASA FINANCIACION MENSUAL]]/365)*Tabla1[[#This Row],[PLAZO ENTREGA VALORES]]</f>
        <v>#VALUE!</v>
      </c>
      <c r="AE667" s="845" t="e">
        <f>SUM(Tabla1[[#This Row],[PRECIO $ BOLSA50 KG  FOB TUCUMAN A PLAZO (IVA INC)]]+Tabla1[[#This Row],[GASTOS FINANCIEROS $ BOLSA 50 KG (IVA INC)]])</f>
        <v>#VALUE!</v>
      </c>
      <c r="AF667" s="828"/>
      <c r="AG667" s="828"/>
      <c r="AH667" s="828"/>
      <c r="AI667" s="828"/>
      <c r="AJ66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67" s="846" t="e">
        <f>SUM(Tabla1[[#This Row],[PRECIO $ BOLSA 50KG  FOB CDO TUC (IVA INC)]]-Tabla1[[#This Row],[PRECIO REF $ BOLSA 50 KG CACTU (IVA INC)]])</f>
        <v>#VALUE!</v>
      </c>
      <c r="AL667" s="847" t="str">
        <f>IFERROR(Tabla1[[#This Row],[PRECIO $ BOLSA 50KG  FOB CDO TUC (IVA INC)]]/Tabla1[[#This Row],[PRECIO REF $ BOLSA 50 KG CACTU (IVA INC)]]-1,"")</f>
        <v/>
      </c>
      <c r="AM667" s="846" t="e">
        <f>+Tabla1[[#This Row],[DIF $ PRECIO NETO INDUSTRIA vs Neto TUCUMAN (IVA INC)]]*Tabla1[[#This Row],[Q Bolsas Equivalentes 50kg]]</f>
        <v>#VALUE!</v>
      </c>
      <c r="AN667" s="846" t="e">
        <f>Tabla1[[#This Row],[PRECIO REF $ BOLSA 50 KG CACTU (IVA INC)]]*Tabla1[[#This Row],[Q Bolsas Equivalentes 50kg]]</f>
        <v>#VALUE!</v>
      </c>
      <c r="AO667" s="846" t="e">
        <f>+Tabla1[[#This Row],[PRECIO $ BOLSA 50KG  FOB CDO TUC (IVA INC)]]*Tabla1[[#This Row],[Q Bolsas Equivalentes 50kg]]</f>
        <v>#VALUE!</v>
      </c>
      <c r="AP667" s="847"/>
      <c r="AQ667" s="846">
        <v>0</v>
      </c>
      <c r="AR667" s="828"/>
      <c r="AS667" s="849"/>
      <c r="AT667" s="923">
        <f>+Tabla1[[#This Row],[VENTA TOTAL $ (IVA INC) ]]-(SUM(Tabla1[[#This Row],[PENDIENTE DE ENTREGA]:[VALORES COBRADOS]]))</f>
        <v>0</v>
      </c>
      <c r="AU667" s="850" t="e">
        <f>VLOOKUP(Tabla1[[#This Row],[FECHA OC]],'TIPO DE CAMBIO'!A:B,2,TRUE)</f>
        <v>#N/A</v>
      </c>
      <c r="AV667" s="850" t="e">
        <f>+Tabla1[[#This Row],[SUBTOTAL]]/Tabla1[[#This Row],[TIPO DE CAMBIO]]</f>
        <v>#N/A</v>
      </c>
      <c r="AW667" s="851"/>
      <c r="AX667" s="850" t="str">
        <f>IFERROR(Tabla1[[#This Row],[VENTA TOTAL USD A PLAZO EN CLIENTE  (SIN IVA)]]*(1+Tabla1[[#This Row],[% IVA ]]),"")</f>
        <v/>
      </c>
      <c r="AY667" s="850" t="e">
        <f>+Tabla1[[#This Row],[VENTA TOTAL USD A PLAZO EN CLIENTE  (SIN IVA)]]/Tabla1[[#This Row],[KGS]]*1000</f>
        <v>#N/A</v>
      </c>
      <c r="AZ667" s="850" t="e">
        <f>-Tabla1[[#This Row],[COSTO FLETE $ POR BOLSA 5O KG (SIN IVA)]]*20/Tabla1[[#This Row],[TIPO DE CAMBIO]]</f>
        <v>#N/A</v>
      </c>
      <c r="BA667" s="850" t="e">
        <f>+Tabla1[[#This Row],[GASTOS FINANCIEROS $ BOLSA 50 KG (IVA INC)]]*20/Tabla1[[#This Row],[TIPO DE CAMBIO]]</f>
        <v>#VALUE!</v>
      </c>
      <c r="BB667" s="850" t="e">
        <f>+Tabla1[[#This Row],[PRECIO POR TN USD EN CLIENTE A PLAZO (SIN IVA)]]+Tabla1[[#This Row],[COSTO USD FLETE /TN (SIN IVA)]]+Tabla1[[#This Row],[COSTO FINANCIERO USD POR BOLSA 50KG (IVA INC)]]</f>
        <v>#N/A</v>
      </c>
      <c r="BC667" s="848"/>
      <c r="BD667" s="944"/>
    </row>
    <row r="668" spans="1:56" ht="15.75" customHeight="1">
      <c r="A668" s="912">
        <v>46296</v>
      </c>
      <c r="B668" s="863"/>
      <c r="C668" s="792"/>
      <c r="D668" s="829">
        <f>+Tabla1[[#This Row],[FECHA Entrega]]</f>
        <v>0</v>
      </c>
      <c r="E668" s="830"/>
      <c r="F668" s="831"/>
      <c r="G668" s="832"/>
      <c r="H668" s="852"/>
      <c r="I668" s="834"/>
      <c r="J668" s="835"/>
      <c r="K668" s="836">
        <f t="shared" si="151"/>
        <v>0</v>
      </c>
      <c r="L66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68" s="837">
        <f t="shared" si="150"/>
        <v>0</v>
      </c>
      <c r="N668" s="838">
        <f>+Tabla1[[#This Row],[VENTA TOTAL $ (IVA INC) ]]</f>
        <v>0</v>
      </c>
      <c r="O668" s="838">
        <v>0</v>
      </c>
      <c r="P668" s="838">
        <v>0</v>
      </c>
      <c r="Q668" s="839">
        <f>+Tabla1[[#This Row],[VENTA TOTAL $ (IVA INC) ]]-Tabla1[[#This Row],[PENDIENTE DE COBRO]]</f>
        <v>0</v>
      </c>
      <c r="R668" s="840">
        <f>+Tabla1[[#This Row],[FECHA FC]]+Tabla1[[#This Row],[PLAZO ENTREGA VALORES]]</f>
        <v>0</v>
      </c>
      <c r="S668" s="840">
        <f>+Tabla1[[#This Row],[FECHA FC]]+Tabla1[[#This Row],[PLAZO PAGO (DIAS)]]</f>
        <v>0</v>
      </c>
      <c r="T668" s="834">
        <f t="shared" ca="1" si="152"/>
        <v>-46181</v>
      </c>
      <c r="U668" s="831"/>
      <c r="V668" s="831"/>
      <c r="W668" s="841">
        <f>+Tabla1[[#This Row],[FECHA VTO VALORES]]+7</f>
        <v>7</v>
      </c>
      <c r="X668" s="830"/>
      <c r="Y668" s="859"/>
      <c r="Z668" s="860">
        <f>Tabla1[[#This Row],[KGS]]/50</f>
        <v>0</v>
      </c>
      <c r="AA66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68" s="844">
        <f>-Tabla1[[#This Row],[COSTO FLETE $ POR BOLSA 5O KG (SIN IVA)]]*1.21-Tabla1[[#This Row],[PRECIO $/ KG A PLAZO EN CLIENTE ( SIN IVA)]]*0.003*1.21*50</f>
        <v>0</v>
      </c>
      <c r="AC668" s="845" t="e">
        <f>SUM(Tabla1[[#This Row],[PRECIO $ BOLSA 50 KG (IVA INC) ]]+Tabla1[[#This Row],[COSTO FLETE $ BOLSA 50 KG (IVA INC)]])</f>
        <v>#VALUE!</v>
      </c>
      <c r="AD668" s="844" t="e">
        <f>-Tabla1[[#This Row],[PRECIO $ BOLSA 50 KG (IVA INC) ]]*(Tabla1[[#This Row],[TASA FINANCIACION MENSUAL]]/365)*Tabla1[[#This Row],[PLAZO ENTREGA VALORES]]</f>
        <v>#VALUE!</v>
      </c>
      <c r="AE668" s="845" t="e">
        <f>SUM(Tabla1[[#This Row],[PRECIO $ BOLSA50 KG  FOB TUCUMAN A PLAZO (IVA INC)]]+Tabla1[[#This Row],[GASTOS FINANCIEROS $ BOLSA 50 KG (IVA INC)]])</f>
        <v>#VALUE!</v>
      </c>
      <c r="AF668" s="828"/>
      <c r="AG668" s="828"/>
      <c r="AH668" s="828"/>
      <c r="AI668" s="828"/>
      <c r="AJ66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68" s="846" t="e">
        <f>SUM(Tabla1[[#This Row],[PRECIO $ BOLSA 50KG  FOB CDO TUC (IVA INC)]]-Tabla1[[#This Row],[PRECIO REF $ BOLSA 50 KG CACTU (IVA INC)]])</f>
        <v>#VALUE!</v>
      </c>
      <c r="AL668" s="847" t="str">
        <f>IFERROR(Tabla1[[#This Row],[PRECIO $ BOLSA 50KG  FOB CDO TUC (IVA INC)]]/Tabla1[[#This Row],[PRECIO REF $ BOLSA 50 KG CACTU (IVA INC)]]-1,"")</f>
        <v/>
      </c>
      <c r="AM668" s="846" t="e">
        <f>+Tabla1[[#This Row],[DIF $ PRECIO NETO INDUSTRIA vs Neto TUCUMAN (IVA INC)]]*Tabla1[[#This Row],[Q Bolsas Equivalentes 50kg]]</f>
        <v>#VALUE!</v>
      </c>
      <c r="AN668" s="846" t="e">
        <f>Tabla1[[#This Row],[PRECIO REF $ BOLSA 50 KG CACTU (IVA INC)]]*Tabla1[[#This Row],[Q Bolsas Equivalentes 50kg]]</f>
        <v>#VALUE!</v>
      </c>
      <c r="AO668" s="846" t="e">
        <f>+Tabla1[[#This Row],[PRECIO $ BOLSA 50KG  FOB CDO TUC (IVA INC)]]*Tabla1[[#This Row],[Q Bolsas Equivalentes 50kg]]</f>
        <v>#VALUE!</v>
      </c>
      <c r="AP668" s="847"/>
      <c r="AQ668" s="846">
        <v>0</v>
      </c>
      <c r="AR668" s="828"/>
      <c r="AS668" s="849"/>
      <c r="AT668" s="923">
        <f>+Tabla1[[#This Row],[VENTA TOTAL $ (IVA INC) ]]-(SUM(Tabla1[[#This Row],[PENDIENTE DE ENTREGA]:[VALORES COBRADOS]]))</f>
        <v>0</v>
      </c>
      <c r="AU668" s="850" t="e">
        <f>VLOOKUP(Tabla1[[#This Row],[FECHA OC]],'TIPO DE CAMBIO'!A:B,2,TRUE)</f>
        <v>#N/A</v>
      </c>
      <c r="AV668" s="850" t="e">
        <f>+Tabla1[[#This Row],[SUBTOTAL]]/Tabla1[[#This Row],[TIPO DE CAMBIO]]</f>
        <v>#N/A</v>
      </c>
      <c r="AW668" s="851"/>
      <c r="AX668" s="850" t="str">
        <f>IFERROR(Tabla1[[#This Row],[VENTA TOTAL USD A PLAZO EN CLIENTE  (SIN IVA)]]*(1+Tabla1[[#This Row],[% IVA ]]),"")</f>
        <v/>
      </c>
      <c r="AY668" s="850" t="e">
        <f>+Tabla1[[#This Row],[VENTA TOTAL USD A PLAZO EN CLIENTE  (SIN IVA)]]/Tabla1[[#This Row],[KGS]]*1000</f>
        <v>#N/A</v>
      </c>
      <c r="AZ668" s="850" t="e">
        <f>-Tabla1[[#This Row],[COSTO FLETE $ POR BOLSA 5O KG (SIN IVA)]]*20/Tabla1[[#This Row],[TIPO DE CAMBIO]]</f>
        <v>#N/A</v>
      </c>
      <c r="BA668" s="850" t="e">
        <f>+Tabla1[[#This Row],[GASTOS FINANCIEROS $ BOLSA 50 KG (IVA INC)]]*20/Tabla1[[#This Row],[TIPO DE CAMBIO]]</f>
        <v>#VALUE!</v>
      </c>
      <c r="BB668" s="850" t="e">
        <f>+Tabla1[[#This Row],[PRECIO POR TN USD EN CLIENTE A PLAZO (SIN IVA)]]+Tabla1[[#This Row],[COSTO USD FLETE /TN (SIN IVA)]]+Tabla1[[#This Row],[COSTO FINANCIERO USD POR BOLSA 50KG (IVA INC)]]</f>
        <v>#N/A</v>
      </c>
      <c r="BC668" s="848"/>
      <c r="BD668" s="944"/>
    </row>
    <row r="669" spans="1:56" ht="15.75" customHeight="1">
      <c r="A669" s="912">
        <v>46296</v>
      </c>
      <c r="B669" s="863"/>
      <c r="C669" s="792"/>
      <c r="D669" s="829">
        <f>+Tabla1[[#This Row],[FECHA Entrega]]</f>
        <v>0</v>
      </c>
      <c r="E669" s="830"/>
      <c r="F669" s="831"/>
      <c r="G669" s="832"/>
      <c r="H669" s="852"/>
      <c r="I669" s="834"/>
      <c r="J669" s="835"/>
      <c r="K669" s="836">
        <f t="shared" si="151"/>
        <v>0</v>
      </c>
      <c r="L66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69" s="837">
        <f t="shared" si="150"/>
        <v>0</v>
      </c>
      <c r="N669" s="838">
        <f>+Tabla1[[#This Row],[VENTA TOTAL $ (IVA INC) ]]</f>
        <v>0</v>
      </c>
      <c r="O669" s="838">
        <v>0</v>
      </c>
      <c r="P669" s="838">
        <v>0</v>
      </c>
      <c r="Q669" s="839">
        <f>+Tabla1[[#This Row],[VENTA TOTAL $ (IVA INC) ]]-Tabla1[[#This Row],[PENDIENTE DE COBRO]]</f>
        <v>0</v>
      </c>
      <c r="R669" s="840">
        <f>+Tabla1[[#This Row],[FECHA FC]]+Tabla1[[#This Row],[PLAZO ENTREGA VALORES]]</f>
        <v>0</v>
      </c>
      <c r="S669" s="840">
        <f>+Tabla1[[#This Row],[FECHA FC]]+Tabla1[[#This Row],[PLAZO PAGO (DIAS)]]</f>
        <v>0</v>
      </c>
      <c r="T669" s="834">
        <f t="shared" ca="1" si="152"/>
        <v>-46181</v>
      </c>
      <c r="U669" s="831"/>
      <c r="V669" s="831"/>
      <c r="W669" s="841">
        <f>+Tabla1[[#This Row],[FECHA VTO VALORES]]+7</f>
        <v>7</v>
      </c>
      <c r="X669" s="830"/>
      <c r="Y669" s="859"/>
      <c r="Z669" s="860">
        <f>Tabla1[[#This Row],[KGS]]/50</f>
        <v>0</v>
      </c>
      <c r="AA66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69" s="844">
        <f>-Tabla1[[#This Row],[COSTO FLETE $ POR BOLSA 5O KG (SIN IVA)]]*1.21-Tabla1[[#This Row],[PRECIO $/ KG A PLAZO EN CLIENTE ( SIN IVA)]]*0.003*1.21*50</f>
        <v>0</v>
      </c>
      <c r="AC669" s="845" t="e">
        <f>SUM(Tabla1[[#This Row],[PRECIO $ BOLSA 50 KG (IVA INC) ]]+Tabla1[[#This Row],[COSTO FLETE $ BOLSA 50 KG (IVA INC)]])</f>
        <v>#VALUE!</v>
      </c>
      <c r="AD669" s="844" t="e">
        <f>-Tabla1[[#This Row],[PRECIO $ BOLSA 50 KG (IVA INC) ]]*(Tabla1[[#This Row],[TASA FINANCIACION MENSUAL]]/365)*Tabla1[[#This Row],[PLAZO ENTREGA VALORES]]</f>
        <v>#VALUE!</v>
      </c>
      <c r="AE669" s="845" t="e">
        <f>SUM(Tabla1[[#This Row],[PRECIO $ BOLSA50 KG  FOB TUCUMAN A PLAZO (IVA INC)]]+Tabla1[[#This Row],[GASTOS FINANCIEROS $ BOLSA 50 KG (IVA INC)]])</f>
        <v>#VALUE!</v>
      </c>
      <c r="AF669" s="828"/>
      <c r="AG669" s="828"/>
      <c r="AH669" s="828"/>
      <c r="AI669" s="828"/>
      <c r="AJ66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69" s="846" t="e">
        <f>SUM(Tabla1[[#This Row],[PRECIO $ BOLSA 50KG  FOB CDO TUC (IVA INC)]]-Tabla1[[#This Row],[PRECIO REF $ BOLSA 50 KG CACTU (IVA INC)]])</f>
        <v>#VALUE!</v>
      </c>
      <c r="AL669" s="847" t="str">
        <f>IFERROR(Tabla1[[#This Row],[PRECIO $ BOLSA 50KG  FOB CDO TUC (IVA INC)]]/Tabla1[[#This Row],[PRECIO REF $ BOLSA 50 KG CACTU (IVA INC)]]-1,"")</f>
        <v/>
      </c>
      <c r="AM669" s="846" t="e">
        <f>+Tabla1[[#This Row],[DIF $ PRECIO NETO INDUSTRIA vs Neto TUCUMAN (IVA INC)]]*Tabla1[[#This Row],[Q Bolsas Equivalentes 50kg]]</f>
        <v>#VALUE!</v>
      </c>
      <c r="AN669" s="846" t="e">
        <f>Tabla1[[#This Row],[PRECIO REF $ BOLSA 50 KG CACTU (IVA INC)]]*Tabla1[[#This Row],[Q Bolsas Equivalentes 50kg]]</f>
        <v>#VALUE!</v>
      </c>
      <c r="AO669" s="846" t="e">
        <f>+Tabla1[[#This Row],[PRECIO $ BOLSA 50KG  FOB CDO TUC (IVA INC)]]*Tabla1[[#This Row],[Q Bolsas Equivalentes 50kg]]</f>
        <v>#VALUE!</v>
      </c>
      <c r="AP669" s="847"/>
      <c r="AQ669" s="846">
        <v>0</v>
      </c>
      <c r="AR669" s="828"/>
      <c r="AS669" s="849"/>
      <c r="AT669" s="923">
        <f>+Tabla1[[#This Row],[VENTA TOTAL $ (IVA INC) ]]-(SUM(Tabla1[[#This Row],[PENDIENTE DE ENTREGA]:[VALORES COBRADOS]]))</f>
        <v>0</v>
      </c>
      <c r="AU669" s="850" t="e">
        <f>VLOOKUP(Tabla1[[#This Row],[FECHA OC]],'TIPO DE CAMBIO'!A:B,2,TRUE)</f>
        <v>#N/A</v>
      </c>
      <c r="AV669" s="850" t="e">
        <f>+Tabla1[[#This Row],[SUBTOTAL]]/Tabla1[[#This Row],[TIPO DE CAMBIO]]</f>
        <v>#N/A</v>
      </c>
      <c r="AW669" s="851"/>
      <c r="AX669" s="850" t="str">
        <f>IFERROR(Tabla1[[#This Row],[VENTA TOTAL USD A PLAZO EN CLIENTE  (SIN IVA)]]*(1+Tabla1[[#This Row],[% IVA ]]),"")</f>
        <v/>
      </c>
      <c r="AY669" s="850" t="e">
        <f>+Tabla1[[#This Row],[VENTA TOTAL USD A PLAZO EN CLIENTE  (SIN IVA)]]/Tabla1[[#This Row],[KGS]]*1000</f>
        <v>#N/A</v>
      </c>
      <c r="AZ669" s="850" t="e">
        <f>-Tabla1[[#This Row],[COSTO FLETE $ POR BOLSA 5O KG (SIN IVA)]]*20/Tabla1[[#This Row],[TIPO DE CAMBIO]]</f>
        <v>#N/A</v>
      </c>
      <c r="BA669" s="850" t="e">
        <f>+Tabla1[[#This Row],[GASTOS FINANCIEROS $ BOLSA 50 KG (IVA INC)]]*20/Tabla1[[#This Row],[TIPO DE CAMBIO]]</f>
        <v>#VALUE!</v>
      </c>
      <c r="BB669" s="850" t="e">
        <f>+Tabla1[[#This Row],[PRECIO POR TN USD EN CLIENTE A PLAZO (SIN IVA)]]+Tabla1[[#This Row],[COSTO USD FLETE /TN (SIN IVA)]]+Tabla1[[#This Row],[COSTO FINANCIERO USD POR BOLSA 50KG (IVA INC)]]</f>
        <v>#N/A</v>
      </c>
      <c r="BC669" s="848"/>
      <c r="BD669" s="944"/>
    </row>
    <row r="670" spans="1:56" ht="15.75" customHeight="1">
      <c r="A670" s="912">
        <v>46296</v>
      </c>
      <c r="B670" s="863"/>
      <c r="C670" s="792"/>
      <c r="D670" s="829">
        <f>+Tabla1[[#This Row],[FECHA Entrega]]</f>
        <v>0</v>
      </c>
      <c r="E670" s="830"/>
      <c r="F670" s="831"/>
      <c r="G670" s="832"/>
      <c r="H670" s="852"/>
      <c r="I670" s="834"/>
      <c r="J670" s="835"/>
      <c r="K670" s="836">
        <f t="shared" si="151"/>
        <v>0</v>
      </c>
      <c r="L67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70" s="837">
        <f t="shared" si="150"/>
        <v>0</v>
      </c>
      <c r="N670" s="838">
        <f>+Tabla1[[#This Row],[VENTA TOTAL $ (IVA INC) ]]</f>
        <v>0</v>
      </c>
      <c r="O670" s="838">
        <v>0</v>
      </c>
      <c r="P670" s="838">
        <v>0</v>
      </c>
      <c r="Q670" s="839">
        <f>+Tabla1[[#This Row],[VENTA TOTAL $ (IVA INC) ]]-Tabla1[[#This Row],[PENDIENTE DE COBRO]]</f>
        <v>0</v>
      </c>
      <c r="R670" s="840">
        <f>+Tabla1[[#This Row],[FECHA FC]]+Tabla1[[#This Row],[PLAZO ENTREGA VALORES]]</f>
        <v>0</v>
      </c>
      <c r="S670" s="840">
        <f>+Tabla1[[#This Row],[FECHA FC]]+Tabla1[[#This Row],[PLAZO PAGO (DIAS)]]</f>
        <v>0</v>
      </c>
      <c r="T670" s="834">
        <f t="shared" ca="1" si="152"/>
        <v>-46181</v>
      </c>
      <c r="U670" s="831"/>
      <c r="V670" s="831"/>
      <c r="W670" s="841">
        <f>+Tabla1[[#This Row],[FECHA VTO VALORES]]+7</f>
        <v>7</v>
      </c>
      <c r="X670" s="830"/>
      <c r="Y670" s="859"/>
      <c r="Z670" s="860">
        <f>Tabla1[[#This Row],[KGS]]/50</f>
        <v>0</v>
      </c>
      <c r="AA67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70" s="844">
        <f>-Tabla1[[#This Row],[COSTO FLETE $ POR BOLSA 5O KG (SIN IVA)]]*1.21-Tabla1[[#This Row],[PRECIO $/ KG A PLAZO EN CLIENTE ( SIN IVA)]]*0.003*1.21*50</f>
        <v>0</v>
      </c>
      <c r="AC670" s="845" t="e">
        <f>SUM(Tabla1[[#This Row],[PRECIO $ BOLSA 50 KG (IVA INC) ]]+Tabla1[[#This Row],[COSTO FLETE $ BOLSA 50 KG (IVA INC)]])</f>
        <v>#VALUE!</v>
      </c>
      <c r="AD670" s="844" t="e">
        <f>-Tabla1[[#This Row],[PRECIO $ BOLSA 50 KG (IVA INC) ]]*(Tabla1[[#This Row],[TASA FINANCIACION MENSUAL]]/365)*Tabla1[[#This Row],[PLAZO ENTREGA VALORES]]</f>
        <v>#VALUE!</v>
      </c>
      <c r="AE670" s="845" t="e">
        <f>SUM(Tabla1[[#This Row],[PRECIO $ BOLSA50 KG  FOB TUCUMAN A PLAZO (IVA INC)]]+Tabla1[[#This Row],[GASTOS FINANCIEROS $ BOLSA 50 KG (IVA INC)]])</f>
        <v>#VALUE!</v>
      </c>
      <c r="AF670" s="828"/>
      <c r="AG670" s="828"/>
      <c r="AH670" s="828"/>
      <c r="AI670" s="828"/>
      <c r="AJ67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70" s="846" t="e">
        <f>SUM(Tabla1[[#This Row],[PRECIO $ BOLSA 50KG  FOB CDO TUC (IVA INC)]]-Tabla1[[#This Row],[PRECIO REF $ BOLSA 50 KG CACTU (IVA INC)]])</f>
        <v>#VALUE!</v>
      </c>
      <c r="AL670" s="847" t="str">
        <f>IFERROR(Tabla1[[#This Row],[PRECIO $ BOLSA 50KG  FOB CDO TUC (IVA INC)]]/Tabla1[[#This Row],[PRECIO REF $ BOLSA 50 KG CACTU (IVA INC)]]-1,"")</f>
        <v/>
      </c>
      <c r="AM670" s="846" t="e">
        <f>+Tabla1[[#This Row],[DIF $ PRECIO NETO INDUSTRIA vs Neto TUCUMAN (IVA INC)]]*Tabla1[[#This Row],[Q Bolsas Equivalentes 50kg]]</f>
        <v>#VALUE!</v>
      </c>
      <c r="AN670" s="846" t="e">
        <f>Tabla1[[#This Row],[PRECIO REF $ BOLSA 50 KG CACTU (IVA INC)]]*Tabla1[[#This Row],[Q Bolsas Equivalentes 50kg]]</f>
        <v>#VALUE!</v>
      </c>
      <c r="AO670" s="846" t="e">
        <f>+Tabla1[[#This Row],[PRECIO $ BOLSA 50KG  FOB CDO TUC (IVA INC)]]*Tabla1[[#This Row],[Q Bolsas Equivalentes 50kg]]</f>
        <v>#VALUE!</v>
      </c>
      <c r="AP670" s="847"/>
      <c r="AQ670" s="846">
        <v>0</v>
      </c>
      <c r="AR670" s="828"/>
      <c r="AS670" s="849"/>
      <c r="AT670" s="923">
        <f>+Tabla1[[#This Row],[VENTA TOTAL $ (IVA INC) ]]-(SUM(Tabla1[[#This Row],[PENDIENTE DE ENTREGA]:[VALORES COBRADOS]]))</f>
        <v>0</v>
      </c>
      <c r="AU670" s="850" t="e">
        <f>VLOOKUP(Tabla1[[#This Row],[FECHA OC]],'TIPO DE CAMBIO'!A:B,2,TRUE)</f>
        <v>#N/A</v>
      </c>
      <c r="AV670" s="850" t="e">
        <f>+Tabla1[[#This Row],[SUBTOTAL]]/Tabla1[[#This Row],[TIPO DE CAMBIO]]</f>
        <v>#N/A</v>
      </c>
      <c r="AW670" s="851"/>
      <c r="AX670" s="850" t="str">
        <f>IFERROR(Tabla1[[#This Row],[VENTA TOTAL USD A PLAZO EN CLIENTE  (SIN IVA)]]*(1+Tabla1[[#This Row],[% IVA ]]),"")</f>
        <v/>
      </c>
      <c r="AY670" s="850" t="e">
        <f>+Tabla1[[#This Row],[VENTA TOTAL USD A PLAZO EN CLIENTE  (SIN IVA)]]/Tabla1[[#This Row],[KGS]]*1000</f>
        <v>#N/A</v>
      </c>
      <c r="AZ670" s="850" t="e">
        <f>-Tabla1[[#This Row],[COSTO FLETE $ POR BOLSA 5O KG (SIN IVA)]]*20/Tabla1[[#This Row],[TIPO DE CAMBIO]]</f>
        <v>#N/A</v>
      </c>
      <c r="BA670" s="850" t="e">
        <f>+Tabla1[[#This Row],[GASTOS FINANCIEROS $ BOLSA 50 KG (IVA INC)]]*20/Tabla1[[#This Row],[TIPO DE CAMBIO]]</f>
        <v>#VALUE!</v>
      </c>
      <c r="BB670" s="850" t="e">
        <f>+Tabla1[[#This Row],[PRECIO POR TN USD EN CLIENTE A PLAZO (SIN IVA)]]+Tabla1[[#This Row],[COSTO USD FLETE /TN (SIN IVA)]]+Tabla1[[#This Row],[COSTO FINANCIERO USD POR BOLSA 50KG (IVA INC)]]</f>
        <v>#N/A</v>
      </c>
      <c r="BC670" s="848"/>
      <c r="BD670" s="944"/>
    </row>
    <row r="671" spans="1:56" ht="15.75" customHeight="1">
      <c r="A671" s="912">
        <v>46327</v>
      </c>
      <c r="B671" s="863"/>
      <c r="C671" s="792"/>
      <c r="D671" s="829">
        <f>+Tabla1[[#This Row],[FECHA Entrega]]</f>
        <v>0</v>
      </c>
      <c r="E671" s="830"/>
      <c r="F671" s="831"/>
      <c r="G671" s="832"/>
      <c r="H671" s="852"/>
      <c r="I671" s="834"/>
      <c r="J671" s="835"/>
      <c r="K671" s="836">
        <f t="shared" si="151"/>
        <v>0</v>
      </c>
      <c r="L67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71" s="837">
        <f t="shared" si="150"/>
        <v>0</v>
      </c>
      <c r="N671" s="838">
        <f>+Tabla1[[#This Row],[VENTA TOTAL $ (IVA INC) ]]</f>
        <v>0</v>
      </c>
      <c r="O671" s="838">
        <v>0</v>
      </c>
      <c r="P671" s="838">
        <v>0</v>
      </c>
      <c r="Q671" s="839">
        <f>+Tabla1[[#This Row],[VENTA TOTAL $ (IVA INC) ]]-Tabla1[[#This Row],[PENDIENTE DE COBRO]]</f>
        <v>0</v>
      </c>
      <c r="R671" s="840">
        <f>+Tabla1[[#This Row],[FECHA FC]]+Tabla1[[#This Row],[PLAZO ENTREGA VALORES]]</f>
        <v>0</v>
      </c>
      <c r="S671" s="840">
        <f>+Tabla1[[#This Row],[FECHA FC]]+Tabla1[[#This Row],[PLAZO PAGO (DIAS)]]</f>
        <v>0</v>
      </c>
      <c r="T671" s="834">
        <f t="shared" ca="1" si="152"/>
        <v>-46181</v>
      </c>
      <c r="U671" s="831"/>
      <c r="V671" s="831"/>
      <c r="W671" s="841">
        <f>+Tabla1[[#This Row],[FECHA VTO VALORES]]+7</f>
        <v>7</v>
      </c>
      <c r="X671" s="830"/>
      <c r="Y671" s="859"/>
      <c r="Z671" s="860">
        <f>Tabla1[[#This Row],[KGS]]/50</f>
        <v>0</v>
      </c>
      <c r="AA67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71" s="844">
        <f>-Tabla1[[#This Row],[COSTO FLETE $ POR BOLSA 5O KG (SIN IVA)]]*1.21-Tabla1[[#This Row],[PRECIO $/ KG A PLAZO EN CLIENTE ( SIN IVA)]]*0.003*1.21*50</f>
        <v>0</v>
      </c>
      <c r="AC671" s="845" t="e">
        <f>SUM(Tabla1[[#This Row],[PRECIO $ BOLSA 50 KG (IVA INC) ]]+Tabla1[[#This Row],[COSTO FLETE $ BOLSA 50 KG (IVA INC)]])</f>
        <v>#VALUE!</v>
      </c>
      <c r="AD671" s="844" t="e">
        <f>-Tabla1[[#This Row],[PRECIO $ BOLSA 50 KG (IVA INC) ]]*(Tabla1[[#This Row],[TASA FINANCIACION MENSUAL]]/365)*Tabla1[[#This Row],[PLAZO ENTREGA VALORES]]</f>
        <v>#VALUE!</v>
      </c>
      <c r="AE671" s="845" t="e">
        <f>SUM(Tabla1[[#This Row],[PRECIO $ BOLSA50 KG  FOB TUCUMAN A PLAZO (IVA INC)]]+Tabla1[[#This Row],[GASTOS FINANCIEROS $ BOLSA 50 KG (IVA INC)]])</f>
        <v>#VALUE!</v>
      </c>
      <c r="AF671" s="828"/>
      <c r="AG671" s="828"/>
      <c r="AH671" s="828"/>
      <c r="AI671" s="828"/>
      <c r="AJ67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71" s="846" t="e">
        <f>SUM(Tabla1[[#This Row],[PRECIO $ BOLSA 50KG  FOB CDO TUC (IVA INC)]]-Tabla1[[#This Row],[PRECIO REF $ BOLSA 50 KG CACTU (IVA INC)]])</f>
        <v>#VALUE!</v>
      </c>
      <c r="AL671" s="847" t="str">
        <f>IFERROR(Tabla1[[#This Row],[PRECIO $ BOLSA 50KG  FOB CDO TUC (IVA INC)]]/Tabla1[[#This Row],[PRECIO REF $ BOLSA 50 KG CACTU (IVA INC)]]-1,"")</f>
        <v/>
      </c>
      <c r="AM671" s="846" t="e">
        <f>+Tabla1[[#This Row],[DIF $ PRECIO NETO INDUSTRIA vs Neto TUCUMAN (IVA INC)]]*Tabla1[[#This Row],[Q Bolsas Equivalentes 50kg]]</f>
        <v>#VALUE!</v>
      </c>
      <c r="AN671" s="846" t="e">
        <f>Tabla1[[#This Row],[PRECIO REF $ BOLSA 50 KG CACTU (IVA INC)]]*Tabla1[[#This Row],[Q Bolsas Equivalentes 50kg]]</f>
        <v>#VALUE!</v>
      </c>
      <c r="AO671" s="846" t="e">
        <f>+Tabla1[[#This Row],[PRECIO $ BOLSA 50KG  FOB CDO TUC (IVA INC)]]*Tabla1[[#This Row],[Q Bolsas Equivalentes 50kg]]</f>
        <v>#VALUE!</v>
      </c>
      <c r="AP671" s="847"/>
      <c r="AQ671" s="846">
        <v>0</v>
      </c>
      <c r="AR671" s="828"/>
      <c r="AS671" s="849"/>
      <c r="AT671" s="923">
        <f>+Tabla1[[#This Row],[VENTA TOTAL $ (IVA INC) ]]-(SUM(Tabla1[[#This Row],[PENDIENTE DE ENTREGA]:[VALORES COBRADOS]]))</f>
        <v>0</v>
      </c>
      <c r="AU671" s="850" t="e">
        <f>VLOOKUP(Tabla1[[#This Row],[FECHA OC]],'TIPO DE CAMBIO'!A:B,2,TRUE)</f>
        <v>#N/A</v>
      </c>
      <c r="AV671" s="850" t="e">
        <f>+Tabla1[[#This Row],[SUBTOTAL]]/Tabla1[[#This Row],[TIPO DE CAMBIO]]</f>
        <v>#N/A</v>
      </c>
      <c r="AW671" s="851"/>
      <c r="AX671" s="850" t="str">
        <f>IFERROR(Tabla1[[#This Row],[VENTA TOTAL USD A PLAZO EN CLIENTE  (SIN IVA)]]*(1+Tabla1[[#This Row],[% IVA ]]),"")</f>
        <v/>
      </c>
      <c r="AY671" s="850" t="e">
        <f>+Tabla1[[#This Row],[VENTA TOTAL USD A PLAZO EN CLIENTE  (SIN IVA)]]/Tabla1[[#This Row],[KGS]]*1000</f>
        <v>#N/A</v>
      </c>
      <c r="AZ671" s="850" t="e">
        <f>-Tabla1[[#This Row],[COSTO FLETE $ POR BOLSA 5O KG (SIN IVA)]]*20/Tabla1[[#This Row],[TIPO DE CAMBIO]]</f>
        <v>#N/A</v>
      </c>
      <c r="BA671" s="850" t="e">
        <f>+Tabla1[[#This Row],[GASTOS FINANCIEROS $ BOLSA 50 KG (IVA INC)]]*20/Tabla1[[#This Row],[TIPO DE CAMBIO]]</f>
        <v>#VALUE!</v>
      </c>
      <c r="BB671" s="850" t="e">
        <f>+Tabla1[[#This Row],[PRECIO POR TN USD EN CLIENTE A PLAZO (SIN IVA)]]+Tabla1[[#This Row],[COSTO USD FLETE /TN (SIN IVA)]]+Tabla1[[#This Row],[COSTO FINANCIERO USD POR BOLSA 50KG (IVA INC)]]</f>
        <v>#N/A</v>
      </c>
      <c r="BC671" s="828"/>
      <c r="BD671" s="944"/>
    </row>
    <row r="672" spans="1:56" ht="15.75" customHeight="1">
      <c r="A672" s="912">
        <v>46327</v>
      </c>
      <c r="B672" s="863"/>
      <c r="C672" s="792"/>
      <c r="D672" s="829">
        <f>+Tabla1[[#This Row],[FECHA Entrega]]</f>
        <v>0</v>
      </c>
      <c r="E672" s="830"/>
      <c r="F672" s="831"/>
      <c r="G672" s="832"/>
      <c r="H672" s="852"/>
      <c r="I672" s="834"/>
      <c r="J672" s="835"/>
      <c r="K672" s="836">
        <f t="shared" si="151"/>
        <v>0</v>
      </c>
      <c r="L67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72" s="837">
        <f t="shared" si="150"/>
        <v>0</v>
      </c>
      <c r="N672" s="838">
        <f>+Tabla1[[#This Row],[VENTA TOTAL $ (IVA INC) ]]</f>
        <v>0</v>
      </c>
      <c r="O672" s="838">
        <v>0</v>
      </c>
      <c r="P672" s="838">
        <v>0</v>
      </c>
      <c r="Q672" s="839">
        <f>+Tabla1[[#This Row],[VENTA TOTAL $ (IVA INC) ]]-Tabla1[[#This Row],[PENDIENTE DE COBRO]]</f>
        <v>0</v>
      </c>
      <c r="R672" s="840">
        <f>+Tabla1[[#This Row],[FECHA FC]]+Tabla1[[#This Row],[PLAZO ENTREGA VALORES]]</f>
        <v>0</v>
      </c>
      <c r="S672" s="840">
        <f>+Tabla1[[#This Row],[FECHA FC]]+Tabla1[[#This Row],[PLAZO PAGO (DIAS)]]</f>
        <v>0</v>
      </c>
      <c r="T672" s="834">
        <f t="shared" ca="1" si="152"/>
        <v>-46181</v>
      </c>
      <c r="U672" s="831"/>
      <c r="V672" s="831"/>
      <c r="W672" s="841">
        <f>+Tabla1[[#This Row],[FECHA VTO VALORES]]+7</f>
        <v>7</v>
      </c>
      <c r="X672" s="830"/>
      <c r="Y672" s="859"/>
      <c r="Z672" s="860">
        <f>Tabla1[[#This Row],[KGS]]/50</f>
        <v>0</v>
      </c>
      <c r="AA67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72" s="844">
        <f>-Tabla1[[#This Row],[COSTO FLETE $ POR BOLSA 5O KG (SIN IVA)]]*1.21-Tabla1[[#This Row],[PRECIO $/ KG A PLAZO EN CLIENTE ( SIN IVA)]]*0.003*1.21*50</f>
        <v>0</v>
      </c>
      <c r="AC672" s="845" t="e">
        <f>SUM(Tabla1[[#This Row],[PRECIO $ BOLSA 50 KG (IVA INC) ]]+Tabla1[[#This Row],[COSTO FLETE $ BOLSA 50 KG (IVA INC)]])</f>
        <v>#VALUE!</v>
      </c>
      <c r="AD672" s="844" t="e">
        <f>-Tabla1[[#This Row],[PRECIO $ BOLSA 50 KG (IVA INC) ]]*(Tabla1[[#This Row],[TASA FINANCIACION MENSUAL]]/365)*Tabla1[[#This Row],[PLAZO ENTREGA VALORES]]</f>
        <v>#VALUE!</v>
      </c>
      <c r="AE672" s="845" t="e">
        <f>SUM(Tabla1[[#This Row],[PRECIO $ BOLSA50 KG  FOB TUCUMAN A PLAZO (IVA INC)]]+Tabla1[[#This Row],[GASTOS FINANCIEROS $ BOLSA 50 KG (IVA INC)]])</f>
        <v>#VALUE!</v>
      </c>
      <c r="AF672" s="828"/>
      <c r="AG672" s="828"/>
      <c r="AH672" s="828"/>
      <c r="AI672" s="828"/>
      <c r="AJ67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72" s="846" t="e">
        <f>SUM(Tabla1[[#This Row],[PRECIO $ BOLSA 50KG  FOB CDO TUC (IVA INC)]]-Tabla1[[#This Row],[PRECIO REF $ BOLSA 50 KG CACTU (IVA INC)]])</f>
        <v>#VALUE!</v>
      </c>
      <c r="AL672" s="847" t="str">
        <f>IFERROR(Tabla1[[#This Row],[PRECIO $ BOLSA 50KG  FOB CDO TUC (IVA INC)]]/Tabla1[[#This Row],[PRECIO REF $ BOLSA 50 KG CACTU (IVA INC)]]-1,"")</f>
        <v/>
      </c>
      <c r="AM672" s="846" t="e">
        <f>+Tabla1[[#This Row],[DIF $ PRECIO NETO INDUSTRIA vs Neto TUCUMAN (IVA INC)]]*Tabla1[[#This Row],[Q Bolsas Equivalentes 50kg]]</f>
        <v>#VALUE!</v>
      </c>
      <c r="AN672" s="846" t="e">
        <f>Tabla1[[#This Row],[PRECIO REF $ BOLSA 50 KG CACTU (IVA INC)]]*Tabla1[[#This Row],[Q Bolsas Equivalentes 50kg]]</f>
        <v>#VALUE!</v>
      </c>
      <c r="AO672" s="846" t="e">
        <f>+Tabla1[[#This Row],[PRECIO $ BOLSA 50KG  FOB CDO TUC (IVA INC)]]*Tabla1[[#This Row],[Q Bolsas Equivalentes 50kg]]</f>
        <v>#VALUE!</v>
      </c>
      <c r="AP672" s="847"/>
      <c r="AQ672" s="846">
        <v>0</v>
      </c>
      <c r="AR672" s="828"/>
      <c r="AS672" s="849"/>
      <c r="AT672" s="923">
        <f>+Tabla1[[#This Row],[VENTA TOTAL $ (IVA INC) ]]-(SUM(Tabla1[[#This Row],[PENDIENTE DE ENTREGA]:[VALORES COBRADOS]]))</f>
        <v>0</v>
      </c>
      <c r="AU672" s="850" t="e">
        <f>VLOOKUP(Tabla1[[#This Row],[FECHA OC]],'TIPO DE CAMBIO'!A:B,2,TRUE)</f>
        <v>#N/A</v>
      </c>
      <c r="AV672" s="850" t="e">
        <f>+Tabla1[[#This Row],[SUBTOTAL]]/Tabla1[[#This Row],[TIPO DE CAMBIO]]</f>
        <v>#N/A</v>
      </c>
      <c r="AW672" s="851"/>
      <c r="AX672" s="850" t="str">
        <f>IFERROR(Tabla1[[#This Row],[VENTA TOTAL USD A PLAZO EN CLIENTE  (SIN IVA)]]*(1+Tabla1[[#This Row],[% IVA ]]),"")</f>
        <v/>
      </c>
      <c r="AY672" s="850" t="e">
        <f>+Tabla1[[#This Row],[VENTA TOTAL USD A PLAZO EN CLIENTE  (SIN IVA)]]/Tabla1[[#This Row],[KGS]]*1000</f>
        <v>#N/A</v>
      </c>
      <c r="AZ672" s="850" t="e">
        <f>-Tabla1[[#This Row],[COSTO FLETE $ POR BOLSA 5O KG (SIN IVA)]]*20/Tabla1[[#This Row],[TIPO DE CAMBIO]]</f>
        <v>#N/A</v>
      </c>
      <c r="BA672" s="850" t="e">
        <f>+Tabla1[[#This Row],[GASTOS FINANCIEROS $ BOLSA 50 KG (IVA INC)]]*20/Tabla1[[#This Row],[TIPO DE CAMBIO]]</f>
        <v>#VALUE!</v>
      </c>
      <c r="BB672" s="850" t="e">
        <f>+Tabla1[[#This Row],[PRECIO POR TN USD EN CLIENTE A PLAZO (SIN IVA)]]+Tabla1[[#This Row],[COSTO USD FLETE /TN (SIN IVA)]]+Tabla1[[#This Row],[COSTO FINANCIERO USD POR BOLSA 50KG (IVA INC)]]</f>
        <v>#N/A</v>
      </c>
      <c r="BC672" s="828"/>
      <c r="BD672" s="944"/>
    </row>
    <row r="673" spans="1:56" ht="15.75" customHeight="1">
      <c r="A673" s="912">
        <v>46327</v>
      </c>
      <c r="B673" s="863"/>
      <c r="C673" s="792"/>
      <c r="D673" s="829">
        <f>+Tabla1[[#This Row],[FECHA Entrega]]</f>
        <v>0</v>
      </c>
      <c r="E673" s="830"/>
      <c r="F673" s="831"/>
      <c r="G673" s="832"/>
      <c r="H673" s="852"/>
      <c r="I673" s="834"/>
      <c r="J673" s="835"/>
      <c r="K673" s="836">
        <f t="shared" si="151"/>
        <v>0</v>
      </c>
      <c r="L67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73" s="837">
        <f t="shared" ref="M673:M736" si="153">SUM(K673:L673)</f>
        <v>0</v>
      </c>
      <c r="N673" s="838">
        <f>+Tabla1[[#This Row],[VENTA TOTAL $ (IVA INC) ]]</f>
        <v>0</v>
      </c>
      <c r="O673" s="838">
        <v>0</v>
      </c>
      <c r="P673" s="838">
        <v>0</v>
      </c>
      <c r="Q673" s="839">
        <f>+Tabla1[[#This Row],[VENTA TOTAL $ (IVA INC) ]]-Tabla1[[#This Row],[PENDIENTE DE COBRO]]</f>
        <v>0</v>
      </c>
      <c r="R673" s="840">
        <f>+Tabla1[[#This Row],[FECHA FC]]+Tabla1[[#This Row],[PLAZO ENTREGA VALORES]]</f>
        <v>0</v>
      </c>
      <c r="S673" s="840">
        <f>+Tabla1[[#This Row],[FECHA FC]]+Tabla1[[#This Row],[PLAZO PAGO (DIAS)]]</f>
        <v>0</v>
      </c>
      <c r="T673" s="834">
        <f t="shared" ca="1" si="152"/>
        <v>-46181</v>
      </c>
      <c r="U673" s="831"/>
      <c r="V673" s="831"/>
      <c r="W673" s="841">
        <f>+Tabla1[[#This Row],[FECHA VTO VALORES]]+7</f>
        <v>7</v>
      </c>
      <c r="X673" s="830"/>
      <c r="Y673" s="859"/>
      <c r="Z673" s="860">
        <f>Tabla1[[#This Row],[KGS]]/50</f>
        <v>0</v>
      </c>
      <c r="AA67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73" s="844">
        <f>-Tabla1[[#This Row],[COSTO FLETE $ POR BOLSA 5O KG (SIN IVA)]]*1.21-Tabla1[[#This Row],[PRECIO $/ KG A PLAZO EN CLIENTE ( SIN IVA)]]*0.003*1.21*50</f>
        <v>0</v>
      </c>
      <c r="AC673" s="845" t="e">
        <f>SUM(Tabla1[[#This Row],[PRECIO $ BOLSA 50 KG (IVA INC) ]]+Tabla1[[#This Row],[COSTO FLETE $ BOLSA 50 KG (IVA INC)]])</f>
        <v>#VALUE!</v>
      </c>
      <c r="AD673" s="844" t="e">
        <f>-Tabla1[[#This Row],[PRECIO $ BOLSA 50 KG (IVA INC) ]]*(Tabla1[[#This Row],[TASA FINANCIACION MENSUAL]]/365)*Tabla1[[#This Row],[PLAZO ENTREGA VALORES]]</f>
        <v>#VALUE!</v>
      </c>
      <c r="AE673" s="845" t="e">
        <f>SUM(Tabla1[[#This Row],[PRECIO $ BOLSA50 KG  FOB TUCUMAN A PLAZO (IVA INC)]]+Tabla1[[#This Row],[GASTOS FINANCIEROS $ BOLSA 50 KG (IVA INC)]])</f>
        <v>#VALUE!</v>
      </c>
      <c r="AF673" s="828"/>
      <c r="AG673" s="828"/>
      <c r="AH673" s="828"/>
      <c r="AI673" s="828"/>
      <c r="AJ67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73" s="846" t="e">
        <f>SUM(Tabla1[[#This Row],[PRECIO $ BOLSA 50KG  FOB CDO TUC (IVA INC)]]-Tabla1[[#This Row],[PRECIO REF $ BOLSA 50 KG CACTU (IVA INC)]])</f>
        <v>#VALUE!</v>
      </c>
      <c r="AL673" s="847" t="str">
        <f>IFERROR(Tabla1[[#This Row],[PRECIO $ BOLSA 50KG  FOB CDO TUC (IVA INC)]]/Tabla1[[#This Row],[PRECIO REF $ BOLSA 50 KG CACTU (IVA INC)]]-1,"")</f>
        <v/>
      </c>
      <c r="AM673" s="846" t="e">
        <f>+Tabla1[[#This Row],[DIF $ PRECIO NETO INDUSTRIA vs Neto TUCUMAN (IVA INC)]]*Tabla1[[#This Row],[Q Bolsas Equivalentes 50kg]]</f>
        <v>#VALUE!</v>
      </c>
      <c r="AN673" s="846" t="e">
        <f>Tabla1[[#This Row],[PRECIO REF $ BOLSA 50 KG CACTU (IVA INC)]]*Tabla1[[#This Row],[Q Bolsas Equivalentes 50kg]]</f>
        <v>#VALUE!</v>
      </c>
      <c r="AO673" s="846" t="e">
        <f>+Tabla1[[#This Row],[PRECIO $ BOLSA 50KG  FOB CDO TUC (IVA INC)]]*Tabla1[[#This Row],[Q Bolsas Equivalentes 50kg]]</f>
        <v>#VALUE!</v>
      </c>
      <c r="AP673" s="847"/>
      <c r="AQ673" s="846">
        <v>0</v>
      </c>
      <c r="AR673" s="828"/>
      <c r="AS673" s="849"/>
      <c r="AT673" s="923">
        <f>+Tabla1[[#This Row],[VENTA TOTAL $ (IVA INC) ]]-(SUM(Tabla1[[#This Row],[PENDIENTE DE ENTREGA]:[VALORES COBRADOS]]))</f>
        <v>0</v>
      </c>
      <c r="AU673" s="850" t="e">
        <f>VLOOKUP(Tabla1[[#This Row],[FECHA OC]],'TIPO DE CAMBIO'!A:B,2,TRUE)</f>
        <v>#N/A</v>
      </c>
      <c r="AV673" s="850" t="e">
        <f>+Tabla1[[#This Row],[SUBTOTAL]]/Tabla1[[#This Row],[TIPO DE CAMBIO]]</f>
        <v>#N/A</v>
      </c>
      <c r="AW673" s="851"/>
      <c r="AX673" s="850" t="str">
        <f>IFERROR(Tabla1[[#This Row],[VENTA TOTAL USD A PLAZO EN CLIENTE  (SIN IVA)]]*(1+Tabla1[[#This Row],[% IVA ]]),"")</f>
        <v/>
      </c>
      <c r="AY673" s="850" t="e">
        <f>+Tabla1[[#This Row],[VENTA TOTAL USD A PLAZO EN CLIENTE  (SIN IVA)]]/Tabla1[[#This Row],[KGS]]*1000</f>
        <v>#N/A</v>
      </c>
      <c r="AZ673" s="850" t="e">
        <f>-Tabla1[[#This Row],[COSTO FLETE $ POR BOLSA 5O KG (SIN IVA)]]*20/Tabla1[[#This Row],[TIPO DE CAMBIO]]</f>
        <v>#N/A</v>
      </c>
      <c r="BA673" s="850" t="e">
        <f>+Tabla1[[#This Row],[GASTOS FINANCIEROS $ BOLSA 50 KG (IVA INC)]]*20/Tabla1[[#This Row],[TIPO DE CAMBIO]]</f>
        <v>#VALUE!</v>
      </c>
      <c r="BB673" s="850" t="e">
        <f>+Tabla1[[#This Row],[PRECIO POR TN USD EN CLIENTE A PLAZO (SIN IVA)]]+Tabla1[[#This Row],[COSTO USD FLETE /TN (SIN IVA)]]+Tabla1[[#This Row],[COSTO FINANCIERO USD POR BOLSA 50KG (IVA INC)]]</f>
        <v>#N/A</v>
      </c>
      <c r="BC673" s="828"/>
      <c r="BD673" s="944"/>
    </row>
    <row r="674" spans="1:56" ht="15.75" customHeight="1">
      <c r="A674" s="912">
        <v>46327</v>
      </c>
      <c r="B674" s="863"/>
      <c r="C674" s="792"/>
      <c r="D674" s="829">
        <f>+Tabla1[[#This Row],[FECHA Entrega]]</f>
        <v>0</v>
      </c>
      <c r="E674" s="830"/>
      <c r="F674" s="831"/>
      <c r="G674" s="832"/>
      <c r="H674" s="852"/>
      <c r="I674" s="834"/>
      <c r="J674" s="835"/>
      <c r="K674" s="836">
        <f t="shared" si="151"/>
        <v>0</v>
      </c>
      <c r="L67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74" s="837">
        <f t="shared" si="153"/>
        <v>0</v>
      </c>
      <c r="N674" s="838">
        <f>+Tabla1[[#This Row],[VENTA TOTAL $ (IVA INC) ]]</f>
        <v>0</v>
      </c>
      <c r="O674" s="838">
        <v>0</v>
      </c>
      <c r="P674" s="838">
        <v>0</v>
      </c>
      <c r="Q674" s="839">
        <f>+Tabla1[[#This Row],[VENTA TOTAL $ (IVA INC) ]]-Tabla1[[#This Row],[PENDIENTE DE COBRO]]</f>
        <v>0</v>
      </c>
      <c r="R674" s="840">
        <f>+Tabla1[[#This Row],[FECHA FC]]+Tabla1[[#This Row],[PLAZO ENTREGA VALORES]]</f>
        <v>0</v>
      </c>
      <c r="S674" s="840">
        <f>+Tabla1[[#This Row],[FECHA FC]]+Tabla1[[#This Row],[PLAZO PAGO (DIAS)]]</f>
        <v>0</v>
      </c>
      <c r="T674" s="834">
        <f t="shared" ca="1" si="152"/>
        <v>-46181</v>
      </c>
      <c r="U674" s="831"/>
      <c r="V674" s="831"/>
      <c r="W674" s="841">
        <f>+Tabla1[[#This Row],[FECHA VTO VALORES]]+7</f>
        <v>7</v>
      </c>
      <c r="X674" s="830"/>
      <c r="Y674" s="859"/>
      <c r="Z674" s="860">
        <f>Tabla1[[#This Row],[KGS]]/50</f>
        <v>0</v>
      </c>
      <c r="AA67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74" s="844">
        <f>-Tabla1[[#This Row],[COSTO FLETE $ POR BOLSA 5O KG (SIN IVA)]]*1.21-Tabla1[[#This Row],[PRECIO $/ KG A PLAZO EN CLIENTE ( SIN IVA)]]*0.003*1.21*50</f>
        <v>0</v>
      </c>
      <c r="AC674" s="845" t="e">
        <f>SUM(Tabla1[[#This Row],[PRECIO $ BOLSA 50 KG (IVA INC) ]]+Tabla1[[#This Row],[COSTO FLETE $ BOLSA 50 KG (IVA INC)]])</f>
        <v>#VALUE!</v>
      </c>
      <c r="AD674" s="844" t="e">
        <f>-Tabla1[[#This Row],[PRECIO $ BOLSA 50 KG (IVA INC) ]]*(Tabla1[[#This Row],[TASA FINANCIACION MENSUAL]]/365)*Tabla1[[#This Row],[PLAZO ENTREGA VALORES]]</f>
        <v>#VALUE!</v>
      </c>
      <c r="AE674" s="845" t="e">
        <f>SUM(Tabla1[[#This Row],[PRECIO $ BOLSA50 KG  FOB TUCUMAN A PLAZO (IVA INC)]]+Tabla1[[#This Row],[GASTOS FINANCIEROS $ BOLSA 50 KG (IVA INC)]])</f>
        <v>#VALUE!</v>
      </c>
      <c r="AF674" s="828"/>
      <c r="AG674" s="828"/>
      <c r="AH674" s="828"/>
      <c r="AI674" s="828"/>
      <c r="AJ67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74" s="846" t="e">
        <f>SUM(Tabla1[[#This Row],[PRECIO $ BOLSA 50KG  FOB CDO TUC (IVA INC)]]-Tabla1[[#This Row],[PRECIO REF $ BOLSA 50 KG CACTU (IVA INC)]])</f>
        <v>#VALUE!</v>
      </c>
      <c r="AL674" s="847" t="str">
        <f>IFERROR(Tabla1[[#This Row],[PRECIO $ BOLSA 50KG  FOB CDO TUC (IVA INC)]]/Tabla1[[#This Row],[PRECIO REF $ BOLSA 50 KG CACTU (IVA INC)]]-1,"")</f>
        <v/>
      </c>
      <c r="AM674" s="846" t="e">
        <f>+Tabla1[[#This Row],[DIF $ PRECIO NETO INDUSTRIA vs Neto TUCUMAN (IVA INC)]]*Tabla1[[#This Row],[Q Bolsas Equivalentes 50kg]]</f>
        <v>#VALUE!</v>
      </c>
      <c r="AN674" s="846" t="e">
        <f>Tabla1[[#This Row],[PRECIO REF $ BOLSA 50 KG CACTU (IVA INC)]]*Tabla1[[#This Row],[Q Bolsas Equivalentes 50kg]]</f>
        <v>#VALUE!</v>
      </c>
      <c r="AO674" s="846" t="e">
        <f>+Tabla1[[#This Row],[PRECIO $ BOLSA 50KG  FOB CDO TUC (IVA INC)]]*Tabla1[[#This Row],[Q Bolsas Equivalentes 50kg]]</f>
        <v>#VALUE!</v>
      </c>
      <c r="AP674" s="847"/>
      <c r="AQ674" s="846">
        <v>0</v>
      </c>
      <c r="AR674" s="828"/>
      <c r="AS674" s="849"/>
      <c r="AT674" s="923">
        <f>+Tabla1[[#This Row],[VENTA TOTAL $ (IVA INC) ]]-(SUM(Tabla1[[#This Row],[PENDIENTE DE ENTREGA]:[VALORES COBRADOS]]))</f>
        <v>0</v>
      </c>
      <c r="AU674" s="850" t="e">
        <f>VLOOKUP(Tabla1[[#This Row],[FECHA OC]],'TIPO DE CAMBIO'!A:B,2,TRUE)</f>
        <v>#N/A</v>
      </c>
      <c r="AV674" s="850" t="e">
        <f>+Tabla1[[#This Row],[SUBTOTAL]]/Tabla1[[#This Row],[TIPO DE CAMBIO]]</f>
        <v>#N/A</v>
      </c>
      <c r="AW674" s="851"/>
      <c r="AX674" s="850" t="str">
        <f>IFERROR(Tabla1[[#This Row],[VENTA TOTAL USD A PLAZO EN CLIENTE  (SIN IVA)]]*(1+Tabla1[[#This Row],[% IVA ]]),"")</f>
        <v/>
      </c>
      <c r="AY674" s="850" t="e">
        <f>+Tabla1[[#This Row],[VENTA TOTAL USD A PLAZO EN CLIENTE  (SIN IVA)]]/Tabla1[[#This Row],[KGS]]*1000</f>
        <v>#N/A</v>
      </c>
      <c r="AZ674" s="850" t="e">
        <f>-Tabla1[[#This Row],[COSTO FLETE $ POR BOLSA 5O KG (SIN IVA)]]*20/Tabla1[[#This Row],[TIPO DE CAMBIO]]</f>
        <v>#N/A</v>
      </c>
      <c r="BA674" s="850" t="e">
        <f>+Tabla1[[#This Row],[GASTOS FINANCIEROS $ BOLSA 50 KG (IVA INC)]]*20/Tabla1[[#This Row],[TIPO DE CAMBIO]]</f>
        <v>#VALUE!</v>
      </c>
      <c r="BB674" s="850" t="e">
        <f>+Tabla1[[#This Row],[PRECIO POR TN USD EN CLIENTE A PLAZO (SIN IVA)]]+Tabla1[[#This Row],[COSTO USD FLETE /TN (SIN IVA)]]+Tabla1[[#This Row],[COSTO FINANCIERO USD POR BOLSA 50KG (IVA INC)]]</f>
        <v>#N/A</v>
      </c>
      <c r="BC674" s="828"/>
      <c r="BD674" s="944"/>
    </row>
    <row r="675" spans="1:56" ht="15.75" customHeight="1">
      <c r="A675" s="912">
        <v>46327</v>
      </c>
      <c r="B675" s="863"/>
      <c r="C675" s="792"/>
      <c r="D675" s="829">
        <f>+Tabla1[[#This Row],[FECHA Entrega]]</f>
        <v>0</v>
      </c>
      <c r="E675" s="830"/>
      <c r="F675" s="831"/>
      <c r="G675" s="832"/>
      <c r="H675" s="852"/>
      <c r="I675" s="834"/>
      <c r="J675" s="835"/>
      <c r="K675" s="836">
        <f t="shared" si="151"/>
        <v>0</v>
      </c>
      <c r="L67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75" s="837">
        <f t="shared" si="153"/>
        <v>0</v>
      </c>
      <c r="N675" s="838">
        <f>+Tabla1[[#This Row],[VENTA TOTAL $ (IVA INC) ]]</f>
        <v>0</v>
      </c>
      <c r="O675" s="838">
        <v>0</v>
      </c>
      <c r="P675" s="838">
        <v>0</v>
      </c>
      <c r="Q675" s="839">
        <f>+Tabla1[[#This Row],[VENTA TOTAL $ (IVA INC) ]]-Tabla1[[#This Row],[PENDIENTE DE COBRO]]</f>
        <v>0</v>
      </c>
      <c r="R675" s="840">
        <f>+Tabla1[[#This Row],[FECHA FC]]+Tabla1[[#This Row],[PLAZO ENTREGA VALORES]]</f>
        <v>0</v>
      </c>
      <c r="S675" s="840">
        <f>+Tabla1[[#This Row],[FECHA FC]]+Tabla1[[#This Row],[PLAZO PAGO (DIAS)]]</f>
        <v>0</v>
      </c>
      <c r="T675" s="834">
        <f t="shared" ca="1" si="152"/>
        <v>-46181</v>
      </c>
      <c r="U675" s="831"/>
      <c r="V675" s="831"/>
      <c r="W675" s="841">
        <f>+Tabla1[[#This Row],[FECHA VTO VALORES]]+7</f>
        <v>7</v>
      </c>
      <c r="X675" s="830"/>
      <c r="Y675" s="859"/>
      <c r="Z675" s="860">
        <f>Tabla1[[#This Row],[KGS]]/50</f>
        <v>0</v>
      </c>
      <c r="AA67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75" s="844">
        <f>-Tabla1[[#This Row],[COSTO FLETE $ POR BOLSA 5O KG (SIN IVA)]]*1.21-Tabla1[[#This Row],[PRECIO $/ KG A PLAZO EN CLIENTE ( SIN IVA)]]*0.003*1.21*50</f>
        <v>0</v>
      </c>
      <c r="AC675" s="845" t="e">
        <f>SUM(Tabla1[[#This Row],[PRECIO $ BOLSA 50 KG (IVA INC) ]]+Tabla1[[#This Row],[COSTO FLETE $ BOLSA 50 KG (IVA INC)]])</f>
        <v>#VALUE!</v>
      </c>
      <c r="AD675" s="844" t="e">
        <f>-Tabla1[[#This Row],[PRECIO $ BOLSA 50 KG (IVA INC) ]]*(Tabla1[[#This Row],[TASA FINANCIACION MENSUAL]]/365)*Tabla1[[#This Row],[PLAZO ENTREGA VALORES]]</f>
        <v>#VALUE!</v>
      </c>
      <c r="AE675" s="845" t="e">
        <f>SUM(Tabla1[[#This Row],[PRECIO $ BOLSA50 KG  FOB TUCUMAN A PLAZO (IVA INC)]]+Tabla1[[#This Row],[GASTOS FINANCIEROS $ BOLSA 50 KG (IVA INC)]])</f>
        <v>#VALUE!</v>
      </c>
      <c r="AF675" s="828"/>
      <c r="AG675" s="828"/>
      <c r="AH675" s="828"/>
      <c r="AI675" s="828"/>
      <c r="AJ67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75" s="846" t="e">
        <f>SUM(Tabla1[[#This Row],[PRECIO $ BOLSA 50KG  FOB CDO TUC (IVA INC)]]-Tabla1[[#This Row],[PRECIO REF $ BOLSA 50 KG CACTU (IVA INC)]])</f>
        <v>#VALUE!</v>
      </c>
      <c r="AL675" s="847" t="str">
        <f>IFERROR(Tabla1[[#This Row],[PRECIO $ BOLSA 50KG  FOB CDO TUC (IVA INC)]]/Tabla1[[#This Row],[PRECIO REF $ BOLSA 50 KG CACTU (IVA INC)]]-1,"")</f>
        <v/>
      </c>
      <c r="AM675" s="846" t="e">
        <f>+Tabla1[[#This Row],[DIF $ PRECIO NETO INDUSTRIA vs Neto TUCUMAN (IVA INC)]]*Tabla1[[#This Row],[Q Bolsas Equivalentes 50kg]]</f>
        <v>#VALUE!</v>
      </c>
      <c r="AN675" s="846" t="e">
        <f>Tabla1[[#This Row],[PRECIO REF $ BOLSA 50 KG CACTU (IVA INC)]]*Tabla1[[#This Row],[Q Bolsas Equivalentes 50kg]]</f>
        <v>#VALUE!</v>
      </c>
      <c r="AO675" s="846" t="e">
        <f>+Tabla1[[#This Row],[PRECIO $ BOLSA 50KG  FOB CDO TUC (IVA INC)]]*Tabla1[[#This Row],[Q Bolsas Equivalentes 50kg]]</f>
        <v>#VALUE!</v>
      </c>
      <c r="AP675" s="847"/>
      <c r="AQ675" s="846">
        <v>0</v>
      </c>
      <c r="AR675" s="828"/>
      <c r="AS675" s="849"/>
      <c r="AT675" s="923">
        <f>+Tabla1[[#This Row],[VENTA TOTAL $ (IVA INC) ]]-(SUM(Tabla1[[#This Row],[PENDIENTE DE ENTREGA]:[VALORES COBRADOS]]))</f>
        <v>0</v>
      </c>
      <c r="AU675" s="850" t="e">
        <f>VLOOKUP(Tabla1[[#This Row],[FECHA OC]],'TIPO DE CAMBIO'!A:B,2,TRUE)</f>
        <v>#N/A</v>
      </c>
      <c r="AV675" s="850" t="e">
        <f>+Tabla1[[#This Row],[SUBTOTAL]]/Tabla1[[#This Row],[TIPO DE CAMBIO]]</f>
        <v>#N/A</v>
      </c>
      <c r="AW675" s="851"/>
      <c r="AX675" s="850" t="str">
        <f>IFERROR(Tabla1[[#This Row],[VENTA TOTAL USD A PLAZO EN CLIENTE  (SIN IVA)]]*(1+Tabla1[[#This Row],[% IVA ]]),"")</f>
        <v/>
      </c>
      <c r="AY675" s="850" t="e">
        <f>+Tabla1[[#This Row],[VENTA TOTAL USD A PLAZO EN CLIENTE  (SIN IVA)]]/Tabla1[[#This Row],[KGS]]*1000</f>
        <v>#N/A</v>
      </c>
      <c r="AZ675" s="850" t="e">
        <f>-Tabla1[[#This Row],[COSTO FLETE $ POR BOLSA 5O KG (SIN IVA)]]*20/Tabla1[[#This Row],[TIPO DE CAMBIO]]</f>
        <v>#N/A</v>
      </c>
      <c r="BA675" s="850" t="e">
        <f>+Tabla1[[#This Row],[GASTOS FINANCIEROS $ BOLSA 50 KG (IVA INC)]]*20/Tabla1[[#This Row],[TIPO DE CAMBIO]]</f>
        <v>#VALUE!</v>
      </c>
      <c r="BB675" s="850" t="e">
        <f>+Tabla1[[#This Row],[PRECIO POR TN USD EN CLIENTE A PLAZO (SIN IVA)]]+Tabla1[[#This Row],[COSTO USD FLETE /TN (SIN IVA)]]+Tabla1[[#This Row],[COSTO FINANCIERO USD POR BOLSA 50KG (IVA INC)]]</f>
        <v>#N/A</v>
      </c>
      <c r="BC675" s="828"/>
      <c r="BD675" s="944"/>
    </row>
    <row r="676" spans="1:56" ht="15.75" customHeight="1">
      <c r="A676" s="912">
        <v>46327</v>
      </c>
      <c r="B676" s="863"/>
      <c r="C676" s="792"/>
      <c r="D676" s="829">
        <f>+Tabla1[[#This Row],[FECHA Entrega]]</f>
        <v>0</v>
      </c>
      <c r="E676" s="830"/>
      <c r="F676" s="831"/>
      <c r="G676" s="832"/>
      <c r="H676" s="852"/>
      <c r="I676" s="834"/>
      <c r="J676" s="835"/>
      <c r="K676" s="836">
        <f t="shared" si="151"/>
        <v>0</v>
      </c>
      <c r="L67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76" s="837">
        <f t="shared" si="153"/>
        <v>0</v>
      </c>
      <c r="N676" s="838">
        <f>+Tabla1[[#This Row],[VENTA TOTAL $ (IVA INC) ]]</f>
        <v>0</v>
      </c>
      <c r="O676" s="838">
        <v>0</v>
      </c>
      <c r="P676" s="838">
        <v>0</v>
      </c>
      <c r="Q676" s="839">
        <f>+Tabla1[[#This Row],[VENTA TOTAL $ (IVA INC) ]]-Tabla1[[#This Row],[PENDIENTE DE COBRO]]</f>
        <v>0</v>
      </c>
      <c r="R676" s="840">
        <f>+Tabla1[[#This Row],[FECHA FC]]+Tabla1[[#This Row],[PLAZO ENTREGA VALORES]]</f>
        <v>0</v>
      </c>
      <c r="S676" s="840">
        <f>+Tabla1[[#This Row],[FECHA FC]]+Tabla1[[#This Row],[PLAZO PAGO (DIAS)]]</f>
        <v>0</v>
      </c>
      <c r="T676" s="834">
        <f t="shared" ca="1" si="152"/>
        <v>-46181</v>
      </c>
      <c r="U676" s="831"/>
      <c r="V676" s="831"/>
      <c r="W676" s="841">
        <f>+Tabla1[[#This Row],[FECHA VTO VALORES]]+7</f>
        <v>7</v>
      </c>
      <c r="X676" s="830"/>
      <c r="Y676" s="859"/>
      <c r="Z676" s="860">
        <f>Tabla1[[#This Row],[KGS]]/50</f>
        <v>0</v>
      </c>
      <c r="AA67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76" s="844">
        <f>-Tabla1[[#This Row],[COSTO FLETE $ POR BOLSA 5O KG (SIN IVA)]]*1.21-Tabla1[[#This Row],[PRECIO $/ KG A PLAZO EN CLIENTE ( SIN IVA)]]*0.003*1.21*50</f>
        <v>0</v>
      </c>
      <c r="AC676" s="845" t="e">
        <f>SUM(Tabla1[[#This Row],[PRECIO $ BOLSA 50 KG (IVA INC) ]]+Tabla1[[#This Row],[COSTO FLETE $ BOLSA 50 KG (IVA INC)]])</f>
        <v>#VALUE!</v>
      </c>
      <c r="AD676" s="844" t="e">
        <f>-Tabla1[[#This Row],[PRECIO $ BOLSA 50 KG (IVA INC) ]]*(Tabla1[[#This Row],[TASA FINANCIACION MENSUAL]]/365)*Tabla1[[#This Row],[PLAZO ENTREGA VALORES]]</f>
        <v>#VALUE!</v>
      </c>
      <c r="AE676" s="845" t="e">
        <f>SUM(Tabla1[[#This Row],[PRECIO $ BOLSA50 KG  FOB TUCUMAN A PLAZO (IVA INC)]]+Tabla1[[#This Row],[GASTOS FINANCIEROS $ BOLSA 50 KG (IVA INC)]])</f>
        <v>#VALUE!</v>
      </c>
      <c r="AF676" s="828"/>
      <c r="AG676" s="828"/>
      <c r="AH676" s="828"/>
      <c r="AI676" s="828"/>
      <c r="AJ67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76" s="846" t="e">
        <f>SUM(Tabla1[[#This Row],[PRECIO $ BOLSA 50KG  FOB CDO TUC (IVA INC)]]-Tabla1[[#This Row],[PRECIO REF $ BOLSA 50 KG CACTU (IVA INC)]])</f>
        <v>#VALUE!</v>
      </c>
      <c r="AL676" s="847" t="str">
        <f>IFERROR(Tabla1[[#This Row],[PRECIO $ BOLSA 50KG  FOB CDO TUC (IVA INC)]]/Tabla1[[#This Row],[PRECIO REF $ BOLSA 50 KG CACTU (IVA INC)]]-1,"")</f>
        <v/>
      </c>
      <c r="AM676" s="846" t="e">
        <f>+Tabla1[[#This Row],[DIF $ PRECIO NETO INDUSTRIA vs Neto TUCUMAN (IVA INC)]]*Tabla1[[#This Row],[Q Bolsas Equivalentes 50kg]]</f>
        <v>#VALUE!</v>
      </c>
      <c r="AN676" s="846" t="e">
        <f>Tabla1[[#This Row],[PRECIO REF $ BOLSA 50 KG CACTU (IVA INC)]]*Tabla1[[#This Row],[Q Bolsas Equivalentes 50kg]]</f>
        <v>#VALUE!</v>
      </c>
      <c r="AO676" s="846" t="e">
        <f>+Tabla1[[#This Row],[PRECIO $ BOLSA 50KG  FOB CDO TUC (IVA INC)]]*Tabla1[[#This Row],[Q Bolsas Equivalentes 50kg]]</f>
        <v>#VALUE!</v>
      </c>
      <c r="AP676" s="847"/>
      <c r="AQ676" s="846">
        <v>0</v>
      </c>
      <c r="AR676" s="828"/>
      <c r="AS676" s="849"/>
      <c r="AT676" s="923">
        <f>+Tabla1[[#This Row],[VENTA TOTAL $ (IVA INC) ]]-(SUM(Tabla1[[#This Row],[PENDIENTE DE ENTREGA]:[VALORES COBRADOS]]))</f>
        <v>0</v>
      </c>
      <c r="AU676" s="850" t="e">
        <f>VLOOKUP(Tabla1[[#This Row],[FECHA OC]],'TIPO DE CAMBIO'!A:B,2,TRUE)</f>
        <v>#N/A</v>
      </c>
      <c r="AV676" s="850" t="e">
        <f>+Tabla1[[#This Row],[SUBTOTAL]]/Tabla1[[#This Row],[TIPO DE CAMBIO]]</f>
        <v>#N/A</v>
      </c>
      <c r="AW676" s="851"/>
      <c r="AX676" s="850" t="str">
        <f>IFERROR(Tabla1[[#This Row],[VENTA TOTAL USD A PLAZO EN CLIENTE  (SIN IVA)]]*(1+Tabla1[[#This Row],[% IVA ]]),"")</f>
        <v/>
      </c>
      <c r="AY676" s="850" t="e">
        <f>+Tabla1[[#This Row],[VENTA TOTAL USD A PLAZO EN CLIENTE  (SIN IVA)]]/Tabla1[[#This Row],[KGS]]*1000</f>
        <v>#N/A</v>
      </c>
      <c r="AZ676" s="850" t="e">
        <f>-Tabla1[[#This Row],[COSTO FLETE $ POR BOLSA 5O KG (SIN IVA)]]*20/Tabla1[[#This Row],[TIPO DE CAMBIO]]</f>
        <v>#N/A</v>
      </c>
      <c r="BA676" s="850" t="e">
        <f>+Tabla1[[#This Row],[GASTOS FINANCIEROS $ BOLSA 50 KG (IVA INC)]]*20/Tabla1[[#This Row],[TIPO DE CAMBIO]]</f>
        <v>#VALUE!</v>
      </c>
      <c r="BB676" s="850" t="e">
        <f>+Tabla1[[#This Row],[PRECIO POR TN USD EN CLIENTE A PLAZO (SIN IVA)]]+Tabla1[[#This Row],[COSTO USD FLETE /TN (SIN IVA)]]+Tabla1[[#This Row],[COSTO FINANCIERO USD POR BOLSA 50KG (IVA INC)]]</f>
        <v>#N/A</v>
      </c>
      <c r="BC676" s="828"/>
      <c r="BD676" s="944"/>
    </row>
    <row r="677" spans="1:56" ht="15.75" customHeight="1">
      <c r="A677" s="912">
        <v>46327</v>
      </c>
      <c r="B677" s="863"/>
      <c r="C677" s="792"/>
      <c r="D677" s="829">
        <f>+Tabla1[[#This Row],[FECHA Entrega]]</f>
        <v>0</v>
      </c>
      <c r="E677" s="830"/>
      <c r="F677" s="831"/>
      <c r="G677" s="832"/>
      <c r="H677" s="852"/>
      <c r="I677" s="834"/>
      <c r="J677" s="835"/>
      <c r="K677" s="836">
        <f t="shared" si="151"/>
        <v>0</v>
      </c>
      <c r="L67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77" s="837">
        <f t="shared" si="153"/>
        <v>0</v>
      </c>
      <c r="N677" s="838">
        <f>+Tabla1[[#This Row],[VENTA TOTAL $ (IVA INC) ]]</f>
        <v>0</v>
      </c>
      <c r="O677" s="838">
        <v>0</v>
      </c>
      <c r="P677" s="838">
        <v>0</v>
      </c>
      <c r="Q677" s="839">
        <f>+Tabla1[[#This Row],[VENTA TOTAL $ (IVA INC) ]]-Tabla1[[#This Row],[PENDIENTE DE COBRO]]</f>
        <v>0</v>
      </c>
      <c r="R677" s="840">
        <f>+Tabla1[[#This Row],[FECHA FC]]+Tabla1[[#This Row],[PLAZO ENTREGA VALORES]]</f>
        <v>0</v>
      </c>
      <c r="S677" s="840">
        <f>+Tabla1[[#This Row],[FECHA FC]]+Tabla1[[#This Row],[PLAZO PAGO (DIAS)]]</f>
        <v>0</v>
      </c>
      <c r="T677" s="834">
        <f t="shared" ca="1" si="152"/>
        <v>-46181</v>
      </c>
      <c r="U677" s="831"/>
      <c r="V677" s="831"/>
      <c r="W677" s="841">
        <f>+Tabla1[[#This Row],[FECHA VTO VALORES]]+7</f>
        <v>7</v>
      </c>
      <c r="X677" s="830"/>
      <c r="Y677" s="859"/>
      <c r="Z677" s="860">
        <f>Tabla1[[#This Row],[KGS]]/50</f>
        <v>0</v>
      </c>
      <c r="AA67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77" s="844">
        <f>-Tabla1[[#This Row],[COSTO FLETE $ POR BOLSA 5O KG (SIN IVA)]]*1.21-Tabla1[[#This Row],[PRECIO $/ KG A PLAZO EN CLIENTE ( SIN IVA)]]*0.003*1.21*50</f>
        <v>0</v>
      </c>
      <c r="AC677" s="845" t="e">
        <f>SUM(Tabla1[[#This Row],[PRECIO $ BOLSA 50 KG (IVA INC) ]]+Tabla1[[#This Row],[COSTO FLETE $ BOLSA 50 KG (IVA INC)]])</f>
        <v>#VALUE!</v>
      </c>
      <c r="AD677" s="844" t="e">
        <f>-Tabla1[[#This Row],[PRECIO $ BOLSA 50 KG (IVA INC) ]]*(Tabla1[[#This Row],[TASA FINANCIACION MENSUAL]]/365)*Tabla1[[#This Row],[PLAZO ENTREGA VALORES]]</f>
        <v>#VALUE!</v>
      </c>
      <c r="AE677" s="845" t="e">
        <f>SUM(Tabla1[[#This Row],[PRECIO $ BOLSA50 KG  FOB TUCUMAN A PLAZO (IVA INC)]]+Tabla1[[#This Row],[GASTOS FINANCIEROS $ BOLSA 50 KG (IVA INC)]])</f>
        <v>#VALUE!</v>
      </c>
      <c r="AF677" s="828"/>
      <c r="AG677" s="828"/>
      <c r="AH677" s="828"/>
      <c r="AI677" s="828"/>
      <c r="AJ67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77" s="846" t="e">
        <f>SUM(Tabla1[[#This Row],[PRECIO $ BOLSA 50KG  FOB CDO TUC (IVA INC)]]-Tabla1[[#This Row],[PRECIO REF $ BOLSA 50 KG CACTU (IVA INC)]])</f>
        <v>#VALUE!</v>
      </c>
      <c r="AL677" s="847" t="str">
        <f>IFERROR(Tabla1[[#This Row],[PRECIO $ BOLSA 50KG  FOB CDO TUC (IVA INC)]]/Tabla1[[#This Row],[PRECIO REF $ BOLSA 50 KG CACTU (IVA INC)]]-1,"")</f>
        <v/>
      </c>
      <c r="AM677" s="846" t="e">
        <f>+Tabla1[[#This Row],[DIF $ PRECIO NETO INDUSTRIA vs Neto TUCUMAN (IVA INC)]]*Tabla1[[#This Row],[Q Bolsas Equivalentes 50kg]]</f>
        <v>#VALUE!</v>
      </c>
      <c r="AN677" s="846" t="e">
        <f>Tabla1[[#This Row],[PRECIO REF $ BOLSA 50 KG CACTU (IVA INC)]]*Tabla1[[#This Row],[Q Bolsas Equivalentes 50kg]]</f>
        <v>#VALUE!</v>
      </c>
      <c r="AO677" s="846" t="e">
        <f>+Tabla1[[#This Row],[PRECIO $ BOLSA 50KG  FOB CDO TUC (IVA INC)]]*Tabla1[[#This Row],[Q Bolsas Equivalentes 50kg]]</f>
        <v>#VALUE!</v>
      </c>
      <c r="AP677" s="847"/>
      <c r="AQ677" s="846">
        <v>0</v>
      </c>
      <c r="AR677" s="828"/>
      <c r="AS677" s="849"/>
      <c r="AT677" s="923">
        <f>+Tabla1[[#This Row],[VENTA TOTAL $ (IVA INC) ]]-(SUM(Tabla1[[#This Row],[PENDIENTE DE ENTREGA]:[VALORES COBRADOS]]))</f>
        <v>0</v>
      </c>
      <c r="AU677" s="850" t="e">
        <f>VLOOKUP(Tabla1[[#This Row],[FECHA OC]],'TIPO DE CAMBIO'!A:B,2,TRUE)</f>
        <v>#N/A</v>
      </c>
      <c r="AV677" s="850" t="e">
        <f>+Tabla1[[#This Row],[SUBTOTAL]]/Tabla1[[#This Row],[TIPO DE CAMBIO]]</f>
        <v>#N/A</v>
      </c>
      <c r="AW677" s="851"/>
      <c r="AX677" s="850" t="str">
        <f>IFERROR(Tabla1[[#This Row],[VENTA TOTAL USD A PLAZO EN CLIENTE  (SIN IVA)]]*(1+Tabla1[[#This Row],[% IVA ]]),"")</f>
        <v/>
      </c>
      <c r="AY677" s="850" t="e">
        <f>+Tabla1[[#This Row],[VENTA TOTAL USD A PLAZO EN CLIENTE  (SIN IVA)]]/Tabla1[[#This Row],[KGS]]*1000</f>
        <v>#N/A</v>
      </c>
      <c r="AZ677" s="850" t="e">
        <f>-Tabla1[[#This Row],[COSTO FLETE $ POR BOLSA 5O KG (SIN IVA)]]*20/Tabla1[[#This Row],[TIPO DE CAMBIO]]</f>
        <v>#N/A</v>
      </c>
      <c r="BA677" s="850" t="e">
        <f>+Tabla1[[#This Row],[GASTOS FINANCIEROS $ BOLSA 50 KG (IVA INC)]]*20/Tabla1[[#This Row],[TIPO DE CAMBIO]]</f>
        <v>#VALUE!</v>
      </c>
      <c r="BB677" s="850" t="e">
        <f>+Tabla1[[#This Row],[PRECIO POR TN USD EN CLIENTE A PLAZO (SIN IVA)]]+Tabla1[[#This Row],[COSTO USD FLETE /TN (SIN IVA)]]+Tabla1[[#This Row],[COSTO FINANCIERO USD POR BOLSA 50KG (IVA INC)]]</f>
        <v>#N/A</v>
      </c>
      <c r="BC677" s="828"/>
      <c r="BD677" s="944"/>
    </row>
    <row r="678" spans="1:56" ht="15.75" customHeight="1">
      <c r="A678" s="912">
        <v>46327</v>
      </c>
      <c r="B678" s="863"/>
      <c r="C678" s="792"/>
      <c r="D678" s="829">
        <f>+Tabla1[[#This Row],[FECHA Entrega]]</f>
        <v>0</v>
      </c>
      <c r="E678" s="830"/>
      <c r="F678" s="831"/>
      <c r="G678" s="832"/>
      <c r="H678" s="852"/>
      <c r="I678" s="834"/>
      <c r="J678" s="835"/>
      <c r="K678" s="836">
        <f t="shared" si="151"/>
        <v>0</v>
      </c>
      <c r="L67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78" s="837">
        <f t="shared" si="153"/>
        <v>0</v>
      </c>
      <c r="N678" s="838">
        <f>+Tabla1[[#This Row],[VENTA TOTAL $ (IVA INC) ]]</f>
        <v>0</v>
      </c>
      <c r="O678" s="838">
        <v>0</v>
      </c>
      <c r="P678" s="838">
        <v>0</v>
      </c>
      <c r="Q678" s="839">
        <f>+Tabla1[[#This Row],[VENTA TOTAL $ (IVA INC) ]]-Tabla1[[#This Row],[PENDIENTE DE COBRO]]</f>
        <v>0</v>
      </c>
      <c r="R678" s="840">
        <f>+Tabla1[[#This Row],[FECHA FC]]+Tabla1[[#This Row],[PLAZO ENTREGA VALORES]]</f>
        <v>0</v>
      </c>
      <c r="S678" s="840">
        <f>+Tabla1[[#This Row],[FECHA FC]]+Tabla1[[#This Row],[PLAZO PAGO (DIAS)]]</f>
        <v>0</v>
      </c>
      <c r="T678" s="834">
        <f t="shared" ca="1" si="152"/>
        <v>-46181</v>
      </c>
      <c r="U678" s="831"/>
      <c r="V678" s="831"/>
      <c r="W678" s="841">
        <f>+Tabla1[[#This Row],[FECHA VTO VALORES]]+7</f>
        <v>7</v>
      </c>
      <c r="X678" s="830"/>
      <c r="Y678" s="859"/>
      <c r="Z678" s="860">
        <f>Tabla1[[#This Row],[KGS]]/50</f>
        <v>0</v>
      </c>
      <c r="AA67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78" s="844">
        <f>-Tabla1[[#This Row],[COSTO FLETE $ POR BOLSA 5O KG (SIN IVA)]]*1.21-Tabla1[[#This Row],[PRECIO $/ KG A PLAZO EN CLIENTE ( SIN IVA)]]*0.003*1.21*50</f>
        <v>0</v>
      </c>
      <c r="AC678" s="845" t="e">
        <f>SUM(Tabla1[[#This Row],[PRECIO $ BOLSA 50 KG (IVA INC) ]]+Tabla1[[#This Row],[COSTO FLETE $ BOLSA 50 KG (IVA INC)]])</f>
        <v>#VALUE!</v>
      </c>
      <c r="AD678" s="844" t="e">
        <f>-Tabla1[[#This Row],[PRECIO $ BOLSA 50 KG (IVA INC) ]]*(Tabla1[[#This Row],[TASA FINANCIACION MENSUAL]]/365)*Tabla1[[#This Row],[PLAZO ENTREGA VALORES]]</f>
        <v>#VALUE!</v>
      </c>
      <c r="AE678" s="845" t="e">
        <f>SUM(Tabla1[[#This Row],[PRECIO $ BOLSA50 KG  FOB TUCUMAN A PLAZO (IVA INC)]]+Tabla1[[#This Row],[GASTOS FINANCIEROS $ BOLSA 50 KG (IVA INC)]])</f>
        <v>#VALUE!</v>
      </c>
      <c r="AF678" s="828"/>
      <c r="AG678" s="828"/>
      <c r="AH678" s="828"/>
      <c r="AI678" s="828"/>
      <c r="AJ67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78" s="846" t="e">
        <f>SUM(Tabla1[[#This Row],[PRECIO $ BOLSA 50KG  FOB CDO TUC (IVA INC)]]-Tabla1[[#This Row],[PRECIO REF $ BOLSA 50 KG CACTU (IVA INC)]])</f>
        <v>#VALUE!</v>
      </c>
      <c r="AL678" s="847" t="str">
        <f>IFERROR(Tabla1[[#This Row],[PRECIO $ BOLSA 50KG  FOB CDO TUC (IVA INC)]]/Tabla1[[#This Row],[PRECIO REF $ BOLSA 50 KG CACTU (IVA INC)]]-1,"")</f>
        <v/>
      </c>
      <c r="AM678" s="846" t="e">
        <f>+Tabla1[[#This Row],[DIF $ PRECIO NETO INDUSTRIA vs Neto TUCUMAN (IVA INC)]]*Tabla1[[#This Row],[Q Bolsas Equivalentes 50kg]]</f>
        <v>#VALUE!</v>
      </c>
      <c r="AN678" s="846" t="e">
        <f>Tabla1[[#This Row],[PRECIO REF $ BOLSA 50 KG CACTU (IVA INC)]]*Tabla1[[#This Row],[Q Bolsas Equivalentes 50kg]]</f>
        <v>#VALUE!</v>
      </c>
      <c r="AO678" s="846" t="e">
        <f>+Tabla1[[#This Row],[PRECIO $ BOLSA 50KG  FOB CDO TUC (IVA INC)]]*Tabla1[[#This Row],[Q Bolsas Equivalentes 50kg]]</f>
        <v>#VALUE!</v>
      </c>
      <c r="AP678" s="847"/>
      <c r="AQ678" s="846">
        <v>0</v>
      </c>
      <c r="AR678" s="828"/>
      <c r="AS678" s="849"/>
      <c r="AT678" s="923">
        <f>+Tabla1[[#This Row],[VENTA TOTAL $ (IVA INC) ]]-(SUM(Tabla1[[#This Row],[PENDIENTE DE ENTREGA]:[VALORES COBRADOS]]))</f>
        <v>0</v>
      </c>
      <c r="AU678" s="850" t="e">
        <f>VLOOKUP(Tabla1[[#This Row],[FECHA OC]],'TIPO DE CAMBIO'!A:B,2,TRUE)</f>
        <v>#N/A</v>
      </c>
      <c r="AV678" s="850" t="e">
        <f>+Tabla1[[#This Row],[SUBTOTAL]]/Tabla1[[#This Row],[TIPO DE CAMBIO]]</f>
        <v>#N/A</v>
      </c>
      <c r="AW678" s="851"/>
      <c r="AX678" s="850" t="str">
        <f>IFERROR(Tabla1[[#This Row],[VENTA TOTAL USD A PLAZO EN CLIENTE  (SIN IVA)]]*(1+Tabla1[[#This Row],[% IVA ]]),"")</f>
        <v/>
      </c>
      <c r="AY678" s="850" t="e">
        <f>+Tabla1[[#This Row],[VENTA TOTAL USD A PLAZO EN CLIENTE  (SIN IVA)]]/Tabla1[[#This Row],[KGS]]*1000</f>
        <v>#N/A</v>
      </c>
      <c r="AZ678" s="850" t="e">
        <f>-Tabla1[[#This Row],[COSTO FLETE $ POR BOLSA 5O KG (SIN IVA)]]*20/Tabla1[[#This Row],[TIPO DE CAMBIO]]</f>
        <v>#N/A</v>
      </c>
      <c r="BA678" s="850" t="e">
        <f>+Tabla1[[#This Row],[GASTOS FINANCIEROS $ BOLSA 50 KG (IVA INC)]]*20/Tabla1[[#This Row],[TIPO DE CAMBIO]]</f>
        <v>#VALUE!</v>
      </c>
      <c r="BB678" s="850" t="e">
        <f>+Tabla1[[#This Row],[PRECIO POR TN USD EN CLIENTE A PLAZO (SIN IVA)]]+Tabla1[[#This Row],[COSTO USD FLETE /TN (SIN IVA)]]+Tabla1[[#This Row],[COSTO FINANCIERO USD POR BOLSA 50KG (IVA INC)]]</f>
        <v>#N/A</v>
      </c>
      <c r="BC678" s="828"/>
      <c r="BD678" s="944"/>
    </row>
    <row r="679" spans="1:56" ht="15.75" customHeight="1">
      <c r="A679" s="912">
        <v>46327</v>
      </c>
      <c r="B679" s="863"/>
      <c r="C679" s="792"/>
      <c r="D679" s="829">
        <f>+Tabla1[[#This Row],[FECHA Entrega]]</f>
        <v>0</v>
      </c>
      <c r="E679" s="830"/>
      <c r="F679" s="831"/>
      <c r="G679" s="832"/>
      <c r="H679" s="852"/>
      <c r="I679" s="834"/>
      <c r="J679" s="835"/>
      <c r="K679" s="836">
        <f t="shared" si="151"/>
        <v>0</v>
      </c>
      <c r="L67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79" s="837">
        <f t="shared" si="153"/>
        <v>0</v>
      </c>
      <c r="N679" s="838">
        <f>+Tabla1[[#This Row],[VENTA TOTAL $ (IVA INC) ]]</f>
        <v>0</v>
      </c>
      <c r="O679" s="838">
        <v>0</v>
      </c>
      <c r="P679" s="838">
        <v>0</v>
      </c>
      <c r="Q679" s="839">
        <f>+Tabla1[[#This Row],[VENTA TOTAL $ (IVA INC) ]]-Tabla1[[#This Row],[PENDIENTE DE COBRO]]</f>
        <v>0</v>
      </c>
      <c r="R679" s="840">
        <f>+Tabla1[[#This Row],[FECHA FC]]+Tabla1[[#This Row],[PLAZO ENTREGA VALORES]]</f>
        <v>0</v>
      </c>
      <c r="S679" s="840">
        <f>+Tabla1[[#This Row],[FECHA FC]]+Tabla1[[#This Row],[PLAZO PAGO (DIAS)]]</f>
        <v>0</v>
      </c>
      <c r="T679" s="834">
        <f t="shared" ca="1" si="152"/>
        <v>-46181</v>
      </c>
      <c r="U679" s="831"/>
      <c r="V679" s="831"/>
      <c r="W679" s="841">
        <f>+Tabla1[[#This Row],[FECHA VTO VALORES]]+7</f>
        <v>7</v>
      </c>
      <c r="X679" s="830"/>
      <c r="Y679" s="859"/>
      <c r="Z679" s="860">
        <f>Tabla1[[#This Row],[KGS]]/50</f>
        <v>0</v>
      </c>
      <c r="AA67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79" s="844">
        <f>-Tabla1[[#This Row],[COSTO FLETE $ POR BOLSA 5O KG (SIN IVA)]]*1.21-Tabla1[[#This Row],[PRECIO $/ KG A PLAZO EN CLIENTE ( SIN IVA)]]*0.003*1.21*50</f>
        <v>0</v>
      </c>
      <c r="AC679" s="845" t="e">
        <f>SUM(Tabla1[[#This Row],[PRECIO $ BOLSA 50 KG (IVA INC) ]]+Tabla1[[#This Row],[COSTO FLETE $ BOLSA 50 KG (IVA INC)]])</f>
        <v>#VALUE!</v>
      </c>
      <c r="AD679" s="844" t="e">
        <f>-Tabla1[[#This Row],[PRECIO $ BOLSA 50 KG (IVA INC) ]]*(Tabla1[[#This Row],[TASA FINANCIACION MENSUAL]]/365)*Tabla1[[#This Row],[PLAZO ENTREGA VALORES]]</f>
        <v>#VALUE!</v>
      </c>
      <c r="AE679" s="845" t="e">
        <f>SUM(Tabla1[[#This Row],[PRECIO $ BOLSA50 KG  FOB TUCUMAN A PLAZO (IVA INC)]]+Tabla1[[#This Row],[GASTOS FINANCIEROS $ BOLSA 50 KG (IVA INC)]])</f>
        <v>#VALUE!</v>
      </c>
      <c r="AF679" s="828"/>
      <c r="AG679" s="828"/>
      <c r="AH679" s="828"/>
      <c r="AI679" s="828"/>
      <c r="AJ67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79" s="846" t="e">
        <f>SUM(Tabla1[[#This Row],[PRECIO $ BOLSA 50KG  FOB CDO TUC (IVA INC)]]-Tabla1[[#This Row],[PRECIO REF $ BOLSA 50 KG CACTU (IVA INC)]])</f>
        <v>#VALUE!</v>
      </c>
      <c r="AL679" s="847" t="str">
        <f>IFERROR(Tabla1[[#This Row],[PRECIO $ BOLSA 50KG  FOB CDO TUC (IVA INC)]]/Tabla1[[#This Row],[PRECIO REF $ BOLSA 50 KG CACTU (IVA INC)]]-1,"")</f>
        <v/>
      </c>
      <c r="AM679" s="846" t="e">
        <f>+Tabla1[[#This Row],[DIF $ PRECIO NETO INDUSTRIA vs Neto TUCUMAN (IVA INC)]]*Tabla1[[#This Row],[Q Bolsas Equivalentes 50kg]]</f>
        <v>#VALUE!</v>
      </c>
      <c r="AN679" s="846" t="e">
        <f>Tabla1[[#This Row],[PRECIO REF $ BOLSA 50 KG CACTU (IVA INC)]]*Tabla1[[#This Row],[Q Bolsas Equivalentes 50kg]]</f>
        <v>#VALUE!</v>
      </c>
      <c r="AO679" s="846" t="e">
        <f>+Tabla1[[#This Row],[PRECIO $ BOLSA 50KG  FOB CDO TUC (IVA INC)]]*Tabla1[[#This Row],[Q Bolsas Equivalentes 50kg]]</f>
        <v>#VALUE!</v>
      </c>
      <c r="AP679" s="847"/>
      <c r="AQ679" s="846">
        <v>0</v>
      </c>
      <c r="AR679" s="828"/>
      <c r="AS679" s="849"/>
      <c r="AT679" s="923">
        <f>+Tabla1[[#This Row],[VENTA TOTAL $ (IVA INC) ]]-(SUM(Tabla1[[#This Row],[PENDIENTE DE ENTREGA]:[VALORES COBRADOS]]))</f>
        <v>0</v>
      </c>
      <c r="AU679" s="850" t="e">
        <f>VLOOKUP(Tabla1[[#This Row],[FECHA OC]],'TIPO DE CAMBIO'!A:B,2,TRUE)</f>
        <v>#N/A</v>
      </c>
      <c r="AV679" s="850" t="e">
        <f>+Tabla1[[#This Row],[SUBTOTAL]]/Tabla1[[#This Row],[TIPO DE CAMBIO]]</f>
        <v>#N/A</v>
      </c>
      <c r="AW679" s="851"/>
      <c r="AX679" s="850" t="str">
        <f>IFERROR(Tabla1[[#This Row],[VENTA TOTAL USD A PLAZO EN CLIENTE  (SIN IVA)]]*(1+Tabla1[[#This Row],[% IVA ]]),"")</f>
        <v/>
      </c>
      <c r="AY679" s="850" t="e">
        <f>+Tabla1[[#This Row],[VENTA TOTAL USD A PLAZO EN CLIENTE  (SIN IVA)]]/Tabla1[[#This Row],[KGS]]*1000</f>
        <v>#N/A</v>
      </c>
      <c r="AZ679" s="850" t="e">
        <f>-Tabla1[[#This Row],[COSTO FLETE $ POR BOLSA 5O KG (SIN IVA)]]*20/Tabla1[[#This Row],[TIPO DE CAMBIO]]</f>
        <v>#N/A</v>
      </c>
      <c r="BA679" s="850" t="e">
        <f>+Tabla1[[#This Row],[GASTOS FINANCIEROS $ BOLSA 50 KG (IVA INC)]]*20/Tabla1[[#This Row],[TIPO DE CAMBIO]]</f>
        <v>#VALUE!</v>
      </c>
      <c r="BB679" s="850" t="e">
        <f>+Tabla1[[#This Row],[PRECIO POR TN USD EN CLIENTE A PLAZO (SIN IVA)]]+Tabla1[[#This Row],[COSTO USD FLETE /TN (SIN IVA)]]+Tabla1[[#This Row],[COSTO FINANCIERO USD POR BOLSA 50KG (IVA INC)]]</f>
        <v>#N/A</v>
      </c>
      <c r="BC679" s="828"/>
      <c r="BD679" s="944"/>
    </row>
    <row r="680" spans="1:56" ht="15.75" customHeight="1">
      <c r="A680" s="912">
        <v>46327</v>
      </c>
      <c r="B680" s="863"/>
      <c r="C680" s="792"/>
      <c r="D680" s="829">
        <f>+Tabla1[[#This Row],[FECHA Entrega]]</f>
        <v>0</v>
      </c>
      <c r="E680" s="830"/>
      <c r="F680" s="831"/>
      <c r="G680" s="832"/>
      <c r="H680" s="852"/>
      <c r="I680" s="834"/>
      <c r="J680" s="835"/>
      <c r="K680" s="836">
        <f t="shared" si="151"/>
        <v>0</v>
      </c>
      <c r="L68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80" s="837">
        <f t="shared" si="153"/>
        <v>0</v>
      </c>
      <c r="N680" s="838">
        <f>+Tabla1[[#This Row],[VENTA TOTAL $ (IVA INC) ]]</f>
        <v>0</v>
      </c>
      <c r="O680" s="838">
        <v>0</v>
      </c>
      <c r="P680" s="838">
        <v>0</v>
      </c>
      <c r="Q680" s="839">
        <f>+Tabla1[[#This Row],[VENTA TOTAL $ (IVA INC) ]]-Tabla1[[#This Row],[PENDIENTE DE COBRO]]</f>
        <v>0</v>
      </c>
      <c r="R680" s="840">
        <f>+Tabla1[[#This Row],[FECHA FC]]+Tabla1[[#This Row],[PLAZO ENTREGA VALORES]]</f>
        <v>0</v>
      </c>
      <c r="S680" s="840">
        <f>+Tabla1[[#This Row],[FECHA FC]]+Tabla1[[#This Row],[PLAZO PAGO (DIAS)]]</f>
        <v>0</v>
      </c>
      <c r="T680" s="834">
        <f t="shared" ca="1" si="152"/>
        <v>-46181</v>
      </c>
      <c r="U680" s="831"/>
      <c r="V680" s="831"/>
      <c r="W680" s="841">
        <f>+Tabla1[[#This Row],[FECHA VTO VALORES]]+7</f>
        <v>7</v>
      </c>
      <c r="X680" s="830"/>
      <c r="Y680" s="859"/>
      <c r="Z680" s="860">
        <f>Tabla1[[#This Row],[KGS]]/50</f>
        <v>0</v>
      </c>
      <c r="AA68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80" s="844">
        <f>-Tabla1[[#This Row],[COSTO FLETE $ POR BOLSA 5O KG (SIN IVA)]]*1.21-Tabla1[[#This Row],[PRECIO $/ KG A PLAZO EN CLIENTE ( SIN IVA)]]*0.003*1.21*50</f>
        <v>0</v>
      </c>
      <c r="AC680" s="845" t="e">
        <f>SUM(Tabla1[[#This Row],[PRECIO $ BOLSA 50 KG (IVA INC) ]]+Tabla1[[#This Row],[COSTO FLETE $ BOLSA 50 KG (IVA INC)]])</f>
        <v>#VALUE!</v>
      </c>
      <c r="AD680" s="844" t="e">
        <f>-Tabla1[[#This Row],[PRECIO $ BOLSA 50 KG (IVA INC) ]]*(Tabla1[[#This Row],[TASA FINANCIACION MENSUAL]]/365)*Tabla1[[#This Row],[PLAZO ENTREGA VALORES]]</f>
        <v>#VALUE!</v>
      </c>
      <c r="AE680" s="845" t="e">
        <f>SUM(Tabla1[[#This Row],[PRECIO $ BOLSA50 KG  FOB TUCUMAN A PLAZO (IVA INC)]]+Tabla1[[#This Row],[GASTOS FINANCIEROS $ BOLSA 50 KG (IVA INC)]])</f>
        <v>#VALUE!</v>
      </c>
      <c r="AF680" s="828"/>
      <c r="AG680" s="828"/>
      <c r="AH680" s="828"/>
      <c r="AI680" s="828"/>
      <c r="AJ68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80" s="846" t="e">
        <f>SUM(Tabla1[[#This Row],[PRECIO $ BOLSA 50KG  FOB CDO TUC (IVA INC)]]-Tabla1[[#This Row],[PRECIO REF $ BOLSA 50 KG CACTU (IVA INC)]])</f>
        <v>#VALUE!</v>
      </c>
      <c r="AL680" s="847" t="str">
        <f>IFERROR(Tabla1[[#This Row],[PRECIO $ BOLSA 50KG  FOB CDO TUC (IVA INC)]]/Tabla1[[#This Row],[PRECIO REF $ BOLSA 50 KG CACTU (IVA INC)]]-1,"")</f>
        <v/>
      </c>
      <c r="AM680" s="846" t="e">
        <f>+Tabla1[[#This Row],[DIF $ PRECIO NETO INDUSTRIA vs Neto TUCUMAN (IVA INC)]]*Tabla1[[#This Row],[Q Bolsas Equivalentes 50kg]]</f>
        <v>#VALUE!</v>
      </c>
      <c r="AN680" s="846" t="e">
        <f>Tabla1[[#This Row],[PRECIO REF $ BOLSA 50 KG CACTU (IVA INC)]]*Tabla1[[#This Row],[Q Bolsas Equivalentes 50kg]]</f>
        <v>#VALUE!</v>
      </c>
      <c r="AO680" s="846" t="e">
        <f>+Tabla1[[#This Row],[PRECIO $ BOLSA 50KG  FOB CDO TUC (IVA INC)]]*Tabla1[[#This Row],[Q Bolsas Equivalentes 50kg]]</f>
        <v>#VALUE!</v>
      </c>
      <c r="AP680" s="847"/>
      <c r="AQ680" s="846">
        <v>0</v>
      </c>
      <c r="AR680" s="828"/>
      <c r="AS680" s="849"/>
      <c r="AT680" s="923">
        <f>+Tabla1[[#This Row],[VENTA TOTAL $ (IVA INC) ]]-(SUM(Tabla1[[#This Row],[PENDIENTE DE ENTREGA]:[VALORES COBRADOS]]))</f>
        <v>0</v>
      </c>
      <c r="AU680" s="850" t="e">
        <f>VLOOKUP(Tabla1[[#This Row],[FECHA OC]],'TIPO DE CAMBIO'!A:B,2,TRUE)</f>
        <v>#N/A</v>
      </c>
      <c r="AV680" s="850" t="e">
        <f>+Tabla1[[#This Row],[SUBTOTAL]]/Tabla1[[#This Row],[TIPO DE CAMBIO]]</f>
        <v>#N/A</v>
      </c>
      <c r="AW680" s="851"/>
      <c r="AX680" s="850" t="str">
        <f>IFERROR(Tabla1[[#This Row],[VENTA TOTAL USD A PLAZO EN CLIENTE  (SIN IVA)]]*(1+Tabla1[[#This Row],[% IVA ]]),"")</f>
        <v/>
      </c>
      <c r="AY680" s="850" t="e">
        <f>+Tabla1[[#This Row],[VENTA TOTAL USD A PLAZO EN CLIENTE  (SIN IVA)]]/Tabla1[[#This Row],[KGS]]*1000</f>
        <v>#N/A</v>
      </c>
      <c r="AZ680" s="850" t="e">
        <f>-Tabla1[[#This Row],[COSTO FLETE $ POR BOLSA 5O KG (SIN IVA)]]*20/Tabla1[[#This Row],[TIPO DE CAMBIO]]</f>
        <v>#N/A</v>
      </c>
      <c r="BA680" s="850" t="e">
        <f>+Tabla1[[#This Row],[GASTOS FINANCIEROS $ BOLSA 50 KG (IVA INC)]]*20/Tabla1[[#This Row],[TIPO DE CAMBIO]]</f>
        <v>#VALUE!</v>
      </c>
      <c r="BB680" s="850" t="e">
        <f>+Tabla1[[#This Row],[PRECIO POR TN USD EN CLIENTE A PLAZO (SIN IVA)]]+Tabla1[[#This Row],[COSTO USD FLETE /TN (SIN IVA)]]+Tabla1[[#This Row],[COSTO FINANCIERO USD POR BOLSA 50KG (IVA INC)]]</f>
        <v>#N/A</v>
      </c>
      <c r="BC680" s="828"/>
      <c r="BD680" s="944"/>
    </row>
    <row r="681" spans="1:56" ht="15.75" customHeight="1">
      <c r="A681" s="912">
        <v>46327</v>
      </c>
      <c r="B681" s="863"/>
      <c r="C681" s="792"/>
      <c r="D681" s="829">
        <f>+Tabla1[[#This Row],[FECHA Entrega]]</f>
        <v>0</v>
      </c>
      <c r="E681" s="830"/>
      <c r="F681" s="831"/>
      <c r="G681" s="832"/>
      <c r="H681" s="852"/>
      <c r="I681" s="834"/>
      <c r="J681" s="835"/>
      <c r="K681" s="836">
        <f t="shared" si="151"/>
        <v>0</v>
      </c>
      <c r="L68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81" s="837">
        <f t="shared" si="153"/>
        <v>0</v>
      </c>
      <c r="N681" s="838">
        <f>+Tabla1[[#This Row],[VENTA TOTAL $ (IVA INC) ]]</f>
        <v>0</v>
      </c>
      <c r="O681" s="838">
        <v>0</v>
      </c>
      <c r="P681" s="838">
        <v>0</v>
      </c>
      <c r="Q681" s="839">
        <f>+Tabla1[[#This Row],[VENTA TOTAL $ (IVA INC) ]]-Tabla1[[#This Row],[PENDIENTE DE COBRO]]</f>
        <v>0</v>
      </c>
      <c r="R681" s="840">
        <f>+Tabla1[[#This Row],[FECHA FC]]+Tabla1[[#This Row],[PLAZO ENTREGA VALORES]]</f>
        <v>0</v>
      </c>
      <c r="S681" s="840">
        <f>+Tabla1[[#This Row],[FECHA FC]]+Tabla1[[#This Row],[PLAZO PAGO (DIAS)]]</f>
        <v>0</v>
      </c>
      <c r="T681" s="834">
        <f t="shared" ca="1" si="152"/>
        <v>-46181</v>
      </c>
      <c r="U681" s="831"/>
      <c r="V681" s="831"/>
      <c r="W681" s="841">
        <f>+Tabla1[[#This Row],[FECHA VTO VALORES]]+7</f>
        <v>7</v>
      </c>
      <c r="X681" s="830"/>
      <c r="Y681" s="859"/>
      <c r="Z681" s="860">
        <f>Tabla1[[#This Row],[KGS]]/50</f>
        <v>0</v>
      </c>
      <c r="AA68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81" s="844">
        <f>-Tabla1[[#This Row],[COSTO FLETE $ POR BOLSA 5O KG (SIN IVA)]]*1.21-Tabla1[[#This Row],[PRECIO $/ KG A PLAZO EN CLIENTE ( SIN IVA)]]*0.003*1.21*50</f>
        <v>0</v>
      </c>
      <c r="AC681" s="845" t="e">
        <f>SUM(Tabla1[[#This Row],[PRECIO $ BOLSA 50 KG (IVA INC) ]]+Tabla1[[#This Row],[COSTO FLETE $ BOLSA 50 KG (IVA INC)]])</f>
        <v>#VALUE!</v>
      </c>
      <c r="AD681" s="844" t="e">
        <f>-Tabla1[[#This Row],[PRECIO $ BOLSA 50 KG (IVA INC) ]]*(Tabla1[[#This Row],[TASA FINANCIACION MENSUAL]]/365)*Tabla1[[#This Row],[PLAZO ENTREGA VALORES]]</f>
        <v>#VALUE!</v>
      </c>
      <c r="AE681" s="845" t="e">
        <f>SUM(Tabla1[[#This Row],[PRECIO $ BOLSA50 KG  FOB TUCUMAN A PLAZO (IVA INC)]]+Tabla1[[#This Row],[GASTOS FINANCIEROS $ BOLSA 50 KG (IVA INC)]])</f>
        <v>#VALUE!</v>
      </c>
      <c r="AF681" s="828"/>
      <c r="AG681" s="828"/>
      <c r="AH681" s="828"/>
      <c r="AI681" s="828"/>
      <c r="AJ68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81" s="846" t="e">
        <f>SUM(Tabla1[[#This Row],[PRECIO $ BOLSA 50KG  FOB CDO TUC (IVA INC)]]-Tabla1[[#This Row],[PRECIO REF $ BOLSA 50 KG CACTU (IVA INC)]])</f>
        <v>#VALUE!</v>
      </c>
      <c r="AL681" s="847" t="str">
        <f>IFERROR(Tabla1[[#This Row],[PRECIO $ BOLSA 50KG  FOB CDO TUC (IVA INC)]]/Tabla1[[#This Row],[PRECIO REF $ BOLSA 50 KG CACTU (IVA INC)]]-1,"")</f>
        <v/>
      </c>
      <c r="AM681" s="846" t="e">
        <f>+Tabla1[[#This Row],[DIF $ PRECIO NETO INDUSTRIA vs Neto TUCUMAN (IVA INC)]]*Tabla1[[#This Row],[Q Bolsas Equivalentes 50kg]]</f>
        <v>#VALUE!</v>
      </c>
      <c r="AN681" s="846" t="e">
        <f>Tabla1[[#This Row],[PRECIO REF $ BOLSA 50 KG CACTU (IVA INC)]]*Tabla1[[#This Row],[Q Bolsas Equivalentes 50kg]]</f>
        <v>#VALUE!</v>
      </c>
      <c r="AO681" s="846" t="e">
        <f>+Tabla1[[#This Row],[PRECIO $ BOLSA 50KG  FOB CDO TUC (IVA INC)]]*Tabla1[[#This Row],[Q Bolsas Equivalentes 50kg]]</f>
        <v>#VALUE!</v>
      </c>
      <c r="AP681" s="847"/>
      <c r="AQ681" s="846">
        <v>0</v>
      </c>
      <c r="AR681" s="828"/>
      <c r="AS681" s="849"/>
      <c r="AT681" s="923">
        <f>+Tabla1[[#This Row],[VENTA TOTAL $ (IVA INC) ]]-(SUM(Tabla1[[#This Row],[PENDIENTE DE ENTREGA]:[VALORES COBRADOS]]))</f>
        <v>0</v>
      </c>
      <c r="AU681" s="850" t="e">
        <f>VLOOKUP(Tabla1[[#This Row],[FECHA OC]],'TIPO DE CAMBIO'!A:B,2,TRUE)</f>
        <v>#N/A</v>
      </c>
      <c r="AV681" s="850" t="e">
        <f>+Tabla1[[#This Row],[SUBTOTAL]]/Tabla1[[#This Row],[TIPO DE CAMBIO]]</f>
        <v>#N/A</v>
      </c>
      <c r="AW681" s="851"/>
      <c r="AX681" s="850" t="str">
        <f>IFERROR(Tabla1[[#This Row],[VENTA TOTAL USD A PLAZO EN CLIENTE  (SIN IVA)]]*(1+Tabla1[[#This Row],[% IVA ]]),"")</f>
        <v/>
      </c>
      <c r="AY681" s="850" t="e">
        <f>+Tabla1[[#This Row],[VENTA TOTAL USD A PLAZO EN CLIENTE  (SIN IVA)]]/Tabla1[[#This Row],[KGS]]*1000</f>
        <v>#N/A</v>
      </c>
      <c r="AZ681" s="850" t="e">
        <f>-Tabla1[[#This Row],[COSTO FLETE $ POR BOLSA 5O KG (SIN IVA)]]*20/Tabla1[[#This Row],[TIPO DE CAMBIO]]</f>
        <v>#N/A</v>
      </c>
      <c r="BA681" s="850" t="e">
        <f>+Tabla1[[#This Row],[GASTOS FINANCIEROS $ BOLSA 50 KG (IVA INC)]]*20/Tabla1[[#This Row],[TIPO DE CAMBIO]]</f>
        <v>#VALUE!</v>
      </c>
      <c r="BB681" s="850" t="e">
        <f>+Tabla1[[#This Row],[PRECIO POR TN USD EN CLIENTE A PLAZO (SIN IVA)]]+Tabla1[[#This Row],[COSTO USD FLETE /TN (SIN IVA)]]+Tabla1[[#This Row],[COSTO FINANCIERO USD POR BOLSA 50KG (IVA INC)]]</f>
        <v>#N/A</v>
      </c>
      <c r="BC681" s="828"/>
      <c r="BD681" s="944"/>
    </row>
    <row r="682" spans="1:56" ht="15.75" customHeight="1">
      <c r="A682" s="912">
        <v>46327</v>
      </c>
      <c r="B682" s="863"/>
      <c r="C682" s="792"/>
      <c r="D682" s="829">
        <f>+Tabla1[[#This Row],[FECHA Entrega]]</f>
        <v>0</v>
      </c>
      <c r="E682" s="830"/>
      <c r="F682" s="831"/>
      <c r="G682" s="832"/>
      <c r="H682" s="852"/>
      <c r="I682" s="834"/>
      <c r="J682" s="835"/>
      <c r="K682" s="836">
        <f t="shared" si="151"/>
        <v>0</v>
      </c>
      <c r="L68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82" s="837">
        <f t="shared" si="153"/>
        <v>0</v>
      </c>
      <c r="N682" s="838">
        <f>+Tabla1[[#This Row],[VENTA TOTAL $ (IVA INC) ]]</f>
        <v>0</v>
      </c>
      <c r="O682" s="838">
        <v>0</v>
      </c>
      <c r="P682" s="838">
        <v>0</v>
      </c>
      <c r="Q682" s="839">
        <f>+Tabla1[[#This Row],[VENTA TOTAL $ (IVA INC) ]]-Tabla1[[#This Row],[PENDIENTE DE COBRO]]</f>
        <v>0</v>
      </c>
      <c r="R682" s="840">
        <f>+Tabla1[[#This Row],[FECHA FC]]+Tabla1[[#This Row],[PLAZO ENTREGA VALORES]]</f>
        <v>0</v>
      </c>
      <c r="S682" s="840">
        <f>+Tabla1[[#This Row],[FECHA FC]]+Tabla1[[#This Row],[PLAZO PAGO (DIAS)]]</f>
        <v>0</v>
      </c>
      <c r="T682" s="834">
        <f t="shared" ca="1" si="152"/>
        <v>-46181</v>
      </c>
      <c r="U682" s="831"/>
      <c r="V682" s="831"/>
      <c r="W682" s="841">
        <f>+Tabla1[[#This Row],[FECHA VTO VALORES]]+7</f>
        <v>7</v>
      </c>
      <c r="X682" s="830"/>
      <c r="Y682" s="859"/>
      <c r="Z682" s="860">
        <f>Tabla1[[#This Row],[KGS]]/50</f>
        <v>0</v>
      </c>
      <c r="AA68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82" s="844">
        <f>-Tabla1[[#This Row],[COSTO FLETE $ POR BOLSA 5O KG (SIN IVA)]]*1.21-Tabla1[[#This Row],[PRECIO $/ KG A PLAZO EN CLIENTE ( SIN IVA)]]*0.003*1.21*50</f>
        <v>0</v>
      </c>
      <c r="AC682" s="845" t="e">
        <f>SUM(Tabla1[[#This Row],[PRECIO $ BOLSA 50 KG (IVA INC) ]]+Tabla1[[#This Row],[COSTO FLETE $ BOLSA 50 KG (IVA INC)]])</f>
        <v>#VALUE!</v>
      </c>
      <c r="AD682" s="844" t="e">
        <f>-Tabla1[[#This Row],[PRECIO $ BOLSA 50 KG (IVA INC) ]]*(Tabla1[[#This Row],[TASA FINANCIACION MENSUAL]]/365)*Tabla1[[#This Row],[PLAZO ENTREGA VALORES]]</f>
        <v>#VALUE!</v>
      </c>
      <c r="AE682" s="845" t="e">
        <f>SUM(Tabla1[[#This Row],[PRECIO $ BOLSA50 KG  FOB TUCUMAN A PLAZO (IVA INC)]]+Tabla1[[#This Row],[GASTOS FINANCIEROS $ BOLSA 50 KG (IVA INC)]])</f>
        <v>#VALUE!</v>
      </c>
      <c r="AF682" s="828"/>
      <c r="AG682" s="828"/>
      <c r="AH682" s="828"/>
      <c r="AI682" s="828"/>
      <c r="AJ68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82" s="846" t="e">
        <f>SUM(Tabla1[[#This Row],[PRECIO $ BOLSA 50KG  FOB CDO TUC (IVA INC)]]-Tabla1[[#This Row],[PRECIO REF $ BOLSA 50 KG CACTU (IVA INC)]])</f>
        <v>#VALUE!</v>
      </c>
      <c r="AL682" s="847" t="str">
        <f>IFERROR(Tabla1[[#This Row],[PRECIO $ BOLSA 50KG  FOB CDO TUC (IVA INC)]]/Tabla1[[#This Row],[PRECIO REF $ BOLSA 50 KG CACTU (IVA INC)]]-1,"")</f>
        <v/>
      </c>
      <c r="AM682" s="846" t="e">
        <f>+Tabla1[[#This Row],[DIF $ PRECIO NETO INDUSTRIA vs Neto TUCUMAN (IVA INC)]]*Tabla1[[#This Row],[Q Bolsas Equivalentes 50kg]]</f>
        <v>#VALUE!</v>
      </c>
      <c r="AN682" s="846" t="e">
        <f>Tabla1[[#This Row],[PRECIO REF $ BOLSA 50 KG CACTU (IVA INC)]]*Tabla1[[#This Row],[Q Bolsas Equivalentes 50kg]]</f>
        <v>#VALUE!</v>
      </c>
      <c r="AO682" s="846" t="e">
        <f>+Tabla1[[#This Row],[PRECIO $ BOLSA 50KG  FOB CDO TUC (IVA INC)]]*Tabla1[[#This Row],[Q Bolsas Equivalentes 50kg]]</f>
        <v>#VALUE!</v>
      </c>
      <c r="AP682" s="847"/>
      <c r="AQ682" s="846">
        <v>0</v>
      </c>
      <c r="AR682" s="828"/>
      <c r="AS682" s="849"/>
      <c r="AT682" s="923">
        <f>+Tabla1[[#This Row],[VENTA TOTAL $ (IVA INC) ]]-(SUM(Tabla1[[#This Row],[PENDIENTE DE ENTREGA]:[VALORES COBRADOS]]))</f>
        <v>0</v>
      </c>
      <c r="AU682" s="850" t="e">
        <f>VLOOKUP(Tabla1[[#This Row],[FECHA OC]],'TIPO DE CAMBIO'!A:B,2,TRUE)</f>
        <v>#N/A</v>
      </c>
      <c r="AV682" s="850" t="e">
        <f>+Tabla1[[#This Row],[SUBTOTAL]]/Tabla1[[#This Row],[TIPO DE CAMBIO]]</f>
        <v>#N/A</v>
      </c>
      <c r="AW682" s="851"/>
      <c r="AX682" s="850" t="str">
        <f>IFERROR(Tabla1[[#This Row],[VENTA TOTAL USD A PLAZO EN CLIENTE  (SIN IVA)]]*(1+Tabla1[[#This Row],[% IVA ]]),"")</f>
        <v/>
      </c>
      <c r="AY682" s="850" t="e">
        <f>+Tabla1[[#This Row],[VENTA TOTAL USD A PLAZO EN CLIENTE  (SIN IVA)]]/Tabla1[[#This Row],[KGS]]*1000</f>
        <v>#N/A</v>
      </c>
      <c r="AZ682" s="850" t="e">
        <f>-Tabla1[[#This Row],[COSTO FLETE $ POR BOLSA 5O KG (SIN IVA)]]*20/Tabla1[[#This Row],[TIPO DE CAMBIO]]</f>
        <v>#N/A</v>
      </c>
      <c r="BA682" s="850" t="e">
        <f>+Tabla1[[#This Row],[GASTOS FINANCIEROS $ BOLSA 50 KG (IVA INC)]]*20/Tabla1[[#This Row],[TIPO DE CAMBIO]]</f>
        <v>#VALUE!</v>
      </c>
      <c r="BB682" s="850" t="e">
        <f>+Tabla1[[#This Row],[PRECIO POR TN USD EN CLIENTE A PLAZO (SIN IVA)]]+Tabla1[[#This Row],[COSTO USD FLETE /TN (SIN IVA)]]+Tabla1[[#This Row],[COSTO FINANCIERO USD POR BOLSA 50KG (IVA INC)]]</f>
        <v>#N/A</v>
      </c>
      <c r="BC682" s="828"/>
      <c r="BD682" s="944"/>
    </row>
    <row r="683" spans="1:56" ht="15.75" customHeight="1">
      <c r="A683" s="912">
        <v>46327</v>
      </c>
      <c r="B683" s="863"/>
      <c r="C683" s="792"/>
      <c r="D683" s="829">
        <f>+Tabla1[[#This Row],[FECHA Entrega]]</f>
        <v>0</v>
      </c>
      <c r="E683" s="830"/>
      <c r="F683" s="831"/>
      <c r="G683" s="832"/>
      <c r="H683" s="852"/>
      <c r="I683" s="834"/>
      <c r="J683" s="835"/>
      <c r="K683" s="836">
        <f t="shared" si="151"/>
        <v>0</v>
      </c>
      <c r="L68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83" s="837">
        <f t="shared" si="153"/>
        <v>0</v>
      </c>
      <c r="N683" s="838">
        <f>+Tabla1[[#This Row],[VENTA TOTAL $ (IVA INC) ]]</f>
        <v>0</v>
      </c>
      <c r="O683" s="838">
        <v>0</v>
      </c>
      <c r="P683" s="838">
        <v>0</v>
      </c>
      <c r="Q683" s="839">
        <f>+Tabla1[[#This Row],[VENTA TOTAL $ (IVA INC) ]]-Tabla1[[#This Row],[PENDIENTE DE COBRO]]</f>
        <v>0</v>
      </c>
      <c r="R683" s="840">
        <f>+Tabla1[[#This Row],[FECHA FC]]+Tabla1[[#This Row],[PLAZO ENTREGA VALORES]]</f>
        <v>0</v>
      </c>
      <c r="S683" s="840">
        <f>+Tabla1[[#This Row],[FECHA FC]]+Tabla1[[#This Row],[PLAZO PAGO (DIAS)]]</f>
        <v>0</v>
      </c>
      <c r="T683" s="834">
        <f t="shared" ca="1" si="152"/>
        <v>-46181</v>
      </c>
      <c r="U683" s="831"/>
      <c r="V683" s="831"/>
      <c r="W683" s="841">
        <f>+Tabla1[[#This Row],[FECHA VTO VALORES]]+7</f>
        <v>7</v>
      </c>
      <c r="X683" s="830"/>
      <c r="Y683" s="859"/>
      <c r="Z683" s="860">
        <f>Tabla1[[#This Row],[KGS]]/50</f>
        <v>0</v>
      </c>
      <c r="AA68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83" s="844">
        <f>-Tabla1[[#This Row],[COSTO FLETE $ POR BOLSA 5O KG (SIN IVA)]]*1.21-Tabla1[[#This Row],[PRECIO $/ KG A PLAZO EN CLIENTE ( SIN IVA)]]*0.003*1.21*50</f>
        <v>0</v>
      </c>
      <c r="AC683" s="845" t="e">
        <f>SUM(Tabla1[[#This Row],[PRECIO $ BOLSA 50 KG (IVA INC) ]]+Tabla1[[#This Row],[COSTO FLETE $ BOLSA 50 KG (IVA INC)]])</f>
        <v>#VALUE!</v>
      </c>
      <c r="AD683" s="844" t="e">
        <f>-Tabla1[[#This Row],[PRECIO $ BOLSA 50 KG (IVA INC) ]]*(Tabla1[[#This Row],[TASA FINANCIACION MENSUAL]]/365)*Tabla1[[#This Row],[PLAZO ENTREGA VALORES]]</f>
        <v>#VALUE!</v>
      </c>
      <c r="AE683" s="845" t="e">
        <f>SUM(Tabla1[[#This Row],[PRECIO $ BOLSA50 KG  FOB TUCUMAN A PLAZO (IVA INC)]]+Tabla1[[#This Row],[GASTOS FINANCIEROS $ BOLSA 50 KG (IVA INC)]])</f>
        <v>#VALUE!</v>
      </c>
      <c r="AF683" s="828"/>
      <c r="AG683" s="828"/>
      <c r="AH683" s="828"/>
      <c r="AI683" s="828"/>
      <c r="AJ68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83" s="846" t="e">
        <f>SUM(Tabla1[[#This Row],[PRECIO $ BOLSA 50KG  FOB CDO TUC (IVA INC)]]-Tabla1[[#This Row],[PRECIO REF $ BOLSA 50 KG CACTU (IVA INC)]])</f>
        <v>#VALUE!</v>
      </c>
      <c r="AL683" s="847" t="str">
        <f>IFERROR(Tabla1[[#This Row],[PRECIO $ BOLSA 50KG  FOB CDO TUC (IVA INC)]]/Tabla1[[#This Row],[PRECIO REF $ BOLSA 50 KG CACTU (IVA INC)]]-1,"")</f>
        <v/>
      </c>
      <c r="AM683" s="846" t="e">
        <f>+Tabla1[[#This Row],[DIF $ PRECIO NETO INDUSTRIA vs Neto TUCUMAN (IVA INC)]]*Tabla1[[#This Row],[Q Bolsas Equivalentes 50kg]]</f>
        <v>#VALUE!</v>
      </c>
      <c r="AN683" s="846" t="e">
        <f>Tabla1[[#This Row],[PRECIO REF $ BOLSA 50 KG CACTU (IVA INC)]]*Tabla1[[#This Row],[Q Bolsas Equivalentes 50kg]]</f>
        <v>#VALUE!</v>
      </c>
      <c r="AO683" s="846" t="e">
        <f>+Tabla1[[#This Row],[PRECIO $ BOLSA 50KG  FOB CDO TUC (IVA INC)]]*Tabla1[[#This Row],[Q Bolsas Equivalentes 50kg]]</f>
        <v>#VALUE!</v>
      </c>
      <c r="AP683" s="847"/>
      <c r="AQ683" s="846">
        <v>0</v>
      </c>
      <c r="AR683" s="828"/>
      <c r="AS683" s="849"/>
      <c r="AT683" s="923">
        <f>+Tabla1[[#This Row],[VENTA TOTAL $ (IVA INC) ]]-(SUM(Tabla1[[#This Row],[PENDIENTE DE ENTREGA]:[VALORES COBRADOS]]))</f>
        <v>0</v>
      </c>
      <c r="AU683" s="850" t="e">
        <f>VLOOKUP(Tabla1[[#This Row],[FECHA OC]],'TIPO DE CAMBIO'!A:B,2,TRUE)</f>
        <v>#N/A</v>
      </c>
      <c r="AV683" s="850" t="e">
        <f>+Tabla1[[#This Row],[SUBTOTAL]]/Tabla1[[#This Row],[TIPO DE CAMBIO]]</f>
        <v>#N/A</v>
      </c>
      <c r="AW683" s="851"/>
      <c r="AX683" s="850" t="str">
        <f>IFERROR(Tabla1[[#This Row],[VENTA TOTAL USD A PLAZO EN CLIENTE  (SIN IVA)]]*(1+Tabla1[[#This Row],[% IVA ]]),"")</f>
        <v/>
      </c>
      <c r="AY683" s="850" t="e">
        <f>+Tabla1[[#This Row],[VENTA TOTAL USD A PLAZO EN CLIENTE  (SIN IVA)]]/Tabla1[[#This Row],[KGS]]*1000</f>
        <v>#N/A</v>
      </c>
      <c r="AZ683" s="850" t="e">
        <f>-Tabla1[[#This Row],[COSTO FLETE $ POR BOLSA 5O KG (SIN IVA)]]*20/Tabla1[[#This Row],[TIPO DE CAMBIO]]</f>
        <v>#N/A</v>
      </c>
      <c r="BA683" s="850" t="e">
        <f>+Tabla1[[#This Row],[GASTOS FINANCIEROS $ BOLSA 50 KG (IVA INC)]]*20/Tabla1[[#This Row],[TIPO DE CAMBIO]]</f>
        <v>#VALUE!</v>
      </c>
      <c r="BB683" s="850" t="e">
        <f>+Tabla1[[#This Row],[PRECIO POR TN USD EN CLIENTE A PLAZO (SIN IVA)]]+Tabla1[[#This Row],[COSTO USD FLETE /TN (SIN IVA)]]+Tabla1[[#This Row],[COSTO FINANCIERO USD POR BOLSA 50KG (IVA INC)]]</f>
        <v>#N/A</v>
      </c>
      <c r="BC683" s="828"/>
      <c r="BD683" s="944"/>
    </row>
    <row r="684" spans="1:56" ht="15.75" customHeight="1">
      <c r="A684" s="912">
        <v>46327</v>
      </c>
      <c r="B684" s="863"/>
      <c r="C684" s="792"/>
      <c r="D684" s="829">
        <f>+Tabla1[[#This Row],[FECHA Entrega]]</f>
        <v>0</v>
      </c>
      <c r="E684" s="830"/>
      <c r="F684" s="831"/>
      <c r="G684" s="832"/>
      <c r="H684" s="852"/>
      <c r="I684" s="834"/>
      <c r="J684" s="835"/>
      <c r="K684" s="836">
        <f t="shared" si="151"/>
        <v>0</v>
      </c>
      <c r="L68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84" s="837">
        <f t="shared" si="153"/>
        <v>0</v>
      </c>
      <c r="N684" s="838">
        <f>+Tabla1[[#This Row],[VENTA TOTAL $ (IVA INC) ]]</f>
        <v>0</v>
      </c>
      <c r="O684" s="838">
        <v>0</v>
      </c>
      <c r="P684" s="838">
        <v>0</v>
      </c>
      <c r="Q684" s="839">
        <f>+Tabla1[[#This Row],[VENTA TOTAL $ (IVA INC) ]]-Tabla1[[#This Row],[PENDIENTE DE COBRO]]</f>
        <v>0</v>
      </c>
      <c r="R684" s="840">
        <f>+Tabla1[[#This Row],[FECHA FC]]+Tabla1[[#This Row],[PLAZO ENTREGA VALORES]]</f>
        <v>0</v>
      </c>
      <c r="S684" s="840">
        <f>+Tabla1[[#This Row],[FECHA FC]]+Tabla1[[#This Row],[PLAZO PAGO (DIAS)]]</f>
        <v>0</v>
      </c>
      <c r="T684" s="834">
        <f t="shared" ca="1" si="152"/>
        <v>-46181</v>
      </c>
      <c r="U684" s="831"/>
      <c r="V684" s="831"/>
      <c r="W684" s="841">
        <f>+Tabla1[[#This Row],[FECHA VTO VALORES]]+7</f>
        <v>7</v>
      </c>
      <c r="X684" s="830"/>
      <c r="Y684" s="859"/>
      <c r="Z684" s="860">
        <f>Tabla1[[#This Row],[KGS]]/50</f>
        <v>0</v>
      </c>
      <c r="AA68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84" s="844">
        <f>-Tabla1[[#This Row],[COSTO FLETE $ POR BOLSA 5O KG (SIN IVA)]]*1.21-Tabla1[[#This Row],[PRECIO $/ KG A PLAZO EN CLIENTE ( SIN IVA)]]*0.003*1.21*50</f>
        <v>0</v>
      </c>
      <c r="AC684" s="845" t="e">
        <f>SUM(Tabla1[[#This Row],[PRECIO $ BOLSA 50 KG (IVA INC) ]]+Tabla1[[#This Row],[COSTO FLETE $ BOLSA 50 KG (IVA INC)]])</f>
        <v>#VALUE!</v>
      </c>
      <c r="AD684" s="844" t="e">
        <f>-Tabla1[[#This Row],[PRECIO $ BOLSA 50 KG (IVA INC) ]]*(Tabla1[[#This Row],[TASA FINANCIACION MENSUAL]]/365)*Tabla1[[#This Row],[PLAZO ENTREGA VALORES]]</f>
        <v>#VALUE!</v>
      </c>
      <c r="AE684" s="845" t="e">
        <f>SUM(Tabla1[[#This Row],[PRECIO $ BOLSA50 KG  FOB TUCUMAN A PLAZO (IVA INC)]]+Tabla1[[#This Row],[GASTOS FINANCIEROS $ BOLSA 50 KG (IVA INC)]])</f>
        <v>#VALUE!</v>
      </c>
      <c r="AF684" s="828"/>
      <c r="AG684" s="828"/>
      <c r="AH684" s="828"/>
      <c r="AI684" s="828"/>
      <c r="AJ68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84" s="846" t="e">
        <f>SUM(Tabla1[[#This Row],[PRECIO $ BOLSA 50KG  FOB CDO TUC (IVA INC)]]-Tabla1[[#This Row],[PRECIO REF $ BOLSA 50 KG CACTU (IVA INC)]])</f>
        <v>#VALUE!</v>
      </c>
      <c r="AL684" s="847" t="str">
        <f>IFERROR(Tabla1[[#This Row],[PRECIO $ BOLSA 50KG  FOB CDO TUC (IVA INC)]]/Tabla1[[#This Row],[PRECIO REF $ BOLSA 50 KG CACTU (IVA INC)]]-1,"")</f>
        <v/>
      </c>
      <c r="AM684" s="846" t="e">
        <f>+Tabla1[[#This Row],[DIF $ PRECIO NETO INDUSTRIA vs Neto TUCUMAN (IVA INC)]]*Tabla1[[#This Row],[Q Bolsas Equivalentes 50kg]]</f>
        <v>#VALUE!</v>
      </c>
      <c r="AN684" s="846" t="e">
        <f>Tabla1[[#This Row],[PRECIO REF $ BOLSA 50 KG CACTU (IVA INC)]]*Tabla1[[#This Row],[Q Bolsas Equivalentes 50kg]]</f>
        <v>#VALUE!</v>
      </c>
      <c r="AO684" s="846" t="e">
        <f>+Tabla1[[#This Row],[PRECIO $ BOLSA 50KG  FOB CDO TUC (IVA INC)]]*Tabla1[[#This Row],[Q Bolsas Equivalentes 50kg]]</f>
        <v>#VALUE!</v>
      </c>
      <c r="AP684" s="847"/>
      <c r="AQ684" s="846">
        <v>0</v>
      </c>
      <c r="AR684" s="828"/>
      <c r="AS684" s="849"/>
      <c r="AT684" s="923">
        <f>+Tabla1[[#This Row],[VENTA TOTAL $ (IVA INC) ]]-(SUM(Tabla1[[#This Row],[PENDIENTE DE ENTREGA]:[VALORES COBRADOS]]))</f>
        <v>0</v>
      </c>
      <c r="AU684" s="850" t="e">
        <f>VLOOKUP(Tabla1[[#This Row],[FECHA OC]],'TIPO DE CAMBIO'!A:B,2,TRUE)</f>
        <v>#N/A</v>
      </c>
      <c r="AV684" s="850" t="e">
        <f>+Tabla1[[#This Row],[SUBTOTAL]]/Tabla1[[#This Row],[TIPO DE CAMBIO]]</f>
        <v>#N/A</v>
      </c>
      <c r="AW684" s="851"/>
      <c r="AX684" s="850" t="str">
        <f>IFERROR(Tabla1[[#This Row],[VENTA TOTAL USD A PLAZO EN CLIENTE  (SIN IVA)]]*(1+Tabla1[[#This Row],[% IVA ]]),"")</f>
        <v/>
      </c>
      <c r="AY684" s="850" t="e">
        <f>+Tabla1[[#This Row],[VENTA TOTAL USD A PLAZO EN CLIENTE  (SIN IVA)]]/Tabla1[[#This Row],[KGS]]*1000</f>
        <v>#N/A</v>
      </c>
      <c r="AZ684" s="850" t="e">
        <f>-Tabla1[[#This Row],[COSTO FLETE $ POR BOLSA 5O KG (SIN IVA)]]*20/Tabla1[[#This Row],[TIPO DE CAMBIO]]</f>
        <v>#N/A</v>
      </c>
      <c r="BA684" s="850" t="e">
        <f>+Tabla1[[#This Row],[GASTOS FINANCIEROS $ BOLSA 50 KG (IVA INC)]]*20/Tabla1[[#This Row],[TIPO DE CAMBIO]]</f>
        <v>#VALUE!</v>
      </c>
      <c r="BB684" s="850" t="e">
        <f>+Tabla1[[#This Row],[PRECIO POR TN USD EN CLIENTE A PLAZO (SIN IVA)]]+Tabla1[[#This Row],[COSTO USD FLETE /TN (SIN IVA)]]+Tabla1[[#This Row],[COSTO FINANCIERO USD POR BOLSA 50KG (IVA INC)]]</f>
        <v>#N/A</v>
      </c>
      <c r="BC684" s="828"/>
      <c r="BD684" s="944"/>
    </row>
    <row r="685" spans="1:56" ht="15.75" customHeight="1">
      <c r="A685" s="912">
        <v>46327</v>
      </c>
      <c r="B685" s="863"/>
      <c r="C685" s="792"/>
      <c r="D685" s="829">
        <f>+Tabla1[[#This Row],[FECHA Entrega]]</f>
        <v>0</v>
      </c>
      <c r="E685" s="830"/>
      <c r="F685" s="831"/>
      <c r="G685" s="832"/>
      <c r="H685" s="852"/>
      <c r="I685" s="834"/>
      <c r="J685" s="835"/>
      <c r="K685" s="836">
        <f t="shared" si="151"/>
        <v>0</v>
      </c>
      <c r="L68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85" s="837">
        <f t="shared" si="153"/>
        <v>0</v>
      </c>
      <c r="N685" s="838">
        <f>+Tabla1[[#This Row],[VENTA TOTAL $ (IVA INC) ]]</f>
        <v>0</v>
      </c>
      <c r="O685" s="838">
        <v>0</v>
      </c>
      <c r="P685" s="838">
        <v>0</v>
      </c>
      <c r="Q685" s="839">
        <f>+Tabla1[[#This Row],[VENTA TOTAL $ (IVA INC) ]]</f>
        <v>0</v>
      </c>
      <c r="R685" s="840">
        <f>+Tabla1[[#This Row],[FECHA FC]]+Tabla1[[#This Row],[PLAZO ENTREGA VALORES]]</f>
        <v>0</v>
      </c>
      <c r="S685" s="840">
        <f>+Tabla1[[#This Row],[FECHA FC]]+Tabla1[[#This Row],[PLAZO PAGO (DIAS)]]</f>
        <v>0</v>
      </c>
      <c r="T685" s="834">
        <f t="shared" ca="1" si="152"/>
        <v>-46181</v>
      </c>
      <c r="U685" s="831"/>
      <c r="V685" s="831"/>
      <c r="W685" s="841">
        <f>+Tabla1[[#This Row],[FECHA VTO VALORES]]+7</f>
        <v>7</v>
      </c>
      <c r="X685" s="830"/>
      <c r="Y685" s="859"/>
      <c r="Z685" s="860">
        <f>Tabla1[[#This Row],[KGS]]/50</f>
        <v>0</v>
      </c>
      <c r="AA68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85" s="844">
        <f>-Tabla1[[#This Row],[COSTO FLETE $ POR BOLSA 5O KG (SIN IVA)]]*1.21-Tabla1[[#This Row],[PRECIO $/ KG A PLAZO EN CLIENTE ( SIN IVA)]]*0.003*1.21*50</f>
        <v>0</v>
      </c>
      <c r="AC685" s="845" t="e">
        <f>SUM(Tabla1[[#This Row],[PRECIO $ BOLSA 50 KG (IVA INC) ]]+Tabla1[[#This Row],[COSTO FLETE $ BOLSA 50 KG (IVA INC)]])</f>
        <v>#VALUE!</v>
      </c>
      <c r="AD685" s="844" t="e">
        <f>-Tabla1[[#This Row],[PRECIO $ BOLSA 50 KG (IVA INC) ]]*(Tabla1[[#This Row],[TASA FINANCIACION MENSUAL]]/365)*Tabla1[[#This Row],[PLAZO ENTREGA VALORES]]</f>
        <v>#VALUE!</v>
      </c>
      <c r="AE685" s="845" t="e">
        <f>SUM(Tabla1[[#This Row],[PRECIO $ BOLSA50 KG  FOB TUCUMAN A PLAZO (IVA INC)]]+Tabla1[[#This Row],[GASTOS FINANCIEROS $ BOLSA 50 KG (IVA INC)]])</f>
        <v>#VALUE!</v>
      </c>
      <c r="AF685" s="828"/>
      <c r="AG685" s="828"/>
      <c r="AH685" s="828"/>
      <c r="AI685" s="828"/>
      <c r="AJ68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85" s="846" t="e">
        <f>SUM(Tabla1[[#This Row],[PRECIO $ BOLSA 50KG  FOB CDO TUC (IVA INC)]]-Tabla1[[#This Row],[PRECIO REF $ BOLSA 50 KG CACTU (IVA INC)]])</f>
        <v>#VALUE!</v>
      </c>
      <c r="AL685" s="847" t="str">
        <f>IFERROR(Tabla1[[#This Row],[PRECIO $ BOLSA 50KG  FOB CDO TUC (IVA INC)]]/Tabla1[[#This Row],[PRECIO REF $ BOLSA 50 KG CACTU (IVA INC)]]-1,"")</f>
        <v/>
      </c>
      <c r="AM685" s="846" t="e">
        <f>+Tabla1[[#This Row],[DIF $ PRECIO NETO INDUSTRIA vs Neto TUCUMAN (IVA INC)]]*Tabla1[[#This Row],[Q Bolsas Equivalentes 50kg]]</f>
        <v>#VALUE!</v>
      </c>
      <c r="AN685" s="846" t="e">
        <f>Tabla1[[#This Row],[PRECIO REF $ BOLSA 50 KG CACTU (IVA INC)]]*Tabla1[[#This Row],[Q Bolsas Equivalentes 50kg]]</f>
        <v>#VALUE!</v>
      </c>
      <c r="AO685" s="846" t="e">
        <f>+Tabla1[[#This Row],[PRECIO $ BOLSA 50KG  FOB CDO TUC (IVA INC)]]*Tabla1[[#This Row],[Q Bolsas Equivalentes 50kg]]</f>
        <v>#VALUE!</v>
      </c>
      <c r="AP685" s="847"/>
      <c r="AQ685" s="846">
        <v>0</v>
      </c>
      <c r="AR685" s="828"/>
      <c r="AS685" s="849"/>
      <c r="AT685" s="923">
        <f>+Tabla1[[#This Row],[VENTA TOTAL $ (IVA INC) ]]-(SUM(Tabla1[[#This Row],[PENDIENTE DE ENTREGA]:[VALORES COBRADOS]]))</f>
        <v>0</v>
      </c>
      <c r="AU685" s="850" t="e">
        <f>VLOOKUP(Tabla1[[#This Row],[FECHA OC]],'TIPO DE CAMBIO'!A:B,2,TRUE)</f>
        <v>#N/A</v>
      </c>
      <c r="AV685" s="850" t="e">
        <f>+Tabla1[[#This Row],[SUBTOTAL]]/Tabla1[[#This Row],[TIPO DE CAMBIO]]</f>
        <v>#N/A</v>
      </c>
      <c r="AW685" s="851"/>
      <c r="AX685" s="850" t="str">
        <f>IFERROR(Tabla1[[#This Row],[VENTA TOTAL USD A PLAZO EN CLIENTE  (SIN IVA)]]*(1+Tabla1[[#This Row],[% IVA ]]),"")</f>
        <v/>
      </c>
      <c r="AY685" s="850" t="e">
        <f>+Tabla1[[#This Row],[VENTA TOTAL USD A PLAZO EN CLIENTE  (SIN IVA)]]/Tabla1[[#This Row],[KGS]]*1000</f>
        <v>#N/A</v>
      </c>
      <c r="AZ685" s="850" t="e">
        <f>-Tabla1[[#This Row],[COSTO FLETE $ POR BOLSA 5O KG (SIN IVA)]]*20/Tabla1[[#This Row],[TIPO DE CAMBIO]]</f>
        <v>#N/A</v>
      </c>
      <c r="BA685" s="850" t="e">
        <f>+Tabla1[[#This Row],[GASTOS FINANCIEROS $ BOLSA 50 KG (IVA INC)]]*20/Tabla1[[#This Row],[TIPO DE CAMBIO]]</f>
        <v>#VALUE!</v>
      </c>
      <c r="BB685" s="850" t="e">
        <f>+Tabla1[[#This Row],[PRECIO POR TN USD EN CLIENTE A PLAZO (SIN IVA)]]+Tabla1[[#This Row],[COSTO USD FLETE /TN (SIN IVA)]]+Tabla1[[#This Row],[COSTO FINANCIERO USD POR BOLSA 50KG (IVA INC)]]</f>
        <v>#N/A</v>
      </c>
      <c r="BC685" s="828"/>
      <c r="BD685" s="944"/>
    </row>
    <row r="686" spans="1:56" ht="15.75" customHeight="1">
      <c r="A686" s="912">
        <v>46327</v>
      </c>
      <c r="B686" s="863"/>
      <c r="C686" s="792"/>
      <c r="D686" s="829">
        <f>+Tabla1[[#This Row],[FECHA Entrega]]</f>
        <v>0</v>
      </c>
      <c r="E686" s="830"/>
      <c r="F686" s="831"/>
      <c r="G686" s="832"/>
      <c r="H686" s="852"/>
      <c r="I686" s="834"/>
      <c r="J686" s="835"/>
      <c r="K686" s="836">
        <f t="shared" si="151"/>
        <v>0</v>
      </c>
      <c r="L68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86" s="837">
        <f t="shared" si="153"/>
        <v>0</v>
      </c>
      <c r="N686" s="838">
        <f>+Tabla1[[#This Row],[VENTA TOTAL $ (IVA INC) ]]</f>
        <v>0</v>
      </c>
      <c r="O686" s="838">
        <v>0</v>
      </c>
      <c r="P686" s="838">
        <v>0</v>
      </c>
      <c r="Q686" s="839">
        <f>+Tabla1[[#This Row],[VENTA TOTAL $ (IVA INC) ]]</f>
        <v>0</v>
      </c>
      <c r="R686" s="840">
        <f>+Tabla1[[#This Row],[FECHA FC]]+Tabla1[[#This Row],[PLAZO ENTREGA VALORES]]</f>
        <v>0</v>
      </c>
      <c r="S686" s="840">
        <f>+Tabla1[[#This Row],[FECHA FC]]+Tabla1[[#This Row],[PLAZO PAGO (DIAS)]]</f>
        <v>0</v>
      </c>
      <c r="T686" s="834">
        <f t="shared" ca="1" si="152"/>
        <v>-46181</v>
      </c>
      <c r="U686" s="831"/>
      <c r="V686" s="831"/>
      <c r="W686" s="841">
        <f>+Tabla1[[#This Row],[FECHA VTO VALORES]]+7</f>
        <v>7</v>
      </c>
      <c r="X686" s="830"/>
      <c r="Y686" s="859"/>
      <c r="Z686" s="860">
        <f>Tabla1[[#This Row],[KGS]]/50</f>
        <v>0</v>
      </c>
      <c r="AA68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86" s="844">
        <f>-Tabla1[[#This Row],[COSTO FLETE $ POR BOLSA 5O KG (SIN IVA)]]*1.21-Tabla1[[#This Row],[PRECIO $/ KG A PLAZO EN CLIENTE ( SIN IVA)]]*0.003*1.21*50</f>
        <v>0</v>
      </c>
      <c r="AC686" s="845" t="e">
        <f>SUM(Tabla1[[#This Row],[PRECIO $ BOLSA 50 KG (IVA INC) ]]+Tabla1[[#This Row],[COSTO FLETE $ BOLSA 50 KG (IVA INC)]])</f>
        <v>#VALUE!</v>
      </c>
      <c r="AD686" s="844" t="e">
        <f>-Tabla1[[#This Row],[PRECIO $ BOLSA 50 KG (IVA INC) ]]*(Tabla1[[#This Row],[TASA FINANCIACION MENSUAL]]/365)*Tabla1[[#This Row],[PLAZO ENTREGA VALORES]]</f>
        <v>#VALUE!</v>
      </c>
      <c r="AE686" s="845" t="e">
        <f>SUM(Tabla1[[#This Row],[PRECIO $ BOLSA50 KG  FOB TUCUMAN A PLAZO (IVA INC)]]+Tabla1[[#This Row],[GASTOS FINANCIEROS $ BOLSA 50 KG (IVA INC)]])</f>
        <v>#VALUE!</v>
      </c>
      <c r="AF686" s="828"/>
      <c r="AG686" s="828"/>
      <c r="AH686" s="828"/>
      <c r="AI686" s="828"/>
      <c r="AJ68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86" s="846" t="e">
        <f>SUM(Tabla1[[#This Row],[PRECIO $ BOLSA 50KG  FOB CDO TUC (IVA INC)]]-Tabla1[[#This Row],[PRECIO REF $ BOLSA 50 KG CACTU (IVA INC)]])</f>
        <v>#VALUE!</v>
      </c>
      <c r="AL686" s="847" t="str">
        <f>IFERROR(Tabla1[[#This Row],[PRECIO $ BOLSA 50KG  FOB CDO TUC (IVA INC)]]/Tabla1[[#This Row],[PRECIO REF $ BOLSA 50 KG CACTU (IVA INC)]]-1,"")</f>
        <v/>
      </c>
      <c r="AM686" s="846" t="e">
        <f>+Tabla1[[#This Row],[DIF $ PRECIO NETO INDUSTRIA vs Neto TUCUMAN (IVA INC)]]*Tabla1[[#This Row],[Q Bolsas Equivalentes 50kg]]</f>
        <v>#VALUE!</v>
      </c>
      <c r="AN686" s="846" t="e">
        <f>Tabla1[[#This Row],[PRECIO REF $ BOLSA 50 KG CACTU (IVA INC)]]*Tabla1[[#This Row],[Q Bolsas Equivalentes 50kg]]</f>
        <v>#VALUE!</v>
      </c>
      <c r="AO686" s="846" t="e">
        <f>+Tabla1[[#This Row],[PRECIO $ BOLSA 50KG  FOB CDO TUC (IVA INC)]]*Tabla1[[#This Row],[Q Bolsas Equivalentes 50kg]]</f>
        <v>#VALUE!</v>
      </c>
      <c r="AP686" s="847"/>
      <c r="AQ686" s="846">
        <v>0</v>
      </c>
      <c r="AR686" s="828"/>
      <c r="AS686" s="849"/>
      <c r="AT686" s="923">
        <f>+Tabla1[[#This Row],[VENTA TOTAL $ (IVA INC) ]]-(SUM(Tabla1[[#This Row],[PENDIENTE DE ENTREGA]:[VALORES COBRADOS]]))</f>
        <v>0</v>
      </c>
      <c r="AU686" s="850" t="e">
        <f>VLOOKUP(Tabla1[[#This Row],[FECHA OC]],'TIPO DE CAMBIO'!A:B,2,TRUE)</f>
        <v>#N/A</v>
      </c>
      <c r="AV686" s="850" t="e">
        <f>+Tabla1[[#This Row],[SUBTOTAL]]/Tabla1[[#This Row],[TIPO DE CAMBIO]]</f>
        <v>#N/A</v>
      </c>
      <c r="AW686" s="851"/>
      <c r="AX686" s="850" t="str">
        <f>IFERROR(Tabla1[[#This Row],[VENTA TOTAL USD A PLAZO EN CLIENTE  (SIN IVA)]]*(1+Tabla1[[#This Row],[% IVA ]]),"")</f>
        <v/>
      </c>
      <c r="AY686" s="850" t="e">
        <f>+Tabla1[[#This Row],[VENTA TOTAL USD A PLAZO EN CLIENTE  (SIN IVA)]]/Tabla1[[#This Row],[KGS]]*1000</f>
        <v>#N/A</v>
      </c>
      <c r="AZ686" s="850" t="e">
        <f>-Tabla1[[#This Row],[COSTO FLETE $ POR BOLSA 5O KG (SIN IVA)]]*20/Tabla1[[#This Row],[TIPO DE CAMBIO]]</f>
        <v>#N/A</v>
      </c>
      <c r="BA686" s="850" t="e">
        <f>+Tabla1[[#This Row],[GASTOS FINANCIEROS $ BOLSA 50 KG (IVA INC)]]*20/Tabla1[[#This Row],[TIPO DE CAMBIO]]</f>
        <v>#VALUE!</v>
      </c>
      <c r="BB686" s="850" t="e">
        <f>+Tabla1[[#This Row],[PRECIO POR TN USD EN CLIENTE A PLAZO (SIN IVA)]]+Tabla1[[#This Row],[COSTO USD FLETE /TN (SIN IVA)]]+Tabla1[[#This Row],[COSTO FINANCIERO USD POR BOLSA 50KG (IVA INC)]]</f>
        <v>#N/A</v>
      </c>
      <c r="BC686" s="828"/>
      <c r="BD686" s="944"/>
    </row>
    <row r="687" spans="1:56" ht="15.75" customHeight="1">
      <c r="A687" s="912">
        <v>46327</v>
      </c>
      <c r="B687" s="863"/>
      <c r="C687" s="792"/>
      <c r="D687" s="829">
        <f>+Tabla1[[#This Row],[FECHA Entrega]]</f>
        <v>0</v>
      </c>
      <c r="E687" s="830"/>
      <c r="F687" s="831"/>
      <c r="G687" s="832"/>
      <c r="H687" s="852"/>
      <c r="I687" s="834"/>
      <c r="J687" s="835"/>
      <c r="K687" s="836">
        <f t="shared" si="151"/>
        <v>0</v>
      </c>
      <c r="L68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87" s="837">
        <f t="shared" si="153"/>
        <v>0</v>
      </c>
      <c r="N687" s="838">
        <f>+Tabla1[[#This Row],[VENTA TOTAL $ (IVA INC) ]]</f>
        <v>0</v>
      </c>
      <c r="O687" s="838">
        <v>0</v>
      </c>
      <c r="P687" s="838">
        <v>0</v>
      </c>
      <c r="Q687" s="839">
        <f>+Tabla1[[#This Row],[VENTA TOTAL $ (IVA INC) ]]-Tabla1[[#This Row],[PENDIENTE DE COBRO]]</f>
        <v>0</v>
      </c>
      <c r="R687" s="840">
        <f>+Tabla1[[#This Row],[FECHA FC]]+Tabla1[[#This Row],[PLAZO ENTREGA VALORES]]</f>
        <v>0</v>
      </c>
      <c r="S687" s="840">
        <f>+Tabla1[[#This Row],[FECHA FC]]+Tabla1[[#This Row],[PLAZO PAGO (DIAS)]]</f>
        <v>0</v>
      </c>
      <c r="T687" s="834">
        <f t="shared" ca="1" si="152"/>
        <v>-46181</v>
      </c>
      <c r="U687" s="831"/>
      <c r="V687" s="831"/>
      <c r="W687" s="841">
        <f>+Tabla1[[#This Row],[FECHA VTO VALORES]]+7</f>
        <v>7</v>
      </c>
      <c r="X687" s="830"/>
      <c r="Y687" s="859"/>
      <c r="Z687" s="860">
        <f>Tabla1[[#This Row],[KGS]]/50</f>
        <v>0</v>
      </c>
      <c r="AA68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87" s="844">
        <f>-Tabla1[[#This Row],[COSTO FLETE $ POR BOLSA 5O KG (SIN IVA)]]*1.21-Tabla1[[#This Row],[PRECIO $/ KG A PLAZO EN CLIENTE ( SIN IVA)]]*0.003*1.21*50</f>
        <v>0</v>
      </c>
      <c r="AC687" s="845" t="e">
        <f>SUM(Tabla1[[#This Row],[PRECIO $ BOLSA 50 KG (IVA INC) ]]+Tabla1[[#This Row],[COSTO FLETE $ BOLSA 50 KG (IVA INC)]])</f>
        <v>#VALUE!</v>
      </c>
      <c r="AD687" s="844" t="e">
        <f>-Tabla1[[#This Row],[PRECIO $ BOLSA 50 KG (IVA INC) ]]*(Tabla1[[#This Row],[TASA FINANCIACION MENSUAL]]/365)*Tabla1[[#This Row],[PLAZO ENTREGA VALORES]]</f>
        <v>#VALUE!</v>
      </c>
      <c r="AE687" s="845" t="e">
        <f>SUM(Tabla1[[#This Row],[PRECIO $ BOLSA50 KG  FOB TUCUMAN A PLAZO (IVA INC)]]+Tabla1[[#This Row],[GASTOS FINANCIEROS $ BOLSA 50 KG (IVA INC)]])</f>
        <v>#VALUE!</v>
      </c>
      <c r="AF687" s="828"/>
      <c r="AG687" s="828"/>
      <c r="AH687" s="828"/>
      <c r="AI687" s="828"/>
      <c r="AJ68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87" s="846" t="e">
        <f>SUM(Tabla1[[#This Row],[PRECIO $ BOLSA 50KG  FOB CDO TUC (IVA INC)]]-Tabla1[[#This Row],[PRECIO REF $ BOLSA 50 KG CACTU (IVA INC)]])</f>
        <v>#VALUE!</v>
      </c>
      <c r="AL687" s="847" t="str">
        <f>IFERROR(Tabla1[[#This Row],[PRECIO $ BOLSA 50KG  FOB CDO TUC (IVA INC)]]/Tabla1[[#This Row],[PRECIO REF $ BOLSA 50 KG CACTU (IVA INC)]]-1,"")</f>
        <v/>
      </c>
      <c r="AM687" s="846" t="e">
        <f>+Tabla1[[#This Row],[DIF $ PRECIO NETO INDUSTRIA vs Neto TUCUMAN (IVA INC)]]*Tabla1[[#This Row],[Q Bolsas Equivalentes 50kg]]</f>
        <v>#VALUE!</v>
      </c>
      <c r="AN687" s="846" t="e">
        <f>Tabla1[[#This Row],[PRECIO REF $ BOLSA 50 KG CACTU (IVA INC)]]*Tabla1[[#This Row],[Q Bolsas Equivalentes 50kg]]</f>
        <v>#VALUE!</v>
      </c>
      <c r="AO687" s="846" t="e">
        <f>+Tabla1[[#This Row],[PRECIO $ BOLSA 50KG  FOB CDO TUC (IVA INC)]]*Tabla1[[#This Row],[Q Bolsas Equivalentes 50kg]]</f>
        <v>#VALUE!</v>
      </c>
      <c r="AP687" s="847"/>
      <c r="AQ687" s="846">
        <v>0</v>
      </c>
      <c r="AR687" s="828"/>
      <c r="AS687" s="849"/>
      <c r="AT687" s="923">
        <f>+Tabla1[[#This Row],[VENTA TOTAL $ (IVA INC) ]]-(SUM(Tabla1[[#This Row],[PENDIENTE DE ENTREGA]:[VALORES COBRADOS]]))</f>
        <v>0</v>
      </c>
      <c r="AU687" s="850" t="e">
        <f>VLOOKUP(Tabla1[[#This Row],[FECHA OC]],'TIPO DE CAMBIO'!A:B,2,TRUE)</f>
        <v>#N/A</v>
      </c>
      <c r="AV687" s="850" t="e">
        <f>+Tabla1[[#This Row],[SUBTOTAL]]/Tabla1[[#This Row],[TIPO DE CAMBIO]]</f>
        <v>#N/A</v>
      </c>
      <c r="AW687" s="851"/>
      <c r="AX687" s="850" t="str">
        <f>IFERROR(Tabla1[[#This Row],[VENTA TOTAL USD A PLAZO EN CLIENTE  (SIN IVA)]]*(1+Tabla1[[#This Row],[% IVA ]]),"")</f>
        <v/>
      </c>
      <c r="AY687" s="850" t="e">
        <f>+Tabla1[[#This Row],[VENTA TOTAL USD A PLAZO EN CLIENTE  (SIN IVA)]]/Tabla1[[#This Row],[KGS]]*1000</f>
        <v>#N/A</v>
      </c>
      <c r="AZ687" s="850" t="e">
        <f>-Tabla1[[#This Row],[COSTO FLETE $ POR BOLSA 5O KG (SIN IVA)]]*20/Tabla1[[#This Row],[TIPO DE CAMBIO]]</f>
        <v>#N/A</v>
      </c>
      <c r="BA687" s="850" t="e">
        <f>+Tabla1[[#This Row],[GASTOS FINANCIEROS $ BOLSA 50 KG (IVA INC)]]*20/Tabla1[[#This Row],[TIPO DE CAMBIO]]</f>
        <v>#VALUE!</v>
      </c>
      <c r="BB687" s="850" t="e">
        <f>+Tabla1[[#This Row],[PRECIO POR TN USD EN CLIENTE A PLAZO (SIN IVA)]]+Tabla1[[#This Row],[COSTO USD FLETE /TN (SIN IVA)]]+Tabla1[[#This Row],[COSTO FINANCIERO USD POR BOLSA 50KG (IVA INC)]]</f>
        <v>#N/A</v>
      </c>
      <c r="BC687" s="828"/>
      <c r="BD687" s="944"/>
    </row>
    <row r="688" spans="1:56" ht="15.75" customHeight="1">
      <c r="A688" s="912">
        <v>46327</v>
      </c>
      <c r="B688" s="863"/>
      <c r="C688" s="792"/>
      <c r="D688" s="829">
        <f>+Tabla1[[#This Row],[FECHA Entrega]]</f>
        <v>0</v>
      </c>
      <c r="E688" s="830"/>
      <c r="F688" s="831"/>
      <c r="G688" s="832"/>
      <c r="H688" s="852"/>
      <c r="I688" s="834"/>
      <c r="J688" s="835"/>
      <c r="K688" s="836">
        <f t="shared" si="151"/>
        <v>0</v>
      </c>
      <c r="L68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88" s="837">
        <f t="shared" si="153"/>
        <v>0</v>
      </c>
      <c r="N688" s="838">
        <f>+Tabla1[[#This Row],[VENTA TOTAL $ (IVA INC) ]]</f>
        <v>0</v>
      </c>
      <c r="O688" s="838">
        <v>0</v>
      </c>
      <c r="P688" s="838">
        <v>0</v>
      </c>
      <c r="Q688" s="839">
        <f>+Tabla1[[#This Row],[VENTA TOTAL $ (IVA INC) ]]-Tabla1[[#This Row],[PENDIENTE DE COBRO]]</f>
        <v>0</v>
      </c>
      <c r="R688" s="840">
        <f>+Tabla1[[#This Row],[FECHA FC]]+Tabla1[[#This Row],[PLAZO ENTREGA VALORES]]</f>
        <v>0</v>
      </c>
      <c r="S688" s="840">
        <f>+Tabla1[[#This Row],[FECHA FC]]+Tabla1[[#This Row],[PLAZO PAGO (DIAS)]]</f>
        <v>0</v>
      </c>
      <c r="T688" s="834">
        <f t="shared" ca="1" si="152"/>
        <v>-46181</v>
      </c>
      <c r="U688" s="831"/>
      <c r="V688" s="831"/>
      <c r="W688" s="841">
        <f>+Tabla1[[#This Row],[FECHA VTO VALORES]]+7</f>
        <v>7</v>
      </c>
      <c r="X688" s="830"/>
      <c r="Y688" s="859"/>
      <c r="Z688" s="860">
        <f>Tabla1[[#This Row],[KGS]]/50</f>
        <v>0</v>
      </c>
      <c r="AA68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88" s="844">
        <f>-Tabla1[[#This Row],[COSTO FLETE $ POR BOLSA 5O KG (SIN IVA)]]*1.21-Tabla1[[#This Row],[PRECIO $/ KG A PLAZO EN CLIENTE ( SIN IVA)]]*0.003*1.21*50</f>
        <v>0</v>
      </c>
      <c r="AC688" s="845" t="e">
        <f>SUM(Tabla1[[#This Row],[PRECIO $ BOLSA 50 KG (IVA INC) ]]+Tabla1[[#This Row],[COSTO FLETE $ BOLSA 50 KG (IVA INC)]])</f>
        <v>#VALUE!</v>
      </c>
      <c r="AD688" s="844" t="e">
        <f>-Tabla1[[#This Row],[PRECIO $ BOLSA 50 KG (IVA INC) ]]*(Tabla1[[#This Row],[TASA FINANCIACION MENSUAL]]/365)*Tabla1[[#This Row],[PLAZO ENTREGA VALORES]]</f>
        <v>#VALUE!</v>
      </c>
      <c r="AE688" s="845" t="e">
        <f>SUM(Tabla1[[#This Row],[PRECIO $ BOLSA50 KG  FOB TUCUMAN A PLAZO (IVA INC)]]+Tabla1[[#This Row],[GASTOS FINANCIEROS $ BOLSA 50 KG (IVA INC)]])</f>
        <v>#VALUE!</v>
      </c>
      <c r="AF688" s="828"/>
      <c r="AG688" s="828"/>
      <c r="AH688" s="828"/>
      <c r="AI688" s="828"/>
      <c r="AJ68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88" s="846" t="e">
        <f>SUM(Tabla1[[#This Row],[PRECIO $ BOLSA 50KG  FOB CDO TUC (IVA INC)]]-Tabla1[[#This Row],[PRECIO REF $ BOLSA 50 KG CACTU (IVA INC)]])</f>
        <v>#VALUE!</v>
      </c>
      <c r="AL688" s="847" t="str">
        <f>IFERROR(Tabla1[[#This Row],[PRECIO $ BOLSA 50KG  FOB CDO TUC (IVA INC)]]/Tabla1[[#This Row],[PRECIO REF $ BOLSA 50 KG CACTU (IVA INC)]]-1,"")</f>
        <v/>
      </c>
      <c r="AM688" s="846" t="e">
        <f>+Tabla1[[#This Row],[DIF $ PRECIO NETO INDUSTRIA vs Neto TUCUMAN (IVA INC)]]*Tabla1[[#This Row],[Q Bolsas Equivalentes 50kg]]</f>
        <v>#VALUE!</v>
      </c>
      <c r="AN688" s="846" t="e">
        <f>Tabla1[[#This Row],[PRECIO REF $ BOLSA 50 KG CACTU (IVA INC)]]*Tabla1[[#This Row],[Q Bolsas Equivalentes 50kg]]</f>
        <v>#VALUE!</v>
      </c>
      <c r="AO688" s="846" t="e">
        <f>+Tabla1[[#This Row],[PRECIO $ BOLSA 50KG  FOB CDO TUC (IVA INC)]]*Tabla1[[#This Row],[Q Bolsas Equivalentes 50kg]]</f>
        <v>#VALUE!</v>
      </c>
      <c r="AP688" s="847"/>
      <c r="AQ688" s="846">
        <v>0</v>
      </c>
      <c r="AR688" s="828"/>
      <c r="AS688" s="849"/>
      <c r="AT688" s="923">
        <f>+Tabla1[[#This Row],[VENTA TOTAL $ (IVA INC) ]]-(SUM(Tabla1[[#This Row],[PENDIENTE DE ENTREGA]:[VALORES COBRADOS]]))</f>
        <v>0</v>
      </c>
      <c r="AU688" s="850" t="e">
        <f>VLOOKUP(Tabla1[[#This Row],[FECHA OC]],'TIPO DE CAMBIO'!A:B,2,TRUE)</f>
        <v>#N/A</v>
      </c>
      <c r="AV688" s="850" t="e">
        <f>+Tabla1[[#This Row],[SUBTOTAL]]/Tabla1[[#This Row],[TIPO DE CAMBIO]]</f>
        <v>#N/A</v>
      </c>
      <c r="AW688" s="851"/>
      <c r="AX688" s="850" t="str">
        <f>IFERROR(Tabla1[[#This Row],[VENTA TOTAL USD A PLAZO EN CLIENTE  (SIN IVA)]]*(1+Tabla1[[#This Row],[% IVA ]]),"")</f>
        <v/>
      </c>
      <c r="AY688" s="850" t="e">
        <f>+Tabla1[[#This Row],[VENTA TOTAL USD A PLAZO EN CLIENTE  (SIN IVA)]]/Tabla1[[#This Row],[KGS]]*1000</f>
        <v>#N/A</v>
      </c>
      <c r="AZ688" s="850" t="e">
        <f>-Tabla1[[#This Row],[COSTO FLETE $ POR BOLSA 5O KG (SIN IVA)]]*20/Tabla1[[#This Row],[TIPO DE CAMBIO]]</f>
        <v>#N/A</v>
      </c>
      <c r="BA688" s="850" t="e">
        <f>+Tabla1[[#This Row],[GASTOS FINANCIEROS $ BOLSA 50 KG (IVA INC)]]*20/Tabla1[[#This Row],[TIPO DE CAMBIO]]</f>
        <v>#VALUE!</v>
      </c>
      <c r="BB688" s="850" t="e">
        <f>+Tabla1[[#This Row],[PRECIO POR TN USD EN CLIENTE A PLAZO (SIN IVA)]]+Tabla1[[#This Row],[COSTO USD FLETE /TN (SIN IVA)]]+Tabla1[[#This Row],[COSTO FINANCIERO USD POR BOLSA 50KG (IVA INC)]]</f>
        <v>#N/A</v>
      </c>
      <c r="BC688" s="828"/>
      <c r="BD688" s="944"/>
    </row>
    <row r="689" spans="1:56" ht="15.75" customHeight="1">
      <c r="A689" s="912">
        <v>46327</v>
      </c>
      <c r="B689" s="863"/>
      <c r="C689" s="792"/>
      <c r="D689" s="829">
        <f>+Tabla1[[#This Row],[FECHA Entrega]]</f>
        <v>0</v>
      </c>
      <c r="E689" s="830"/>
      <c r="F689" s="831"/>
      <c r="G689" s="832"/>
      <c r="H689" s="852"/>
      <c r="I689" s="834"/>
      <c r="J689" s="835"/>
      <c r="K689" s="836">
        <f t="shared" si="151"/>
        <v>0</v>
      </c>
      <c r="L68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89" s="837">
        <f t="shared" si="153"/>
        <v>0</v>
      </c>
      <c r="N689" s="838">
        <f>+Tabla1[[#This Row],[VENTA TOTAL $ (IVA INC) ]]</f>
        <v>0</v>
      </c>
      <c r="O689" s="838">
        <v>0</v>
      </c>
      <c r="P689" s="838">
        <v>0</v>
      </c>
      <c r="Q689" s="839">
        <f>+Tabla1[[#This Row],[VENTA TOTAL $ (IVA INC) ]]-Tabla1[[#This Row],[PENDIENTE DE COBRO]]</f>
        <v>0</v>
      </c>
      <c r="R689" s="840">
        <f>+Tabla1[[#This Row],[FECHA FC]]+Tabla1[[#This Row],[PLAZO ENTREGA VALORES]]</f>
        <v>0</v>
      </c>
      <c r="S689" s="840">
        <f>+Tabla1[[#This Row],[FECHA FC]]+Tabla1[[#This Row],[PLAZO PAGO (DIAS)]]</f>
        <v>0</v>
      </c>
      <c r="T689" s="834">
        <f t="shared" ca="1" si="152"/>
        <v>-46181</v>
      </c>
      <c r="U689" s="831"/>
      <c r="V689" s="831"/>
      <c r="W689" s="841">
        <f>+Tabla1[[#This Row],[FECHA VTO VALORES]]+7</f>
        <v>7</v>
      </c>
      <c r="X689" s="830"/>
      <c r="Y689" s="859"/>
      <c r="Z689" s="860">
        <f>Tabla1[[#This Row],[KGS]]/50</f>
        <v>0</v>
      </c>
      <c r="AA68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89" s="844">
        <f>-Tabla1[[#This Row],[COSTO FLETE $ POR BOLSA 5O KG (SIN IVA)]]*1.21-Tabla1[[#This Row],[PRECIO $/ KG A PLAZO EN CLIENTE ( SIN IVA)]]*0.003*1.21*50</f>
        <v>0</v>
      </c>
      <c r="AC689" s="845" t="e">
        <f>SUM(Tabla1[[#This Row],[PRECIO $ BOLSA 50 KG (IVA INC) ]]+Tabla1[[#This Row],[COSTO FLETE $ BOLSA 50 KG (IVA INC)]])</f>
        <v>#VALUE!</v>
      </c>
      <c r="AD689" s="844" t="e">
        <f>-Tabla1[[#This Row],[PRECIO $ BOLSA 50 KG (IVA INC) ]]*(Tabla1[[#This Row],[TASA FINANCIACION MENSUAL]]/365)*Tabla1[[#This Row],[PLAZO ENTREGA VALORES]]</f>
        <v>#VALUE!</v>
      </c>
      <c r="AE689" s="845" t="e">
        <f>SUM(Tabla1[[#This Row],[PRECIO $ BOLSA50 KG  FOB TUCUMAN A PLAZO (IVA INC)]]+Tabla1[[#This Row],[GASTOS FINANCIEROS $ BOLSA 50 KG (IVA INC)]])</f>
        <v>#VALUE!</v>
      </c>
      <c r="AF689" s="828"/>
      <c r="AG689" s="828"/>
      <c r="AH689" s="828"/>
      <c r="AI689" s="828"/>
      <c r="AJ68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89" s="846" t="e">
        <f>SUM(Tabla1[[#This Row],[PRECIO $ BOLSA 50KG  FOB CDO TUC (IVA INC)]]-Tabla1[[#This Row],[PRECIO REF $ BOLSA 50 KG CACTU (IVA INC)]])</f>
        <v>#VALUE!</v>
      </c>
      <c r="AL689" s="847" t="str">
        <f>IFERROR(Tabla1[[#This Row],[PRECIO $ BOLSA 50KG  FOB CDO TUC (IVA INC)]]/Tabla1[[#This Row],[PRECIO REF $ BOLSA 50 KG CACTU (IVA INC)]]-1,"")</f>
        <v/>
      </c>
      <c r="AM689" s="846" t="e">
        <f>+Tabla1[[#This Row],[DIF $ PRECIO NETO INDUSTRIA vs Neto TUCUMAN (IVA INC)]]*Tabla1[[#This Row],[Q Bolsas Equivalentes 50kg]]</f>
        <v>#VALUE!</v>
      </c>
      <c r="AN689" s="846" t="e">
        <f>Tabla1[[#This Row],[PRECIO REF $ BOLSA 50 KG CACTU (IVA INC)]]*Tabla1[[#This Row],[Q Bolsas Equivalentes 50kg]]</f>
        <v>#VALUE!</v>
      </c>
      <c r="AO689" s="846" t="e">
        <f>+Tabla1[[#This Row],[PRECIO $ BOLSA 50KG  FOB CDO TUC (IVA INC)]]*Tabla1[[#This Row],[Q Bolsas Equivalentes 50kg]]</f>
        <v>#VALUE!</v>
      </c>
      <c r="AP689" s="847"/>
      <c r="AQ689" s="846">
        <v>0</v>
      </c>
      <c r="AR689" s="828"/>
      <c r="AS689" s="849"/>
      <c r="AT689" s="923">
        <f>+Tabla1[[#This Row],[VENTA TOTAL $ (IVA INC) ]]-(SUM(Tabla1[[#This Row],[PENDIENTE DE ENTREGA]:[VALORES COBRADOS]]))</f>
        <v>0</v>
      </c>
      <c r="AU689" s="850" t="e">
        <f>VLOOKUP(Tabla1[[#This Row],[FECHA OC]],'TIPO DE CAMBIO'!A:B,2,TRUE)</f>
        <v>#N/A</v>
      </c>
      <c r="AV689" s="850" t="e">
        <f>+Tabla1[[#This Row],[SUBTOTAL]]/Tabla1[[#This Row],[TIPO DE CAMBIO]]</f>
        <v>#N/A</v>
      </c>
      <c r="AW689" s="851"/>
      <c r="AX689" s="850" t="str">
        <f>IFERROR(Tabla1[[#This Row],[VENTA TOTAL USD A PLAZO EN CLIENTE  (SIN IVA)]]*(1+Tabla1[[#This Row],[% IVA ]]),"")</f>
        <v/>
      </c>
      <c r="AY689" s="850" t="e">
        <f>+Tabla1[[#This Row],[VENTA TOTAL USD A PLAZO EN CLIENTE  (SIN IVA)]]/Tabla1[[#This Row],[KGS]]*1000</f>
        <v>#N/A</v>
      </c>
      <c r="AZ689" s="850" t="e">
        <f>-Tabla1[[#This Row],[COSTO FLETE $ POR BOLSA 5O KG (SIN IVA)]]*20/Tabla1[[#This Row],[TIPO DE CAMBIO]]</f>
        <v>#N/A</v>
      </c>
      <c r="BA689" s="850" t="e">
        <f>+Tabla1[[#This Row],[GASTOS FINANCIEROS $ BOLSA 50 KG (IVA INC)]]*20/Tabla1[[#This Row],[TIPO DE CAMBIO]]</f>
        <v>#VALUE!</v>
      </c>
      <c r="BB689" s="850" t="e">
        <f>+Tabla1[[#This Row],[PRECIO POR TN USD EN CLIENTE A PLAZO (SIN IVA)]]+Tabla1[[#This Row],[COSTO USD FLETE /TN (SIN IVA)]]+Tabla1[[#This Row],[COSTO FINANCIERO USD POR BOLSA 50KG (IVA INC)]]</f>
        <v>#N/A</v>
      </c>
      <c r="BC689" s="828"/>
      <c r="BD689" s="944"/>
    </row>
    <row r="690" spans="1:56" ht="15.75" customHeight="1">
      <c r="A690" s="912">
        <v>46327</v>
      </c>
      <c r="B690" s="863"/>
      <c r="C690" s="792"/>
      <c r="D690" s="829">
        <f>+Tabla1[[#This Row],[FECHA Entrega]]</f>
        <v>0</v>
      </c>
      <c r="E690" s="830"/>
      <c r="F690" s="831"/>
      <c r="G690" s="832"/>
      <c r="H690" s="852"/>
      <c r="I690" s="834"/>
      <c r="J690" s="835"/>
      <c r="K690" s="836">
        <f t="shared" si="151"/>
        <v>0</v>
      </c>
      <c r="L69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90" s="837">
        <f t="shared" si="153"/>
        <v>0</v>
      </c>
      <c r="N690" s="838">
        <f>+Tabla1[[#This Row],[VENTA TOTAL $ (IVA INC) ]]</f>
        <v>0</v>
      </c>
      <c r="O690" s="838">
        <v>0</v>
      </c>
      <c r="P690" s="838">
        <v>0</v>
      </c>
      <c r="Q690" s="839">
        <f>+Tabla1[[#This Row],[VENTA TOTAL $ (IVA INC) ]]-Tabla1[[#This Row],[PENDIENTE DE COBRO]]</f>
        <v>0</v>
      </c>
      <c r="R690" s="840">
        <f>+Tabla1[[#This Row],[FECHA FC]]+Tabla1[[#This Row],[PLAZO ENTREGA VALORES]]</f>
        <v>0</v>
      </c>
      <c r="S690" s="840">
        <f>+Tabla1[[#This Row],[FECHA FC]]+Tabla1[[#This Row],[PLAZO PAGO (DIAS)]]</f>
        <v>0</v>
      </c>
      <c r="T690" s="834">
        <f t="shared" ca="1" si="152"/>
        <v>-46181</v>
      </c>
      <c r="U690" s="831"/>
      <c r="V690" s="831"/>
      <c r="W690" s="841">
        <f>+Tabla1[[#This Row],[FECHA VTO VALORES]]+7</f>
        <v>7</v>
      </c>
      <c r="X690" s="830"/>
      <c r="Y690" s="859"/>
      <c r="Z690" s="860">
        <f>Tabla1[[#This Row],[KGS]]/50</f>
        <v>0</v>
      </c>
      <c r="AA69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90" s="844">
        <f>-Tabla1[[#This Row],[COSTO FLETE $ POR BOLSA 5O KG (SIN IVA)]]*1.21-Tabla1[[#This Row],[PRECIO $/ KG A PLAZO EN CLIENTE ( SIN IVA)]]*0.003*1.21*50</f>
        <v>0</v>
      </c>
      <c r="AC690" s="845" t="e">
        <f>SUM(Tabla1[[#This Row],[PRECIO $ BOLSA 50 KG (IVA INC) ]]+Tabla1[[#This Row],[COSTO FLETE $ BOLSA 50 KG (IVA INC)]])</f>
        <v>#VALUE!</v>
      </c>
      <c r="AD690" s="844" t="e">
        <f>-Tabla1[[#This Row],[PRECIO $ BOLSA 50 KG (IVA INC) ]]*(Tabla1[[#This Row],[TASA FINANCIACION MENSUAL]]/365)*Tabla1[[#This Row],[PLAZO ENTREGA VALORES]]</f>
        <v>#VALUE!</v>
      </c>
      <c r="AE690" s="845" t="e">
        <f>SUM(Tabla1[[#This Row],[PRECIO $ BOLSA50 KG  FOB TUCUMAN A PLAZO (IVA INC)]]+Tabla1[[#This Row],[GASTOS FINANCIEROS $ BOLSA 50 KG (IVA INC)]])</f>
        <v>#VALUE!</v>
      </c>
      <c r="AF690" s="828"/>
      <c r="AG690" s="828"/>
      <c r="AH690" s="828"/>
      <c r="AI690" s="828"/>
      <c r="AJ69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90" s="846" t="e">
        <f>SUM(Tabla1[[#This Row],[PRECIO $ BOLSA 50KG  FOB CDO TUC (IVA INC)]]-Tabla1[[#This Row],[PRECIO REF $ BOLSA 50 KG CACTU (IVA INC)]])</f>
        <v>#VALUE!</v>
      </c>
      <c r="AL690" s="847" t="str">
        <f>IFERROR(Tabla1[[#This Row],[PRECIO $ BOLSA 50KG  FOB CDO TUC (IVA INC)]]/Tabla1[[#This Row],[PRECIO REF $ BOLSA 50 KG CACTU (IVA INC)]]-1,"")</f>
        <v/>
      </c>
      <c r="AM690" s="846" t="e">
        <f>+Tabla1[[#This Row],[DIF $ PRECIO NETO INDUSTRIA vs Neto TUCUMAN (IVA INC)]]*Tabla1[[#This Row],[Q Bolsas Equivalentes 50kg]]</f>
        <v>#VALUE!</v>
      </c>
      <c r="AN690" s="846" t="e">
        <f>Tabla1[[#This Row],[PRECIO REF $ BOLSA 50 KG CACTU (IVA INC)]]*Tabla1[[#This Row],[Q Bolsas Equivalentes 50kg]]</f>
        <v>#VALUE!</v>
      </c>
      <c r="AO690" s="846" t="e">
        <f>+Tabla1[[#This Row],[PRECIO $ BOLSA 50KG  FOB CDO TUC (IVA INC)]]*Tabla1[[#This Row],[Q Bolsas Equivalentes 50kg]]</f>
        <v>#VALUE!</v>
      </c>
      <c r="AP690" s="847"/>
      <c r="AQ690" s="846">
        <v>0</v>
      </c>
      <c r="AR690" s="828"/>
      <c r="AS690" s="849"/>
      <c r="AT690" s="923">
        <f>+Tabla1[[#This Row],[VENTA TOTAL $ (IVA INC) ]]-(SUM(Tabla1[[#This Row],[PENDIENTE DE ENTREGA]:[VALORES COBRADOS]]))</f>
        <v>0</v>
      </c>
      <c r="AU690" s="850" t="e">
        <f>VLOOKUP(Tabla1[[#This Row],[FECHA OC]],'TIPO DE CAMBIO'!A:B,2,TRUE)</f>
        <v>#N/A</v>
      </c>
      <c r="AV690" s="850" t="e">
        <f>+Tabla1[[#This Row],[SUBTOTAL]]/Tabla1[[#This Row],[TIPO DE CAMBIO]]</f>
        <v>#N/A</v>
      </c>
      <c r="AW690" s="851"/>
      <c r="AX690" s="850" t="str">
        <f>IFERROR(Tabla1[[#This Row],[VENTA TOTAL USD A PLAZO EN CLIENTE  (SIN IVA)]]*(1+Tabla1[[#This Row],[% IVA ]]),"")</f>
        <v/>
      </c>
      <c r="AY690" s="850" t="e">
        <f>+Tabla1[[#This Row],[VENTA TOTAL USD A PLAZO EN CLIENTE  (SIN IVA)]]/Tabla1[[#This Row],[KGS]]*1000</f>
        <v>#N/A</v>
      </c>
      <c r="AZ690" s="850" t="e">
        <f>-Tabla1[[#This Row],[COSTO FLETE $ POR BOLSA 5O KG (SIN IVA)]]*20/Tabla1[[#This Row],[TIPO DE CAMBIO]]</f>
        <v>#N/A</v>
      </c>
      <c r="BA690" s="850" t="e">
        <f>+Tabla1[[#This Row],[GASTOS FINANCIEROS $ BOLSA 50 KG (IVA INC)]]*20/Tabla1[[#This Row],[TIPO DE CAMBIO]]</f>
        <v>#VALUE!</v>
      </c>
      <c r="BB690" s="850" t="e">
        <f>+Tabla1[[#This Row],[PRECIO POR TN USD EN CLIENTE A PLAZO (SIN IVA)]]+Tabla1[[#This Row],[COSTO USD FLETE /TN (SIN IVA)]]+Tabla1[[#This Row],[COSTO FINANCIERO USD POR BOLSA 50KG (IVA INC)]]</f>
        <v>#N/A</v>
      </c>
      <c r="BC690" s="828"/>
      <c r="BD690" s="944"/>
    </row>
    <row r="691" spans="1:56" ht="15.75" customHeight="1">
      <c r="A691" s="912">
        <v>46327</v>
      </c>
      <c r="B691" s="863"/>
      <c r="C691" s="792"/>
      <c r="D691" s="829">
        <f>+Tabla1[[#This Row],[FECHA Entrega]]</f>
        <v>0</v>
      </c>
      <c r="E691" s="830"/>
      <c r="F691" s="831"/>
      <c r="G691" s="832"/>
      <c r="H691" s="852"/>
      <c r="I691" s="834"/>
      <c r="J691" s="835"/>
      <c r="K691" s="836">
        <f t="shared" si="151"/>
        <v>0</v>
      </c>
      <c r="L69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91" s="837">
        <f t="shared" si="153"/>
        <v>0</v>
      </c>
      <c r="N691" s="838">
        <f>+Tabla1[[#This Row],[VENTA TOTAL $ (IVA INC) ]]</f>
        <v>0</v>
      </c>
      <c r="O691" s="838">
        <v>0</v>
      </c>
      <c r="P691" s="838">
        <v>0</v>
      </c>
      <c r="Q691" s="839">
        <f>+Tabla1[[#This Row],[VENTA TOTAL $ (IVA INC) ]]-Tabla1[[#This Row],[PENDIENTE DE COBRO]]</f>
        <v>0</v>
      </c>
      <c r="R691" s="840">
        <f>+Tabla1[[#This Row],[FECHA FC]]+Tabla1[[#This Row],[PLAZO ENTREGA VALORES]]</f>
        <v>0</v>
      </c>
      <c r="S691" s="840">
        <f>+Tabla1[[#This Row],[FECHA FC]]+Tabla1[[#This Row],[PLAZO PAGO (DIAS)]]</f>
        <v>0</v>
      </c>
      <c r="T691" s="834">
        <f t="shared" ca="1" si="152"/>
        <v>-46181</v>
      </c>
      <c r="U691" s="831"/>
      <c r="V691" s="831"/>
      <c r="W691" s="841">
        <f>+Tabla1[[#This Row],[FECHA VTO VALORES]]+7</f>
        <v>7</v>
      </c>
      <c r="X691" s="830"/>
      <c r="Y691" s="859"/>
      <c r="Z691" s="860">
        <f>Tabla1[[#This Row],[KGS]]/50</f>
        <v>0</v>
      </c>
      <c r="AA69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91" s="844">
        <f>-Tabla1[[#This Row],[COSTO FLETE $ POR BOLSA 5O KG (SIN IVA)]]*1.21-Tabla1[[#This Row],[PRECIO $/ KG A PLAZO EN CLIENTE ( SIN IVA)]]*0.003*1.21*50</f>
        <v>0</v>
      </c>
      <c r="AC691" s="845" t="e">
        <f>SUM(Tabla1[[#This Row],[PRECIO $ BOLSA 50 KG (IVA INC) ]]+Tabla1[[#This Row],[COSTO FLETE $ BOLSA 50 KG (IVA INC)]])</f>
        <v>#VALUE!</v>
      </c>
      <c r="AD691" s="844" t="e">
        <f>-Tabla1[[#This Row],[PRECIO $ BOLSA 50 KG (IVA INC) ]]*(Tabla1[[#This Row],[TASA FINANCIACION MENSUAL]]/365)*Tabla1[[#This Row],[PLAZO ENTREGA VALORES]]</f>
        <v>#VALUE!</v>
      </c>
      <c r="AE691" s="845" t="e">
        <f>SUM(Tabla1[[#This Row],[PRECIO $ BOLSA50 KG  FOB TUCUMAN A PLAZO (IVA INC)]]+Tabla1[[#This Row],[GASTOS FINANCIEROS $ BOLSA 50 KG (IVA INC)]])</f>
        <v>#VALUE!</v>
      </c>
      <c r="AF691" s="828"/>
      <c r="AG691" s="828"/>
      <c r="AH691" s="828"/>
      <c r="AI691" s="828"/>
      <c r="AJ69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91" s="846" t="e">
        <f>SUM(Tabla1[[#This Row],[PRECIO $ BOLSA 50KG  FOB CDO TUC (IVA INC)]]-Tabla1[[#This Row],[PRECIO REF $ BOLSA 50 KG CACTU (IVA INC)]])</f>
        <v>#VALUE!</v>
      </c>
      <c r="AL691" s="847" t="str">
        <f>IFERROR(Tabla1[[#This Row],[PRECIO $ BOLSA 50KG  FOB CDO TUC (IVA INC)]]/Tabla1[[#This Row],[PRECIO REF $ BOLSA 50 KG CACTU (IVA INC)]]-1,"")</f>
        <v/>
      </c>
      <c r="AM691" s="846" t="e">
        <f>+Tabla1[[#This Row],[DIF $ PRECIO NETO INDUSTRIA vs Neto TUCUMAN (IVA INC)]]*Tabla1[[#This Row],[Q Bolsas Equivalentes 50kg]]</f>
        <v>#VALUE!</v>
      </c>
      <c r="AN691" s="846" t="e">
        <f>Tabla1[[#This Row],[PRECIO REF $ BOLSA 50 KG CACTU (IVA INC)]]*Tabla1[[#This Row],[Q Bolsas Equivalentes 50kg]]</f>
        <v>#VALUE!</v>
      </c>
      <c r="AO691" s="846" t="e">
        <f>+Tabla1[[#This Row],[PRECIO $ BOLSA 50KG  FOB CDO TUC (IVA INC)]]*Tabla1[[#This Row],[Q Bolsas Equivalentes 50kg]]</f>
        <v>#VALUE!</v>
      </c>
      <c r="AP691" s="847"/>
      <c r="AQ691" s="846">
        <v>0</v>
      </c>
      <c r="AR691" s="828"/>
      <c r="AS691" s="849"/>
      <c r="AT691" s="923">
        <f>+Tabla1[[#This Row],[VENTA TOTAL $ (IVA INC) ]]-(SUM(Tabla1[[#This Row],[PENDIENTE DE ENTREGA]:[VALORES COBRADOS]]))</f>
        <v>0</v>
      </c>
      <c r="AU691" s="850" t="e">
        <f>VLOOKUP(Tabla1[[#This Row],[FECHA OC]],'TIPO DE CAMBIO'!A:B,2,TRUE)</f>
        <v>#N/A</v>
      </c>
      <c r="AV691" s="850" t="e">
        <f>+Tabla1[[#This Row],[SUBTOTAL]]/Tabla1[[#This Row],[TIPO DE CAMBIO]]</f>
        <v>#N/A</v>
      </c>
      <c r="AW691" s="851"/>
      <c r="AX691" s="850" t="str">
        <f>IFERROR(Tabla1[[#This Row],[VENTA TOTAL USD A PLAZO EN CLIENTE  (SIN IVA)]]*(1+Tabla1[[#This Row],[% IVA ]]),"")</f>
        <v/>
      </c>
      <c r="AY691" s="850" t="e">
        <f>+Tabla1[[#This Row],[VENTA TOTAL USD A PLAZO EN CLIENTE  (SIN IVA)]]/Tabla1[[#This Row],[KGS]]*1000</f>
        <v>#N/A</v>
      </c>
      <c r="AZ691" s="850" t="e">
        <f>-Tabla1[[#This Row],[COSTO FLETE $ POR BOLSA 5O KG (SIN IVA)]]*20/Tabla1[[#This Row],[TIPO DE CAMBIO]]</f>
        <v>#N/A</v>
      </c>
      <c r="BA691" s="850" t="e">
        <f>+Tabla1[[#This Row],[GASTOS FINANCIEROS $ BOLSA 50 KG (IVA INC)]]*20/Tabla1[[#This Row],[TIPO DE CAMBIO]]</f>
        <v>#VALUE!</v>
      </c>
      <c r="BB691" s="850" t="e">
        <f>+Tabla1[[#This Row],[PRECIO POR TN USD EN CLIENTE A PLAZO (SIN IVA)]]+Tabla1[[#This Row],[COSTO USD FLETE /TN (SIN IVA)]]+Tabla1[[#This Row],[COSTO FINANCIERO USD POR BOLSA 50KG (IVA INC)]]</f>
        <v>#N/A</v>
      </c>
      <c r="BC691" s="828"/>
      <c r="BD691" s="944"/>
    </row>
    <row r="692" spans="1:56" ht="15.75" customHeight="1">
      <c r="A692" s="912">
        <v>46327</v>
      </c>
      <c r="B692" s="863"/>
      <c r="C692" s="792"/>
      <c r="D692" s="829">
        <f>+Tabla1[[#This Row],[FECHA Entrega]]</f>
        <v>0</v>
      </c>
      <c r="E692" s="830"/>
      <c r="F692" s="831"/>
      <c r="G692" s="832"/>
      <c r="H692" s="852"/>
      <c r="I692" s="834"/>
      <c r="J692" s="835"/>
      <c r="K692" s="836">
        <f t="shared" si="151"/>
        <v>0</v>
      </c>
      <c r="L69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92" s="837">
        <f t="shared" si="153"/>
        <v>0</v>
      </c>
      <c r="N692" s="838">
        <f>+Tabla1[[#This Row],[VENTA TOTAL $ (IVA INC) ]]</f>
        <v>0</v>
      </c>
      <c r="O692" s="838">
        <v>0</v>
      </c>
      <c r="P692" s="838">
        <v>0</v>
      </c>
      <c r="Q692" s="839">
        <f>+Tabla1[[#This Row],[VENTA TOTAL $ (IVA INC) ]]-Tabla1[[#This Row],[PENDIENTE DE COBRO]]</f>
        <v>0</v>
      </c>
      <c r="R692" s="840">
        <f>+Tabla1[[#This Row],[FECHA FC]]+Tabla1[[#This Row],[PLAZO ENTREGA VALORES]]</f>
        <v>0</v>
      </c>
      <c r="S692" s="840">
        <f>+Tabla1[[#This Row],[FECHA FC]]+Tabla1[[#This Row],[PLAZO PAGO (DIAS)]]</f>
        <v>0</v>
      </c>
      <c r="T692" s="834">
        <f t="shared" ca="1" si="152"/>
        <v>-46181</v>
      </c>
      <c r="U692" s="831"/>
      <c r="V692" s="831"/>
      <c r="W692" s="841">
        <f>+Tabla1[[#This Row],[FECHA VTO VALORES]]+7</f>
        <v>7</v>
      </c>
      <c r="X692" s="830"/>
      <c r="Y692" s="859"/>
      <c r="Z692" s="860">
        <f>Tabla1[[#This Row],[KGS]]/50</f>
        <v>0</v>
      </c>
      <c r="AA69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92" s="844">
        <f>-Tabla1[[#This Row],[COSTO FLETE $ POR BOLSA 5O KG (SIN IVA)]]*1.21-Tabla1[[#This Row],[PRECIO $/ KG A PLAZO EN CLIENTE ( SIN IVA)]]*0.003*1.21*50</f>
        <v>0</v>
      </c>
      <c r="AC692" s="845" t="e">
        <f>SUM(Tabla1[[#This Row],[PRECIO $ BOLSA 50 KG (IVA INC) ]]+Tabla1[[#This Row],[COSTO FLETE $ BOLSA 50 KG (IVA INC)]])</f>
        <v>#VALUE!</v>
      </c>
      <c r="AD692" s="844" t="e">
        <f>-Tabla1[[#This Row],[PRECIO $ BOLSA 50 KG (IVA INC) ]]*(Tabla1[[#This Row],[TASA FINANCIACION MENSUAL]]/365)*Tabla1[[#This Row],[PLAZO ENTREGA VALORES]]</f>
        <v>#VALUE!</v>
      </c>
      <c r="AE692" s="845" t="e">
        <f>SUM(Tabla1[[#This Row],[PRECIO $ BOLSA50 KG  FOB TUCUMAN A PLAZO (IVA INC)]]+Tabla1[[#This Row],[GASTOS FINANCIEROS $ BOLSA 50 KG (IVA INC)]])</f>
        <v>#VALUE!</v>
      </c>
      <c r="AF692" s="828"/>
      <c r="AG692" s="828"/>
      <c r="AH692" s="828"/>
      <c r="AI692" s="828"/>
      <c r="AJ69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92" s="846" t="e">
        <f>SUM(Tabla1[[#This Row],[PRECIO $ BOLSA 50KG  FOB CDO TUC (IVA INC)]]-Tabla1[[#This Row],[PRECIO REF $ BOLSA 50 KG CACTU (IVA INC)]])</f>
        <v>#VALUE!</v>
      </c>
      <c r="AL692" s="847" t="str">
        <f>IFERROR(Tabla1[[#This Row],[PRECIO $ BOLSA 50KG  FOB CDO TUC (IVA INC)]]/Tabla1[[#This Row],[PRECIO REF $ BOLSA 50 KG CACTU (IVA INC)]]-1,"")</f>
        <v/>
      </c>
      <c r="AM692" s="846" t="e">
        <f>+Tabla1[[#This Row],[DIF $ PRECIO NETO INDUSTRIA vs Neto TUCUMAN (IVA INC)]]*Tabla1[[#This Row],[Q Bolsas Equivalentes 50kg]]</f>
        <v>#VALUE!</v>
      </c>
      <c r="AN692" s="846" t="e">
        <f>Tabla1[[#This Row],[PRECIO REF $ BOLSA 50 KG CACTU (IVA INC)]]*Tabla1[[#This Row],[Q Bolsas Equivalentes 50kg]]</f>
        <v>#VALUE!</v>
      </c>
      <c r="AO692" s="846" t="e">
        <f>+Tabla1[[#This Row],[PRECIO $ BOLSA 50KG  FOB CDO TUC (IVA INC)]]*Tabla1[[#This Row],[Q Bolsas Equivalentes 50kg]]</f>
        <v>#VALUE!</v>
      </c>
      <c r="AP692" s="847"/>
      <c r="AQ692" s="846">
        <v>0</v>
      </c>
      <c r="AR692" s="828"/>
      <c r="AS692" s="849"/>
      <c r="AT692" s="923">
        <f>+Tabla1[[#This Row],[VENTA TOTAL $ (IVA INC) ]]-(SUM(Tabla1[[#This Row],[PENDIENTE DE ENTREGA]:[VALORES COBRADOS]]))</f>
        <v>0</v>
      </c>
      <c r="AU692" s="850" t="e">
        <f>VLOOKUP(Tabla1[[#This Row],[FECHA OC]],'TIPO DE CAMBIO'!A:B,2,TRUE)</f>
        <v>#N/A</v>
      </c>
      <c r="AV692" s="850" t="e">
        <f>+Tabla1[[#This Row],[SUBTOTAL]]/Tabla1[[#This Row],[TIPO DE CAMBIO]]</f>
        <v>#N/A</v>
      </c>
      <c r="AW692" s="851"/>
      <c r="AX692" s="850" t="str">
        <f>IFERROR(Tabla1[[#This Row],[VENTA TOTAL USD A PLAZO EN CLIENTE  (SIN IVA)]]*(1+Tabla1[[#This Row],[% IVA ]]),"")</f>
        <v/>
      </c>
      <c r="AY692" s="850" t="e">
        <f>+Tabla1[[#This Row],[VENTA TOTAL USD A PLAZO EN CLIENTE  (SIN IVA)]]/Tabla1[[#This Row],[KGS]]*1000</f>
        <v>#N/A</v>
      </c>
      <c r="AZ692" s="850" t="e">
        <f>-Tabla1[[#This Row],[COSTO FLETE $ POR BOLSA 5O KG (SIN IVA)]]*20/Tabla1[[#This Row],[TIPO DE CAMBIO]]</f>
        <v>#N/A</v>
      </c>
      <c r="BA692" s="850" t="e">
        <f>+Tabla1[[#This Row],[GASTOS FINANCIEROS $ BOLSA 50 KG (IVA INC)]]*20/Tabla1[[#This Row],[TIPO DE CAMBIO]]</f>
        <v>#VALUE!</v>
      </c>
      <c r="BB692" s="850" t="e">
        <f>+Tabla1[[#This Row],[PRECIO POR TN USD EN CLIENTE A PLAZO (SIN IVA)]]+Tabla1[[#This Row],[COSTO USD FLETE /TN (SIN IVA)]]+Tabla1[[#This Row],[COSTO FINANCIERO USD POR BOLSA 50KG (IVA INC)]]</f>
        <v>#N/A</v>
      </c>
      <c r="BC692" s="828"/>
      <c r="BD692" s="944"/>
    </row>
    <row r="693" spans="1:56" ht="15.75" customHeight="1">
      <c r="A693" s="912">
        <v>46327</v>
      </c>
      <c r="B693" s="863"/>
      <c r="C693" s="792"/>
      <c r="D693" s="829">
        <f>+Tabla1[[#This Row],[FECHA Entrega]]</f>
        <v>0</v>
      </c>
      <c r="E693" s="830"/>
      <c r="F693" s="831"/>
      <c r="G693" s="832"/>
      <c r="H693" s="852"/>
      <c r="I693" s="834"/>
      <c r="J693" s="835"/>
      <c r="K693" s="836">
        <f t="shared" si="151"/>
        <v>0</v>
      </c>
      <c r="L69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93" s="837">
        <f t="shared" si="153"/>
        <v>0</v>
      </c>
      <c r="N693" s="838">
        <f>+Tabla1[[#This Row],[VENTA TOTAL $ (IVA INC) ]]</f>
        <v>0</v>
      </c>
      <c r="O693" s="838">
        <v>0</v>
      </c>
      <c r="P693" s="838">
        <v>0</v>
      </c>
      <c r="Q693" s="839">
        <f>+Tabla1[[#This Row],[VENTA TOTAL $ (IVA INC) ]]-Tabla1[[#This Row],[PENDIENTE DE COBRO]]</f>
        <v>0</v>
      </c>
      <c r="R693" s="840">
        <f>+Tabla1[[#This Row],[FECHA FC]]+Tabla1[[#This Row],[PLAZO ENTREGA VALORES]]</f>
        <v>0</v>
      </c>
      <c r="S693" s="840">
        <f>+Tabla1[[#This Row],[FECHA FC]]+Tabla1[[#This Row],[PLAZO PAGO (DIAS)]]</f>
        <v>0</v>
      </c>
      <c r="T693" s="834">
        <f t="shared" ca="1" si="152"/>
        <v>-46181</v>
      </c>
      <c r="U693" s="831"/>
      <c r="V693" s="831"/>
      <c r="W693" s="841">
        <f>+Tabla1[[#This Row],[FECHA VTO VALORES]]+7</f>
        <v>7</v>
      </c>
      <c r="X693" s="830"/>
      <c r="Y693" s="859"/>
      <c r="Z693" s="860">
        <f>Tabla1[[#This Row],[KGS]]/50</f>
        <v>0</v>
      </c>
      <c r="AA69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93" s="844">
        <f>-Tabla1[[#This Row],[COSTO FLETE $ POR BOLSA 5O KG (SIN IVA)]]*1.21-Tabla1[[#This Row],[PRECIO $/ KG A PLAZO EN CLIENTE ( SIN IVA)]]*0.003*1.21*50</f>
        <v>0</v>
      </c>
      <c r="AC693" s="845" t="e">
        <f>SUM(Tabla1[[#This Row],[PRECIO $ BOLSA 50 KG (IVA INC) ]]+Tabla1[[#This Row],[COSTO FLETE $ BOLSA 50 KG (IVA INC)]])</f>
        <v>#VALUE!</v>
      </c>
      <c r="AD693" s="844" t="e">
        <f>-Tabla1[[#This Row],[PRECIO $ BOLSA 50 KG (IVA INC) ]]*(Tabla1[[#This Row],[TASA FINANCIACION MENSUAL]]/365)*Tabla1[[#This Row],[PLAZO ENTREGA VALORES]]</f>
        <v>#VALUE!</v>
      </c>
      <c r="AE693" s="845" t="e">
        <f>SUM(Tabla1[[#This Row],[PRECIO $ BOLSA50 KG  FOB TUCUMAN A PLAZO (IVA INC)]]+Tabla1[[#This Row],[GASTOS FINANCIEROS $ BOLSA 50 KG (IVA INC)]])</f>
        <v>#VALUE!</v>
      </c>
      <c r="AF693" s="828"/>
      <c r="AG693" s="828"/>
      <c r="AH693" s="828"/>
      <c r="AI693" s="828"/>
      <c r="AJ69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93" s="846" t="e">
        <f>SUM(Tabla1[[#This Row],[PRECIO $ BOLSA 50KG  FOB CDO TUC (IVA INC)]]-Tabla1[[#This Row],[PRECIO REF $ BOLSA 50 KG CACTU (IVA INC)]])</f>
        <v>#VALUE!</v>
      </c>
      <c r="AL693" s="847" t="str">
        <f>IFERROR(Tabla1[[#This Row],[PRECIO $ BOLSA 50KG  FOB CDO TUC (IVA INC)]]/Tabla1[[#This Row],[PRECIO REF $ BOLSA 50 KG CACTU (IVA INC)]]-1,"")</f>
        <v/>
      </c>
      <c r="AM693" s="846" t="e">
        <f>+Tabla1[[#This Row],[DIF $ PRECIO NETO INDUSTRIA vs Neto TUCUMAN (IVA INC)]]*Tabla1[[#This Row],[Q Bolsas Equivalentes 50kg]]</f>
        <v>#VALUE!</v>
      </c>
      <c r="AN693" s="846" t="e">
        <f>Tabla1[[#This Row],[PRECIO REF $ BOLSA 50 KG CACTU (IVA INC)]]*Tabla1[[#This Row],[Q Bolsas Equivalentes 50kg]]</f>
        <v>#VALUE!</v>
      </c>
      <c r="AO693" s="846" t="e">
        <f>+Tabla1[[#This Row],[PRECIO $ BOLSA 50KG  FOB CDO TUC (IVA INC)]]*Tabla1[[#This Row],[Q Bolsas Equivalentes 50kg]]</f>
        <v>#VALUE!</v>
      </c>
      <c r="AP693" s="847"/>
      <c r="AQ693" s="846">
        <v>0</v>
      </c>
      <c r="AR693" s="828"/>
      <c r="AS693" s="849"/>
      <c r="AT693" s="923">
        <f>+Tabla1[[#This Row],[VENTA TOTAL $ (IVA INC) ]]-(SUM(Tabla1[[#This Row],[PENDIENTE DE ENTREGA]:[VALORES COBRADOS]]))</f>
        <v>0</v>
      </c>
      <c r="AU693" s="850" t="e">
        <f>VLOOKUP(Tabla1[[#This Row],[FECHA OC]],'TIPO DE CAMBIO'!A:B,2,TRUE)</f>
        <v>#N/A</v>
      </c>
      <c r="AV693" s="850" t="e">
        <f>+Tabla1[[#This Row],[SUBTOTAL]]/Tabla1[[#This Row],[TIPO DE CAMBIO]]</f>
        <v>#N/A</v>
      </c>
      <c r="AW693" s="851"/>
      <c r="AX693" s="850" t="str">
        <f>IFERROR(Tabla1[[#This Row],[VENTA TOTAL USD A PLAZO EN CLIENTE  (SIN IVA)]]*(1+Tabla1[[#This Row],[% IVA ]]),"")</f>
        <v/>
      </c>
      <c r="AY693" s="850" t="e">
        <f>+Tabla1[[#This Row],[VENTA TOTAL USD A PLAZO EN CLIENTE  (SIN IVA)]]/Tabla1[[#This Row],[KGS]]*1000</f>
        <v>#N/A</v>
      </c>
      <c r="AZ693" s="850" t="e">
        <f>-Tabla1[[#This Row],[COSTO FLETE $ POR BOLSA 5O KG (SIN IVA)]]*20/Tabla1[[#This Row],[TIPO DE CAMBIO]]</f>
        <v>#N/A</v>
      </c>
      <c r="BA693" s="850" t="e">
        <f>+Tabla1[[#This Row],[GASTOS FINANCIEROS $ BOLSA 50 KG (IVA INC)]]*20/Tabla1[[#This Row],[TIPO DE CAMBIO]]</f>
        <v>#VALUE!</v>
      </c>
      <c r="BB693" s="850" t="e">
        <f>+Tabla1[[#This Row],[PRECIO POR TN USD EN CLIENTE A PLAZO (SIN IVA)]]+Tabla1[[#This Row],[COSTO USD FLETE /TN (SIN IVA)]]+Tabla1[[#This Row],[COSTO FINANCIERO USD POR BOLSA 50KG (IVA INC)]]</f>
        <v>#N/A</v>
      </c>
      <c r="BC693" s="828"/>
      <c r="BD693" s="944"/>
    </row>
    <row r="694" spans="1:56" ht="15.75" customHeight="1">
      <c r="A694" s="912">
        <v>46327</v>
      </c>
      <c r="B694" s="863"/>
      <c r="C694" s="792"/>
      <c r="D694" s="829">
        <f>+Tabla1[[#This Row],[FECHA Entrega]]</f>
        <v>0</v>
      </c>
      <c r="E694" s="830"/>
      <c r="F694" s="831"/>
      <c r="G694" s="832"/>
      <c r="H694" s="852"/>
      <c r="I694" s="834"/>
      <c r="J694" s="835"/>
      <c r="K694" s="836">
        <f t="shared" si="151"/>
        <v>0</v>
      </c>
      <c r="L69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94" s="837">
        <f t="shared" si="153"/>
        <v>0</v>
      </c>
      <c r="N694" s="838">
        <f>+Tabla1[[#This Row],[VENTA TOTAL $ (IVA INC) ]]</f>
        <v>0</v>
      </c>
      <c r="O694" s="838">
        <v>0</v>
      </c>
      <c r="P694" s="838">
        <v>0</v>
      </c>
      <c r="Q694" s="839">
        <f>+Tabla1[[#This Row],[VENTA TOTAL $ (IVA INC) ]]-Tabla1[[#This Row],[PENDIENTE DE COBRO]]</f>
        <v>0</v>
      </c>
      <c r="R694" s="840">
        <f>+Tabla1[[#This Row],[FECHA FC]]+Tabla1[[#This Row],[PLAZO ENTREGA VALORES]]</f>
        <v>0</v>
      </c>
      <c r="S694" s="840">
        <f>+Tabla1[[#This Row],[FECHA FC]]+Tabla1[[#This Row],[PLAZO PAGO (DIAS)]]</f>
        <v>0</v>
      </c>
      <c r="T694" s="834">
        <f t="shared" ca="1" si="152"/>
        <v>-46181</v>
      </c>
      <c r="U694" s="831"/>
      <c r="V694" s="831"/>
      <c r="W694" s="841">
        <f>+Tabla1[[#This Row],[FECHA VTO VALORES]]+7</f>
        <v>7</v>
      </c>
      <c r="X694" s="830"/>
      <c r="Y694" s="859"/>
      <c r="Z694" s="860">
        <f>Tabla1[[#This Row],[KGS]]/50</f>
        <v>0</v>
      </c>
      <c r="AA69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94" s="844">
        <f>-Tabla1[[#This Row],[COSTO FLETE $ POR BOLSA 5O KG (SIN IVA)]]*1.21-Tabla1[[#This Row],[PRECIO $/ KG A PLAZO EN CLIENTE ( SIN IVA)]]*0.003*1.21*50</f>
        <v>0</v>
      </c>
      <c r="AC694" s="845" t="e">
        <f>SUM(Tabla1[[#This Row],[PRECIO $ BOLSA 50 KG (IVA INC) ]]+Tabla1[[#This Row],[COSTO FLETE $ BOLSA 50 KG (IVA INC)]])</f>
        <v>#VALUE!</v>
      </c>
      <c r="AD694" s="844" t="e">
        <f>-Tabla1[[#This Row],[PRECIO $ BOLSA 50 KG (IVA INC) ]]*(Tabla1[[#This Row],[TASA FINANCIACION MENSUAL]]/365)*Tabla1[[#This Row],[PLAZO ENTREGA VALORES]]</f>
        <v>#VALUE!</v>
      </c>
      <c r="AE694" s="845" t="e">
        <f>SUM(Tabla1[[#This Row],[PRECIO $ BOLSA50 KG  FOB TUCUMAN A PLAZO (IVA INC)]]+Tabla1[[#This Row],[GASTOS FINANCIEROS $ BOLSA 50 KG (IVA INC)]])</f>
        <v>#VALUE!</v>
      </c>
      <c r="AF694" s="828"/>
      <c r="AG694" s="828"/>
      <c r="AH694" s="828"/>
      <c r="AI694" s="828"/>
      <c r="AJ69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94" s="846" t="e">
        <f>SUM(Tabla1[[#This Row],[PRECIO $ BOLSA 50KG  FOB CDO TUC (IVA INC)]]-Tabla1[[#This Row],[PRECIO REF $ BOLSA 50 KG CACTU (IVA INC)]])</f>
        <v>#VALUE!</v>
      </c>
      <c r="AL694" s="847" t="str">
        <f>IFERROR(Tabla1[[#This Row],[PRECIO $ BOLSA 50KG  FOB CDO TUC (IVA INC)]]/Tabla1[[#This Row],[PRECIO REF $ BOLSA 50 KG CACTU (IVA INC)]]-1,"")</f>
        <v/>
      </c>
      <c r="AM694" s="846" t="e">
        <f>+Tabla1[[#This Row],[DIF $ PRECIO NETO INDUSTRIA vs Neto TUCUMAN (IVA INC)]]*Tabla1[[#This Row],[Q Bolsas Equivalentes 50kg]]</f>
        <v>#VALUE!</v>
      </c>
      <c r="AN694" s="846" t="e">
        <f>Tabla1[[#This Row],[PRECIO REF $ BOLSA 50 KG CACTU (IVA INC)]]*Tabla1[[#This Row],[Q Bolsas Equivalentes 50kg]]</f>
        <v>#VALUE!</v>
      </c>
      <c r="AO694" s="846" t="e">
        <f>+Tabla1[[#This Row],[PRECIO $ BOLSA 50KG  FOB CDO TUC (IVA INC)]]*Tabla1[[#This Row],[Q Bolsas Equivalentes 50kg]]</f>
        <v>#VALUE!</v>
      </c>
      <c r="AP694" s="847"/>
      <c r="AQ694" s="846">
        <v>0</v>
      </c>
      <c r="AR694" s="828"/>
      <c r="AS694" s="849"/>
      <c r="AT694" s="923">
        <f>+Tabla1[[#This Row],[VENTA TOTAL $ (IVA INC) ]]-(SUM(Tabla1[[#This Row],[PENDIENTE DE ENTREGA]:[VALORES COBRADOS]]))</f>
        <v>0</v>
      </c>
      <c r="AU694" s="850" t="e">
        <f>VLOOKUP(Tabla1[[#This Row],[FECHA OC]],'TIPO DE CAMBIO'!A:B,2,TRUE)</f>
        <v>#N/A</v>
      </c>
      <c r="AV694" s="850" t="e">
        <f>+Tabla1[[#This Row],[SUBTOTAL]]/Tabla1[[#This Row],[TIPO DE CAMBIO]]</f>
        <v>#N/A</v>
      </c>
      <c r="AW694" s="851"/>
      <c r="AX694" s="850" t="str">
        <f>IFERROR(Tabla1[[#This Row],[VENTA TOTAL USD A PLAZO EN CLIENTE  (SIN IVA)]]*(1+Tabla1[[#This Row],[% IVA ]]),"")</f>
        <v/>
      </c>
      <c r="AY694" s="850" t="e">
        <f>+Tabla1[[#This Row],[VENTA TOTAL USD A PLAZO EN CLIENTE  (SIN IVA)]]/Tabla1[[#This Row],[KGS]]*1000</f>
        <v>#N/A</v>
      </c>
      <c r="AZ694" s="850" t="e">
        <f>-Tabla1[[#This Row],[COSTO FLETE $ POR BOLSA 5O KG (SIN IVA)]]*20/Tabla1[[#This Row],[TIPO DE CAMBIO]]</f>
        <v>#N/A</v>
      </c>
      <c r="BA694" s="850" t="e">
        <f>+Tabla1[[#This Row],[GASTOS FINANCIEROS $ BOLSA 50 KG (IVA INC)]]*20/Tabla1[[#This Row],[TIPO DE CAMBIO]]</f>
        <v>#VALUE!</v>
      </c>
      <c r="BB694" s="850" t="e">
        <f>+Tabla1[[#This Row],[PRECIO POR TN USD EN CLIENTE A PLAZO (SIN IVA)]]+Tabla1[[#This Row],[COSTO USD FLETE /TN (SIN IVA)]]+Tabla1[[#This Row],[COSTO FINANCIERO USD POR BOLSA 50KG (IVA INC)]]</f>
        <v>#N/A</v>
      </c>
      <c r="BC694" s="828"/>
      <c r="BD694" s="944"/>
    </row>
    <row r="695" spans="1:56" ht="15.75" customHeight="1">
      <c r="A695" s="912">
        <v>46327</v>
      </c>
      <c r="B695" s="863"/>
      <c r="C695" s="792"/>
      <c r="D695" s="829">
        <f>+Tabla1[[#This Row],[FECHA Entrega]]</f>
        <v>0</v>
      </c>
      <c r="E695" s="830"/>
      <c r="F695" s="831"/>
      <c r="G695" s="832"/>
      <c r="H695" s="852"/>
      <c r="I695" s="834"/>
      <c r="J695" s="835"/>
      <c r="K695" s="836">
        <f t="shared" si="151"/>
        <v>0</v>
      </c>
      <c r="L69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95" s="837">
        <f t="shared" si="153"/>
        <v>0</v>
      </c>
      <c r="N695" s="838">
        <f>+Tabla1[[#This Row],[VENTA TOTAL $ (IVA INC) ]]</f>
        <v>0</v>
      </c>
      <c r="O695" s="838">
        <v>0</v>
      </c>
      <c r="P695" s="838">
        <v>0</v>
      </c>
      <c r="Q695" s="839">
        <f>+Tabla1[[#This Row],[VENTA TOTAL $ (IVA INC) ]]-Tabla1[[#This Row],[PENDIENTE DE COBRO]]</f>
        <v>0</v>
      </c>
      <c r="R695" s="840">
        <f>+Tabla1[[#This Row],[FECHA FC]]+Tabla1[[#This Row],[PLAZO ENTREGA VALORES]]</f>
        <v>0</v>
      </c>
      <c r="S695" s="840">
        <f>+Tabla1[[#This Row],[FECHA FC]]+Tabla1[[#This Row],[PLAZO PAGO (DIAS)]]</f>
        <v>0</v>
      </c>
      <c r="T695" s="834">
        <f t="shared" ca="1" si="152"/>
        <v>-46181</v>
      </c>
      <c r="U695" s="831"/>
      <c r="V695" s="831"/>
      <c r="W695" s="841">
        <f>+Tabla1[[#This Row],[FECHA VTO VALORES]]+7</f>
        <v>7</v>
      </c>
      <c r="X695" s="830"/>
      <c r="Y695" s="859"/>
      <c r="Z695" s="860">
        <f>Tabla1[[#This Row],[KGS]]/50</f>
        <v>0</v>
      </c>
      <c r="AA69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95" s="844">
        <f>-Tabla1[[#This Row],[COSTO FLETE $ POR BOLSA 5O KG (SIN IVA)]]*1.21-Tabla1[[#This Row],[PRECIO $/ KG A PLAZO EN CLIENTE ( SIN IVA)]]*0.003*1.21*50</f>
        <v>0</v>
      </c>
      <c r="AC695" s="845" t="e">
        <f>SUM(Tabla1[[#This Row],[PRECIO $ BOLSA 50 KG (IVA INC) ]]+Tabla1[[#This Row],[COSTO FLETE $ BOLSA 50 KG (IVA INC)]])</f>
        <v>#VALUE!</v>
      </c>
      <c r="AD695" s="844" t="e">
        <f>-Tabla1[[#This Row],[PRECIO $ BOLSA 50 KG (IVA INC) ]]*(Tabla1[[#This Row],[TASA FINANCIACION MENSUAL]]/365)*Tabla1[[#This Row],[PLAZO ENTREGA VALORES]]</f>
        <v>#VALUE!</v>
      </c>
      <c r="AE695" s="845" t="e">
        <f>SUM(Tabla1[[#This Row],[PRECIO $ BOLSA50 KG  FOB TUCUMAN A PLAZO (IVA INC)]]+Tabla1[[#This Row],[GASTOS FINANCIEROS $ BOLSA 50 KG (IVA INC)]])</f>
        <v>#VALUE!</v>
      </c>
      <c r="AF695" s="828"/>
      <c r="AG695" s="828"/>
      <c r="AH695" s="828"/>
      <c r="AI695" s="828"/>
      <c r="AJ69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95" s="846" t="e">
        <f>SUM(Tabla1[[#This Row],[PRECIO $ BOLSA 50KG  FOB CDO TUC (IVA INC)]]-Tabla1[[#This Row],[PRECIO REF $ BOLSA 50 KG CACTU (IVA INC)]])</f>
        <v>#VALUE!</v>
      </c>
      <c r="AL695" s="847" t="str">
        <f>IFERROR(Tabla1[[#This Row],[PRECIO $ BOLSA 50KG  FOB CDO TUC (IVA INC)]]/Tabla1[[#This Row],[PRECIO REF $ BOLSA 50 KG CACTU (IVA INC)]]-1,"")</f>
        <v/>
      </c>
      <c r="AM695" s="846" t="e">
        <f>+Tabla1[[#This Row],[DIF $ PRECIO NETO INDUSTRIA vs Neto TUCUMAN (IVA INC)]]*Tabla1[[#This Row],[Q Bolsas Equivalentes 50kg]]</f>
        <v>#VALUE!</v>
      </c>
      <c r="AN695" s="846" t="e">
        <f>Tabla1[[#This Row],[PRECIO REF $ BOLSA 50 KG CACTU (IVA INC)]]*Tabla1[[#This Row],[Q Bolsas Equivalentes 50kg]]</f>
        <v>#VALUE!</v>
      </c>
      <c r="AO695" s="846" t="e">
        <f>+Tabla1[[#This Row],[PRECIO $ BOLSA 50KG  FOB CDO TUC (IVA INC)]]*Tabla1[[#This Row],[Q Bolsas Equivalentes 50kg]]</f>
        <v>#VALUE!</v>
      </c>
      <c r="AP695" s="847"/>
      <c r="AQ695" s="846">
        <v>0</v>
      </c>
      <c r="AR695" s="828"/>
      <c r="AS695" s="849"/>
      <c r="AT695" s="923">
        <f>+Tabla1[[#This Row],[VENTA TOTAL $ (IVA INC) ]]-(SUM(Tabla1[[#This Row],[PENDIENTE DE ENTREGA]:[VALORES COBRADOS]]))</f>
        <v>0</v>
      </c>
      <c r="AU695" s="850" t="e">
        <f>VLOOKUP(Tabla1[[#This Row],[FECHA OC]],'TIPO DE CAMBIO'!A:B,2,TRUE)</f>
        <v>#N/A</v>
      </c>
      <c r="AV695" s="850" t="e">
        <f>+Tabla1[[#This Row],[SUBTOTAL]]/Tabla1[[#This Row],[TIPO DE CAMBIO]]</f>
        <v>#N/A</v>
      </c>
      <c r="AW695" s="851"/>
      <c r="AX695" s="850" t="str">
        <f>IFERROR(Tabla1[[#This Row],[VENTA TOTAL USD A PLAZO EN CLIENTE  (SIN IVA)]]*(1+Tabla1[[#This Row],[% IVA ]]),"")</f>
        <v/>
      </c>
      <c r="AY695" s="850" t="e">
        <f>+Tabla1[[#This Row],[VENTA TOTAL USD A PLAZO EN CLIENTE  (SIN IVA)]]/Tabla1[[#This Row],[KGS]]*1000</f>
        <v>#N/A</v>
      </c>
      <c r="AZ695" s="850" t="e">
        <f>-Tabla1[[#This Row],[COSTO FLETE $ POR BOLSA 5O KG (SIN IVA)]]*20/Tabla1[[#This Row],[TIPO DE CAMBIO]]</f>
        <v>#N/A</v>
      </c>
      <c r="BA695" s="850" t="e">
        <f>+Tabla1[[#This Row],[GASTOS FINANCIEROS $ BOLSA 50 KG (IVA INC)]]*20/Tabla1[[#This Row],[TIPO DE CAMBIO]]</f>
        <v>#VALUE!</v>
      </c>
      <c r="BB695" s="850" t="e">
        <f>+Tabla1[[#This Row],[PRECIO POR TN USD EN CLIENTE A PLAZO (SIN IVA)]]+Tabla1[[#This Row],[COSTO USD FLETE /TN (SIN IVA)]]+Tabla1[[#This Row],[COSTO FINANCIERO USD POR BOLSA 50KG (IVA INC)]]</f>
        <v>#N/A</v>
      </c>
      <c r="BC695" s="828"/>
      <c r="BD695" s="944"/>
    </row>
    <row r="696" spans="1:56" ht="15.75" customHeight="1">
      <c r="A696" s="912">
        <v>46327</v>
      </c>
      <c r="B696" s="863"/>
      <c r="C696" s="792"/>
      <c r="D696" s="829">
        <f>+Tabla1[[#This Row],[FECHA Entrega]]</f>
        <v>0</v>
      </c>
      <c r="E696" s="830"/>
      <c r="F696" s="831"/>
      <c r="G696" s="832"/>
      <c r="H696" s="852"/>
      <c r="I696" s="834"/>
      <c r="J696" s="835"/>
      <c r="K696" s="836">
        <f t="shared" si="151"/>
        <v>0</v>
      </c>
      <c r="L69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96" s="837">
        <f t="shared" si="153"/>
        <v>0</v>
      </c>
      <c r="N696" s="838">
        <f>+Tabla1[[#This Row],[VENTA TOTAL $ (IVA INC) ]]</f>
        <v>0</v>
      </c>
      <c r="O696" s="838">
        <v>0</v>
      </c>
      <c r="P696" s="838">
        <v>0</v>
      </c>
      <c r="Q696" s="839">
        <f>+Tabla1[[#This Row],[VENTA TOTAL $ (IVA INC) ]]-Tabla1[[#This Row],[PENDIENTE DE COBRO]]</f>
        <v>0</v>
      </c>
      <c r="R696" s="840">
        <f>+Tabla1[[#This Row],[FECHA FC]]+Tabla1[[#This Row],[PLAZO ENTREGA VALORES]]</f>
        <v>0</v>
      </c>
      <c r="S696" s="840">
        <f>+Tabla1[[#This Row],[FECHA FC]]+Tabla1[[#This Row],[PLAZO PAGO (DIAS)]]</f>
        <v>0</v>
      </c>
      <c r="T696" s="834">
        <f t="shared" ca="1" si="152"/>
        <v>-46181</v>
      </c>
      <c r="U696" s="831"/>
      <c r="V696" s="831"/>
      <c r="W696" s="841">
        <f>+Tabla1[[#This Row],[FECHA VTO VALORES]]+7</f>
        <v>7</v>
      </c>
      <c r="X696" s="830"/>
      <c r="Y696" s="859"/>
      <c r="Z696" s="860">
        <f>Tabla1[[#This Row],[KGS]]/50</f>
        <v>0</v>
      </c>
      <c r="AA69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96" s="844">
        <f>-Tabla1[[#This Row],[COSTO FLETE $ POR BOLSA 5O KG (SIN IVA)]]*1.21-Tabla1[[#This Row],[PRECIO $/ KG A PLAZO EN CLIENTE ( SIN IVA)]]*0.003*1.21*50</f>
        <v>0</v>
      </c>
      <c r="AC696" s="845" t="e">
        <f>SUM(Tabla1[[#This Row],[PRECIO $ BOLSA 50 KG (IVA INC) ]]+Tabla1[[#This Row],[COSTO FLETE $ BOLSA 50 KG (IVA INC)]])</f>
        <v>#VALUE!</v>
      </c>
      <c r="AD696" s="844" t="e">
        <f>-Tabla1[[#This Row],[PRECIO $ BOLSA 50 KG (IVA INC) ]]*(Tabla1[[#This Row],[TASA FINANCIACION MENSUAL]]/365)*Tabla1[[#This Row],[PLAZO ENTREGA VALORES]]</f>
        <v>#VALUE!</v>
      </c>
      <c r="AE696" s="845" t="e">
        <f>SUM(Tabla1[[#This Row],[PRECIO $ BOLSA50 KG  FOB TUCUMAN A PLAZO (IVA INC)]]+Tabla1[[#This Row],[GASTOS FINANCIEROS $ BOLSA 50 KG (IVA INC)]])</f>
        <v>#VALUE!</v>
      </c>
      <c r="AF696" s="828"/>
      <c r="AG696" s="828"/>
      <c r="AH696" s="828"/>
      <c r="AI696" s="828"/>
      <c r="AJ69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96" s="846" t="e">
        <f>SUM(Tabla1[[#This Row],[PRECIO $ BOLSA 50KG  FOB CDO TUC (IVA INC)]]-Tabla1[[#This Row],[PRECIO REF $ BOLSA 50 KG CACTU (IVA INC)]])</f>
        <v>#VALUE!</v>
      </c>
      <c r="AL696" s="847" t="str">
        <f>IFERROR(Tabla1[[#This Row],[PRECIO $ BOLSA 50KG  FOB CDO TUC (IVA INC)]]/Tabla1[[#This Row],[PRECIO REF $ BOLSA 50 KG CACTU (IVA INC)]]-1,"")</f>
        <v/>
      </c>
      <c r="AM696" s="846" t="e">
        <f>+Tabla1[[#This Row],[DIF $ PRECIO NETO INDUSTRIA vs Neto TUCUMAN (IVA INC)]]*Tabla1[[#This Row],[Q Bolsas Equivalentes 50kg]]</f>
        <v>#VALUE!</v>
      </c>
      <c r="AN696" s="846" t="e">
        <f>Tabla1[[#This Row],[PRECIO REF $ BOLSA 50 KG CACTU (IVA INC)]]*Tabla1[[#This Row],[Q Bolsas Equivalentes 50kg]]</f>
        <v>#VALUE!</v>
      </c>
      <c r="AO696" s="846" t="e">
        <f>+Tabla1[[#This Row],[PRECIO $ BOLSA 50KG  FOB CDO TUC (IVA INC)]]*Tabla1[[#This Row],[Q Bolsas Equivalentes 50kg]]</f>
        <v>#VALUE!</v>
      </c>
      <c r="AP696" s="847"/>
      <c r="AQ696" s="846">
        <v>0</v>
      </c>
      <c r="AR696" s="828"/>
      <c r="AS696" s="849"/>
      <c r="AT696" s="923">
        <f>+Tabla1[[#This Row],[VENTA TOTAL $ (IVA INC) ]]-(SUM(Tabla1[[#This Row],[PENDIENTE DE ENTREGA]:[VALORES COBRADOS]]))</f>
        <v>0</v>
      </c>
      <c r="AU696" s="850" t="e">
        <f>VLOOKUP(Tabla1[[#This Row],[FECHA OC]],'TIPO DE CAMBIO'!A:B,2,TRUE)</f>
        <v>#N/A</v>
      </c>
      <c r="AV696" s="850" t="e">
        <f>+Tabla1[[#This Row],[SUBTOTAL]]/Tabla1[[#This Row],[TIPO DE CAMBIO]]</f>
        <v>#N/A</v>
      </c>
      <c r="AW696" s="851"/>
      <c r="AX696" s="850" t="str">
        <f>IFERROR(Tabla1[[#This Row],[VENTA TOTAL USD A PLAZO EN CLIENTE  (SIN IVA)]]*(1+Tabla1[[#This Row],[% IVA ]]),"")</f>
        <v/>
      </c>
      <c r="AY696" s="850" t="e">
        <f>+Tabla1[[#This Row],[VENTA TOTAL USD A PLAZO EN CLIENTE  (SIN IVA)]]/Tabla1[[#This Row],[KGS]]*1000</f>
        <v>#N/A</v>
      </c>
      <c r="AZ696" s="850" t="e">
        <f>-Tabla1[[#This Row],[COSTO FLETE $ POR BOLSA 5O KG (SIN IVA)]]*20/Tabla1[[#This Row],[TIPO DE CAMBIO]]</f>
        <v>#N/A</v>
      </c>
      <c r="BA696" s="850" t="e">
        <f>+Tabla1[[#This Row],[GASTOS FINANCIEROS $ BOLSA 50 KG (IVA INC)]]*20/Tabla1[[#This Row],[TIPO DE CAMBIO]]</f>
        <v>#VALUE!</v>
      </c>
      <c r="BB696" s="850" t="e">
        <f>+Tabla1[[#This Row],[PRECIO POR TN USD EN CLIENTE A PLAZO (SIN IVA)]]+Tabla1[[#This Row],[COSTO USD FLETE /TN (SIN IVA)]]+Tabla1[[#This Row],[COSTO FINANCIERO USD POR BOLSA 50KG (IVA INC)]]</f>
        <v>#N/A</v>
      </c>
      <c r="BC696" s="828"/>
      <c r="BD696" s="944"/>
    </row>
    <row r="697" spans="1:56" ht="15.75" customHeight="1">
      <c r="A697" s="912">
        <v>46327</v>
      </c>
      <c r="B697" s="863"/>
      <c r="C697" s="792"/>
      <c r="D697" s="829">
        <f>+Tabla1[[#This Row],[FECHA Entrega]]</f>
        <v>0</v>
      </c>
      <c r="E697" s="830"/>
      <c r="F697" s="831"/>
      <c r="G697" s="832"/>
      <c r="H697" s="852"/>
      <c r="I697" s="834"/>
      <c r="J697" s="835"/>
      <c r="K697" s="836">
        <f t="shared" si="151"/>
        <v>0</v>
      </c>
      <c r="L69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97" s="837">
        <f t="shared" si="153"/>
        <v>0</v>
      </c>
      <c r="N697" s="838">
        <f>+Tabla1[[#This Row],[VENTA TOTAL $ (IVA INC) ]]</f>
        <v>0</v>
      </c>
      <c r="O697" s="838">
        <v>0</v>
      </c>
      <c r="P697" s="838">
        <v>0</v>
      </c>
      <c r="Q697" s="839">
        <f>+Tabla1[[#This Row],[VENTA TOTAL $ (IVA INC) ]]-Tabla1[[#This Row],[PENDIENTE DE COBRO]]</f>
        <v>0</v>
      </c>
      <c r="R697" s="840">
        <f>+Tabla1[[#This Row],[FECHA FC]]+Tabla1[[#This Row],[PLAZO ENTREGA VALORES]]</f>
        <v>0</v>
      </c>
      <c r="S697" s="840">
        <f>+Tabla1[[#This Row],[FECHA FC]]+Tabla1[[#This Row],[PLAZO PAGO (DIAS)]]</f>
        <v>0</v>
      </c>
      <c r="T697" s="834">
        <f t="shared" ca="1" si="152"/>
        <v>-46181</v>
      </c>
      <c r="U697" s="831"/>
      <c r="V697" s="831"/>
      <c r="W697" s="841">
        <f>+Tabla1[[#This Row],[FECHA VTO VALORES]]+7</f>
        <v>7</v>
      </c>
      <c r="X697" s="830"/>
      <c r="Y697" s="859"/>
      <c r="Z697" s="860">
        <f>Tabla1[[#This Row],[KGS]]/50</f>
        <v>0</v>
      </c>
      <c r="AA69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97" s="844">
        <f>-Tabla1[[#This Row],[COSTO FLETE $ POR BOLSA 5O KG (SIN IVA)]]*1.21-Tabla1[[#This Row],[PRECIO $/ KG A PLAZO EN CLIENTE ( SIN IVA)]]*0.003*1.21*50</f>
        <v>0</v>
      </c>
      <c r="AC697" s="845" t="e">
        <f>SUM(Tabla1[[#This Row],[PRECIO $ BOLSA 50 KG (IVA INC) ]]+Tabla1[[#This Row],[COSTO FLETE $ BOLSA 50 KG (IVA INC)]])</f>
        <v>#VALUE!</v>
      </c>
      <c r="AD697" s="844" t="e">
        <f>-Tabla1[[#This Row],[PRECIO $ BOLSA 50 KG (IVA INC) ]]*(Tabla1[[#This Row],[TASA FINANCIACION MENSUAL]]/365)*Tabla1[[#This Row],[PLAZO ENTREGA VALORES]]</f>
        <v>#VALUE!</v>
      </c>
      <c r="AE697" s="845" t="e">
        <f>SUM(Tabla1[[#This Row],[PRECIO $ BOLSA50 KG  FOB TUCUMAN A PLAZO (IVA INC)]]+Tabla1[[#This Row],[GASTOS FINANCIEROS $ BOLSA 50 KG (IVA INC)]])</f>
        <v>#VALUE!</v>
      </c>
      <c r="AF697" s="828"/>
      <c r="AG697" s="828"/>
      <c r="AH697" s="828"/>
      <c r="AI697" s="828"/>
      <c r="AJ69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97" s="846" t="e">
        <f>SUM(Tabla1[[#This Row],[PRECIO $ BOLSA 50KG  FOB CDO TUC (IVA INC)]]-Tabla1[[#This Row],[PRECIO REF $ BOLSA 50 KG CACTU (IVA INC)]])</f>
        <v>#VALUE!</v>
      </c>
      <c r="AL697" s="847" t="str">
        <f>IFERROR(Tabla1[[#This Row],[PRECIO $ BOLSA 50KG  FOB CDO TUC (IVA INC)]]/Tabla1[[#This Row],[PRECIO REF $ BOLSA 50 KG CACTU (IVA INC)]]-1,"")</f>
        <v/>
      </c>
      <c r="AM697" s="846" t="e">
        <f>+Tabla1[[#This Row],[DIF $ PRECIO NETO INDUSTRIA vs Neto TUCUMAN (IVA INC)]]*Tabla1[[#This Row],[Q Bolsas Equivalentes 50kg]]</f>
        <v>#VALUE!</v>
      </c>
      <c r="AN697" s="846" t="e">
        <f>Tabla1[[#This Row],[PRECIO REF $ BOLSA 50 KG CACTU (IVA INC)]]*Tabla1[[#This Row],[Q Bolsas Equivalentes 50kg]]</f>
        <v>#VALUE!</v>
      </c>
      <c r="AO697" s="846" t="e">
        <f>+Tabla1[[#This Row],[PRECIO $ BOLSA 50KG  FOB CDO TUC (IVA INC)]]*Tabla1[[#This Row],[Q Bolsas Equivalentes 50kg]]</f>
        <v>#VALUE!</v>
      </c>
      <c r="AP697" s="847"/>
      <c r="AQ697" s="846">
        <v>0</v>
      </c>
      <c r="AR697" s="828"/>
      <c r="AS697" s="849"/>
      <c r="AT697" s="923">
        <f>+Tabla1[[#This Row],[VENTA TOTAL $ (IVA INC) ]]-(SUM(Tabla1[[#This Row],[PENDIENTE DE ENTREGA]:[VALORES COBRADOS]]))</f>
        <v>0</v>
      </c>
      <c r="AU697" s="850" t="e">
        <f>VLOOKUP(Tabla1[[#This Row],[FECHA OC]],'TIPO DE CAMBIO'!A:B,2,TRUE)</f>
        <v>#N/A</v>
      </c>
      <c r="AV697" s="850" t="e">
        <f>+Tabla1[[#This Row],[SUBTOTAL]]/Tabla1[[#This Row],[TIPO DE CAMBIO]]</f>
        <v>#N/A</v>
      </c>
      <c r="AW697" s="851"/>
      <c r="AX697" s="850" t="str">
        <f>IFERROR(Tabla1[[#This Row],[VENTA TOTAL USD A PLAZO EN CLIENTE  (SIN IVA)]]*(1+Tabla1[[#This Row],[% IVA ]]),"")</f>
        <v/>
      </c>
      <c r="AY697" s="850" t="e">
        <f>+Tabla1[[#This Row],[VENTA TOTAL USD A PLAZO EN CLIENTE  (SIN IVA)]]/Tabla1[[#This Row],[KGS]]*1000</f>
        <v>#N/A</v>
      </c>
      <c r="AZ697" s="850" t="e">
        <f>-Tabla1[[#This Row],[COSTO FLETE $ POR BOLSA 5O KG (SIN IVA)]]*20/Tabla1[[#This Row],[TIPO DE CAMBIO]]</f>
        <v>#N/A</v>
      </c>
      <c r="BA697" s="850" t="e">
        <f>+Tabla1[[#This Row],[GASTOS FINANCIEROS $ BOLSA 50 KG (IVA INC)]]*20/Tabla1[[#This Row],[TIPO DE CAMBIO]]</f>
        <v>#VALUE!</v>
      </c>
      <c r="BB697" s="850" t="e">
        <f>+Tabla1[[#This Row],[PRECIO POR TN USD EN CLIENTE A PLAZO (SIN IVA)]]+Tabla1[[#This Row],[COSTO USD FLETE /TN (SIN IVA)]]+Tabla1[[#This Row],[COSTO FINANCIERO USD POR BOLSA 50KG (IVA INC)]]</f>
        <v>#N/A</v>
      </c>
      <c r="BC697" s="828"/>
      <c r="BD697" s="944"/>
    </row>
    <row r="698" spans="1:56" ht="15.75" customHeight="1">
      <c r="A698" s="912">
        <v>46327</v>
      </c>
      <c r="B698" s="863"/>
      <c r="C698" s="792"/>
      <c r="D698" s="829">
        <f>+Tabla1[[#This Row],[FECHA Entrega]]</f>
        <v>0</v>
      </c>
      <c r="E698" s="830"/>
      <c r="F698" s="831"/>
      <c r="G698" s="832"/>
      <c r="H698" s="852"/>
      <c r="I698" s="834"/>
      <c r="J698" s="835"/>
      <c r="K698" s="836">
        <f t="shared" si="151"/>
        <v>0</v>
      </c>
      <c r="L69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98" s="837">
        <f t="shared" si="153"/>
        <v>0</v>
      </c>
      <c r="N698" s="838">
        <f>+Tabla1[[#This Row],[VENTA TOTAL $ (IVA INC) ]]</f>
        <v>0</v>
      </c>
      <c r="O698" s="838">
        <v>0</v>
      </c>
      <c r="P698" s="838">
        <v>0</v>
      </c>
      <c r="Q698" s="839">
        <f>+Tabla1[[#This Row],[VENTA TOTAL $ (IVA INC) ]]</f>
        <v>0</v>
      </c>
      <c r="R698" s="840">
        <f>+Tabla1[[#This Row],[FECHA FC]]+Tabla1[[#This Row],[PLAZO ENTREGA VALORES]]</f>
        <v>0</v>
      </c>
      <c r="S698" s="840">
        <f>+Tabla1[[#This Row],[FECHA FC]]+Tabla1[[#This Row],[PLAZO PAGO (DIAS)]]</f>
        <v>0</v>
      </c>
      <c r="T698" s="834">
        <f t="shared" ca="1" si="152"/>
        <v>-46181</v>
      </c>
      <c r="U698" s="831"/>
      <c r="V698" s="831"/>
      <c r="W698" s="841">
        <f>+Tabla1[[#This Row],[FECHA VTO VALORES]]+7</f>
        <v>7</v>
      </c>
      <c r="X698" s="830"/>
      <c r="Y698" s="859"/>
      <c r="Z698" s="860">
        <f>Tabla1[[#This Row],[KGS]]/50</f>
        <v>0</v>
      </c>
      <c r="AA69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98" s="844">
        <f>-Tabla1[[#This Row],[COSTO FLETE $ POR BOLSA 5O KG (SIN IVA)]]*1.21-Tabla1[[#This Row],[PRECIO $/ KG A PLAZO EN CLIENTE ( SIN IVA)]]*0.003*1.21*50</f>
        <v>0</v>
      </c>
      <c r="AC698" s="845" t="e">
        <f>SUM(Tabla1[[#This Row],[PRECIO $ BOLSA 50 KG (IVA INC) ]]+Tabla1[[#This Row],[COSTO FLETE $ BOLSA 50 KG (IVA INC)]])</f>
        <v>#VALUE!</v>
      </c>
      <c r="AD698" s="844" t="e">
        <f>-Tabla1[[#This Row],[PRECIO $ BOLSA 50 KG (IVA INC) ]]*(Tabla1[[#This Row],[TASA FINANCIACION MENSUAL]]/365)*Tabla1[[#This Row],[PLAZO ENTREGA VALORES]]</f>
        <v>#VALUE!</v>
      </c>
      <c r="AE698" s="845" t="e">
        <f>SUM(Tabla1[[#This Row],[PRECIO $ BOLSA50 KG  FOB TUCUMAN A PLAZO (IVA INC)]]+Tabla1[[#This Row],[GASTOS FINANCIEROS $ BOLSA 50 KG (IVA INC)]])</f>
        <v>#VALUE!</v>
      </c>
      <c r="AF698" s="828"/>
      <c r="AG698" s="828"/>
      <c r="AH698" s="828"/>
      <c r="AI698" s="828"/>
      <c r="AJ69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98" s="846" t="e">
        <f>SUM(Tabla1[[#This Row],[PRECIO $ BOLSA 50KG  FOB CDO TUC (IVA INC)]]-Tabla1[[#This Row],[PRECIO REF $ BOLSA 50 KG CACTU (IVA INC)]])</f>
        <v>#VALUE!</v>
      </c>
      <c r="AL698" s="847" t="str">
        <f>IFERROR(Tabla1[[#This Row],[PRECIO $ BOLSA 50KG  FOB CDO TUC (IVA INC)]]/Tabla1[[#This Row],[PRECIO REF $ BOLSA 50 KG CACTU (IVA INC)]]-1,"")</f>
        <v/>
      </c>
      <c r="AM698" s="846" t="e">
        <f>+Tabla1[[#This Row],[DIF $ PRECIO NETO INDUSTRIA vs Neto TUCUMAN (IVA INC)]]*Tabla1[[#This Row],[Q Bolsas Equivalentes 50kg]]</f>
        <v>#VALUE!</v>
      </c>
      <c r="AN698" s="846" t="e">
        <f>Tabla1[[#This Row],[PRECIO REF $ BOLSA 50 KG CACTU (IVA INC)]]*Tabla1[[#This Row],[Q Bolsas Equivalentes 50kg]]</f>
        <v>#VALUE!</v>
      </c>
      <c r="AO698" s="846" t="e">
        <f>+Tabla1[[#This Row],[PRECIO $ BOLSA 50KG  FOB CDO TUC (IVA INC)]]*Tabla1[[#This Row],[Q Bolsas Equivalentes 50kg]]</f>
        <v>#VALUE!</v>
      </c>
      <c r="AP698" s="847"/>
      <c r="AQ698" s="846">
        <v>0</v>
      </c>
      <c r="AR698" s="828"/>
      <c r="AS698" s="849"/>
      <c r="AT698" s="923">
        <f>+Tabla1[[#This Row],[VENTA TOTAL $ (IVA INC) ]]-(SUM(Tabla1[[#This Row],[PENDIENTE DE ENTREGA]:[VALORES COBRADOS]]))</f>
        <v>0</v>
      </c>
      <c r="AU698" s="850" t="e">
        <f>VLOOKUP(Tabla1[[#This Row],[FECHA OC]],'TIPO DE CAMBIO'!A:B,2,TRUE)</f>
        <v>#N/A</v>
      </c>
      <c r="AV698" s="850" t="e">
        <f>+Tabla1[[#This Row],[SUBTOTAL]]/Tabla1[[#This Row],[TIPO DE CAMBIO]]</f>
        <v>#N/A</v>
      </c>
      <c r="AW698" s="851"/>
      <c r="AX698" s="850" t="str">
        <f>IFERROR(Tabla1[[#This Row],[VENTA TOTAL USD A PLAZO EN CLIENTE  (SIN IVA)]]*(1+Tabla1[[#This Row],[% IVA ]]),"")</f>
        <v/>
      </c>
      <c r="AY698" s="850" t="e">
        <f>+Tabla1[[#This Row],[VENTA TOTAL USD A PLAZO EN CLIENTE  (SIN IVA)]]/Tabla1[[#This Row],[KGS]]*1000</f>
        <v>#N/A</v>
      </c>
      <c r="AZ698" s="850" t="e">
        <f>-Tabla1[[#This Row],[COSTO FLETE $ POR BOLSA 5O KG (SIN IVA)]]*20/Tabla1[[#This Row],[TIPO DE CAMBIO]]</f>
        <v>#N/A</v>
      </c>
      <c r="BA698" s="850" t="e">
        <f>+Tabla1[[#This Row],[GASTOS FINANCIEROS $ BOLSA 50 KG (IVA INC)]]*20/Tabla1[[#This Row],[TIPO DE CAMBIO]]</f>
        <v>#VALUE!</v>
      </c>
      <c r="BB698" s="850" t="e">
        <f>+Tabla1[[#This Row],[PRECIO POR TN USD EN CLIENTE A PLAZO (SIN IVA)]]+Tabla1[[#This Row],[COSTO USD FLETE /TN (SIN IVA)]]+Tabla1[[#This Row],[COSTO FINANCIERO USD POR BOLSA 50KG (IVA INC)]]</f>
        <v>#N/A</v>
      </c>
      <c r="BC698" s="828"/>
      <c r="BD698" s="944"/>
    </row>
    <row r="699" spans="1:56" ht="15.75" customHeight="1">
      <c r="A699" s="912">
        <v>46327</v>
      </c>
      <c r="B699" s="863"/>
      <c r="C699" s="792"/>
      <c r="D699" s="829">
        <f>+Tabla1[[#This Row],[FECHA Entrega]]</f>
        <v>0</v>
      </c>
      <c r="E699" s="830"/>
      <c r="F699" s="831"/>
      <c r="G699" s="832"/>
      <c r="H699" s="852"/>
      <c r="I699" s="834"/>
      <c r="J699" s="835"/>
      <c r="K699" s="836">
        <f t="shared" si="151"/>
        <v>0</v>
      </c>
      <c r="L69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699" s="837">
        <f t="shared" si="153"/>
        <v>0</v>
      </c>
      <c r="N699" s="838">
        <f>+Tabla1[[#This Row],[VENTA TOTAL $ (IVA INC) ]]</f>
        <v>0</v>
      </c>
      <c r="O699" s="838">
        <v>0</v>
      </c>
      <c r="P699" s="838">
        <v>0</v>
      </c>
      <c r="Q699" s="839">
        <f>+Tabla1[[#This Row],[VENTA TOTAL $ (IVA INC) ]]-Tabla1[[#This Row],[PENDIENTE DE COBRO]]</f>
        <v>0</v>
      </c>
      <c r="R699" s="840">
        <f>+Tabla1[[#This Row],[FECHA FC]]+Tabla1[[#This Row],[PLAZO ENTREGA VALORES]]</f>
        <v>0</v>
      </c>
      <c r="S699" s="840">
        <f>+Tabla1[[#This Row],[FECHA FC]]+Tabla1[[#This Row],[PLAZO PAGO (DIAS)]]</f>
        <v>0</v>
      </c>
      <c r="T699" s="834">
        <f t="shared" ca="1" si="152"/>
        <v>-46181</v>
      </c>
      <c r="U699" s="831"/>
      <c r="V699" s="831"/>
      <c r="W699" s="841">
        <f>+Tabla1[[#This Row],[FECHA VTO VALORES]]+7</f>
        <v>7</v>
      </c>
      <c r="X699" s="830"/>
      <c r="Y699" s="859"/>
      <c r="Z699" s="860">
        <f>Tabla1[[#This Row],[KGS]]/50</f>
        <v>0</v>
      </c>
      <c r="AA69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699" s="844">
        <f>-Tabla1[[#This Row],[COSTO FLETE $ POR BOLSA 5O KG (SIN IVA)]]*1.21-Tabla1[[#This Row],[PRECIO $/ KG A PLAZO EN CLIENTE ( SIN IVA)]]*0.003*1.21*50</f>
        <v>0</v>
      </c>
      <c r="AC699" s="845" t="e">
        <f>SUM(Tabla1[[#This Row],[PRECIO $ BOLSA 50 KG (IVA INC) ]]+Tabla1[[#This Row],[COSTO FLETE $ BOLSA 50 KG (IVA INC)]])</f>
        <v>#VALUE!</v>
      </c>
      <c r="AD699" s="844" t="e">
        <f>-Tabla1[[#This Row],[PRECIO $ BOLSA 50 KG (IVA INC) ]]*(Tabla1[[#This Row],[TASA FINANCIACION MENSUAL]]/365)*Tabla1[[#This Row],[PLAZO ENTREGA VALORES]]</f>
        <v>#VALUE!</v>
      </c>
      <c r="AE699" s="845" t="e">
        <f>SUM(Tabla1[[#This Row],[PRECIO $ BOLSA50 KG  FOB TUCUMAN A PLAZO (IVA INC)]]+Tabla1[[#This Row],[GASTOS FINANCIEROS $ BOLSA 50 KG (IVA INC)]])</f>
        <v>#VALUE!</v>
      </c>
      <c r="AF699" s="828"/>
      <c r="AG699" s="828"/>
      <c r="AH699" s="828"/>
      <c r="AI699" s="828"/>
      <c r="AJ69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699" s="846" t="e">
        <f>SUM(Tabla1[[#This Row],[PRECIO $ BOLSA 50KG  FOB CDO TUC (IVA INC)]]-Tabla1[[#This Row],[PRECIO REF $ BOLSA 50 KG CACTU (IVA INC)]])</f>
        <v>#VALUE!</v>
      </c>
      <c r="AL699" s="847" t="str">
        <f>IFERROR(Tabla1[[#This Row],[PRECIO $ BOLSA 50KG  FOB CDO TUC (IVA INC)]]/Tabla1[[#This Row],[PRECIO REF $ BOLSA 50 KG CACTU (IVA INC)]]-1,"")</f>
        <v/>
      </c>
      <c r="AM699" s="846" t="e">
        <f>+Tabla1[[#This Row],[DIF $ PRECIO NETO INDUSTRIA vs Neto TUCUMAN (IVA INC)]]*Tabla1[[#This Row],[Q Bolsas Equivalentes 50kg]]</f>
        <v>#VALUE!</v>
      </c>
      <c r="AN699" s="846" t="e">
        <f>Tabla1[[#This Row],[PRECIO REF $ BOLSA 50 KG CACTU (IVA INC)]]*Tabla1[[#This Row],[Q Bolsas Equivalentes 50kg]]</f>
        <v>#VALUE!</v>
      </c>
      <c r="AO699" s="846" t="e">
        <f>+Tabla1[[#This Row],[PRECIO $ BOLSA 50KG  FOB CDO TUC (IVA INC)]]*Tabla1[[#This Row],[Q Bolsas Equivalentes 50kg]]</f>
        <v>#VALUE!</v>
      </c>
      <c r="AP699" s="847"/>
      <c r="AQ699" s="846">
        <v>0</v>
      </c>
      <c r="AR699" s="828"/>
      <c r="AS699" s="849"/>
      <c r="AT699" s="923">
        <f>+Tabla1[[#This Row],[VENTA TOTAL $ (IVA INC) ]]-(SUM(Tabla1[[#This Row],[PENDIENTE DE ENTREGA]:[VALORES COBRADOS]]))</f>
        <v>0</v>
      </c>
      <c r="AU699" s="850" t="e">
        <f>VLOOKUP(Tabla1[[#This Row],[FECHA OC]],'TIPO DE CAMBIO'!A:B,2,TRUE)</f>
        <v>#N/A</v>
      </c>
      <c r="AV699" s="850" t="e">
        <f>+Tabla1[[#This Row],[SUBTOTAL]]/Tabla1[[#This Row],[TIPO DE CAMBIO]]</f>
        <v>#N/A</v>
      </c>
      <c r="AW699" s="851"/>
      <c r="AX699" s="850" t="str">
        <f>IFERROR(Tabla1[[#This Row],[VENTA TOTAL USD A PLAZO EN CLIENTE  (SIN IVA)]]*(1+Tabla1[[#This Row],[% IVA ]]),"")</f>
        <v/>
      </c>
      <c r="AY699" s="850" t="e">
        <f>+Tabla1[[#This Row],[VENTA TOTAL USD A PLAZO EN CLIENTE  (SIN IVA)]]/Tabla1[[#This Row],[KGS]]*1000</f>
        <v>#N/A</v>
      </c>
      <c r="AZ699" s="850" t="e">
        <f>-Tabla1[[#This Row],[COSTO FLETE $ POR BOLSA 5O KG (SIN IVA)]]*20/Tabla1[[#This Row],[TIPO DE CAMBIO]]</f>
        <v>#N/A</v>
      </c>
      <c r="BA699" s="850" t="e">
        <f>+Tabla1[[#This Row],[GASTOS FINANCIEROS $ BOLSA 50 KG (IVA INC)]]*20/Tabla1[[#This Row],[TIPO DE CAMBIO]]</f>
        <v>#VALUE!</v>
      </c>
      <c r="BB699" s="850" t="e">
        <f>+Tabla1[[#This Row],[PRECIO POR TN USD EN CLIENTE A PLAZO (SIN IVA)]]+Tabla1[[#This Row],[COSTO USD FLETE /TN (SIN IVA)]]+Tabla1[[#This Row],[COSTO FINANCIERO USD POR BOLSA 50KG (IVA INC)]]</f>
        <v>#N/A</v>
      </c>
      <c r="BC699" s="848"/>
      <c r="BD699" s="944"/>
    </row>
    <row r="700" spans="1:56" ht="15.75" customHeight="1">
      <c r="A700" s="912">
        <v>46327</v>
      </c>
      <c r="B700" s="863"/>
      <c r="C700" s="792"/>
      <c r="D700" s="829">
        <f>+Tabla1[[#This Row],[FECHA Entrega]]</f>
        <v>0</v>
      </c>
      <c r="E700" s="830"/>
      <c r="F700" s="831"/>
      <c r="G700" s="832"/>
      <c r="H700" s="852"/>
      <c r="I700" s="834"/>
      <c r="J700" s="835"/>
      <c r="K700" s="836">
        <f t="shared" si="151"/>
        <v>0</v>
      </c>
      <c r="L70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00" s="837">
        <f t="shared" si="153"/>
        <v>0</v>
      </c>
      <c r="N700" s="838">
        <f>+Tabla1[[#This Row],[VENTA TOTAL $ (IVA INC) ]]</f>
        <v>0</v>
      </c>
      <c r="O700" s="838">
        <v>0</v>
      </c>
      <c r="P700" s="838">
        <v>0</v>
      </c>
      <c r="Q700" s="839">
        <f>+Tabla1[[#This Row],[VENTA TOTAL $ (IVA INC) ]]-Tabla1[[#This Row],[PENDIENTE DE COBRO]]</f>
        <v>0</v>
      </c>
      <c r="R700" s="840">
        <f>+Tabla1[[#This Row],[FECHA FC]]+Tabla1[[#This Row],[PLAZO ENTREGA VALORES]]</f>
        <v>0</v>
      </c>
      <c r="S700" s="840">
        <f>+Tabla1[[#This Row],[FECHA FC]]+Tabla1[[#This Row],[PLAZO PAGO (DIAS)]]</f>
        <v>0</v>
      </c>
      <c r="T700" s="834">
        <f t="shared" ca="1" si="152"/>
        <v>-46181</v>
      </c>
      <c r="U700" s="831"/>
      <c r="V700" s="831"/>
      <c r="W700" s="841">
        <f>+Tabla1[[#This Row],[FECHA VTO VALORES]]+7</f>
        <v>7</v>
      </c>
      <c r="X700" s="830"/>
      <c r="Y700" s="859"/>
      <c r="Z700" s="860">
        <f>Tabla1[[#This Row],[KGS]]/50</f>
        <v>0</v>
      </c>
      <c r="AA70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00" s="844">
        <f>-Tabla1[[#This Row],[COSTO FLETE $ POR BOLSA 5O KG (SIN IVA)]]*1.21-Tabla1[[#This Row],[PRECIO $/ KG A PLAZO EN CLIENTE ( SIN IVA)]]*0.003*1.21*50</f>
        <v>0</v>
      </c>
      <c r="AC700" s="845" t="e">
        <f>SUM(Tabla1[[#This Row],[PRECIO $ BOLSA 50 KG (IVA INC) ]]+Tabla1[[#This Row],[COSTO FLETE $ BOLSA 50 KG (IVA INC)]])</f>
        <v>#VALUE!</v>
      </c>
      <c r="AD700" s="844" t="e">
        <f>-Tabla1[[#This Row],[PRECIO $ BOLSA 50 KG (IVA INC) ]]*(Tabla1[[#This Row],[TASA FINANCIACION MENSUAL]]/365)*Tabla1[[#This Row],[PLAZO ENTREGA VALORES]]</f>
        <v>#VALUE!</v>
      </c>
      <c r="AE700" s="845" t="e">
        <f>SUM(Tabla1[[#This Row],[PRECIO $ BOLSA50 KG  FOB TUCUMAN A PLAZO (IVA INC)]]+Tabla1[[#This Row],[GASTOS FINANCIEROS $ BOLSA 50 KG (IVA INC)]])</f>
        <v>#VALUE!</v>
      </c>
      <c r="AF700" s="828"/>
      <c r="AG700" s="828"/>
      <c r="AH700" s="828"/>
      <c r="AI700" s="828"/>
      <c r="AJ70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00" s="846" t="e">
        <f>SUM(Tabla1[[#This Row],[PRECIO $ BOLSA 50KG  FOB CDO TUC (IVA INC)]]-Tabla1[[#This Row],[PRECIO REF $ BOLSA 50 KG CACTU (IVA INC)]])</f>
        <v>#VALUE!</v>
      </c>
      <c r="AL700" s="847" t="str">
        <f>IFERROR(Tabla1[[#This Row],[PRECIO $ BOLSA 50KG  FOB CDO TUC (IVA INC)]]/Tabla1[[#This Row],[PRECIO REF $ BOLSA 50 KG CACTU (IVA INC)]]-1,"")</f>
        <v/>
      </c>
      <c r="AM700" s="846" t="e">
        <f>+Tabla1[[#This Row],[DIF $ PRECIO NETO INDUSTRIA vs Neto TUCUMAN (IVA INC)]]*Tabla1[[#This Row],[Q Bolsas Equivalentes 50kg]]</f>
        <v>#VALUE!</v>
      </c>
      <c r="AN700" s="846" t="e">
        <f>Tabla1[[#This Row],[PRECIO REF $ BOLSA 50 KG CACTU (IVA INC)]]*Tabla1[[#This Row],[Q Bolsas Equivalentes 50kg]]</f>
        <v>#VALUE!</v>
      </c>
      <c r="AO700" s="846" t="e">
        <f>+Tabla1[[#This Row],[PRECIO $ BOLSA 50KG  FOB CDO TUC (IVA INC)]]*Tabla1[[#This Row],[Q Bolsas Equivalentes 50kg]]</f>
        <v>#VALUE!</v>
      </c>
      <c r="AP700" s="847"/>
      <c r="AQ700" s="846">
        <v>0</v>
      </c>
      <c r="AR700" s="828"/>
      <c r="AS700" s="849"/>
      <c r="AT700" s="923">
        <f>+Tabla1[[#This Row],[VENTA TOTAL $ (IVA INC) ]]-(SUM(Tabla1[[#This Row],[PENDIENTE DE ENTREGA]:[VALORES COBRADOS]]))</f>
        <v>0</v>
      </c>
      <c r="AU700" s="850" t="e">
        <f>VLOOKUP(Tabla1[[#This Row],[FECHA OC]],'TIPO DE CAMBIO'!A:B,2,TRUE)</f>
        <v>#N/A</v>
      </c>
      <c r="AV700" s="850" t="e">
        <f>+Tabla1[[#This Row],[SUBTOTAL]]/Tabla1[[#This Row],[TIPO DE CAMBIO]]</f>
        <v>#N/A</v>
      </c>
      <c r="AW700" s="851"/>
      <c r="AX700" s="850" t="str">
        <f>IFERROR(Tabla1[[#This Row],[VENTA TOTAL USD A PLAZO EN CLIENTE  (SIN IVA)]]*(1+Tabla1[[#This Row],[% IVA ]]),"")</f>
        <v/>
      </c>
      <c r="AY700" s="850" t="e">
        <f>+Tabla1[[#This Row],[VENTA TOTAL USD A PLAZO EN CLIENTE  (SIN IVA)]]/Tabla1[[#This Row],[KGS]]*1000</f>
        <v>#N/A</v>
      </c>
      <c r="AZ700" s="850" t="e">
        <f>-Tabla1[[#This Row],[COSTO FLETE $ POR BOLSA 5O KG (SIN IVA)]]*20/Tabla1[[#This Row],[TIPO DE CAMBIO]]</f>
        <v>#N/A</v>
      </c>
      <c r="BA700" s="850" t="e">
        <f>+Tabla1[[#This Row],[GASTOS FINANCIEROS $ BOLSA 50 KG (IVA INC)]]*20/Tabla1[[#This Row],[TIPO DE CAMBIO]]</f>
        <v>#VALUE!</v>
      </c>
      <c r="BB700" s="850" t="e">
        <f>+Tabla1[[#This Row],[PRECIO POR TN USD EN CLIENTE A PLAZO (SIN IVA)]]+Tabla1[[#This Row],[COSTO USD FLETE /TN (SIN IVA)]]+Tabla1[[#This Row],[COSTO FINANCIERO USD POR BOLSA 50KG (IVA INC)]]</f>
        <v>#N/A</v>
      </c>
      <c r="BC700" s="848"/>
      <c r="BD700" s="944"/>
    </row>
    <row r="701" spans="1:56" ht="15.75" customHeight="1">
      <c r="A701" s="912">
        <v>46327</v>
      </c>
      <c r="B701" s="863"/>
      <c r="C701" s="792"/>
      <c r="D701" s="829">
        <f>+Tabla1[[#This Row],[FECHA Entrega]]</f>
        <v>0</v>
      </c>
      <c r="E701" s="830"/>
      <c r="F701" s="831"/>
      <c r="G701" s="832"/>
      <c r="H701" s="852"/>
      <c r="I701" s="834"/>
      <c r="J701" s="835"/>
      <c r="K701" s="836">
        <f t="shared" si="151"/>
        <v>0</v>
      </c>
      <c r="L70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01" s="837">
        <f t="shared" si="153"/>
        <v>0</v>
      </c>
      <c r="N701" s="838">
        <f>+Tabla1[[#This Row],[VENTA TOTAL $ (IVA INC) ]]</f>
        <v>0</v>
      </c>
      <c r="O701" s="838">
        <v>0</v>
      </c>
      <c r="P701" s="838">
        <v>0</v>
      </c>
      <c r="Q701" s="839">
        <f>+Tabla1[[#This Row],[VENTA TOTAL $ (IVA INC) ]]-Tabla1[[#This Row],[PENDIENTE DE COBRO]]</f>
        <v>0</v>
      </c>
      <c r="R701" s="840">
        <f>+Tabla1[[#This Row],[FECHA FC]]+Tabla1[[#This Row],[PLAZO ENTREGA VALORES]]</f>
        <v>0</v>
      </c>
      <c r="S701" s="840">
        <f>+Tabla1[[#This Row],[FECHA FC]]+Tabla1[[#This Row],[PLAZO PAGO (DIAS)]]</f>
        <v>0</v>
      </c>
      <c r="T701" s="834">
        <f t="shared" ca="1" si="152"/>
        <v>-46181</v>
      </c>
      <c r="U701" s="831"/>
      <c r="V701" s="831"/>
      <c r="W701" s="841">
        <f>+Tabla1[[#This Row],[FECHA VTO VALORES]]+7</f>
        <v>7</v>
      </c>
      <c r="X701" s="830"/>
      <c r="Y701" s="859"/>
      <c r="Z701" s="860">
        <f>Tabla1[[#This Row],[KGS]]/50</f>
        <v>0</v>
      </c>
      <c r="AA70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01" s="844">
        <f>-Tabla1[[#This Row],[COSTO FLETE $ POR BOLSA 5O KG (SIN IVA)]]*1.21-Tabla1[[#This Row],[PRECIO $/ KG A PLAZO EN CLIENTE ( SIN IVA)]]*0.003*1.21*50</f>
        <v>0</v>
      </c>
      <c r="AC701" s="845" t="e">
        <f>SUM(Tabla1[[#This Row],[PRECIO $ BOLSA 50 KG (IVA INC) ]]+Tabla1[[#This Row],[COSTO FLETE $ BOLSA 50 KG (IVA INC)]])</f>
        <v>#VALUE!</v>
      </c>
      <c r="AD701" s="844" t="e">
        <f>-Tabla1[[#This Row],[PRECIO $ BOLSA 50 KG (IVA INC) ]]*(Tabla1[[#This Row],[TASA FINANCIACION MENSUAL]]/365)*Tabla1[[#This Row],[PLAZO ENTREGA VALORES]]</f>
        <v>#VALUE!</v>
      </c>
      <c r="AE701" s="845" t="e">
        <f>SUM(Tabla1[[#This Row],[PRECIO $ BOLSA50 KG  FOB TUCUMAN A PLAZO (IVA INC)]]+Tabla1[[#This Row],[GASTOS FINANCIEROS $ BOLSA 50 KG (IVA INC)]])</f>
        <v>#VALUE!</v>
      </c>
      <c r="AF701" s="828"/>
      <c r="AG701" s="828"/>
      <c r="AH701" s="828"/>
      <c r="AI701" s="828"/>
      <c r="AJ70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01" s="846" t="e">
        <f>SUM(Tabla1[[#This Row],[PRECIO $ BOLSA 50KG  FOB CDO TUC (IVA INC)]]-Tabla1[[#This Row],[PRECIO REF $ BOLSA 50 KG CACTU (IVA INC)]])</f>
        <v>#VALUE!</v>
      </c>
      <c r="AL701" s="847" t="str">
        <f>IFERROR(Tabla1[[#This Row],[PRECIO $ BOLSA 50KG  FOB CDO TUC (IVA INC)]]/Tabla1[[#This Row],[PRECIO REF $ BOLSA 50 KG CACTU (IVA INC)]]-1,"")</f>
        <v/>
      </c>
      <c r="AM701" s="846" t="e">
        <f>+Tabla1[[#This Row],[DIF $ PRECIO NETO INDUSTRIA vs Neto TUCUMAN (IVA INC)]]*Tabla1[[#This Row],[Q Bolsas Equivalentes 50kg]]</f>
        <v>#VALUE!</v>
      </c>
      <c r="AN701" s="846" t="e">
        <f>Tabla1[[#This Row],[PRECIO REF $ BOLSA 50 KG CACTU (IVA INC)]]*Tabla1[[#This Row],[Q Bolsas Equivalentes 50kg]]</f>
        <v>#VALUE!</v>
      </c>
      <c r="AO701" s="846" t="e">
        <f>+Tabla1[[#This Row],[PRECIO $ BOLSA 50KG  FOB CDO TUC (IVA INC)]]*Tabla1[[#This Row],[Q Bolsas Equivalentes 50kg]]</f>
        <v>#VALUE!</v>
      </c>
      <c r="AP701" s="847"/>
      <c r="AQ701" s="846">
        <v>0</v>
      </c>
      <c r="AR701" s="828"/>
      <c r="AS701" s="849"/>
      <c r="AT701" s="923">
        <f>+Tabla1[[#This Row],[VENTA TOTAL $ (IVA INC) ]]-(SUM(Tabla1[[#This Row],[PENDIENTE DE ENTREGA]:[VALORES COBRADOS]]))</f>
        <v>0</v>
      </c>
      <c r="AU701" s="850" t="e">
        <f>VLOOKUP(Tabla1[[#This Row],[FECHA OC]],'TIPO DE CAMBIO'!A:B,2,TRUE)</f>
        <v>#N/A</v>
      </c>
      <c r="AV701" s="850" t="e">
        <f>+Tabla1[[#This Row],[SUBTOTAL]]/Tabla1[[#This Row],[TIPO DE CAMBIO]]</f>
        <v>#N/A</v>
      </c>
      <c r="AW701" s="851"/>
      <c r="AX701" s="850" t="str">
        <f>IFERROR(Tabla1[[#This Row],[VENTA TOTAL USD A PLAZO EN CLIENTE  (SIN IVA)]]*(1+Tabla1[[#This Row],[% IVA ]]),"")</f>
        <v/>
      </c>
      <c r="AY701" s="850" t="e">
        <f>+Tabla1[[#This Row],[VENTA TOTAL USD A PLAZO EN CLIENTE  (SIN IVA)]]/Tabla1[[#This Row],[KGS]]*1000</f>
        <v>#N/A</v>
      </c>
      <c r="AZ701" s="850" t="e">
        <f>-Tabla1[[#This Row],[COSTO FLETE $ POR BOLSA 5O KG (SIN IVA)]]*20/Tabla1[[#This Row],[TIPO DE CAMBIO]]</f>
        <v>#N/A</v>
      </c>
      <c r="BA701" s="850" t="e">
        <f>+Tabla1[[#This Row],[GASTOS FINANCIEROS $ BOLSA 50 KG (IVA INC)]]*20/Tabla1[[#This Row],[TIPO DE CAMBIO]]</f>
        <v>#VALUE!</v>
      </c>
      <c r="BB701" s="850" t="e">
        <f>+Tabla1[[#This Row],[PRECIO POR TN USD EN CLIENTE A PLAZO (SIN IVA)]]+Tabla1[[#This Row],[COSTO USD FLETE /TN (SIN IVA)]]+Tabla1[[#This Row],[COSTO FINANCIERO USD POR BOLSA 50KG (IVA INC)]]</f>
        <v>#N/A</v>
      </c>
      <c r="BC701" s="848"/>
      <c r="BD701" s="944"/>
    </row>
    <row r="702" spans="1:56" ht="15.75" customHeight="1">
      <c r="A702" s="912">
        <v>46327</v>
      </c>
      <c r="B702" s="863"/>
      <c r="C702" s="792"/>
      <c r="D702" s="829">
        <f>+Tabla1[[#This Row],[FECHA Entrega]]</f>
        <v>0</v>
      </c>
      <c r="E702" s="830"/>
      <c r="F702" s="831"/>
      <c r="G702" s="832"/>
      <c r="H702" s="852"/>
      <c r="I702" s="834"/>
      <c r="J702" s="835"/>
      <c r="K702" s="836">
        <f t="shared" si="151"/>
        <v>0</v>
      </c>
      <c r="L70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02" s="837">
        <f t="shared" si="153"/>
        <v>0</v>
      </c>
      <c r="N702" s="838">
        <f>+Tabla1[[#This Row],[VENTA TOTAL $ (IVA INC) ]]</f>
        <v>0</v>
      </c>
      <c r="O702" s="838">
        <v>0</v>
      </c>
      <c r="P702" s="838">
        <v>0</v>
      </c>
      <c r="Q702" s="839">
        <f>+Tabla1[[#This Row],[VENTA TOTAL $ (IVA INC) ]]-Tabla1[[#This Row],[PENDIENTE DE COBRO]]</f>
        <v>0</v>
      </c>
      <c r="R702" s="840">
        <f>+Tabla1[[#This Row],[FECHA FC]]+Tabla1[[#This Row],[PLAZO ENTREGA VALORES]]</f>
        <v>0</v>
      </c>
      <c r="S702" s="840">
        <f>+Tabla1[[#This Row],[FECHA FC]]+Tabla1[[#This Row],[PLAZO PAGO (DIAS)]]</f>
        <v>0</v>
      </c>
      <c r="T702" s="834">
        <f t="shared" ca="1" si="152"/>
        <v>-46181</v>
      </c>
      <c r="U702" s="831"/>
      <c r="V702" s="831"/>
      <c r="W702" s="841">
        <f>+Tabla1[[#This Row],[FECHA VTO VALORES]]+7</f>
        <v>7</v>
      </c>
      <c r="X702" s="830"/>
      <c r="Y702" s="859"/>
      <c r="Z702" s="860">
        <f>Tabla1[[#This Row],[KGS]]/50</f>
        <v>0</v>
      </c>
      <c r="AA70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02" s="844">
        <f>-Tabla1[[#This Row],[COSTO FLETE $ POR BOLSA 5O KG (SIN IVA)]]*1.21-Tabla1[[#This Row],[PRECIO $/ KG A PLAZO EN CLIENTE ( SIN IVA)]]*0.003*1.21*50</f>
        <v>0</v>
      </c>
      <c r="AC702" s="845" t="e">
        <f>SUM(Tabla1[[#This Row],[PRECIO $ BOLSA 50 KG (IVA INC) ]]+Tabla1[[#This Row],[COSTO FLETE $ BOLSA 50 KG (IVA INC)]])</f>
        <v>#VALUE!</v>
      </c>
      <c r="AD702" s="844" t="e">
        <f>-Tabla1[[#This Row],[PRECIO $ BOLSA 50 KG (IVA INC) ]]*(Tabla1[[#This Row],[TASA FINANCIACION MENSUAL]]/365)*Tabla1[[#This Row],[PLAZO ENTREGA VALORES]]</f>
        <v>#VALUE!</v>
      </c>
      <c r="AE702" s="845" t="e">
        <f>SUM(Tabla1[[#This Row],[PRECIO $ BOLSA50 KG  FOB TUCUMAN A PLAZO (IVA INC)]]+Tabla1[[#This Row],[GASTOS FINANCIEROS $ BOLSA 50 KG (IVA INC)]])</f>
        <v>#VALUE!</v>
      </c>
      <c r="AF702" s="828"/>
      <c r="AG702" s="828"/>
      <c r="AH702" s="828"/>
      <c r="AI702" s="828"/>
      <c r="AJ70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02" s="846" t="e">
        <f>SUM(Tabla1[[#This Row],[PRECIO $ BOLSA 50KG  FOB CDO TUC (IVA INC)]]-Tabla1[[#This Row],[PRECIO REF $ BOLSA 50 KG CACTU (IVA INC)]])</f>
        <v>#VALUE!</v>
      </c>
      <c r="AL702" s="847" t="str">
        <f>IFERROR(Tabla1[[#This Row],[PRECIO $ BOLSA 50KG  FOB CDO TUC (IVA INC)]]/Tabla1[[#This Row],[PRECIO REF $ BOLSA 50 KG CACTU (IVA INC)]]-1,"")</f>
        <v/>
      </c>
      <c r="AM702" s="846" t="e">
        <f>+Tabla1[[#This Row],[DIF $ PRECIO NETO INDUSTRIA vs Neto TUCUMAN (IVA INC)]]*Tabla1[[#This Row],[Q Bolsas Equivalentes 50kg]]</f>
        <v>#VALUE!</v>
      </c>
      <c r="AN702" s="846" t="e">
        <f>Tabla1[[#This Row],[PRECIO REF $ BOLSA 50 KG CACTU (IVA INC)]]*Tabla1[[#This Row],[Q Bolsas Equivalentes 50kg]]</f>
        <v>#VALUE!</v>
      </c>
      <c r="AO702" s="846" t="e">
        <f>+Tabla1[[#This Row],[PRECIO $ BOLSA 50KG  FOB CDO TUC (IVA INC)]]*Tabla1[[#This Row],[Q Bolsas Equivalentes 50kg]]</f>
        <v>#VALUE!</v>
      </c>
      <c r="AP702" s="847"/>
      <c r="AQ702" s="846">
        <v>0</v>
      </c>
      <c r="AR702" s="828"/>
      <c r="AS702" s="849"/>
      <c r="AT702" s="923">
        <f>+Tabla1[[#This Row],[VENTA TOTAL $ (IVA INC) ]]-(SUM(Tabla1[[#This Row],[PENDIENTE DE ENTREGA]:[VALORES COBRADOS]]))</f>
        <v>0</v>
      </c>
      <c r="AU702" s="850" t="e">
        <f>VLOOKUP(Tabla1[[#This Row],[FECHA OC]],'TIPO DE CAMBIO'!A:B,2,TRUE)</f>
        <v>#N/A</v>
      </c>
      <c r="AV702" s="850" t="e">
        <f>+Tabla1[[#This Row],[SUBTOTAL]]/Tabla1[[#This Row],[TIPO DE CAMBIO]]</f>
        <v>#N/A</v>
      </c>
      <c r="AW702" s="851"/>
      <c r="AX702" s="850" t="str">
        <f>IFERROR(Tabla1[[#This Row],[VENTA TOTAL USD A PLAZO EN CLIENTE  (SIN IVA)]]*(1+Tabla1[[#This Row],[% IVA ]]),"")</f>
        <v/>
      </c>
      <c r="AY702" s="850" t="e">
        <f>+Tabla1[[#This Row],[VENTA TOTAL USD A PLAZO EN CLIENTE  (SIN IVA)]]/Tabla1[[#This Row],[KGS]]*1000</f>
        <v>#N/A</v>
      </c>
      <c r="AZ702" s="850" t="e">
        <f>-Tabla1[[#This Row],[COSTO FLETE $ POR BOLSA 5O KG (SIN IVA)]]*20/Tabla1[[#This Row],[TIPO DE CAMBIO]]</f>
        <v>#N/A</v>
      </c>
      <c r="BA702" s="850" t="e">
        <f>+Tabla1[[#This Row],[GASTOS FINANCIEROS $ BOLSA 50 KG (IVA INC)]]*20/Tabla1[[#This Row],[TIPO DE CAMBIO]]</f>
        <v>#VALUE!</v>
      </c>
      <c r="BB702" s="850" t="e">
        <f>+Tabla1[[#This Row],[PRECIO POR TN USD EN CLIENTE A PLAZO (SIN IVA)]]+Tabla1[[#This Row],[COSTO USD FLETE /TN (SIN IVA)]]+Tabla1[[#This Row],[COSTO FINANCIERO USD POR BOLSA 50KG (IVA INC)]]</f>
        <v>#N/A</v>
      </c>
      <c r="BC702" s="848"/>
      <c r="BD702" s="944"/>
    </row>
    <row r="703" spans="1:56" ht="15.75" customHeight="1">
      <c r="A703" s="912">
        <v>46327</v>
      </c>
      <c r="B703" s="863"/>
      <c r="C703" s="792"/>
      <c r="D703" s="829">
        <f>+Tabla1[[#This Row],[FECHA Entrega]]</f>
        <v>0</v>
      </c>
      <c r="E703" s="830"/>
      <c r="F703" s="831"/>
      <c r="G703" s="832"/>
      <c r="H703" s="852"/>
      <c r="I703" s="834"/>
      <c r="J703" s="835"/>
      <c r="K703" s="836">
        <f t="shared" si="151"/>
        <v>0</v>
      </c>
      <c r="L70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03" s="837">
        <f t="shared" si="153"/>
        <v>0</v>
      </c>
      <c r="N703" s="838">
        <f>+Tabla1[[#This Row],[VENTA TOTAL $ (IVA INC) ]]</f>
        <v>0</v>
      </c>
      <c r="O703" s="838">
        <v>0</v>
      </c>
      <c r="P703" s="838">
        <v>0</v>
      </c>
      <c r="Q703" s="839">
        <f>+Tabla1[[#This Row],[VENTA TOTAL $ (IVA INC) ]]-Tabla1[[#This Row],[PENDIENTE DE COBRO]]</f>
        <v>0</v>
      </c>
      <c r="R703" s="840">
        <f>+Tabla1[[#This Row],[FECHA FC]]+Tabla1[[#This Row],[PLAZO ENTREGA VALORES]]</f>
        <v>0</v>
      </c>
      <c r="S703" s="840">
        <f>+Tabla1[[#This Row],[FECHA FC]]+Tabla1[[#This Row],[PLAZO PAGO (DIAS)]]</f>
        <v>0</v>
      </c>
      <c r="T703" s="834">
        <f t="shared" ca="1" si="152"/>
        <v>-46181</v>
      </c>
      <c r="U703" s="831"/>
      <c r="V703" s="831"/>
      <c r="W703" s="841">
        <f>+Tabla1[[#This Row],[FECHA VTO VALORES]]+7</f>
        <v>7</v>
      </c>
      <c r="X703" s="830"/>
      <c r="Y703" s="859"/>
      <c r="Z703" s="860">
        <f>Tabla1[[#This Row],[KGS]]/50</f>
        <v>0</v>
      </c>
      <c r="AA70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03" s="844">
        <f>-Tabla1[[#This Row],[COSTO FLETE $ POR BOLSA 5O KG (SIN IVA)]]*1.21-Tabla1[[#This Row],[PRECIO $/ KG A PLAZO EN CLIENTE ( SIN IVA)]]*0.003*1.21*50</f>
        <v>0</v>
      </c>
      <c r="AC703" s="845" t="e">
        <f>SUM(Tabla1[[#This Row],[PRECIO $ BOLSA 50 KG (IVA INC) ]]+Tabla1[[#This Row],[COSTO FLETE $ BOLSA 50 KG (IVA INC)]])</f>
        <v>#VALUE!</v>
      </c>
      <c r="AD703" s="844" t="e">
        <f>-Tabla1[[#This Row],[PRECIO $ BOLSA 50 KG (IVA INC) ]]*(Tabla1[[#This Row],[TASA FINANCIACION MENSUAL]]/365)*Tabla1[[#This Row],[PLAZO ENTREGA VALORES]]</f>
        <v>#VALUE!</v>
      </c>
      <c r="AE703" s="845" t="e">
        <f>SUM(Tabla1[[#This Row],[PRECIO $ BOLSA50 KG  FOB TUCUMAN A PLAZO (IVA INC)]]+Tabla1[[#This Row],[GASTOS FINANCIEROS $ BOLSA 50 KG (IVA INC)]])</f>
        <v>#VALUE!</v>
      </c>
      <c r="AF703" s="828"/>
      <c r="AG703" s="828"/>
      <c r="AH703" s="828"/>
      <c r="AI703" s="828"/>
      <c r="AJ70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03" s="846" t="e">
        <f>SUM(Tabla1[[#This Row],[PRECIO $ BOLSA 50KG  FOB CDO TUC (IVA INC)]]-Tabla1[[#This Row],[PRECIO REF $ BOLSA 50 KG CACTU (IVA INC)]])</f>
        <v>#VALUE!</v>
      </c>
      <c r="AL703" s="847" t="str">
        <f>IFERROR(Tabla1[[#This Row],[PRECIO $ BOLSA 50KG  FOB CDO TUC (IVA INC)]]/Tabla1[[#This Row],[PRECIO REF $ BOLSA 50 KG CACTU (IVA INC)]]-1,"")</f>
        <v/>
      </c>
      <c r="AM703" s="846" t="e">
        <f>+Tabla1[[#This Row],[DIF $ PRECIO NETO INDUSTRIA vs Neto TUCUMAN (IVA INC)]]*Tabla1[[#This Row],[Q Bolsas Equivalentes 50kg]]</f>
        <v>#VALUE!</v>
      </c>
      <c r="AN703" s="846" t="e">
        <f>Tabla1[[#This Row],[PRECIO REF $ BOLSA 50 KG CACTU (IVA INC)]]*Tabla1[[#This Row],[Q Bolsas Equivalentes 50kg]]</f>
        <v>#VALUE!</v>
      </c>
      <c r="AO703" s="846" t="e">
        <f>+Tabla1[[#This Row],[PRECIO $ BOLSA 50KG  FOB CDO TUC (IVA INC)]]*Tabla1[[#This Row],[Q Bolsas Equivalentes 50kg]]</f>
        <v>#VALUE!</v>
      </c>
      <c r="AP703" s="847"/>
      <c r="AQ703" s="846">
        <v>0</v>
      </c>
      <c r="AR703" s="828"/>
      <c r="AS703" s="849"/>
      <c r="AT703" s="923">
        <f>+Tabla1[[#This Row],[VENTA TOTAL $ (IVA INC) ]]-(SUM(Tabla1[[#This Row],[PENDIENTE DE ENTREGA]:[VALORES COBRADOS]]))</f>
        <v>0</v>
      </c>
      <c r="AU703" s="850" t="e">
        <f>VLOOKUP(Tabla1[[#This Row],[FECHA OC]],'TIPO DE CAMBIO'!A:B,2,TRUE)</f>
        <v>#N/A</v>
      </c>
      <c r="AV703" s="850" t="e">
        <f>+Tabla1[[#This Row],[SUBTOTAL]]/Tabla1[[#This Row],[TIPO DE CAMBIO]]</f>
        <v>#N/A</v>
      </c>
      <c r="AW703" s="851"/>
      <c r="AX703" s="850" t="str">
        <f>IFERROR(Tabla1[[#This Row],[VENTA TOTAL USD A PLAZO EN CLIENTE  (SIN IVA)]]*(1+Tabla1[[#This Row],[% IVA ]]),"")</f>
        <v/>
      </c>
      <c r="AY703" s="850" t="e">
        <f>+Tabla1[[#This Row],[VENTA TOTAL USD A PLAZO EN CLIENTE  (SIN IVA)]]/Tabla1[[#This Row],[KGS]]*1000</f>
        <v>#N/A</v>
      </c>
      <c r="AZ703" s="850" t="e">
        <f>-Tabla1[[#This Row],[COSTO FLETE $ POR BOLSA 5O KG (SIN IVA)]]*20/Tabla1[[#This Row],[TIPO DE CAMBIO]]</f>
        <v>#N/A</v>
      </c>
      <c r="BA703" s="850" t="e">
        <f>+Tabla1[[#This Row],[GASTOS FINANCIEROS $ BOLSA 50 KG (IVA INC)]]*20/Tabla1[[#This Row],[TIPO DE CAMBIO]]</f>
        <v>#VALUE!</v>
      </c>
      <c r="BB703" s="850" t="e">
        <f>+Tabla1[[#This Row],[PRECIO POR TN USD EN CLIENTE A PLAZO (SIN IVA)]]+Tabla1[[#This Row],[COSTO USD FLETE /TN (SIN IVA)]]+Tabla1[[#This Row],[COSTO FINANCIERO USD POR BOLSA 50KG (IVA INC)]]</f>
        <v>#N/A</v>
      </c>
      <c r="BC703" s="848"/>
      <c r="BD703" s="944"/>
    </row>
    <row r="704" spans="1:56" ht="15.75" customHeight="1">
      <c r="A704" s="912">
        <v>46327</v>
      </c>
      <c r="B704" s="863"/>
      <c r="C704" s="792"/>
      <c r="D704" s="829">
        <f>+Tabla1[[#This Row],[FECHA Entrega]]</f>
        <v>0</v>
      </c>
      <c r="E704" s="830"/>
      <c r="F704" s="831"/>
      <c r="G704" s="832"/>
      <c r="H704" s="852"/>
      <c r="I704" s="834"/>
      <c r="J704" s="835"/>
      <c r="K704" s="836">
        <f t="shared" si="151"/>
        <v>0</v>
      </c>
      <c r="L70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04" s="837">
        <f t="shared" si="153"/>
        <v>0</v>
      </c>
      <c r="N704" s="838">
        <f>+Tabla1[[#This Row],[VENTA TOTAL $ (IVA INC) ]]</f>
        <v>0</v>
      </c>
      <c r="O704" s="838">
        <v>0</v>
      </c>
      <c r="P704" s="838">
        <v>0</v>
      </c>
      <c r="Q704" s="839">
        <f>+Tabla1[[#This Row],[VENTA TOTAL $ (IVA INC) ]]-Tabla1[[#This Row],[PENDIENTE DE COBRO]]</f>
        <v>0</v>
      </c>
      <c r="R704" s="840">
        <f>+Tabla1[[#This Row],[FECHA FC]]+Tabla1[[#This Row],[PLAZO ENTREGA VALORES]]</f>
        <v>0</v>
      </c>
      <c r="S704" s="840">
        <f>+Tabla1[[#This Row],[FECHA FC]]+Tabla1[[#This Row],[PLAZO PAGO (DIAS)]]</f>
        <v>0</v>
      </c>
      <c r="T704" s="834">
        <f t="shared" ca="1" si="152"/>
        <v>-46181</v>
      </c>
      <c r="U704" s="831"/>
      <c r="V704" s="831"/>
      <c r="W704" s="841">
        <f>+Tabla1[[#This Row],[FECHA VTO VALORES]]+7</f>
        <v>7</v>
      </c>
      <c r="X704" s="830"/>
      <c r="Y704" s="859"/>
      <c r="Z704" s="860">
        <f>Tabla1[[#This Row],[KGS]]/50</f>
        <v>0</v>
      </c>
      <c r="AA70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04" s="844">
        <f>-Tabla1[[#This Row],[COSTO FLETE $ POR BOLSA 5O KG (SIN IVA)]]*1.21-Tabla1[[#This Row],[PRECIO $/ KG A PLAZO EN CLIENTE ( SIN IVA)]]*0.003*1.21*50</f>
        <v>0</v>
      </c>
      <c r="AC704" s="845" t="e">
        <f>SUM(Tabla1[[#This Row],[PRECIO $ BOLSA 50 KG (IVA INC) ]]+Tabla1[[#This Row],[COSTO FLETE $ BOLSA 50 KG (IVA INC)]])</f>
        <v>#VALUE!</v>
      </c>
      <c r="AD704" s="844" t="e">
        <f>-Tabla1[[#This Row],[PRECIO $ BOLSA 50 KG (IVA INC) ]]*(Tabla1[[#This Row],[TASA FINANCIACION MENSUAL]]/365)*Tabla1[[#This Row],[PLAZO ENTREGA VALORES]]</f>
        <v>#VALUE!</v>
      </c>
      <c r="AE704" s="845" t="e">
        <f>SUM(Tabla1[[#This Row],[PRECIO $ BOLSA50 KG  FOB TUCUMAN A PLAZO (IVA INC)]]+Tabla1[[#This Row],[GASTOS FINANCIEROS $ BOLSA 50 KG (IVA INC)]])</f>
        <v>#VALUE!</v>
      </c>
      <c r="AF704" s="828"/>
      <c r="AG704" s="828"/>
      <c r="AH704" s="828"/>
      <c r="AI704" s="828"/>
      <c r="AJ70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04" s="846" t="e">
        <f>SUM(Tabla1[[#This Row],[PRECIO $ BOLSA 50KG  FOB CDO TUC (IVA INC)]]-Tabla1[[#This Row],[PRECIO REF $ BOLSA 50 KG CACTU (IVA INC)]])</f>
        <v>#VALUE!</v>
      </c>
      <c r="AL704" s="847" t="str">
        <f>IFERROR(Tabla1[[#This Row],[PRECIO $ BOLSA 50KG  FOB CDO TUC (IVA INC)]]/Tabla1[[#This Row],[PRECIO REF $ BOLSA 50 KG CACTU (IVA INC)]]-1,"")</f>
        <v/>
      </c>
      <c r="AM704" s="846" t="e">
        <f>+Tabla1[[#This Row],[DIF $ PRECIO NETO INDUSTRIA vs Neto TUCUMAN (IVA INC)]]*Tabla1[[#This Row],[Q Bolsas Equivalentes 50kg]]</f>
        <v>#VALUE!</v>
      </c>
      <c r="AN704" s="846" t="e">
        <f>Tabla1[[#This Row],[PRECIO REF $ BOLSA 50 KG CACTU (IVA INC)]]*Tabla1[[#This Row],[Q Bolsas Equivalentes 50kg]]</f>
        <v>#VALUE!</v>
      </c>
      <c r="AO704" s="846" t="e">
        <f>+Tabla1[[#This Row],[PRECIO $ BOLSA 50KG  FOB CDO TUC (IVA INC)]]*Tabla1[[#This Row],[Q Bolsas Equivalentes 50kg]]</f>
        <v>#VALUE!</v>
      </c>
      <c r="AP704" s="847"/>
      <c r="AQ704" s="846">
        <v>0</v>
      </c>
      <c r="AR704" s="828"/>
      <c r="AS704" s="849"/>
      <c r="AT704" s="923">
        <f>+Tabla1[[#This Row],[VENTA TOTAL $ (IVA INC) ]]-(SUM(Tabla1[[#This Row],[PENDIENTE DE ENTREGA]:[VALORES COBRADOS]]))</f>
        <v>0</v>
      </c>
      <c r="AU704" s="850" t="e">
        <f>VLOOKUP(Tabla1[[#This Row],[FECHA OC]],'TIPO DE CAMBIO'!A:B,2,TRUE)</f>
        <v>#N/A</v>
      </c>
      <c r="AV704" s="850" t="e">
        <f>+Tabla1[[#This Row],[SUBTOTAL]]/Tabla1[[#This Row],[TIPO DE CAMBIO]]</f>
        <v>#N/A</v>
      </c>
      <c r="AW704" s="851"/>
      <c r="AX704" s="850" t="str">
        <f>IFERROR(Tabla1[[#This Row],[VENTA TOTAL USD A PLAZO EN CLIENTE  (SIN IVA)]]*(1+Tabla1[[#This Row],[% IVA ]]),"")</f>
        <v/>
      </c>
      <c r="AY704" s="850" t="e">
        <f>+Tabla1[[#This Row],[VENTA TOTAL USD A PLAZO EN CLIENTE  (SIN IVA)]]/Tabla1[[#This Row],[KGS]]*1000</f>
        <v>#N/A</v>
      </c>
      <c r="AZ704" s="850" t="e">
        <f>-Tabla1[[#This Row],[COSTO FLETE $ POR BOLSA 5O KG (SIN IVA)]]*20/Tabla1[[#This Row],[TIPO DE CAMBIO]]</f>
        <v>#N/A</v>
      </c>
      <c r="BA704" s="850" t="e">
        <f>+Tabla1[[#This Row],[GASTOS FINANCIEROS $ BOLSA 50 KG (IVA INC)]]*20/Tabla1[[#This Row],[TIPO DE CAMBIO]]</f>
        <v>#VALUE!</v>
      </c>
      <c r="BB704" s="850" t="e">
        <f>+Tabla1[[#This Row],[PRECIO POR TN USD EN CLIENTE A PLAZO (SIN IVA)]]+Tabla1[[#This Row],[COSTO USD FLETE /TN (SIN IVA)]]+Tabla1[[#This Row],[COSTO FINANCIERO USD POR BOLSA 50KG (IVA INC)]]</f>
        <v>#N/A</v>
      </c>
      <c r="BC704" s="848"/>
      <c r="BD704" s="944"/>
    </row>
    <row r="705" spans="1:56" ht="15.75" customHeight="1">
      <c r="A705" s="912">
        <v>46327</v>
      </c>
      <c r="B705" s="863"/>
      <c r="C705" s="792"/>
      <c r="D705" s="829">
        <f>+Tabla1[[#This Row],[FECHA Entrega]]</f>
        <v>0</v>
      </c>
      <c r="E705" s="830"/>
      <c r="F705" s="831"/>
      <c r="G705" s="832"/>
      <c r="H705" s="852"/>
      <c r="I705" s="834"/>
      <c r="J705" s="835"/>
      <c r="K705" s="836">
        <f t="shared" si="151"/>
        <v>0</v>
      </c>
      <c r="L70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05" s="837">
        <f t="shared" si="153"/>
        <v>0</v>
      </c>
      <c r="N705" s="838">
        <f>+Tabla1[[#This Row],[VENTA TOTAL $ (IVA INC) ]]</f>
        <v>0</v>
      </c>
      <c r="O705" s="838">
        <v>0</v>
      </c>
      <c r="P705" s="838">
        <v>0</v>
      </c>
      <c r="Q705" s="839">
        <f>+Tabla1[[#This Row],[VENTA TOTAL $ (IVA INC) ]]-Tabla1[[#This Row],[PENDIENTE DE COBRO]]</f>
        <v>0</v>
      </c>
      <c r="R705" s="840">
        <f>+Tabla1[[#This Row],[FECHA FC]]+Tabla1[[#This Row],[PLAZO ENTREGA VALORES]]</f>
        <v>0</v>
      </c>
      <c r="S705" s="840">
        <f>+Tabla1[[#This Row],[FECHA FC]]+Tabla1[[#This Row],[PLAZO PAGO (DIAS)]]</f>
        <v>0</v>
      </c>
      <c r="T705" s="834">
        <f t="shared" ca="1" si="152"/>
        <v>-46181</v>
      </c>
      <c r="U705" s="831"/>
      <c r="V705" s="831"/>
      <c r="W705" s="841">
        <f>+Tabla1[[#This Row],[FECHA VTO VALORES]]+7</f>
        <v>7</v>
      </c>
      <c r="X705" s="830"/>
      <c r="Y705" s="859"/>
      <c r="Z705" s="860">
        <f>Tabla1[[#This Row],[KGS]]/50</f>
        <v>0</v>
      </c>
      <c r="AA70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05" s="844">
        <f>-Tabla1[[#This Row],[COSTO FLETE $ POR BOLSA 5O KG (SIN IVA)]]*1.21-Tabla1[[#This Row],[PRECIO $/ KG A PLAZO EN CLIENTE ( SIN IVA)]]*0.003*1.21*50</f>
        <v>0</v>
      </c>
      <c r="AC705" s="845" t="e">
        <f>SUM(Tabla1[[#This Row],[PRECIO $ BOLSA 50 KG (IVA INC) ]]+Tabla1[[#This Row],[COSTO FLETE $ BOLSA 50 KG (IVA INC)]])</f>
        <v>#VALUE!</v>
      </c>
      <c r="AD705" s="844" t="e">
        <f>-Tabla1[[#This Row],[PRECIO $ BOLSA 50 KG (IVA INC) ]]*(Tabla1[[#This Row],[TASA FINANCIACION MENSUAL]]/365)*Tabla1[[#This Row],[PLAZO ENTREGA VALORES]]</f>
        <v>#VALUE!</v>
      </c>
      <c r="AE705" s="845" t="e">
        <f>SUM(Tabla1[[#This Row],[PRECIO $ BOLSA50 KG  FOB TUCUMAN A PLAZO (IVA INC)]]+Tabla1[[#This Row],[GASTOS FINANCIEROS $ BOLSA 50 KG (IVA INC)]])</f>
        <v>#VALUE!</v>
      </c>
      <c r="AF705" s="828"/>
      <c r="AG705" s="828"/>
      <c r="AH705" s="828"/>
      <c r="AI705" s="828"/>
      <c r="AJ70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05" s="846" t="e">
        <f>SUM(Tabla1[[#This Row],[PRECIO $ BOLSA 50KG  FOB CDO TUC (IVA INC)]]-Tabla1[[#This Row],[PRECIO REF $ BOLSA 50 KG CACTU (IVA INC)]])</f>
        <v>#VALUE!</v>
      </c>
      <c r="AL705" s="847" t="str">
        <f>IFERROR(Tabla1[[#This Row],[PRECIO $ BOLSA 50KG  FOB CDO TUC (IVA INC)]]/Tabla1[[#This Row],[PRECIO REF $ BOLSA 50 KG CACTU (IVA INC)]]-1,"")</f>
        <v/>
      </c>
      <c r="AM705" s="846" t="e">
        <f>+Tabla1[[#This Row],[DIF $ PRECIO NETO INDUSTRIA vs Neto TUCUMAN (IVA INC)]]*Tabla1[[#This Row],[Q Bolsas Equivalentes 50kg]]</f>
        <v>#VALUE!</v>
      </c>
      <c r="AN705" s="846" t="e">
        <f>Tabla1[[#This Row],[PRECIO REF $ BOLSA 50 KG CACTU (IVA INC)]]*Tabla1[[#This Row],[Q Bolsas Equivalentes 50kg]]</f>
        <v>#VALUE!</v>
      </c>
      <c r="AO705" s="846" t="e">
        <f>+Tabla1[[#This Row],[PRECIO $ BOLSA 50KG  FOB CDO TUC (IVA INC)]]*Tabla1[[#This Row],[Q Bolsas Equivalentes 50kg]]</f>
        <v>#VALUE!</v>
      </c>
      <c r="AP705" s="847"/>
      <c r="AQ705" s="846">
        <v>0</v>
      </c>
      <c r="AR705" s="828"/>
      <c r="AS705" s="849"/>
      <c r="AT705" s="923">
        <f>+Tabla1[[#This Row],[VENTA TOTAL $ (IVA INC) ]]-(SUM(Tabla1[[#This Row],[PENDIENTE DE ENTREGA]:[VALORES COBRADOS]]))</f>
        <v>0</v>
      </c>
      <c r="AU705" s="850" t="e">
        <f>VLOOKUP(Tabla1[[#This Row],[FECHA OC]],'TIPO DE CAMBIO'!A:B,2,TRUE)</f>
        <v>#N/A</v>
      </c>
      <c r="AV705" s="850" t="e">
        <f>+Tabla1[[#This Row],[SUBTOTAL]]/Tabla1[[#This Row],[TIPO DE CAMBIO]]</f>
        <v>#N/A</v>
      </c>
      <c r="AW705" s="851"/>
      <c r="AX705" s="850" t="str">
        <f>IFERROR(Tabla1[[#This Row],[VENTA TOTAL USD A PLAZO EN CLIENTE  (SIN IVA)]]*(1+Tabla1[[#This Row],[% IVA ]]),"")</f>
        <v/>
      </c>
      <c r="AY705" s="850" t="e">
        <f>+Tabla1[[#This Row],[VENTA TOTAL USD A PLAZO EN CLIENTE  (SIN IVA)]]/Tabla1[[#This Row],[KGS]]*1000</f>
        <v>#N/A</v>
      </c>
      <c r="AZ705" s="850" t="e">
        <f>-Tabla1[[#This Row],[COSTO FLETE $ POR BOLSA 5O KG (SIN IVA)]]*20/Tabla1[[#This Row],[TIPO DE CAMBIO]]</f>
        <v>#N/A</v>
      </c>
      <c r="BA705" s="850" t="e">
        <f>+Tabla1[[#This Row],[GASTOS FINANCIEROS $ BOLSA 50 KG (IVA INC)]]*20/Tabla1[[#This Row],[TIPO DE CAMBIO]]</f>
        <v>#VALUE!</v>
      </c>
      <c r="BB705" s="850" t="e">
        <f>+Tabla1[[#This Row],[PRECIO POR TN USD EN CLIENTE A PLAZO (SIN IVA)]]+Tabla1[[#This Row],[COSTO USD FLETE /TN (SIN IVA)]]+Tabla1[[#This Row],[COSTO FINANCIERO USD POR BOLSA 50KG (IVA INC)]]</f>
        <v>#N/A</v>
      </c>
      <c r="BC705" s="848"/>
      <c r="BD705" s="944"/>
    </row>
    <row r="706" spans="1:56" ht="15.75" customHeight="1">
      <c r="A706" s="912">
        <v>46327</v>
      </c>
      <c r="B706" s="863"/>
      <c r="C706" s="792"/>
      <c r="D706" s="829">
        <f>+Tabla1[[#This Row],[FECHA Entrega]]</f>
        <v>0</v>
      </c>
      <c r="E706" s="830"/>
      <c r="F706" s="831"/>
      <c r="G706" s="832"/>
      <c r="H706" s="852"/>
      <c r="I706" s="834"/>
      <c r="J706" s="835"/>
      <c r="K706" s="836">
        <f t="shared" si="151"/>
        <v>0</v>
      </c>
      <c r="L70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06" s="837">
        <f t="shared" si="153"/>
        <v>0</v>
      </c>
      <c r="N706" s="838">
        <f>+Tabla1[[#This Row],[VENTA TOTAL $ (IVA INC) ]]</f>
        <v>0</v>
      </c>
      <c r="O706" s="838">
        <v>0</v>
      </c>
      <c r="P706" s="838">
        <v>0</v>
      </c>
      <c r="Q706" s="839">
        <f>+Tabla1[[#This Row],[VENTA TOTAL $ (IVA INC) ]]-Tabla1[[#This Row],[PENDIENTE DE COBRO]]</f>
        <v>0</v>
      </c>
      <c r="R706" s="840">
        <f>+Tabla1[[#This Row],[FECHA FC]]+Tabla1[[#This Row],[PLAZO ENTREGA VALORES]]</f>
        <v>0</v>
      </c>
      <c r="S706" s="840">
        <f>+Tabla1[[#This Row],[FECHA FC]]+Tabla1[[#This Row],[PLAZO PAGO (DIAS)]]</f>
        <v>0</v>
      </c>
      <c r="T706" s="834">
        <f t="shared" ca="1" si="152"/>
        <v>-46181</v>
      </c>
      <c r="U706" s="831"/>
      <c r="V706" s="831"/>
      <c r="W706" s="841">
        <f>+Tabla1[[#This Row],[FECHA VTO VALORES]]+7</f>
        <v>7</v>
      </c>
      <c r="X706" s="830"/>
      <c r="Y706" s="859"/>
      <c r="Z706" s="860">
        <f>Tabla1[[#This Row],[KGS]]/50</f>
        <v>0</v>
      </c>
      <c r="AA70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06" s="844">
        <f>-Tabla1[[#This Row],[COSTO FLETE $ POR BOLSA 5O KG (SIN IVA)]]*1.21-Tabla1[[#This Row],[PRECIO $/ KG A PLAZO EN CLIENTE ( SIN IVA)]]*0.003*1.21*50</f>
        <v>0</v>
      </c>
      <c r="AC706" s="845" t="e">
        <f>SUM(Tabla1[[#This Row],[PRECIO $ BOLSA 50 KG (IVA INC) ]]+Tabla1[[#This Row],[COSTO FLETE $ BOLSA 50 KG (IVA INC)]])</f>
        <v>#VALUE!</v>
      </c>
      <c r="AD706" s="844" t="e">
        <f>-Tabla1[[#This Row],[PRECIO $ BOLSA 50 KG (IVA INC) ]]*(Tabla1[[#This Row],[TASA FINANCIACION MENSUAL]]/365)*Tabla1[[#This Row],[PLAZO ENTREGA VALORES]]</f>
        <v>#VALUE!</v>
      </c>
      <c r="AE706" s="845" t="e">
        <f>SUM(Tabla1[[#This Row],[PRECIO $ BOLSA50 KG  FOB TUCUMAN A PLAZO (IVA INC)]]+Tabla1[[#This Row],[GASTOS FINANCIEROS $ BOLSA 50 KG (IVA INC)]])</f>
        <v>#VALUE!</v>
      </c>
      <c r="AF706" s="828"/>
      <c r="AG706" s="828"/>
      <c r="AH706" s="828"/>
      <c r="AI706" s="828"/>
      <c r="AJ70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06" s="846" t="e">
        <f>SUM(Tabla1[[#This Row],[PRECIO $ BOLSA 50KG  FOB CDO TUC (IVA INC)]]-Tabla1[[#This Row],[PRECIO REF $ BOLSA 50 KG CACTU (IVA INC)]])</f>
        <v>#VALUE!</v>
      </c>
      <c r="AL706" s="847" t="str">
        <f>IFERROR(Tabla1[[#This Row],[PRECIO $ BOLSA 50KG  FOB CDO TUC (IVA INC)]]/Tabla1[[#This Row],[PRECIO REF $ BOLSA 50 KG CACTU (IVA INC)]]-1,"")</f>
        <v/>
      </c>
      <c r="AM706" s="846" t="e">
        <f>+Tabla1[[#This Row],[DIF $ PRECIO NETO INDUSTRIA vs Neto TUCUMAN (IVA INC)]]*Tabla1[[#This Row],[Q Bolsas Equivalentes 50kg]]</f>
        <v>#VALUE!</v>
      </c>
      <c r="AN706" s="846" t="e">
        <f>Tabla1[[#This Row],[PRECIO REF $ BOLSA 50 KG CACTU (IVA INC)]]*Tabla1[[#This Row],[Q Bolsas Equivalentes 50kg]]</f>
        <v>#VALUE!</v>
      </c>
      <c r="AO706" s="846" t="e">
        <f>+Tabla1[[#This Row],[PRECIO $ BOLSA 50KG  FOB CDO TUC (IVA INC)]]*Tabla1[[#This Row],[Q Bolsas Equivalentes 50kg]]</f>
        <v>#VALUE!</v>
      </c>
      <c r="AP706" s="847"/>
      <c r="AQ706" s="846">
        <v>0</v>
      </c>
      <c r="AR706" s="828"/>
      <c r="AS706" s="849"/>
      <c r="AT706" s="923">
        <f>+Tabla1[[#This Row],[VENTA TOTAL $ (IVA INC) ]]-(SUM(Tabla1[[#This Row],[PENDIENTE DE ENTREGA]:[VALORES COBRADOS]]))</f>
        <v>0</v>
      </c>
      <c r="AU706" s="850" t="e">
        <f>VLOOKUP(Tabla1[[#This Row],[FECHA OC]],'TIPO DE CAMBIO'!A:B,2,TRUE)</f>
        <v>#N/A</v>
      </c>
      <c r="AV706" s="850" t="e">
        <f>+Tabla1[[#This Row],[SUBTOTAL]]/Tabla1[[#This Row],[TIPO DE CAMBIO]]</f>
        <v>#N/A</v>
      </c>
      <c r="AW706" s="851"/>
      <c r="AX706" s="850" t="str">
        <f>IFERROR(Tabla1[[#This Row],[VENTA TOTAL USD A PLAZO EN CLIENTE  (SIN IVA)]]*(1+Tabla1[[#This Row],[% IVA ]]),"")</f>
        <v/>
      </c>
      <c r="AY706" s="850" t="e">
        <f>+Tabla1[[#This Row],[VENTA TOTAL USD A PLAZO EN CLIENTE  (SIN IVA)]]/Tabla1[[#This Row],[KGS]]*1000</f>
        <v>#N/A</v>
      </c>
      <c r="AZ706" s="850" t="e">
        <f>-Tabla1[[#This Row],[COSTO FLETE $ POR BOLSA 5O KG (SIN IVA)]]*20/Tabla1[[#This Row],[TIPO DE CAMBIO]]</f>
        <v>#N/A</v>
      </c>
      <c r="BA706" s="850" t="e">
        <f>+Tabla1[[#This Row],[GASTOS FINANCIEROS $ BOLSA 50 KG (IVA INC)]]*20/Tabla1[[#This Row],[TIPO DE CAMBIO]]</f>
        <v>#VALUE!</v>
      </c>
      <c r="BB706" s="850" t="e">
        <f>+Tabla1[[#This Row],[PRECIO POR TN USD EN CLIENTE A PLAZO (SIN IVA)]]+Tabla1[[#This Row],[COSTO USD FLETE /TN (SIN IVA)]]+Tabla1[[#This Row],[COSTO FINANCIERO USD POR BOLSA 50KG (IVA INC)]]</f>
        <v>#N/A</v>
      </c>
      <c r="BC706" s="848"/>
      <c r="BD706" s="944"/>
    </row>
    <row r="707" spans="1:56" ht="15.75" customHeight="1">
      <c r="A707" s="912">
        <v>46327</v>
      </c>
      <c r="B707" s="863"/>
      <c r="C707" s="792"/>
      <c r="D707" s="829">
        <f>+Tabla1[[#This Row],[FECHA Entrega]]</f>
        <v>0</v>
      </c>
      <c r="E707" s="830"/>
      <c r="F707" s="831"/>
      <c r="G707" s="832"/>
      <c r="H707" s="852"/>
      <c r="I707" s="834"/>
      <c r="J707" s="835"/>
      <c r="K707" s="836">
        <f t="shared" si="151"/>
        <v>0</v>
      </c>
      <c r="L70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07" s="837">
        <f t="shared" si="153"/>
        <v>0</v>
      </c>
      <c r="N707" s="838">
        <f>+Tabla1[[#This Row],[VENTA TOTAL $ (IVA INC) ]]</f>
        <v>0</v>
      </c>
      <c r="O707" s="838">
        <v>0</v>
      </c>
      <c r="P707" s="838">
        <v>0</v>
      </c>
      <c r="Q707" s="839">
        <f>+Tabla1[[#This Row],[VENTA TOTAL $ (IVA INC) ]]-Tabla1[[#This Row],[PENDIENTE DE COBRO]]</f>
        <v>0</v>
      </c>
      <c r="R707" s="840">
        <f>+Tabla1[[#This Row],[FECHA FC]]+Tabla1[[#This Row],[PLAZO ENTREGA VALORES]]</f>
        <v>0</v>
      </c>
      <c r="S707" s="840">
        <f>+Tabla1[[#This Row],[FECHA FC]]+Tabla1[[#This Row],[PLAZO PAGO (DIAS)]]</f>
        <v>0</v>
      </c>
      <c r="T707" s="834">
        <f t="shared" ca="1" si="152"/>
        <v>-46181</v>
      </c>
      <c r="U707" s="831"/>
      <c r="V707" s="831"/>
      <c r="W707" s="841">
        <f>+Tabla1[[#This Row],[FECHA VTO VALORES]]+7</f>
        <v>7</v>
      </c>
      <c r="X707" s="830"/>
      <c r="Y707" s="859"/>
      <c r="Z707" s="860">
        <f>Tabla1[[#This Row],[KGS]]/50</f>
        <v>0</v>
      </c>
      <c r="AA70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07" s="844">
        <f>-Tabla1[[#This Row],[COSTO FLETE $ POR BOLSA 5O KG (SIN IVA)]]*1.21-Tabla1[[#This Row],[PRECIO $/ KG A PLAZO EN CLIENTE ( SIN IVA)]]*0.003*1.21*50</f>
        <v>0</v>
      </c>
      <c r="AC707" s="845" t="e">
        <f>SUM(Tabla1[[#This Row],[PRECIO $ BOLSA 50 KG (IVA INC) ]]+Tabla1[[#This Row],[COSTO FLETE $ BOLSA 50 KG (IVA INC)]])</f>
        <v>#VALUE!</v>
      </c>
      <c r="AD707" s="844" t="e">
        <f>-Tabla1[[#This Row],[PRECIO $ BOLSA 50 KG (IVA INC) ]]*(Tabla1[[#This Row],[TASA FINANCIACION MENSUAL]]/365)*Tabla1[[#This Row],[PLAZO ENTREGA VALORES]]</f>
        <v>#VALUE!</v>
      </c>
      <c r="AE707" s="845" t="e">
        <f>SUM(Tabla1[[#This Row],[PRECIO $ BOLSA50 KG  FOB TUCUMAN A PLAZO (IVA INC)]]+Tabla1[[#This Row],[GASTOS FINANCIEROS $ BOLSA 50 KG (IVA INC)]])</f>
        <v>#VALUE!</v>
      </c>
      <c r="AF707" s="828"/>
      <c r="AG707" s="828"/>
      <c r="AH707" s="828"/>
      <c r="AI707" s="828"/>
      <c r="AJ70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07" s="846" t="e">
        <f>SUM(Tabla1[[#This Row],[PRECIO $ BOLSA 50KG  FOB CDO TUC (IVA INC)]]-Tabla1[[#This Row],[PRECIO REF $ BOLSA 50 KG CACTU (IVA INC)]])</f>
        <v>#VALUE!</v>
      </c>
      <c r="AL707" s="847" t="str">
        <f>IFERROR(Tabla1[[#This Row],[PRECIO $ BOLSA 50KG  FOB CDO TUC (IVA INC)]]/Tabla1[[#This Row],[PRECIO REF $ BOLSA 50 KG CACTU (IVA INC)]]-1,"")</f>
        <v/>
      </c>
      <c r="AM707" s="846" t="e">
        <f>+Tabla1[[#This Row],[DIF $ PRECIO NETO INDUSTRIA vs Neto TUCUMAN (IVA INC)]]*Tabla1[[#This Row],[Q Bolsas Equivalentes 50kg]]</f>
        <v>#VALUE!</v>
      </c>
      <c r="AN707" s="846" t="e">
        <f>Tabla1[[#This Row],[PRECIO REF $ BOLSA 50 KG CACTU (IVA INC)]]*Tabla1[[#This Row],[Q Bolsas Equivalentes 50kg]]</f>
        <v>#VALUE!</v>
      </c>
      <c r="AO707" s="846" t="e">
        <f>+Tabla1[[#This Row],[PRECIO $ BOLSA 50KG  FOB CDO TUC (IVA INC)]]*Tabla1[[#This Row],[Q Bolsas Equivalentes 50kg]]</f>
        <v>#VALUE!</v>
      </c>
      <c r="AP707" s="847"/>
      <c r="AQ707" s="846">
        <v>0</v>
      </c>
      <c r="AR707" s="828"/>
      <c r="AS707" s="849"/>
      <c r="AT707" s="923">
        <f>+Tabla1[[#This Row],[VENTA TOTAL $ (IVA INC) ]]-(SUM(Tabla1[[#This Row],[PENDIENTE DE ENTREGA]:[VALORES COBRADOS]]))</f>
        <v>0</v>
      </c>
      <c r="AU707" s="850" t="e">
        <f>VLOOKUP(Tabla1[[#This Row],[FECHA OC]],'TIPO DE CAMBIO'!A:B,2,TRUE)</f>
        <v>#N/A</v>
      </c>
      <c r="AV707" s="850" t="e">
        <f>+Tabla1[[#This Row],[SUBTOTAL]]/Tabla1[[#This Row],[TIPO DE CAMBIO]]</f>
        <v>#N/A</v>
      </c>
      <c r="AW707" s="851"/>
      <c r="AX707" s="850" t="str">
        <f>IFERROR(Tabla1[[#This Row],[VENTA TOTAL USD A PLAZO EN CLIENTE  (SIN IVA)]]*(1+Tabla1[[#This Row],[% IVA ]]),"")</f>
        <v/>
      </c>
      <c r="AY707" s="850" t="e">
        <f>+Tabla1[[#This Row],[VENTA TOTAL USD A PLAZO EN CLIENTE  (SIN IVA)]]/Tabla1[[#This Row],[KGS]]*1000</f>
        <v>#N/A</v>
      </c>
      <c r="AZ707" s="850" t="e">
        <f>-Tabla1[[#This Row],[COSTO FLETE $ POR BOLSA 5O KG (SIN IVA)]]*20/Tabla1[[#This Row],[TIPO DE CAMBIO]]</f>
        <v>#N/A</v>
      </c>
      <c r="BA707" s="850" t="e">
        <f>+Tabla1[[#This Row],[GASTOS FINANCIEROS $ BOLSA 50 KG (IVA INC)]]*20/Tabla1[[#This Row],[TIPO DE CAMBIO]]</f>
        <v>#VALUE!</v>
      </c>
      <c r="BB707" s="850" t="e">
        <f>+Tabla1[[#This Row],[PRECIO POR TN USD EN CLIENTE A PLAZO (SIN IVA)]]+Tabla1[[#This Row],[COSTO USD FLETE /TN (SIN IVA)]]+Tabla1[[#This Row],[COSTO FINANCIERO USD POR BOLSA 50KG (IVA INC)]]</f>
        <v>#N/A</v>
      </c>
      <c r="BC707" s="848"/>
      <c r="BD707" s="944"/>
    </row>
    <row r="708" spans="1:56" ht="15.75" customHeight="1">
      <c r="A708" s="912">
        <v>46327</v>
      </c>
      <c r="B708" s="863"/>
      <c r="C708" s="792"/>
      <c r="D708" s="829">
        <f>+Tabla1[[#This Row],[FECHA Entrega]]</f>
        <v>0</v>
      </c>
      <c r="E708" s="830"/>
      <c r="F708" s="831"/>
      <c r="G708" s="832"/>
      <c r="H708" s="852"/>
      <c r="I708" s="834"/>
      <c r="J708" s="835"/>
      <c r="K708" s="836">
        <f t="shared" si="151"/>
        <v>0</v>
      </c>
      <c r="L70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08" s="837">
        <f t="shared" si="153"/>
        <v>0</v>
      </c>
      <c r="N708" s="838">
        <f>+Tabla1[[#This Row],[VENTA TOTAL $ (IVA INC) ]]</f>
        <v>0</v>
      </c>
      <c r="O708" s="838">
        <v>0</v>
      </c>
      <c r="P708" s="838">
        <v>0</v>
      </c>
      <c r="Q708" s="839">
        <f>+Tabla1[[#This Row],[VENTA TOTAL $ (IVA INC) ]]-Tabla1[[#This Row],[PENDIENTE DE COBRO]]</f>
        <v>0</v>
      </c>
      <c r="R708" s="840">
        <f>+Tabla1[[#This Row],[FECHA FC]]+Tabla1[[#This Row],[PLAZO ENTREGA VALORES]]</f>
        <v>0</v>
      </c>
      <c r="S708" s="840">
        <f>+Tabla1[[#This Row],[FECHA FC]]+Tabla1[[#This Row],[PLAZO PAGO (DIAS)]]</f>
        <v>0</v>
      </c>
      <c r="T708" s="834">
        <f t="shared" ca="1" si="152"/>
        <v>-46181</v>
      </c>
      <c r="U708" s="831"/>
      <c r="V708" s="831"/>
      <c r="W708" s="841">
        <f>+Tabla1[[#This Row],[FECHA VTO VALORES]]+7</f>
        <v>7</v>
      </c>
      <c r="X708" s="830"/>
      <c r="Y708" s="859"/>
      <c r="Z708" s="860">
        <f>Tabla1[[#This Row],[KGS]]/50</f>
        <v>0</v>
      </c>
      <c r="AA70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08" s="844">
        <f>-Tabla1[[#This Row],[COSTO FLETE $ POR BOLSA 5O KG (SIN IVA)]]*1.21-Tabla1[[#This Row],[PRECIO $/ KG A PLAZO EN CLIENTE ( SIN IVA)]]*0.003*1.21*50</f>
        <v>0</v>
      </c>
      <c r="AC708" s="845" t="e">
        <f>SUM(Tabla1[[#This Row],[PRECIO $ BOLSA 50 KG (IVA INC) ]]+Tabla1[[#This Row],[COSTO FLETE $ BOLSA 50 KG (IVA INC)]])</f>
        <v>#VALUE!</v>
      </c>
      <c r="AD708" s="844" t="e">
        <f>-Tabla1[[#This Row],[PRECIO $ BOLSA 50 KG (IVA INC) ]]*(Tabla1[[#This Row],[TASA FINANCIACION MENSUAL]]/365)*Tabla1[[#This Row],[PLAZO ENTREGA VALORES]]</f>
        <v>#VALUE!</v>
      </c>
      <c r="AE708" s="845" t="e">
        <f>SUM(Tabla1[[#This Row],[PRECIO $ BOLSA50 KG  FOB TUCUMAN A PLAZO (IVA INC)]]+Tabla1[[#This Row],[GASTOS FINANCIEROS $ BOLSA 50 KG (IVA INC)]])</f>
        <v>#VALUE!</v>
      </c>
      <c r="AF708" s="828"/>
      <c r="AG708" s="828"/>
      <c r="AH708" s="828"/>
      <c r="AI708" s="828"/>
      <c r="AJ70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08" s="846" t="e">
        <f>SUM(Tabla1[[#This Row],[PRECIO $ BOLSA 50KG  FOB CDO TUC (IVA INC)]]-Tabla1[[#This Row],[PRECIO REF $ BOLSA 50 KG CACTU (IVA INC)]])</f>
        <v>#VALUE!</v>
      </c>
      <c r="AL708" s="847" t="str">
        <f>IFERROR(Tabla1[[#This Row],[PRECIO $ BOLSA 50KG  FOB CDO TUC (IVA INC)]]/Tabla1[[#This Row],[PRECIO REF $ BOLSA 50 KG CACTU (IVA INC)]]-1,"")</f>
        <v/>
      </c>
      <c r="AM708" s="846" t="e">
        <f>+Tabla1[[#This Row],[DIF $ PRECIO NETO INDUSTRIA vs Neto TUCUMAN (IVA INC)]]*Tabla1[[#This Row],[Q Bolsas Equivalentes 50kg]]</f>
        <v>#VALUE!</v>
      </c>
      <c r="AN708" s="846" t="e">
        <f>Tabla1[[#This Row],[PRECIO REF $ BOLSA 50 KG CACTU (IVA INC)]]*Tabla1[[#This Row],[Q Bolsas Equivalentes 50kg]]</f>
        <v>#VALUE!</v>
      </c>
      <c r="AO708" s="846" t="e">
        <f>+Tabla1[[#This Row],[PRECIO $ BOLSA 50KG  FOB CDO TUC (IVA INC)]]*Tabla1[[#This Row],[Q Bolsas Equivalentes 50kg]]</f>
        <v>#VALUE!</v>
      </c>
      <c r="AP708" s="847"/>
      <c r="AQ708" s="846">
        <v>0</v>
      </c>
      <c r="AR708" s="828"/>
      <c r="AS708" s="849"/>
      <c r="AT708" s="923">
        <f>+Tabla1[[#This Row],[VENTA TOTAL $ (IVA INC) ]]-(SUM(Tabla1[[#This Row],[PENDIENTE DE ENTREGA]:[VALORES COBRADOS]]))</f>
        <v>0</v>
      </c>
      <c r="AU708" s="850" t="e">
        <f>VLOOKUP(Tabla1[[#This Row],[FECHA OC]],'TIPO DE CAMBIO'!A:B,2,TRUE)</f>
        <v>#N/A</v>
      </c>
      <c r="AV708" s="850" t="e">
        <f>+Tabla1[[#This Row],[SUBTOTAL]]/Tabla1[[#This Row],[TIPO DE CAMBIO]]</f>
        <v>#N/A</v>
      </c>
      <c r="AW708" s="851"/>
      <c r="AX708" s="850" t="str">
        <f>IFERROR(Tabla1[[#This Row],[VENTA TOTAL USD A PLAZO EN CLIENTE  (SIN IVA)]]*(1+Tabla1[[#This Row],[% IVA ]]),"")</f>
        <v/>
      </c>
      <c r="AY708" s="850" t="e">
        <f>+Tabla1[[#This Row],[VENTA TOTAL USD A PLAZO EN CLIENTE  (SIN IVA)]]/Tabla1[[#This Row],[KGS]]*1000</f>
        <v>#N/A</v>
      </c>
      <c r="AZ708" s="850" t="e">
        <f>-Tabla1[[#This Row],[COSTO FLETE $ POR BOLSA 5O KG (SIN IVA)]]*20/Tabla1[[#This Row],[TIPO DE CAMBIO]]</f>
        <v>#N/A</v>
      </c>
      <c r="BA708" s="850" t="e">
        <f>+Tabla1[[#This Row],[GASTOS FINANCIEROS $ BOLSA 50 KG (IVA INC)]]*20/Tabla1[[#This Row],[TIPO DE CAMBIO]]</f>
        <v>#VALUE!</v>
      </c>
      <c r="BB708" s="850" t="e">
        <f>+Tabla1[[#This Row],[PRECIO POR TN USD EN CLIENTE A PLAZO (SIN IVA)]]+Tabla1[[#This Row],[COSTO USD FLETE /TN (SIN IVA)]]+Tabla1[[#This Row],[COSTO FINANCIERO USD POR BOLSA 50KG (IVA INC)]]</f>
        <v>#N/A</v>
      </c>
      <c r="BC708" s="848"/>
      <c r="BD708" s="944"/>
    </row>
    <row r="709" spans="1:56" ht="15.75" customHeight="1">
      <c r="A709" s="912">
        <v>46327</v>
      </c>
      <c r="B709" s="863"/>
      <c r="C709" s="792"/>
      <c r="D709" s="829">
        <f>+Tabla1[[#This Row],[FECHA Entrega]]</f>
        <v>0</v>
      </c>
      <c r="E709" s="830"/>
      <c r="F709" s="831"/>
      <c r="G709" s="832"/>
      <c r="H709" s="852"/>
      <c r="I709" s="834"/>
      <c r="J709" s="835"/>
      <c r="K709" s="836">
        <f t="shared" si="151"/>
        <v>0</v>
      </c>
      <c r="L70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09" s="837">
        <f t="shared" si="153"/>
        <v>0</v>
      </c>
      <c r="N709" s="838">
        <f>+Tabla1[[#This Row],[VENTA TOTAL $ (IVA INC) ]]</f>
        <v>0</v>
      </c>
      <c r="O709" s="838">
        <v>0</v>
      </c>
      <c r="P709" s="838">
        <v>0</v>
      </c>
      <c r="Q709" s="839">
        <f>+Tabla1[[#This Row],[VENTA TOTAL $ (IVA INC) ]]-Tabla1[[#This Row],[PENDIENTE DE COBRO]]</f>
        <v>0</v>
      </c>
      <c r="R709" s="840">
        <f>+Tabla1[[#This Row],[FECHA FC]]+Tabla1[[#This Row],[PLAZO ENTREGA VALORES]]</f>
        <v>0</v>
      </c>
      <c r="S709" s="840">
        <f>+Tabla1[[#This Row],[FECHA FC]]+Tabla1[[#This Row],[PLAZO PAGO (DIAS)]]</f>
        <v>0</v>
      </c>
      <c r="T709" s="834">
        <f t="shared" ca="1" si="152"/>
        <v>-46181</v>
      </c>
      <c r="U709" s="831"/>
      <c r="V709" s="831"/>
      <c r="W709" s="841">
        <f>+Tabla1[[#This Row],[FECHA VTO VALORES]]+7</f>
        <v>7</v>
      </c>
      <c r="X709" s="830"/>
      <c r="Y709" s="859"/>
      <c r="Z709" s="860">
        <f>Tabla1[[#This Row],[KGS]]/50</f>
        <v>0</v>
      </c>
      <c r="AA70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09" s="844">
        <f>-Tabla1[[#This Row],[COSTO FLETE $ POR BOLSA 5O KG (SIN IVA)]]*1.21-Tabla1[[#This Row],[PRECIO $/ KG A PLAZO EN CLIENTE ( SIN IVA)]]*0.003*1.21*50</f>
        <v>0</v>
      </c>
      <c r="AC709" s="845" t="e">
        <f>SUM(Tabla1[[#This Row],[PRECIO $ BOLSA 50 KG (IVA INC) ]]+Tabla1[[#This Row],[COSTO FLETE $ BOLSA 50 KG (IVA INC)]])</f>
        <v>#VALUE!</v>
      </c>
      <c r="AD709" s="844" t="e">
        <f>-Tabla1[[#This Row],[PRECIO $ BOLSA 50 KG (IVA INC) ]]*(Tabla1[[#This Row],[TASA FINANCIACION MENSUAL]]/365)*Tabla1[[#This Row],[PLAZO ENTREGA VALORES]]</f>
        <v>#VALUE!</v>
      </c>
      <c r="AE709" s="845" t="e">
        <f>SUM(Tabla1[[#This Row],[PRECIO $ BOLSA50 KG  FOB TUCUMAN A PLAZO (IVA INC)]]+Tabla1[[#This Row],[GASTOS FINANCIEROS $ BOLSA 50 KG (IVA INC)]])</f>
        <v>#VALUE!</v>
      </c>
      <c r="AF709" s="828"/>
      <c r="AG709" s="828"/>
      <c r="AH709" s="828"/>
      <c r="AI709" s="828"/>
      <c r="AJ70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09" s="846" t="e">
        <f>SUM(Tabla1[[#This Row],[PRECIO $ BOLSA 50KG  FOB CDO TUC (IVA INC)]]-Tabla1[[#This Row],[PRECIO REF $ BOLSA 50 KG CACTU (IVA INC)]])</f>
        <v>#VALUE!</v>
      </c>
      <c r="AL709" s="847" t="str">
        <f>IFERROR(Tabla1[[#This Row],[PRECIO $ BOLSA 50KG  FOB CDO TUC (IVA INC)]]/Tabla1[[#This Row],[PRECIO REF $ BOLSA 50 KG CACTU (IVA INC)]]-1,"")</f>
        <v/>
      </c>
      <c r="AM709" s="846" t="e">
        <f>+Tabla1[[#This Row],[DIF $ PRECIO NETO INDUSTRIA vs Neto TUCUMAN (IVA INC)]]*Tabla1[[#This Row],[Q Bolsas Equivalentes 50kg]]</f>
        <v>#VALUE!</v>
      </c>
      <c r="AN709" s="846" t="e">
        <f>Tabla1[[#This Row],[PRECIO REF $ BOLSA 50 KG CACTU (IVA INC)]]*Tabla1[[#This Row],[Q Bolsas Equivalentes 50kg]]</f>
        <v>#VALUE!</v>
      </c>
      <c r="AO709" s="846" t="e">
        <f>+Tabla1[[#This Row],[PRECIO $ BOLSA 50KG  FOB CDO TUC (IVA INC)]]*Tabla1[[#This Row],[Q Bolsas Equivalentes 50kg]]</f>
        <v>#VALUE!</v>
      </c>
      <c r="AP709" s="847"/>
      <c r="AQ709" s="846">
        <v>0</v>
      </c>
      <c r="AR709" s="828"/>
      <c r="AS709" s="849"/>
      <c r="AT709" s="923">
        <f>+Tabla1[[#This Row],[VENTA TOTAL $ (IVA INC) ]]-(SUM(Tabla1[[#This Row],[PENDIENTE DE ENTREGA]:[VALORES COBRADOS]]))</f>
        <v>0</v>
      </c>
      <c r="AU709" s="850" t="e">
        <f>VLOOKUP(Tabla1[[#This Row],[FECHA OC]],'TIPO DE CAMBIO'!A:B,2,TRUE)</f>
        <v>#N/A</v>
      </c>
      <c r="AV709" s="850" t="e">
        <f>+Tabla1[[#This Row],[SUBTOTAL]]/Tabla1[[#This Row],[TIPO DE CAMBIO]]</f>
        <v>#N/A</v>
      </c>
      <c r="AW709" s="851"/>
      <c r="AX709" s="850" t="str">
        <f>IFERROR(Tabla1[[#This Row],[VENTA TOTAL USD A PLAZO EN CLIENTE  (SIN IVA)]]*(1+Tabla1[[#This Row],[% IVA ]]),"")</f>
        <v/>
      </c>
      <c r="AY709" s="850" t="e">
        <f>+Tabla1[[#This Row],[VENTA TOTAL USD A PLAZO EN CLIENTE  (SIN IVA)]]/Tabla1[[#This Row],[KGS]]*1000</f>
        <v>#N/A</v>
      </c>
      <c r="AZ709" s="850" t="e">
        <f>-Tabla1[[#This Row],[COSTO FLETE $ POR BOLSA 5O KG (SIN IVA)]]*20/Tabla1[[#This Row],[TIPO DE CAMBIO]]</f>
        <v>#N/A</v>
      </c>
      <c r="BA709" s="850" t="e">
        <f>+Tabla1[[#This Row],[GASTOS FINANCIEROS $ BOLSA 50 KG (IVA INC)]]*20/Tabla1[[#This Row],[TIPO DE CAMBIO]]</f>
        <v>#VALUE!</v>
      </c>
      <c r="BB709" s="850" t="e">
        <f>+Tabla1[[#This Row],[PRECIO POR TN USD EN CLIENTE A PLAZO (SIN IVA)]]+Tabla1[[#This Row],[COSTO USD FLETE /TN (SIN IVA)]]+Tabla1[[#This Row],[COSTO FINANCIERO USD POR BOLSA 50KG (IVA INC)]]</f>
        <v>#N/A</v>
      </c>
      <c r="BC709" s="848"/>
      <c r="BD709" s="944"/>
    </row>
    <row r="710" spans="1:56" ht="15.75" customHeight="1">
      <c r="A710" s="912">
        <v>46327</v>
      </c>
      <c r="B710" s="863"/>
      <c r="C710" s="792"/>
      <c r="D710" s="829">
        <f>+Tabla1[[#This Row],[FECHA Entrega]]</f>
        <v>0</v>
      </c>
      <c r="E710" s="830"/>
      <c r="F710" s="831"/>
      <c r="G710" s="832"/>
      <c r="H710" s="852"/>
      <c r="I710" s="834"/>
      <c r="J710" s="835"/>
      <c r="K710" s="836">
        <f t="shared" si="151"/>
        <v>0</v>
      </c>
      <c r="L71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10" s="837">
        <f t="shared" si="153"/>
        <v>0</v>
      </c>
      <c r="N710" s="838">
        <f>+Tabla1[[#This Row],[VENTA TOTAL $ (IVA INC) ]]</f>
        <v>0</v>
      </c>
      <c r="O710" s="838">
        <v>0</v>
      </c>
      <c r="P710" s="838">
        <v>0</v>
      </c>
      <c r="Q710" s="839">
        <f>+Tabla1[[#This Row],[VENTA TOTAL $ (IVA INC) ]]-Tabla1[[#This Row],[PENDIENTE DE COBRO]]</f>
        <v>0</v>
      </c>
      <c r="R710" s="840">
        <f>+Tabla1[[#This Row],[FECHA FC]]+Tabla1[[#This Row],[PLAZO ENTREGA VALORES]]</f>
        <v>0</v>
      </c>
      <c r="S710" s="840">
        <f>+Tabla1[[#This Row],[FECHA FC]]+Tabla1[[#This Row],[PLAZO PAGO (DIAS)]]</f>
        <v>0</v>
      </c>
      <c r="T710" s="834">
        <f t="shared" ca="1" si="152"/>
        <v>-46181</v>
      </c>
      <c r="U710" s="831"/>
      <c r="V710" s="831"/>
      <c r="W710" s="841">
        <f>+Tabla1[[#This Row],[FECHA VTO VALORES]]+7</f>
        <v>7</v>
      </c>
      <c r="X710" s="830"/>
      <c r="Y710" s="859"/>
      <c r="Z710" s="860">
        <f>Tabla1[[#This Row],[KGS]]/50</f>
        <v>0</v>
      </c>
      <c r="AA71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10" s="844">
        <f>-Tabla1[[#This Row],[COSTO FLETE $ POR BOLSA 5O KG (SIN IVA)]]*1.21-Tabla1[[#This Row],[PRECIO $/ KG A PLAZO EN CLIENTE ( SIN IVA)]]*0.003*1.21*50</f>
        <v>0</v>
      </c>
      <c r="AC710" s="845" t="e">
        <f>SUM(Tabla1[[#This Row],[PRECIO $ BOLSA 50 KG (IVA INC) ]]+Tabla1[[#This Row],[COSTO FLETE $ BOLSA 50 KG (IVA INC)]])</f>
        <v>#VALUE!</v>
      </c>
      <c r="AD710" s="844" t="e">
        <f>-Tabla1[[#This Row],[PRECIO $ BOLSA 50 KG (IVA INC) ]]*(Tabla1[[#This Row],[TASA FINANCIACION MENSUAL]]/365)*Tabla1[[#This Row],[PLAZO ENTREGA VALORES]]</f>
        <v>#VALUE!</v>
      </c>
      <c r="AE710" s="845" t="e">
        <f>SUM(Tabla1[[#This Row],[PRECIO $ BOLSA50 KG  FOB TUCUMAN A PLAZO (IVA INC)]]+Tabla1[[#This Row],[GASTOS FINANCIEROS $ BOLSA 50 KG (IVA INC)]])</f>
        <v>#VALUE!</v>
      </c>
      <c r="AF710" s="828"/>
      <c r="AG710" s="828"/>
      <c r="AH710" s="828"/>
      <c r="AI710" s="828"/>
      <c r="AJ71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10" s="846" t="e">
        <f>SUM(Tabla1[[#This Row],[PRECIO $ BOLSA 50KG  FOB CDO TUC (IVA INC)]]-Tabla1[[#This Row],[PRECIO REF $ BOLSA 50 KG CACTU (IVA INC)]])</f>
        <v>#VALUE!</v>
      </c>
      <c r="AL710" s="847" t="str">
        <f>IFERROR(Tabla1[[#This Row],[PRECIO $ BOLSA 50KG  FOB CDO TUC (IVA INC)]]/Tabla1[[#This Row],[PRECIO REF $ BOLSA 50 KG CACTU (IVA INC)]]-1,"")</f>
        <v/>
      </c>
      <c r="AM710" s="846" t="e">
        <f>+Tabla1[[#This Row],[DIF $ PRECIO NETO INDUSTRIA vs Neto TUCUMAN (IVA INC)]]*Tabla1[[#This Row],[Q Bolsas Equivalentes 50kg]]</f>
        <v>#VALUE!</v>
      </c>
      <c r="AN710" s="846" t="e">
        <f>Tabla1[[#This Row],[PRECIO REF $ BOLSA 50 KG CACTU (IVA INC)]]*Tabla1[[#This Row],[Q Bolsas Equivalentes 50kg]]</f>
        <v>#VALUE!</v>
      </c>
      <c r="AO710" s="846" t="e">
        <f>+Tabla1[[#This Row],[PRECIO $ BOLSA 50KG  FOB CDO TUC (IVA INC)]]*Tabla1[[#This Row],[Q Bolsas Equivalentes 50kg]]</f>
        <v>#VALUE!</v>
      </c>
      <c r="AP710" s="847"/>
      <c r="AQ710" s="846">
        <v>0</v>
      </c>
      <c r="AR710" s="828"/>
      <c r="AS710" s="849"/>
      <c r="AT710" s="923">
        <f>+Tabla1[[#This Row],[VENTA TOTAL $ (IVA INC) ]]-(SUM(Tabla1[[#This Row],[PENDIENTE DE ENTREGA]:[VALORES COBRADOS]]))</f>
        <v>0</v>
      </c>
      <c r="AU710" s="850" t="e">
        <f>VLOOKUP(Tabla1[[#This Row],[FECHA OC]],'TIPO DE CAMBIO'!A:B,2,TRUE)</f>
        <v>#N/A</v>
      </c>
      <c r="AV710" s="850" t="e">
        <f>+Tabla1[[#This Row],[SUBTOTAL]]/Tabla1[[#This Row],[TIPO DE CAMBIO]]</f>
        <v>#N/A</v>
      </c>
      <c r="AW710" s="851"/>
      <c r="AX710" s="850" t="str">
        <f>IFERROR(Tabla1[[#This Row],[VENTA TOTAL USD A PLAZO EN CLIENTE  (SIN IVA)]]*(1+Tabla1[[#This Row],[% IVA ]]),"")</f>
        <v/>
      </c>
      <c r="AY710" s="850" t="e">
        <f>+Tabla1[[#This Row],[VENTA TOTAL USD A PLAZO EN CLIENTE  (SIN IVA)]]/Tabla1[[#This Row],[KGS]]*1000</f>
        <v>#N/A</v>
      </c>
      <c r="AZ710" s="850" t="e">
        <f>-Tabla1[[#This Row],[COSTO FLETE $ POR BOLSA 5O KG (SIN IVA)]]*20/Tabla1[[#This Row],[TIPO DE CAMBIO]]</f>
        <v>#N/A</v>
      </c>
      <c r="BA710" s="850" t="e">
        <f>+Tabla1[[#This Row],[GASTOS FINANCIEROS $ BOLSA 50 KG (IVA INC)]]*20/Tabla1[[#This Row],[TIPO DE CAMBIO]]</f>
        <v>#VALUE!</v>
      </c>
      <c r="BB710" s="850" t="e">
        <f>+Tabla1[[#This Row],[PRECIO POR TN USD EN CLIENTE A PLAZO (SIN IVA)]]+Tabla1[[#This Row],[COSTO USD FLETE /TN (SIN IVA)]]+Tabla1[[#This Row],[COSTO FINANCIERO USD POR BOLSA 50KG (IVA INC)]]</f>
        <v>#N/A</v>
      </c>
      <c r="BC710" s="848"/>
      <c r="BD710" s="944"/>
    </row>
    <row r="711" spans="1:56" ht="15.75" customHeight="1">
      <c r="A711" s="912">
        <v>46327</v>
      </c>
      <c r="B711" s="863"/>
      <c r="C711" s="792"/>
      <c r="D711" s="829">
        <f>+Tabla1[[#This Row],[FECHA Entrega]]</f>
        <v>0</v>
      </c>
      <c r="E711" s="830"/>
      <c r="F711" s="831"/>
      <c r="G711" s="832"/>
      <c r="H711" s="852"/>
      <c r="I711" s="834"/>
      <c r="J711" s="835"/>
      <c r="K711" s="836">
        <f t="shared" si="151"/>
        <v>0</v>
      </c>
      <c r="L71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11" s="837">
        <f t="shared" si="153"/>
        <v>0</v>
      </c>
      <c r="N711" s="838">
        <f>+Tabla1[[#This Row],[VENTA TOTAL $ (IVA INC) ]]</f>
        <v>0</v>
      </c>
      <c r="O711" s="838">
        <v>0</v>
      </c>
      <c r="P711" s="838">
        <v>0</v>
      </c>
      <c r="Q711" s="839">
        <f>+Tabla1[[#This Row],[VENTA TOTAL $ (IVA INC) ]]-Tabla1[[#This Row],[PENDIENTE DE COBRO]]</f>
        <v>0</v>
      </c>
      <c r="R711" s="840">
        <f>+Tabla1[[#This Row],[FECHA FC]]+Tabla1[[#This Row],[PLAZO ENTREGA VALORES]]</f>
        <v>0</v>
      </c>
      <c r="S711" s="840">
        <f>+Tabla1[[#This Row],[FECHA FC]]+Tabla1[[#This Row],[PLAZO PAGO (DIAS)]]</f>
        <v>0</v>
      </c>
      <c r="T711" s="834">
        <f t="shared" ca="1" si="152"/>
        <v>-46181</v>
      </c>
      <c r="U711" s="831"/>
      <c r="V711" s="831"/>
      <c r="W711" s="841">
        <f>+Tabla1[[#This Row],[FECHA VTO VALORES]]+7</f>
        <v>7</v>
      </c>
      <c r="X711" s="830"/>
      <c r="Y711" s="859"/>
      <c r="Z711" s="860">
        <f>Tabla1[[#This Row],[KGS]]/50</f>
        <v>0</v>
      </c>
      <c r="AA71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11" s="844">
        <f>-Tabla1[[#This Row],[COSTO FLETE $ POR BOLSA 5O KG (SIN IVA)]]*1.21-Tabla1[[#This Row],[PRECIO $/ KG A PLAZO EN CLIENTE ( SIN IVA)]]*0.003*1.21*50</f>
        <v>0</v>
      </c>
      <c r="AC711" s="845" t="e">
        <f>SUM(Tabla1[[#This Row],[PRECIO $ BOLSA 50 KG (IVA INC) ]]+Tabla1[[#This Row],[COSTO FLETE $ BOLSA 50 KG (IVA INC)]])</f>
        <v>#VALUE!</v>
      </c>
      <c r="AD711" s="844" t="e">
        <f>-Tabla1[[#This Row],[PRECIO $ BOLSA 50 KG (IVA INC) ]]*(Tabla1[[#This Row],[TASA FINANCIACION MENSUAL]]/365)*Tabla1[[#This Row],[PLAZO ENTREGA VALORES]]</f>
        <v>#VALUE!</v>
      </c>
      <c r="AE711" s="845" t="e">
        <f>SUM(Tabla1[[#This Row],[PRECIO $ BOLSA50 KG  FOB TUCUMAN A PLAZO (IVA INC)]]+Tabla1[[#This Row],[GASTOS FINANCIEROS $ BOLSA 50 KG (IVA INC)]])</f>
        <v>#VALUE!</v>
      </c>
      <c r="AF711" s="828"/>
      <c r="AG711" s="828"/>
      <c r="AH711" s="828"/>
      <c r="AI711" s="828"/>
      <c r="AJ71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11" s="846" t="e">
        <f>SUM(Tabla1[[#This Row],[PRECIO $ BOLSA 50KG  FOB CDO TUC (IVA INC)]]-Tabla1[[#This Row],[PRECIO REF $ BOLSA 50 KG CACTU (IVA INC)]])</f>
        <v>#VALUE!</v>
      </c>
      <c r="AL711" s="847" t="str">
        <f>IFERROR(Tabla1[[#This Row],[PRECIO $ BOLSA 50KG  FOB CDO TUC (IVA INC)]]/Tabla1[[#This Row],[PRECIO REF $ BOLSA 50 KG CACTU (IVA INC)]]-1,"")</f>
        <v/>
      </c>
      <c r="AM711" s="846" t="e">
        <f>+Tabla1[[#This Row],[DIF $ PRECIO NETO INDUSTRIA vs Neto TUCUMAN (IVA INC)]]*Tabla1[[#This Row],[Q Bolsas Equivalentes 50kg]]</f>
        <v>#VALUE!</v>
      </c>
      <c r="AN711" s="846" t="e">
        <f>Tabla1[[#This Row],[PRECIO REF $ BOLSA 50 KG CACTU (IVA INC)]]*Tabla1[[#This Row],[Q Bolsas Equivalentes 50kg]]</f>
        <v>#VALUE!</v>
      </c>
      <c r="AO711" s="846" t="e">
        <f>+Tabla1[[#This Row],[PRECIO $ BOLSA 50KG  FOB CDO TUC (IVA INC)]]*Tabla1[[#This Row],[Q Bolsas Equivalentes 50kg]]</f>
        <v>#VALUE!</v>
      </c>
      <c r="AP711" s="847"/>
      <c r="AQ711" s="846">
        <v>0</v>
      </c>
      <c r="AR711" s="828"/>
      <c r="AS711" s="849"/>
      <c r="AT711" s="923">
        <f>+Tabla1[[#This Row],[VENTA TOTAL $ (IVA INC) ]]-(SUM(Tabla1[[#This Row],[PENDIENTE DE ENTREGA]:[VALORES COBRADOS]]))</f>
        <v>0</v>
      </c>
      <c r="AU711" s="850" t="e">
        <f>VLOOKUP(Tabla1[[#This Row],[FECHA OC]],'TIPO DE CAMBIO'!A:B,2,TRUE)</f>
        <v>#N/A</v>
      </c>
      <c r="AV711" s="850" t="e">
        <f>+Tabla1[[#This Row],[SUBTOTAL]]/Tabla1[[#This Row],[TIPO DE CAMBIO]]</f>
        <v>#N/A</v>
      </c>
      <c r="AW711" s="851"/>
      <c r="AX711" s="850" t="str">
        <f>IFERROR(Tabla1[[#This Row],[VENTA TOTAL USD A PLAZO EN CLIENTE  (SIN IVA)]]*(1+Tabla1[[#This Row],[% IVA ]]),"")</f>
        <v/>
      </c>
      <c r="AY711" s="850" t="e">
        <f>+Tabla1[[#This Row],[VENTA TOTAL USD A PLAZO EN CLIENTE  (SIN IVA)]]/Tabla1[[#This Row],[KGS]]*1000</f>
        <v>#N/A</v>
      </c>
      <c r="AZ711" s="850" t="e">
        <f>-Tabla1[[#This Row],[COSTO FLETE $ POR BOLSA 5O KG (SIN IVA)]]*20/Tabla1[[#This Row],[TIPO DE CAMBIO]]</f>
        <v>#N/A</v>
      </c>
      <c r="BA711" s="850" t="e">
        <f>+Tabla1[[#This Row],[GASTOS FINANCIEROS $ BOLSA 50 KG (IVA INC)]]*20/Tabla1[[#This Row],[TIPO DE CAMBIO]]</f>
        <v>#VALUE!</v>
      </c>
      <c r="BB711" s="850" t="e">
        <f>+Tabla1[[#This Row],[PRECIO POR TN USD EN CLIENTE A PLAZO (SIN IVA)]]+Tabla1[[#This Row],[COSTO USD FLETE /TN (SIN IVA)]]+Tabla1[[#This Row],[COSTO FINANCIERO USD POR BOLSA 50KG (IVA INC)]]</f>
        <v>#N/A</v>
      </c>
      <c r="BC711" s="848"/>
      <c r="BD711" s="944"/>
    </row>
    <row r="712" spans="1:56" ht="15.75" customHeight="1">
      <c r="A712" s="912">
        <v>46327</v>
      </c>
      <c r="B712" s="863"/>
      <c r="C712" s="792"/>
      <c r="D712" s="829">
        <f>+Tabla1[[#This Row],[FECHA Entrega]]</f>
        <v>0</v>
      </c>
      <c r="E712" s="830"/>
      <c r="F712" s="831"/>
      <c r="G712" s="832"/>
      <c r="H712" s="852"/>
      <c r="I712" s="834"/>
      <c r="J712" s="835"/>
      <c r="K712" s="836">
        <f t="shared" si="151"/>
        <v>0</v>
      </c>
      <c r="L71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12" s="837">
        <f t="shared" si="153"/>
        <v>0</v>
      </c>
      <c r="N712" s="838">
        <f>+Tabla1[[#This Row],[VENTA TOTAL $ (IVA INC) ]]</f>
        <v>0</v>
      </c>
      <c r="O712" s="838">
        <v>0</v>
      </c>
      <c r="P712" s="838">
        <v>0</v>
      </c>
      <c r="Q712" s="839">
        <f>+Tabla1[[#This Row],[VENTA TOTAL $ (IVA INC) ]]</f>
        <v>0</v>
      </c>
      <c r="R712" s="840">
        <f>+Tabla1[[#This Row],[FECHA FC]]+Tabla1[[#This Row],[PLAZO ENTREGA VALORES]]</f>
        <v>0</v>
      </c>
      <c r="S712" s="840">
        <f>+Tabla1[[#This Row],[FECHA FC]]+Tabla1[[#This Row],[PLAZO PAGO (DIAS)]]</f>
        <v>0</v>
      </c>
      <c r="T712" s="834">
        <f t="shared" ca="1" si="152"/>
        <v>-46181</v>
      </c>
      <c r="U712" s="831"/>
      <c r="V712" s="831"/>
      <c r="W712" s="841">
        <f>+Tabla1[[#This Row],[FECHA VTO VALORES]]+7</f>
        <v>7</v>
      </c>
      <c r="X712" s="830"/>
      <c r="Y712" s="859"/>
      <c r="Z712" s="860">
        <f>Tabla1[[#This Row],[KGS]]/50</f>
        <v>0</v>
      </c>
      <c r="AA71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12" s="844">
        <f>-Tabla1[[#This Row],[COSTO FLETE $ POR BOLSA 5O KG (SIN IVA)]]*1.21-Tabla1[[#This Row],[PRECIO $/ KG A PLAZO EN CLIENTE ( SIN IVA)]]*0.003*1.21*50</f>
        <v>0</v>
      </c>
      <c r="AC712" s="845" t="e">
        <f>SUM(Tabla1[[#This Row],[PRECIO $ BOLSA 50 KG (IVA INC) ]]+Tabla1[[#This Row],[COSTO FLETE $ BOLSA 50 KG (IVA INC)]])</f>
        <v>#VALUE!</v>
      </c>
      <c r="AD712" s="844" t="e">
        <f>-Tabla1[[#This Row],[PRECIO $ BOLSA 50 KG (IVA INC) ]]*(Tabla1[[#This Row],[TASA FINANCIACION MENSUAL]]/365)*Tabla1[[#This Row],[PLAZO ENTREGA VALORES]]</f>
        <v>#VALUE!</v>
      </c>
      <c r="AE712" s="845" t="e">
        <f>SUM(Tabla1[[#This Row],[PRECIO $ BOLSA50 KG  FOB TUCUMAN A PLAZO (IVA INC)]]+Tabla1[[#This Row],[GASTOS FINANCIEROS $ BOLSA 50 KG (IVA INC)]])</f>
        <v>#VALUE!</v>
      </c>
      <c r="AF712" s="828"/>
      <c r="AG712" s="828"/>
      <c r="AH712" s="828"/>
      <c r="AI712" s="828"/>
      <c r="AJ71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12" s="846" t="e">
        <f>SUM(Tabla1[[#This Row],[PRECIO $ BOLSA 50KG  FOB CDO TUC (IVA INC)]]-Tabla1[[#This Row],[PRECIO REF $ BOLSA 50 KG CACTU (IVA INC)]])</f>
        <v>#VALUE!</v>
      </c>
      <c r="AL712" s="847" t="str">
        <f>IFERROR(Tabla1[[#This Row],[PRECIO $ BOLSA 50KG  FOB CDO TUC (IVA INC)]]/Tabla1[[#This Row],[PRECIO REF $ BOLSA 50 KG CACTU (IVA INC)]]-1,"")</f>
        <v/>
      </c>
      <c r="AM712" s="846" t="e">
        <f>+Tabla1[[#This Row],[DIF $ PRECIO NETO INDUSTRIA vs Neto TUCUMAN (IVA INC)]]*Tabla1[[#This Row],[Q Bolsas Equivalentes 50kg]]</f>
        <v>#VALUE!</v>
      </c>
      <c r="AN712" s="846" t="e">
        <f>Tabla1[[#This Row],[PRECIO REF $ BOLSA 50 KG CACTU (IVA INC)]]*Tabla1[[#This Row],[Q Bolsas Equivalentes 50kg]]</f>
        <v>#VALUE!</v>
      </c>
      <c r="AO712" s="846" t="e">
        <f>+Tabla1[[#This Row],[PRECIO $ BOLSA 50KG  FOB CDO TUC (IVA INC)]]*Tabla1[[#This Row],[Q Bolsas Equivalentes 50kg]]</f>
        <v>#VALUE!</v>
      </c>
      <c r="AP712" s="847"/>
      <c r="AQ712" s="846">
        <v>0</v>
      </c>
      <c r="AR712" s="828"/>
      <c r="AS712" s="849"/>
      <c r="AT712" s="923">
        <f>+Tabla1[[#This Row],[VENTA TOTAL $ (IVA INC) ]]-(SUM(Tabla1[[#This Row],[PENDIENTE DE ENTREGA]:[VALORES COBRADOS]]))</f>
        <v>0</v>
      </c>
      <c r="AU712" s="850" t="e">
        <f>VLOOKUP(Tabla1[[#This Row],[FECHA OC]],'TIPO DE CAMBIO'!A:B,2,TRUE)</f>
        <v>#N/A</v>
      </c>
      <c r="AV712" s="850" t="e">
        <f>+Tabla1[[#This Row],[SUBTOTAL]]/Tabla1[[#This Row],[TIPO DE CAMBIO]]</f>
        <v>#N/A</v>
      </c>
      <c r="AW712" s="851"/>
      <c r="AX712" s="850" t="str">
        <f>IFERROR(Tabla1[[#This Row],[VENTA TOTAL USD A PLAZO EN CLIENTE  (SIN IVA)]]*(1+Tabla1[[#This Row],[% IVA ]]),"")</f>
        <v/>
      </c>
      <c r="AY712" s="850" t="e">
        <f>+Tabla1[[#This Row],[VENTA TOTAL USD A PLAZO EN CLIENTE  (SIN IVA)]]/Tabla1[[#This Row],[KGS]]*1000</f>
        <v>#N/A</v>
      </c>
      <c r="AZ712" s="850" t="e">
        <f>-Tabla1[[#This Row],[COSTO FLETE $ POR BOLSA 5O KG (SIN IVA)]]*20/Tabla1[[#This Row],[TIPO DE CAMBIO]]</f>
        <v>#N/A</v>
      </c>
      <c r="BA712" s="850" t="e">
        <f>+Tabla1[[#This Row],[GASTOS FINANCIEROS $ BOLSA 50 KG (IVA INC)]]*20/Tabla1[[#This Row],[TIPO DE CAMBIO]]</f>
        <v>#VALUE!</v>
      </c>
      <c r="BB712" s="850" t="e">
        <f>+Tabla1[[#This Row],[PRECIO POR TN USD EN CLIENTE A PLAZO (SIN IVA)]]+Tabla1[[#This Row],[COSTO USD FLETE /TN (SIN IVA)]]+Tabla1[[#This Row],[COSTO FINANCIERO USD POR BOLSA 50KG (IVA INC)]]</f>
        <v>#N/A</v>
      </c>
      <c r="BC712" s="828"/>
      <c r="BD712" s="944"/>
    </row>
    <row r="713" spans="1:56" ht="15.75" customHeight="1">
      <c r="A713" s="912">
        <v>46327</v>
      </c>
      <c r="B713" s="863"/>
      <c r="C713" s="792"/>
      <c r="D713" s="829">
        <f>+Tabla1[[#This Row],[FECHA Entrega]]</f>
        <v>0</v>
      </c>
      <c r="E713" s="830"/>
      <c r="F713" s="831"/>
      <c r="G713" s="832"/>
      <c r="H713" s="852"/>
      <c r="I713" s="834"/>
      <c r="J713" s="835"/>
      <c r="K713" s="836">
        <f t="shared" si="151"/>
        <v>0</v>
      </c>
      <c r="L71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13" s="837">
        <f t="shared" si="153"/>
        <v>0</v>
      </c>
      <c r="N713" s="838">
        <f>+Tabla1[[#This Row],[VENTA TOTAL $ (IVA INC) ]]</f>
        <v>0</v>
      </c>
      <c r="O713" s="838">
        <v>0</v>
      </c>
      <c r="P713" s="838">
        <v>0</v>
      </c>
      <c r="Q713" s="839">
        <f>+Tabla1[[#This Row],[VENTA TOTAL $ (IVA INC) ]]-Tabla1[[#This Row],[PENDIENTE DE COBRO]]</f>
        <v>0</v>
      </c>
      <c r="R713" s="840">
        <f>+Tabla1[[#This Row],[FECHA FC]]+Tabla1[[#This Row],[PLAZO ENTREGA VALORES]]</f>
        <v>0</v>
      </c>
      <c r="S713" s="840">
        <f>+Tabla1[[#This Row],[FECHA FC]]+Tabla1[[#This Row],[PLAZO PAGO (DIAS)]]</f>
        <v>0</v>
      </c>
      <c r="T713" s="834">
        <f t="shared" ca="1" si="152"/>
        <v>-46181</v>
      </c>
      <c r="U713" s="831"/>
      <c r="V713" s="831"/>
      <c r="W713" s="841">
        <f>+Tabla1[[#This Row],[FECHA VTO VALORES]]+7</f>
        <v>7</v>
      </c>
      <c r="X713" s="830"/>
      <c r="Y713" s="859"/>
      <c r="Z713" s="860">
        <f>Tabla1[[#This Row],[KGS]]/50</f>
        <v>0</v>
      </c>
      <c r="AA71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13" s="844">
        <f>-Tabla1[[#This Row],[COSTO FLETE $ POR BOLSA 5O KG (SIN IVA)]]*1.21-Tabla1[[#This Row],[PRECIO $/ KG A PLAZO EN CLIENTE ( SIN IVA)]]*0.003*1.21*50</f>
        <v>0</v>
      </c>
      <c r="AC713" s="845" t="e">
        <f>SUM(Tabla1[[#This Row],[PRECIO $ BOLSA 50 KG (IVA INC) ]]+Tabla1[[#This Row],[COSTO FLETE $ BOLSA 50 KG (IVA INC)]])</f>
        <v>#VALUE!</v>
      </c>
      <c r="AD713" s="844" t="e">
        <f>-Tabla1[[#This Row],[PRECIO $ BOLSA 50 KG (IVA INC) ]]*(Tabla1[[#This Row],[TASA FINANCIACION MENSUAL]]/365)*Tabla1[[#This Row],[PLAZO ENTREGA VALORES]]</f>
        <v>#VALUE!</v>
      </c>
      <c r="AE713" s="845" t="e">
        <f>SUM(Tabla1[[#This Row],[PRECIO $ BOLSA50 KG  FOB TUCUMAN A PLAZO (IVA INC)]]+Tabla1[[#This Row],[GASTOS FINANCIEROS $ BOLSA 50 KG (IVA INC)]])</f>
        <v>#VALUE!</v>
      </c>
      <c r="AF713" s="828"/>
      <c r="AG713" s="828"/>
      <c r="AH713" s="828"/>
      <c r="AI713" s="828"/>
      <c r="AJ71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13" s="846" t="e">
        <f>SUM(Tabla1[[#This Row],[PRECIO $ BOLSA 50KG  FOB CDO TUC (IVA INC)]]-Tabla1[[#This Row],[PRECIO REF $ BOLSA 50 KG CACTU (IVA INC)]])</f>
        <v>#VALUE!</v>
      </c>
      <c r="AL713" s="847" t="str">
        <f>IFERROR(Tabla1[[#This Row],[PRECIO $ BOLSA 50KG  FOB CDO TUC (IVA INC)]]/Tabla1[[#This Row],[PRECIO REF $ BOLSA 50 KG CACTU (IVA INC)]]-1,"")</f>
        <v/>
      </c>
      <c r="AM713" s="846" t="e">
        <f>+Tabla1[[#This Row],[DIF $ PRECIO NETO INDUSTRIA vs Neto TUCUMAN (IVA INC)]]*Tabla1[[#This Row],[Q Bolsas Equivalentes 50kg]]</f>
        <v>#VALUE!</v>
      </c>
      <c r="AN713" s="846" t="e">
        <f>Tabla1[[#This Row],[PRECIO REF $ BOLSA 50 KG CACTU (IVA INC)]]*Tabla1[[#This Row],[Q Bolsas Equivalentes 50kg]]</f>
        <v>#VALUE!</v>
      </c>
      <c r="AO713" s="846" t="e">
        <f>+Tabla1[[#This Row],[PRECIO $ BOLSA 50KG  FOB CDO TUC (IVA INC)]]*Tabla1[[#This Row],[Q Bolsas Equivalentes 50kg]]</f>
        <v>#VALUE!</v>
      </c>
      <c r="AP713" s="847"/>
      <c r="AQ713" s="846">
        <v>0</v>
      </c>
      <c r="AR713" s="828"/>
      <c r="AS713" s="849"/>
      <c r="AT713" s="923">
        <f>+Tabla1[[#This Row],[VENTA TOTAL $ (IVA INC) ]]-(SUM(Tabla1[[#This Row],[PENDIENTE DE ENTREGA]:[VALORES COBRADOS]]))</f>
        <v>0</v>
      </c>
      <c r="AU713" s="850" t="e">
        <f>VLOOKUP(Tabla1[[#This Row],[FECHA OC]],'TIPO DE CAMBIO'!A:B,2,TRUE)</f>
        <v>#N/A</v>
      </c>
      <c r="AV713" s="850" t="e">
        <f>+Tabla1[[#This Row],[SUBTOTAL]]/Tabla1[[#This Row],[TIPO DE CAMBIO]]</f>
        <v>#N/A</v>
      </c>
      <c r="AW713" s="851"/>
      <c r="AX713" s="850" t="str">
        <f>IFERROR(Tabla1[[#This Row],[VENTA TOTAL USD A PLAZO EN CLIENTE  (SIN IVA)]]*(1+Tabla1[[#This Row],[% IVA ]]),"")</f>
        <v/>
      </c>
      <c r="AY713" s="850" t="e">
        <f>+Tabla1[[#This Row],[VENTA TOTAL USD A PLAZO EN CLIENTE  (SIN IVA)]]/Tabla1[[#This Row],[KGS]]*1000</f>
        <v>#N/A</v>
      </c>
      <c r="AZ713" s="850" t="e">
        <f>-Tabla1[[#This Row],[COSTO FLETE $ POR BOLSA 5O KG (SIN IVA)]]*20/Tabla1[[#This Row],[TIPO DE CAMBIO]]</f>
        <v>#N/A</v>
      </c>
      <c r="BA713" s="850" t="e">
        <f>+Tabla1[[#This Row],[GASTOS FINANCIEROS $ BOLSA 50 KG (IVA INC)]]*20/Tabla1[[#This Row],[TIPO DE CAMBIO]]</f>
        <v>#VALUE!</v>
      </c>
      <c r="BB713" s="850" t="e">
        <f>+Tabla1[[#This Row],[PRECIO POR TN USD EN CLIENTE A PLAZO (SIN IVA)]]+Tabla1[[#This Row],[COSTO USD FLETE /TN (SIN IVA)]]+Tabla1[[#This Row],[COSTO FINANCIERO USD POR BOLSA 50KG (IVA INC)]]</f>
        <v>#N/A</v>
      </c>
      <c r="BC713" s="828"/>
      <c r="BD713" s="944"/>
    </row>
    <row r="714" spans="1:56" ht="15.75" customHeight="1">
      <c r="A714" s="912">
        <v>46327</v>
      </c>
      <c r="B714" s="863"/>
      <c r="C714" s="792"/>
      <c r="D714" s="829">
        <f>+Tabla1[[#This Row],[FECHA Entrega]]</f>
        <v>0</v>
      </c>
      <c r="E714" s="830"/>
      <c r="F714" s="831"/>
      <c r="G714" s="832"/>
      <c r="H714" s="852"/>
      <c r="I714" s="834"/>
      <c r="J714" s="835"/>
      <c r="K714" s="836">
        <f t="shared" si="151"/>
        <v>0</v>
      </c>
      <c r="L71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14" s="837">
        <f t="shared" si="153"/>
        <v>0</v>
      </c>
      <c r="N714" s="838">
        <f>+Tabla1[[#This Row],[VENTA TOTAL $ (IVA INC) ]]</f>
        <v>0</v>
      </c>
      <c r="O714" s="838">
        <v>0</v>
      </c>
      <c r="P714" s="838">
        <v>0</v>
      </c>
      <c r="Q714" s="839">
        <f>+Tabla1[[#This Row],[VENTA TOTAL $ (IVA INC) ]]-Tabla1[[#This Row],[PENDIENTE DE COBRO]]</f>
        <v>0</v>
      </c>
      <c r="R714" s="840">
        <f>+Tabla1[[#This Row],[FECHA FC]]+Tabla1[[#This Row],[PLAZO ENTREGA VALORES]]</f>
        <v>0</v>
      </c>
      <c r="S714" s="840">
        <f>+Tabla1[[#This Row],[FECHA FC]]+Tabla1[[#This Row],[PLAZO PAGO (DIAS)]]</f>
        <v>0</v>
      </c>
      <c r="T714" s="834">
        <f t="shared" ca="1" si="152"/>
        <v>-46181</v>
      </c>
      <c r="U714" s="831"/>
      <c r="V714" s="831"/>
      <c r="W714" s="841">
        <f>+Tabla1[[#This Row],[FECHA VTO VALORES]]+7</f>
        <v>7</v>
      </c>
      <c r="X714" s="830"/>
      <c r="Y714" s="859"/>
      <c r="Z714" s="860">
        <f>Tabla1[[#This Row],[KGS]]/50</f>
        <v>0</v>
      </c>
      <c r="AA71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14" s="844">
        <f>-Tabla1[[#This Row],[COSTO FLETE $ POR BOLSA 5O KG (SIN IVA)]]*1.21-Tabla1[[#This Row],[PRECIO $/ KG A PLAZO EN CLIENTE ( SIN IVA)]]*0.003*1.21*50</f>
        <v>0</v>
      </c>
      <c r="AC714" s="845" t="e">
        <f>SUM(Tabla1[[#This Row],[PRECIO $ BOLSA 50 KG (IVA INC) ]]+Tabla1[[#This Row],[COSTO FLETE $ BOLSA 50 KG (IVA INC)]])</f>
        <v>#VALUE!</v>
      </c>
      <c r="AD714" s="844" t="e">
        <f>-Tabla1[[#This Row],[PRECIO $ BOLSA 50 KG (IVA INC) ]]*(Tabla1[[#This Row],[TASA FINANCIACION MENSUAL]]/365)*Tabla1[[#This Row],[PLAZO ENTREGA VALORES]]</f>
        <v>#VALUE!</v>
      </c>
      <c r="AE714" s="845" t="e">
        <f>SUM(Tabla1[[#This Row],[PRECIO $ BOLSA50 KG  FOB TUCUMAN A PLAZO (IVA INC)]]+Tabla1[[#This Row],[GASTOS FINANCIEROS $ BOLSA 50 KG (IVA INC)]])</f>
        <v>#VALUE!</v>
      </c>
      <c r="AF714" s="828"/>
      <c r="AG714" s="828"/>
      <c r="AH714" s="828"/>
      <c r="AI714" s="828"/>
      <c r="AJ71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14" s="846" t="e">
        <f>SUM(Tabla1[[#This Row],[PRECIO $ BOLSA 50KG  FOB CDO TUC (IVA INC)]]-Tabla1[[#This Row],[PRECIO REF $ BOLSA 50 KG CACTU (IVA INC)]])</f>
        <v>#VALUE!</v>
      </c>
      <c r="AL714" s="847" t="str">
        <f>IFERROR(Tabla1[[#This Row],[PRECIO $ BOLSA 50KG  FOB CDO TUC (IVA INC)]]/Tabla1[[#This Row],[PRECIO REF $ BOLSA 50 KG CACTU (IVA INC)]]-1,"")</f>
        <v/>
      </c>
      <c r="AM714" s="846" t="e">
        <f>+Tabla1[[#This Row],[DIF $ PRECIO NETO INDUSTRIA vs Neto TUCUMAN (IVA INC)]]*Tabla1[[#This Row],[Q Bolsas Equivalentes 50kg]]</f>
        <v>#VALUE!</v>
      </c>
      <c r="AN714" s="846" t="e">
        <f>Tabla1[[#This Row],[PRECIO REF $ BOLSA 50 KG CACTU (IVA INC)]]*Tabla1[[#This Row],[Q Bolsas Equivalentes 50kg]]</f>
        <v>#VALUE!</v>
      </c>
      <c r="AO714" s="846" t="e">
        <f>+Tabla1[[#This Row],[PRECIO $ BOLSA 50KG  FOB CDO TUC (IVA INC)]]*Tabla1[[#This Row],[Q Bolsas Equivalentes 50kg]]</f>
        <v>#VALUE!</v>
      </c>
      <c r="AP714" s="847"/>
      <c r="AQ714" s="846">
        <v>0</v>
      </c>
      <c r="AR714" s="828"/>
      <c r="AS714" s="849"/>
      <c r="AT714" s="923">
        <f>+Tabla1[[#This Row],[VENTA TOTAL $ (IVA INC) ]]-(SUM(Tabla1[[#This Row],[PENDIENTE DE ENTREGA]:[VALORES COBRADOS]]))</f>
        <v>0</v>
      </c>
      <c r="AU714" s="850" t="e">
        <f>VLOOKUP(Tabla1[[#This Row],[FECHA OC]],'TIPO DE CAMBIO'!A:B,2,TRUE)</f>
        <v>#N/A</v>
      </c>
      <c r="AV714" s="850" t="e">
        <f>+Tabla1[[#This Row],[SUBTOTAL]]/Tabla1[[#This Row],[TIPO DE CAMBIO]]</f>
        <v>#N/A</v>
      </c>
      <c r="AW714" s="851"/>
      <c r="AX714" s="850" t="str">
        <f>IFERROR(Tabla1[[#This Row],[VENTA TOTAL USD A PLAZO EN CLIENTE  (SIN IVA)]]*(1+Tabla1[[#This Row],[% IVA ]]),"")</f>
        <v/>
      </c>
      <c r="AY714" s="850" t="e">
        <f>+Tabla1[[#This Row],[VENTA TOTAL USD A PLAZO EN CLIENTE  (SIN IVA)]]/Tabla1[[#This Row],[KGS]]*1000</f>
        <v>#N/A</v>
      </c>
      <c r="AZ714" s="850" t="e">
        <f>-Tabla1[[#This Row],[COSTO FLETE $ POR BOLSA 5O KG (SIN IVA)]]*20/Tabla1[[#This Row],[TIPO DE CAMBIO]]</f>
        <v>#N/A</v>
      </c>
      <c r="BA714" s="850" t="e">
        <f>+Tabla1[[#This Row],[GASTOS FINANCIEROS $ BOLSA 50 KG (IVA INC)]]*20/Tabla1[[#This Row],[TIPO DE CAMBIO]]</f>
        <v>#VALUE!</v>
      </c>
      <c r="BB714" s="850" t="e">
        <f>+Tabla1[[#This Row],[PRECIO POR TN USD EN CLIENTE A PLAZO (SIN IVA)]]+Tabla1[[#This Row],[COSTO USD FLETE /TN (SIN IVA)]]+Tabla1[[#This Row],[COSTO FINANCIERO USD POR BOLSA 50KG (IVA INC)]]</f>
        <v>#N/A</v>
      </c>
      <c r="BC714" s="828"/>
      <c r="BD714" s="944"/>
    </row>
    <row r="715" spans="1:56" ht="15.75" customHeight="1">
      <c r="A715" s="912">
        <v>46327</v>
      </c>
      <c r="B715" s="863"/>
      <c r="C715" s="792"/>
      <c r="D715" s="829">
        <f>+Tabla1[[#This Row],[FECHA Entrega]]</f>
        <v>0</v>
      </c>
      <c r="E715" s="830"/>
      <c r="F715" s="831"/>
      <c r="G715" s="832"/>
      <c r="H715" s="852"/>
      <c r="I715" s="834"/>
      <c r="J715" s="835"/>
      <c r="K715" s="836">
        <f t="shared" si="151"/>
        <v>0</v>
      </c>
      <c r="L71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15" s="837">
        <f t="shared" si="153"/>
        <v>0</v>
      </c>
      <c r="N715" s="838">
        <f>+Tabla1[[#This Row],[VENTA TOTAL $ (IVA INC) ]]</f>
        <v>0</v>
      </c>
      <c r="O715" s="838">
        <v>0</v>
      </c>
      <c r="P715" s="838">
        <v>0</v>
      </c>
      <c r="Q715" s="839">
        <f>+Tabla1[[#This Row],[VENTA TOTAL $ (IVA INC) ]]</f>
        <v>0</v>
      </c>
      <c r="R715" s="840">
        <f>+Tabla1[[#This Row],[FECHA FC]]+Tabla1[[#This Row],[PLAZO ENTREGA VALORES]]</f>
        <v>0</v>
      </c>
      <c r="S715" s="840">
        <f>+Tabla1[[#This Row],[FECHA FC]]+Tabla1[[#This Row],[PLAZO PAGO (DIAS)]]</f>
        <v>0</v>
      </c>
      <c r="T715" s="834">
        <f t="shared" ca="1" si="152"/>
        <v>-46181</v>
      </c>
      <c r="U715" s="831"/>
      <c r="V715" s="831"/>
      <c r="W715" s="841">
        <f>+Tabla1[[#This Row],[FECHA VTO VALORES]]+7</f>
        <v>7</v>
      </c>
      <c r="X715" s="830"/>
      <c r="Y715" s="859"/>
      <c r="Z715" s="860">
        <f>Tabla1[[#This Row],[KGS]]/50</f>
        <v>0</v>
      </c>
      <c r="AA71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15" s="844">
        <f>-Tabla1[[#This Row],[COSTO FLETE $ POR BOLSA 5O KG (SIN IVA)]]*1.21-Tabla1[[#This Row],[PRECIO $/ KG A PLAZO EN CLIENTE ( SIN IVA)]]*0.003*1.21*50</f>
        <v>0</v>
      </c>
      <c r="AC715" s="845" t="e">
        <f>SUM(Tabla1[[#This Row],[PRECIO $ BOLSA 50 KG (IVA INC) ]]+Tabla1[[#This Row],[COSTO FLETE $ BOLSA 50 KG (IVA INC)]])</f>
        <v>#VALUE!</v>
      </c>
      <c r="AD715" s="844" t="e">
        <f>-Tabla1[[#This Row],[PRECIO $ BOLSA 50 KG (IVA INC) ]]*(Tabla1[[#This Row],[TASA FINANCIACION MENSUAL]]/365)*Tabla1[[#This Row],[PLAZO ENTREGA VALORES]]</f>
        <v>#VALUE!</v>
      </c>
      <c r="AE715" s="845" t="e">
        <f>SUM(Tabla1[[#This Row],[PRECIO $ BOLSA50 KG  FOB TUCUMAN A PLAZO (IVA INC)]]+Tabla1[[#This Row],[GASTOS FINANCIEROS $ BOLSA 50 KG (IVA INC)]])</f>
        <v>#VALUE!</v>
      </c>
      <c r="AF715" s="828"/>
      <c r="AG715" s="828"/>
      <c r="AH715" s="828"/>
      <c r="AI715" s="828"/>
      <c r="AJ71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15" s="846" t="e">
        <f>SUM(Tabla1[[#This Row],[PRECIO $ BOLSA 50KG  FOB CDO TUC (IVA INC)]]-Tabla1[[#This Row],[PRECIO REF $ BOLSA 50 KG CACTU (IVA INC)]])</f>
        <v>#VALUE!</v>
      </c>
      <c r="AL715" s="847" t="str">
        <f>IFERROR(Tabla1[[#This Row],[PRECIO $ BOLSA 50KG  FOB CDO TUC (IVA INC)]]/Tabla1[[#This Row],[PRECIO REF $ BOLSA 50 KG CACTU (IVA INC)]]-1,"")</f>
        <v/>
      </c>
      <c r="AM715" s="846" t="e">
        <f>+Tabla1[[#This Row],[DIF $ PRECIO NETO INDUSTRIA vs Neto TUCUMAN (IVA INC)]]*Tabla1[[#This Row],[Q Bolsas Equivalentes 50kg]]</f>
        <v>#VALUE!</v>
      </c>
      <c r="AN715" s="846" t="e">
        <f>Tabla1[[#This Row],[PRECIO REF $ BOLSA 50 KG CACTU (IVA INC)]]*Tabla1[[#This Row],[Q Bolsas Equivalentes 50kg]]</f>
        <v>#VALUE!</v>
      </c>
      <c r="AO715" s="846" t="e">
        <f>+Tabla1[[#This Row],[PRECIO $ BOLSA 50KG  FOB CDO TUC (IVA INC)]]*Tabla1[[#This Row],[Q Bolsas Equivalentes 50kg]]</f>
        <v>#VALUE!</v>
      </c>
      <c r="AP715" s="847"/>
      <c r="AQ715" s="846">
        <v>0</v>
      </c>
      <c r="AR715" s="828"/>
      <c r="AS715" s="849"/>
      <c r="AT715" s="923">
        <f>+Tabla1[[#This Row],[VENTA TOTAL $ (IVA INC) ]]-(SUM(Tabla1[[#This Row],[PENDIENTE DE ENTREGA]:[VALORES COBRADOS]]))</f>
        <v>0</v>
      </c>
      <c r="AU715" s="850" t="e">
        <f>VLOOKUP(Tabla1[[#This Row],[FECHA OC]],'TIPO DE CAMBIO'!A:B,2,TRUE)</f>
        <v>#N/A</v>
      </c>
      <c r="AV715" s="850" t="e">
        <f>+Tabla1[[#This Row],[SUBTOTAL]]/Tabla1[[#This Row],[TIPO DE CAMBIO]]</f>
        <v>#N/A</v>
      </c>
      <c r="AW715" s="851"/>
      <c r="AX715" s="850" t="str">
        <f>IFERROR(Tabla1[[#This Row],[VENTA TOTAL USD A PLAZO EN CLIENTE  (SIN IVA)]]*(1+Tabla1[[#This Row],[% IVA ]]),"")</f>
        <v/>
      </c>
      <c r="AY715" s="850" t="e">
        <f>+Tabla1[[#This Row],[VENTA TOTAL USD A PLAZO EN CLIENTE  (SIN IVA)]]/Tabla1[[#This Row],[KGS]]*1000</f>
        <v>#N/A</v>
      </c>
      <c r="AZ715" s="850" t="e">
        <f>-Tabla1[[#This Row],[COSTO FLETE $ POR BOLSA 5O KG (SIN IVA)]]*20/Tabla1[[#This Row],[TIPO DE CAMBIO]]</f>
        <v>#N/A</v>
      </c>
      <c r="BA715" s="850" t="e">
        <f>+Tabla1[[#This Row],[GASTOS FINANCIEROS $ BOLSA 50 KG (IVA INC)]]*20/Tabla1[[#This Row],[TIPO DE CAMBIO]]</f>
        <v>#VALUE!</v>
      </c>
      <c r="BB715" s="850" t="e">
        <f>+Tabla1[[#This Row],[PRECIO POR TN USD EN CLIENTE A PLAZO (SIN IVA)]]+Tabla1[[#This Row],[COSTO USD FLETE /TN (SIN IVA)]]+Tabla1[[#This Row],[COSTO FINANCIERO USD POR BOLSA 50KG (IVA INC)]]</f>
        <v>#N/A</v>
      </c>
      <c r="BC715" s="828"/>
      <c r="BD715" s="944"/>
    </row>
    <row r="716" spans="1:56" ht="15.75" customHeight="1">
      <c r="A716" s="912">
        <v>46327</v>
      </c>
      <c r="B716" s="863"/>
      <c r="C716" s="792"/>
      <c r="D716" s="829">
        <f>+Tabla1[[#This Row],[FECHA Entrega]]</f>
        <v>0</v>
      </c>
      <c r="E716" s="830"/>
      <c r="F716" s="831"/>
      <c r="G716" s="832"/>
      <c r="H716" s="852"/>
      <c r="I716" s="834"/>
      <c r="J716" s="835"/>
      <c r="K716" s="836">
        <f t="shared" si="151"/>
        <v>0</v>
      </c>
      <c r="L71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16" s="837">
        <f t="shared" si="153"/>
        <v>0</v>
      </c>
      <c r="N716" s="838">
        <f>+Tabla1[[#This Row],[VENTA TOTAL $ (IVA INC) ]]</f>
        <v>0</v>
      </c>
      <c r="O716" s="838">
        <v>0</v>
      </c>
      <c r="P716" s="838">
        <v>0</v>
      </c>
      <c r="Q716" s="839">
        <f>+Tabla1[[#This Row],[VENTA TOTAL $ (IVA INC) ]]-Tabla1[[#This Row],[PENDIENTE DE COBRO]]</f>
        <v>0</v>
      </c>
      <c r="R716" s="840">
        <f>+Tabla1[[#This Row],[FECHA FC]]+Tabla1[[#This Row],[PLAZO ENTREGA VALORES]]</f>
        <v>0</v>
      </c>
      <c r="S716" s="840">
        <f>+Tabla1[[#This Row],[FECHA FC]]+Tabla1[[#This Row],[PLAZO PAGO (DIAS)]]</f>
        <v>0</v>
      </c>
      <c r="T716" s="834">
        <f t="shared" ca="1" si="152"/>
        <v>-46181</v>
      </c>
      <c r="U716" s="831"/>
      <c r="V716" s="831"/>
      <c r="W716" s="841">
        <f>+Tabla1[[#This Row],[FECHA VTO VALORES]]+7</f>
        <v>7</v>
      </c>
      <c r="X716" s="830"/>
      <c r="Y716" s="859"/>
      <c r="Z716" s="860">
        <f>Tabla1[[#This Row],[KGS]]/50</f>
        <v>0</v>
      </c>
      <c r="AA71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16" s="844">
        <f>-Tabla1[[#This Row],[COSTO FLETE $ POR BOLSA 5O KG (SIN IVA)]]*1.21-Tabla1[[#This Row],[PRECIO $/ KG A PLAZO EN CLIENTE ( SIN IVA)]]*0.003*1.21*50</f>
        <v>0</v>
      </c>
      <c r="AC716" s="845" t="e">
        <f>SUM(Tabla1[[#This Row],[PRECIO $ BOLSA 50 KG (IVA INC) ]]+Tabla1[[#This Row],[COSTO FLETE $ BOLSA 50 KG (IVA INC)]])</f>
        <v>#VALUE!</v>
      </c>
      <c r="AD716" s="844" t="e">
        <f>-Tabla1[[#This Row],[PRECIO $ BOLSA 50 KG (IVA INC) ]]*(Tabla1[[#This Row],[TASA FINANCIACION MENSUAL]]/365)*Tabla1[[#This Row],[PLAZO ENTREGA VALORES]]</f>
        <v>#VALUE!</v>
      </c>
      <c r="AE716" s="845" t="e">
        <f>SUM(Tabla1[[#This Row],[PRECIO $ BOLSA50 KG  FOB TUCUMAN A PLAZO (IVA INC)]]+Tabla1[[#This Row],[GASTOS FINANCIEROS $ BOLSA 50 KG (IVA INC)]])</f>
        <v>#VALUE!</v>
      </c>
      <c r="AF716" s="828"/>
      <c r="AG716" s="828"/>
      <c r="AH716" s="828"/>
      <c r="AI716" s="828"/>
      <c r="AJ71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16" s="846" t="e">
        <f>SUM(Tabla1[[#This Row],[PRECIO $ BOLSA 50KG  FOB CDO TUC (IVA INC)]]-Tabla1[[#This Row],[PRECIO REF $ BOLSA 50 KG CACTU (IVA INC)]])</f>
        <v>#VALUE!</v>
      </c>
      <c r="AL716" s="847" t="str">
        <f>IFERROR(Tabla1[[#This Row],[PRECIO $ BOLSA 50KG  FOB CDO TUC (IVA INC)]]/Tabla1[[#This Row],[PRECIO REF $ BOLSA 50 KG CACTU (IVA INC)]]-1,"")</f>
        <v/>
      </c>
      <c r="AM716" s="846" t="e">
        <f>+Tabla1[[#This Row],[DIF $ PRECIO NETO INDUSTRIA vs Neto TUCUMAN (IVA INC)]]*Tabla1[[#This Row],[Q Bolsas Equivalentes 50kg]]</f>
        <v>#VALUE!</v>
      </c>
      <c r="AN716" s="846" t="e">
        <f>Tabla1[[#This Row],[PRECIO REF $ BOLSA 50 KG CACTU (IVA INC)]]*Tabla1[[#This Row],[Q Bolsas Equivalentes 50kg]]</f>
        <v>#VALUE!</v>
      </c>
      <c r="AO716" s="846" t="e">
        <f>+Tabla1[[#This Row],[PRECIO $ BOLSA 50KG  FOB CDO TUC (IVA INC)]]*Tabla1[[#This Row],[Q Bolsas Equivalentes 50kg]]</f>
        <v>#VALUE!</v>
      </c>
      <c r="AP716" s="847"/>
      <c r="AQ716" s="846">
        <v>0</v>
      </c>
      <c r="AR716" s="828"/>
      <c r="AS716" s="849"/>
      <c r="AT716" s="923">
        <f>+Tabla1[[#This Row],[VENTA TOTAL $ (IVA INC) ]]-(SUM(Tabla1[[#This Row],[PENDIENTE DE ENTREGA]:[VALORES COBRADOS]]))</f>
        <v>0</v>
      </c>
      <c r="AU716" s="850" t="e">
        <f>VLOOKUP(Tabla1[[#This Row],[FECHA OC]],'TIPO DE CAMBIO'!A:B,2,TRUE)</f>
        <v>#N/A</v>
      </c>
      <c r="AV716" s="850" t="e">
        <f>+Tabla1[[#This Row],[SUBTOTAL]]/Tabla1[[#This Row],[TIPO DE CAMBIO]]</f>
        <v>#N/A</v>
      </c>
      <c r="AW716" s="851"/>
      <c r="AX716" s="850" t="str">
        <f>IFERROR(Tabla1[[#This Row],[VENTA TOTAL USD A PLAZO EN CLIENTE  (SIN IVA)]]*(1+Tabla1[[#This Row],[% IVA ]]),"")</f>
        <v/>
      </c>
      <c r="AY716" s="850" t="e">
        <f>+Tabla1[[#This Row],[VENTA TOTAL USD A PLAZO EN CLIENTE  (SIN IVA)]]/Tabla1[[#This Row],[KGS]]*1000</f>
        <v>#N/A</v>
      </c>
      <c r="AZ716" s="850" t="e">
        <f>-Tabla1[[#This Row],[COSTO FLETE $ POR BOLSA 5O KG (SIN IVA)]]*20/Tabla1[[#This Row],[TIPO DE CAMBIO]]</f>
        <v>#N/A</v>
      </c>
      <c r="BA716" s="850" t="e">
        <f>+Tabla1[[#This Row],[GASTOS FINANCIEROS $ BOLSA 50 KG (IVA INC)]]*20/Tabla1[[#This Row],[TIPO DE CAMBIO]]</f>
        <v>#VALUE!</v>
      </c>
      <c r="BB716" s="850" t="e">
        <f>+Tabla1[[#This Row],[PRECIO POR TN USD EN CLIENTE A PLAZO (SIN IVA)]]+Tabla1[[#This Row],[COSTO USD FLETE /TN (SIN IVA)]]+Tabla1[[#This Row],[COSTO FINANCIERO USD POR BOLSA 50KG (IVA INC)]]</f>
        <v>#N/A</v>
      </c>
      <c r="BC716" s="828"/>
      <c r="BD716" s="944"/>
    </row>
    <row r="717" spans="1:56" ht="15.75" customHeight="1">
      <c r="A717" s="912">
        <v>46327</v>
      </c>
      <c r="B717" s="863"/>
      <c r="C717" s="792"/>
      <c r="D717" s="829">
        <f>+Tabla1[[#This Row],[FECHA Entrega]]</f>
        <v>0</v>
      </c>
      <c r="E717" s="830"/>
      <c r="F717" s="831"/>
      <c r="G717" s="832"/>
      <c r="H717" s="852"/>
      <c r="I717" s="834"/>
      <c r="J717" s="835"/>
      <c r="K717" s="836">
        <f t="shared" si="151"/>
        <v>0</v>
      </c>
      <c r="L71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17" s="837">
        <f t="shared" si="153"/>
        <v>0</v>
      </c>
      <c r="N717" s="838">
        <f>+Tabla1[[#This Row],[VENTA TOTAL $ (IVA INC) ]]</f>
        <v>0</v>
      </c>
      <c r="O717" s="838">
        <v>0</v>
      </c>
      <c r="P717" s="838">
        <v>0</v>
      </c>
      <c r="Q717" s="839">
        <f>+Tabla1[[#This Row],[VENTA TOTAL $ (IVA INC) ]]-Tabla1[[#This Row],[PENDIENTE DE COBRO]]</f>
        <v>0</v>
      </c>
      <c r="R717" s="840">
        <f>+Tabla1[[#This Row],[FECHA FC]]+Tabla1[[#This Row],[PLAZO ENTREGA VALORES]]</f>
        <v>0</v>
      </c>
      <c r="S717" s="840">
        <f>+Tabla1[[#This Row],[FECHA FC]]+Tabla1[[#This Row],[PLAZO PAGO (DIAS)]]</f>
        <v>0</v>
      </c>
      <c r="T717" s="834">
        <f t="shared" ca="1" si="152"/>
        <v>-46181</v>
      </c>
      <c r="U717" s="831"/>
      <c r="V717" s="831"/>
      <c r="W717" s="841">
        <f>+Tabla1[[#This Row],[FECHA VTO VALORES]]+7</f>
        <v>7</v>
      </c>
      <c r="X717" s="830"/>
      <c r="Y717" s="859"/>
      <c r="Z717" s="860">
        <f>Tabla1[[#This Row],[KGS]]/50</f>
        <v>0</v>
      </c>
      <c r="AA71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17" s="844">
        <f>-Tabla1[[#This Row],[COSTO FLETE $ POR BOLSA 5O KG (SIN IVA)]]*1.21-Tabla1[[#This Row],[PRECIO $/ KG A PLAZO EN CLIENTE ( SIN IVA)]]*0.003*1.21*50</f>
        <v>0</v>
      </c>
      <c r="AC717" s="845" t="e">
        <f>SUM(Tabla1[[#This Row],[PRECIO $ BOLSA 50 KG (IVA INC) ]]+Tabla1[[#This Row],[COSTO FLETE $ BOLSA 50 KG (IVA INC)]])</f>
        <v>#VALUE!</v>
      </c>
      <c r="AD717" s="844" t="e">
        <f>-Tabla1[[#This Row],[PRECIO $ BOLSA 50 KG (IVA INC) ]]*(Tabla1[[#This Row],[TASA FINANCIACION MENSUAL]]/365)*Tabla1[[#This Row],[PLAZO ENTREGA VALORES]]</f>
        <v>#VALUE!</v>
      </c>
      <c r="AE717" s="845" t="e">
        <f>SUM(Tabla1[[#This Row],[PRECIO $ BOLSA50 KG  FOB TUCUMAN A PLAZO (IVA INC)]]+Tabla1[[#This Row],[GASTOS FINANCIEROS $ BOLSA 50 KG (IVA INC)]])</f>
        <v>#VALUE!</v>
      </c>
      <c r="AF717" s="828"/>
      <c r="AG717" s="828"/>
      <c r="AH717" s="828"/>
      <c r="AI717" s="828"/>
      <c r="AJ71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17" s="846" t="e">
        <f>SUM(Tabla1[[#This Row],[PRECIO $ BOLSA 50KG  FOB CDO TUC (IVA INC)]]-Tabla1[[#This Row],[PRECIO REF $ BOLSA 50 KG CACTU (IVA INC)]])</f>
        <v>#VALUE!</v>
      </c>
      <c r="AL717" s="847" t="str">
        <f>IFERROR(Tabla1[[#This Row],[PRECIO $ BOLSA 50KG  FOB CDO TUC (IVA INC)]]/Tabla1[[#This Row],[PRECIO REF $ BOLSA 50 KG CACTU (IVA INC)]]-1,"")</f>
        <v/>
      </c>
      <c r="AM717" s="846" t="e">
        <f>+Tabla1[[#This Row],[DIF $ PRECIO NETO INDUSTRIA vs Neto TUCUMAN (IVA INC)]]*Tabla1[[#This Row],[Q Bolsas Equivalentes 50kg]]</f>
        <v>#VALUE!</v>
      </c>
      <c r="AN717" s="846" t="e">
        <f>Tabla1[[#This Row],[PRECIO REF $ BOLSA 50 KG CACTU (IVA INC)]]*Tabla1[[#This Row],[Q Bolsas Equivalentes 50kg]]</f>
        <v>#VALUE!</v>
      </c>
      <c r="AO717" s="846" t="e">
        <f>+Tabla1[[#This Row],[PRECIO $ BOLSA 50KG  FOB CDO TUC (IVA INC)]]*Tabla1[[#This Row],[Q Bolsas Equivalentes 50kg]]</f>
        <v>#VALUE!</v>
      </c>
      <c r="AP717" s="847"/>
      <c r="AQ717" s="846">
        <v>0</v>
      </c>
      <c r="AR717" s="828"/>
      <c r="AS717" s="849"/>
      <c r="AT717" s="923">
        <f>+Tabla1[[#This Row],[VENTA TOTAL $ (IVA INC) ]]-(SUM(Tabla1[[#This Row],[PENDIENTE DE ENTREGA]:[VALORES COBRADOS]]))</f>
        <v>0</v>
      </c>
      <c r="AU717" s="850" t="e">
        <f>VLOOKUP(Tabla1[[#This Row],[FECHA OC]],'TIPO DE CAMBIO'!A:B,2,TRUE)</f>
        <v>#N/A</v>
      </c>
      <c r="AV717" s="850" t="e">
        <f>+Tabla1[[#This Row],[SUBTOTAL]]/Tabla1[[#This Row],[TIPO DE CAMBIO]]</f>
        <v>#N/A</v>
      </c>
      <c r="AW717" s="851"/>
      <c r="AX717" s="850" t="str">
        <f>IFERROR(Tabla1[[#This Row],[VENTA TOTAL USD A PLAZO EN CLIENTE  (SIN IVA)]]*(1+Tabla1[[#This Row],[% IVA ]]),"")</f>
        <v/>
      </c>
      <c r="AY717" s="850" t="e">
        <f>+Tabla1[[#This Row],[VENTA TOTAL USD A PLAZO EN CLIENTE  (SIN IVA)]]/Tabla1[[#This Row],[KGS]]*1000</f>
        <v>#N/A</v>
      </c>
      <c r="AZ717" s="850" t="e">
        <f>-Tabla1[[#This Row],[COSTO FLETE $ POR BOLSA 5O KG (SIN IVA)]]*20/Tabla1[[#This Row],[TIPO DE CAMBIO]]</f>
        <v>#N/A</v>
      </c>
      <c r="BA717" s="850" t="e">
        <f>+Tabla1[[#This Row],[GASTOS FINANCIEROS $ BOLSA 50 KG (IVA INC)]]*20/Tabla1[[#This Row],[TIPO DE CAMBIO]]</f>
        <v>#VALUE!</v>
      </c>
      <c r="BB717" s="850" t="e">
        <f>+Tabla1[[#This Row],[PRECIO POR TN USD EN CLIENTE A PLAZO (SIN IVA)]]+Tabla1[[#This Row],[COSTO USD FLETE /TN (SIN IVA)]]+Tabla1[[#This Row],[COSTO FINANCIERO USD POR BOLSA 50KG (IVA INC)]]</f>
        <v>#N/A</v>
      </c>
      <c r="BC717" s="828"/>
      <c r="BD717" s="944"/>
    </row>
    <row r="718" spans="1:56" ht="15.75" customHeight="1">
      <c r="A718" s="912">
        <v>46327</v>
      </c>
      <c r="B718" s="863"/>
      <c r="C718" s="792"/>
      <c r="D718" s="829">
        <f>+Tabla1[[#This Row],[FECHA Entrega]]</f>
        <v>0</v>
      </c>
      <c r="E718" s="830"/>
      <c r="F718" s="831"/>
      <c r="G718" s="832"/>
      <c r="H718" s="852"/>
      <c r="I718" s="834"/>
      <c r="J718" s="835"/>
      <c r="K718" s="836">
        <f t="shared" si="151"/>
        <v>0</v>
      </c>
      <c r="L71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18" s="837">
        <f t="shared" si="153"/>
        <v>0</v>
      </c>
      <c r="N718" s="838">
        <f>+Tabla1[[#This Row],[VENTA TOTAL $ (IVA INC) ]]</f>
        <v>0</v>
      </c>
      <c r="O718" s="838">
        <v>0</v>
      </c>
      <c r="P718" s="838">
        <v>0</v>
      </c>
      <c r="Q718" s="839">
        <f>+Tabla1[[#This Row],[VENTA TOTAL $ (IVA INC) ]]</f>
        <v>0</v>
      </c>
      <c r="R718" s="840">
        <f>+Tabla1[[#This Row],[FECHA FC]]+Tabla1[[#This Row],[PLAZO ENTREGA VALORES]]</f>
        <v>0</v>
      </c>
      <c r="S718" s="840">
        <f>+Tabla1[[#This Row],[FECHA FC]]+Tabla1[[#This Row],[PLAZO PAGO (DIAS)]]</f>
        <v>0</v>
      </c>
      <c r="T718" s="834">
        <f t="shared" ca="1" si="152"/>
        <v>-46181</v>
      </c>
      <c r="U718" s="831"/>
      <c r="V718" s="831"/>
      <c r="W718" s="841">
        <f>+Tabla1[[#This Row],[FECHA VTO VALORES]]+7</f>
        <v>7</v>
      </c>
      <c r="X718" s="830"/>
      <c r="Y718" s="859"/>
      <c r="Z718" s="860">
        <f>Tabla1[[#This Row],[KGS]]/50</f>
        <v>0</v>
      </c>
      <c r="AA71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18" s="844">
        <f>-Tabla1[[#This Row],[COSTO FLETE $ POR BOLSA 5O KG (SIN IVA)]]*1.21-Tabla1[[#This Row],[PRECIO $/ KG A PLAZO EN CLIENTE ( SIN IVA)]]*0.003*1.21*50</f>
        <v>0</v>
      </c>
      <c r="AC718" s="845" t="e">
        <f>SUM(Tabla1[[#This Row],[PRECIO $ BOLSA 50 KG (IVA INC) ]]+Tabla1[[#This Row],[COSTO FLETE $ BOLSA 50 KG (IVA INC)]])</f>
        <v>#VALUE!</v>
      </c>
      <c r="AD718" s="844" t="e">
        <f>-Tabla1[[#This Row],[PRECIO $ BOLSA 50 KG (IVA INC) ]]*(Tabla1[[#This Row],[TASA FINANCIACION MENSUAL]]/365)*Tabla1[[#This Row],[PLAZO ENTREGA VALORES]]</f>
        <v>#VALUE!</v>
      </c>
      <c r="AE718" s="845" t="e">
        <f>SUM(Tabla1[[#This Row],[PRECIO $ BOLSA50 KG  FOB TUCUMAN A PLAZO (IVA INC)]]+Tabla1[[#This Row],[GASTOS FINANCIEROS $ BOLSA 50 KG (IVA INC)]])</f>
        <v>#VALUE!</v>
      </c>
      <c r="AF718" s="828"/>
      <c r="AG718" s="828"/>
      <c r="AH718" s="828"/>
      <c r="AI718" s="828"/>
      <c r="AJ71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18" s="846" t="e">
        <f>SUM(Tabla1[[#This Row],[PRECIO $ BOLSA 50KG  FOB CDO TUC (IVA INC)]]-Tabla1[[#This Row],[PRECIO REF $ BOLSA 50 KG CACTU (IVA INC)]])</f>
        <v>#VALUE!</v>
      </c>
      <c r="AL718" s="847" t="str">
        <f>IFERROR(Tabla1[[#This Row],[PRECIO $ BOLSA 50KG  FOB CDO TUC (IVA INC)]]/Tabla1[[#This Row],[PRECIO REF $ BOLSA 50 KG CACTU (IVA INC)]]-1,"")</f>
        <v/>
      </c>
      <c r="AM718" s="846" t="e">
        <f>+Tabla1[[#This Row],[DIF $ PRECIO NETO INDUSTRIA vs Neto TUCUMAN (IVA INC)]]*Tabla1[[#This Row],[Q Bolsas Equivalentes 50kg]]</f>
        <v>#VALUE!</v>
      </c>
      <c r="AN718" s="846" t="e">
        <f>Tabla1[[#This Row],[PRECIO REF $ BOLSA 50 KG CACTU (IVA INC)]]*Tabla1[[#This Row],[Q Bolsas Equivalentes 50kg]]</f>
        <v>#VALUE!</v>
      </c>
      <c r="AO718" s="846" t="e">
        <f>+Tabla1[[#This Row],[PRECIO $ BOLSA 50KG  FOB CDO TUC (IVA INC)]]*Tabla1[[#This Row],[Q Bolsas Equivalentes 50kg]]</f>
        <v>#VALUE!</v>
      </c>
      <c r="AP718" s="847"/>
      <c r="AQ718" s="846">
        <v>0</v>
      </c>
      <c r="AR718" s="828"/>
      <c r="AS718" s="849"/>
      <c r="AT718" s="923">
        <f>+Tabla1[[#This Row],[VENTA TOTAL $ (IVA INC) ]]-(SUM(Tabla1[[#This Row],[PENDIENTE DE ENTREGA]:[VALORES COBRADOS]]))</f>
        <v>0</v>
      </c>
      <c r="AU718" s="850" t="e">
        <f>VLOOKUP(Tabla1[[#This Row],[FECHA OC]],'TIPO DE CAMBIO'!A:B,2,TRUE)</f>
        <v>#N/A</v>
      </c>
      <c r="AV718" s="850" t="e">
        <f>+Tabla1[[#This Row],[SUBTOTAL]]/Tabla1[[#This Row],[TIPO DE CAMBIO]]</f>
        <v>#N/A</v>
      </c>
      <c r="AW718" s="851"/>
      <c r="AX718" s="850" t="str">
        <f>IFERROR(Tabla1[[#This Row],[VENTA TOTAL USD A PLAZO EN CLIENTE  (SIN IVA)]]*(1+Tabla1[[#This Row],[% IVA ]]),"")</f>
        <v/>
      </c>
      <c r="AY718" s="850" t="e">
        <f>+Tabla1[[#This Row],[VENTA TOTAL USD A PLAZO EN CLIENTE  (SIN IVA)]]/Tabla1[[#This Row],[KGS]]*1000</f>
        <v>#N/A</v>
      </c>
      <c r="AZ718" s="850" t="e">
        <f>-Tabla1[[#This Row],[COSTO FLETE $ POR BOLSA 5O KG (SIN IVA)]]*20/Tabla1[[#This Row],[TIPO DE CAMBIO]]</f>
        <v>#N/A</v>
      </c>
      <c r="BA718" s="850" t="e">
        <f>+Tabla1[[#This Row],[GASTOS FINANCIEROS $ BOLSA 50 KG (IVA INC)]]*20/Tabla1[[#This Row],[TIPO DE CAMBIO]]</f>
        <v>#VALUE!</v>
      </c>
      <c r="BB718" s="850" t="e">
        <f>+Tabla1[[#This Row],[PRECIO POR TN USD EN CLIENTE A PLAZO (SIN IVA)]]+Tabla1[[#This Row],[COSTO USD FLETE /TN (SIN IVA)]]+Tabla1[[#This Row],[COSTO FINANCIERO USD POR BOLSA 50KG (IVA INC)]]</f>
        <v>#N/A</v>
      </c>
      <c r="BC718" s="828"/>
      <c r="BD718" s="944"/>
    </row>
    <row r="719" spans="1:56" ht="15.75" customHeight="1">
      <c r="A719" s="912">
        <v>46327</v>
      </c>
      <c r="B719" s="863"/>
      <c r="C719" s="792"/>
      <c r="D719" s="829">
        <f>+Tabla1[[#This Row],[FECHA Entrega]]</f>
        <v>0</v>
      </c>
      <c r="E719" s="830"/>
      <c r="F719" s="831"/>
      <c r="G719" s="832"/>
      <c r="H719" s="852"/>
      <c r="I719" s="834"/>
      <c r="J719" s="835"/>
      <c r="K719" s="836">
        <f t="shared" si="151"/>
        <v>0</v>
      </c>
      <c r="L71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19" s="837">
        <f t="shared" si="153"/>
        <v>0</v>
      </c>
      <c r="N719" s="838">
        <f>+Tabla1[[#This Row],[VENTA TOTAL $ (IVA INC) ]]</f>
        <v>0</v>
      </c>
      <c r="O719" s="838">
        <v>0</v>
      </c>
      <c r="P719" s="838">
        <v>0</v>
      </c>
      <c r="Q719" s="839">
        <f>+Tabla1[[#This Row],[VENTA TOTAL $ (IVA INC) ]]-Tabla1[[#This Row],[PENDIENTE DE COBRO]]</f>
        <v>0</v>
      </c>
      <c r="R719" s="840">
        <f>+Tabla1[[#This Row],[FECHA FC]]+Tabla1[[#This Row],[PLAZO ENTREGA VALORES]]</f>
        <v>0</v>
      </c>
      <c r="S719" s="840">
        <f>+Tabla1[[#This Row],[FECHA FC]]+Tabla1[[#This Row],[PLAZO PAGO (DIAS)]]</f>
        <v>0</v>
      </c>
      <c r="T719" s="834">
        <f t="shared" ca="1" si="152"/>
        <v>-46181</v>
      </c>
      <c r="U719" s="831"/>
      <c r="V719" s="831"/>
      <c r="W719" s="841">
        <f>+Tabla1[[#This Row],[FECHA VTO VALORES]]+7</f>
        <v>7</v>
      </c>
      <c r="X719" s="830"/>
      <c r="Y719" s="859"/>
      <c r="Z719" s="860">
        <f>Tabla1[[#This Row],[KGS]]/50</f>
        <v>0</v>
      </c>
      <c r="AA71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19" s="844">
        <f>-Tabla1[[#This Row],[COSTO FLETE $ POR BOLSA 5O KG (SIN IVA)]]*1.21-Tabla1[[#This Row],[PRECIO $/ KG A PLAZO EN CLIENTE ( SIN IVA)]]*0.003*1.21*50</f>
        <v>0</v>
      </c>
      <c r="AC719" s="845" t="e">
        <f>SUM(Tabla1[[#This Row],[PRECIO $ BOLSA 50 KG (IVA INC) ]]+Tabla1[[#This Row],[COSTO FLETE $ BOLSA 50 KG (IVA INC)]])</f>
        <v>#VALUE!</v>
      </c>
      <c r="AD719" s="844" t="e">
        <f>-Tabla1[[#This Row],[PRECIO $ BOLSA 50 KG (IVA INC) ]]*(Tabla1[[#This Row],[TASA FINANCIACION MENSUAL]]/365)*Tabla1[[#This Row],[PLAZO ENTREGA VALORES]]</f>
        <v>#VALUE!</v>
      </c>
      <c r="AE719" s="845" t="e">
        <f>SUM(Tabla1[[#This Row],[PRECIO $ BOLSA50 KG  FOB TUCUMAN A PLAZO (IVA INC)]]+Tabla1[[#This Row],[GASTOS FINANCIEROS $ BOLSA 50 KG (IVA INC)]])</f>
        <v>#VALUE!</v>
      </c>
      <c r="AF719" s="828"/>
      <c r="AG719" s="828"/>
      <c r="AH719" s="828"/>
      <c r="AI719" s="828"/>
      <c r="AJ71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19" s="846" t="e">
        <f>SUM(Tabla1[[#This Row],[PRECIO $ BOLSA 50KG  FOB CDO TUC (IVA INC)]]-Tabla1[[#This Row],[PRECIO REF $ BOLSA 50 KG CACTU (IVA INC)]])</f>
        <v>#VALUE!</v>
      </c>
      <c r="AL719" s="847" t="str">
        <f>IFERROR(Tabla1[[#This Row],[PRECIO $ BOLSA 50KG  FOB CDO TUC (IVA INC)]]/Tabla1[[#This Row],[PRECIO REF $ BOLSA 50 KG CACTU (IVA INC)]]-1,"")</f>
        <v/>
      </c>
      <c r="AM719" s="846" t="e">
        <f>+Tabla1[[#This Row],[DIF $ PRECIO NETO INDUSTRIA vs Neto TUCUMAN (IVA INC)]]*Tabla1[[#This Row],[Q Bolsas Equivalentes 50kg]]</f>
        <v>#VALUE!</v>
      </c>
      <c r="AN719" s="846" t="e">
        <f>Tabla1[[#This Row],[PRECIO REF $ BOLSA 50 KG CACTU (IVA INC)]]*Tabla1[[#This Row],[Q Bolsas Equivalentes 50kg]]</f>
        <v>#VALUE!</v>
      </c>
      <c r="AO719" s="846" t="e">
        <f>+Tabla1[[#This Row],[PRECIO $ BOLSA 50KG  FOB CDO TUC (IVA INC)]]*Tabla1[[#This Row],[Q Bolsas Equivalentes 50kg]]</f>
        <v>#VALUE!</v>
      </c>
      <c r="AP719" s="847"/>
      <c r="AQ719" s="846">
        <v>0</v>
      </c>
      <c r="AR719" s="828"/>
      <c r="AS719" s="849"/>
      <c r="AT719" s="923">
        <f>+Tabla1[[#This Row],[VENTA TOTAL $ (IVA INC) ]]-(SUM(Tabla1[[#This Row],[PENDIENTE DE ENTREGA]:[VALORES COBRADOS]]))</f>
        <v>0</v>
      </c>
      <c r="AU719" s="850" t="e">
        <f>VLOOKUP(Tabla1[[#This Row],[FECHA OC]],'TIPO DE CAMBIO'!A:B,2,TRUE)</f>
        <v>#N/A</v>
      </c>
      <c r="AV719" s="850" t="e">
        <f>+Tabla1[[#This Row],[SUBTOTAL]]/Tabla1[[#This Row],[TIPO DE CAMBIO]]</f>
        <v>#N/A</v>
      </c>
      <c r="AW719" s="851"/>
      <c r="AX719" s="850" t="str">
        <f>IFERROR(Tabla1[[#This Row],[VENTA TOTAL USD A PLAZO EN CLIENTE  (SIN IVA)]]*(1+Tabla1[[#This Row],[% IVA ]]),"")</f>
        <v/>
      </c>
      <c r="AY719" s="850" t="e">
        <f>+Tabla1[[#This Row],[VENTA TOTAL USD A PLAZO EN CLIENTE  (SIN IVA)]]/Tabla1[[#This Row],[KGS]]*1000</f>
        <v>#N/A</v>
      </c>
      <c r="AZ719" s="850" t="e">
        <f>-Tabla1[[#This Row],[COSTO FLETE $ POR BOLSA 5O KG (SIN IVA)]]*20/Tabla1[[#This Row],[TIPO DE CAMBIO]]</f>
        <v>#N/A</v>
      </c>
      <c r="BA719" s="850" t="e">
        <f>+Tabla1[[#This Row],[GASTOS FINANCIEROS $ BOLSA 50 KG (IVA INC)]]*20/Tabla1[[#This Row],[TIPO DE CAMBIO]]</f>
        <v>#VALUE!</v>
      </c>
      <c r="BB719" s="850" t="e">
        <f>+Tabla1[[#This Row],[PRECIO POR TN USD EN CLIENTE A PLAZO (SIN IVA)]]+Tabla1[[#This Row],[COSTO USD FLETE /TN (SIN IVA)]]+Tabla1[[#This Row],[COSTO FINANCIERO USD POR BOLSA 50KG (IVA INC)]]</f>
        <v>#N/A</v>
      </c>
      <c r="BC719" s="828"/>
      <c r="BD719" s="944"/>
    </row>
    <row r="720" spans="1:56" ht="15.75" customHeight="1">
      <c r="A720" s="912">
        <v>46327</v>
      </c>
      <c r="B720" s="863"/>
      <c r="C720" s="792"/>
      <c r="D720" s="829">
        <f>+Tabla1[[#This Row],[FECHA Entrega]]</f>
        <v>0</v>
      </c>
      <c r="E720" s="830"/>
      <c r="F720" s="831"/>
      <c r="G720" s="832"/>
      <c r="H720" s="852"/>
      <c r="I720" s="834"/>
      <c r="J720" s="835"/>
      <c r="K720" s="836">
        <f t="shared" si="151"/>
        <v>0</v>
      </c>
      <c r="L72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20" s="837">
        <f t="shared" si="153"/>
        <v>0</v>
      </c>
      <c r="N720" s="838">
        <f>+Tabla1[[#This Row],[VENTA TOTAL $ (IVA INC) ]]</f>
        <v>0</v>
      </c>
      <c r="O720" s="838">
        <v>0</v>
      </c>
      <c r="P720" s="838">
        <v>0</v>
      </c>
      <c r="Q720" s="839">
        <f>+Tabla1[[#This Row],[VENTA TOTAL $ (IVA INC) ]]-Tabla1[[#This Row],[PENDIENTE DE COBRO]]</f>
        <v>0</v>
      </c>
      <c r="R720" s="840">
        <f>+Tabla1[[#This Row],[FECHA FC]]+Tabla1[[#This Row],[PLAZO ENTREGA VALORES]]</f>
        <v>0</v>
      </c>
      <c r="S720" s="840">
        <f>+Tabla1[[#This Row],[FECHA FC]]+Tabla1[[#This Row],[PLAZO PAGO (DIAS)]]</f>
        <v>0</v>
      </c>
      <c r="T720" s="834">
        <f t="shared" ca="1" si="152"/>
        <v>-46181</v>
      </c>
      <c r="U720" s="831"/>
      <c r="V720" s="831"/>
      <c r="W720" s="841">
        <f>+Tabla1[[#This Row],[FECHA VTO VALORES]]+7</f>
        <v>7</v>
      </c>
      <c r="X720" s="830"/>
      <c r="Y720" s="859"/>
      <c r="Z720" s="860">
        <f>Tabla1[[#This Row],[KGS]]/50</f>
        <v>0</v>
      </c>
      <c r="AA72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20" s="844">
        <f>-Tabla1[[#This Row],[COSTO FLETE $ POR BOLSA 5O KG (SIN IVA)]]*1.21-Tabla1[[#This Row],[PRECIO $/ KG A PLAZO EN CLIENTE ( SIN IVA)]]*0.003*1.21*50</f>
        <v>0</v>
      </c>
      <c r="AC720" s="845" t="e">
        <f>SUM(Tabla1[[#This Row],[PRECIO $ BOLSA 50 KG (IVA INC) ]]+Tabla1[[#This Row],[COSTO FLETE $ BOLSA 50 KG (IVA INC)]])</f>
        <v>#VALUE!</v>
      </c>
      <c r="AD720" s="844" t="e">
        <f>-Tabla1[[#This Row],[PRECIO $ BOLSA 50 KG (IVA INC) ]]*(Tabla1[[#This Row],[TASA FINANCIACION MENSUAL]]/365)*Tabla1[[#This Row],[PLAZO ENTREGA VALORES]]</f>
        <v>#VALUE!</v>
      </c>
      <c r="AE720" s="845" t="e">
        <f>SUM(Tabla1[[#This Row],[PRECIO $ BOLSA50 KG  FOB TUCUMAN A PLAZO (IVA INC)]]+Tabla1[[#This Row],[GASTOS FINANCIEROS $ BOLSA 50 KG (IVA INC)]])</f>
        <v>#VALUE!</v>
      </c>
      <c r="AF720" s="828"/>
      <c r="AG720" s="828"/>
      <c r="AH720" s="828"/>
      <c r="AI720" s="828"/>
      <c r="AJ72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20" s="846" t="e">
        <f>SUM(Tabla1[[#This Row],[PRECIO $ BOLSA 50KG  FOB CDO TUC (IVA INC)]]-Tabla1[[#This Row],[PRECIO REF $ BOLSA 50 KG CACTU (IVA INC)]])</f>
        <v>#VALUE!</v>
      </c>
      <c r="AL720" s="847" t="str">
        <f>IFERROR(Tabla1[[#This Row],[PRECIO $ BOLSA 50KG  FOB CDO TUC (IVA INC)]]/Tabla1[[#This Row],[PRECIO REF $ BOLSA 50 KG CACTU (IVA INC)]]-1,"")</f>
        <v/>
      </c>
      <c r="AM720" s="846" t="e">
        <f>+Tabla1[[#This Row],[DIF $ PRECIO NETO INDUSTRIA vs Neto TUCUMAN (IVA INC)]]*Tabla1[[#This Row],[Q Bolsas Equivalentes 50kg]]</f>
        <v>#VALUE!</v>
      </c>
      <c r="AN720" s="846" t="e">
        <f>Tabla1[[#This Row],[PRECIO REF $ BOLSA 50 KG CACTU (IVA INC)]]*Tabla1[[#This Row],[Q Bolsas Equivalentes 50kg]]</f>
        <v>#VALUE!</v>
      </c>
      <c r="AO720" s="846" t="e">
        <f>+Tabla1[[#This Row],[PRECIO $ BOLSA 50KG  FOB CDO TUC (IVA INC)]]*Tabla1[[#This Row],[Q Bolsas Equivalentes 50kg]]</f>
        <v>#VALUE!</v>
      </c>
      <c r="AP720" s="847"/>
      <c r="AQ720" s="846">
        <v>0</v>
      </c>
      <c r="AR720" s="828"/>
      <c r="AS720" s="849"/>
      <c r="AT720" s="923">
        <f>+Tabla1[[#This Row],[VENTA TOTAL $ (IVA INC) ]]-(SUM(Tabla1[[#This Row],[PENDIENTE DE ENTREGA]:[VALORES COBRADOS]]))</f>
        <v>0</v>
      </c>
      <c r="AU720" s="850" t="e">
        <f>VLOOKUP(Tabla1[[#This Row],[FECHA OC]],'TIPO DE CAMBIO'!A:B,2,TRUE)</f>
        <v>#N/A</v>
      </c>
      <c r="AV720" s="850" t="e">
        <f>+Tabla1[[#This Row],[SUBTOTAL]]/Tabla1[[#This Row],[TIPO DE CAMBIO]]</f>
        <v>#N/A</v>
      </c>
      <c r="AW720" s="851"/>
      <c r="AX720" s="850" t="str">
        <f>IFERROR(Tabla1[[#This Row],[VENTA TOTAL USD A PLAZO EN CLIENTE  (SIN IVA)]]*(1+Tabla1[[#This Row],[% IVA ]]),"")</f>
        <v/>
      </c>
      <c r="AY720" s="850" t="e">
        <f>+Tabla1[[#This Row],[VENTA TOTAL USD A PLAZO EN CLIENTE  (SIN IVA)]]/Tabla1[[#This Row],[KGS]]*1000</f>
        <v>#N/A</v>
      </c>
      <c r="AZ720" s="850" t="e">
        <f>-Tabla1[[#This Row],[COSTO FLETE $ POR BOLSA 5O KG (SIN IVA)]]*20/Tabla1[[#This Row],[TIPO DE CAMBIO]]</f>
        <v>#N/A</v>
      </c>
      <c r="BA720" s="850" t="e">
        <f>+Tabla1[[#This Row],[GASTOS FINANCIEROS $ BOLSA 50 KG (IVA INC)]]*20/Tabla1[[#This Row],[TIPO DE CAMBIO]]</f>
        <v>#VALUE!</v>
      </c>
      <c r="BB720" s="850" t="e">
        <f>+Tabla1[[#This Row],[PRECIO POR TN USD EN CLIENTE A PLAZO (SIN IVA)]]+Tabla1[[#This Row],[COSTO USD FLETE /TN (SIN IVA)]]+Tabla1[[#This Row],[COSTO FINANCIERO USD POR BOLSA 50KG (IVA INC)]]</f>
        <v>#N/A</v>
      </c>
      <c r="BC720" s="828"/>
      <c r="BD720" s="944"/>
    </row>
    <row r="721" spans="1:56" ht="15.75" customHeight="1">
      <c r="A721" s="912">
        <v>46327</v>
      </c>
      <c r="B721" s="863"/>
      <c r="C721" s="792"/>
      <c r="D721" s="829">
        <f>+Tabla1[[#This Row],[FECHA Entrega]]</f>
        <v>0</v>
      </c>
      <c r="E721" s="830"/>
      <c r="F721" s="831"/>
      <c r="G721" s="832"/>
      <c r="H721" s="852"/>
      <c r="I721" s="834"/>
      <c r="J721" s="835"/>
      <c r="K721" s="836">
        <f t="shared" si="151"/>
        <v>0</v>
      </c>
      <c r="L72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21" s="837">
        <f t="shared" si="153"/>
        <v>0</v>
      </c>
      <c r="N721" s="838">
        <f>+Tabla1[[#This Row],[VENTA TOTAL $ (IVA INC) ]]</f>
        <v>0</v>
      </c>
      <c r="O721" s="838">
        <v>0</v>
      </c>
      <c r="P721" s="838">
        <v>0</v>
      </c>
      <c r="Q721" s="839">
        <f>+Tabla1[[#This Row],[VENTA TOTAL $ (IVA INC) ]]-Tabla1[[#This Row],[PENDIENTE DE COBRO]]</f>
        <v>0</v>
      </c>
      <c r="R721" s="840">
        <f>+Tabla1[[#This Row],[FECHA FC]]+Tabla1[[#This Row],[PLAZO ENTREGA VALORES]]</f>
        <v>0</v>
      </c>
      <c r="S721" s="840">
        <f>+Tabla1[[#This Row],[FECHA FC]]+Tabla1[[#This Row],[PLAZO PAGO (DIAS)]]</f>
        <v>0</v>
      </c>
      <c r="T721" s="834">
        <f t="shared" ca="1" si="152"/>
        <v>-46181</v>
      </c>
      <c r="U721" s="831"/>
      <c r="V721" s="831"/>
      <c r="W721" s="841">
        <f>+Tabla1[[#This Row],[FECHA VTO VALORES]]+7</f>
        <v>7</v>
      </c>
      <c r="X721" s="830"/>
      <c r="Y721" s="859"/>
      <c r="Z721" s="860">
        <f>Tabla1[[#This Row],[KGS]]/50</f>
        <v>0</v>
      </c>
      <c r="AA72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21" s="844">
        <f>-Tabla1[[#This Row],[COSTO FLETE $ POR BOLSA 5O KG (SIN IVA)]]*1.21-Tabla1[[#This Row],[PRECIO $/ KG A PLAZO EN CLIENTE ( SIN IVA)]]*0.003*1.21*50</f>
        <v>0</v>
      </c>
      <c r="AC721" s="845" t="e">
        <f>SUM(Tabla1[[#This Row],[PRECIO $ BOLSA 50 KG (IVA INC) ]]+Tabla1[[#This Row],[COSTO FLETE $ BOLSA 50 KG (IVA INC)]])</f>
        <v>#VALUE!</v>
      </c>
      <c r="AD721" s="844" t="e">
        <f>-Tabla1[[#This Row],[PRECIO $ BOLSA 50 KG (IVA INC) ]]*(Tabla1[[#This Row],[TASA FINANCIACION MENSUAL]]/365)*Tabla1[[#This Row],[PLAZO ENTREGA VALORES]]</f>
        <v>#VALUE!</v>
      </c>
      <c r="AE721" s="845" t="e">
        <f>SUM(Tabla1[[#This Row],[PRECIO $ BOLSA50 KG  FOB TUCUMAN A PLAZO (IVA INC)]]+Tabla1[[#This Row],[GASTOS FINANCIEROS $ BOLSA 50 KG (IVA INC)]])</f>
        <v>#VALUE!</v>
      </c>
      <c r="AF721" s="828"/>
      <c r="AG721" s="828"/>
      <c r="AH721" s="828"/>
      <c r="AI721" s="828"/>
      <c r="AJ72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21" s="846" t="e">
        <f>SUM(Tabla1[[#This Row],[PRECIO $ BOLSA 50KG  FOB CDO TUC (IVA INC)]]-Tabla1[[#This Row],[PRECIO REF $ BOLSA 50 KG CACTU (IVA INC)]])</f>
        <v>#VALUE!</v>
      </c>
      <c r="AL721" s="847" t="str">
        <f>IFERROR(Tabla1[[#This Row],[PRECIO $ BOLSA 50KG  FOB CDO TUC (IVA INC)]]/Tabla1[[#This Row],[PRECIO REF $ BOLSA 50 KG CACTU (IVA INC)]]-1,"")</f>
        <v/>
      </c>
      <c r="AM721" s="846" t="e">
        <f>+Tabla1[[#This Row],[DIF $ PRECIO NETO INDUSTRIA vs Neto TUCUMAN (IVA INC)]]*Tabla1[[#This Row],[Q Bolsas Equivalentes 50kg]]</f>
        <v>#VALUE!</v>
      </c>
      <c r="AN721" s="846" t="e">
        <f>Tabla1[[#This Row],[PRECIO REF $ BOLSA 50 KG CACTU (IVA INC)]]*Tabla1[[#This Row],[Q Bolsas Equivalentes 50kg]]</f>
        <v>#VALUE!</v>
      </c>
      <c r="AO721" s="846" t="e">
        <f>+Tabla1[[#This Row],[PRECIO $ BOLSA 50KG  FOB CDO TUC (IVA INC)]]*Tabla1[[#This Row],[Q Bolsas Equivalentes 50kg]]</f>
        <v>#VALUE!</v>
      </c>
      <c r="AP721" s="847"/>
      <c r="AQ721" s="846">
        <v>0</v>
      </c>
      <c r="AR721" s="828"/>
      <c r="AS721" s="849"/>
      <c r="AT721" s="923">
        <f>+Tabla1[[#This Row],[VENTA TOTAL $ (IVA INC) ]]-(SUM(Tabla1[[#This Row],[PENDIENTE DE ENTREGA]:[VALORES COBRADOS]]))</f>
        <v>0</v>
      </c>
      <c r="AU721" s="850" t="e">
        <f>VLOOKUP(Tabla1[[#This Row],[FECHA OC]],'TIPO DE CAMBIO'!A:B,2,TRUE)</f>
        <v>#N/A</v>
      </c>
      <c r="AV721" s="850" t="e">
        <f>+Tabla1[[#This Row],[SUBTOTAL]]/Tabla1[[#This Row],[TIPO DE CAMBIO]]</f>
        <v>#N/A</v>
      </c>
      <c r="AW721" s="851"/>
      <c r="AX721" s="850" t="str">
        <f>IFERROR(Tabla1[[#This Row],[VENTA TOTAL USD A PLAZO EN CLIENTE  (SIN IVA)]]*(1+Tabla1[[#This Row],[% IVA ]]),"")</f>
        <v/>
      </c>
      <c r="AY721" s="850" t="e">
        <f>+Tabla1[[#This Row],[VENTA TOTAL USD A PLAZO EN CLIENTE  (SIN IVA)]]/Tabla1[[#This Row],[KGS]]*1000</f>
        <v>#N/A</v>
      </c>
      <c r="AZ721" s="850" t="e">
        <f>-Tabla1[[#This Row],[COSTO FLETE $ POR BOLSA 5O KG (SIN IVA)]]*20/Tabla1[[#This Row],[TIPO DE CAMBIO]]</f>
        <v>#N/A</v>
      </c>
      <c r="BA721" s="850" t="e">
        <f>+Tabla1[[#This Row],[GASTOS FINANCIEROS $ BOLSA 50 KG (IVA INC)]]*20/Tabla1[[#This Row],[TIPO DE CAMBIO]]</f>
        <v>#VALUE!</v>
      </c>
      <c r="BB721" s="850" t="e">
        <f>+Tabla1[[#This Row],[PRECIO POR TN USD EN CLIENTE A PLAZO (SIN IVA)]]+Tabla1[[#This Row],[COSTO USD FLETE /TN (SIN IVA)]]+Tabla1[[#This Row],[COSTO FINANCIERO USD POR BOLSA 50KG (IVA INC)]]</f>
        <v>#N/A</v>
      </c>
      <c r="BC721" s="828"/>
      <c r="BD721" s="944"/>
    </row>
    <row r="722" spans="1:56" ht="15.75" customHeight="1">
      <c r="A722" s="912">
        <v>46327</v>
      </c>
      <c r="B722" s="863"/>
      <c r="C722" s="792"/>
      <c r="D722" s="829">
        <f>+Tabla1[[#This Row],[FECHA Entrega]]</f>
        <v>0</v>
      </c>
      <c r="E722" s="830"/>
      <c r="F722" s="831"/>
      <c r="G722" s="832"/>
      <c r="H722" s="852"/>
      <c r="I722" s="834"/>
      <c r="J722" s="835"/>
      <c r="K722" s="836">
        <f t="shared" si="151"/>
        <v>0</v>
      </c>
      <c r="L72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22" s="837">
        <f t="shared" si="153"/>
        <v>0</v>
      </c>
      <c r="N722" s="838">
        <f>+Tabla1[[#This Row],[VENTA TOTAL $ (IVA INC) ]]</f>
        <v>0</v>
      </c>
      <c r="O722" s="838">
        <v>0</v>
      </c>
      <c r="P722" s="838">
        <v>0</v>
      </c>
      <c r="Q722" s="839">
        <f>+Tabla1[[#This Row],[VENTA TOTAL $ (IVA INC) ]]-Tabla1[[#This Row],[PENDIENTE DE COBRO]]</f>
        <v>0</v>
      </c>
      <c r="R722" s="840">
        <f>+Tabla1[[#This Row],[FECHA FC]]+Tabla1[[#This Row],[PLAZO ENTREGA VALORES]]</f>
        <v>0</v>
      </c>
      <c r="S722" s="840">
        <f>+Tabla1[[#This Row],[FECHA FC]]+Tabla1[[#This Row],[PLAZO PAGO (DIAS)]]</f>
        <v>0</v>
      </c>
      <c r="T722" s="834">
        <f t="shared" ca="1" si="152"/>
        <v>-46181</v>
      </c>
      <c r="U722" s="831"/>
      <c r="V722" s="831"/>
      <c r="W722" s="841">
        <f>+Tabla1[[#This Row],[FECHA VTO VALORES]]+7</f>
        <v>7</v>
      </c>
      <c r="X722" s="830"/>
      <c r="Y722" s="859"/>
      <c r="Z722" s="860">
        <f>Tabla1[[#This Row],[KGS]]/50</f>
        <v>0</v>
      </c>
      <c r="AA72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22" s="844">
        <f>-Tabla1[[#This Row],[COSTO FLETE $ POR BOLSA 5O KG (SIN IVA)]]*1.21-Tabla1[[#This Row],[PRECIO $/ KG A PLAZO EN CLIENTE ( SIN IVA)]]*0.003*1.21*50</f>
        <v>0</v>
      </c>
      <c r="AC722" s="845" t="e">
        <f>SUM(Tabla1[[#This Row],[PRECIO $ BOLSA 50 KG (IVA INC) ]]+Tabla1[[#This Row],[COSTO FLETE $ BOLSA 50 KG (IVA INC)]])</f>
        <v>#VALUE!</v>
      </c>
      <c r="AD722" s="844" t="e">
        <f>-Tabla1[[#This Row],[PRECIO $ BOLSA 50 KG (IVA INC) ]]*(Tabla1[[#This Row],[TASA FINANCIACION MENSUAL]]/365)*Tabla1[[#This Row],[PLAZO ENTREGA VALORES]]</f>
        <v>#VALUE!</v>
      </c>
      <c r="AE722" s="845" t="e">
        <f>SUM(Tabla1[[#This Row],[PRECIO $ BOLSA50 KG  FOB TUCUMAN A PLAZO (IVA INC)]]+Tabla1[[#This Row],[GASTOS FINANCIEROS $ BOLSA 50 KG (IVA INC)]])</f>
        <v>#VALUE!</v>
      </c>
      <c r="AF722" s="828"/>
      <c r="AG722" s="828"/>
      <c r="AH722" s="828"/>
      <c r="AI722" s="828"/>
      <c r="AJ72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22" s="846" t="e">
        <f>SUM(Tabla1[[#This Row],[PRECIO $ BOLSA 50KG  FOB CDO TUC (IVA INC)]]-Tabla1[[#This Row],[PRECIO REF $ BOLSA 50 KG CACTU (IVA INC)]])</f>
        <v>#VALUE!</v>
      </c>
      <c r="AL722" s="847" t="str">
        <f>IFERROR(Tabla1[[#This Row],[PRECIO $ BOLSA 50KG  FOB CDO TUC (IVA INC)]]/Tabla1[[#This Row],[PRECIO REF $ BOLSA 50 KG CACTU (IVA INC)]]-1,"")</f>
        <v/>
      </c>
      <c r="AM722" s="846" t="e">
        <f>+Tabla1[[#This Row],[DIF $ PRECIO NETO INDUSTRIA vs Neto TUCUMAN (IVA INC)]]*Tabla1[[#This Row],[Q Bolsas Equivalentes 50kg]]</f>
        <v>#VALUE!</v>
      </c>
      <c r="AN722" s="846" t="e">
        <f>Tabla1[[#This Row],[PRECIO REF $ BOLSA 50 KG CACTU (IVA INC)]]*Tabla1[[#This Row],[Q Bolsas Equivalentes 50kg]]</f>
        <v>#VALUE!</v>
      </c>
      <c r="AO722" s="846" t="e">
        <f>+Tabla1[[#This Row],[PRECIO $ BOLSA 50KG  FOB CDO TUC (IVA INC)]]*Tabla1[[#This Row],[Q Bolsas Equivalentes 50kg]]</f>
        <v>#VALUE!</v>
      </c>
      <c r="AP722" s="847"/>
      <c r="AQ722" s="846">
        <v>0</v>
      </c>
      <c r="AR722" s="828"/>
      <c r="AS722" s="849"/>
      <c r="AT722" s="923">
        <f>+Tabla1[[#This Row],[VENTA TOTAL $ (IVA INC) ]]-(SUM(Tabla1[[#This Row],[PENDIENTE DE ENTREGA]:[VALORES COBRADOS]]))</f>
        <v>0</v>
      </c>
      <c r="AU722" s="850" t="e">
        <f>VLOOKUP(Tabla1[[#This Row],[FECHA OC]],'TIPO DE CAMBIO'!A:B,2,TRUE)</f>
        <v>#N/A</v>
      </c>
      <c r="AV722" s="850" t="e">
        <f>+Tabla1[[#This Row],[SUBTOTAL]]/Tabla1[[#This Row],[TIPO DE CAMBIO]]</f>
        <v>#N/A</v>
      </c>
      <c r="AW722" s="851"/>
      <c r="AX722" s="850" t="str">
        <f>IFERROR(Tabla1[[#This Row],[VENTA TOTAL USD A PLAZO EN CLIENTE  (SIN IVA)]]*(1+Tabla1[[#This Row],[% IVA ]]),"")</f>
        <v/>
      </c>
      <c r="AY722" s="850" t="e">
        <f>+Tabla1[[#This Row],[VENTA TOTAL USD A PLAZO EN CLIENTE  (SIN IVA)]]/Tabla1[[#This Row],[KGS]]*1000</f>
        <v>#N/A</v>
      </c>
      <c r="AZ722" s="850" t="e">
        <f>-Tabla1[[#This Row],[COSTO FLETE $ POR BOLSA 5O KG (SIN IVA)]]*20/Tabla1[[#This Row],[TIPO DE CAMBIO]]</f>
        <v>#N/A</v>
      </c>
      <c r="BA722" s="850" t="e">
        <f>+Tabla1[[#This Row],[GASTOS FINANCIEROS $ BOLSA 50 KG (IVA INC)]]*20/Tabla1[[#This Row],[TIPO DE CAMBIO]]</f>
        <v>#VALUE!</v>
      </c>
      <c r="BB722" s="850" t="e">
        <f>+Tabla1[[#This Row],[PRECIO POR TN USD EN CLIENTE A PLAZO (SIN IVA)]]+Tabla1[[#This Row],[COSTO USD FLETE /TN (SIN IVA)]]+Tabla1[[#This Row],[COSTO FINANCIERO USD POR BOLSA 50KG (IVA INC)]]</f>
        <v>#N/A</v>
      </c>
      <c r="BC722" s="828"/>
      <c r="BD722" s="944"/>
    </row>
    <row r="723" spans="1:56" ht="15.75" customHeight="1">
      <c r="A723" s="912">
        <v>46327</v>
      </c>
      <c r="B723" s="863"/>
      <c r="C723" s="792"/>
      <c r="D723" s="829">
        <f>+Tabla1[[#This Row],[FECHA Entrega]]</f>
        <v>0</v>
      </c>
      <c r="E723" s="830"/>
      <c r="F723" s="831"/>
      <c r="G723" s="832"/>
      <c r="H723" s="852"/>
      <c r="I723" s="834"/>
      <c r="J723" s="835"/>
      <c r="K723" s="836">
        <f t="shared" si="151"/>
        <v>0</v>
      </c>
      <c r="L72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23" s="837">
        <f t="shared" si="153"/>
        <v>0</v>
      </c>
      <c r="N723" s="838">
        <f>+Tabla1[[#This Row],[VENTA TOTAL $ (IVA INC) ]]</f>
        <v>0</v>
      </c>
      <c r="O723" s="838">
        <v>0</v>
      </c>
      <c r="P723" s="838">
        <v>0</v>
      </c>
      <c r="Q723" s="839">
        <f>+Tabla1[[#This Row],[VENTA TOTAL $ (IVA INC) ]]</f>
        <v>0</v>
      </c>
      <c r="R723" s="840">
        <f>+Tabla1[[#This Row],[FECHA FC]]+Tabla1[[#This Row],[PLAZO ENTREGA VALORES]]</f>
        <v>0</v>
      </c>
      <c r="S723" s="840">
        <f>+Tabla1[[#This Row],[FECHA FC]]+Tabla1[[#This Row],[PLAZO PAGO (DIAS)]]</f>
        <v>0</v>
      </c>
      <c r="T723" s="834">
        <f t="shared" ca="1" si="152"/>
        <v>-46181</v>
      </c>
      <c r="U723" s="831"/>
      <c r="V723" s="831"/>
      <c r="W723" s="841">
        <f>+Tabla1[[#This Row],[FECHA VTO VALORES]]+7</f>
        <v>7</v>
      </c>
      <c r="X723" s="830"/>
      <c r="Y723" s="859"/>
      <c r="Z723" s="860">
        <f>Tabla1[[#This Row],[KGS]]/50</f>
        <v>0</v>
      </c>
      <c r="AA72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23" s="844">
        <f>-Tabla1[[#This Row],[COSTO FLETE $ POR BOLSA 5O KG (SIN IVA)]]*1.21-Tabla1[[#This Row],[PRECIO $/ KG A PLAZO EN CLIENTE ( SIN IVA)]]*0.003*1.21*50</f>
        <v>0</v>
      </c>
      <c r="AC723" s="845" t="e">
        <f>SUM(Tabla1[[#This Row],[PRECIO $ BOLSA 50 KG (IVA INC) ]]+Tabla1[[#This Row],[COSTO FLETE $ BOLSA 50 KG (IVA INC)]])</f>
        <v>#VALUE!</v>
      </c>
      <c r="AD723" s="844" t="e">
        <f>-Tabla1[[#This Row],[PRECIO $ BOLSA 50 KG (IVA INC) ]]*(Tabla1[[#This Row],[TASA FINANCIACION MENSUAL]]/365)*Tabla1[[#This Row],[PLAZO ENTREGA VALORES]]</f>
        <v>#VALUE!</v>
      </c>
      <c r="AE723" s="845" t="e">
        <f>SUM(Tabla1[[#This Row],[PRECIO $ BOLSA50 KG  FOB TUCUMAN A PLAZO (IVA INC)]]+Tabla1[[#This Row],[GASTOS FINANCIEROS $ BOLSA 50 KG (IVA INC)]])</f>
        <v>#VALUE!</v>
      </c>
      <c r="AF723" s="828"/>
      <c r="AG723" s="828"/>
      <c r="AH723" s="828"/>
      <c r="AI723" s="828"/>
      <c r="AJ72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23" s="846" t="e">
        <f>SUM(Tabla1[[#This Row],[PRECIO $ BOLSA 50KG  FOB CDO TUC (IVA INC)]]-Tabla1[[#This Row],[PRECIO REF $ BOLSA 50 KG CACTU (IVA INC)]])</f>
        <v>#VALUE!</v>
      </c>
      <c r="AL723" s="847" t="str">
        <f>IFERROR(Tabla1[[#This Row],[PRECIO $ BOLSA 50KG  FOB CDO TUC (IVA INC)]]/Tabla1[[#This Row],[PRECIO REF $ BOLSA 50 KG CACTU (IVA INC)]]-1,"")</f>
        <v/>
      </c>
      <c r="AM723" s="846" t="e">
        <f>+Tabla1[[#This Row],[DIF $ PRECIO NETO INDUSTRIA vs Neto TUCUMAN (IVA INC)]]*Tabla1[[#This Row],[Q Bolsas Equivalentes 50kg]]</f>
        <v>#VALUE!</v>
      </c>
      <c r="AN723" s="846" t="e">
        <f>Tabla1[[#This Row],[PRECIO REF $ BOLSA 50 KG CACTU (IVA INC)]]*Tabla1[[#This Row],[Q Bolsas Equivalentes 50kg]]</f>
        <v>#VALUE!</v>
      </c>
      <c r="AO723" s="846" t="e">
        <f>+Tabla1[[#This Row],[PRECIO $ BOLSA 50KG  FOB CDO TUC (IVA INC)]]*Tabla1[[#This Row],[Q Bolsas Equivalentes 50kg]]</f>
        <v>#VALUE!</v>
      </c>
      <c r="AP723" s="847"/>
      <c r="AQ723" s="846">
        <v>0</v>
      </c>
      <c r="AR723" s="828"/>
      <c r="AS723" s="849"/>
      <c r="AT723" s="923">
        <f>+Tabla1[[#This Row],[VENTA TOTAL $ (IVA INC) ]]-(SUM(Tabla1[[#This Row],[PENDIENTE DE ENTREGA]:[VALORES COBRADOS]]))</f>
        <v>0</v>
      </c>
      <c r="AU723" s="850" t="e">
        <f>VLOOKUP(Tabla1[[#This Row],[FECHA OC]],'TIPO DE CAMBIO'!A:B,2,TRUE)</f>
        <v>#N/A</v>
      </c>
      <c r="AV723" s="850" t="e">
        <f>+Tabla1[[#This Row],[SUBTOTAL]]/Tabla1[[#This Row],[TIPO DE CAMBIO]]</f>
        <v>#N/A</v>
      </c>
      <c r="AW723" s="851"/>
      <c r="AX723" s="850" t="str">
        <f>IFERROR(Tabla1[[#This Row],[VENTA TOTAL USD A PLAZO EN CLIENTE  (SIN IVA)]]*(1+Tabla1[[#This Row],[% IVA ]]),"")</f>
        <v/>
      </c>
      <c r="AY723" s="850" t="e">
        <f>+Tabla1[[#This Row],[VENTA TOTAL USD A PLAZO EN CLIENTE  (SIN IVA)]]/Tabla1[[#This Row],[KGS]]*1000</f>
        <v>#N/A</v>
      </c>
      <c r="AZ723" s="850" t="e">
        <f>-Tabla1[[#This Row],[COSTO FLETE $ POR BOLSA 5O KG (SIN IVA)]]*20/Tabla1[[#This Row],[TIPO DE CAMBIO]]</f>
        <v>#N/A</v>
      </c>
      <c r="BA723" s="850" t="e">
        <f>+Tabla1[[#This Row],[GASTOS FINANCIEROS $ BOLSA 50 KG (IVA INC)]]*20/Tabla1[[#This Row],[TIPO DE CAMBIO]]</f>
        <v>#VALUE!</v>
      </c>
      <c r="BB723" s="850" t="e">
        <f>+Tabla1[[#This Row],[PRECIO POR TN USD EN CLIENTE A PLAZO (SIN IVA)]]+Tabla1[[#This Row],[COSTO USD FLETE /TN (SIN IVA)]]+Tabla1[[#This Row],[COSTO FINANCIERO USD POR BOLSA 50KG (IVA INC)]]</f>
        <v>#N/A</v>
      </c>
      <c r="BC723" s="828"/>
      <c r="BD723" s="944"/>
    </row>
    <row r="724" spans="1:56" ht="15.75" customHeight="1">
      <c r="A724" s="912">
        <v>46327</v>
      </c>
      <c r="B724" s="863"/>
      <c r="C724" s="792"/>
      <c r="D724" s="829">
        <f>+Tabla1[[#This Row],[FECHA Entrega]]</f>
        <v>0</v>
      </c>
      <c r="E724" s="830"/>
      <c r="F724" s="831"/>
      <c r="G724" s="832"/>
      <c r="H724" s="852"/>
      <c r="I724" s="834"/>
      <c r="J724" s="835"/>
      <c r="K724" s="836">
        <f t="shared" si="151"/>
        <v>0</v>
      </c>
      <c r="L72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24" s="837">
        <f t="shared" si="153"/>
        <v>0</v>
      </c>
      <c r="N724" s="838">
        <f>+Tabla1[[#This Row],[VENTA TOTAL $ (IVA INC) ]]</f>
        <v>0</v>
      </c>
      <c r="O724" s="838">
        <v>0</v>
      </c>
      <c r="P724" s="838">
        <v>0</v>
      </c>
      <c r="Q724" s="839">
        <f>+Tabla1[[#This Row],[VENTA TOTAL $ (IVA INC) ]]-Tabla1[[#This Row],[PENDIENTE DE COBRO]]</f>
        <v>0</v>
      </c>
      <c r="R724" s="840">
        <f>+Tabla1[[#This Row],[FECHA FC]]+Tabla1[[#This Row],[PLAZO ENTREGA VALORES]]</f>
        <v>0</v>
      </c>
      <c r="S724" s="840">
        <f>+Tabla1[[#This Row],[FECHA FC]]+Tabla1[[#This Row],[PLAZO PAGO (DIAS)]]</f>
        <v>0</v>
      </c>
      <c r="T724" s="834">
        <f t="shared" ca="1" si="152"/>
        <v>-46181</v>
      </c>
      <c r="U724" s="831"/>
      <c r="V724" s="831"/>
      <c r="W724" s="841">
        <f>+Tabla1[[#This Row],[FECHA VTO VALORES]]+7</f>
        <v>7</v>
      </c>
      <c r="X724" s="864"/>
      <c r="Y724" s="859"/>
      <c r="Z724" s="860">
        <f>Tabla1[[#This Row],[KGS]]/50</f>
        <v>0</v>
      </c>
      <c r="AA72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24" s="844">
        <f>-Tabla1[[#This Row],[COSTO FLETE $ POR BOLSA 5O KG (SIN IVA)]]*1.21-Tabla1[[#This Row],[PRECIO $/ KG A PLAZO EN CLIENTE ( SIN IVA)]]*0.003*1.21*50</f>
        <v>0</v>
      </c>
      <c r="AC724" s="845" t="e">
        <f>SUM(Tabla1[[#This Row],[PRECIO $ BOLSA 50 KG (IVA INC) ]]+Tabla1[[#This Row],[COSTO FLETE $ BOLSA 50 KG (IVA INC)]])</f>
        <v>#VALUE!</v>
      </c>
      <c r="AD724" s="844" t="e">
        <f>-Tabla1[[#This Row],[PRECIO $ BOLSA 50 KG (IVA INC) ]]*(Tabla1[[#This Row],[TASA FINANCIACION MENSUAL]]/365)*Tabla1[[#This Row],[PLAZO ENTREGA VALORES]]</f>
        <v>#VALUE!</v>
      </c>
      <c r="AE724" s="845" t="e">
        <f>SUM(Tabla1[[#This Row],[PRECIO $ BOLSA50 KG  FOB TUCUMAN A PLAZO (IVA INC)]]+Tabla1[[#This Row],[GASTOS FINANCIEROS $ BOLSA 50 KG (IVA INC)]])</f>
        <v>#VALUE!</v>
      </c>
      <c r="AF724" s="828"/>
      <c r="AG724" s="828"/>
      <c r="AH724" s="828"/>
      <c r="AI724" s="828"/>
      <c r="AJ72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24" s="846" t="e">
        <f>SUM(Tabla1[[#This Row],[PRECIO $ BOLSA 50KG  FOB CDO TUC (IVA INC)]]-Tabla1[[#This Row],[PRECIO REF $ BOLSA 50 KG CACTU (IVA INC)]])</f>
        <v>#VALUE!</v>
      </c>
      <c r="AL724" s="847" t="str">
        <f>IFERROR(Tabla1[[#This Row],[PRECIO $ BOLSA 50KG  FOB CDO TUC (IVA INC)]]/Tabla1[[#This Row],[PRECIO REF $ BOLSA 50 KG CACTU (IVA INC)]]-1,"")</f>
        <v/>
      </c>
      <c r="AM724" s="846" t="e">
        <f>+Tabla1[[#This Row],[DIF $ PRECIO NETO INDUSTRIA vs Neto TUCUMAN (IVA INC)]]*Tabla1[[#This Row],[Q Bolsas Equivalentes 50kg]]</f>
        <v>#VALUE!</v>
      </c>
      <c r="AN724" s="846" t="e">
        <f>Tabla1[[#This Row],[PRECIO REF $ BOLSA 50 KG CACTU (IVA INC)]]*Tabla1[[#This Row],[Q Bolsas Equivalentes 50kg]]</f>
        <v>#VALUE!</v>
      </c>
      <c r="AO724" s="846" t="e">
        <f>+Tabla1[[#This Row],[PRECIO $ BOLSA 50KG  FOB CDO TUC (IVA INC)]]*Tabla1[[#This Row],[Q Bolsas Equivalentes 50kg]]</f>
        <v>#VALUE!</v>
      </c>
      <c r="AP724" s="847"/>
      <c r="AQ724" s="846">
        <v>0</v>
      </c>
      <c r="AR724" s="828"/>
      <c r="AS724" s="849"/>
      <c r="AT724" s="923">
        <f>+Tabla1[[#This Row],[VENTA TOTAL $ (IVA INC) ]]-(SUM(Tabla1[[#This Row],[PENDIENTE DE ENTREGA]:[VALORES COBRADOS]]))</f>
        <v>0</v>
      </c>
      <c r="AU724" s="850" t="e">
        <f>VLOOKUP(Tabla1[[#This Row],[FECHA OC]],'TIPO DE CAMBIO'!A:B,2,TRUE)</f>
        <v>#N/A</v>
      </c>
      <c r="AV724" s="850" t="e">
        <f>+Tabla1[[#This Row],[SUBTOTAL]]/Tabla1[[#This Row],[TIPO DE CAMBIO]]</f>
        <v>#N/A</v>
      </c>
      <c r="AW724" s="851"/>
      <c r="AX724" s="850" t="str">
        <f>IFERROR(Tabla1[[#This Row],[VENTA TOTAL USD A PLAZO EN CLIENTE  (SIN IVA)]]*(1+Tabla1[[#This Row],[% IVA ]]),"")</f>
        <v/>
      </c>
      <c r="AY724" s="850" t="e">
        <f>+Tabla1[[#This Row],[VENTA TOTAL USD A PLAZO EN CLIENTE  (SIN IVA)]]/Tabla1[[#This Row],[KGS]]*1000</f>
        <v>#N/A</v>
      </c>
      <c r="AZ724" s="850" t="e">
        <f>-Tabla1[[#This Row],[COSTO FLETE $ POR BOLSA 5O KG (SIN IVA)]]*20/Tabla1[[#This Row],[TIPO DE CAMBIO]]</f>
        <v>#N/A</v>
      </c>
      <c r="BA724" s="850" t="e">
        <f>+Tabla1[[#This Row],[GASTOS FINANCIEROS $ BOLSA 50 KG (IVA INC)]]*20/Tabla1[[#This Row],[TIPO DE CAMBIO]]</f>
        <v>#VALUE!</v>
      </c>
      <c r="BB724" s="850" t="e">
        <f>+Tabla1[[#This Row],[PRECIO POR TN USD EN CLIENTE A PLAZO (SIN IVA)]]+Tabla1[[#This Row],[COSTO USD FLETE /TN (SIN IVA)]]+Tabla1[[#This Row],[COSTO FINANCIERO USD POR BOLSA 50KG (IVA INC)]]</f>
        <v>#N/A</v>
      </c>
      <c r="BC724" s="828"/>
      <c r="BD724" s="944"/>
    </row>
    <row r="725" spans="1:56" ht="15.75" customHeight="1">
      <c r="A725" s="912">
        <v>46327</v>
      </c>
      <c r="B725" s="863"/>
      <c r="C725" s="792"/>
      <c r="D725" s="829">
        <f>+Tabla1[[#This Row],[FECHA Entrega]]</f>
        <v>0</v>
      </c>
      <c r="E725" s="830"/>
      <c r="F725" s="831"/>
      <c r="G725" s="832"/>
      <c r="H725" s="852"/>
      <c r="I725" s="834"/>
      <c r="J725" s="835"/>
      <c r="K725" s="836">
        <f t="shared" si="151"/>
        <v>0</v>
      </c>
      <c r="L72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25" s="837">
        <f t="shared" si="153"/>
        <v>0</v>
      </c>
      <c r="N725" s="838">
        <f>+Tabla1[[#This Row],[VENTA TOTAL $ (IVA INC) ]]</f>
        <v>0</v>
      </c>
      <c r="O725" s="838">
        <v>0</v>
      </c>
      <c r="P725" s="838">
        <v>0</v>
      </c>
      <c r="Q725" s="839">
        <f>+Tabla1[[#This Row],[VENTA TOTAL $ (IVA INC) ]]</f>
        <v>0</v>
      </c>
      <c r="R725" s="840">
        <f>+Tabla1[[#This Row],[FECHA FC]]+Tabla1[[#This Row],[PLAZO ENTREGA VALORES]]</f>
        <v>0</v>
      </c>
      <c r="S725" s="840">
        <f>+Tabla1[[#This Row],[FECHA FC]]+Tabla1[[#This Row],[PLAZO PAGO (DIAS)]]</f>
        <v>0</v>
      </c>
      <c r="T725" s="834">
        <f t="shared" ca="1" si="152"/>
        <v>-46181</v>
      </c>
      <c r="U725" s="831"/>
      <c r="V725" s="831"/>
      <c r="W725" s="841">
        <f>+Tabla1[[#This Row],[FECHA VTO VALORES]]+7</f>
        <v>7</v>
      </c>
      <c r="X725" s="864"/>
      <c r="Y725" s="859"/>
      <c r="Z725" s="860">
        <f>Tabla1[[#This Row],[KGS]]/50</f>
        <v>0</v>
      </c>
      <c r="AA72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25" s="844">
        <f>-Tabla1[[#This Row],[COSTO FLETE $ POR BOLSA 5O KG (SIN IVA)]]*1.21-Tabla1[[#This Row],[PRECIO $/ KG A PLAZO EN CLIENTE ( SIN IVA)]]*0.003*1.21*50</f>
        <v>0</v>
      </c>
      <c r="AC725" s="845" t="e">
        <f>SUM(Tabla1[[#This Row],[PRECIO $ BOLSA 50 KG (IVA INC) ]]+Tabla1[[#This Row],[COSTO FLETE $ BOLSA 50 KG (IVA INC)]])</f>
        <v>#VALUE!</v>
      </c>
      <c r="AD725" s="844" t="e">
        <f>-Tabla1[[#This Row],[PRECIO $ BOLSA 50 KG (IVA INC) ]]*(Tabla1[[#This Row],[TASA FINANCIACION MENSUAL]]/365)*Tabla1[[#This Row],[PLAZO ENTREGA VALORES]]</f>
        <v>#VALUE!</v>
      </c>
      <c r="AE725" s="845" t="e">
        <f>SUM(Tabla1[[#This Row],[PRECIO $ BOLSA50 KG  FOB TUCUMAN A PLAZO (IVA INC)]]+Tabla1[[#This Row],[GASTOS FINANCIEROS $ BOLSA 50 KG (IVA INC)]])</f>
        <v>#VALUE!</v>
      </c>
      <c r="AF725" s="828"/>
      <c r="AG725" s="828"/>
      <c r="AH725" s="828"/>
      <c r="AI725" s="828"/>
      <c r="AJ72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25" s="846" t="e">
        <f>SUM(Tabla1[[#This Row],[PRECIO $ BOLSA 50KG  FOB CDO TUC (IVA INC)]]-Tabla1[[#This Row],[PRECIO REF $ BOLSA 50 KG CACTU (IVA INC)]])</f>
        <v>#VALUE!</v>
      </c>
      <c r="AL725" s="847" t="str">
        <f>IFERROR(Tabla1[[#This Row],[PRECIO $ BOLSA 50KG  FOB CDO TUC (IVA INC)]]/Tabla1[[#This Row],[PRECIO REF $ BOLSA 50 KG CACTU (IVA INC)]]-1,"")</f>
        <v/>
      </c>
      <c r="AM725" s="846" t="e">
        <f>+Tabla1[[#This Row],[DIF $ PRECIO NETO INDUSTRIA vs Neto TUCUMAN (IVA INC)]]*Tabla1[[#This Row],[Q Bolsas Equivalentes 50kg]]</f>
        <v>#VALUE!</v>
      </c>
      <c r="AN725" s="846" t="e">
        <f>Tabla1[[#This Row],[PRECIO REF $ BOLSA 50 KG CACTU (IVA INC)]]*Tabla1[[#This Row],[Q Bolsas Equivalentes 50kg]]</f>
        <v>#VALUE!</v>
      </c>
      <c r="AO725" s="846" t="e">
        <f>+Tabla1[[#This Row],[PRECIO $ BOLSA 50KG  FOB CDO TUC (IVA INC)]]*Tabla1[[#This Row],[Q Bolsas Equivalentes 50kg]]</f>
        <v>#VALUE!</v>
      </c>
      <c r="AP725" s="847"/>
      <c r="AQ725" s="846">
        <v>0</v>
      </c>
      <c r="AR725" s="828"/>
      <c r="AS725" s="849"/>
      <c r="AT725" s="923">
        <f>+Tabla1[[#This Row],[VENTA TOTAL $ (IVA INC) ]]-(SUM(Tabla1[[#This Row],[PENDIENTE DE ENTREGA]:[VALORES COBRADOS]]))</f>
        <v>0</v>
      </c>
      <c r="AU725" s="850" t="e">
        <f>VLOOKUP(Tabla1[[#This Row],[FECHA OC]],'TIPO DE CAMBIO'!A:B,2,TRUE)</f>
        <v>#N/A</v>
      </c>
      <c r="AV725" s="850" t="e">
        <f>+Tabla1[[#This Row],[SUBTOTAL]]/Tabla1[[#This Row],[TIPO DE CAMBIO]]</f>
        <v>#N/A</v>
      </c>
      <c r="AW725" s="851"/>
      <c r="AX725" s="850" t="str">
        <f>IFERROR(Tabla1[[#This Row],[VENTA TOTAL USD A PLAZO EN CLIENTE  (SIN IVA)]]*(1+Tabla1[[#This Row],[% IVA ]]),"")</f>
        <v/>
      </c>
      <c r="AY725" s="850" t="e">
        <f>+Tabla1[[#This Row],[VENTA TOTAL USD A PLAZO EN CLIENTE  (SIN IVA)]]/Tabla1[[#This Row],[KGS]]*1000</f>
        <v>#N/A</v>
      </c>
      <c r="AZ725" s="850" t="e">
        <f>-Tabla1[[#This Row],[COSTO FLETE $ POR BOLSA 5O KG (SIN IVA)]]*20/Tabla1[[#This Row],[TIPO DE CAMBIO]]</f>
        <v>#N/A</v>
      </c>
      <c r="BA725" s="850" t="e">
        <f>+Tabla1[[#This Row],[GASTOS FINANCIEROS $ BOLSA 50 KG (IVA INC)]]*20/Tabla1[[#This Row],[TIPO DE CAMBIO]]</f>
        <v>#VALUE!</v>
      </c>
      <c r="BB725" s="850" t="e">
        <f>+Tabla1[[#This Row],[PRECIO POR TN USD EN CLIENTE A PLAZO (SIN IVA)]]+Tabla1[[#This Row],[COSTO USD FLETE /TN (SIN IVA)]]+Tabla1[[#This Row],[COSTO FINANCIERO USD POR BOLSA 50KG (IVA INC)]]</f>
        <v>#N/A</v>
      </c>
      <c r="BC725" s="828"/>
      <c r="BD725" s="944"/>
    </row>
    <row r="726" spans="1:56" ht="15.75" customHeight="1">
      <c r="A726" s="912">
        <v>46327</v>
      </c>
      <c r="B726" s="863"/>
      <c r="C726" s="792"/>
      <c r="D726" s="829">
        <f>+Tabla1[[#This Row],[FECHA Entrega]]</f>
        <v>0</v>
      </c>
      <c r="E726" s="830"/>
      <c r="F726" s="831"/>
      <c r="G726" s="832"/>
      <c r="H726" s="852"/>
      <c r="I726" s="834"/>
      <c r="J726" s="835"/>
      <c r="K726" s="836">
        <f t="shared" si="151"/>
        <v>0</v>
      </c>
      <c r="L72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26" s="837">
        <f t="shared" si="153"/>
        <v>0</v>
      </c>
      <c r="N726" s="838">
        <f>+Tabla1[[#This Row],[VENTA TOTAL $ (IVA INC) ]]</f>
        <v>0</v>
      </c>
      <c r="O726" s="838">
        <v>0</v>
      </c>
      <c r="P726" s="838">
        <v>0</v>
      </c>
      <c r="Q726" s="839">
        <f>+Tabla1[[#This Row],[VENTA TOTAL $ (IVA INC) ]]</f>
        <v>0</v>
      </c>
      <c r="R726" s="840">
        <f>+Tabla1[[#This Row],[FECHA FC]]+Tabla1[[#This Row],[PLAZO ENTREGA VALORES]]</f>
        <v>0</v>
      </c>
      <c r="S726" s="840">
        <f>+Tabla1[[#This Row],[FECHA FC]]+Tabla1[[#This Row],[PLAZO PAGO (DIAS)]]</f>
        <v>0</v>
      </c>
      <c r="T726" s="834">
        <f t="shared" ca="1" si="152"/>
        <v>-46181</v>
      </c>
      <c r="U726" s="831"/>
      <c r="V726" s="831"/>
      <c r="W726" s="841">
        <f>+Tabla1[[#This Row],[FECHA VTO VALORES]]+7</f>
        <v>7</v>
      </c>
      <c r="X726" s="864"/>
      <c r="Y726" s="859"/>
      <c r="Z726" s="860">
        <f>Tabla1[[#This Row],[KGS]]/50</f>
        <v>0</v>
      </c>
      <c r="AA72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26" s="844">
        <f>-Tabla1[[#This Row],[COSTO FLETE $ POR BOLSA 5O KG (SIN IVA)]]*1.21-Tabla1[[#This Row],[PRECIO $/ KG A PLAZO EN CLIENTE ( SIN IVA)]]*0.003*1.21*50</f>
        <v>0</v>
      </c>
      <c r="AC726" s="845" t="e">
        <f>SUM(Tabla1[[#This Row],[PRECIO $ BOLSA 50 KG (IVA INC) ]]+Tabla1[[#This Row],[COSTO FLETE $ BOLSA 50 KG (IVA INC)]])</f>
        <v>#VALUE!</v>
      </c>
      <c r="AD726" s="844" t="e">
        <f>-Tabla1[[#This Row],[PRECIO $ BOLSA 50 KG (IVA INC) ]]*(Tabla1[[#This Row],[TASA FINANCIACION MENSUAL]]/365)*Tabla1[[#This Row],[PLAZO ENTREGA VALORES]]</f>
        <v>#VALUE!</v>
      </c>
      <c r="AE726" s="845" t="e">
        <f>SUM(Tabla1[[#This Row],[PRECIO $ BOLSA50 KG  FOB TUCUMAN A PLAZO (IVA INC)]]+Tabla1[[#This Row],[GASTOS FINANCIEROS $ BOLSA 50 KG (IVA INC)]])</f>
        <v>#VALUE!</v>
      </c>
      <c r="AF726" s="828"/>
      <c r="AG726" s="828"/>
      <c r="AH726" s="828"/>
      <c r="AI726" s="828"/>
      <c r="AJ72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26" s="846" t="e">
        <f>SUM(Tabla1[[#This Row],[PRECIO $ BOLSA 50KG  FOB CDO TUC (IVA INC)]]-Tabla1[[#This Row],[PRECIO REF $ BOLSA 50 KG CACTU (IVA INC)]])</f>
        <v>#VALUE!</v>
      </c>
      <c r="AL726" s="847" t="str">
        <f>IFERROR(Tabla1[[#This Row],[PRECIO $ BOLSA 50KG  FOB CDO TUC (IVA INC)]]/Tabla1[[#This Row],[PRECIO REF $ BOLSA 50 KG CACTU (IVA INC)]]-1,"")</f>
        <v/>
      </c>
      <c r="AM726" s="846" t="e">
        <f>+Tabla1[[#This Row],[DIF $ PRECIO NETO INDUSTRIA vs Neto TUCUMAN (IVA INC)]]*Tabla1[[#This Row],[Q Bolsas Equivalentes 50kg]]</f>
        <v>#VALUE!</v>
      </c>
      <c r="AN726" s="846" t="e">
        <f>Tabla1[[#This Row],[PRECIO REF $ BOLSA 50 KG CACTU (IVA INC)]]*Tabla1[[#This Row],[Q Bolsas Equivalentes 50kg]]</f>
        <v>#VALUE!</v>
      </c>
      <c r="AO726" s="846" t="e">
        <f>+Tabla1[[#This Row],[PRECIO $ BOLSA 50KG  FOB CDO TUC (IVA INC)]]*Tabla1[[#This Row],[Q Bolsas Equivalentes 50kg]]</f>
        <v>#VALUE!</v>
      </c>
      <c r="AP726" s="847"/>
      <c r="AQ726" s="846">
        <v>0</v>
      </c>
      <c r="AR726" s="828"/>
      <c r="AS726" s="849"/>
      <c r="AT726" s="923">
        <f>+Tabla1[[#This Row],[VENTA TOTAL $ (IVA INC) ]]-(SUM(Tabla1[[#This Row],[PENDIENTE DE ENTREGA]:[VALORES COBRADOS]]))</f>
        <v>0</v>
      </c>
      <c r="AU726" s="850" t="e">
        <f>VLOOKUP(Tabla1[[#This Row],[FECHA OC]],'TIPO DE CAMBIO'!A:B,2,TRUE)</f>
        <v>#N/A</v>
      </c>
      <c r="AV726" s="850" t="e">
        <f>+Tabla1[[#This Row],[SUBTOTAL]]/Tabla1[[#This Row],[TIPO DE CAMBIO]]</f>
        <v>#N/A</v>
      </c>
      <c r="AW726" s="851"/>
      <c r="AX726" s="850" t="str">
        <f>IFERROR(Tabla1[[#This Row],[VENTA TOTAL USD A PLAZO EN CLIENTE  (SIN IVA)]]*(1+Tabla1[[#This Row],[% IVA ]]),"")</f>
        <v/>
      </c>
      <c r="AY726" s="850" t="e">
        <f>+Tabla1[[#This Row],[VENTA TOTAL USD A PLAZO EN CLIENTE  (SIN IVA)]]/Tabla1[[#This Row],[KGS]]*1000</f>
        <v>#N/A</v>
      </c>
      <c r="AZ726" s="850" t="e">
        <f>-Tabla1[[#This Row],[COSTO FLETE $ POR BOLSA 5O KG (SIN IVA)]]*20/Tabla1[[#This Row],[TIPO DE CAMBIO]]</f>
        <v>#N/A</v>
      </c>
      <c r="BA726" s="850" t="e">
        <f>+Tabla1[[#This Row],[GASTOS FINANCIEROS $ BOLSA 50 KG (IVA INC)]]*20/Tabla1[[#This Row],[TIPO DE CAMBIO]]</f>
        <v>#VALUE!</v>
      </c>
      <c r="BB726" s="850" t="e">
        <f>+Tabla1[[#This Row],[PRECIO POR TN USD EN CLIENTE A PLAZO (SIN IVA)]]+Tabla1[[#This Row],[COSTO USD FLETE /TN (SIN IVA)]]+Tabla1[[#This Row],[COSTO FINANCIERO USD POR BOLSA 50KG (IVA INC)]]</f>
        <v>#N/A</v>
      </c>
      <c r="BC726" s="828"/>
      <c r="BD726" s="944"/>
    </row>
    <row r="727" spans="1:56" ht="15.75" customHeight="1">
      <c r="A727" s="912">
        <v>46327</v>
      </c>
      <c r="B727" s="863"/>
      <c r="C727" s="792"/>
      <c r="D727" s="829">
        <f>+Tabla1[[#This Row],[FECHA Entrega]]</f>
        <v>0</v>
      </c>
      <c r="E727" s="830"/>
      <c r="F727" s="831"/>
      <c r="G727" s="832"/>
      <c r="H727" s="852"/>
      <c r="I727" s="834"/>
      <c r="J727" s="835"/>
      <c r="K727" s="836">
        <f t="shared" si="151"/>
        <v>0</v>
      </c>
      <c r="L72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27" s="837">
        <f t="shared" si="153"/>
        <v>0</v>
      </c>
      <c r="N727" s="838">
        <f>+Tabla1[[#This Row],[VENTA TOTAL $ (IVA INC) ]]</f>
        <v>0</v>
      </c>
      <c r="O727" s="838">
        <v>0</v>
      </c>
      <c r="P727" s="838">
        <v>0</v>
      </c>
      <c r="Q727" s="839">
        <f>+Tabla1[[#This Row],[VENTA TOTAL $ (IVA INC) ]]-Tabla1[[#This Row],[PENDIENTE DE COBRO]]</f>
        <v>0</v>
      </c>
      <c r="R727" s="840">
        <f>+Tabla1[[#This Row],[FECHA FC]]+Tabla1[[#This Row],[PLAZO ENTREGA VALORES]]</f>
        <v>0</v>
      </c>
      <c r="S727" s="840">
        <f>+Tabla1[[#This Row],[FECHA FC]]+Tabla1[[#This Row],[PLAZO PAGO (DIAS)]]</f>
        <v>0</v>
      </c>
      <c r="T727" s="834">
        <f t="shared" ca="1" si="152"/>
        <v>-46181</v>
      </c>
      <c r="U727" s="831"/>
      <c r="V727" s="831"/>
      <c r="W727" s="841">
        <f>+Tabla1[[#This Row],[FECHA VTO VALORES]]+7</f>
        <v>7</v>
      </c>
      <c r="X727" s="864"/>
      <c r="Y727" s="859"/>
      <c r="Z727" s="860">
        <f>Tabla1[[#This Row],[KGS]]/50</f>
        <v>0</v>
      </c>
      <c r="AA72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27" s="844">
        <f>-Tabla1[[#This Row],[COSTO FLETE $ POR BOLSA 5O KG (SIN IVA)]]*1.21-Tabla1[[#This Row],[PRECIO $/ KG A PLAZO EN CLIENTE ( SIN IVA)]]*0.003*1.21*50</f>
        <v>0</v>
      </c>
      <c r="AC727" s="845" t="e">
        <f>SUM(Tabla1[[#This Row],[PRECIO $ BOLSA 50 KG (IVA INC) ]]+Tabla1[[#This Row],[COSTO FLETE $ BOLSA 50 KG (IVA INC)]])</f>
        <v>#VALUE!</v>
      </c>
      <c r="AD727" s="844" t="e">
        <f>-Tabla1[[#This Row],[PRECIO $ BOLSA 50 KG (IVA INC) ]]*(Tabla1[[#This Row],[TASA FINANCIACION MENSUAL]]/365)*Tabla1[[#This Row],[PLAZO ENTREGA VALORES]]</f>
        <v>#VALUE!</v>
      </c>
      <c r="AE727" s="845" t="e">
        <f>SUM(Tabla1[[#This Row],[PRECIO $ BOLSA50 KG  FOB TUCUMAN A PLAZO (IVA INC)]]+Tabla1[[#This Row],[GASTOS FINANCIEROS $ BOLSA 50 KG (IVA INC)]])</f>
        <v>#VALUE!</v>
      </c>
      <c r="AF727" s="828"/>
      <c r="AG727" s="828"/>
      <c r="AH727" s="828"/>
      <c r="AI727" s="828"/>
      <c r="AJ72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27" s="846" t="e">
        <f>SUM(Tabla1[[#This Row],[PRECIO $ BOLSA 50KG  FOB CDO TUC (IVA INC)]]-Tabla1[[#This Row],[PRECIO REF $ BOLSA 50 KG CACTU (IVA INC)]])</f>
        <v>#VALUE!</v>
      </c>
      <c r="AL727" s="847" t="str">
        <f>IFERROR(Tabla1[[#This Row],[PRECIO $ BOLSA 50KG  FOB CDO TUC (IVA INC)]]/Tabla1[[#This Row],[PRECIO REF $ BOLSA 50 KG CACTU (IVA INC)]]-1,"")</f>
        <v/>
      </c>
      <c r="AM727" s="846" t="e">
        <f>+Tabla1[[#This Row],[DIF $ PRECIO NETO INDUSTRIA vs Neto TUCUMAN (IVA INC)]]*Tabla1[[#This Row],[Q Bolsas Equivalentes 50kg]]</f>
        <v>#VALUE!</v>
      </c>
      <c r="AN727" s="846" t="e">
        <f>Tabla1[[#This Row],[PRECIO REF $ BOLSA 50 KG CACTU (IVA INC)]]*Tabla1[[#This Row],[Q Bolsas Equivalentes 50kg]]</f>
        <v>#VALUE!</v>
      </c>
      <c r="AO727" s="846" t="e">
        <f>+Tabla1[[#This Row],[PRECIO $ BOLSA 50KG  FOB CDO TUC (IVA INC)]]*Tabla1[[#This Row],[Q Bolsas Equivalentes 50kg]]</f>
        <v>#VALUE!</v>
      </c>
      <c r="AP727" s="847"/>
      <c r="AQ727" s="846">
        <v>0</v>
      </c>
      <c r="AR727" s="828"/>
      <c r="AS727" s="849"/>
      <c r="AT727" s="923">
        <f>+Tabla1[[#This Row],[VENTA TOTAL $ (IVA INC) ]]-(SUM(Tabla1[[#This Row],[PENDIENTE DE ENTREGA]:[VALORES COBRADOS]]))</f>
        <v>0</v>
      </c>
      <c r="AU727" s="850" t="e">
        <f>VLOOKUP(Tabla1[[#This Row],[FECHA OC]],'TIPO DE CAMBIO'!A:B,2,TRUE)</f>
        <v>#N/A</v>
      </c>
      <c r="AV727" s="850" t="e">
        <f>+Tabla1[[#This Row],[SUBTOTAL]]/Tabla1[[#This Row],[TIPO DE CAMBIO]]</f>
        <v>#N/A</v>
      </c>
      <c r="AW727" s="851"/>
      <c r="AX727" s="850" t="str">
        <f>IFERROR(Tabla1[[#This Row],[VENTA TOTAL USD A PLAZO EN CLIENTE  (SIN IVA)]]*(1+Tabla1[[#This Row],[% IVA ]]),"")</f>
        <v/>
      </c>
      <c r="AY727" s="850" t="e">
        <f>+Tabla1[[#This Row],[VENTA TOTAL USD A PLAZO EN CLIENTE  (SIN IVA)]]/Tabla1[[#This Row],[KGS]]*1000</f>
        <v>#N/A</v>
      </c>
      <c r="AZ727" s="850" t="e">
        <f>-Tabla1[[#This Row],[COSTO FLETE $ POR BOLSA 5O KG (SIN IVA)]]*20/Tabla1[[#This Row],[TIPO DE CAMBIO]]</f>
        <v>#N/A</v>
      </c>
      <c r="BA727" s="850" t="e">
        <f>+Tabla1[[#This Row],[GASTOS FINANCIEROS $ BOLSA 50 KG (IVA INC)]]*20/Tabla1[[#This Row],[TIPO DE CAMBIO]]</f>
        <v>#VALUE!</v>
      </c>
      <c r="BB727" s="850" t="e">
        <f>+Tabla1[[#This Row],[PRECIO POR TN USD EN CLIENTE A PLAZO (SIN IVA)]]+Tabla1[[#This Row],[COSTO USD FLETE /TN (SIN IVA)]]+Tabla1[[#This Row],[COSTO FINANCIERO USD POR BOLSA 50KG (IVA INC)]]</f>
        <v>#N/A</v>
      </c>
      <c r="BC727" s="828"/>
      <c r="BD727" s="944"/>
    </row>
    <row r="728" spans="1:56" ht="15.75" customHeight="1">
      <c r="A728" s="912">
        <v>46327</v>
      </c>
      <c r="B728" s="863"/>
      <c r="C728" s="792"/>
      <c r="D728" s="829">
        <f>+Tabla1[[#This Row],[FECHA Entrega]]</f>
        <v>0</v>
      </c>
      <c r="E728" s="830"/>
      <c r="F728" s="831"/>
      <c r="G728" s="832"/>
      <c r="H728" s="852"/>
      <c r="I728" s="834"/>
      <c r="J728" s="835"/>
      <c r="K728" s="836">
        <f t="shared" si="151"/>
        <v>0</v>
      </c>
      <c r="L72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28" s="837">
        <f t="shared" si="153"/>
        <v>0</v>
      </c>
      <c r="N728" s="838">
        <f>+Tabla1[[#This Row],[VENTA TOTAL $ (IVA INC) ]]</f>
        <v>0</v>
      </c>
      <c r="O728" s="838">
        <v>0</v>
      </c>
      <c r="P728" s="838">
        <v>0</v>
      </c>
      <c r="Q728" s="839">
        <f>+Tabla1[[#This Row],[VENTA TOTAL $ (IVA INC) ]]</f>
        <v>0</v>
      </c>
      <c r="R728" s="840">
        <f>+Tabla1[[#This Row],[FECHA FC]]+Tabla1[[#This Row],[PLAZO ENTREGA VALORES]]</f>
        <v>0</v>
      </c>
      <c r="S728" s="840">
        <f>+Tabla1[[#This Row],[FECHA FC]]+Tabla1[[#This Row],[PLAZO PAGO (DIAS)]]</f>
        <v>0</v>
      </c>
      <c r="T728" s="834">
        <f t="shared" ca="1" si="152"/>
        <v>-46181</v>
      </c>
      <c r="U728" s="831"/>
      <c r="V728" s="831"/>
      <c r="W728" s="841">
        <f>+Tabla1[[#This Row],[FECHA VTO VALORES]]+7</f>
        <v>7</v>
      </c>
      <c r="X728" s="864"/>
      <c r="Y728" s="859"/>
      <c r="Z728" s="860">
        <f>Tabla1[[#This Row],[KGS]]/50</f>
        <v>0</v>
      </c>
      <c r="AA72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28" s="844">
        <f>-Tabla1[[#This Row],[COSTO FLETE $ POR BOLSA 5O KG (SIN IVA)]]*1.21-Tabla1[[#This Row],[PRECIO $/ KG A PLAZO EN CLIENTE ( SIN IVA)]]*0.003*1.21*50</f>
        <v>0</v>
      </c>
      <c r="AC728" s="845" t="e">
        <f>SUM(Tabla1[[#This Row],[PRECIO $ BOLSA 50 KG (IVA INC) ]]+Tabla1[[#This Row],[COSTO FLETE $ BOLSA 50 KG (IVA INC)]])</f>
        <v>#VALUE!</v>
      </c>
      <c r="AD728" s="844" t="e">
        <f>-Tabla1[[#This Row],[PRECIO $ BOLSA 50 KG (IVA INC) ]]*(Tabla1[[#This Row],[TASA FINANCIACION MENSUAL]]/365)*Tabla1[[#This Row],[PLAZO ENTREGA VALORES]]</f>
        <v>#VALUE!</v>
      </c>
      <c r="AE728" s="845" t="e">
        <f>SUM(Tabla1[[#This Row],[PRECIO $ BOLSA50 KG  FOB TUCUMAN A PLAZO (IVA INC)]]+Tabla1[[#This Row],[GASTOS FINANCIEROS $ BOLSA 50 KG (IVA INC)]])</f>
        <v>#VALUE!</v>
      </c>
      <c r="AF728" s="828"/>
      <c r="AG728" s="828"/>
      <c r="AH728" s="828"/>
      <c r="AI728" s="828"/>
      <c r="AJ72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28" s="846" t="e">
        <f>SUM(Tabla1[[#This Row],[PRECIO $ BOLSA 50KG  FOB CDO TUC (IVA INC)]]-Tabla1[[#This Row],[PRECIO REF $ BOLSA 50 KG CACTU (IVA INC)]])</f>
        <v>#VALUE!</v>
      </c>
      <c r="AL728" s="847" t="str">
        <f>IFERROR(Tabla1[[#This Row],[PRECIO $ BOLSA 50KG  FOB CDO TUC (IVA INC)]]/Tabla1[[#This Row],[PRECIO REF $ BOLSA 50 KG CACTU (IVA INC)]]-1,"")</f>
        <v/>
      </c>
      <c r="AM728" s="846" t="e">
        <f>+Tabla1[[#This Row],[DIF $ PRECIO NETO INDUSTRIA vs Neto TUCUMAN (IVA INC)]]*Tabla1[[#This Row],[Q Bolsas Equivalentes 50kg]]</f>
        <v>#VALUE!</v>
      </c>
      <c r="AN728" s="846" t="e">
        <f>Tabla1[[#This Row],[PRECIO REF $ BOLSA 50 KG CACTU (IVA INC)]]*Tabla1[[#This Row],[Q Bolsas Equivalentes 50kg]]</f>
        <v>#VALUE!</v>
      </c>
      <c r="AO728" s="846" t="e">
        <f>+Tabla1[[#This Row],[PRECIO $ BOLSA 50KG  FOB CDO TUC (IVA INC)]]*Tabla1[[#This Row],[Q Bolsas Equivalentes 50kg]]</f>
        <v>#VALUE!</v>
      </c>
      <c r="AP728" s="847"/>
      <c r="AQ728" s="846">
        <v>0</v>
      </c>
      <c r="AR728" s="828"/>
      <c r="AS728" s="849"/>
      <c r="AT728" s="923">
        <f>+Tabla1[[#This Row],[VENTA TOTAL $ (IVA INC) ]]-(SUM(Tabla1[[#This Row],[PENDIENTE DE ENTREGA]:[VALORES COBRADOS]]))</f>
        <v>0</v>
      </c>
      <c r="AU728" s="850" t="e">
        <f>VLOOKUP(Tabla1[[#This Row],[FECHA OC]],'TIPO DE CAMBIO'!A:B,2,TRUE)</f>
        <v>#N/A</v>
      </c>
      <c r="AV728" s="850" t="e">
        <f>+Tabla1[[#This Row],[SUBTOTAL]]/Tabla1[[#This Row],[TIPO DE CAMBIO]]</f>
        <v>#N/A</v>
      </c>
      <c r="AW728" s="851"/>
      <c r="AX728" s="850" t="str">
        <f>IFERROR(Tabla1[[#This Row],[VENTA TOTAL USD A PLAZO EN CLIENTE  (SIN IVA)]]*(1+Tabla1[[#This Row],[% IVA ]]),"")</f>
        <v/>
      </c>
      <c r="AY728" s="850" t="e">
        <f>+Tabla1[[#This Row],[VENTA TOTAL USD A PLAZO EN CLIENTE  (SIN IVA)]]/Tabla1[[#This Row],[KGS]]*1000</f>
        <v>#N/A</v>
      </c>
      <c r="AZ728" s="850" t="e">
        <f>-Tabla1[[#This Row],[COSTO FLETE $ POR BOLSA 5O KG (SIN IVA)]]*20/Tabla1[[#This Row],[TIPO DE CAMBIO]]</f>
        <v>#N/A</v>
      </c>
      <c r="BA728" s="850" t="e">
        <f>+Tabla1[[#This Row],[GASTOS FINANCIEROS $ BOLSA 50 KG (IVA INC)]]*20/Tabla1[[#This Row],[TIPO DE CAMBIO]]</f>
        <v>#VALUE!</v>
      </c>
      <c r="BB728" s="850" t="e">
        <f>+Tabla1[[#This Row],[PRECIO POR TN USD EN CLIENTE A PLAZO (SIN IVA)]]+Tabla1[[#This Row],[COSTO USD FLETE /TN (SIN IVA)]]+Tabla1[[#This Row],[COSTO FINANCIERO USD POR BOLSA 50KG (IVA INC)]]</f>
        <v>#N/A</v>
      </c>
      <c r="BC728" s="828"/>
      <c r="BD728" s="944"/>
    </row>
    <row r="729" spans="1:56" ht="15.75" customHeight="1">
      <c r="A729" s="912">
        <v>46327</v>
      </c>
      <c r="B729" s="863"/>
      <c r="C729" s="792"/>
      <c r="D729" s="829">
        <f>+Tabla1[[#This Row],[FECHA Entrega]]</f>
        <v>0</v>
      </c>
      <c r="E729" s="830"/>
      <c r="F729" s="831"/>
      <c r="G729" s="832"/>
      <c r="H729" s="852"/>
      <c r="I729" s="834"/>
      <c r="J729" s="835"/>
      <c r="K729" s="836">
        <f t="shared" ref="K729:K791" si="154">+J729*I729</f>
        <v>0</v>
      </c>
      <c r="L72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29" s="837">
        <f t="shared" si="153"/>
        <v>0</v>
      </c>
      <c r="N729" s="838">
        <f>+Tabla1[[#This Row],[VENTA TOTAL $ (IVA INC) ]]</f>
        <v>0</v>
      </c>
      <c r="O729" s="838">
        <v>0</v>
      </c>
      <c r="P729" s="838">
        <v>0</v>
      </c>
      <c r="Q729" s="839">
        <f>+Tabla1[[#This Row],[VENTA TOTAL $ (IVA INC) ]]-Tabla1[[#This Row],[PENDIENTE DE COBRO]]</f>
        <v>0</v>
      </c>
      <c r="R729" s="840">
        <f>+Tabla1[[#This Row],[FECHA FC]]+Tabla1[[#This Row],[PLAZO ENTREGA VALORES]]</f>
        <v>0</v>
      </c>
      <c r="S729" s="840">
        <f>+Tabla1[[#This Row],[FECHA FC]]+Tabla1[[#This Row],[PLAZO PAGO (DIAS)]]</f>
        <v>0</v>
      </c>
      <c r="T729" s="834">
        <f t="shared" ref="T729:T792" ca="1" si="155">+S729-$U$2</f>
        <v>-46181</v>
      </c>
      <c r="U729" s="831"/>
      <c r="V729" s="831"/>
      <c r="W729" s="841">
        <f>+Tabla1[[#This Row],[FECHA VTO VALORES]]+7</f>
        <v>7</v>
      </c>
      <c r="X729" s="864"/>
      <c r="Y729" s="859"/>
      <c r="Z729" s="860">
        <f>Tabla1[[#This Row],[KGS]]/50</f>
        <v>0</v>
      </c>
      <c r="AA72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29" s="844">
        <f>-Tabla1[[#This Row],[COSTO FLETE $ POR BOLSA 5O KG (SIN IVA)]]*1.21-Tabla1[[#This Row],[PRECIO $/ KG A PLAZO EN CLIENTE ( SIN IVA)]]*0.003*1.21*50</f>
        <v>0</v>
      </c>
      <c r="AC729" s="845" t="e">
        <f>SUM(Tabla1[[#This Row],[PRECIO $ BOLSA 50 KG (IVA INC) ]]+Tabla1[[#This Row],[COSTO FLETE $ BOLSA 50 KG (IVA INC)]])</f>
        <v>#VALUE!</v>
      </c>
      <c r="AD729" s="844" t="e">
        <f>-Tabla1[[#This Row],[PRECIO $ BOLSA 50 KG (IVA INC) ]]*(Tabla1[[#This Row],[TASA FINANCIACION MENSUAL]]/365)*Tabla1[[#This Row],[PLAZO ENTREGA VALORES]]</f>
        <v>#VALUE!</v>
      </c>
      <c r="AE729" s="845" t="e">
        <f>SUM(Tabla1[[#This Row],[PRECIO $ BOLSA50 KG  FOB TUCUMAN A PLAZO (IVA INC)]]+Tabla1[[#This Row],[GASTOS FINANCIEROS $ BOLSA 50 KG (IVA INC)]])</f>
        <v>#VALUE!</v>
      </c>
      <c r="AF729" s="828"/>
      <c r="AG729" s="828"/>
      <c r="AH729" s="828"/>
      <c r="AI729" s="828"/>
      <c r="AJ72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29" s="846" t="e">
        <f>SUM(Tabla1[[#This Row],[PRECIO $ BOLSA 50KG  FOB CDO TUC (IVA INC)]]-Tabla1[[#This Row],[PRECIO REF $ BOLSA 50 KG CACTU (IVA INC)]])</f>
        <v>#VALUE!</v>
      </c>
      <c r="AL729" s="847" t="str">
        <f>IFERROR(Tabla1[[#This Row],[PRECIO $ BOLSA 50KG  FOB CDO TUC (IVA INC)]]/Tabla1[[#This Row],[PRECIO REF $ BOLSA 50 KG CACTU (IVA INC)]]-1,"")</f>
        <v/>
      </c>
      <c r="AM729" s="846" t="e">
        <f>+Tabla1[[#This Row],[DIF $ PRECIO NETO INDUSTRIA vs Neto TUCUMAN (IVA INC)]]*Tabla1[[#This Row],[Q Bolsas Equivalentes 50kg]]</f>
        <v>#VALUE!</v>
      </c>
      <c r="AN729" s="846" t="e">
        <f>Tabla1[[#This Row],[PRECIO REF $ BOLSA 50 KG CACTU (IVA INC)]]*Tabla1[[#This Row],[Q Bolsas Equivalentes 50kg]]</f>
        <v>#VALUE!</v>
      </c>
      <c r="AO729" s="846" t="e">
        <f>+Tabla1[[#This Row],[PRECIO $ BOLSA 50KG  FOB CDO TUC (IVA INC)]]*Tabla1[[#This Row],[Q Bolsas Equivalentes 50kg]]</f>
        <v>#VALUE!</v>
      </c>
      <c r="AP729" s="847"/>
      <c r="AQ729" s="846">
        <v>0</v>
      </c>
      <c r="AR729" s="828"/>
      <c r="AS729" s="849"/>
      <c r="AT729" s="923">
        <f>+Tabla1[[#This Row],[VENTA TOTAL $ (IVA INC) ]]-(SUM(Tabla1[[#This Row],[PENDIENTE DE ENTREGA]:[VALORES COBRADOS]]))</f>
        <v>0</v>
      </c>
      <c r="AU729" s="850" t="e">
        <f>VLOOKUP(Tabla1[[#This Row],[FECHA OC]],'TIPO DE CAMBIO'!A:B,2,TRUE)</f>
        <v>#N/A</v>
      </c>
      <c r="AV729" s="850" t="e">
        <f>+Tabla1[[#This Row],[SUBTOTAL]]/Tabla1[[#This Row],[TIPO DE CAMBIO]]</f>
        <v>#N/A</v>
      </c>
      <c r="AW729" s="851"/>
      <c r="AX729" s="850" t="str">
        <f>IFERROR(Tabla1[[#This Row],[VENTA TOTAL USD A PLAZO EN CLIENTE  (SIN IVA)]]*(1+Tabla1[[#This Row],[% IVA ]]),"")</f>
        <v/>
      </c>
      <c r="AY729" s="850" t="e">
        <f>+Tabla1[[#This Row],[VENTA TOTAL USD A PLAZO EN CLIENTE  (SIN IVA)]]/Tabla1[[#This Row],[KGS]]*1000</f>
        <v>#N/A</v>
      </c>
      <c r="AZ729" s="850" t="e">
        <f>-Tabla1[[#This Row],[COSTO FLETE $ POR BOLSA 5O KG (SIN IVA)]]*20/Tabla1[[#This Row],[TIPO DE CAMBIO]]</f>
        <v>#N/A</v>
      </c>
      <c r="BA729" s="850" t="e">
        <f>+Tabla1[[#This Row],[GASTOS FINANCIEROS $ BOLSA 50 KG (IVA INC)]]*20/Tabla1[[#This Row],[TIPO DE CAMBIO]]</f>
        <v>#VALUE!</v>
      </c>
      <c r="BB729" s="850" t="e">
        <f>+Tabla1[[#This Row],[PRECIO POR TN USD EN CLIENTE A PLAZO (SIN IVA)]]+Tabla1[[#This Row],[COSTO USD FLETE /TN (SIN IVA)]]+Tabla1[[#This Row],[COSTO FINANCIERO USD POR BOLSA 50KG (IVA INC)]]</f>
        <v>#N/A</v>
      </c>
      <c r="BC729" s="828"/>
      <c r="BD729" s="944"/>
    </row>
    <row r="730" spans="1:56" ht="15.75" customHeight="1">
      <c r="A730" s="912">
        <v>46327</v>
      </c>
      <c r="B730" s="863"/>
      <c r="C730" s="792"/>
      <c r="D730" s="829">
        <f>+Tabla1[[#This Row],[FECHA Entrega]]</f>
        <v>0</v>
      </c>
      <c r="E730" s="830"/>
      <c r="F730" s="831"/>
      <c r="G730" s="832"/>
      <c r="H730" s="852"/>
      <c r="I730" s="834"/>
      <c r="J730" s="835"/>
      <c r="K730" s="836">
        <f t="shared" si="154"/>
        <v>0</v>
      </c>
      <c r="L73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30" s="837">
        <f t="shared" si="153"/>
        <v>0</v>
      </c>
      <c r="N730" s="838">
        <f>+Tabla1[[#This Row],[VENTA TOTAL $ (IVA INC) ]]</f>
        <v>0</v>
      </c>
      <c r="O730" s="838">
        <v>0</v>
      </c>
      <c r="P730" s="838">
        <v>0</v>
      </c>
      <c r="Q730" s="839">
        <f>+Tabla1[[#This Row],[VENTA TOTAL $ (IVA INC) ]]</f>
        <v>0</v>
      </c>
      <c r="R730" s="840">
        <f>+Tabla1[[#This Row],[FECHA FC]]+Tabla1[[#This Row],[PLAZO ENTREGA VALORES]]</f>
        <v>0</v>
      </c>
      <c r="S730" s="840">
        <f>+Tabla1[[#This Row],[FECHA FC]]+Tabla1[[#This Row],[PLAZO PAGO (DIAS)]]</f>
        <v>0</v>
      </c>
      <c r="T730" s="834">
        <f t="shared" ca="1" si="155"/>
        <v>-46181</v>
      </c>
      <c r="U730" s="831"/>
      <c r="V730" s="831"/>
      <c r="W730" s="841">
        <f>+Tabla1[[#This Row],[FECHA VTO VALORES]]+7</f>
        <v>7</v>
      </c>
      <c r="X730" s="864"/>
      <c r="Y730" s="859"/>
      <c r="Z730" s="860">
        <f>Tabla1[[#This Row],[KGS]]/50</f>
        <v>0</v>
      </c>
      <c r="AA73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30" s="844">
        <f>-Tabla1[[#This Row],[COSTO FLETE $ POR BOLSA 5O KG (SIN IVA)]]*1.21-Tabla1[[#This Row],[PRECIO $/ KG A PLAZO EN CLIENTE ( SIN IVA)]]*0.003*1.21*50</f>
        <v>0</v>
      </c>
      <c r="AC730" s="845" t="e">
        <f>SUM(Tabla1[[#This Row],[PRECIO $ BOLSA 50 KG (IVA INC) ]]+Tabla1[[#This Row],[COSTO FLETE $ BOLSA 50 KG (IVA INC)]])</f>
        <v>#VALUE!</v>
      </c>
      <c r="AD730" s="844" t="e">
        <f>-Tabla1[[#This Row],[PRECIO $ BOLSA 50 KG (IVA INC) ]]*(Tabla1[[#This Row],[TASA FINANCIACION MENSUAL]]/365)*Tabla1[[#This Row],[PLAZO ENTREGA VALORES]]</f>
        <v>#VALUE!</v>
      </c>
      <c r="AE730" s="845" t="e">
        <f>SUM(Tabla1[[#This Row],[PRECIO $ BOLSA50 KG  FOB TUCUMAN A PLAZO (IVA INC)]]+Tabla1[[#This Row],[GASTOS FINANCIEROS $ BOLSA 50 KG (IVA INC)]])</f>
        <v>#VALUE!</v>
      </c>
      <c r="AF730" s="828"/>
      <c r="AG730" s="828"/>
      <c r="AH730" s="828"/>
      <c r="AI730" s="828"/>
      <c r="AJ73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30" s="846" t="e">
        <f>SUM(Tabla1[[#This Row],[PRECIO $ BOLSA 50KG  FOB CDO TUC (IVA INC)]]-Tabla1[[#This Row],[PRECIO REF $ BOLSA 50 KG CACTU (IVA INC)]])</f>
        <v>#VALUE!</v>
      </c>
      <c r="AL730" s="847" t="str">
        <f>IFERROR(Tabla1[[#This Row],[PRECIO $ BOLSA 50KG  FOB CDO TUC (IVA INC)]]/Tabla1[[#This Row],[PRECIO REF $ BOLSA 50 KG CACTU (IVA INC)]]-1,"")</f>
        <v/>
      </c>
      <c r="AM730" s="846" t="e">
        <f>+Tabla1[[#This Row],[DIF $ PRECIO NETO INDUSTRIA vs Neto TUCUMAN (IVA INC)]]*Tabla1[[#This Row],[Q Bolsas Equivalentes 50kg]]</f>
        <v>#VALUE!</v>
      </c>
      <c r="AN730" s="846" t="e">
        <f>Tabla1[[#This Row],[PRECIO REF $ BOLSA 50 KG CACTU (IVA INC)]]*Tabla1[[#This Row],[Q Bolsas Equivalentes 50kg]]</f>
        <v>#VALUE!</v>
      </c>
      <c r="AO730" s="846" t="e">
        <f>+Tabla1[[#This Row],[PRECIO $ BOLSA 50KG  FOB CDO TUC (IVA INC)]]*Tabla1[[#This Row],[Q Bolsas Equivalentes 50kg]]</f>
        <v>#VALUE!</v>
      </c>
      <c r="AP730" s="847"/>
      <c r="AQ730" s="846">
        <v>0</v>
      </c>
      <c r="AR730" s="828"/>
      <c r="AS730" s="849"/>
      <c r="AT730" s="923">
        <f>+Tabla1[[#This Row],[VENTA TOTAL $ (IVA INC) ]]-(SUM(Tabla1[[#This Row],[PENDIENTE DE ENTREGA]:[VALORES COBRADOS]]))</f>
        <v>0</v>
      </c>
      <c r="AU730" s="850" t="e">
        <f>VLOOKUP(Tabla1[[#This Row],[FECHA OC]],'TIPO DE CAMBIO'!A:B,2,TRUE)</f>
        <v>#N/A</v>
      </c>
      <c r="AV730" s="850" t="e">
        <f>+Tabla1[[#This Row],[SUBTOTAL]]/Tabla1[[#This Row],[TIPO DE CAMBIO]]</f>
        <v>#N/A</v>
      </c>
      <c r="AW730" s="851"/>
      <c r="AX730" s="850" t="str">
        <f>IFERROR(Tabla1[[#This Row],[VENTA TOTAL USD A PLAZO EN CLIENTE  (SIN IVA)]]*(1+Tabla1[[#This Row],[% IVA ]]),"")</f>
        <v/>
      </c>
      <c r="AY730" s="850" t="e">
        <f>+Tabla1[[#This Row],[VENTA TOTAL USD A PLAZO EN CLIENTE  (SIN IVA)]]/Tabla1[[#This Row],[KGS]]*1000</f>
        <v>#N/A</v>
      </c>
      <c r="AZ730" s="850" t="e">
        <f>-Tabla1[[#This Row],[COSTO FLETE $ POR BOLSA 5O KG (SIN IVA)]]*20/Tabla1[[#This Row],[TIPO DE CAMBIO]]</f>
        <v>#N/A</v>
      </c>
      <c r="BA730" s="850" t="e">
        <f>+Tabla1[[#This Row],[GASTOS FINANCIEROS $ BOLSA 50 KG (IVA INC)]]*20/Tabla1[[#This Row],[TIPO DE CAMBIO]]</f>
        <v>#VALUE!</v>
      </c>
      <c r="BB730" s="850" t="e">
        <f>+Tabla1[[#This Row],[PRECIO POR TN USD EN CLIENTE A PLAZO (SIN IVA)]]+Tabla1[[#This Row],[COSTO USD FLETE /TN (SIN IVA)]]+Tabla1[[#This Row],[COSTO FINANCIERO USD POR BOLSA 50KG (IVA INC)]]</f>
        <v>#N/A</v>
      </c>
      <c r="BC730" s="828"/>
      <c r="BD730" s="944"/>
    </row>
    <row r="731" spans="1:56" ht="15.75" customHeight="1">
      <c r="A731" s="912">
        <v>46327</v>
      </c>
      <c r="B731" s="863"/>
      <c r="C731" s="792"/>
      <c r="D731" s="829">
        <f>+Tabla1[[#This Row],[FECHA Entrega]]</f>
        <v>0</v>
      </c>
      <c r="E731" s="830"/>
      <c r="F731" s="831"/>
      <c r="G731" s="832"/>
      <c r="H731" s="852"/>
      <c r="I731" s="834"/>
      <c r="J731" s="835"/>
      <c r="K731" s="836">
        <f t="shared" si="154"/>
        <v>0</v>
      </c>
      <c r="L73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31" s="837">
        <f t="shared" si="153"/>
        <v>0</v>
      </c>
      <c r="N731" s="838">
        <f>+Tabla1[[#This Row],[VENTA TOTAL $ (IVA INC) ]]</f>
        <v>0</v>
      </c>
      <c r="O731" s="838">
        <v>0</v>
      </c>
      <c r="P731" s="838">
        <v>0</v>
      </c>
      <c r="Q731" s="839">
        <f>+Tabla1[[#This Row],[VENTA TOTAL $ (IVA INC) ]]-Tabla1[[#This Row],[PENDIENTE DE COBRO]]</f>
        <v>0</v>
      </c>
      <c r="R731" s="840">
        <f>+Tabla1[[#This Row],[FECHA FC]]+Tabla1[[#This Row],[PLAZO ENTREGA VALORES]]</f>
        <v>0</v>
      </c>
      <c r="S731" s="840">
        <f>+Tabla1[[#This Row],[FECHA FC]]+Tabla1[[#This Row],[PLAZO PAGO (DIAS)]]</f>
        <v>0</v>
      </c>
      <c r="T731" s="834">
        <f t="shared" ca="1" si="155"/>
        <v>-46181</v>
      </c>
      <c r="U731" s="831"/>
      <c r="V731" s="831"/>
      <c r="W731" s="841">
        <f>+Tabla1[[#This Row],[FECHA VTO VALORES]]+7</f>
        <v>7</v>
      </c>
      <c r="X731" s="864"/>
      <c r="Y731" s="859"/>
      <c r="Z731" s="860">
        <f>Tabla1[[#This Row],[KGS]]/50</f>
        <v>0</v>
      </c>
      <c r="AA73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31" s="844">
        <f>-Tabla1[[#This Row],[COSTO FLETE $ POR BOLSA 5O KG (SIN IVA)]]*1.21-Tabla1[[#This Row],[PRECIO $/ KG A PLAZO EN CLIENTE ( SIN IVA)]]*0.003*1.21*50</f>
        <v>0</v>
      </c>
      <c r="AC731" s="845" t="e">
        <f>SUM(Tabla1[[#This Row],[PRECIO $ BOLSA 50 KG (IVA INC) ]]+Tabla1[[#This Row],[COSTO FLETE $ BOLSA 50 KG (IVA INC)]])</f>
        <v>#VALUE!</v>
      </c>
      <c r="AD731" s="844" t="e">
        <f>-Tabla1[[#This Row],[PRECIO $ BOLSA 50 KG (IVA INC) ]]*(Tabla1[[#This Row],[TASA FINANCIACION MENSUAL]]/365)*Tabla1[[#This Row],[PLAZO ENTREGA VALORES]]</f>
        <v>#VALUE!</v>
      </c>
      <c r="AE731" s="845" t="e">
        <f>SUM(Tabla1[[#This Row],[PRECIO $ BOLSA50 KG  FOB TUCUMAN A PLAZO (IVA INC)]]+Tabla1[[#This Row],[GASTOS FINANCIEROS $ BOLSA 50 KG (IVA INC)]])</f>
        <v>#VALUE!</v>
      </c>
      <c r="AF731" s="828"/>
      <c r="AG731" s="828"/>
      <c r="AH731" s="828"/>
      <c r="AI731" s="828"/>
      <c r="AJ73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31" s="846" t="e">
        <f>SUM(Tabla1[[#This Row],[PRECIO $ BOLSA 50KG  FOB CDO TUC (IVA INC)]]-Tabla1[[#This Row],[PRECIO REF $ BOLSA 50 KG CACTU (IVA INC)]])</f>
        <v>#VALUE!</v>
      </c>
      <c r="AL731" s="847" t="str">
        <f>IFERROR(Tabla1[[#This Row],[PRECIO $ BOLSA 50KG  FOB CDO TUC (IVA INC)]]/Tabla1[[#This Row],[PRECIO REF $ BOLSA 50 KG CACTU (IVA INC)]]-1,"")</f>
        <v/>
      </c>
      <c r="AM731" s="846" t="e">
        <f>+Tabla1[[#This Row],[DIF $ PRECIO NETO INDUSTRIA vs Neto TUCUMAN (IVA INC)]]*Tabla1[[#This Row],[Q Bolsas Equivalentes 50kg]]</f>
        <v>#VALUE!</v>
      </c>
      <c r="AN731" s="846" t="e">
        <f>Tabla1[[#This Row],[PRECIO REF $ BOLSA 50 KG CACTU (IVA INC)]]*Tabla1[[#This Row],[Q Bolsas Equivalentes 50kg]]</f>
        <v>#VALUE!</v>
      </c>
      <c r="AO731" s="846" t="e">
        <f>+Tabla1[[#This Row],[PRECIO $ BOLSA 50KG  FOB CDO TUC (IVA INC)]]*Tabla1[[#This Row],[Q Bolsas Equivalentes 50kg]]</f>
        <v>#VALUE!</v>
      </c>
      <c r="AP731" s="847"/>
      <c r="AQ731" s="846">
        <v>0</v>
      </c>
      <c r="AR731" s="828"/>
      <c r="AS731" s="849"/>
      <c r="AT731" s="923">
        <f>+Tabla1[[#This Row],[VENTA TOTAL $ (IVA INC) ]]-(SUM(Tabla1[[#This Row],[PENDIENTE DE ENTREGA]:[VALORES COBRADOS]]))</f>
        <v>0</v>
      </c>
      <c r="AU731" s="850" t="e">
        <f>VLOOKUP(Tabla1[[#This Row],[FECHA OC]],'TIPO DE CAMBIO'!A:B,2,TRUE)</f>
        <v>#N/A</v>
      </c>
      <c r="AV731" s="850" t="e">
        <f>+Tabla1[[#This Row],[SUBTOTAL]]/Tabla1[[#This Row],[TIPO DE CAMBIO]]</f>
        <v>#N/A</v>
      </c>
      <c r="AW731" s="851"/>
      <c r="AX731" s="850" t="str">
        <f>IFERROR(Tabla1[[#This Row],[VENTA TOTAL USD A PLAZO EN CLIENTE  (SIN IVA)]]*(1+Tabla1[[#This Row],[% IVA ]]),"")</f>
        <v/>
      </c>
      <c r="AY731" s="850" t="e">
        <f>+Tabla1[[#This Row],[VENTA TOTAL USD A PLAZO EN CLIENTE  (SIN IVA)]]/Tabla1[[#This Row],[KGS]]*1000</f>
        <v>#N/A</v>
      </c>
      <c r="AZ731" s="850" t="e">
        <f>-Tabla1[[#This Row],[COSTO FLETE $ POR BOLSA 5O KG (SIN IVA)]]*20/Tabla1[[#This Row],[TIPO DE CAMBIO]]</f>
        <v>#N/A</v>
      </c>
      <c r="BA731" s="850" t="e">
        <f>+Tabla1[[#This Row],[GASTOS FINANCIEROS $ BOLSA 50 KG (IVA INC)]]*20/Tabla1[[#This Row],[TIPO DE CAMBIO]]</f>
        <v>#VALUE!</v>
      </c>
      <c r="BB731" s="850" t="e">
        <f>+Tabla1[[#This Row],[PRECIO POR TN USD EN CLIENTE A PLAZO (SIN IVA)]]+Tabla1[[#This Row],[COSTO USD FLETE /TN (SIN IVA)]]+Tabla1[[#This Row],[COSTO FINANCIERO USD POR BOLSA 50KG (IVA INC)]]</f>
        <v>#N/A</v>
      </c>
      <c r="BC731" s="828"/>
      <c r="BD731" s="944"/>
    </row>
    <row r="732" spans="1:56" ht="15.75" customHeight="1">
      <c r="A732" s="912">
        <v>46327</v>
      </c>
      <c r="B732" s="863"/>
      <c r="C732" s="792"/>
      <c r="D732" s="829">
        <f>+Tabla1[[#This Row],[FECHA Entrega]]</f>
        <v>0</v>
      </c>
      <c r="E732" s="830"/>
      <c r="F732" s="831"/>
      <c r="G732" s="832"/>
      <c r="H732" s="852"/>
      <c r="I732" s="834"/>
      <c r="J732" s="835"/>
      <c r="K732" s="836">
        <f t="shared" si="154"/>
        <v>0</v>
      </c>
      <c r="L73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32" s="837">
        <f t="shared" si="153"/>
        <v>0</v>
      </c>
      <c r="N732" s="838">
        <f>+Tabla1[[#This Row],[VENTA TOTAL $ (IVA INC) ]]</f>
        <v>0</v>
      </c>
      <c r="O732" s="838">
        <v>0</v>
      </c>
      <c r="P732" s="838">
        <v>0</v>
      </c>
      <c r="Q732" s="839">
        <f>+Tabla1[[#This Row],[VENTA TOTAL $ (IVA INC) ]]</f>
        <v>0</v>
      </c>
      <c r="R732" s="840">
        <f>+Tabla1[[#This Row],[FECHA FC]]+Tabla1[[#This Row],[PLAZO ENTREGA VALORES]]</f>
        <v>0</v>
      </c>
      <c r="S732" s="840">
        <f>+Tabla1[[#This Row],[FECHA FC]]+Tabla1[[#This Row],[PLAZO PAGO (DIAS)]]</f>
        <v>0</v>
      </c>
      <c r="T732" s="834">
        <f t="shared" ca="1" si="155"/>
        <v>-46181</v>
      </c>
      <c r="U732" s="831"/>
      <c r="V732" s="831"/>
      <c r="W732" s="841">
        <f>+Tabla1[[#This Row],[FECHA VTO VALORES]]+7</f>
        <v>7</v>
      </c>
      <c r="X732" s="830"/>
      <c r="Y732" s="859"/>
      <c r="Z732" s="860">
        <f>Tabla1[[#This Row],[KGS]]/50</f>
        <v>0</v>
      </c>
      <c r="AA73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32" s="844">
        <f>-Tabla1[[#This Row],[COSTO FLETE $ POR BOLSA 5O KG (SIN IVA)]]*1.21-Tabla1[[#This Row],[PRECIO $/ KG A PLAZO EN CLIENTE ( SIN IVA)]]*0.003*1.21*50</f>
        <v>0</v>
      </c>
      <c r="AC732" s="845" t="e">
        <f>SUM(Tabla1[[#This Row],[PRECIO $ BOLSA 50 KG (IVA INC) ]]+Tabla1[[#This Row],[COSTO FLETE $ BOLSA 50 KG (IVA INC)]])</f>
        <v>#VALUE!</v>
      </c>
      <c r="AD732" s="844" t="e">
        <f>-Tabla1[[#This Row],[PRECIO $ BOLSA 50 KG (IVA INC) ]]*(Tabla1[[#This Row],[TASA FINANCIACION MENSUAL]]/365)*Tabla1[[#This Row],[PLAZO ENTREGA VALORES]]</f>
        <v>#VALUE!</v>
      </c>
      <c r="AE732" s="845" t="e">
        <f>SUM(Tabla1[[#This Row],[PRECIO $ BOLSA50 KG  FOB TUCUMAN A PLAZO (IVA INC)]]+Tabla1[[#This Row],[GASTOS FINANCIEROS $ BOLSA 50 KG (IVA INC)]])</f>
        <v>#VALUE!</v>
      </c>
      <c r="AF732" s="828"/>
      <c r="AG732" s="828"/>
      <c r="AH732" s="828"/>
      <c r="AI732" s="828"/>
      <c r="AJ73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32" s="846" t="e">
        <f>SUM(Tabla1[[#This Row],[PRECIO $ BOLSA 50KG  FOB CDO TUC (IVA INC)]]-Tabla1[[#This Row],[PRECIO REF $ BOLSA 50 KG CACTU (IVA INC)]])</f>
        <v>#VALUE!</v>
      </c>
      <c r="AL732" s="847" t="str">
        <f>IFERROR(Tabla1[[#This Row],[PRECIO $ BOLSA 50KG  FOB CDO TUC (IVA INC)]]/Tabla1[[#This Row],[PRECIO REF $ BOLSA 50 KG CACTU (IVA INC)]]-1,"")</f>
        <v/>
      </c>
      <c r="AM732" s="846" t="e">
        <f>+Tabla1[[#This Row],[DIF $ PRECIO NETO INDUSTRIA vs Neto TUCUMAN (IVA INC)]]*Tabla1[[#This Row],[Q Bolsas Equivalentes 50kg]]</f>
        <v>#VALUE!</v>
      </c>
      <c r="AN732" s="846" t="e">
        <f>Tabla1[[#This Row],[PRECIO REF $ BOLSA 50 KG CACTU (IVA INC)]]*Tabla1[[#This Row],[Q Bolsas Equivalentes 50kg]]</f>
        <v>#VALUE!</v>
      </c>
      <c r="AO732" s="846" t="e">
        <f>+Tabla1[[#This Row],[PRECIO $ BOLSA 50KG  FOB CDO TUC (IVA INC)]]*Tabla1[[#This Row],[Q Bolsas Equivalentes 50kg]]</f>
        <v>#VALUE!</v>
      </c>
      <c r="AP732" s="847"/>
      <c r="AQ732" s="846">
        <v>0</v>
      </c>
      <c r="AR732" s="828"/>
      <c r="AS732" s="849"/>
      <c r="AT732" s="923">
        <f>+Tabla1[[#This Row],[VENTA TOTAL $ (IVA INC) ]]-(SUM(Tabla1[[#This Row],[PENDIENTE DE ENTREGA]:[VALORES COBRADOS]]))</f>
        <v>0</v>
      </c>
      <c r="AU732" s="850" t="e">
        <f>VLOOKUP(Tabla1[[#This Row],[FECHA OC]],'TIPO DE CAMBIO'!A:B,2,TRUE)</f>
        <v>#N/A</v>
      </c>
      <c r="AV732" s="850" t="e">
        <f>+Tabla1[[#This Row],[SUBTOTAL]]/Tabla1[[#This Row],[TIPO DE CAMBIO]]</f>
        <v>#N/A</v>
      </c>
      <c r="AW732" s="851"/>
      <c r="AX732" s="850" t="str">
        <f>IFERROR(Tabla1[[#This Row],[VENTA TOTAL USD A PLAZO EN CLIENTE  (SIN IVA)]]*(1+Tabla1[[#This Row],[% IVA ]]),"")</f>
        <v/>
      </c>
      <c r="AY732" s="850" t="e">
        <f>+Tabla1[[#This Row],[VENTA TOTAL USD A PLAZO EN CLIENTE  (SIN IVA)]]/Tabla1[[#This Row],[KGS]]*1000</f>
        <v>#N/A</v>
      </c>
      <c r="AZ732" s="850" t="e">
        <f>-Tabla1[[#This Row],[COSTO FLETE $ POR BOLSA 5O KG (SIN IVA)]]*20/Tabla1[[#This Row],[TIPO DE CAMBIO]]</f>
        <v>#N/A</v>
      </c>
      <c r="BA732" s="850" t="e">
        <f>+Tabla1[[#This Row],[GASTOS FINANCIEROS $ BOLSA 50 KG (IVA INC)]]*20/Tabla1[[#This Row],[TIPO DE CAMBIO]]</f>
        <v>#VALUE!</v>
      </c>
      <c r="BB732" s="850" t="e">
        <f>+Tabla1[[#This Row],[PRECIO POR TN USD EN CLIENTE A PLAZO (SIN IVA)]]+Tabla1[[#This Row],[COSTO USD FLETE /TN (SIN IVA)]]+Tabla1[[#This Row],[COSTO FINANCIERO USD POR BOLSA 50KG (IVA INC)]]</f>
        <v>#N/A</v>
      </c>
      <c r="BC732" s="828"/>
      <c r="BD732" s="944"/>
    </row>
    <row r="733" spans="1:56" ht="15.75" customHeight="1">
      <c r="A733" s="912">
        <v>46327</v>
      </c>
      <c r="B733" s="863"/>
      <c r="C733" s="792"/>
      <c r="D733" s="829">
        <f>+Tabla1[[#This Row],[FECHA Entrega]]</f>
        <v>0</v>
      </c>
      <c r="E733" s="830"/>
      <c r="F733" s="831"/>
      <c r="G733" s="832"/>
      <c r="H733" s="852"/>
      <c r="I733" s="834"/>
      <c r="J733" s="835"/>
      <c r="K733" s="836">
        <f t="shared" si="154"/>
        <v>0</v>
      </c>
      <c r="L73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33" s="837">
        <f t="shared" si="153"/>
        <v>0</v>
      </c>
      <c r="N733" s="838">
        <f>+Tabla1[[#This Row],[VENTA TOTAL $ (IVA INC) ]]</f>
        <v>0</v>
      </c>
      <c r="O733" s="838">
        <v>0</v>
      </c>
      <c r="P733" s="838">
        <v>0</v>
      </c>
      <c r="Q733" s="839">
        <f>+Tabla1[[#This Row],[VENTA TOTAL $ (IVA INC) ]]-Tabla1[[#This Row],[PENDIENTE DE COBRO]]</f>
        <v>0</v>
      </c>
      <c r="R733" s="840">
        <f>+Tabla1[[#This Row],[FECHA FC]]+Tabla1[[#This Row],[PLAZO ENTREGA VALORES]]</f>
        <v>0</v>
      </c>
      <c r="S733" s="840">
        <f>+Tabla1[[#This Row],[FECHA FC]]+Tabla1[[#This Row],[PLAZO PAGO (DIAS)]]</f>
        <v>0</v>
      </c>
      <c r="T733" s="834">
        <f t="shared" ca="1" si="155"/>
        <v>-46181</v>
      </c>
      <c r="U733" s="831"/>
      <c r="V733" s="831"/>
      <c r="W733" s="841">
        <f>+Tabla1[[#This Row],[FECHA VTO VALORES]]+7</f>
        <v>7</v>
      </c>
      <c r="X733" s="830"/>
      <c r="Y733" s="859"/>
      <c r="Z733" s="860">
        <f>Tabla1[[#This Row],[KGS]]/50</f>
        <v>0</v>
      </c>
      <c r="AA73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33" s="844">
        <f>-Tabla1[[#This Row],[COSTO FLETE $ POR BOLSA 5O KG (SIN IVA)]]*1.21-Tabla1[[#This Row],[PRECIO $/ KG A PLAZO EN CLIENTE ( SIN IVA)]]*0.003*1.21*50</f>
        <v>0</v>
      </c>
      <c r="AC733" s="845" t="e">
        <f>SUM(Tabla1[[#This Row],[PRECIO $ BOLSA 50 KG (IVA INC) ]]+Tabla1[[#This Row],[COSTO FLETE $ BOLSA 50 KG (IVA INC)]])</f>
        <v>#VALUE!</v>
      </c>
      <c r="AD733" s="844" t="e">
        <f>-Tabla1[[#This Row],[PRECIO $ BOLSA 50 KG (IVA INC) ]]*(Tabla1[[#This Row],[TASA FINANCIACION MENSUAL]]/365)*Tabla1[[#This Row],[PLAZO ENTREGA VALORES]]</f>
        <v>#VALUE!</v>
      </c>
      <c r="AE733" s="845" t="e">
        <f>SUM(Tabla1[[#This Row],[PRECIO $ BOLSA50 KG  FOB TUCUMAN A PLAZO (IVA INC)]]+Tabla1[[#This Row],[GASTOS FINANCIEROS $ BOLSA 50 KG (IVA INC)]])</f>
        <v>#VALUE!</v>
      </c>
      <c r="AF733" s="828"/>
      <c r="AG733" s="828"/>
      <c r="AH733" s="828"/>
      <c r="AI733" s="828"/>
      <c r="AJ73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33" s="846" t="e">
        <f>SUM(Tabla1[[#This Row],[PRECIO $ BOLSA 50KG  FOB CDO TUC (IVA INC)]]-Tabla1[[#This Row],[PRECIO REF $ BOLSA 50 KG CACTU (IVA INC)]])</f>
        <v>#VALUE!</v>
      </c>
      <c r="AL733" s="847" t="str">
        <f>IFERROR(Tabla1[[#This Row],[PRECIO $ BOLSA 50KG  FOB CDO TUC (IVA INC)]]/Tabla1[[#This Row],[PRECIO REF $ BOLSA 50 KG CACTU (IVA INC)]]-1,"")</f>
        <v/>
      </c>
      <c r="AM733" s="846" t="e">
        <f>+Tabla1[[#This Row],[DIF $ PRECIO NETO INDUSTRIA vs Neto TUCUMAN (IVA INC)]]*Tabla1[[#This Row],[Q Bolsas Equivalentes 50kg]]</f>
        <v>#VALUE!</v>
      </c>
      <c r="AN733" s="846" t="e">
        <f>Tabla1[[#This Row],[PRECIO REF $ BOLSA 50 KG CACTU (IVA INC)]]*Tabla1[[#This Row],[Q Bolsas Equivalentes 50kg]]</f>
        <v>#VALUE!</v>
      </c>
      <c r="AO733" s="846" t="e">
        <f>+Tabla1[[#This Row],[PRECIO $ BOLSA 50KG  FOB CDO TUC (IVA INC)]]*Tabla1[[#This Row],[Q Bolsas Equivalentes 50kg]]</f>
        <v>#VALUE!</v>
      </c>
      <c r="AP733" s="847"/>
      <c r="AQ733" s="846">
        <v>0</v>
      </c>
      <c r="AR733" s="828"/>
      <c r="AS733" s="849"/>
      <c r="AT733" s="923">
        <f>+Tabla1[[#This Row],[VENTA TOTAL $ (IVA INC) ]]-(SUM(Tabla1[[#This Row],[PENDIENTE DE ENTREGA]:[VALORES COBRADOS]]))</f>
        <v>0</v>
      </c>
      <c r="AU733" s="850" t="e">
        <f>VLOOKUP(Tabla1[[#This Row],[FECHA OC]],'TIPO DE CAMBIO'!A:B,2,TRUE)</f>
        <v>#N/A</v>
      </c>
      <c r="AV733" s="850" t="e">
        <f>+Tabla1[[#This Row],[SUBTOTAL]]/Tabla1[[#This Row],[TIPO DE CAMBIO]]</f>
        <v>#N/A</v>
      </c>
      <c r="AW733" s="851"/>
      <c r="AX733" s="850" t="str">
        <f>IFERROR(Tabla1[[#This Row],[VENTA TOTAL USD A PLAZO EN CLIENTE  (SIN IVA)]]*(1+Tabla1[[#This Row],[% IVA ]]),"")</f>
        <v/>
      </c>
      <c r="AY733" s="850" t="e">
        <f>+Tabla1[[#This Row],[VENTA TOTAL USD A PLAZO EN CLIENTE  (SIN IVA)]]/Tabla1[[#This Row],[KGS]]*1000</f>
        <v>#N/A</v>
      </c>
      <c r="AZ733" s="850" t="e">
        <f>-Tabla1[[#This Row],[COSTO FLETE $ POR BOLSA 5O KG (SIN IVA)]]*20/Tabla1[[#This Row],[TIPO DE CAMBIO]]</f>
        <v>#N/A</v>
      </c>
      <c r="BA733" s="850" t="e">
        <f>+Tabla1[[#This Row],[GASTOS FINANCIEROS $ BOLSA 50 KG (IVA INC)]]*20/Tabla1[[#This Row],[TIPO DE CAMBIO]]</f>
        <v>#VALUE!</v>
      </c>
      <c r="BB733" s="850" t="e">
        <f>+Tabla1[[#This Row],[PRECIO POR TN USD EN CLIENTE A PLAZO (SIN IVA)]]+Tabla1[[#This Row],[COSTO USD FLETE /TN (SIN IVA)]]+Tabla1[[#This Row],[COSTO FINANCIERO USD POR BOLSA 50KG (IVA INC)]]</f>
        <v>#N/A</v>
      </c>
      <c r="BC733" s="828"/>
      <c r="BD733" s="944"/>
    </row>
    <row r="734" spans="1:56" ht="15.75" customHeight="1">
      <c r="A734" s="912">
        <v>46327</v>
      </c>
      <c r="B734" s="863"/>
      <c r="C734" s="792"/>
      <c r="D734" s="829">
        <f>+Tabla1[[#This Row],[FECHA Entrega]]</f>
        <v>0</v>
      </c>
      <c r="E734" s="830"/>
      <c r="F734" s="831"/>
      <c r="G734" s="832"/>
      <c r="H734" s="852"/>
      <c r="I734" s="834"/>
      <c r="J734" s="835"/>
      <c r="K734" s="836">
        <f t="shared" si="154"/>
        <v>0</v>
      </c>
      <c r="L73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34" s="837">
        <f t="shared" si="153"/>
        <v>0</v>
      </c>
      <c r="N734" s="838">
        <f>+Tabla1[[#This Row],[VENTA TOTAL $ (IVA INC) ]]</f>
        <v>0</v>
      </c>
      <c r="O734" s="838">
        <v>0</v>
      </c>
      <c r="P734" s="838">
        <v>0</v>
      </c>
      <c r="Q734" s="839">
        <f>+Tabla1[[#This Row],[VENTA TOTAL $ (IVA INC) ]]</f>
        <v>0</v>
      </c>
      <c r="R734" s="840">
        <f>+Tabla1[[#This Row],[FECHA FC]]+Tabla1[[#This Row],[PLAZO ENTREGA VALORES]]</f>
        <v>0</v>
      </c>
      <c r="S734" s="840">
        <f>+Tabla1[[#This Row],[FECHA FC]]+Tabla1[[#This Row],[PLAZO PAGO (DIAS)]]</f>
        <v>0</v>
      </c>
      <c r="T734" s="834">
        <f t="shared" ca="1" si="155"/>
        <v>-46181</v>
      </c>
      <c r="U734" s="831"/>
      <c r="V734" s="831"/>
      <c r="W734" s="841">
        <f>+Tabla1[[#This Row],[FECHA VTO VALORES]]+7</f>
        <v>7</v>
      </c>
      <c r="X734" s="830"/>
      <c r="Y734" s="859"/>
      <c r="Z734" s="860">
        <f>Tabla1[[#This Row],[KGS]]/50</f>
        <v>0</v>
      </c>
      <c r="AA73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34" s="844">
        <f>-Tabla1[[#This Row],[COSTO FLETE $ POR BOLSA 5O KG (SIN IVA)]]*1.21-Tabla1[[#This Row],[PRECIO $/ KG A PLAZO EN CLIENTE ( SIN IVA)]]*0.003*1.21*50</f>
        <v>0</v>
      </c>
      <c r="AC734" s="845" t="e">
        <f>SUM(Tabla1[[#This Row],[PRECIO $ BOLSA 50 KG (IVA INC) ]]+Tabla1[[#This Row],[COSTO FLETE $ BOLSA 50 KG (IVA INC)]])</f>
        <v>#VALUE!</v>
      </c>
      <c r="AD734" s="844" t="e">
        <f>-Tabla1[[#This Row],[PRECIO $ BOLSA 50 KG (IVA INC) ]]*(Tabla1[[#This Row],[TASA FINANCIACION MENSUAL]]/365)*Tabla1[[#This Row],[PLAZO ENTREGA VALORES]]</f>
        <v>#VALUE!</v>
      </c>
      <c r="AE734" s="845" t="e">
        <f>SUM(Tabla1[[#This Row],[PRECIO $ BOLSA50 KG  FOB TUCUMAN A PLAZO (IVA INC)]]+Tabla1[[#This Row],[GASTOS FINANCIEROS $ BOLSA 50 KG (IVA INC)]])</f>
        <v>#VALUE!</v>
      </c>
      <c r="AF734" s="828"/>
      <c r="AG734" s="828"/>
      <c r="AH734" s="828"/>
      <c r="AI734" s="828"/>
      <c r="AJ73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34" s="846" t="e">
        <f>SUM(Tabla1[[#This Row],[PRECIO $ BOLSA 50KG  FOB CDO TUC (IVA INC)]]-Tabla1[[#This Row],[PRECIO REF $ BOLSA 50 KG CACTU (IVA INC)]])</f>
        <v>#VALUE!</v>
      </c>
      <c r="AL734" s="847" t="str">
        <f>IFERROR(Tabla1[[#This Row],[PRECIO $ BOLSA 50KG  FOB CDO TUC (IVA INC)]]/Tabla1[[#This Row],[PRECIO REF $ BOLSA 50 KG CACTU (IVA INC)]]-1,"")</f>
        <v/>
      </c>
      <c r="AM734" s="846" t="e">
        <f>+Tabla1[[#This Row],[DIF $ PRECIO NETO INDUSTRIA vs Neto TUCUMAN (IVA INC)]]*Tabla1[[#This Row],[Q Bolsas Equivalentes 50kg]]</f>
        <v>#VALUE!</v>
      </c>
      <c r="AN734" s="846" t="e">
        <f>Tabla1[[#This Row],[PRECIO REF $ BOLSA 50 KG CACTU (IVA INC)]]*Tabla1[[#This Row],[Q Bolsas Equivalentes 50kg]]</f>
        <v>#VALUE!</v>
      </c>
      <c r="AO734" s="846" t="e">
        <f>+Tabla1[[#This Row],[PRECIO $ BOLSA 50KG  FOB CDO TUC (IVA INC)]]*Tabla1[[#This Row],[Q Bolsas Equivalentes 50kg]]</f>
        <v>#VALUE!</v>
      </c>
      <c r="AP734" s="847"/>
      <c r="AQ734" s="846">
        <v>0</v>
      </c>
      <c r="AR734" s="828"/>
      <c r="AS734" s="849"/>
      <c r="AT734" s="923">
        <f>+Tabla1[[#This Row],[VENTA TOTAL $ (IVA INC) ]]-(SUM(Tabla1[[#This Row],[PENDIENTE DE ENTREGA]:[VALORES COBRADOS]]))</f>
        <v>0</v>
      </c>
      <c r="AU734" s="850" t="e">
        <f>VLOOKUP(Tabla1[[#This Row],[FECHA OC]],'TIPO DE CAMBIO'!A:B,2,TRUE)</f>
        <v>#N/A</v>
      </c>
      <c r="AV734" s="850" t="e">
        <f>+Tabla1[[#This Row],[SUBTOTAL]]/Tabla1[[#This Row],[TIPO DE CAMBIO]]</f>
        <v>#N/A</v>
      </c>
      <c r="AW734" s="851"/>
      <c r="AX734" s="850" t="str">
        <f>IFERROR(Tabla1[[#This Row],[VENTA TOTAL USD A PLAZO EN CLIENTE  (SIN IVA)]]*(1+Tabla1[[#This Row],[% IVA ]]),"")</f>
        <v/>
      </c>
      <c r="AY734" s="850" t="e">
        <f>+Tabla1[[#This Row],[VENTA TOTAL USD A PLAZO EN CLIENTE  (SIN IVA)]]/Tabla1[[#This Row],[KGS]]*1000</f>
        <v>#N/A</v>
      </c>
      <c r="AZ734" s="850" t="e">
        <f>-Tabla1[[#This Row],[COSTO FLETE $ POR BOLSA 5O KG (SIN IVA)]]*20/Tabla1[[#This Row],[TIPO DE CAMBIO]]</f>
        <v>#N/A</v>
      </c>
      <c r="BA734" s="850" t="e">
        <f>+Tabla1[[#This Row],[GASTOS FINANCIEROS $ BOLSA 50 KG (IVA INC)]]*20/Tabla1[[#This Row],[TIPO DE CAMBIO]]</f>
        <v>#VALUE!</v>
      </c>
      <c r="BB734" s="850" t="e">
        <f>+Tabla1[[#This Row],[PRECIO POR TN USD EN CLIENTE A PLAZO (SIN IVA)]]+Tabla1[[#This Row],[COSTO USD FLETE /TN (SIN IVA)]]+Tabla1[[#This Row],[COSTO FINANCIERO USD POR BOLSA 50KG (IVA INC)]]</f>
        <v>#N/A</v>
      </c>
      <c r="BC734" s="828"/>
      <c r="BD734" s="944"/>
    </row>
    <row r="735" spans="1:56" ht="15.75" customHeight="1">
      <c r="A735" s="912">
        <v>46327</v>
      </c>
      <c r="B735" s="863"/>
      <c r="C735" s="792"/>
      <c r="D735" s="829">
        <f>+Tabla1[[#This Row],[FECHA Entrega]]</f>
        <v>0</v>
      </c>
      <c r="E735" s="830"/>
      <c r="F735" s="831"/>
      <c r="G735" s="832"/>
      <c r="H735" s="852"/>
      <c r="I735" s="834"/>
      <c r="J735" s="835"/>
      <c r="K735" s="836">
        <f t="shared" si="154"/>
        <v>0</v>
      </c>
      <c r="L73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35" s="837">
        <f t="shared" si="153"/>
        <v>0</v>
      </c>
      <c r="N735" s="838">
        <f>+Tabla1[[#This Row],[VENTA TOTAL $ (IVA INC) ]]</f>
        <v>0</v>
      </c>
      <c r="O735" s="838">
        <v>0</v>
      </c>
      <c r="P735" s="838">
        <v>0</v>
      </c>
      <c r="Q735" s="839">
        <f>+Tabla1[[#This Row],[VENTA TOTAL $ (IVA INC) ]]</f>
        <v>0</v>
      </c>
      <c r="R735" s="840">
        <f>+Tabla1[[#This Row],[FECHA FC]]+Tabla1[[#This Row],[PLAZO ENTREGA VALORES]]</f>
        <v>0</v>
      </c>
      <c r="S735" s="840">
        <f>+Tabla1[[#This Row],[FECHA FC]]+Tabla1[[#This Row],[PLAZO PAGO (DIAS)]]</f>
        <v>0</v>
      </c>
      <c r="T735" s="834">
        <f t="shared" ca="1" si="155"/>
        <v>-46181</v>
      </c>
      <c r="U735" s="831"/>
      <c r="V735" s="831"/>
      <c r="W735" s="841">
        <f>+Tabla1[[#This Row],[FECHA VTO VALORES]]+7</f>
        <v>7</v>
      </c>
      <c r="X735" s="830"/>
      <c r="Y735" s="859"/>
      <c r="Z735" s="860">
        <f>Tabla1[[#This Row],[KGS]]/50</f>
        <v>0</v>
      </c>
      <c r="AA73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35" s="844">
        <f>-Tabla1[[#This Row],[COSTO FLETE $ POR BOLSA 5O KG (SIN IVA)]]*1.21-Tabla1[[#This Row],[PRECIO $/ KG A PLAZO EN CLIENTE ( SIN IVA)]]*0.003*1.21*50</f>
        <v>0</v>
      </c>
      <c r="AC735" s="845" t="e">
        <f>SUM(Tabla1[[#This Row],[PRECIO $ BOLSA 50 KG (IVA INC) ]]+Tabla1[[#This Row],[COSTO FLETE $ BOLSA 50 KG (IVA INC)]])</f>
        <v>#VALUE!</v>
      </c>
      <c r="AD735" s="844" t="e">
        <f>-Tabla1[[#This Row],[PRECIO $ BOLSA 50 KG (IVA INC) ]]*(Tabla1[[#This Row],[TASA FINANCIACION MENSUAL]]/365)*Tabla1[[#This Row],[PLAZO ENTREGA VALORES]]</f>
        <v>#VALUE!</v>
      </c>
      <c r="AE735" s="845" t="e">
        <f>SUM(Tabla1[[#This Row],[PRECIO $ BOLSA50 KG  FOB TUCUMAN A PLAZO (IVA INC)]]+Tabla1[[#This Row],[GASTOS FINANCIEROS $ BOLSA 50 KG (IVA INC)]])</f>
        <v>#VALUE!</v>
      </c>
      <c r="AF735" s="828"/>
      <c r="AG735" s="828"/>
      <c r="AH735" s="828"/>
      <c r="AI735" s="828"/>
      <c r="AJ73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35" s="846" t="e">
        <f>SUM(Tabla1[[#This Row],[PRECIO $ BOLSA 50KG  FOB CDO TUC (IVA INC)]]-Tabla1[[#This Row],[PRECIO REF $ BOLSA 50 KG CACTU (IVA INC)]])</f>
        <v>#VALUE!</v>
      </c>
      <c r="AL735" s="847" t="str">
        <f>IFERROR(Tabla1[[#This Row],[PRECIO $ BOLSA 50KG  FOB CDO TUC (IVA INC)]]/Tabla1[[#This Row],[PRECIO REF $ BOLSA 50 KG CACTU (IVA INC)]]-1,"")</f>
        <v/>
      </c>
      <c r="AM735" s="846" t="e">
        <f>+Tabla1[[#This Row],[DIF $ PRECIO NETO INDUSTRIA vs Neto TUCUMAN (IVA INC)]]*Tabla1[[#This Row],[Q Bolsas Equivalentes 50kg]]</f>
        <v>#VALUE!</v>
      </c>
      <c r="AN735" s="846" t="e">
        <f>Tabla1[[#This Row],[PRECIO REF $ BOLSA 50 KG CACTU (IVA INC)]]*Tabla1[[#This Row],[Q Bolsas Equivalentes 50kg]]</f>
        <v>#VALUE!</v>
      </c>
      <c r="AO735" s="846" t="e">
        <f>+Tabla1[[#This Row],[PRECIO $ BOLSA 50KG  FOB CDO TUC (IVA INC)]]*Tabla1[[#This Row],[Q Bolsas Equivalentes 50kg]]</f>
        <v>#VALUE!</v>
      </c>
      <c r="AP735" s="847"/>
      <c r="AQ735" s="846">
        <v>0</v>
      </c>
      <c r="AR735" s="828"/>
      <c r="AS735" s="849"/>
      <c r="AT735" s="923">
        <f>+Tabla1[[#This Row],[VENTA TOTAL $ (IVA INC) ]]-(SUM(Tabla1[[#This Row],[PENDIENTE DE ENTREGA]:[VALORES COBRADOS]]))</f>
        <v>0</v>
      </c>
      <c r="AU735" s="850" t="e">
        <f>VLOOKUP(Tabla1[[#This Row],[FECHA OC]],'TIPO DE CAMBIO'!A:B,2,TRUE)</f>
        <v>#N/A</v>
      </c>
      <c r="AV735" s="850" t="e">
        <f>+Tabla1[[#This Row],[SUBTOTAL]]/Tabla1[[#This Row],[TIPO DE CAMBIO]]</f>
        <v>#N/A</v>
      </c>
      <c r="AW735" s="851"/>
      <c r="AX735" s="850" t="str">
        <f>IFERROR(Tabla1[[#This Row],[VENTA TOTAL USD A PLAZO EN CLIENTE  (SIN IVA)]]*(1+Tabla1[[#This Row],[% IVA ]]),"")</f>
        <v/>
      </c>
      <c r="AY735" s="850" t="e">
        <f>+Tabla1[[#This Row],[VENTA TOTAL USD A PLAZO EN CLIENTE  (SIN IVA)]]/Tabla1[[#This Row],[KGS]]*1000</f>
        <v>#N/A</v>
      </c>
      <c r="AZ735" s="850" t="e">
        <f>-Tabla1[[#This Row],[COSTO FLETE $ POR BOLSA 5O KG (SIN IVA)]]*20/Tabla1[[#This Row],[TIPO DE CAMBIO]]</f>
        <v>#N/A</v>
      </c>
      <c r="BA735" s="850" t="e">
        <f>+Tabla1[[#This Row],[GASTOS FINANCIEROS $ BOLSA 50 KG (IVA INC)]]*20/Tabla1[[#This Row],[TIPO DE CAMBIO]]</f>
        <v>#VALUE!</v>
      </c>
      <c r="BB735" s="850" t="e">
        <f>+Tabla1[[#This Row],[PRECIO POR TN USD EN CLIENTE A PLAZO (SIN IVA)]]+Tabla1[[#This Row],[COSTO USD FLETE /TN (SIN IVA)]]+Tabla1[[#This Row],[COSTO FINANCIERO USD POR BOLSA 50KG (IVA INC)]]</f>
        <v>#N/A</v>
      </c>
      <c r="BC735" s="828"/>
      <c r="BD735" s="944"/>
    </row>
    <row r="736" spans="1:56" ht="15.75" customHeight="1">
      <c r="A736" s="912">
        <v>46327</v>
      </c>
      <c r="B736" s="863"/>
      <c r="C736" s="792"/>
      <c r="D736" s="829">
        <f>+Tabla1[[#This Row],[FECHA Entrega]]</f>
        <v>0</v>
      </c>
      <c r="E736" s="830"/>
      <c r="F736" s="831"/>
      <c r="G736" s="832"/>
      <c r="H736" s="852"/>
      <c r="I736" s="834"/>
      <c r="J736" s="835"/>
      <c r="K736" s="836">
        <f t="shared" si="154"/>
        <v>0</v>
      </c>
      <c r="L73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36" s="837">
        <f t="shared" si="153"/>
        <v>0</v>
      </c>
      <c r="N736" s="838">
        <f>+Tabla1[[#This Row],[VENTA TOTAL $ (IVA INC) ]]</f>
        <v>0</v>
      </c>
      <c r="O736" s="838">
        <v>0</v>
      </c>
      <c r="P736" s="839">
        <v>0</v>
      </c>
      <c r="Q736" s="839">
        <f>+Tabla1[[#This Row],[VENTA TOTAL $ (IVA INC) ]]-Tabla1[[#This Row],[PENDIENTE DE COBRO]]</f>
        <v>0</v>
      </c>
      <c r="R736" s="840">
        <f>+Tabla1[[#This Row],[FECHA FC]]+Tabla1[[#This Row],[PLAZO ENTREGA VALORES]]</f>
        <v>0</v>
      </c>
      <c r="S736" s="840">
        <f>+Tabla1[[#This Row],[FECHA FC]]+Tabla1[[#This Row],[PLAZO PAGO (DIAS)]]</f>
        <v>0</v>
      </c>
      <c r="T736" s="834">
        <f t="shared" ca="1" si="155"/>
        <v>-46181</v>
      </c>
      <c r="U736" s="831"/>
      <c r="V736" s="831"/>
      <c r="W736" s="841">
        <f>+Tabla1[[#This Row],[FECHA VTO VALORES]]+7</f>
        <v>7</v>
      </c>
      <c r="X736" s="830"/>
      <c r="Y736" s="859"/>
      <c r="Z736" s="860">
        <f>Tabla1[[#This Row],[KGS]]/50</f>
        <v>0</v>
      </c>
      <c r="AA73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36" s="844">
        <f>-Tabla1[[#This Row],[COSTO FLETE $ POR BOLSA 5O KG (SIN IVA)]]*1.21-Tabla1[[#This Row],[PRECIO $/ KG A PLAZO EN CLIENTE ( SIN IVA)]]*0.003*1.21*50</f>
        <v>0</v>
      </c>
      <c r="AC736" s="845" t="e">
        <f>SUM(Tabla1[[#This Row],[PRECIO $ BOLSA 50 KG (IVA INC) ]]+Tabla1[[#This Row],[COSTO FLETE $ BOLSA 50 KG (IVA INC)]])</f>
        <v>#VALUE!</v>
      </c>
      <c r="AD736" s="844" t="e">
        <f>-Tabla1[[#This Row],[PRECIO $ BOLSA 50 KG (IVA INC) ]]*(Tabla1[[#This Row],[TASA FINANCIACION MENSUAL]]/365)*Tabla1[[#This Row],[PLAZO ENTREGA VALORES]]</f>
        <v>#VALUE!</v>
      </c>
      <c r="AE736" s="845" t="e">
        <f>SUM(Tabla1[[#This Row],[PRECIO $ BOLSA50 KG  FOB TUCUMAN A PLAZO (IVA INC)]]+Tabla1[[#This Row],[GASTOS FINANCIEROS $ BOLSA 50 KG (IVA INC)]])</f>
        <v>#VALUE!</v>
      </c>
      <c r="AF736" s="828"/>
      <c r="AG736" s="828"/>
      <c r="AH736" s="828"/>
      <c r="AI736" s="828"/>
      <c r="AJ73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36" s="846" t="e">
        <f>SUM(Tabla1[[#This Row],[PRECIO $ BOLSA 50KG  FOB CDO TUC (IVA INC)]]-Tabla1[[#This Row],[PRECIO REF $ BOLSA 50 KG CACTU (IVA INC)]])</f>
        <v>#VALUE!</v>
      </c>
      <c r="AL736" s="847" t="str">
        <f>IFERROR(Tabla1[[#This Row],[PRECIO $ BOLSA 50KG  FOB CDO TUC (IVA INC)]]/Tabla1[[#This Row],[PRECIO REF $ BOLSA 50 KG CACTU (IVA INC)]]-1,"")</f>
        <v/>
      </c>
      <c r="AM736" s="846" t="e">
        <f>+Tabla1[[#This Row],[DIF $ PRECIO NETO INDUSTRIA vs Neto TUCUMAN (IVA INC)]]*Tabla1[[#This Row],[Q Bolsas Equivalentes 50kg]]</f>
        <v>#VALUE!</v>
      </c>
      <c r="AN736" s="846" t="e">
        <f>Tabla1[[#This Row],[PRECIO REF $ BOLSA 50 KG CACTU (IVA INC)]]*Tabla1[[#This Row],[Q Bolsas Equivalentes 50kg]]</f>
        <v>#VALUE!</v>
      </c>
      <c r="AO736" s="846" t="e">
        <f>+Tabla1[[#This Row],[PRECIO $ BOLSA 50KG  FOB CDO TUC (IVA INC)]]*Tabla1[[#This Row],[Q Bolsas Equivalentes 50kg]]</f>
        <v>#VALUE!</v>
      </c>
      <c r="AP736" s="847"/>
      <c r="AQ736" s="846">
        <v>0</v>
      </c>
      <c r="AR736" s="828"/>
      <c r="AS736" s="849"/>
      <c r="AT736" s="923">
        <f>+Tabla1[[#This Row],[VENTA TOTAL $ (IVA INC) ]]-(SUM(Tabla1[[#This Row],[PENDIENTE DE ENTREGA]:[VALORES COBRADOS]]))</f>
        <v>0</v>
      </c>
      <c r="AU736" s="850" t="e">
        <f>VLOOKUP(Tabla1[[#This Row],[FECHA OC]],'TIPO DE CAMBIO'!A:B,2,TRUE)</f>
        <v>#N/A</v>
      </c>
      <c r="AV736" s="850" t="e">
        <f>+Tabla1[[#This Row],[SUBTOTAL]]/Tabla1[[#This Row],[TIPO DE CAMBIO]]</f>
        <v>#N/A</v>
      </c>
      <c r="AW736" s="851"/>
      <c r="AX736" s="850" t="str">
        <f>IFERROR(Tabla1[[#This Row],[VENTA TOTAL USD A PLAZO EN CLIENTE  (SIN IVA)]]*(1+Tabla1[[#This Row],[% IVA ]]),"")</f>
        <v/>
      </c>
      <c r="AY736" s="850" t="e">
        <f>+Tabla1[[#This Row],[VENTA TOTAL USD A PLAZO EN CLIENTE  (SIN IVA)]]/Tabla1[[#This Row],[KGS]]*1000</f>
        <v>#N/A</v>
      </c>
      <c r="AZ736" s="850" t="e">
        <f>-Tabla1[[#This Row],[COSTO FLETE $ POR BOLSA 5O KG (SIN IVA)]]*20/Tabla1[[#This Row],[TIPO DE CAMBIO]]</f>
        <v>#N/A</v>
      </c>
      <c r="BA736" s="850" t="e">
        <f>+Tabla1[[#This Row],[GASTOS FINANCIEROS $ BOLSA 50 KG (IVA INC)]]*20/Tabla1[[#This Row],[TIPO DE CAMBIO]]</f>
        <v>#VALUE!</v>
      </c>
      <c r="BB736" s="850" t="e">
        <f>+Tabla1[[#This Row],[PRECIO POR TN USD EN CLIENTE A PLAZO (SIN IVA)]]+Tabla1[[#This Row],[COSTO USD FLETE /TN (SIN IVA)]]+Tabla1[[#This Row],[COSTO FINANCIERO USD POR BOLSA 50KG (IVA INC)]]</f>
        <v>#N/A</v>
      </c>
      <c r="BC736" s="828"/>
      <c r="BD736" s="944"/>
    </row>
    <row r="737" spans="1:56" ht="15.75" customHeight="1">
      <c r="A737" s="912">
        <v>46327</v>
      </c>
      <c r="B737" s="863"/>
      <c r="C737" s="792"/>
      <c r="D737" s="829">
        <f>+Tabla1[[#This Row],[FECHA Entrega]]</f>
        <v>0</v>
      </c>
      <c r="E737" s="830"/>
      <c r="F737" s="831"/>
      <c r="G737" s="832"/>
      <c r="H737" s="852"/>
      <c r="I737" s="834"/>
      <c r="J737" s="835"/>
      <c r="K737" s="836">
        <f t="shared" si="154"/>
        <v>0</v>
      </c>
      <c r="L73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37" s="837">
        <f t="shared" ref="M737:M800" si="156">SUM(K737:L737)</f>
        <v>0</v>
      </c>
      <c r="N737" s="838">
        <f>+Tabla1[[#This Row],[VENTA TOTAL $ (IVA INC) ]]</f>
        <v>0</v>
      </c>
      <c r="O737" s="838">
        <v>0</v>
      </c>
      <c r="P737" s="839">
        <v>0</v>
      </c>
      <c r="Q737" s="839">
        <f>+Tabla1[[#This Row],[VENTA TOTAL $ (IVA INC) ]]-Tabla1[[#This Row],[PENDIENTE DE COBRO]]</f>
        <v>0</v>
      </c>
      <c r="R737" s="840">
        <f>+Tabla1[[#This Row],[FECHA FC]]+Tabla1[[#This Row],[PLAZO ENTREGA VALORES]]</f>
        <v>0</v>
      </c>
      <c r="S737" s="840">
        <f>+Tabla1[[#This Row],[FECHA FC]]+Tabla1[[#This Row],[PLAZO PAGO (DIAS)]]</f>
        <v>0</v>
      </c>
      <c r="T737" s="834">
        <f t="shared" ca="1" si="155"/>
        <v>-46181</v>
      </c>
      <c r="U737" s="831"/>
      <c r="V737" s="831"/>
      <c r="W737" s="841">
        <f>+Tabla1[[#This Row],[FECHA VTO VALORES]]+7</f>
        <v>7</v>
      </c>
      <c r="X737" s="830"/>
      <c r="Y737" s="859"/>
      <c r="Z737" s="860">
        <f>Tabla1[[#This Row],[KGS]]/50</f>
        <v>0</v>
      </c>
      <c r="AA73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37" s="844">
        <f>-Tabla1[[#This Row],[COSTO FLETE $ POR BOLSA 5O KG (SIN IVA)]]*1.21-Tabla1[[#This Row],[PRECIO $/ KG A PLAZO EN CLIENTE ( SIN IVA)]]*0.003*1.21*50</f>
        <v>0</v>
      </c>
      <c r="AC737" s="845" t="e">
        <f>SUM(Tabla1[[#This Row],[PRECIO $ BOLSA 50 KG (IVA INC) ]]+Tabla1[[#This Row],[COSTO FLETE $ BOLSA 50 KG (IVA INC)]])</f>
        <v>#VALUE!</v>
      </c>
      <c r="AD737" s="844" t="e">
        <f>-Tabla1[[#This Row],[PRECIO $ BOLSA 50 KG (IVA INC) ]]*(Tabla1[[#This Row],[TASA FINANCIACION MENSUAL]]/365)*Tabla1[[#This Row],[PLAZO ENTREGA VALORES]]</f>
        <v>#VALUE!</v>
      </c>
      <c r="AE737" s="845" t="e">
        <f>SUM(Tabla1[[#This Row],[PRECIO $ BOLSA50 KG  FOB TUCUMAN A PLAZO (IVA INC)]]+Tabla1[[#This Row],[GASTOS FINANCIEROS $ BOLSA 50 KG (IVA INC)]])</f>
        <v>#VALUE!</v>
      </c>
      <c r="AF737" s="828"/>
      <c r="AG737" s="828"/>
      <c r="AH737" s="828"/>
      <c r="AI737" s="828"/>
      <c r="AJ73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37" s="846" t="e">
        <f>SUM(Tabla1[[#This Row],[PRECIO $ BOLSA 50KG  FOB CDO TUC (IVA INC)]]-Tabla1[[#This Row],[PRECIO REF $ BOLSA 50 KG CACTU (IVA INC)]])</f>
        <v>#VALUE!</v>
      </c>
      <c r="AL737" s="847" t="str">
        <f>IFERROR(Tabla1[[#This Row],[PRECIO $ BOLSA 50KG  FOB CDO TUC (IVA INC)]]/Tabla1[[#This Row],[PRECIO REF $ BOLSA 50 KG CACTU (IVA INC)]]-1,"")</f>
        <v/>
      </c>
      <c r="AM737" s="846" t="e">
        <f>+Tabla1[[#This Row],[DIF $ PRECIO NETO INDUSTRIA vs Neto TUCUMAN (IVA INC)]]*Tabla1[[#This Row],[Q Bolsas Equivalentes 50kg]]</f>
        <v>#VALUE!</v>
      </c>
      <c r="AN737" s="846" t="e">
        <f>Tabla1[[#This Row],[PRECIO REF $ BOLSA 50 KG CACTU (IVA INC)]]*Tabla1[[#This Row],[Q Bolsas Equivalentes 50kg]]</f>
        <v>#VALUE!</v>
      </c>
      <c r="AO737" s="846" t="e">
        <f>+Tabla1[[#This Row],[PRECIO $ BOLSA 50KG  FOB CDO TUC (IVA INC)]]*Tabla1[[#This Row],[Q Bolsas Equivalentes 50kg]]</f>
        <v>#VALUE!</v>
      </c>
      <c r="AP737" s="847"/>
      <c r="AQ737" s="846">
        <v>0</v>
      </c>
      <c r="AR737" s="828"/>
      <c r="AS737" s="849"/>
      <c r="AT737" s="923">
        <f>+Tabla1[[#This Row],[VENTA TOTAL $ (IVA INC) ]]-(SUM(Tabla1[[#This Row],[PENDIENTE DE ENTREGA]:[VALORES COBRADOS]]))</f>
        <v>0</v>
      </c>
      <c r="AU737" s="850" t="e">
        <f>VLOOKUP(Tabla1[[#This Row],[FECHA OC]],'TIPO DE CAMBIO'!A:B,2,TRUE)</f>
        <v>#N/A</v>
      </c>
      <c r="AV737" s="850" t="e">
        <f>+Tabla1[[#This Row],[SUBTOTAL]]/Tabla1[[#This Row],[TIPO DE CAMBIO]]</f>
        <v>#N/A</v>
      </c>
      <c r="AW737" s="851"/>
      <c r="AX737" s="850" t="str">
        <f>IFERROR(Tabla1[[#This Row],[VENTA TOTAL USD A PLAZO EN CLIENTE  (SIN IVA)]]*(1+Tabla1[[#This Row],[% IVA ]]),"")</f>
        <v/>
      </c>
      <c r="AY737" s="850" t="e">
        <f>+Tabla1[[#This Row],[VENTA TOTAL USD A PLAZO EN CLIENTE  (SIN IVA)]]/Tabla1[[#This Row],[KGS]]*1000</f>
        <v>#N/A</v>
      </c>
      <c r="AZ737" s="850" t="e">
        <f>-Tabla1[[#This Row],[COSTO FLETE $ POR BOLSA 5O KG (SIN IVA)]]*20/Tabla1[[#This Row],[TIPO DE CAMBIO]]</f>
        <v>#N/A</v>
      </c>
      <c r="BA737" s="850" t="e">
        <f>+Tabla1[[#This Row],[GASTOS FINANCIEROS $ BOLSA 50 KG (IVA INC)]]*20/Tabla1[[#This Row],[TIPO DE CAMBIO]]</f>
        <v>#VALUE!</v>
      </c>
      <c r="BB737" s="850" t="e">
        <f>+Tabla1[[#This Row],[PRECIO POR TN USD EN CLIENTE A PLAZO (SIN IVA)]]+Tabla1[[#This Row],[COSTO USD FLETE /TN (SIN IVA)]]+Tabla1[[#This Row],[COSTO FINANCIERO USD POR BOLSA 50KG (IVA INC)]]</f>
        <v>#N/A</v>
      </c>
      <c r="BC737" s="828"/>
      <c r="BD737" s="944"/>
    </row>
    <row r="738" spans="1:56" ht="15.75" customHeight="1">
      <c r="A738" s="912">
        <v>46327</v>
      </c>
      <c r="B738" s="863"/>
      <c r="C738" s="792"/>
      <c r="D738" s="829">
        <f>+Tabla1[[#This Row],[FECHA Entrega]]</f>
        <v>0</v>
      </c>
      <c r="E738" s="830"/>
      <c r="F738" s="831"/>
      <c r="G738" s="832"/>
      <c r="H738" s="852"/>
      <c r="I738" s="834"/>
      <c r="J738" s="835"/>
      <c r="K738" s="836">
        <f t="shared" si="154"/>
        <v>0</v>
      </c>
      <c r="L73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38" s="837">
        <f t="shared" si="156"/>
        <v>0</v>
      </c>
      <c r="N738" s="838">
        <f>+Tabla1[[#This Row],[VENTA TOTAL $ (IVA INC) ]]</f>
        <v>0</v>
      </c>
      <c r="O738" s="838">
        <v>0</v>
      </c>
      <c r="P738" s="838">
        <v>0</v>
      </c>
      <c r="Q738" s="839">
        <f>+Tabla1[[#This Row],[VENTA TOTAL $ (IVA INC) ]]</f>
        <v>0</v>
      </c>
      <c r="R738" s="840">
        <f>+Tabla1[[#This Row],[FECHA FC]]+Tabla1[[#This Row],[PLAZO ENTREGA VALORES]]</f>
        <v>0</v>
      </c>
      <c r="S738" s="840">
        <f>+Tabla1[[#This Row],[FECHA FC]]+Tabla1[[#This Row],[PLAZO PAGO (DIAS)]]</f>
        <v>0</v>
      </c>
      <c r="T738" s="834">
        <f t="shared" ca="1" si="155"/>
        <v>-46181</v>
      </c>
      <c r="U738" s="831"/>
      <c r="V738" s="831"/>
      <c r="W738" s="841">
        <f>+Tabla1[[#This Row],[FECHA VTO VALORES]]+7</f>
        <v>7</v>
      </c>
      <c r="X738" s="830"/>
      <c r="Y738" s="859"/>
      <c r="Z738" s="860">
        <f>Tabla1[[#This Row],[KGS]]/50</f>
        <v>0</v>
      </c>
      <c r="AA73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38" s="844">
        <f>-Tabla1[[#This Row],[COSTO FLETE $ POR BOLSA 5O KG (SIN IVA)]]*1.21-Tabla1[[#This Row],[PRECIO $/ KG A PLAZO EN CLIENTE ( SIN IVA)]]*0.003*1.21*50</f>
        <v>0</v>
      </c>
      <c r="AC738" s="845" t="e">
        <f>SUM(Tabla1[[#This Row],[PRECIO $ BOLSA 50 KG (IVA INC) ]]+Tabla1[[#This Row],[COSTO FLETE $ BOLSA 50 KG (IVA INC)]])</f>
        <v>#VALUE!</v>
      </c>
      <c r="AD738" s="844" t="e">
        <f>-Tabla1[[#This Row],[PRECIO $ BOLSA 50 KG (IVA INC) ]]*(Tabla1[[#This Row],[TASA FINANCIACION MENSUAL]]/365)*Tabla1[[#This Row],[PLAZO ENTREGA VALORES]]</f>
        <v>#VALUE!</v>
      </c>
      <c r="AE738" s="845" t="e">
        <f>SUM(Tabla1[[#This Row],[PRECIO $ BOLSA50 KG  FOB TUCUMAN A PLAZO (IVA INC)]]+Tabla1[[#This Row],[GASTOS FINANCIEROS $ BOLSA 50 KG (IVA INC)]])</f>
        <v>#VALUE!</v>
      </c>
      <c r="AF738" s="828"/>
      <c r="AG738" s="828"/>
      <c r="AH738" s="828"/>
      <c r="AI738" s="828"/>
      <c r="AJ73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38" s="846" t="e">
        <f>SUM(Tabla1[[#This Row],[PRECIO $ BOLSA 50KG  FOB CDO TUC (IVA INC)]]-Tabla1[[#This Row],[PRECIO REF $ BOLSA 50 KG CACTU (IVA INC)]])</f>
        <v>#VALUE!</v>
      </c>
      <c r="AL738" s="847" t="str">
        <f>IFERROR(Tabla1[[#This Row],[PRECIO $ BOLSA 50KG  FOB CDO TUC (IVA INC)]]/Tabla1[[#This Row],[PRECIO REF $ BOLSA 50 KG CACTU (IVA INC)]]-1,"")</f>
        <v/>
      </c>
      <c r="AM738" s="846" t="e">
        <f>+Tabla1[[#This Row],[DIF $ PRECIO NETO INDUSTRIA vs Neto TUCUMAN (IVA INC)]]*Tabla1[[#This Row],[Q Bolsas Equivalentes 50kg]]</f>
        <v>#VALUE!</v>
      </c>
      <c r="AN738" s="846" t="e">
        <f>Tabla1[[#This Row],[PRECIO REF $ BOLSA 50 KG CACTU (IVA INC)]]*Tabla1[[#This Row],[Q Bolsas Equivalentes 50kg]]</f>
        <v>#VALUE!</v>
      </c>
      <c r="AO738" s="846" t="e">
        <f>+Tabla1[[#This Row],[PRECIO $ BOLSA 50KG  FOB CDO TUC (IVA INC)]]*Tabla1[[#This Row],[Q Bolsas Equivalentes 50kg]]</f>
        <v>#VALUE!</v>
      </c>
      <c r="AP738" s="847"/>
      <c r="AQ738" s="846">
        <v>0</v>
      </c>
      <c r="AR738" s="828"/>
      <c r="AS738" s="849"/>
      <c r="AT738" s="923">
        <f>+Tabla1[[#This Row],[VENTA TOTAL $ (IVA INC) ]]-(SUM(Tabla1[[#This Row],[PENDIENTE DE ENTREGA]:[VALORES COBRADOS]]))</f>
        <v>0</v>
      </c>
      <c r="AU738" s="850" t="e">
        <f>VLOOKUP(Tabla1[[#This Row],[FECHA OC]],'TIPO DE CAMBIO'!A:B,2,TRUE)</f>
        <v>#N/A</v>
      </c>
      <c r="AV738" s="850" t="e">
        <f>+Tabla1[[#This Row],[SUBTOTAL]]/Tabla1[[#This Row],[TIPO DE CAMBIO]]</f>
        <v>#N/A</v>
      </c>
      <c r="AW738" s="851"/>
      <c r="AX738" s="850" t="str">
        <f>IFERROR(Tabla1[[#This Row],[VENTA TOTAL USD A PLAZO EN CLIENTE  (SIN IVA)]]*(1+Tabla1[[#This Row],[% IVA ]]),"")</f>
        <v/>
      </c>
      <c r="AY738" s="850" t="e">
        <f>+Tabla1[[#This Row],[VENTA TOTAL USD A PLAZO EN CLIENTE  (SIN IVA)]]/Tabla1[[#This Row],[KGS]]*1000</f>
        <v>#N/A</v>
      </c>
      <c r="AZ738" s="850" t="e">
        <f>-Tabla1[[#This Row],[COSTO FLETE $ POR BOLSA 5O KG (SIN IVA)]]*20/Tabla1[[#This Row],[TIPO DE CAMBIO]]</f>
        <v>#N/A</v>
      </c>
      <c r="BA738" s="850" t="e">
        <f>+Tabla1[[#This Row],[GASTOS FINANCIEROS $ BOLSA 50 KG (IVA INC)]]*20/Tabla1[[#This Row],[TIPO DE CAMBIO]]</f>
        <v>#VALUE!</v>
      </c>
      <c r="BB738" s="850" t="e">
        <f>+Tabla1[[#This Row],[PRECIO POR TN USD EN CLIENTE A PLAZO (SIN IVA)]]+Tabla1[[#This Row],[COSTO USD FLETE /TN (SIN IVA)]]+Tabla1[[#This Row],[COSTO FINANCIERO USD POR BOLSA 50KG (IVA INC)]]</f>
        <v>#N/A</v>
      </c>
      <c r="BC738" s="828"/>
      <c r="BD738" s="944"/>
    </row>
    <row r="739" spans="1:56" ht="15.75" customHeight="1">
      <c r="A739" s="912">
        <v>46327</v>
      </c>
      <c r="B739" s="863"/>
      <c r="C739" s="792"/>
      <c r="D739" s="829">
        <f>+Tabla1[[#This Row],[FECHA Entrega]]</f>
        <v>0</v>
      </c>
      <c r="E739" s="830"/>
      <c r="F739" s="831"/>
      <c r="G739" s="832"/>
      <c r="H739" s="852"/>
      <c r="I739" s="834"/>
      <c r="J739" s="835"/>
      <c r="K739" s="836">
        <f t="shared" si="154"/>
        <v>0</v>
      </c>
      <c r="L73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39" s="837">
        <f t="shared" si="156"/>
        <v>0</v>
      </c>
      <c r="N739" s="838">
        <f>+Tabla1[[#This Row],[VENTA TOTAL $ (IVA INC) ]]</f>
        <v>0</v>
      </c>
      <c r="O739" s="838">
        <v>0</v>
      </c>
      <c r="P739" s="838">
        <v>0</v>
      </c>
      <c r="Q739" s="839">
        <f>+Tabla1[[#This Row],[VENTA TOTAL $ (IVA INC) ]]</f>
        <v>0</v>
      </c>
      <c r="R739" s="840">
        <f>+Tabla1[[#This Row],[FECHA FC]]+Tabla1[[#This Row],[PLAZO ENTREGA VALORES]]</f>
        <v>0</v>
      </c>
      <c r="S739" s="840">
        <f>+Tabla1[[#This Row],[FECHA FC]]+Tabla1[[#This Row],[PLAZO PAGO (DIAS)]]</f>
        <v>0</v>
      </c>
      <c r="T739" s="834">
        <f t="shared" ca="1" si="155"/>
        <v>-46181</v>
      </c>
      <c r="U739" s="831"/>
      <c r="V739" s="831"/>
      <c r="W739" s="841">
        <f>+Tabla1[[#This Row],[FECHA VTO VALORES]]+7</f>
        <v>7</v>
      </c>
      <c r="X739" s="830"/>
      <c r="Y739" s="859"/>
      <c r="Z739" s="860">
        <f>Tabla1[[#This Row],[KGS]]/50</f>
        <v>0</v>
      </c>
      <c r="AA73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39" s="844">
        <f>-Tabla1[[#This Row],[COSTO FLETE $ POR BOLSA 5O KG (SIN IVA)]]*1.21-Tabla1[[#This Row],[PRECIO $/ KG A PLAZO EN CLIENTE ( SIN IVA)]]*0.003*1.21*50</f>
        <v>0</v>
      </c>
      <c r="AC739" s="845" t="e">
        <f>SUM(Tabla1[[#This Row],[PRECIO $ BOLSA 50 KG (IVA INC) ]]+Tabla1[[#This Row],[COSTO FLETE $ BOLSA 50 KG (IVA INC)]])</f>
        <v>#VALUE!</v>
      </c>
      <c r="AD739" s="844" t="e">
        <f>-Tabla1[[#This Row],[PRECIO $ BOLSA 50 KG (IVA INC) ]]*(Tabla1[[#This Row],[TASA FINANCIACION MENSUAL]]/365)*Tabla1[[#This Row],[PLAZO ENTREGA VALORES]]</f>
        <v>#VALUE!</v>
      </c>
      <c r="AE739" s="845" t="e">
        <f>SUM(Tabla1[[#This Row],[PRECIO $ BOLSA50 KG  FOB TUCUMAN A PLAZO (IVA INC)]]+Tabla1[[#This Row],[GASTOS FINANCIEROS $ BOLSA 50 KG (IVA INC)]])</f>
        <v>#VALUE!</v>
      </c>
      <c r="AF739" s="828"/>
      <c r="AG739" s="828"/>
      <c r="AH739" s="828"/>
      <c r="AI739" s="828"/>
      <c r="AJ73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39" s="846" t="e">
        <f>SUM(Tabla1[[#This Row],[PRECIO $ BOLSA 50KG  FOB CDO TUC (IVA INC)]]-Tabla1[[#This Row],[PRECIO REF $ BOLSA 50 KG CACTU (IVA INC)]])</f>
        <v>#VALUE!</v>
      </c>
      <c r="AL739" s="847" t="str">
        <f>IFERROR(Tabla1[[#This Row],[PRECIO $ BOLSA 50KG  FOB CDO TUC (IVA INC)]]/Tabla1[[#This Row],[PRECIO REF $ BOLSA 50 KG CACTU (IVA INC)]]-1,"")</f>
        <v/>
      </c>
      <c r="AM739" s="846" t="e">
        <f>+Tabla1[[#This Row],[DIF $ PRECIO NETO INDUSTRIA vs Neto TUCUMAN (IVA INC)]]*Tabla1[[#This Row],[Q Bolsas Equivalentes 50kg]]</f>
        <v>#VALUE!</v>
      </c>
      <c r="AN739" s="846" t="e">
        <f>Tabla1[[#This Row],[PRECIO REF $ BOLSA 50 KG CACTU (IVA INC)]]*Tabla1[[#This Row],[Q Bolsas Equivalentes 50kg]]</f>
        <v>#VALUE!</v>
      </c>
      <c r="AO739" s="846" t="e">
        <f>+Tabla1[[#This Row],[PRECIO $ BOLSA 50KG  FOB CDO TUC (IVA INC)]]*Tabla1[[#This Row],[Q Bolsas Equivalentes 50kg]]</f>
        <v>#VALUE!</v>
      </c>
      <c r="AP739" s="847"/>
      <c r="AQ739" s="846">
        <v>0</v>
      </c>
      <c r="AR739" s="828"/>
      <c r="AS739" s="849"/>
      <c r="AT739" s="923">
        <f>+Tabla1[[#This Row],[VENTA TOTAL $ (IVA INC) ]]-(SUM(Tabla1[[#This Row],[PENDIENTE DE ENTREGA]:[VALORES COBRADOS]]))</f>
        <v>0</v>
      </c>
      <c r="AU739" s="850" t="e">
        <f>VLOOKUP(Tabla1[[#This Row],[FECHA OC]],'TIPO DE CAMBIO'!A:B,2,TRUE)</f>
        <v>#N/A</v>
      </c>
      <c r="AV739" s="850" t="e">
        <f>+Tabla1[[#This Row],[SUBTOTAL]]/Tabla1[[#This Row],[TIPO DE CAMBIO]]</f>
        <v>#N/A</v>
      </c>
      <c r="AW739" s="851"/>
      <c r="AX739" s="850" t="str">
        <f>IFERROR(Tabla1[[#This Row],[VENTA TOTAL USD A PLAZO EN CLIENTE  (SIN IVA)]]*(1+Tabla1[[#This Row],[% IVA ]]),"")</f>
        <v/>
      </c>
      <c r="AY739" s="850" t="e">
        <f>+Tabla1[[#This Row],[VENTA TOTAL USD A PLAZO EN CLIENTE  (SIN IVA)]]/Tabla1[[#This Row],[KGS]]*1000</f>
        <v>#N/A</v>
      </c>
      <c r="AZ739" s="850" t="e">
        <f>-Tabla1[[#This Row],[COSTO FLETE $ POR BOLSA 5O KG (SIN IVA)]]*20/Tabla1[[#This Row],[TIPO DE CAMBIO]]</f>
        <v>#N/A</v>
      </c>
      <c r="BA739" s="850" t="e">
        <f>+Tabla1[[#This Row],[GASTOS FINANCIEROS $ BOLSA 50 KG (IVA INC)]]*20/Tabla1[[#This Row],[TIPO DE CAMBIO]]</f>
        <v>#VALUE!</v>
      </c>
      <c r="BB739" s="850" t="e">
        <f>+Tabla1[[#This Row],[PRECIO POR TN USD EN CLIENTE A PLAZO (SIN IVA)]]+Tabla1[[#This Row],[COSTO USD FLETE /TN (SIN IVA)]]+Tabla1[[#This Row],[COSTO FINANCIERO USD POR BOLSA 50KG (IVA INC)]]</f>
        <v>#N/A</v>
      </c>
      <c r="BC739" s="828"/>
      <c r="BD739" s="944"/>
    </row>
    <row r="740" spans="1:56" ht="15.75" customHeight="1">
      <c r="A740" s="912">
        <v>46327</v>
      </c>
      <c r="B740" s="853"/>
      <c r="C740" s="792"/>
      <c r="D740" s="829">
        <f>+Tabla1[[#This Row],[FECHA Entrega]]</f>
        <v>0</v>
      </c>
      <c r="E740" s="830"/>
      <c r="F740" s="831"/>
      <c r="G740" s="832"/>
      <c r="H740" s="852"/>
      <c r="I740" s="834"/>
      <c r="J740" s="835"/>
      <c r="K740" s="836">
        <f t="shared" si="154"/>
        <v>0</v>
      </c>
      <c r="L74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40" s="837">
        <f t="shared" si="156"/>
        <v>0</v>
      </c>
      <c r="N740" s="838">
        <f>+Tabla1[[#This Row],[VENTA TOTAL $ (IVA INC) ]]</f>
        <v>0</v>
      </c>
      <c r="O740" s="838">
        <v>0</v>
      </c>
      <c r="P740" s="838">
        <v>0</v>
      </c>
      <c r="Q740" s="839">
        <f>+Tabla1[[#This Row],[VENTA TOTAL $ (IVA INC) ]]</f>
        <v>0</v>
      </c>
      <c r="R740" s="840">
        <f>+Tabla1[[#This Row],[FECHA FC]]+Tabla1[[#This Row],[PLAZO ENTREGA VALORES]]</f>
        <v>0</v>
      </c>
      <c r="S740" s="840">
        <f>+Tabla1[[#This Row],[FECHA FC]]+Tabla1[[#This Row],[PLAZO PAGO (DIAS)]]</f>
        <v>0</v>
      </c>
      <c r="T740" s="834">
        <f t="shared" ca="1" si="155"/>
        <v>-46181</v>
      </c>
      <c r="U740" s="831"/>
      <c r="V740" s="831"/>
      <c r="W740" s="841">
        <f t="shared" ref="W740:W768" si="157">+S740+7</f>
        <v>7</v>
      </c>
      <c r="X740" s="830"/>
      <c r="Y740" s="859"/>
      <c r="Z740" s="860">
        <f>Tabla1[[#This Row],[KGS]]/50</f>
        <v>0</v>
      </c>
      <c r="AA74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40" s="844">
        <f>-Tabla1[[#This Row],[COSTO FLETE $ POR BOLSA 5O KG (SIN IVA)]]*1.21-Tabla1[[#This Row],[PRECIO $/ KG A PLAZO EN CLIENTE ( SIN IVA)]]*0.003*1.21*50</f>
        <v>0</v>
      </c>
      <c r="AC740" s="845" t="e">
        <f>SUM(Tabla1[[#This Row],[PRECIO $ BOLSA 50 KG (IVA INC) ]]+Tabla1[[#This Row],[COSTO FLETE $ BOLSA 50 KG (IVA INC)]])</f>
        <v>#VALUE!</v>
      </c>
      <c r="AD740" s="844" t="e">
        <f>-Tabla1[[#This Row],[PRECIO $ BOLSA 50 KG (IVA INC) ]]*(Tabla1[[#This Row],[TASA FINANCIACION MENSUAL]]/365)*Tabla1[[#This Row],[PLAZO ENTREGA VALORES]]</f>
        <v>#VALUE!</v>
      </c>
      <c r="AE740" s="845" t="e">
        <f>SUM(Tabla1[[#This Row],[PRECIO $ BOLSA50 KG  FOB TUCUMAN A PLAZO (IVA INC)]]+Tabla1[[#This Row],[GASTOS FINANCIEROS $ BOLSA 50 KG (IVA INC)]])</f>
        <v>#VALUE!</v>
      </c>
      <c r="AF740" s="828"/>
      <c r="AG740" s="828"/>
      <c r="AH740" s="828"/>
      <c r="AI740" s="828"/>
      <c r="AJ74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40" s="846" t="e">
        <f>SUM(Tabla1[[#This Row],[PRECIO $ BOLSA 50KG  FOB CDO TUC (IVA INC)]]-Tabla1[[#This Row],[PRECIO REF $ BOLSA 50 KG CACTU (IVA INC)]])</f>
        <v>#VALUE!</v>
      </c>
      <c r="AL740" s="847" t="str">
        <f>IFERROR(Tabla1[[#This Row],[PRECIO $ BOLSA 50KG  FOB CDO TUC (IVA INC)]]/Tabla1[[#This Row],[PRECIO REF $ BOLSA 50 KG CACTU (IVA INC)]]-1,"")</f>
        <v/>
      </c>
      <c r="AM740" s="846" t="e">
        <f>+Tabla1[[#This Row],[DIF $ PRECIO NETO INDUSTRIA vs Neto TUCUMAN (IVA INC)]]*Tabla1[[#This Row],[Q Bolsas Equivalentes 50kg]]</f>
        <v>#VALUE!</v>
      </c>
      <c r="AN740" s="846" t="e">
        <f>Tabla1[[#This Row],[PRECIO REF $ BOLSA 50 KG CACTU (IVA INC)]]*Tabla1[[#This Row],[Q Bolsas Equivalentes 50kg]]</f>
        <v>#VALUE!</v>
      </c>
      <c r="AO740" s="846" t="e">
        <f>+Tabla1[[#This Row],[PRECIO $ BOLSA 50KG  FOB CDO TUC (IVA INC)]]*Tabla1[[#This Row],[Q Bolsas Equivalentes 50kg]]</f>
        <v>#VALUE!</v>
      </c>
      <c r="AP740" s="847"/>
      <c r="AQ740" s="846">
        <v>0</v>
      </c>
      <c r="AR740" s="828"/>
      <c r="AS740" s="849"/>
      <c r="AT740" s="923">
        <f>+Tabla1[[#This Row],[VENTA TOTAL $ (IVA INC) ]]-(SUM(Tabla1[[#This Row],[PENDIENTE DE ENTREGA]:[VALORES COBRADOS]]))</f>
        <v>0</v>
      </c>
      <c r="AU740" s="850" t="e">
        <f>VLOOKUP(Tabla1[[#This Row],[FECHA OC]],'TIPO DE CAMBIO'!A:B,2,TRUE)</f>
        <v>#N/A</v>
      </c>
      <c r="AV740" s="850" t="e">
        <f>+Tabla1[[#This Row],[SUBTOTAL]]/Tabla1[[#This Row],[TIPO DE CAMBIO]]</f>
        <v>#N/A</v>
      </c>
      <c r="AW740" s="851"/>
      <c r="AX740" s="850" t="str">
        <f>IFERROR(Tabla1[[#This Row],[VENTA TOTAL USD A PLAZO EN CLIENTE  (SIN IVA)]]*(1+Tabla1[[#This Row],[% IVA ]]),"")</f>
        <v/>
      </c>
      <c r="AY740" s="850" t="e">
        <f>+Tabla1[[#This Row],[VENTA TOTAL USD A PLAZO EN CLIENTE  (SIN IVA)]]/Tabla1[[#This Row],[KGS]]*1000</f>
        <v>#N/A</v>
      </c>
      <c r="AZ740" s="850" t="e">
        <f>-Tabla1[[#This Row],[COSTO FLETE $ POR BOLSA 5O KG (SIN IVA)]]*20/Tabla1[[#This Row],[TIPO DE CAMBIO]]</f>
        <v>#N/A</v>
      </c>
      <c r="BA740" s="850" t="e">
        <f>+Tabla1[[#This Row],[GASTOS FINANCIEROS $ BOLSA 50 KG (IVA INC)]]*20/Tabla1[[#This Row],[TIPO DE CAMBIO]]</f>
        <v>#VALUE!</v>
      </c>
      <c r="BB740" s="850" t="e">
        <f>+Tabla1[[#This Row],[PRECIO POR TN USD EN CLIENTE A PLAZO (SIN IVA)]]+Tabla1[[#This Row],[COSTO USD FLETE /TN (SIN IVA)]]+Tabla1[[#This Row],[COSTO FINANCIERO USD POR BOLSA 50KG (IVA INC)]]</f>
        <v>#N/A</v>
      </c>
      <c r="BC740" s="828"/>
      <c r="BD740" s="944"/>
    </row>
    <row r="741" spans="1:56" ht="15.75" customHeight="1">
      <c r="A741" s="912">
        <v>46327</v>
      </c>
      <c r="B741" s="853"/>
      <c r="C741" s="792"/>
      <c r="D741" s="829">
        <f>+Tabla1[[#This Row],[FECHA Entrega]]</f>
        <v>0</v>
      </c>
      <c r="E741" s="830"/>
      <c r="F741" s="831"/>
      <c r="G741" s="832"/>
      <c r="H741" s="852"/>
      <c r="I741" s="834"/>
      <c r="J741" s="835"/>
      <c r="K741" s="836">
        <f t="shared" si="154"/>
        <v>0</v>
      </c>
      <c r="L74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41" s="837">
        <f t="shared" si="156"/>
        <v>0</v>
      </c>
      <c r="N741" s="838">
        <f>+Tabla1[[#This Row],[VENTA TOTAL $ (IVA INC) ]]</f>
        <v>0</v>
      </c>
      <c r="O741" s="838">
        <v>0</v>
      </c>
      <c r="P741" s="838">
        <v>0</v>
      </c>
      <c r="Q741" s="839">
        <f>+Tabla1[[#This Row],[VENTA TOTAL $ (IVA INC) ]]</f>
        <v>0</v>
      </c>
      <c r="R741" s="840">
        <f>+Tabla1[[#This Row],[FECHA FC]]+Tabla1[[#This Row],[PLAZO ENTREGA VALORES]]</f>
        <v>0</v>
      </c>
      <c r="S741" s="840">
        <f>+Tabla1[[#This Row],[FECHA FC]]+Tabla1[[#This Row],[PLAZO PAGO (DIAS)]]</f>
        <v>0</v>
      </c>
      <c r="T741" s="834">
        <f t="shared" ca="1" si="155"/>
        <v>-46181</v>
      </c>
      <c r="U741" s="831"/>
      <c r="V741" s="831"/>
      <c r="W741" s="841">
        <f t="shared" si="157"/>
        <v>7</v>
      </c>
      <c r="X741" s="830"/>
      <c r="Y741" s="859"/>
      <c r="Z741" s="860">
        <f>Tabla1[[#This Row],[KGS]]/50</f>
        <v>0</v>
      </c>
      <c r="AA74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41" s="844">
        <f>-Tabla1[[#This Row],[COSTO FLETE $ POR BOLSA 5O KG (SIN IVA)]]*1.21-Tabla1[[#This Row],[PRECIO $/ KG A PLAZO EN CLIENTE ( SIN IVA)]]*0.003*1.21*50</f>
        <v>0</v>
      </c>
      <c r="AC741" s="845" t="e">
        <f>SUM(Tabla1[[#This Row],[PRECIO $ BOLSA 50 KG (IVA INC) ]]+Tabla1[[#This Row],[COSTO FLETE $ BOLSA 50 KG (IVA INC)]])</f>
        <v>#VALUE!</v>
      </c>
      <c r="AD741" s="844" t="e">
        <f>-Tabla1[[#This Row],[PRECIO $ BOLSA 50 KG (IVA INC) ]]*(Tabla1[[#This Row],[TASA FINANCIACION MENSUAL]]/365)*Tabla1[[#This Row],[PLAZO ENTREGA VALORES]]</f>
        <v>#VALUE!</v>
      </c>
      <c r="AE741" s="845" t="e">
        <f>SUM(Tabla1[[#This Row],[PRECIO $ BOLSA50 KG  FOB TUCUMAN A PLAZO (IVA INC)]]+Tabla1[[#This Row],[GASTOS FINANCIEROS $ BOLSA 50 KG (IVA INC)]])</f>
        <v>#VALUE!</v>
      </c>
      <c r="AF741" s="828"/>
      <c r="AG741" s="828"/>
      <c r="AH741" s="828"/>
      <c r="AI741" s="828"/>
      <c r="AJ74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41" s="846" t="e">
        <f>SUM(Tabla1[[#This Row],[PRECIO $ BOLSA 50KG  FOB CDO TUC (IVA INC)]]-Tabla1[[#This Row],[PRECIO REF $ BOLSA 50 KG CACTU (IVA INC)]])</f>
        <v>#VALUE!</v>
      </c>
      <c r="AL741" s="847" t="str">
        <f>IFERROR(Tabla1[[#This Row],[PRECIO $ BOLSA 50KG  FOB CDO TUC (IVA INC)]]/Tabla1[[#This Row],[PRECIO REF $ BOLSA 50 KG CACTU (IVA INC)]]-1,"")</f>
        <v/>
      </c>
      <c r="AM741" s="846" t="e">
        <f>+Tabla1[[#This Row],[DIF $ PRECIO NETO INDUSTRIA vs Neto TUCUMAN (IVA INC)]]*Tabla1[[#This Row],[Q Bolsas Equivalentes 50kg]]</f>
        <v>#VALUE!</v>
      </c>
      <c r="AN741" s="846" t="e">
        <f>Tabla1[[#This Row],[PRECIO REF $ BOLSA 50 KG CACTU (IVA INC)]]*Tabla1[[#This Row],[Q Bolsas Equivalentes 50kg]]</f>
        <v>#VALUE!</v>
      </c>
      <c r="AO741" s="846" t="e">
        <f>+Tabla1[[#This Row],[PRECIO $ BOLSA 50KG  FOB CDO TUC (IVA INC)]]*Tabla1[[#This Row],[Q Bolsas Equivalentes 50kg]]</f>
        <v>#VALUE!</v>
      </c>
      <c r="AP741" s="847"/>
      <c r="AQ741" s="846">
        <v>0</v>
      </c>
      <c r="AR741" s="828"/>
      <c r="AS741" s="849"/>
      <c r="AT741" s="923">
        <f>+Tabla1[[#This Row],[VENTA TOTAL $ (IVA INC) ]]-(SUM(Tabla1[[#This Row],[PENDIENTE DE ENTREGA]:[VALORES COBRADOS]]))</f>
        <v>0</v>
      </c>
      <c r="AU741" s="850" t="e">
        <f>VLOOKUP(Tabla1[[#This Row],[FECHA OC]],'TIPO DE CAMBIO'!A:B,2,TRUE)</f>
        <v>#N/A</v>
      </c>
      <c r="AV741" s="850" t="e">
        <f>+Tabla1[[#This Row],[SUBTOTAL]]/Tabla1[[#This Row],[TIPO DE CAMBIO]]</f>
        <v>#N/A</v>
      </c>
      <c r="AW741" s="851"/>
      <c r="AX741" s="850" t="str">
        <f>IFERROR(Tabla1[[#This Row],[VENTA TOTAL USD A PLAZO EN CLIENTE  (SIN IVA)]]*(1+Tabla1[[#This Row],[% IVA ]]),"")</f>
        <v/>
      </c>
      <c r="AY741" s="850" t="e">
        <f>+Tabla1[[#This Row],[VENTA TOTAL USD A PLAZO EN CLIENTE  (SIN IVA)]]/Tabla1[[#This Row],[KGS]]*1000</f>
        <v>#N/A</v>
      </c>
      <c r="AZ741" s="850" t="e">
        <f>-Tabla1[[#This Row],[COSTO FLETE $ POR BOLSA 5O KG (SIN IVA)]]*20/Tabla1[[#This Row],[TIPO DE CAMBIO]]</f>
        <v>#N/A</v>
      </c>
      <c r="BA741" s="850" t="e">
        <f>+Tabla1[[#This Row],[GASTOS FINANCIEROS $ BOLSA 50 KG (IVA INC)]]*20/Tabla1[[#This Row],[TIPO DE CAMBIO]]</f>
        <v>#VALUE!</v>
      </c>
      <c r="BB741" s="850" t="e">
        <f>+Tabla1[[#This Row],[PRECIO POR TN USD EN CLIENTE A PLAZO (SIN IVA)]]+Tabla1[[#This Row],[COSTO USD FLETE /TN (SIN IVA)]]+Tabla1[[#This Row],[COSTO FINANCIERO USD POR BOLSA 50KG (IVA INC)]]</f>
        <v>#N/A</v>
      </c>
      <c r="BC741" s="828"/>
      <c r="BD741" s="944"/>
    </row>
    <row r="742" spans="1:56" ht="15.75" customHeight="1">
      <c r="A742" s="912">
        <v>46327</v>
      </c>
      <c r="B742" s="853"/>
      <c r="C742" s="792"/>
      <c r="D742" s="829">
        <f>+Tabla1[[#This Row],[FECHA Entrega]]</f>
        <v>0</v>
      </c>
      <c r="E742" s="830"/>
      <c r="F742" s="831"/>
      <c r="G742" s="832"/>
      <c r="H742" s="852"/>
      <c r="I742" s="834"/>
      <c r="J742" s="835"/>
      <c r="K742" s="836">
        <f t="shared" si="154"/>
        <v>0</v>
      </c>
      <c r="L74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42" s="837">
        <f t="shared" si="156"/>
        <v>0</v>
      </c>
      <c r="N742" s="838">
        <f>+Tabla1[[#This Row],[VENTA TOTAL $ (IVA INC) ]]</f>
        <v>0</v>
      </c>
      <c r="O742" s="838">
        <v>0</v>
      </c>
      <c r="P742" s="838">
        <v>0</v>
      </c>
      <c r="Q742" s="839">
        <f>+Tabla1[[#This Row],[VENTA TOTAL $ (IVA INC) ]]-Tabla1[[#This Row],[PENDIENTE DE COBRO]]</f>
        <v>0</v>
      </c>
      <c r="R742" s="840">
        <f>+Tabla1[[#This Row],[FECHA FC]]+Tabla1[[#This Row],[PLAZO ENTREGA VALORES]]</f>
        <v>0</v>
      </c>
      <c r="S742" s="840">
        <f>+Tabla1[[#This Row],[FECHA FC]]+Tabla1[[#This Row],[PLAZO PAGO (DIAS)]]</f>
        <v>0</v>
      </c>
      <c r="T742" s="834">
        <f t="shared" ca="1" si="155"/>
        <v>-46181</v>
      </c>
      <c r="U742" s="831"/>
      <c r="V742" s="831"/>
      <c r="W742" s="841">
        <f t="shared" si="157"/>
        <v>7</v>
      </c>
      <c r="X742" s="830"/>
      <c r="Y742" s="859"/>
      <c r="Z742" s="860">
        <f>Tabla1[[#This Row],[KGS]]/50</f>
        <v>0</v>
      </c>
      <c r="AA74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42" s="844">
        <f>-Tabla1[[#This Row],[COSTO FLETE $ POR BOLSA 5O KG (SIN IVA)]]*1.21-Tabla1[[#This Row],[PRECIO $/ KG A PLAZO EN CLIENTE ( SIN IVA)]]*0.003*1.21*50</f>
        <v>0</v>
      </c>
      <c r="AC742" s="845" t="e">
        <f>SUM(Tabla1[[#This Row],[PRECIO $ BOLSA 50 KG (IVA INC) ]]+Tabla1[[#This Row],[COSTO FLETE $ BOLSA 50 KG (IVA INC)]])</f>
        <v>#VALUE!</v>
      </c>
      <c r="AD742" s="844" t="e">
        <f>-Tabla1[[#This Row],[PRECIO $ BOLSA 50 KG (IVA INC) ]]*(Tabla1[[#This Row],[TASA FINANCIACION MENSUAL]]/365)*Tabla1[[#This Row],[PLAZO ENTREGA VALORES]]</f>
        <v>#VALUE!</v>
      </c>
      <c r="AE742" s="845" t="e">
        <f>SUM(Tabla1[[#This Row],[PRECIO $ BOLSA50 KG  FOB TUCUMAN A PLAZO (IVA INC)]]+Tabla1[[#This Row],[GASTOS FINANCIEROS $ BOLSA 50 KG (IVA INC)]])</f>
        <v>#VALUE!</v>
      </c>
      <c r="AF742" s="828"/>
      <c r="AG742" s="828"/>
      <c r="AH742" s="828"/>
      <c r="AI742" s="828"/>
      <c r="AJ74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42" s="846" t="e">
        <f>SUM(Tabla1[[#This Row],[PRECIO $ BOLSA 50KG  FOB CDO TUC (IVA INC)]]-Tabla1[[#This Row],[PRECIO REF $ BOLSA 50 KG CACTU (IVA INC)]])</f>
        <v>#VALUE!</v>
      </c>
      <c r="AL742" s="847" t="str">
        <f>IFERROR(Tabla1[[#This Row],[PRECIO $ BOLSA 50KG  FOB CDO TUC (IVA INC)]]/Tabla1[[#This Row],[PRECIO REF $ BOLSA 50 KG CACTU (IVA INC)]]-1,"")</f>
        <v/>
      </c>
      <c r="AM742" s="846" t="e">
        <f>+Tabla1[[#This Row],[DIF $ PRECIO NETO INDUSTRIA vs Neto TUCUMAN (IVA INC)]]*Tabla1[[#This Row],[Q Bolsas Equivalentes 50kg]]</f>
        <v>#VALUE!</v>
      </c>
      <c r="AN742" s="846" t="e">
        <f>Tabla1[[#This Row],[PRECIO REF $ BOLSA 50 KG CACTU (IVA INC)]]*Tabla1[[#This Row],[Q Bolsas Equivalentes 50kg]]</f>
        <v>#VALUE!</v>
      </c>
      <c r="AO742" s="846" t="e">
        <f>+Tabla1[[#This Row],[PRECIO $ BOLSA 50KG  FOB CDO TUC (IVA INC)]]*Tabla1[[#This Row],[Q Bolsas Equivalentes 50kg]]</f>
        <v>#VALUE!</v>
      </c>
      <c r="AP742" s="847"/>
      <c r="AQ742" s="846">
        <v>0</v>
      </c>
      <c r="AR742" s="828"/>
      <c r="AS742" s="849"/>
      <c r="AT742" s="923">
        <f>+Tabla1[[#This Row],[VENTA TOTAL $ (IVA INC) ]]-(SUM(Tabla1[[#This Row],[PENDIENTE DE ENTREGA]:[VALORES COBRADOS]]))</f>
        <v>0</v>
      </c>
      <c r="AU742" s="850" t="e">
        <f>VLOOKUP(Tabla1[[#This Row],[FECHA OC]],'TIPO DE CAMBIO'!A:B,2,TRUE)</f>
        <v>#N/A</v>
      </c>
      <c r="AV742" s="850" t="e">
        <f>+Tabla1[[#This Row],[SUBTOTAL]]/Tabla1[[#This Row],[TIPO DE CAMBIO]]</f>
        <v>#N/A</v>
      </c>
      <c r="AW742" s="851"/>
      <c r="AX742" s="850" t="str">
        <f>IFERROR(Tabla1[[#This Row],[VENTA TOTAL USD A PLAZO EN CLIENTE  (SIN IVA)]]*(1+Tabla1[[#This Row],[% IVA ]]),"")</f>
        <v/>
      </c>
      <c r="AY742" s="850" t="e">
        <f>+Tabla1[[#This Row],[VENTA TOTAL USD A PLAZO EN CLIENTE  (SIN IVA)]]/Tabla1[[#This Row],[KGS]]*1000</f>
        <v>#N/A</v>
      </c>
      <c r="AZ742" s="850" t="e">
        <f>-Tabla1[[#This Row],[COSTO FLETE $ POR BOLSA 5O KG (SIN IVA)]]*20/Tabla1[[#This Row],[TIPO DE CAMBIO]]</f>
        <v>#N/A</v>
      </c>
      <c r="BA742" s="850" t="e">
        <f>+Tabla1[[#This Row],[GASTOS FINANCIEROS $ BOLSA 50 KG (IVA INC)]]*20/Tabla1[[#This Row],[TIPO DE CAMBIO]]</f>
        <v>#VALUE!</v>
      </c>
      <c r="BB742" s="850" t="e">
        <f>+Tabla1[[#This Row],[PRECIO POR TN USD EN CLIENTE A PLAZO (SIN IVA)]]+Tabla1[[#This Row],[COSTO USD FLETE /TN (SIN IVA)]]+Tabla1[[#This Row],[COSTO FINANCIERO USD POR BOLSA 50KG (IVA INC)]]</f>
        <v>#N/A</v>
      </c>
      <c r="BC742" s="828"/>
      <c r="BD742" s="944"/>
    </row>
    <row r="743" spans="1:56" ht="15.75" customHeight="1">
      <c r="A743" s="912">
        <v>46327</v>
      </c>
      <c r="B743" s="853"/>
      <c r="C743" s="792"/>
      <c r="D743" s="829">
        <f>+Tabla1[[#This Row],[FECHA Entrega]]</f>
        <v>0</v>
      </c>
      <c r="E743" s="830"/>
      <c r="F743" s="831"/>
      <c r="G743" s="832"/>
      <c r="H743" s="852"/>
      <c r="I743" s="834"/>
      <c r="J743" s="835"/>
      <c r="K743" s="836">
        <f t="shared" si="154"/>
        <v>0</v>
      </c>
      <c r="L74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43" s="837">
        <f t="shared" si="156"/>
        <v>0</v>
      </c>
      <c r="N743" s="838">
        <f>+Tabla1[[#This Row],[VENTA TOTAL $ (IVA INC) ]]</f>
        <v>0</v>
      </c>
      <c r="O743" s="838">
        <v>0</v>
      </c>
      <c r="P743" s="838">
        <v>0</v>
      </c>
      <c r="Q743" s="839">
        <f>+Tabla1[[#This Row],[VENTA TOTAL $ (IVA INC) ]]</f>
        <v>0</v>
      </c>
      <c r="R743" s="840">
        <f>+Tabla1[[#This Row],[FECHA FC]]+Tabla1[[#This Row],[PLAZO ENTREGA VALORES]]</f>
        <v>0</v>
      </c>
      <c r="S743" s="840">
        <f>+Tabla1[[#This Row],[FECHA FC]]+Tabla1[[#This Row],[PLAZO PAGO (DIAS)]]</f>
        <v>0</v>
      </c>
      <c r="T743" s="834">
        <f t="shared" ca="1" si="155"/>
        <v>-46181</v>
      </c>
      <c r="U743" s="831"/>
      <c r="V743" s="831"/>
      <c r="W743" s="841">
        <f t="shared" si="157"/>
        <v>7</v>
      </c>
      <c r="X743" s="830"/>
      <c r="Y743" s="859"/>
      <c r="Z743" s="860">
        <f>Tabla1[[#This Row],[KGS]]/50</f>
        <v>0</v>
      </c>
      <c r="AA74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43" s="844">
        <f>-Tabla1[[#This Row],[COSTO FLETE $ POR BOLSA 5O KG (SIN IVA)]]*1.21-Tabla1[[#This Row],[PRECIO $/ KG A PLAZO EN CLIENTE ( SIN IVA)]]*0.003*1.21*50</f>
        <v>0</v>
      </c>
      <c r="AC743" s="845" t="e">
        <f>SUM(Tabla1[[#This Row],[PRECIO $ BOLSA 50 KG (IVA INC) ]]+Tabla1[[#This Row],[COSTO FLETE $ BOLSA 50 KG (IVA INC)]])</f>
        <v>#VALUE!</v>
      </c>
      <c r="AD743" s="844" t="e">
        <f>-Tabla1[[#This Row],[PRECIO $ BOLSA 50 KG (IVA INC) ]]*(Tabla1[[#This Row],[TASA FINANCIACION MENSUAL]]/365)*Tabla1[[#This Row],[PLAZO ENTREGA VALORES]]</f>
        <v>#VALUE!</v>
      </c>
      <c r="AE743" s="845" t="e">
        <f>SUM(Tabla1[[#This Row],[PRECIO $ BOLSA50 KG  FOB TUCUMAN A PLAZO (IVA INC)]]+Tabla1[[#This Row],[GASTOS FINANCIEROS $ BOLSA 50 KG (IVA INC)]])</f>
        <v>#VALUE!</v>
      </c>
      <c r="AF743" s="828"/>
      <c r="AG743" s="828"/>
      <c r="AH743" s="828"/>
      <c r="AI743" s="828"/>
      <c r="AJ74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43" s="846" t="e">
        <f>SUM(Tabla1[[#This Row],[PRECIO $ BOLSA 50KG  FOB CDO TUC (IVA INC)]]-Tabla1[[#This Row],[PRECIO REF $ BOLSA 50 KG CACTU (IVA INC)]])</f>
        <v>#VALUE!</v>
      </c>
      <c r="AL743" s="847" t="str">
        <f>IFERROR(Tabla1[[#This Row],[PRECIO $ BOLSA 50KG  FOB CDO TUC (IVA INC)]]/Tabla1[[#This Row],[PRECIO REF $ BOLSA 50 KG CACTU (IVA INC)]]-1,"")</f>
        <v/>
      </c>
      <c r="AM743" s="846" t="e">
        <f>+Tabla1[[#This Row],[DIF $ PRECIO NETO INDUSTRIA vs Neto TUCUMAN (IVA INC)]]*Tabla1[[#This Row],[Q Bolsas Equivalentes 50kg]]</f>
        <v>#VALUE!</v>
      </c>
      <c r="AN743" s="846" t="e">
        <f>Tabla1[[#This Row],[PRECIO REF $ BOLSA 50 KG CACTU (IVA INC)]]*Tabla1[[#This Row],[Q Bolsas Equivalentes 50kg]]</f>
        <v>#VALUE!</v>
      </c>
      <c r="AO743" s="846" t="e">
        <f>+Tabla1[[#This Row],[PRECIO $ BOLSA 50KG  FOB CDO TUC (IVA INC)]]*Tabla1[[#This Row],[Q Bolsas Equivalentes 50kg]]</f>
        <v>#VALUE!</v>
      </c>
      <c r="AP743" s="847"/>
      <c r="AQ743" s="846">
        <v>0</v>
      </c>
      <c r="AR743" s="828"/>
      <c r="AS743" s="849"/>
      <c r="AT743" s="923">
        <f>+Tabla1[[#This Row],[VENTA TOTAL $ (IVA INC) ]]-(SUM(Tabla1[[#This Row],[PENDIENTE DE ENTREGA]:[VALORES COBRADOS]]))</f>
        <v>0</v>
      </c>
      <c r="AU743" s="850" t="e">
        <f>VLOOKUP(Tabla1[[#This Row],[FECHA OC]],'TIPO DE CAMBIO'!A:B,2,TRUE)</f>
        <v>#N/A</v>
      </c>
      <c r="AV743" s="850" t="e">
        <f>+Tabla1[[#This Row],[SUBTOTAL]]/Tabla1[[#This Row],[TIPO DE CAMBIO]]</f>
        <v>#N/A</v>
      </c>
      <c r="AW743" s="851"/>
      <c r="AX743" s="850" t="str">
        <f>IFERROR(Tabla1[[#This Row],[VENTA TOTAL USD A PLAZO EN CLIENTE  (SIN IVA)]]*(1+Tabla1[[#This Row],[% IVA ]]),"")</f>
        <v/>
      </c>
      <c r="AY743" s="850" t="e">
        <f>+Tabla1[[#This Row],[VENTA TOTAL USD A PLAZO EN CLIENTE  (SIN IVA)]]/Tabla1[[#This Row],[KGS]]*1000</f>
        <v>#N/A</v>
      </c>
      <c r="AZ743" s="850" t="e">
        <f>-Tabla1[[#This Row],[COSTO FLETE $ POR BOLSA 5O KG (SIN IVA)]]*20/Tabla1[[#This Row],[TIPO DE CAMBIO]]</f>
        <v>#N/A</v>
      </c>
      <c r="BA743" s="850" t="e">
        <f>+Tabla1[[#This Row],[GASTOS FINANCIEROS $ BOLSA 50 KG (IVA INC)]]*20/Tabla1[[#This Row],[TIPO DE CAMBIO]]</f>
        <v>#VALUE!</v>
      </c>
      <c r="BB743" s="850" t="e">
        <f>+Tabla1[[#This Row],[PRECIO POR TN USD EN CLIENTE A PLAZO (SIN IVA)]]+Tabla1[[#This Row],[COSTO USD FLETE /TN (SIN IVA)]]+Tabla1[[#This Row],[COSTO FINANCIERO USD POR BOLSA 50KG (IVA INC)]]</f>
        <v>#N/A</v>
      </c>
      <c r="BC743" s="828"/>
      <c r="BD743" s="944"/>
    </row>
    <row r="744" spans="1:56" ht="15.75" customHeight="1">
      <c r="A744" s="912">
        <v>46327</v>
      </c>
      <c r="B744" s="853"/>
      <c r="C744" s="792"/>
      <c r="D744" s="829">
        <f>+Tabla1[[#This Row],[FECHA Entrega]]</f>
        <v>0</v>
      </c>
      <c r="E744" s="830"/>
      <c r="F744" s="831"/>
      <c r="G744" s="832"/>
      <c r="H744" s="852"/>
      <c r="I744" s="834"/>
      <c r="J744" s="835"/>
      <c r="K744" s="836">
        <f t="shared" si="154"/>
        <v>0</v>
      </c>
      <c r="L74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44" s="837">
        <f t="shared" si="156"/>
        <v>0</v>
      </c>
      <c r="N744" s="838">
        <f>+Tabla1[[#This Row],[VENTA TOTAL $ (IVA INC) ]]</f>
        <v>0</v>
      </c>
      <c r="O744" s="838">
        <v>0</v>
      </c>
      <c r="P744" s="838">
        <v>0</v>
      </c>
      <c r="Q744" s="839">
        <f>+Tabla1[[#This Row],[VENTA TOTAL $ (IVA INC) ]]</f>
        <v>0</v>
      </c>
      <c r="R744" s="840">
        <f>+Tabla1[[#This Row],[FECHA FC]]+Tabla1[[#This Row],[PLAZO ENTREGA VALORES]]</f>
        <v>0</v>
      </c>
      <c r="S744" s="840">
        <f>+Tabla1[[#This Row],[FECHA FC]]+Tabla1[[#This Row],[PLAZO PAGO (DIAS)]]</f>
        <v>0</v>
      </c>
      <c r="T744" s="834">
        <f t="shared" ca="1" si="155"/>
        <v>-46181</v>
      </c>
      <c r="U744" s="831"/>
      <c r="V744" s="831"/>
      <c r="W744" s="841">
        <f t="shared" si="157"/>
        <v>7</v>
      </c>
      <c r="X744" s="830"/>
      <c r="Y744" s="859"/>
      <c r="Z744" s="860">
        <f>Tabla1[[#This Row],[KGS]]/50</f>
        <v>0</v>
      </c>
      <c r="AA74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44" s="844">
        <f>-Tabla1[[#This Row],[COSTO FLETE $ POR BOLSA 5O KG (SIN IVA)]]*1.21-Tabla1[[#This Row],[PRECIO $/ KG A PLAZO EN CLIENTE ( SIN IVA)]]*0.003*1.21*50</f>
        <v>0</v>
      </c>
      <c r="AC744" s="845" t="e">
        <f>SUM(Tabla1[[#This Row],[PRECIO $ BOLSA 50 KG (IVA INC) ]]+Tabla1[[#This Row],[COSTO FLETE $ BOLSA 50 KG (IVA INC)]])</f>
        <v>#VALUE!</v>
      </c>
      <c r="AD744" s="844" t="e">
        <f>-Tabla1[[#This Row],[PRECIO $ BOLSA 50 KG (IVA INC) ]]*(Tabla1[[#This Row],[TASA FINANCIACION MENSUAL]]/365)*Tabla1[[#This Row],[PLAZO ENTREGA VALORES]]</f>
        <v>#VALUE!</v>
      </c>
      <c r="AE744" s="845" t="e">
        <f>SUM(Tabla1[[#This Row],[PRECIO $ BOLSA50 KG  FOB TUCUMAN A PLAZO (IVA INC)]]+Tabla1[[#This Row],[GASTOS FINANCIEROS $ BOLSA 50 KG (IVA INC)]])</f>
        <v>#VALUE!</v>
      </c>
      <c r="AF744" s="828"/>
      <c r="AG744" s="828"/>
      <c r="AH744" s="828"/>
      <c r="AI744" s="828"/>
      <c r="AJ74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44" s="846" t="e">
        <f>SUM(Tabla1[[#This Row],[PRECIO $ BOLSA 50KG  FOB CDO TUC (IVA INC)]]-Tabla1[[#This Row],[PRECIO REF $ BOLSA 50 KG CACTU (IVA INC)]])</f>
        <v>#VALUE!</v>
      </c>
      <c r="AL744" s="847" t="str">
        <f>IFERROR(Tabla1[[#This Row],[PRECIO $ BOLSA 50KG  FOB CDO TUC (IVA INC)]]/Tabla1[[#This Row],[PRECIO REF $ BOLSA 50 KG CACTU (IVA INC)]]-1,"")</f>
        <v/>
      </c>
      <c r="AM744" s="846" t="e">
        <f>+Tabla1[[#This Row],[DIF $ PRECIO NETO INDUSTRIA vs Neto TUCUMAN (IVA INC)]]*Tabla1[[#This Row],[Q Bolsas Equivalentes 50kg]]</f>
        <v>#VALUE!</v>
      </c>
      <c r="AN744" s="846" t="e">
        <f>Tabla1[[#This Row],[PRECIO REF $ BOLSA 50 KG CACTU (IVA INC)]]*Tabla1[[#This Row],[Q Bolsas Equivalentes 50kg]]</f>
        <v>#VALUE!</v>
      </c>
      <c r="AO744" s="846" t="e">
        <f>+Tabla1[[#This Row],[PRECIO $ BOLSA 50KG  FOB CDO TUC (IVA INC)]]*Tabla1[[#This Row],[Q Bolsas Equivalentes 50kg]]</f>
        <v>#VALUE!</v>
      </c>
      <c r="AP744" s="847"/>
      <c r="AQ744" s="846">
        <v>0</v>
      </c>
      <c r="AR744" s="828"/>
      <c r="AS744" s="849"/>
      <c r="AT744" s="923">
        <f>+Tabla1[[#This Row],[VENTA TOTAL $ (IVA INC) ]]-(SUM(Tabla1[[#This Row],[PENDIENTE DE ENTREGA]:[VALORES COBRADOS]]))</f>
        <v>0</v>
      </c>
      <c r="AU744" s="850" t="e">
        <f>VLOOKUP(Tabla1[[#This Row],[FECHA OC]],'TIPO DE CAMBIO'!A:B,2,TRUE)</f>
        <v>#N/A</v>
      </c>
      <c r="AV744" s="850" t="e">
        <f>+Tabla1[[#This Row],[SUBTOTAL]]/Tabla1[[#This Row],[TIPO DE CAMBIO]]</f>
        <v>#N/A</v>
      </c>
      <c r="AW744" s="851"/>
      <c r="AX744" s="850" t="str">
        <f>IFERROR(Tabla1[[#This Row],[VENTA TOTAL USD A PLAZO EN CLIENTE  (SIN IVA)]]*(1+Tabla1[[#This Row],[% IVA ]]),"")</f>
        <v/>
      </c>
      <c r="AY744" s="850" t="e">
        <f>+Tabla1[[#This Row],[VENTA TOTAL USD A PLAZO EN CLIENTE  (SIN IVA)]]/Tabla1[[#This Row],[KGS]]*1000</f>
        <v>#N/A</v>
      </c>
      <c r="AZ744" s="850" t="e">
        <f>-Tabla1[[#This Row],[COSTO FLETE $ POR BOLSA 5O KG (SIN IVA)]]*20/Tabla1[[#This Row],[TIPO DE CAMBIO]]</f>
        <v>#N/A</v>
      </c>
      <c r="BA744" s="850" t="e">
        <f>+Tabla1[[#This Row],[GASTOS FINANCIEROS $ BOLSA 50 KG (IVA INC)]]*20/Tabla1[[#This Row],[TIPO DE CAMBIO]]</f>
        <v>#VALUE!</v>
      </c>
      <c r="BB744" s="850" t="e">
        <f>+Tabla1[[#This Row],[PRECIO POR TN USD EN CLIENTE A PLAZO (SIN IVA)]]+Tabla1[[#This Row],[COSTO USD FLETE /TN (SIN IVA)]]+Tabla1[[#This Row],[COSTO FINANCIERO USD POR BOLSA 50KG (IVA INC)]]</f>
        <v>#N/A</v>
      </c>
      <c r="BC744" s="828"/>
      <c r="BD744" s="944"/>
    </row>
    <row r="745" spans="1:56" ht="15.75" customHeight="1">
      <c r="A745" s="912">
        <v>46327</v>
      </c>
      <c r="B745" s="853"/>
      <c r="C745" s="792"/>
      <c r="D745" s="829">
        <f>+Tabla1[[#This Row],[FECHA Entrega]]</f>
        <v>0</v>
      </c>
      <c r="E745" s="830"/>
      <c r="F745" s="831"/>
      <c r="G745" s="832"/>
      <c r="H745" s="852"/>
      <c r="I745" s="834"/>
      <c r="J745" s="835"/>
      <c r="K745" s="836">
        <f t="shared" si="154"/>
        <v>0</v>
      </c>
      <c r="L74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45" s="837">
        <f t="shared" si="156"/>
        <v>0</v>
      </c>
      <c r="N745" s="838">
        <f>+Tabla1[[#This Row],[VENTA TOTAL $ (IVA INC) ]]</f>
        <v>0</v>
      </c>
      <c r="O745" s="838">
        <v>0</v>
      </c>
      <c r="P745" s="838">
        <v>0</v>
      </c>
      <c r="Q745" s="839">
        <f>+Tabla1[[#This Row],[VENTA TOTAL $ (IVA INC) ]]</f>
        <v>0</v>
      </c>
      <c r="R745" s="840">
        <f>+Tabla1[[#This Row],[FECHA FC]]+Tabla1[[#This Row],[PLAZO ENTREGA VALORES]]</f>
        <v>0</v>
      </c>
      <c r="S745" s="840">
        <f>+Tabla1[[#This Row],[FECHA FC]]+Tabla1[[#This Row],[PLAZO PAGO (DIAS)]]</f>
        <v>0</v>
      </c>
      <c r="T745" s="834">
        <f t="shared" ca="1" si="155"/>
        <v>-46181</v>
      </c>
      <c r="U745" s="831"/>
      <c r="V745" s="831"/>
      <c r="W745" s="841">
        <f t="shared" si="157"/>
        <v>7</v>
      </c>
      <c r="X745" s="830"/>
      <c r="Y745" s="859"/>
      <c r="Z745" s="860">
        <f>Tabla1[[#This Row],[KGS]]/50</f>
        <v>0</v>
      </c>
      <c r="AA74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45" s="844">
        <f>-Tabla1[[#This Row],[COSTO FLETE $ POR BOLSA 5O KG (SIN IVA)]]*1.21-Tabla1[[#This Row],[PRECIO $/ KG A PLAZO EN CLIENTE ( SIN IVA)]]*0.003*1.21*50</f>
        <v>0</v>
      </c>
      <c r="AC745" s="845" t="e">
        <f>SUM(Tabla1[[#This Row],[PRECIO $ BOLSA 50 KG (IVA INC) ]]+Tabla1[[#This Row],[COSTO FLETE $ BOLSA 50 KG (IVA INC)]])</f>
        <v>#VALUE!</v>
      </c>
      <c r="AD745" s="844" t="e">
        <f>-Tabla1[[#This Row],[PRECIO $ BOLSA 50 KG (IVA INC) ]]*(Tabla1[[#This Row],[TASA FINANCIACION MENSUAL]]/365)*Tabla1[[#This Row],[PLAZO ENTREGA VALORES]]</f>
        <v>#VALUE!</v>
      </c>
      <c r="AE745" s="845" t="e">
        <f>SUM(Tabla1[[#This Row],[PRECIO $ BOLSA50 KG  FOB TUCUMAN A PLAZO (IVA INC)]]+Tabla1[[#This Row],[GASTOS FINANCIEROS $ BOLSA 50 KG (IVA INC)]])</f>
        <v>#VALUE!</v>
      </c>
      <c r="AF745" s="828"/>
      <c r="AG745" s="828"/>
      <c r="AH745" s="828"/>
      <c r="AI745" s="828"/>
      <c r="AJ74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45" s="846" t="e">
        <f>SUM(Tabla1[[#This Row],[PRECIO $ BOLSA 50KG  FOB CDO TUC (IVA INC)]]-Tabla1[[#This Row],[PRECIO REF $ BOLSA 50 KG CACTU (IVA INC)]])</f>
        <v>#VALUE!</v>
      </c>
      <c r="AL745" s="847" t="str">
        <f>IFERROR(Tabla1[[#This Row],[PRECIO $ BOLSA 50KG  FOB CDO TUC (IVA INC)]]/Tabla1[[#This Row],[PRECIO REF $ BOLSA 50 KG CACTU (IVA INC)]]-1,"")</f>
        <v/>
      </c>
      <c r="AM745" s="846" t="e">
        <f>+Tabla1[[#This Row],[DIF $ PRECIO NETO INDUSTRIA vs Neto TUCUMAN (IVA INC)]]*Tabla1[[#This Row],[Q Bolsas Equivalentes 50kg]]</f>
        <v>#VALUE!</v>
      </c>
      <c r="AN745" s="846" t="e">
        <f>Tabla1[[#This Row],[PRECIO REF $ BOLSA 50 KG CACTU (IVA INC)]]*Tabla1[[#This Row],[Q Bolsas Equivalentes 50kg]]</f>
        <v>#VALUE!</v>
      </c>
      <c r="AO745" s="846" t="e">
        <f>+Tabla1[[#This Row],[PRECIO $ BOLSA 50KG  FOB CDO TUC (IVA INC)]]*Tabla1[[#This Row],[Q Bolsas Equivalentes 50kg]]</f>
        <v>#VALUE!</v>
      </c>
      <c r="AP745" s="847"/>
      <c r="AQ745" s="846">
        <v>0</v>
      </c>
      <c r="AR745" s="828"/>
      <c r="AS745" s="849"/>
      <c r="AT745" s="923">
        <f>+Tabla1[[#This Row],[VENTA TOTAL $ (IVA INC) ]]-(SUM(Tabla1[[#This Row],[PENDIENTE DE ENTREGA]:[VALORES COBRADOS]]))</f>
        <v>0</v>
      </c>
      <c r="AU745" s="850" t="e">
        <f>VLOOKUP(Tabla1[[#This Row],[FECHA OC]],'TIPO DE CAMBIO'!A:B,2,TRUE)</f>
        <v>#N/A</v>
      </c>
      <c r="AV745" s="850" t="e">
        <f>+Tabla1[[#This Row],[SUBTOTAL]]/Tabla1[[#This Row],[TIPO DE CAMBIO]]</f>
        <v>#N/A</v>
      </c>
      <c r="AW745" s="851"/>
      <c r="AX745" s="850" t="str">
        <f>IFERROR(Tabla1[[#This Row],[VENTA TOTAL USD A PLAZO EN CLIENTE  (SIN IVA)]]*(1+Tabla1[[#This Row],[% IVA ]]),"")</f>
        <v/>
      </c>
      <c r="AY745" s="850" t="e">
        <f>+Tabla1[[#This Row],[VENTA TOTAL USD A PLAZO EN CLIENTE  (SIN IVA)]]/Tabla1[[#This Row],[KGS]]*1000</f>
        <v>#N/A</v>
      </c>
      <c r="AZ745" s="850" t="e">
        <f>-Tabla1[[#This Row],[COSTO FLETE $ POR BOLSA 5O KG (SIN IVA)]]*20/Tabla1[[#This Row],[TIPO DE CAMBIO]]</f>
        <v>#N/A</v>
      </c>
      <c r="BA745" s="850" t="e">
        <f>+Tabla1[[#This Row],[GASTOS FINANCIEROS $ BOLSA 50 KG (IVA INC)]]*20/Tabla1[[#This Row],[TIPO DE CAMBIO]]</f>
        <v>#VALUE!</v>
      </c>
      <c r="BB745" s="850" t="e">
        <f>+Tabla1[[#This Row],[PRECIO POR TN USD EN CLIENTE A PLAZO (SIN IVA)]]+Tabla1[[#This Row],[COSTO USD FLETE /TN (SIN IVA)]]+Tabla1[[#This Row],[COSTO FINANCIERO USD POR BOLSA 50KG (IVA INC)]]</f>
        <v>#N/A</v>
      </c>
      <c r="BC745" s="828"/>
      <c r="BD745" s="944"/>
    </row>
    <row r="746" spans="1:56" ht="15.75" customHeight="1">
      <c r="A746" s="912">
        <v>46327</v>
      </c>
      <c r="B746" s="853"/>
      <c r="C746" s="792"/>
      <c r="D746" s="829">
        <f>+Tabla1[[#This Row],[FECHA Entrega]]</f>
        <v>0</v>
      </c>
      <c r="E746" s="830"/>
      <c r="F746" s="831"/>
      <c r="G746" s="832"/>
      <c r="H746" s="852"/>
      <c r="I746" s="834"/>
      <c r="J746" s="835"/>
      <c r="K746" s="836">
        <f t="shared" si="154"/>
        <v>0</v>
      </c>
      <c r="L74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46" s="837">
        <f t="shared" si="156"/>
        <v>0</v>
      </c>
      <c r="N746" s="838">
        <f>+Tabla1[[#This Row],[VENTA TOTAL $ (IVA INC) ]]</f>
        <v>0</v>
      </c>
      <c r="O746" s="838">
        <v>0</v>
      </c>
      <c r="P746" s="838">
        <v>0</v>
      </c>
      <c r="Q746" s="839">
        <f>+Tabla1[[#This Row],[VENTA TOTAL $ (IVA INC) ]]</f>
        <v>0</v>
      </c>
      <c r="R746" s="840">
        <f>+Tabla1[[#This Row],[FECHA FC]]+Tabla1[[#This Row],[PLAZO ENTREGA VALORES]]</f>
        <v>0</v>
      </c>
      <c r="S746" s="840">
        <f>+Tabla1[[#This Row],[FECHA FC]]+Tabla1[[#This Row],[PLAZO PAGO (DIAS)]]</f>
        <v>0</v>
      </c>
      <c r="T746" s="834">
        <f t="shared" ca="1" si="155"/>
        <v>-46181</v>
      </c>
      <c r="U746" s="831"/>
      <c r="V746" s="831"/>
      <c r="W746" s="841">
        <f t="shared" si="157"/>
        <v>7</v>
      </c>
      <c r="X746" s="830"/>
      <c r="Y746" s="859"/>
      <c r="Z746" s="860">
        <f>Tabla1[[#This Row],[KGS]]/50</f>
        <v>0</v>
      </c>
      <c r="AA74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46" s="844">
        <f>-Tabla1[[#This Row],[COSTO FLETE $ POR BOLSA 5O KG (SIN IVA)]]*1.21-Tabla1[[#This Row],[PRECIO $/ KG A PLAZO EN CLIENTE ( SIN IVA)]]*0.003*1.21*50</f>
        <v>0</v>
      </c>
      <c r="AC746" s="845" t="e">
        <f>SUM(Tabla1[[#This Row],[PRECIO $ BOLSA 50 KG (IVA INC) ]]+Tabla1[[#This Row],[COSTO FLETE $ BOLSA 50 KG (IVA INC)]])</f>
        <v>#VALUE!</v>
      </c>
      <c r="AD746" s="844" t="e">
        <f>-Tabla1[[#This Row],[PRECIO $ BOLSA 50 KG (IVA INC) ]]*(Tabla1[[#This Row],[TASA FINANCIACION MENSUAL]]/365)*Tabla1[[#This Row],[PLAZO ENTREGA VALORES]]</f>
        <v>#VALUE!</v>
      </c>
      <c r="AE746" s="845" t="e">
        <f>SUM(Tabla1[[#This Row],[PRECIO $ BOLSA50 KG  FOB TUCUMAN A PLAZO (IVA INC)]]+Tabla1[[#This Row],[GASTOS FINANCIEROS $ BOLSA 50 KG (IVA INC)]])</f>
        <v>#VALUE!</v>
      </c>
      <c r="AF746" s="828"/>
      <c r="AG746" s="828"/>
      <c r="AH746" s="828"/>
      <c r="AI746" s="828"/>
      <c r="AJ74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46" s="846" t="e">
        <f>SUM(Tabla1[[#This Row],[PRECIO $ BOLSA 50KG  FOB CDO TUC (IVA INC)]]-Tabla1[[#This Row],[PRECIO REF $ BOLSA 50 KG CACTU (IVA INC)]])</f>
        <v>#VALUE!</v>
      </c>
      <c r="AL746" s="847" t="str">
        <f>IFERROR(Tabla1[[#This Row],[PRECIO $ BOLSA 50KG  FOB CDO TUC (IVA INC)]]/Tabla1[[#This Row],[PRECIO REF $ BOLSA 50 KG CACTU (IVA INC)]]-1,"")</f>
        <v/>
      </c>
      <c r="AM746" s="846" t="e">
        <f>+Tabla1[[#This Row],[DIF $ PRECIO NETO INDUSTRIA vs Neto TUCUMAN (IVA INC)]]*Tabla1[[#This Row],[Q Bolsas Equivalentes 50kg]]</f>
        <v>#VALUE!</v>
      </c>
      <c r="AN746" s="846" t="e">
        <f>Tabla1[[#This Row],[PRECIO REF $ BOLSA 50 KG CACTU (IVA INC)]]*Tabla1[[#This Row],[Q Bolsas Equivalentes 50kg]]</f>
        <v>#VALUE!</v>
      </c>
      <c r="AO746" s="846" t="e">
        <f>+Tabla1[[#This Row],[PRECIO $ BOLSA 50KG  FOB CDO TUC (IVA INC)]]*Tabla1[[#This Row],[Q Bolsas Equivalentes 50kg]]</f>
        <v>#VALUE!</v>
      </c>
      <c r="AP746" s="847"/>
      <c r="AQ746" s="846">
        <v>0</v>
      </c>
      <c r="AR746" s="828"/>
      <c r="AS746" s="849"/>
      <c r="AT746" s="923">
        <f>+Tabla1[[#This Row],[VENTA TOTAL $ (IVA INC) ]]-(SUM(Tabla1[[#This Row],[PENDIENTE DE ENTREGA]:[VALORES COBRADOS]]))</f>
        <v>0</v>
      </c>
      <c r="AU746" s="850" t="e">
        <f>VLOOKUP(Tabla1[[#This Row],[FECHA OC]],'TIPO DE CAMBIO'!A:B,2,TRUE)</f>
        <v>#N/A</v>
      </c>
      <c r="AV746" s="850" t="e">
        <f>+Tabla1[[#This Row],[SUBTOTAL]]/Tabla1[[#This Row],[TIPO DE CAMBIO]]</f>
        <v>#N/A</v>
      </c>
      <c r="AW746" s="851"/>
      <c r="AX746" s="850" t="str">
        <f>IFERROR(Tabla1[[#This Row],[VENTA TOTAL USD A PLAZO EN CLIENTE  (SIN IVA)]]*(1+Tabla1[[#This Row],[% IVA ]]),"")</f>
        <v/>
      </c>
      <c r="AY746" s="850" t="e">
        <f>+Tabla1[[#This Row],[VENTA TOTAL USD A PLAZO EN CLIENTE  (SIN IVA)]]/Tabla1[[#This Row],[KGS]]*1000</f>
        <v>#N/A</v>
      </c>
      <c r="AZ746" s="850" t="e">
        <f>-Tabla1[[#This Row],[COSTO FLETE $ POR BOLSA 5O KG (SIN IVA)]]*20/Tabla1[[#This Row],[TIPO DE CAMBIO]]</f>
        <v>#N/A</v>
      </c>
      <c r="BA746" s="850" t="e">
        <f>+Tabla1[[#This Row],[GASTOS FINANCIEROS $ BOLSA 50 KG (IVA INC)]]*20/Tabla1[[#This Row],[TIPO DE CAMBIO]]</f>
        <v>#VALUE!</v>
      </c>
      <c r="BB746" s="850" t="e">
        <f>+Tabla1[[#This Row],[PRECIO POR TN USD EN CLIENTE A PLAZO (SIN IVA)]]+Tabla1[[#This Row],[COSTO USD FLETE /TN (SIN IVA)]]+Tabla1[[#This Row],[COSTO FINANCIERO USD POR BOLSA 50KG (IVA INC)]]</f>
        <v>#N/A</v>
      </c>
      <c r="BC746" s="828"/>
      <c r="BD746" s="944"/>
    </row>
    <row r="747" spans="1:56" ht="15.75" customHeight="1">
      <c r="A747" s="912">
        <v>46327</v>
      </c>
      <c r="B747" s="853"/>
      <c r="C747" s="792"/>
      <c r="D747" s="829">
        <f>+Tabla1[[#This Row],[FECHA Entrega]]</f>
        <v>0</v>
      </c>
      <c r="E747" s="830"/>
      <c r="F747" s="831"/>
      <c r="G747" s="832"/>
      <c r="H747" s="852"/>
      <c r="I747" s="834"/>
      <c r="J747" s="835"/>
      <c r="K747" s="836">
        <f t="shared" si="154"/>
        <v>0</v>
      </c>
      <c r="L74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47" s="837">
        <f t="shared" si="156"/>
        <v>0</v>
      </c>
      <c r="N747" s="838">
        <f>+Tabla1[[#This Row],[VENTA TOTAL $ (IVA INC) ]]</f>
        <v>0</v>
      </c>
      <c r="O747" s="838">
        <v>0</v>
      </c>
      <c r="P747" s="838">
        <v>0</v>
      </c>
      <c r="Q747" s="839">
        <f>+Tabla1[[#This Row],[VENTA TOTAL $ (IVA INC) ]]</f>
        <v>0</v>
      </c>
      <c r="R747" s="840">
        <f>+Tabla1[[#This Row],[FECHA FC]]+Tabla1[[#This Row],[PLAZO ENTREGA VALORES]]</f>
        <v>0</v>
      </c>
      <c r="S747" s="840">
        <f>+Tabla1[[#This Row],[FECHA FC]]+Tabla1[[#This Row],[PLAZO PAGO (DIAS)]]</f>
        <v>0</v>
      </c>
      <c r="T747" s="834">
        <f t="shared" ca="1" si="155"/>
        <v>-46181</v>
      </c>
      <c r="U747" s="831"/>
      <c r="V747" s="831"/>
      <c r="W747" s="841">
        <f t="shared" si="157"/>
        <v>7</v>
      </c>
      <c r="X747" s="830"/>
      <c r="Y747" s="859"/>
      <c r="Z747" s="860">
        <f>Tabla1[[#This Row],[KGS]]/50</f>
        <v>0</v>
      </c>
      <c r="AA74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47" s="844">
        <f>-Tabla1[[#This Row],[COSTO FLETE $ POR BOLSA 5O KG (SIN IVA)]]*1.21-Tabla1[[#This Row],[PRECIO $/ KG A PLAZO EN CLIENTE ( SIN IVA)]]*0.003*1.21*50</f>
        <v>0</v>
      </c>
      <c r="AC747" s="845" t="e">
        <f>SUM(Tabla1[[#This Row],[PRECIO $ BOLSA 50 KG (IVA INC) ]]+Tabla1[[#This Row],[COSTO FLETE $ BOLSA 50 KG (IVA INC)]])</f>
        <v>#VALUE!</v>
      </c>
      <c r="AD747" s="844" t="e">
        <f>-Tabla1[[#This Row],[PRECIO $ BOLSA 50 KG (IVA INC) ]]*(Tabla1[[#This Row],[TASA FINANCIACION MENSUAL]]/365)*Tabla1[[#This Row],[PLAZO ENTREGA VALORES]]</f>
        <v>#VALUE!</v>
      </c>
      <c r="AE747" s="845" t="e">
        <f>SUM(Tabla1[[#This Row],[PRECIO $ BOLSA50 KG  FOB TUCUMAN A PLAZO (IVA INC)]]+Tabla1[[#This Row],[GASTOS FINANCIEROS $ BOLSA 50 KG (IVA INC)]])</f>
        <v>#VALUE!</v>
      </c>
      <c r="AF747" s="828"/>
      <c r="AG747" s="828"/>
      <c r="AH747" s="828"/>
      <c r="AI747" s="828"/>
      <c r="AJ74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47" s="846" t="e">
        <f>SUM(Tabla1[[#This Row],[PRECIO $ BOLSA 50KG  FOB CDO TUC (IVA INC)]]-Tabla1[[#This Row],[PRECIO REF $ BOLSA 50 KG CACTU (IVA INC)]])</f>
        <v>#VALUE!</v>
      </c>
      <c r="AL747" s="847" t="str">
        <f>IFERROR(Tabla1[[#This Row],[PRECIO $ BOLSA 50KG  FOB CDO TUC (IVA INC)]]/Tabla1[[#This Row],[PRECIO REF $ BOLSA 50 KG CACTU (IVA INC)]]-1,"")</f>
        <v/>
      </c>
      <c r="AM747" s="846" t="e">
        <f>+Tabla1[[#This Row],[DIF $ PRECIO NETO INDUSTRIA vs Neto TUCUMAN (IVA INC)]]*Tabla1[[#This Row],[Q Bolsas Equivalentes 50kg]]</f>
        <v>#VALUE!</v>
      </c>
      <c r="AN747" s="846" t="e">
        <f>Tabla1[[#This Row],[PRECIO REF $ BOLSA 50 KG CACTU (IVA INC)]]*Tabla1[[#This Row],[Q Bolsas Equivalentes 50kg]]</f>
        <v>#VALUE!</v>
      </c>
      <c r="AO747" s="846" t="e">
        <f>+Tabla1[[#This Row],[PRECIO $ BOLSA 50KG  FOB CDO TUC (IVA INC)]]*Tabla1[[#This Row],[Q Bolsas Equivalentes 50kg]]</f>
        <v>#VALUE!</v>
      </c>
      <c r="AP747" s="847"/>
      <c r="AQ747" s="846">
        <v>0</v>
      </c>
      <c r="AR747" s="828"/>
      <c r="AS747" s="849"/>
      <c r="AT747" s="923">
        <f>+Tabla1[[#This Row],[VENTA TOTAL $ (IVA INC) ]]-(SUM(Tabla1[[#This Row],[PENDIENTE DE ENTREGA]:[VALORES COBRADOS]]))</f>
        <v>0</v>
      </c>
      <c r="AU747" s="850" t="e">
        <f>VLOOKUP(Tabla1[[#This Row],[FECHA OC]],'TIPO DE CAMBIO'!A:B,2,TRUE)</f>
        <v>#N/A</v>
      </c>
      <c r="AV747" s="850" t="e">
        <f>+Tabla1[[#This Row],[SUBTOTAL]]/Tabla1[[#This Row],[TIPO DE CAMBIO]]</f>
        <v>#N/A</v>
      </c>
      <c r="AW747" s="851"/>
      <c r="AX747" s="850" t="str">
        <f>IFERROR(Tabla1[[#This Row],[VENTA TOTAL USD A PLAZO EN CLIENTE  (SIN IVA)]]*(1+Tabla1[[#This Row],[% IVA ]]),"")</f>
        <v/>
      </c>
      <c r="AY747" s="850" t="e">
        <f>+Tabla1[[#This Row],[VENTA TOTAL USD A PLAZO EN CLIENTE  (SIN IVA)]]/Tabla1[[#This Row],[KGS]]*1000</f>
        <v>#N/A</v>
      </c>
      <c r="AZ747" s="850" t="e">
        <f>-Tabla1[[#This Row],[COSTO FLETE $ POR BOLSA 5O KG (SIN IVA)]]*20/Tabla1[[#This Row],[TIPO DE CAMBIO]]</f>
        <v>#N/A</v>
      </c>
      <c r="BA747" s="850" t="e">
        <f>+Tabla1[[#This Row],[GASTOS FINANCIEROS $ BOLSA 50 KG (IVA INC)]]*20/Tabla1[[#This Row],[TIPO DE CAMBIO]]</f>
        <v>#VALUE!</v>
      </c>
      <c r="BB747" s="850" t="e">
        <f>+Tabla1[[#This Row],[PRECIO POR TN USD EN CLIENTE A PLAZO (SIN IVA)]]+Tabla1[[#This Row],[COSTO USD FLETE /TN (SIN IVA)]]+Tabla1[[#This Row],[COSTO FINANCIERO USD POR BOLSA 50KG (IVA INC)]]</f>
        <v>#N/A</v>
      </c>
      <c r="BC747" s="828"/>
      <c r="BD747" s="944"/>
    </row>
    <row r="748" spans="1:56" ht="15.75" customHeight="1">
      <c r="A748" s="912">
        <v>46327</v>
      </c>
      <c r="B748" s="853"/>
      <c r="C748" s="792"/>
      <c r="D748" s="829">
        <f>+Tabla1[[#This Row],[FECHA Entrega]]</f>
        <v>0</v>
      </c>
      <c r="E748" s="830"/>
      <c r="F748" s="831"/>
      <c r="G748" s="832"/>
      <c r="H748" s="852"/>
      <c r="I748" s="834"/>
      <c r="J748" s="835"/>
      <c r="K748" s="836">
        <f t="shared" si="154"/>
        <v>0</v>
      </c>
      <c r="L74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48" s="837">
        <f t="shared" si="156"/>
        <v>0</v>
      </c>
      <c r="N748" s="838">
        <f>+Tabla1[[#This Row],[VENTA TOTAL $ (IVA INC) ]]</f>
        <v>0</v>
      </c>
      <c r="O748" s="838">
        <v>0</v>
      </c>
      <c r="P748" s="838">
        <v>0</v>
      </c>
      <c r="Q748" s="839">
        <f>+Tabla1[[#This Row],[VENTA TOTAL $ (IVA INC) ]]</f>
        <v>0</v>
      </c>
      <c r="R748" s="840">
        <f>+Tabla1[[#This Row],[FECHA FC]]+Tabla1[[#This Row],[PLAZO ENTREGA VALORES]]</f>
        <v>0</v>
      </c>
      <c r="S748" s="840">
        <f>+Tabla1[[#This Row],[FECHA FC]]+Tabla1[[#This Row],[PLAZO PAGO (DIAS)]]</f>
        <v>0</v>
      </c>
      <c r="T748" s="834">
        <f t="shared" ca="1" si="155"/>
        <v>-46181</v>
      </c>
      <c r="U748" s="831"/>
      <c r="V748" s="831"/>
      <c r="W748" s="841">
        <f t="shared" si="157"/>
        <v>7</v>
      </c>
      <c r="X748" s="830"/>
      <c r="Y748" s="859"/>
      <c r="Z748" s="860">
        <f>Tabla1[[#This Row],[KGS]]/50</f>
        <v>0</v>
      </c>
      <c r="AA74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48" s="844">
        <f>-Tabla1[[#This Row],[COSTO FLETE $ POR BOLSA 5O KG (SIN IVA)]]*1.21-Tabla1[[#This Row],[PRECIO $/ KG A PLAZO EN CLIENTE ( SIN IVA)]]*0.003*1.21*50</f>
        <v>0</v>
      </c>
      <c r="AC748" s="845" t="e">
        <f>SUM(Tabla1[[#This Row],[PRECIO $ BOLSA 50 KG (IVA INC) ]]+Tabla1[[#This Row],[COSTO FLETE $ BOLSA 50 KG (IVA INC)]])</f>
        <v>#VALUE!</v>
      </c>
      <c r="AD748" s="844" t="e">
        <f>-Tabla1[[#This Row],[PRECIO $ BOLSA 50 KG (IVA INC) ]]*(Tabla1[[#This Row],[TASA FINANCIACION MENSUAL]]/365)*Tabla1[[#This Row],[PLAZO ENTREGA VALORES]]</f>
        <v>#VALUE!</v>
      </c>
      <c r="AE748" s="845" t="e">
        <f>SUM(Tabla1[[#This Row],[PRECIO $ BOLSA50 KG  FOB TUCUMAN A PLAZO (IVA INC)]]+Tabla1[[#This Row],[GASTOS FINANCIEROS $ BOLSA 50 KG (IVA INC)]])</f>
        <v>#VALUE!</v>
      </c>
      <c r="AF748" s="828"/>
      <c r="AG748" s="828"/>
      <c r="AH748" s="828"/>
      <c r="AI748" s="828"/>
      <c r="AJ74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48" s="846" t="e">
        <f>SUM(Tabla1[[#This Row],[PRECIO $ BOLSA 50KG  FOB CDO TUC (IVA INC)]]-Tabla1[[#This Row],[PRECIO REF $ BOLSA 50 KG CACTU (IVA INC)]])</f>
        <v>#VALUE!</v>
      </c>
      <c r="AL748" s="847" t="str">
        <f>IFERROR(Tabla1[[#This Row],[PRECIO $ BOLSA 50KG  FOB CDO TUC (IVA INC)]]/Tabla1[[#This Row],[PRECIO REF $ BOLSA 50 KG CACTU (IVA INC)]]-1,"")</f>
        <v/>
      </c>
      <c r="AM748" s="846" t="e">
        <f>+Tabla1[[#This Row],[DIF $ PRECIO NETO INDUSTRIA vs Neto TUCUMAN (IVA INC)]]*Tabla1[[#This Row],[Q Bolsas Equivalentes 50kg]]</f>
        <v>#VALUE!</v>
      </c>
      <c r="AN748" s="846" t="e">
        <f>Tabla1[[#This Row],[PRECIO REF $ BOLSA 50 KG CACTU (IVA INC)]]*Tabla1[[#This Row],[Q Bolsas Equivalentes 50kg]]</f>
        <v>#VALUE!</v>
      </c>
      <c r="AO748" s="846" t="e">
        <f>+Tabla1[[#This Row],[PRECIO $ BOLSA 50KG  FOB CDO TUC (IVA INC)]]*Tabla1[[#This Row],[Q Bolsas Equivalentes 50kg]]</f>
        <v>#VALUE!</v>
      </c>
      <c r="AP748" s="847"/>
      <c r="AQ748" s="846">
        <v>0</v>
      </c>
      <c r="AR748" s="828"/>
      <c r="AS748" s="849"/>
      <c r="AT748" s="923">
        <f>+Tabla1[[#This Row],[VENTA TOTAL $ (IVA INC) ]]-(SUM(Tabla1[[#This Row],[PENDIENTE DE ENTREGA]:[VALORES COBRADOS]]))</f>
        <v>0</v>
      </c>
      <c r="AU748" s="850" t="e">
        <f>VLOOKUP(Tabla1[[#This Row],[FECHA OC]],'TIPO DE CAMBIO'!A:B,2,TRUE)</f>
        <v>#N/A</v>
      </c>
      <c r="AV748" s="850" t="e">
        <f>+Tabla1[[#This Row],[SUBTOTAL]]/Tabla1[[#This Row],[TIPO DE CAMBIO]]</f>
        <v>#N/A</v>
      </c>
      <c r="AW748" s="851"/>
      <c r="AX748" s="850" t="str">
        <f>IFERROR(Tabla1[[#This Row],[VENTA TOTAL USD A PLAZO EN CLIENTE  (SIN IVA)]]*(1+Tabla1[[#This Row],[% IVA ]]),"")</f>
        <v/>
      </c>
      <c r="AY748" s="850" t="e">
        <f>+Tabla1[[#This Row],[VENTA TOTAL USD A PLAZO EN CLIENTE  (SIN IVA)]]/Tabla1[[#This Row],[KGS]]*1000</f>
        <v>#N/A</v>
      </c>
      <c r="AZ748" s="850" t="e">
        <f>-Tabla1[[#This Row],[COSTO FLETE $ POR BOLSA 5O KG (SIN IVA)]]*20/Tabla1[[#This Row],[TIPO DE CAMBIO]]</f>
        <v>#N/A</v>
      </c>
      <c r="BA748" s="850" t="e">
        <f>+Tabla1[[#This Row],[GASTOS FINANCIEROS $ BOLSA 50 KG (IVA INC)]]*20/Tabla1[[#This Row],[TIPO DE CAMBIO]]</f>
        <v>#VALUE!</v>
      </c>
      <c r="BB748" s="850" t="e">
        <f>+Tabla1[[#This Row],[PRECIO POR TN USD EN CLIENTE A PLAZO (SIN IVA)]]+Tabla1[[#This Row],[COSTO USD FLETE /TN (SIN IVA)]]+Tabla1[[#This Row],[COSTO FINANCIERO USD POR BOLSA 50KG (IVA INC)]]</f>
        <v>#N/A</v>
      </c>
      <c r="BC748" s="828"/>
      <c r="BD748" s="944"/>
    </row>
    <row r="749" spans="1:56" ht="15.75" customHeight="1">
      <c r="A749" s="912">
        <v>46327</v>
      </c>
      <c r="B749" s="853"/>
      <c r="C749" s="792"/>
      <c r="D749" s="829">
        <f>+Tabla1[[#This Row],[FECHA Entrega]]</f>
        <v>0</v>
      </c>
      <c r="E749" s="830"/>
      <c r="F749" s="831"/>
      <c r="G749" s="832"/>
      <c r="H749" s="852"/>
      <c r="I749" s="834"/>
      <c r="J749" s="835"/>
      <c r="K749" s="836">
        <f t="shared" si="154"/>
        <v>0</v>
      </c>
      <c r="L74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49" s="837">
        <f t="shared" si="156"/>
        <v>0</v>
      </c>
      <c r="N749" s="838">
        <f>+Tabla1[[#This Row],[VENTA TOTAL $ (IVA INC) ]]</f>
        <v>0</v>
      </c>
      <c r="O749" s="838">
        <v>0</v>
      </c>
      <c r="P749" s="838">
        <v>0</v>
      </c>
      <c r="Q749" s="839">
        <f>+Tabla1[[#This Row],[VENTA TOTAL $ (IVA INC) ]]</f>
        <v>0</v>
      </c>
      <c r="R749" s="840">
        <f>+Tabla1[[#This Row],[FECHA FC]]+Tabla1[[#This Row],[PLAZO ENTREGA VALORES]]</f>
        <v>0</v>
      </c>
      <c r="S749" s="840">
        <f>+Tabla1[[#This Row],[FECHA FC]]+Tabla1[[#This Row],[PLAZO PAGO (DIAS)]]</f>
        <v>0</v>
      </c>
      <c r="T749" s="834">
        <f t="shared" ca="1" si="155"/>
        <v>-46181</v>
      </c>
      <c r="U749" s="831"/>
      <c r="V749" s="831"/>
      <c r="W749" s="841">
        <f t="shared" si="157"/>
        <v>7</v>
      </c>
      <c r="X749" s="830"/>
      <c r="Y749" s="859"/>
      <c r="Z749" s="860">
        <f>Tabla1[[#This Row],[KGS]]/50</f>
        <v>0</v>
      </c>
      <c r="AA74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49" s="844">
        <f>-Tabla1[[#This Row],[COSTO FLETE $ POR BOLSA 5O KG (SIN IVA)]]*1.21-Tabla1[[#This Row],[PRECIO $/ KG A PLAZO EN CLIENTE ( SIN IVA)]]*0.003*1.21*50</f>
        <v>0</v>
      </c>
      <c r="AC749" s="845" t="e">
        <f>SUM(Tabla1[[#This Row],[PRECIO $ BOLSA 50 KG (IVA INC) ]]+Tabla1[[#This Row],[COSTO FLETE $ BOLSA 50 KG (IVA INC)]])</f>
        <v>#VALUE!</v>
      </c>
      <c r="AD749" s="844" t="e">
        <f>-Tabla1[[#This Row],[PRECIO $ BOLSA 50 KG (IVA INC) ]]*(Tabla1[[#This Row],[TASA FINANCIACION MENSUAL]]/365)*Tabla1[[#This Row],[PLAZO ENTREGA VALORES]]</f>
        <v>#VALUE!</v>
      </c>
      <c r="AE749" s="845" t="e">
        <f>SUM(Tabla1[[#This Row],[PRECIO $ BOLSA50 KG  FOB TUCUMAN A PLAZO (IVA INC)]]+Tabla1[[#This Row],[GASTOS FINANCIEROS $ BOLSA 50 KG (IVA INC)]])</f>
        <v>#VALUE!</v>
      </c>
      <c r="AF749" s="828"/>
      <c r="AG749" s="828"/>
      <c r="AH749" s="828"/>
      <c r="AI749" s="828"/>
      <c r="AJ74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49" s="846" t="e">
        <f>SUM(Tabla1[[#This Row],[PRECIO $ BOLSA 50KG  FOB CDO TUC (IVA INC)]]-Tabla1[[#This Row],[PRECIO REF $ BOLSA 50 KG CACTU (IVA INC)]])</f>
        <v>#VALUE!</v>
      </c>
      <c r="AL749" s="847" t="str">
        <f>IFERROR(Tabla1[[#This Row],[PRECIO $ BOLSA 50KG  FOB CDO TUC (IVA INC)]]/Tabla1[[#This Row],[PRECIO REF $ BOLSA 50 KG CACTU (IVA INC)]]-1,"")</f>
        <v/>
      </c>
      <c r="AM749" s="846" t="e">
        <f>+Tabla1[[#This Row],[DIF $ PRECIO NETO INDUSTRIA vs Neto TUCUMAN (IVA INC)]]*Tabla1[[#This Row],[Q Bolsas Equivalentes 50kg]]</f>
        <v>#VALUE!</v>
      </c>
      <c r="AN749" s="846" t="e">
        <f>Tabla1[[#This Row],[PRECIO REF $ BOLSA 50 KG CACTU (IVA INC)]]*Tabla1[[#This Row],[Q Bolsas Equivalentes 50kg]]</f>
        <v>#VALUE!</v>
      </c>
      <c r="AO749" s="846" t="e">
        <f>+Tabla1[[#This Row],[PRECIO $ BOLSA 50KG  FOB CDO TUC (IVA INC)]]*Tabla1[[#This Row],[Q Bolsas Equivalentes 50kg]]</f>
        <v>#VALUE!</v>
      </c>
      <c r="AP749" s="847"/>
      <c r="AQ749" s="846">
        <v>0</v>
      </c>
      <c r="AR749" s="828"/>
      <c r="AS749" s="849"/>
      <c r="AT749" s="923">
        <f>+Tabla1[[#This Row],[VENTA TOTAL $ (IVA INC) ]]-(SUM(Tabla1[[#This Row],[PENDIENTE DE ENTREGA]:[VALORES COBRADOS]]))</f>
        <v>0</v>
      </c>
      <c r="AU749" s="850" t="e">
        <f>VLOOKUP(Tabla1[[#This Row],[FECHA OC]],'TIPO DE CAMBIO'!A:B,2,TRUE)</f>
        <v>#N/A</v>
      </c>
      <c r="AV749" s="850" t="e">
        <f>+Tabla1[[#This Row],[SUBTOTAL]]/Tabla1[[#This Row],[TIPO DE CAMBIO]]</f>
        <v>#N/A</v>
      </c>
      <c r="AW749" s="851"/>
      <c r="AX749" s="850" t="str">
        <f>IFERROR(Tabla1[[#This Row],[VENTA TOTAL USD A PLAZO EN CLIENTE  (SIN IVA)]]*(1+Tabla1[[#This Row],[% IVA ]]),"")</f>
        <v/>
      </c>
      <c r="AY749" s="850" t="e">
        <f>+Tabla1[[#This Row],[VENTA TOTAL USD A PLAZO EN CLIENTE  (SIN IVA)]]/Tabla1[[#This Row],[KGS]]*1000</f>
        <v>#N/A</v>
      </c>
      <c r="AZ749" s="850" t="e">
        <f>-Tabla1[[#This Row],[COSTO FLETE $ POR BOLSA 5O KG (SIN IVA)]]*20/Tabla1[[#This Row],[TIPO DE CAMBIO]]</f>
        <v>#N/A</v>
      </c>
      <c r="BA749" s="850" t="e">
        <f>+Tabla1[[#This Row],[GASTOS FINANCIEROS $ BOLSA 50 KG (IVA INC)]]*20/Tabla1[[#This Row],[TIPO DE CAMBIO]]</f>
        <v>#VALUE!</v>
      </c>
      <c r="BB749" s="850" t="e">
        <f>+Tabla1[[#This Row],[PRECIO POR TN USD EN CLIENTE A PLAZO (SIN IVA)]]+Tabla1[[#This Row],[COSTO USD FLETE /TN (SIN IVA)]]+Tabla1[[#This Row],[COSTO FINANCIERO USD POR BOLSA 50KG (IVA INC)]]</f>
        <v>#N/A</v>
      </c>
      <c r="BC749" s="828"/>
      <c r="BD749" s="944"/>
    </row>
    <row r="750" spans="1:56" ht="15.75" customHeight="1">
      <c r="A750" s="912">
        <v>46327</v>
      </c>
      <c r="B750" s="853"/>
      <c r="C750" s="792"/>
      <c r="D750" s="829">
        <f>+Tabla1[[#This Row],[FECHA Entrega]]</f>
        <v>0</v>
      </c>
      <c r="E750" s="830"/>
      <c r="F750" s="831"/>
      <c r="G750" s="832"/>
      <c r="H750" s="852"/>
      <c r="I750" s="834"/>
      <c r="J750" s="835"/>
      <c r="K750" s="836">
        <f t="shared" si="154"/>
        <v>0</v>
      </c>
      <c r="L75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50" s="837">
        <f t="shared" si="156"/>
        <v>0</v>
      </c>
      <c r="N750" s="838">
        <f>+Tabla1[[#This Row],[VENTA TOTAL $ (IVA INC) ]]</f>
        <v>0</v>
      </c>
      <c r="O750" s="838">
        <v>0</v>
      </c>
      <c r="P750" s="838">
        <v>0</v>
      </c>
      <c r="Q750" s="839">
        <f>+Tabla1[[#This Row],[VENTA TOTAL $ (IVA INC) ]]</f>
        <v>0</v>
      </c>
      <c r="R750" s="840">
        <f>+Tabla1[[#This Row],[FECHA FC]]+Tabla1[[#This Row],[PLAZO ENTREGA VALORES]]</f>
        <v>0</v>
      </c>
      <c r="S750" s="840">
        <f>+Tabla1[[#This Row],[FECHA FC]]+Tabla1[[#This Row],[PLAZO PAGO (DIAS)]]</f>
        <v>0</v>
      </c>
      <c r="T750" s="834">
        <f t="shared" ca="1" si="155"/>
        <v>-46181</v>
      </c>
      <c r="U750" s="831"/>
      <c r="V750" s="831"/>
      <c r="W750" s="841">
        <f t="shared" si="157"/>
        <v>7</v>
      </c>
      <c r="X750" s="830"/>
      <c r="Y750" s="859"/>
      <c r="Z750" s="860">
        <f>Tabla1[[#This Row],[KGS]]/50</f>
        <v>0</v>
      </c>
      <c r="AA75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50" s="844">
        <f>-Tabla1[[#This Row],[COSTO FLETE $ POR BOLSA 5O KG (SIN IVA)]]*1.21-Tabla1[[#This Row],[PRECIO $/ KG A PLAZO EN CLIENTE ( SIN IVA)]]*0.003*1.21*50</f>
        <v>0</v>
      </c>
      <c r="AC750" s="845" t="e">
        <f>SUM(Tabla1[[#This Row],[PRECIO $ BOLSA 50 KG (IVA INC) ]]+Tabla1[[#This Row],[COSTO FLETE $ BOLSA 50 KG (IVA INC)]])</f>
        <v>#VALUE!</v>
      </c>
      <c r="AD750" s="844" t="e">
        <f>-Tabla1[[#This Row],[PRECIO $ BOLSA 50 KG (IVA INC) ]]*(Tabla1[[#This Row],[TASA FINANCIACION MENSUAL]]/365)*Tabla1[[#This Row],[PLAZO ENTREGA VALORES]]</f>
        <v>#VALUE!</v>
      </c>
      <c r="AE750" s="845" t="e">
        <f>SUM(Tabla1[[#This Row],[PRECIO $ BOLSA50 KG  FOB TUCUMAN A PLAZO (IVA INC)]]+Tabla1[[#This Row],[GASTOS FINANCIEROS $ BOLSA 50 KG (IVA INC)]])</f>
        <v>#VALUE!</v>
      </c>
      <c r="AF750" s="828"/>
      <c r="AG750" s="828"/>
      <c r="AH750" s="828"/>
      <c r="AI750" s="828"/>
      <c r="AJ75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50" s="846" t="e">
        <f>SUM(Tabla1[[#This Row],[PRECIO $ BOLSA 50KG  FOB CDO TUC (IVA INC)]]-Tabla1[[#This Row],[PRECIO REF $ BOLSA 50 KG CACTU (IVA INC)]])</f>
        <v>#VALUE!</v>
      </c>
      <c r="AL750" s="847" t="str">
        <f>IFERROR(Tabla1[[#This Row],[PRECIO $ BOLSA 50KG  FOB CDO TUC (IVA INC)]]/Tabla1[[#This Row],[PRECIO REF $ BOLSA 50 KG CACTU (IVA INC)]]-1,"")</f>
        <v/>
      </c>
      <c r="AM750" s="846" t="e">
        <f>+Tabla1[[#This Row],[DIF $ PRECIO NETO INDUSTRIA vs Neto TUCUMAN (IVA INC)]]*Tabla1[[#This Row],[Q Bolsas Equivalentes 50kg]]</f>
        <v>#VALUE!</v>
      </c>
      <c r="AN750" s="846" t="e">
        <f>Tabla1[[#This Row],[PRECIO REF $ BOLSA 50 KG CACTU (IVA INC)]]*Tabla1[[#This Row],[Q Bolsas Equivalentes 50kg]]</f>
        <v>#VALUE!</v>
      </c>
      <c r="AO750" s="846" t="e">
        <f>+Tabla1[[#This Row],[PRECIO $ BOLSA 50KG  FOB CDO TUC (IVA INC)]]*Tabla1[[#This Row],[Q Bolsas Equivalentes 50kg]]</f>
        <v>#VALUE!</v>
      </c>
      <c r="AP750" s="847"/>
      <c r="AQ750" s="846">
        <v>0</v>
      </c>
      <c r="AR750" s="828"/>
      <c r="AS750" s="849"/>
      <c r="AT750" s="923">
        <f>+Tabla1[[#This Row],[VENTA TOTAL $ (IVA INC) ]]-(SUM(Tabla1[[#This Row],[PENDIENTE DE ENTREGA]:[VALORES COBRADOS]]))</f>
        <v>0</v>
      </c>
      <c r="AU750" s="850" t="e">
        <f>VLOOKUP(Tabla1[[#This Row],[FECHA OC]],'TIPO DE CAMBIO'!A:B,2,TRUE)</f>
        <v>#N/A</v>
      </c>
      <c r="AV750" s="850" t="e">
        <f>+Tabla1[[#This Row],[SUBTOTAL]]/Tabla1[[#This Row],[TIPO DE CAMBIO]]</f>
        <v>#N/A</v>
      </c>
      <c r="AW750" s="851"/>
      <c r="AX750" s="850" t="str">
        <f>IFERROR(Tabla1[[#This Row],[VENTA TOTAL USD A PLAZO EN CLIENTE  (SIN IVA)]]*(1+Tabla1[[#This Row],[% IVA ]]),"")</f>
        <v/>
      </c>
      <c r="AY750" s="850" t="e">
        <f>+Tabla1[[#This Row],[VENTA TOTAL USD A PLAZO EN CLIENTE  (SIN IVA)]]/Tabla1[[#This Row],[KGS]]*1000</f>
        <v>#N/A</v>
      </c>
      <c r="AZ750" s="850" t="e">
        <f>-Tabla1[[#This Row],[COSTO FLETE $ POR BOLSA 5O KG (SIN IVA)]]*20/Tabla1[[#This Row],[TIPO DE CAMBIO]]</f>
        <v>#N/A</v>
      </c>
      <c r="BA750" s="850" t="e">
        <f>+Tabla1[[#This Row],[GASTOS FINANCIEROS $ BOLSA 50 KG (IVA INC)]]*20/Tabla1[[#This Row],[TIPO DE CAMBIO]]</f>
        <v>#VALUE!</v>
      </c>
      <c r="BB750" s="850" t="e">
        <f>+Tabla1[[#This Row],[PRECIO POR TN USD EN CLIENTE A PLAZO (SIN IVA)]]+Tabla1[[#This Row],[COSTO USD FLETE /TN (SIN IVA)]]+Tabla1[[#This Row],[COSTO FINANCIERO USD POR BOLSA 50KG (IVA INC)]]</f>
        <v>#N/A</v>
      </c>
      <c r="BC750" s="828"/>
      <c r="BD750" s="944"/>
    </row>
    <row r="751" spans="1:56" ht="15.75" customHeight="1">
      <c r="A751" s="912">
        <v>46327</v>
      </c>
      <c r="B751" s="853"/>
      <c r="C751" s="792"/>
      <c r="D751" s="829">
        <f>+Tabla1[[#This Row],[FECHA Entrega]]</f>
        <v>0</v>
      </c>
      <c r="E751" s="830"/>
      <c r="F751" s="831"/>
      <c r="G751" s="832"/>
      <c r="H751" s="852"/>
      <c r="I751" s="834"/>
      <c r="J751" s="835"/>
      <c r="K751" s="836">
        <f t="shared" si="154"/>
        <v>0</v>
      </c>
      <c r="L75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51" s="837">
        <f t="shared" si="156"/>
        <v>0</v>
      </c>
      <c r="N751" s="838">
        <f>+Tabla1[[#This Row],[VENTA TOTAL $ (IVA INC) ]]</f>
        <v>0</v>
      </c>
      <c r="O751" s="838">
        <v>0</v>
      </c>
      <c r="P751" s="838">
        <v>0</v>
      </c>
      <c r="Q751" s="839">
        <f>+Tabla1[[#This Row],[VENTA TOTAL $ (IVA INC) ]]</f>
        <v>0</v>
      </c>
      <c r="R751" s="840">
        <f>+Tabla1[[#This Row],[FECHA FC]]+Tabla1[[#This Row],[PLAZO ENTREGA VALORES]]</f>
        <v>0</v>
      </c>
      <c r="S751" s="840">
        <f>+Tabla1[[#This Row],[FECHA FC]]+Tabla1[[#This Row],[PLAZO PAGO (DIAS)]]</f>
        <v>0</v>
      </c>
      <c r="T751" s="834">
        <f t="shared" ca="1" si="155"/>
        <v>-46181</v>
      </c>
      <c r="U751" s="831"/>
      <c r="V751" s="831"/>
      <c r="W751" s="841">
        <f t="shared" si="157"/>
        <v>7</v>
      </c>
      <c r="X751" s="830"/>
      <c r="Y751" s="859"/>
      <c r="Z751" s="860">
        <f>Tabla1[[#This Row],[KGS]]/50</f>
        <v>0</v>
      </c>
      <c r="AA75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51" s="844">
        <f>-Tabla1[[#This Row],[COSTO FLETE $ POR BOLSA 5O KG (SIN IVA)]]*1.21-Tabla1[[#This Row],[PRECIO $/ KG A PLAZO EN CLIENTE ( SIN IVA)]]*0.003*1.21*50</f>
        <v>0</v>
      </c>
      <c r="AC751" s="845" t="e">
        <f>SUM(Tabla1[[#This Row],[PRECIO $ BOLSA 50 KG (IVA INC) ]]+Tabla1[[#This Row],[COSTO FLETE $ BOLSA 50 KG (IVA INC)]])</f>
        <v>#VALUE!</v>
      </c>
      <c r="AD751" s="844" t="e">
        <f>-Tabla1[[#This Row],[PRECIO $ BOLSA 50 KG (IVA INC) ]]*(Tabla1[[#This Row],[TASA FINANCIACION MENSUAL]]/365)*Tabla1[[#This Row],[PLAZO ENTREGA VALORES]]</f>
        <v>#VALUE!</v>
      </c>
      <c r="AE751" s="845" t="e">
        <f>SUM(Tabla1[[#This Row],[PRECIO $ BOLSA50 KG  FOB TUCUMAN A PLAZO (IVA INC)]]+Tabla1[[#This Row],[GASTOS FINANCIEROS $ BOLSA 50 KG (IVA INC)]])</f>
        <v>#VALUE!</v>
      </c>
      <c r="AF751" s="828"/>
      <c r="AG751" s="828"/>
      <c r="AH751" s="828"/>
      <c r="AI751" s="828"/>
      <c r="AJ75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51" s="846" t="e">
        <f>SUM(Tabla1[[#This Row],[PRECIO $ BOLSA 50KG  FOB CDO TUC (IVA INC)]]-Tabla1[[#This Row],[PRECIO REF $ BOLSA 50 KG CACTU (IVA INC)]])</f>
        <v>#VALUE!</v>
      </c>
      <c r="AL751" s="847" t="str">
        <f>IFERROR(Tabla1[[#This Row],[PRECIO $ BOLSA 50KG  FOB CDO TUC (IVA INC)]]/Tabla1[[#This Row],[PRECIO REF $ BOLSA 50 KG CACTU (IVA INC)]]-1,"")</f>
        <v/>
      </c>
      <c r="AM751" s="846" t="e">
        <f>+Tabla1[[#This Row],[DIF $ PRECIO NETO INDUSTRIA vs Neto TUCUMAN (IVA INC)]]*Tabla1[[#This Row],[Q Bolsas Equivalentes 50kg]]</f>
        <v>#VALUE!</v>
      </c>
      <c r="AN751" s="846" t="e">
        <f>Tabla1[[#This Row],[PRECIO REF $ BOLSA 50 KG CACTU (IVA INC)]]*Tabla1[[#This Row],[Q Bolsas Equivalentes 50kg]]</f>
        <v>#VALUE!</v>
      </c>
      <c r="AO751" s="846" t="e">
        <f>+Tabla1[[#This Row],[PRECIO $ BOLSA 50KG  FOB CDO TUC (IVA INC)]]*Tabla1[[#This Row],[Q Bolsas Equivalentes 50kg]]</f>
        <v>#VALUE!</v>
      </c>
      <c r="AP751" s="847"/>
      <c r="AQ751" s="846">
        <v>0</v>
      </c>
      <c r="AR751" s="828"/>
      <c r="AS751" s="849"/>
      <c r="AT751" s="923">
        <f>+Tabla1[[#This Row],[VENTA TOTAL $ (IVA INC) ]]-(SUM(Tabla1[[#This Row],[PENDIENTE DE ENTREGA]:[VALORES COBRADOS]]))</f>
        <v>0</v>
      </c>
      <c r="AU751" s="850" t="e">
        <f>VLOOKUP(Tabla1[[#This Row],[FECHA OC]],'TIPO DE CAMBIO'!A:B,2,TRUE)</f>
        <v>#N/A</v>
      </c>
      <c r="AV751" s="850" t="e">
        <f>+Tabla1[[#This Row],[SUBTOTAL]]/Tabla1[[#This Row],[TIPO DE CAMBIO]]</f>
        <v>#N/A</v>
      </c>
      <c r="AW751" s="851"/>
      <c r="AX751" s="850" t="str">
        <f>IFERROR(Tabla1[[#This Row],[VENTA TOTAL USD A PLAZO EN CLIENTE  (SIN IVA)]]*(1+Tabla1[[#This Row],[% IVA ]]),"")</f>
        <v/>
      </c>
      <c r="AY751" s="850" t="e">
        <f>+Tabla1[[#This Row],[VENTA TOTAL USD A PLAZO EN CLIENTE  (SIN IVA)]]/Tabla1[[#This Row],[KGS]]*1000</f>
        <v>#N/A</v>
      </c>
      <c r="AZ751" s="850" t="e">
        <f>-Tabla1[[#This Row],[COSTO FLETE $ POR BOLSA 5O KG (SIN IVA)]]*20/Tabla1[[#This Row],[TIPO DE CAMBIO]]</f>
        <v>#N/A</v>
      </c>
      <c r="BA751" s="850" t="e">
        <f>+Tabla1[[#This Row],[GASTOS FINANCIEROS $ BOLSA 50 KG (IVA INC)]]*20/Tabla1[[#This Row],[TIPO DE CAMBIO]]</f>
        <v>#VALUE!</v>
      </c>
      <c r="BB751" s="850" t="e">
        <f>+Tabla1[[#This Row],[PRECIO POR TN USD EN CLIENTE A PLAZO (SIN IVA)]]+Tabla1[[#This Row],[COSTO USD FLETE /TN (SIN IVA)]]+Tabla1[[#This Row],[COSTO FINANCIERO USD POR BOLSA 50KG (IVA INC)]]</f>
        <v>#N/A</v>
      </c>
      <c r="BC751" s="828"/>
      <c r="BD751" s="944"/>
    </row>
    <row r="752" spans="1:56" ht="15.75" customHeight="1">
      <c r="A752" s="912">
        <v>46327</v>
      </c>
      <c r="B752" s="853"/>
      <c r="C752" s="792"/>
      <c r="D752" s="829">
        <f>+Tabla1[[#This Row],[FECHA Entrega]]</f>
        <v>0</v>
      </c>
      <c r="E752" s="830"/>
      <c r="F752" s="831"/>
      <c r="G752" s="832"/>
      <c r="H752" s="852"/>
      <c r="I752" s="834"/>
      <c r="J752" s="835"/>
      <c r="K752" s="836">
        <f t="shared" si="154"/>
        <v>0</v>
      </c>
      <c r="L75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52" s="837">
        <f t="shared" si="156"/>
        <v>0</v>
      </c>
      <c r="N752" s="838">
        <f>+Tabla1[[#This Row],[VENTA TOTAL $ (IVA INC) ]]</f>
        <v>0</v>
      </c>
      <c r="O752" s="838">
        <v>0</v>
      </c>
      <c r="P752" s="838">
        <v>0</v>
      </c>
      <c r="Q752" s="839">
        <f>+Tabla1[[#This Row],[VENTA TOTAL $ (IVA INC) ]]</f>
        <v>0</v>
      </c>
      <c r="R752" s="840">
        <f>+Tabla1[[#This Row],[FECHA FC]]+Tabla1[[#This Row],[PLAZO ENTREGA VALORES]]</f>
        <v>0</v>
      </c>
      <c r="S752" s="840">
        <f>+Tabla1[[#This Row],[FECHA FC]]+Tabla1[[#This Row],[PLAZO PAGO (DIAS)]]</f>
        <v>0</v>
      </c>
      <c r="T752" s="834">
        <f t="shared" ca="1" si="155"/>
        <v>-46181</v>
      </c>
      <c r="U752" s="831"/>
      <c r="V752" s="831"/>
      <c r="W752" s="841">
        <f t="shared" si="157"/>
        <v>7</v>
      </c>
      <c r="X752" s="830"/>
      <c r="Y752" s="859"/>
      <c r="Z752" s="860">
        <f>Tabla1[[#This Row],[KGS]]/50</f>
        <v>0</v>
      </c>
      <c r="AA75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52" s="844">
        <f>-Tabla1[[#This Row],[COSTO FLETE $ POR BOLSA 5O KG (SIN IVA)]]*1.21-Tabla1[[#This Row],[PRECIO $/ KG A PLAZO EN CLIENTE ( SIN IVA)]]*0.003*1.21*50</f>
        <v>0</v>
      </c>
      <c r="AC752" s="845" t="e">
        <f>SUM(Tabla1[[#This Row],[PRECIO $ BOLSA 50 KG (IVA INC) ]]+Tabla1[[#This Row],[COSTO FLETE $ BOLSA 50 KG (IVA INC)]])</f>
        <v>#VALUE!</v>
      </c>
      <c r="AD752" s="844" t="e">
        <f>-Tabla1[[#This Row],[PRECIO $ BOLSA 50 KG (IVA INC) ]]*(Tabla1[[#This Row],[TASA FINANCIACION MENSUAL]]/365)*Tabla1[[#This Row],[PLAZO ENTREGA VALORES]]</f>
        <v>#VALUE!</v>
      </c>
      <c r="AE752" s="845" t="e">
        <f>SUM(Tabla1[[#This Row],[PRECIO $ BOLSA50 KG  FOB TUCUMAN A PLAZO (IVA INC)]]+Tabla1[[#This Row],[GASTOS FINANCIEROS $ BOLSA 50 KG (IVA INC)]])</f>
        <v>#VALUE!</v>
      </c>
      <c r="AF752" s="828"/>
      <c r="AG752" s="828"/>
      <c r="AH752" s="828"/>
      <c r="AI752" s="828"/>
      <c r="AJ75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52" s="846" t="e">
        <f>SUM(Tabla1[[#This Row],[PRECIO $ BOLSA 50KG  FOB CDO TUC (IVA INC)]]-Tabla1[[#This Row],[PRECIO REF $ BOLSA 50 KG CACTU (IVA INC)]])</f>
        <v>#VALUE!</v>
      </c>
      <c r="AL752" s="847" t="str">
        <f>IFERROR(Tabla1[[#This Row],[PRECIO $ BOLSA 50KG  FOB CDO TUC (IVA INC)]]/Tabla1[[#This Row],[PRECIO REF $ BOLSA 50 KG CACTU (IVA INC)]]-1,"")</f>
        <v/>
      </c>
      <c r="AM752" s="846" t="e">
        <f>+Tabla1[[#This Row],[DIF $ PRECIO NETO INDUSTRIA vs Neto TUCUMAN (IVA INC)]]*Tabla1[[#This Row],[Q Bolsas Equivalentes 50kg]]</f>
        <v>#VALUE!</v>
      </c>
      <c r="AN752" s="846" t="e">
        <f>Tabla1[[#This Row],[PRECIO REF $ BOLSA 50 KG CACTU (IVA INC)]]*Tabla1[[#This Row],[Q Bolsas Equivalentes 50kg]]</f>
        <v>#VALUE!</v>
      </c>
      <c r="AO752" s="846" t="e">
        <f>+Tabla1[[#This Row],[PRECIO $ BOLSA 50KG  FOB CDO TUC (IVA INC)]]*Tabla1[[#This Row],[Q Bolsas Equivalentes 50kg]]</f>
        <v>#VALUE!</v>
      </c>
      <c r="AP752" s="847"/>
      <c r="AQ752" s="846">
        <v>0</v>
      </c>
      <c r="AR752" s="828"/>
      <c r="AS752" s="849"/>
      <c r="AT752" s="923">
        <f>+Tabla1[[#This Row],[VENTA TOTAL $ (IVA INC) ]]-(SUM(Tabla1[[#This Row],[PENDIENTE DE ENTREGA]:[VALORES COBRADOS]]))</f>
        <v>0</v>
      </c>
      <c r="AU752" s="850" t="e">
        <f>VLOOKUP(Tabla1[[#This Row],[FECHA OC]],'TIPO DE CAMBIO'!A:B,2,TRUE)</f>
        <v>#N/A</v>
      </c>
      <c r="AV752" s="850" t="e">
        <f>+Tabla1[[#This Row],[SUBTOTAL]]/Tabla1[[#This Row],[TIPO DE CAMBIO]]</f>
        <v>#N/A</v>
      </c>
      <c r="AW752" s="851"/>
      <c r="AX752" s="850" t="str">
        <f>IFERROR(Tabla1[[#This Row],[VENTA TOTAL USD A PLAZO EN CLIENTE  (SIN IVA)]]*(1+Tabla1[[#This Row],[% IVA ]]),"")</f>
        <v/>
      </c>
      <c r="AY752" s="850" t="e">
        <f>+Tabla1[[#This Row],[VENTA TOTAL USD A PLAZO EN CLIENTE  (SIN IVA)]]/Tabla1[[#This Row],[KGS]]*1000</f>
        <v>#N/A</v>
      </c>
      <c r="AZ752" s="850" t="e">
        <f>-Tabla1[[#This Row],[COSTO FLETE $ POR BOLSA 5O KG (SIN IVA)]]*20/Tabla1[[#This Row],[TIPO DE CAMBIO]]</f>
        <v>#N/A</v>
      </c>
      <c r="BA752" s="850" t="e">
        <f>+Tabla1[[#This Row],[GASTOS FINANCIEROS $ BOLSA 50 KG (IVA INC)]]*20/Tabla1[[#This Row],[TIPO DE CAMBIO]]</f>
        <v>#VALUE!</v>
      </c>
      <c r="BB752" s="850" t="e">
        <f>+Tabla1[[#This Row],[PRECIO POR TN USD EN CLIENTE A PLAZO (SIN IVA)]]+Tabla1[[#This Row],[COSTO USD FLETE /TN (SIN IVA)]]+Tabla1[[#This Row],[COSTO FINANCIERO USD POR BOLSA 50KG (IVA INC)]]</f>
        <v>#N/A</v>
      </c>
      <c r="BC752" s="828"/>
      <c r="BD752" s="944"/>
    </row>
    <row r="753" spans="1:56" ht="15.75" customHeight="1">
      <c r="A753" s="912">
        <v>46327</v>
      </c>
      <c r="B753" s="853"/>
      <c r="C753" s="792"/>
      <c r="D753" s="829">
        <f>+Tabla1[[#This Row],[FECHA Entrega]]</f>
        <v>0</v>
      </c>
      <c r="E753" s="830"/>
      <c r="F753" s="831"/>
      <c r="G753" s="832"/>
      <c r="H753" s="852"/>
      <c r="I753" s="834"/>
      <c r="J753" s="835"/>
      <c r="K753" s="836">
        <f t="shared" si="154"/>
        <v>0</v>
      </c>
      <c r="L75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53" s="837">
        <f t="shared" si="156"/>
        <v>0</v>
      </c>
      <c r="N753" s="838">
        <f>+Tabla1[[#This Row],[VENTA TOTAL $ (IVA INC) ]]</f>
        <v>0</v>
      </c>
      <c r="O753" s="838">
        <v>0</v>
      </c>
      <c r="P753" s="838">
        <v>0</v>
      </c>
      <c r="Q753" s="839">
        <f>+Tabla1[[#This Row],[VENTA TOTAL $ (IVA INC) ]]</f>
        <v>0</v>
      </c>
      <c r="R753" s="840">
        <f>+Tabla1[[#This Row],[FECHA FC]]+Tabla1[[#This Row],[PLAZO ENTREGA VALORES]]</f>
        <v>0</v>
      </c>
      <c r="S753" s="840">
        <f>+Tabla1[[#This Row],[FECHA FC]]+Tabla1[[#This Row],[PLAZO PAGO (DIAS)]]</f>
        <v>0</v>
      </c>
      <c r="T753" s="834">
        <f t="shared" ca="1" si="155"/>
        <v>-46181</v>
      </c>
      <c r="U753" s="831"/>
      <c r="V753" s="831"/>
      <c r="W753" s="841">
        <f t="shared" si="157"/>
        <v>7</v>
      </c>
      <c r="X753" s="830"/>
      <c r="Y753" s="859"/>
      <c r="Z753" s="860">
        <f>Tabla1[[#This Row],[KGS]]/50</f>
        <v>0</v>
      </c>
      <c r="AA75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53" s="844">
        <f>-Tabla1[[#This Row],[COSTO FLETE $ POR BOLSA 5O KG (SIN IVA)]]*1.21-Tabla1[[#This Row],[PRECIO $/ KG A PLAZO EN CLIENTE ( SIN IVA)]]*0.003*1.21*50</f>
        <v>0</v>
      </c>
      <c r="AC753" s="845" t="e">
        <f>SUM(Tabla1[[#This Row],[PRECIO $ BOLSA 50 KG (IVA INC) ]]+Tabla1[[#This Row],[COSTO FLETE $ BOLSA 50 KG (IVA INC)]])</f>
        <v>#VALUE!</v>
      </c>
      <c r="AD753" s="844" t="e">
        <f>-Tabla1[[#This Row],[PRECIO $ BOLSA 50 KG (IVA INC) ]]*(Tabla1[[#This Row],[TASA FINANCIACION MENSUAL]]/365)*Tabla1[[#This Row],[PLAZO ENTREGA VALORES]]</f>
        <v>#VALUE!</v>
      </c>
      <c r="AE753" s="845" t="e">
        <f>SUM(Tabla1[[#This Row],[PRECIO $ BOLSA50 KG  FOB TUCUMAN A PLAZO (IVA INC)]]+Tabla1[[#This Row],[GASTOS FINANCIEROS $ BOLSA 50 KG (IVA INC)]])</f>
        <v>#VALUE!</v>
      </c>
      <c r="AF753" s="828"/>
      <c r="AG753" s="828"/>
      <c r="AH753" s="828"/>
      <c r="AI753" s="828"/>
      <c r="AJ75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53" s="846" t="e">
        <f>SUM(Tabla1[[#This Row],[PRECIO $ BOLSA 50KG  FOB CDO TUC (IVA INC)]]-Tabla1[[#This Row],[PRECIO REF $ BOLSA 50 KG CACTU (IVA INC)]])</f>
        <v>#VALUE!</v>
      </c>
      <c r="AL753" s="847" t="str">
        <f>IFERROR(Tabla1[[#This Row],[PRECIO $ BOLSA 50KG  FOB CDO TUC (IVA INC)]]/Tabla1[[#This Row],[PRECIO REF $ BOLSA 50 KG CACTU (IVA INC)]]-1,"")</f>
        <v/>
      </c>
      <c r="AM753" s="846" t="e">
        <f>+Tabla1[[#This Row],[DIF $ PRECIO NETO INDUSTRIA vs Neto TUCUMAN (IVA INC)]]*Tabla1[[#This Row],[Q Bolsas Equivalentes 50kg]]</f>
        <v>#VALUE!</v>
      </c>
      <c r="AN753" s="846" t="e">
        <f>Tabla1[[#This Row],[PRECIO REF $ BOLSA 50 KG CACTU (IVA INC)]]*Tabla1[[#This Row],[Q Bolsas Equivalentes 50kg]]</f>
        <v>#VALUE!</v>
      </c>
      <c r="AO753" s="846" t="e">
        <f>+Tabla1[[#This Row],[PRECIO $ BOLSA 50KG  FOB CDO TUC (IVA INC)]]*Tabla1[[#This Row],[Q Bolsas Equivalentes 50kg]]</f>
        <v>#VALUE!</v>
      </c>
      <c r="AP753" s="847"/>
      <c r="AQ753" s="846">
        <v>0</v>
      </c>
      <c r="AR753" s="828"/>
      <c r="AS753" s="849"/>
      <c r="AT753" s="923">
        <f>+Tabla1[[#This Row],[VENTA TOTAL $ (IVA INC) ]]-(SUM(Tabla1[[#This Row],[PENDIENTE DE ENTREGA]:[VALORES COBRADOS]]))</f>
        <v>0</v>
      </c>
      <c r="AU753" s="850" t="e">
        <f>VLOOKUP(Tabla1[[#This Row],[FECHA OC]],'TIPO DE CAMBIO'!A:B,2,TRUE)</f>
        <v>#N/A</v>
      </c>
      <c r="AV753" s="850" t="e">
        <f>+Tabla1[[#This Row],[SUBTOTAL]]/Tabla1[[#This Row],[TIPO DE CAMBIO]]</f>
        <v>#N/A</v>
      </c>
      <c r="AW753" s="851"/>
      <c r="AX753" s="850" t="str">
        <f>IFERROR(Tabla1[[#This Row],[VENTA TOTAL USD A PLAZO EN CLIENTE  (SIN IVA)]]*(1+Tabla1[[#This Row],[% IVA ]]),"")</f>
        <v/>
      </c>
      <c r="AY753" s="850" t="e">
        <f>+Tabla1[[#This Row],[VENTA TOTAL USD A PLAZO EN CLIENTE  (SIN IVA)]]/Tabla1[[#This Row],[KGS]]*1000</f>
        <v>#N/A</v>
      </c>
      <c r="AZ753" s="850" t="e">
        <f>-Tabla1[[#This Row],[COSTO FLETE $ POR BOLSA 5O KG (SIN IVA)]]*20/Tabla1[[#This Row],[TIPO DE CAMBIO]]</f>
        <v>#N/A</v>
      </c>
      <c r="BA753" s="850" t="e">
        <f>+Tabla1[[#This Row],[GASTOS FINANCIEROS $ BOLSA 50 KG (IVA INC)]]*20/Tabla1[[#This Row],[TIPO DE CAMBIO]]</f>
        <v>#VALUE!</v>
      </c>
      <c r="BB753" s="850" t="e">
        <f>+Tabla1[[#This Row],[PRECIO POR TN USD EN CLIENTE A PLAZO (SIN IVA)]]+Tabla1[[#This Row],[COSTO USD FLETE /TN (SIN IVA)]]+Tabla1[[#This Row],[COSTO FINANCIERO USD POR BOLSA 50KG (IVA INC)]]</f>
        <v>#N/A</v>
      </c>
      <c r="BC753" s="848"/>
      <c r="BD753" s="944"/>
    </row>
    <row r="754" spans="1:56" ht="15.75" customHeight="1">
      <c r="A754" s="912">
        <v>46327</v>
      </c>
      <c r="B754" s="853"/>
      <c r="C754" s="792"/>
      <c r="D754" s="829">
        <f>+Tabla1[[#This Row],[FECHA Entrega]]</f>
        <v>0</v>
      </c>
      <c r="E754" s="830"/>
      <c r="F754" s="831"/>
      <c r="G754" s="832"/>
      <c r="H754" s="852"/>
      <c r="I754" s="834"/>
      <c r="J754" s="835"/>
      <c r="K754" s="836">
        <f t="shared" si="154"/>
        <v>0</v>
      </c>
      <c r="L75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54" s="837">
        <f t="shared" si="156"/>
        <v>0</v>
      </c>
      <c r="N754" s="838">
        <f>+Tabla1[[#This Row],[VENTA TOTAL $ (IVA INC) ]]</f>
        <v>0</v>
      </c>
      <c r="O754" s="838">
        <v>0</v>
      </c>
      <c r="P754" s="838">
        <v>0</v>
      </c>
      <c r="Q754" s="839">
        <f>+Tabla1[[#This Row],[VENTA TOTAL $ (IVA INC) ]]</f>
        <v>0</v>
      </c>
      <c r="R754" s="840">
        <f>+Tabla1[[#This Row],[FECHA FC]]+Tabla1[[#This Row],[PLAZO ENTREGA VALORES]]</f>
        <v>0</v>
      </c>
      <c r="S754" s="840">
        <f>+Tabla1[[#This Row],[FECHA FC]]+Tabla1[[#This Row],[PLAZO PAGO (DIAS)]]</f>
        <v>0</v>
      </c>
      <c r="T754" s="834">
        <f t="shared" ca="1" si="155"/>
        <v>-46181</v>
      </c>
      <c r="U754" s="831"/>
      <c r="V754" s="831"/>
      <c r="W754" s="841">
        <f t="shared" si="157"/>
        <v>7</v>
      </c>
      <c r="X754" s="830"/>
      <c r="Y754" s="859"/>
      <c r="Z754" s="860">
        <f>Tabla1[[#This Row],[KGS]]/50</f>
        <v>0</v>
      </c>
      <c r="AA75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54" s="844">
        <f>-Tabla1[[#This Row],[COSTO FLETE $ POR BOLSA 5O KG (SIN IVA)]]*1.21-Tabla1[[#This Row],[PRECIO $/ KG A PLAZO EN CLIENTE ( SIN IVA)]]*0.003*1.21*50</f>
        <v>0</v>
      </c>
      <c r="AC754" s="845" t="e">
        <f>SUM(Tabla1[[#This Row],[PRECIO $ BOLSA 50 KG (IVA INC) ]]+Tabla1[[#This Row],[COSTO FLETE $ BOLSA 50 KG (IVA INC)]])</f>
        <v>#VALUE!</v>
      </c>
      <c r="AD754" s="844" t="e">
        <f>-Tabla1[[#This Row],[PRECIO $ BOLSA 50 KG (IVA INC) ]]*(Tabla1[[#This Row],[TASA FINANCIACION MENSUAL]]/365)*Tabla1[[#This Row],[PLAZO ENTREGA VALORES]]</f>
        <v>#VALUE!</v>
      </c>
      <c r="AE754" s="845" t="e">
        <f>SUM(Tabla1[[#This Row],[PRECIO $ BOLSA50 KG  FOB TUCUMAN A PLAZO (IVA INC)]]+Tabla1[[#This Row],[GASTOS FINANCIEROS $ BOLSA 50 KG (IVA INC)]])</f>
        <v>#VALUE!</v>
      </c>
      <c r="AF754" s="828"/>
      <c r="AG754" s="828"/>
      <c r="AH754" s="828"/>
      <c r="AI754" s="828"/>
      <c r="AJ75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54" s="846" t="e">
        <f>SUM(Tabla1[[#This Row],[PRECIO $ BOLSA 50KG  FOB CDO TUC (IVA INC)]]-Tabla1[[#This Row],[PRECIO REF $ BOLSA 50 KG CACTU (IVA INC)]])</f>
        <v>#VALUE!</v>
      </c>
      <c r="AL754" s="847" t="str">
        <f>IFERROR(Tabla1[[#This Row],[PRECIO $ BOLSA 50KG  FOB CDO TUC (IVA INC)]]/Tabla1[[#This Row],[PRECIO REF $ BOLSA 50 KG CACTU (IVA INC)]]-1,"")</f>
        <v/>
      </c>
      <c r="AM754" s="846" t="e">
        <f>+Tabla1[[#This Row],[DIF $ PRECIO NETO INDUSTRIA vs Neto TUCUMAN (IVA INC)]]*Tabla1[[#This Row],[Q Bolsas Equivalentes 50kg]]</f>
        <v>#VALUE!</v>
      </c>
      <c r="AN754" s="846" t="e">
        <f>Tabla1[[#This Row],[PRECIO REF $ BOLSA 50 KG CACTU (IVA INC)]]*Tabla1[[#This Row],[Q Bolsas Equivalentes 50kg]]</f>
        <v>#VALUE!</v>
      </c>
      <c r="AO754" s="846" t="e">
        <f>+Tabla1[[#This Row],[PRECIO $ BOLSA 50KG  FOB CDO TUC (IVA INC)]]*Tabla1[[#This Row],[Q Bolsas Equivalentes 50kg]]</f>
        <v>#VALUE!</v>
      </c>
      <c r="AP754" s="847"/>
      <c r="AQ754" s="846">
        <v>0</v>
      </c>
      <c r="AR754" s="828"/>
      <c r="AS754" s="849"/>
      <c r="AT754" s="923">
        <f>+Tabla1[[#This Row],[VENTA TOTAL $ (IVA INC) ]]-(SUM(Tabla1[[#This Row],[PENDIENTE DE ENTREGA]:[VALORES COBRADOS]]))</f>
        <v>0</v>
      </c>
      <c r="AU754" s="850" t="e">
        <f>VLOOKUP(Tabla1[[#This Row],[FECHA OC]],'TIPO DE CAMBIO'!A:B,2,TRUE)</f>
        <v>#N/A</v>
      </c>
      <c r="AV754" s="850" t="e">
        <f>+Tabla1[[#This Row],[SUBTOTAL]]/Tabla1[[#This Row],[TIPO DE CAMBIO]]</f>
        <v>#N/A</v>
      </c>
      <c r="AW754" s="851"/>
      <c r="AX754" s="850" t="str">
        <f>IFERROR(Tabla1[[#This Row],[VENTA TOTAL USD A PLAZO EN CLIENTE  (SIN IVA)]]*(1+Tabla1[[#This Row],[% IVA ]]),"")</f>
        <v/>
      </c>
      <c r="AY754" s="850" t="e">
        <f>+Tabla1[[#This Row],[VENTA TOTAL USD A PLAZO EN CLIENTE  (SIN IVA)]]/Tabla1[[#This Row],[KGS]]*1000</f>
        <v>#N/A</v>
      </c>
      <c r="AZ754" s="850" t="e">
        <f>-Tabla1[[#This Row],[COSTO FLETE $ POR BOLSA 5O KG (SIN IVA)]]*20/Tabla1[[#This Row],[TIPO DE CAMBIO]]</f>
        <v>#N/A</v>
      </c>
      <c r="BA754" s="850" t="e">
        <f>+Tabla1[[#This Row],[GASTOS FINANCIEROS $ BOLSA 50 KG (IVA INC)]]*20/Tabla1[[#This Row],[TIPO DE CAMBIO]]</f>
        <v>#VALUE!</v>
      </c>
      <c r="BB754" s="850" t="e">
        <f>+Tabla1[[#This Row],[PRECIO POR TN USD EN CLIENTE A PLAZO (SIN IVA)]]+Tabla1[[#This Row],[COSTO USD FLETE /TN (SIN IVA)]]+Tabla1[[#This Row],[COSTO FINANCIERO USD POR BOLSA 50KG (IVA INC)]]</f>
        <v>#N/A</v>
      </c>
      <c r="BC754" s="848"/>
      <c r="BD754" s="944"/>
    </row>
    <row r="755" spans="1:56" ht="15.75" customHeight="1">
      <c r="A755" s="912">
        <v>46327</v>
      </c>
      <c r="B755" s="853"/>
      <c r="C755" s="792"/>
      <c r="D755" s="829">
        <f>+Tabla1[[#This Row],[FECHA Entrega]]</f>
        <v>0</v>
      </c>
      <c r="E755" s="830"/>
      <c r="F755" s="831"/>
      <c r="G755" s="832"/>
      <c r="H755" s="852"/>
      <c r="I755" s="834"/>
      <c r="J755" s="835"/>
      <c r="K755" s="836">
        <f t="shared" si="154"/>
        <v>0</v>
      </c>
      <c r="L75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55" s="837">
        <f t="shared" si="156"/>
        <v>0</v>
      </c>
      <c r="N755" s="838">
        <f>+Tabla1[[#This Row],[VENTA TOTAL $ (IVA INC) ]]</f>
        <v>0</v>
      </c>
      <c r="O755" s="838">
        <v>0</v>
      </c>
      <c r="P755" s="838">
        <v>0</v>
      </c>
      <c r="Q755" s="839">
        <f>+Tabla1[[#This Row],[VENTA TOTAL $ (IVA INC) ]]</f>
        <v>0</v>
      </c>
      <c r="R755" s="840">
        <f>+Tabla1[[#This Row],[FECHA FC]]+Tabla1[[#This Row],[PLAZO ENTREGA VALORES]]</f>
        <v>0</v>
      </c>
      <c r="S755" s="840">
        <f>+Tabla1[[#This Row],[FECHA FC]]+Tabla1[[#This Row],[PLAZO PAGO (DIAS)]]</f>
        <v>0</v>
      </c>
      <c r="T755" s="834">
        <f t="shared" ca="1" si="155"/>
        <v>-46181</v>
      </c>
      <c r="U755" s="831"/>
      <c r="V755" s="831"/>
      <c r="W755" s="841">
        <f t="shared" si="157"/>
        <v>7</v>
      </c>
      <c r="X755" s="830"/>
      <c r="Y755" s="859"/>
      <c r="Z755" s="860">
        <f>Tabla1[[#This Row],[KGS]]/50</f>
        <v>0</v>
      </c>
      <c r="AA75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55" s="844">
        <f>-Tabla1[[#This Row],[COSTO FLETE $ POR BOLSA 5O KG (SIN IVA)]]*1.21-Tabla1[[#This Row],[PRECIO $/ KG A PLAZO EN CLIENTE ( SIN IVA)]]*0.003*1.21*50</f>
        <v>0</v>
      </c>
      <c r="AC755" s="845" t="e">
        <f>SUM(Tabla1[[#This Row],[PRECIO $ BOLSA 50 KG (IVA INC) ]]+Tabla1[[#This Row],[COSTO FLETE $ BOLSA 50 KG (IVA INC)]])</f>
        <v>#VALUE!</v>
      </c>
      <c r="AD755" s="844" t="e">
        <f>-Tabla1[[#This Row],[PRECIO $ BOLSA 50 KG (IVA INC) ]]*(Tabla1[[#This Row],[TASA FINANCIACION MENSUAL]]/365)*Tabla1[[#This Row],[PLAZO ENTREGA VALORES]]</f>
        <v>#VALUE!</v>
      </c>
      <c r="AE755" s="845" t="e">
        <f>SUM(Tabla1[[#This Row],[PRECIO $ BOLSA50 KG  FOB TUCUMAN A PLAZO (IVA INC)]]+Tabla1[[#This Row],[GASTOS FINANCIEROS $ BOLSA 50 KG (IVA INC)]])</f>
        <v>#VALUE!</v>
      </c>
      <c r="AF755" s="828"/>
      <c r="AG755" s="828"/>
      <c r="AH755" s="828"/>
      <c r="AI755" s="828"/>
      <c r="AJ75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55" s="846" t="e">
        <f>SUM(Tabla1[[#This Row],[PRECIO $ BOLSA 50KG  FOB CDO TUC (IVA INC)]]-Tabla1[[#This Row],[PRECIO REF $ BOLSA 50 KG CACTU (IVA INC)]])</f>
        <v>#VALUE!</v>
      </c>
      <c r="AL755" s="847" t="str">
        <f>IFERROR(Tabla1[[#This Row],[PRECIO $ BOLSA 50KG  FOB CDO TUC (IVA INC)]]/Tabla1[[#This Row],[PRECIO REF $ BOLSA 50 KG CACTU (IVA INC)]]-1,"")</f>
        <v/>
      </c>
      <c r="AM755" s="846" t="e">
        <f>+Tabla1[[#This Row],[DIF $ PRECIO NETO INDUSTRIA vs Neto TUCUMAN (IVA INC)]]*Tabla1[[#This Row],[Q Bolsas Equivalentes 50kg]]</f>
        <v>#VALUE!</v>
      </c>
      <c r="AN755" s="846" t="e">
        <f>Tabla1[[#This Row],[PRECIO REF $ BOLSA 50 KG CACTU (IVA INC)]]*Tabla1[[#This Row],[Q Bolsas Equivalentes 50kg]]</f>
        <v>#VALUE!</v>
      </c>
      <c r="AO755" s="846" t="e">
        <f>+Tabla1[[#This Row],[PRECIO $ BOLSA 50KG  FOB CDO TUC (IVA INC)]]*Tabla1[[#This Row],[Q Bolsas Equivalentes 50kg]]</f>
        <v>#VALUE!</v>
      </c>
      <c r="AP755" s="847"/>
      <c r="AQ755" s="846">
        <v>0</v>
      </c>
      <c r="AR755" s="828"/>
      <c r="AS755" s="849"/>
      <c r="AT755" s="923">
        <f>+Tabla1[[#This Row],[VENTA TOTAL $ (IVA INC) ]]-(SUM(Tabla1[[#This Row],[PENDIENTE DE ENTREGA]:[VALORES COBRADOS]]))</f>
        <v>0</v>
      </c>
      <c r="AU755" s="850" t="e">
        <f>VLOOKUP(Tabla1[[#This Row],[FECHA OC]],'TIPO DE CAMBIO'!A:B,2,TRUE)</f>
        <v>#N/A</v>
      </c>
      <c r="AV755" s="850" t="e">
        <f>+Tabla1[[#This Row],[SUBTOTAL]]/Tabla1[[#This Row],[TIPO DE CAMBIO]]</f>
        <v>#N/A</v>
      </c>
      <c r="AW755" s="851"/>
      <c r="AX755" s="850" t="str">
        <f>IFERROR(Tabla1[[#This Row],[VENTA TOTAL USD A PLAZO EN CLIENTE  (SIN IVA)]]*(1+Tabla1[[#This Row],[% IVA ]]),"")</f>
        <v/>
      </c>
      <c r="AY755" s="850" t="e">
        <f>+Tabla1[[#This Row],[VENTA TOTAL USD A PLAZO EN CLIENTE  (SIN IVA)]]/Tabla1[[#This Row],[KGS]]*1000</f>
        <v>#N/A</v>
      </c>
      <c r="AZ755" s="850" t="e">
        <f>-Tabla1[[#This Row],[COSTO FLETE $ POR BOLSA 5O KG (SIN IVA)]]*20/Tabla1[[#This Row],[TIPO DE CAMBIO]]</f>
        <v>#N/A</v>
      </c>
      <c r="BA755" s="850" t="e">
        <f>+Tabla1[[#This Row],[GASTOS FINANCIEROS $ BOLSA 50 KG (IVA INC)]]*20/Tabla1[[#This Row],[TIPO DE CAMBIO]]</f>
        <v>#VALUE!</v>
      </c>
      <c r="BB755" s="850" t="e">
        <f>+Tabla1[[#This Row],[PRECIO POR TN USD EN CLIENTE A PLAZO (SIN IVA)]]+Tabla1[[#This Row],[COSTO USD FLETE /TN (SIN IVA)]]+Tabla1[[#This Row],[COSTO FINANCIERO USD POR BOLSA 50KG (IVA INC)]]</f>
        <v>#N/A</v>
      </c>
      <c r="BC755" s="848"/>
      <c r="BD755" s="944"/>
    </row>
    <row r="756" spans="1:56" ht="15.75" customHeight="1">
      <c r="A756" s="912">
        <v>46327</v>
      </c>
      <c r="B756" s="853"/>
      <c r="C756" s="792"/>
      <c r="D756" s="829">
        <f>+Tabla1[[#This Row],[FECHA Entrega]]</f>
        <v>0</v>
      </c>
      <c r="E756" s="830"/>
      <c r="F756" s="831"/>
      <c r="G756" s="832"/>
      <c r="H756" s="852"/>
      <c r="I756" s="834"/>
      <c r="J756" s="835"/>
      <c r="K756" s="836">
        <f t="shared" si="154"/>
        <v>0</v>
      </c>
      <c r="L75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56" s="837">
        <f t="shared" si="156"/>
        <v>0</v>
      </c>
      <c r="N756" s="838">
        <f>+Tabla1[[#This Row],[VENTA TOTAL $ (IVA INC) ]]</f>
        <v>0</v>
      </c>
      <c r="O756" s="838">
        <v>0</v>
      </c>
      <c r="P756" s="838">
        <v>0</v>
      </c>
      <c r="Q756" s="839">
        <f>+Tabla1[[#This Row],[VENTA TOTAL $ (IVA INC) ]]</f>
        <v>0</v>
      </c>
      <c r="R756" s="840">
        <f>+Tabla1[[#This Row],[FECHA FC]]+Tabla1[[#This Row],[PLAZO ENTREGA VALORES]]</f>
        <v>0</v>
      </c>
      <c r="S756" s="840">
        <f>+Tabla1[[#This Row],[FECHA FC]]+Tabla1[[#This Row],[PLAZO PAGO (DIAS)]]</f>
        <v>0</v>
      </c>
      <c r="T756" s="834">
        <f t="shared" ca="1" si="155"/>
        <v>-46181</v>
      </c>
      <c r="U756" s="831"/>
      <c r="V756" s="831"/>
      <c r="W756" s="841">
        <f t="shared" si="157"/>
        <v>7</v>
      </c>
      <c r="X756" s="830"/>
      <c r="Y756" s="859"/>
      <c r="Z756" s="860">
        <f>Tabla1[[#This Row],[KGS]]/50</f>
        <v>0</v>
      </c>
      <c r="AA75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56" s="844">
        <f>-Tabla1[[#This Row],[COSTO FLETE $ POR BOLSA 5O KG (SIN IVA)]]*1.21-Tabla1[[#This Row],[PRECIO $/ KG A PLAZO EN CLIENTE ( SIN IVA)]]*0.003*1.21*50</f>
        <v>0</v>
      </c>
      <c r="AC756" s="845" t="e">
        <f>SUM(Tabla1[[#This Row],[PRECIO $ BOLSA 50 KG (IVA INC) ]]+Tabla1[[#This Row],[COSTO FLETE $ BOLSA 50 KG (IVA INC)]])</f>
        <v>#VALUE!</v>
      </c>
      <c r="AD756" s="844" t="e">
        <f>-Tabla1[[#This Row],[PRECIO $ BOLSA 50 KG (IVA INC) ]]*(Tabla1[[#This Row],[TASA FINANCIACION MENSUAL]]/365)*Tabla1[[#This Row],[PLAZO ENTREGA VALORES]]</f>
        <v>#VALUE!</v>
      </c>
      <c r="AE756" s="845" t="e">
        <f>SUM(Tabla1[[#This Row],[PRECIO $ BOLSA50 KG  FOB TUCUMAN A PLAZO (IVA INC)]]+Tabla1[[#This Row],[GASTOS FINANCIEROS $ BOLSA 50 KG (IVA INC)]])</f>
        <v>#VALUE!</v>
      </c>
      <c r="AF756" s="828"/>
      <c r="AG756" s="828"/>
      <c r="AH756" s="828"/>
      <c r="AI756" s="828"/>
      <c r="AJ75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56" s="846" t="e">
        <f>SUM(Tabla1[[#This Row],[PRECIO $ BOLSA 50KG  FOB CDO TUC (IVA INC)]]-Tabla1[[#This Row],[PRECIO REF $ BOLSA 50 KG CACTU (IVA INC)]])</f>
        <v>#VALUE!</v>
      </c>
      <c r="AL756" s="847" t="str">
        <f>IFERROR(Tabla1[[#This Row],[PRECIO $ BOLSA 50KG  FOB CDO TUC (IVA INC)]]/Tabla1[[#This Row],[PRECIO REF $ BOLSA 50 KG CACTU (IVA INC)]]-1,"")</f>
        <v/>
      </c>
      <c r="AM756" s="846" t="e">
        <f>+Tabla1[[#This Row],[DIF $ PRECIO NETO INDUSTRIA vs Neto TUCUMAN (IVA INC)]]*Tabla1[[#This Row],[Q Bolsas Equivalentes 50kg]]</f>
        <v>#VALUE!</v>
      </c>
      <c r="AN756" s="846" t="e">
        <f>Tabla1[[#This Row],[PRECIO REF $ BOLSA 50 KG CACTU (IVA INC)]]*Tabla1[[#This Row],[Q Bolsas Equivalentes 50kg]]</f>
        <v>#VALUE!</v>
      </c>
      <c r="AO756" s="846" t="e">
        <f>+Tabla1[[#This Row],[PRECIO $ BOLSA 50KG  FOB CDO TUC (IVA INC)]]*Tabla1[[#This Row],[Q Bolsas Equivalentes 50kg]]</f>
        <v>#VALUE!</v>
      </c>
      <c r="AP756" s="847"/>
      <c r="AQ756" s="846">
        <v>0</v>
      </c>
      <c r="AR756" s="828"/>
      <c r="AS756" s="849"/>
      <c r="AT756" s="923">
        <f>+Tabla1[[#This Row],[VENTA TOTAL $ (IVA INC) ]]-(SUM(Tabla1[[#This Row],[PENDIENTE DE ENTREGA]:[VALORES COBRADOS]]))</f>
        <v>0</v>
      </c>
      <c r="AU756" s="850" t="e">
        <f>VLOOKUP(Tabla1[[#This Row],[FECHA OC]],'TIPO DE CAMBIO'!A:B,2,TRUE)</f>
        <v>#N/A</v>
      </c>
      <c r="AV756" s="850" t="e">
        <f>+Tabla1[[#This Row],[SUBTOTAL]]/Tabla1[[#This Row],[TIPO DE CAMBIO]]</f>
        <v>#N/A</v>
      </c>
      <c r="AW756" s="851"/>
      <c r="AX756" s="850" t="str">
        <f>IFERROR(Tabla1[[#This Row],[VENTA TOTAL USD A PLAZO EN CLIENTE  (SIN IVA)]]*(1+Tabla1[[#This Row],[% IVA ]]),"")</f>
        <v/>
      </c>
      <c r="AY756" s="850" t="e">
        <f>+Tabla1[[#This Row],[VENTA TOTAL USD A PLAZO EN CLIENTE  (SIN IVA)]]/Tabla1[[#This Row],[KGS]]*1000</f>
        <v>#N/A</v>
      </c>
      <c r="AZ756" s="850" t="e">
        <f>-Tabla1[[#This Row],[COSTO FLETE $ POR BOLSA 5O KG (SIN IVA)]]*20/Tabla1[[#This Row],[TIPO DE CAMBIO]]</f>
        <v>#N/A</v>
      </c>
      <c r="BA756" s="850" t="e">
        <f>+Tabla1[[#This Row],[GASTOS FINANCIEROS $ BOLSA 50 KG (IVA INC)]]*20/Tabla1[[#This Row],[TIPO DE CAMBIO]]</f>
        <v>#VALUE!</v>
      </c>
      <c r="BB756" s="850" t="e">
        <f>+Tabla1[[#This Row],[PRECIO POR TN USD EN CLIENTE A PLAZO (SIN IVA)]]+Tabla1[[#This Row],[COSTO USD FLETE /TN (SIN IVA)]]+Tabla1[[#This Row],[COSTO FINANCIERO USD POR BOLSA 50KG (IVA INC)]]</f>
        <v>#N/A</v>
      </c>
      <c r="BC756" s="848"/>
      <c r="BD756" s="944"/>
    </row>
    <row r="757" spans="1:56" ht="15.75" customHeight="1">
      <c r="A757" s="912">
        <v>46327</v>
      </c>
      <c r="B757" s="853"/>
      <c r="C757" s="792"/>
      <c r="D757" s="829">
        <f>+Tabla1[[#This Row],[FECHA Entrega]]</f>
        <v>0</v>
      </c>
      <c r="E757" s="830"/>
      <c r="F757" s="831"/>
      <c r="G757" s="832"/>
      <c r="H757" s="852"/>
      <c r="I757" s="834"/>
      <c r="J757" s="835"/>
      <c r="K757" s="836">
        <f t="shared" si="154"/>
        <v>0</v>
      </c>
      <c r="L75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57" s="837">
        <f t="shared" si="156"/>
        <v>0</v>
      </c>
      <c r="N757" s="838">
        <f>+Tabla1[[#This Row],[VENTA TOTAL $ (IVA INC) ]]</f>
        <v>0</v>
      </c>
      <c r="O757" s="838">
        <v>0</v>
      </c>
      <c r="P757" s="838">
        <v>0</v>
      </c>
      <c r="Q757" s="839">
        <f>+Tabla1[[#This Row],[VENTA TOTAL $ (IVA INC) ]]</f>
        <v>0</v>
      </c>
      <c r="R757" s="840">
        <f>+Tabla1[[#This Row],[FECHA FC]]+Tabla1[[#This Row],[PLAZO ENTREGA VALORES]]</f>
        <v>0</v>
      </c>
      <c r="S757" s="840">
        <f>+Tabla1[[#This Row],[FECHA FC]]+Tabla1[[#This Row],[PLAZO PAGO (DIAS)]]</f>
        <v>0</v>
      </c>
      <c r="T757" s="834">
        <f t="shared" ca="1" si="155"/>
        <v>-46181</v>
      </c>
      <c r="U757" s="831"/>
      <c r="V757" s="831"/>
      <c r="W757" s="841">
        <f t="shared" si="157"/>
        <v>7</v>
      </c>
      <c r="X757" s="830"/>
      <c r="Y757" s="859"/>
      <c r="Z757" s="860">
        <f>Tabla1[[#This Row],[KGS]]/50</f>
        <v>0</v>
      </c>
      <c r="AA75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57" s="844">
        <f>-Tabla1[[#This Row],[COSTO FLETE $ POR BOLSA 5O KG (SIN IVA)]]*1.21-Tabla1[[#This Row],[PRECIO $/ KG A PLAZO EN CLIENTE ( SIN IVA)]]*0.003*1.21*50</f>
        <v>0</v>
      </c>
      <c r="AC757" s="845" t="e">
        <f>SUM(Tabla1[[#This Row],[PRECIO $ BOLSA 50 KG (IVA INC) ]]+Tabla1[[#This Row],[COSTO FLETE $ BOLSA 50 KG (IVA INC)]])</f>
        <v>#VALUE!</v>
      </c>
      <c r="AD757" s="844" t="e">
        <f>-Tabla1[[#This Row],[PRECIO $ BOLSA 50 KG (IVA INC) ]]*(Tabla1[[#This Row],[TASA FINANCIACION MENSUAL]]/365)*Tabla1[[#This Row],[PLAZO ENTREGA VALORES]]</f>
        <v>#VALUE!</v>
      </c>
      <c r="AE757" s="845" t="e">
        <f>SUM(Tabla1[[#This Row],[PRECIO $ BOLSA50 KG  FOB TUCUMAN A PLAZO (IVA INC)]]+Tabla1[[#This Row],[GASTOS FINANCIEROS $ BOLSA 50 KG (IVA INC)]])</f>
        <v>#VALUE!</v>
      </c>
      <c r="AF757" s="828"/>
      <c r="AG757" s="828"/>
      <c r="AH757" s="828"/>
      <c r="AI757" s="828"/>
      <c r="AJ75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57" s="846" t="e">
        <f>SUM(Tabla1[[#This Row],[PRECIO $ BOLSA 50KG  FOB CDO TUC (IVA INC)]]-Tabla1[[#This Row],[PRECIO REF $ BOLSA 50 KG CACTU (IVA INC)]])</f>
        <v>#VALUE!</v>
      </c>
      <c r="AL757" s="847" t="str">
        <f>IFERROR(Tabla1[[#This Row],[PRECIO $ BOLSA 50KG  FOB CDO TUC (IVA INC)]]/Tabla1[[#This Row],[PRECIO REF $ BOLSA 50 KG CACTU (IVA INC)]]-1,"")</f>
        <v/>
      </c>
      <c r="AM757" s="846" t="e">
        <f>+Tabla1[[#This Row],[DIF $ PRECIO NETO INDUSTRIA vs Neto TUCUMAN (IVA INC)]]*Tabla1[[#This Row],[Q Bolsas Equivalentes 50kg]]</f>
        <v>#VALUE!</v>
      </c>
      <c r="AN757" s="846" t="e">
        <f>Tabla1[[#This Row],[PRECIO REF $ BOLSA 50 KG CACTU (IVA INC)]]*Tabla1[[#This Row],[Q Bolsas Equivalentes 50kg]]</f>
        <v>#VALUE!</v>
      </c>
      <c r="AO757" s="846" t="e">
        <f>+Tabla1[[#This Row],[PRECIO $ BOLSA 50KG  FOB CDO TUC (IVA INC)]]*Tabla1[[#This Row],[Q Bolsas Equivalentes 50kg]]</f>
        <v>#VALUE!</v>
      </c>
      <c r="AP757" s="847"/>
      <c r="AQ757" s="846">
        <v>0</v>
      </c>
      <c r="AR757" s="828"/>
      <c r="AS757" s="849"/>
      <c r="AT757" s="923">
        <f>+Tabla1[[#This Row],[VENTA TOTAL $ (IVA INC) ]]-(SUM(Tabla1[[#This Row],[PENDIENTE DE ENTREGA]:[VALORES COBRADOS]]))</f>
        <v>0</v>
      </c>
      <c r="AU757" s="850" t="e">
        <f>VLOOKUP(Tabla1[[#This Row],[FECHA OC]],'TIPO DE CAMBIO'!A:B,2,TRUE)</f>
        <v>#N/A</v>
      </c>
      <c r="AV757" s="850" t="e">
        <f>+Tabla1[[#This Row],[SUBTOTAL]]/Tabla1[[#This Row],[TIPO DE CAMBIO]]</f>
        <v>#N/A</v>
      </c>
      <c r="AW757" s="851"/>
      <c r="AX757" s="850" t="str">
        <f>IFERROR(Tabla1[[#This Row],[VENTA TOTAL USD A PLAZO EN CLIENTE  (SIN IVA)]]*(1+Tabla1[[#This Row],[% IVA ]]),"")</f>
        <v/>
      </c>
      <c r="AY757" s="850" t="e">
        <f>+Tabla1[[#This Row],[VENTA TOTAL USD A PLAZO EN CLIENTE  (SIN IVA)]]/Tabla1[[#This Row],[KGS]]*1000</f>
        <v>#N/A</v>
      </c>
      <c r="AZ757" s="850" t="e">
        <f>-Tabla1[[#This Row],[COSTO FLETE $ POR BOLSA 5O KG (SIN IVA)]]*20/Tabla1[[#This Row],[TIPO DE CAMBIO]]</f>
        <v>#N/A</v>
      </c>
      <c r="BA757" s="850" t="e">
        <f>+Tabla1[[#This Row],[GASTOS FINANCIEROS $ BOLSA 50 KG (IVA INC)]]*20/Tabla1[[#This Row],[TIPO DE CAMBIO]]</f>
        <v>#VALUE!</v>
      </c>
      <c r="BB757" s="850" t="e">
        <f>+Tabla1[[#This Row],[PRECIO POR TN USD EN CLIENTE A PLAZO (SIN IVA)]]+Tabla1[[#This Row],[COSTO USD FLETE /TN (SIN IVA)]]+Tabla1[[#This Row],[COSTO FINANCIERO USD POR BOLSA 50KG (IVA INC)]]</f>
        <v>#N/A</v>
      </c>
      <c r="BC757" s="848"/>
      <c r="BD757" s="944"/>
    </row>
    <row r="758" spans="1:56" ht="15.75" customHeight="1">
      <c r="A758" s="912">
        <v>46327</v>
      </c>
      <c r="B758" s="853"/>
      <c r="C758" s="792"/>
      <c r="D758" s="829">
        <f>+Tabla1[[#This Row],[FECHA Entrega]]</f>
        <v>0</v>
      </c>
      <c r="E758" s="830"/>
      <c r="F758" s="831"/>
      <c r="G758" s="832"/>
      <c r="H758" s="852"/>
      <c r="I758" s="834"/>
      <c r="J758" s="835"/>
      <c r="K758" s="836">
        <f t="shared" si="154"/>
        <v>0</v>
      </c>
      <c r="L75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58" s="837">
        <f t="shared" si="156"/>
        <v>0</v>
      </c>
      <c r="N758" s="838">
        <f>+Tabla1[[#This Row],[VENTA TOTAL $ (IVA INC) ]]</f>
        <v>0</v>
      </c>
      <c r="O758" s="838">
        <v>0</v>
      </c>
      <c r="P758" s="838">
        <v>0</v>
      </c>
      <c r="Q758" s="839">
        <f>+Tabla1[[#This Row],[VENTA TOTAL $ (IVA INC) ]]</f>
        <v>0</v>
      </c>
      <c r="R758" s="840">
        <f>+Tabla1[[#This Row],[FECHA FC]]+Tabla1[[#This Row],[PLAZO ENTREGA VALORES]]</f>
        <v>0</v>
      </c>
      <c r="S758" s="840">
        <f>+Tabla1[[#This Row],[FECHA FC]]+Tabla1[[#This Row],[PLAZO PAGO (DIAS)]]</f>
        <v>0</v>
      </c>
      <c r="T758" s="834">
        <f t="shared" ca="1" si="155"/>
        <v>-46181</v>
      </c>
      <c r="U758" s="831"/>
      <c r="V758" s="831"/>
      <c r="W758" s="841">
        <f t="shared" si="157"/>
        <v>7</v>
      </c>
      <c r="X758" s="830"/>
      <c r="Y758" s="859"/>
      <c r="Z758" s="860">
        <f>Tabla1[[#This Row],[KGS]]/50</f>
        <v>0</v>
      </c>
      <c r="AA75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58" s="844">
        <f>-Tabla1[[#This Row],[COSTO FLETE $ POR BOLSA 5O KG (SIN IVA)]]*1.21-Tabla1[[#This Row],[PRECIO $/ KG A PLAZO EN CLIENTE ( SIN IVA)]]*0.003*1.21*50</f>
        <v>0</v>
      </c>
      <c r="AC758" s="845" t="e">
        <f>SUM(Tabla1[[#This Row],[PRECIO $ BOLSA 50 KG (IVA INC) ]]+Tabla1[[#This Row],[COSTO FLETE $ BOLSA 50 KG (IVA INC)]])</f>
        <v>#VALUE!</v>
      </c>
      <c r="AD758" s="844" t="e">
        <f>-Tabla1[[#This Row],[PRECIO $ BOLSA 50 KG (IVA INC) ]]*(Tabla1[[#This Row],[TASA FINANCIACION MENSUAL]]/365)*Tabla1[[#This Row],[PLAZO ENTREGA VALORES]]</f>
        <v>#VALUE!</v>
      </c>
      <c r="AE758" s="845" t="e">
        <f>SUM(Tabla1[[#This Row],[PRECIO $ BOLSA50 KG  FOB TUCUMAN A PLAZO (IVA INC)]]+Tabla1[[#This Row],[GASTOS FINANCIEROS $ BOLSA 50 KG (IVA INC)]])</f>
        <v>#VALUE!</v>
      </c>
      <c r="AF758" s="828"/>
      <c r="AG758" s="828"/>
      <c r="AH758" s="828"/>
      <c r="AI758" s="828"/>
      <c r="AJ75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58" s="846" t="e">
        <f>SUM(Tabla1[[#This Row],[PRECIO $ BOLSA 50KG  FOB CDO TUC (IVA INC)]]-Tabla1[[#This Row],[PRECIO REF $ BOLSA 50 KG CACTU (IVA INC)]])</f>
        <v>#VALUE!</v>
      </c>
      <c r="AL758" s="847" t="str">
        <f>IFERROR(Tabla1[[#This Row],[PRECIO $ BOLSA 50KG  FOB CDO TUC (IVA INC)]]/Tabla1[[#This Row],[PRECIO REF $ BOLSA 50 KG CACTU (IVA INC)]]-1,"")</f>
        <v/>
      </c>
      <c r="AM758" s="846" t="e">
        <f>+Tabla1[[#This Row],[DIF $ PRECIO NETO INDUSTRIA vs Neto TUCUMAN (IVA INC)]]*Tabla1[[#This Row],[Q Bolsas Equivalentes 50kg]]</f>
        <v>#VALUE!</v>
      </c>
      <c r="AN758" s="846" t="e">
        <f>Tabla1[[#This Row],[PRECIO REF $ BOLSA 50 KG CACTU (IVA INC)]]*Tabla1[[#This Row],[Q Bolsas Equivalentes 50kg]]</f>
        <v>#VALUE!</v>
      </c>
      <c r="AO758" s="846" t="e">
        <f>+Tabla1[[#This Row],[PRECIO $ BOLSA 50KG  FOB CDO TUC (IVA INC)]]*Tabla1[[#This Row],[Q Bolsas Equivalentes 50kg]]</f>
        <v>#VALUE!</v>
      </c>
      <c r="AP758" s="847"/>
      <c r="AQ758" s="846">
        <v>0</v>
      </c>
      <c r="AR758" s="828"/>
      <c r="AS758" s="849"/>
      <c r="AT758" s="923">
        <f>+Tabla1[[#This Row],[VENTA TOTAL $ (IVA INC) ]]-(SUM(Tabla1[[#This Row],[PENDIENTE DE ENTREGA]:[VALORES COBRADOS]]))</f>
        <v>0</v>
      </c>
      <c r="AU758" s="850" t="e">
        <f>VLOOKUP(Tabla1[[#This Row],[FECHA OC]],'TIPO DE CAMBIO'!A:B,2,TRUE)</f>
        <v>#N/A</v>
      </c>
      <c r="AV758" s="850" t="e">
        <f>+Tabla1[[#This Row],[SUBTOTAL]]/Tabla1[[#This Row],[TIPO DE CAMBIO]]</f>
        <v>#N/A</v>
      </c>
      <c r="AW758" s="851"/>
      <c r="AX758" s="850" t="str">
        <f>IFERROR(Tabla1[[#This Row],[VENTA TOTAL USD A PLAZO EN CLIENTE  (SIN IVA)]]*(1+Tabla1[[#This Row],[% IVA ]]),"")</f>
        <v/>
      </c>
      <c r="AY758" s="850" t="e">
        <f>+Tabla1[[#This Row],[VENTA TOTAL USD A PLAZO EN CLIENTE  (SIN IVA)]]/Tabla1[[#This Row],[KGS]]*1000</f>
        <v>#N/A</v>
      </c>
      <c r="AZ758" s="850" t="e">
        <f>-Tabla1[[#This Row],[COSTO FLETE $ POR BOLSA 5O KG (SIN IVA)]]*20/Tabla1[[#This Row],[TIPO DE CAMBIO]]</f>
        <v>#N/A</v>
      </c>
      <c r="BA758" s="850" t="e">
        <f>+Tabla1[[#This Row],[GASTOS FINANCIEROS $ BOLSA 50 KG (IVA INC)]]*20/Tabla1[[#This Row],[TIPO DE CAMBIO]]</f>
        <v>#VALUE!</v>
      </c>
      <c r="BB758" s="850" t="e">
        <f>+Tabla1[[#This Row],[PRECIO POR TN USD EN CLIENTE A PLAZO (SIN IVA)]]+Tabla1[[#This Row],[COSTO USD FLETE /TN (SIN IVA)]]+Tabla1[[#This Row],[COSTO FINANCIERO USD POR BOLSA 50KG (IVA INC)]]</f>
        <v>#N/A</v>
      </c>
      <c r="BC758" s="848"/>
      <c r="BD758" s="944"/>
    </row>
    <row r="759" spans="1:56" ht="15.75" customHeight="1">
      <c r="A759" s="912">
        <v>46327</v>
      </c>
      <c r="B759" s="853"/>
      <c r="C759" s="792"/>
      <c r="D759" s="829">
        <f>+Tabla1[[#This Row],[FECHA Entrega]]</f>
        <v>0</v>
      </c>
      <c r="E759" s="830"/>
      <c r="F759" s="831"/>
      <c r="G759" s="832"/>
      <c r="H759" s="852"/>
      <c r="I759" s="834"/>
      <c r="J759" s="835"/>
      <c r="K759" s="836">
        <f t="shared" si="154"/>
        <v>0</v>
      </c>
      <c r="L75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59" s="837">
        <f t="shared" si="156"/>
        <v>0</v>
      </c>
      <c r="N759" s="838">
        <f>+Tabla1[[#This Row],[VENTA TOTAL $ (IVA INC) ]]</f>
        <v>0</v>
      </c>
      <c r="O759" s="838">
        <v>0</v>
      </c>
      <c r="P759" s="838">
        <v>0</v>
      </c>
      <c r="Q759" s="838">
        <f>+Tabla1[[#This Row],[VENTA TOTAL $ (IVA INC) ]]</f>
        <v>0</v>
      </c>
      <c r="R759" s="840">
        <f>+Tabla1[[#This Row],[FECHA FC]]+Tabla1[[#This Row],[PLAZO ENTREGA VALORES]]</f>
        <v>0</v>
      </c>
      <c r="S759" s="840">
        <f>+Tabla1[[#This Row],[FECHA FC]]+Tabla1[[#This Row],[PLAZO PAGO (DIAS)]]</f>
        <v>0</v>
      </c>
      <c r="T759" s="834">
        <f t="shared" ca="1" si="155"/>
        <v>-46181</v>
      </c>
      <c r="U759" s="831"/>
      <c r="V759" s="831"/>
      <c r="W759" s="841">
        <f t="shared" si="157"/>
        <v>7</v>
      </c>
      <c r="X759" s="830"/>
      <c r="Y759" s="859"/>
      <c r="Z759" s="860">
        <f>Tabla1[[#This Row],[KGS]]/50</f>
        <v>0</v>
      </c>
      <c r="AA75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59" s="844">
        <f>-Tabla1[[#This Row],[COSTO FLETE $ POR BOLSA 5O KG (SIN IVA)]]*1.21-Tabla1[[#This Row],[PRECIO $/ KG A PLAZO EN CLIENTE ( SIN IVA)]]*0.003*1.21*50</f>
        <v>0</v>
      </c>
      <c r="AC759" s="845" t="e">
        <f>SUM(Tabla1[[#This Row],[PRECIO $ BOLSA 50 KG (IVA INC) ]]+Tabla1[[#This Row],[COSTO FLETE $ BOLSA 50 KG (IVA INC)]])</f>
        <v>#VALUE!</v>
      </c>
      <c r="AD759" s="844" t="e">
        <f>-Tabla1[[#This Row],[PRECIO $ BOLSA 50 KG (IVA INC) ]]*(Tabla1[[#This Row],[TASA FINANCIACION MENSUAL]]/365)*Tabla1[[#This Row],[PLAZO ENTREGA VALORES]]</f>
        <v>#VALUE!</v>
      </c>
      <c r="AE759" s="845" t="e">
        <f>SUM(Tabla1[[#This Row],[PRECIO $ BOLSA50 KG  FOB TUCUMAN A PLAZO (IVA INC)]]+Tabla1[[#This Row],[GASTOS FINANCIEROS $ BOLSA 50 KG (IVA INC)]])</f>
        <v>#VALUE!</v>
      </c>
      <c r="AF759" s="828"/>
      <c r="AG759" s="828"/>
      <c r="AH759" s="828"/>
      <c r="AI759" s="828"/>
      <c r="AJ75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59" s="846" t="e">
        <f>SUM(Tabla1[[#This Row],[PRECIO $ BOLSA 50KG  FOB CDO TUC (IVA INC)]]-Tabla1[[#This Row],[PRECIO REF $ BOLSA 50 KG CACTU (IVA INC)]])</f>
        <v>#VALUE!</v>
      </c>
      <c r="AL759" s="847" t="str">
        <f>IFERROR(Tabla1[[#This Row],[PRECIO $ BOLSA 50KG  FOB CDO TUC (IVA INC)]]/Tabla1[[#This Row],[PRECIO REF $ BOLSA 50 KG CACTU (IVA INC)]]-1,"")</f>
        <v/>
      </c>
      <c r="AM759" s="846" t="e">
        <f>+Tabla1[[#This Row],[DIF $ PRECIO NETO INDUSTRIA vs Neto TUCUMAN (IVA INC)]]*Tabla1[[#This Row],[Q Bolsas Equivalentes 50kg]]</f>
        <v>#VALUE!</v>
      </c>
      <c r="AN759" s="846" t="e">
        <f>Tabla1[[#This Row],[PRECIO REF $ BOLSA 50 KG CACTU (IVA INC)]]*Tabla1[[#This Row],[Q Bolsas Equivalentes 50kg]]</f>
        <v>#VALUE!</v>
      </c>
      <c r="AO759" s="846" t="e">
        <f>+Tabla1[[#This Row],[PRECIO $ BOLSA 50KG  FOB CDO TUC (IVA INC)]]*Tabla1[[#This Row],[Q Bolsas Equivalentes 50kg]]</f>
        <v>#VALUE!</v>
      </c>
      <c r="AP759" s="847"/>
      <c r="AQ759" s="846">
        <v>0</v>
      </c>
      <c r="AR759" s="828"/>
      <c r="AS759" s="849"/>
      <c r="AT759" s="923">
        <f>+Tabla1[[#This Row],[VENTA TOTAL $ (IVA INC) ]]-(SUM(Tabla1[[#This Row],[PENDIENTE DE ENTREGA]:[VALORES COBRADOS]]))</f>
        <v>0</v>
      </c>
      <c r="AU759" s="850" t="e">
        <f>VLOOKUP(Tabla1[[#This Row],[FECHA OC]],'TIPO DE CAMBIO'!A:B,2,TRUE)</f>
        <v>#N/A</v>
      </c>
      <c r="AV759" s="850" t="e">
        <f>+Tabla1[[#This Row],[SUBTOTAL]]/Tabla1[[#This Row],[TIPO DE CAMBIO]]</f>
        <v>#N/A</v>
      </c>
      <c r="AW759" s="851"/>
      <c r="AX759" s="850" t="str">
        <f>IFERROR(Tabla1[[#This Row],[VENTA TOTAL USD A PLAZO EN CLIENTE  (SIN IVA)]]*(1+Tabla1[[#This Row],[% IVA ]]),"")</f>
        <v/>
      </c>
      <c r="AY759" s="850" t="e">
        <f>+Tabla1[[#This Row],[VENTA TOTAL USD A PLAZO EN CLIENTE  (SIN IVA)]]/Tabla1[[#This Row],[KGS]]*1000</f>
        <v>#N/A</v>
      </c>
      <c r="AZ759" s="850" t="e">
        <f>-Tabla1[[#This Row],[COSTO FLETE $ POR BOLSA 5O KG (SIN IVA)]]*20/Tabla1[[#This Row],[TIPO DE CAMBIO]]</f>
        <v>#N/A</v>
      </c>
      <c r="BA759" s="850" t="e">
        <f>+Tabla1[[#This Row],[GASTOS FINANCIEROS $ BOLSA 50 KG (IVA INC)]]*20/Tabla1[[#This Row],[TIPO DE CAMBIO]]</f>
        <v>#VALUE!</v>
      </c>
      <c r="BB759" s="850" t="e">
        <f>+Tabla1[[#This Row],[PRECIO POR TN USD EN CLIENTE A PLAZO (SIN IVA)]]+Tabla1[[#This Row],[COSTO USD FLETE /TN (SIN IVA)]]+Tabla1[[#This Row],[COSTO FINANCIERO USD POR BOLSA 50KG (IVA INC)]]</f>
        <v>#N/A</v>
      </c>
      <c r="BC759" s="828"/>
      <c r="BD759" s="944"/>
    </row>
    <row r="760" spans="1:56" ht="15.75" customHeight="1">
      <c r="A760" s="912">
        <v>46327</v>
      </c>
      <c r="B760" s="853"/>
      <c r="C760" s="792"/>
      <c r="D760" s="829">
        <f>+Tabla1[[#This Row],[FECHA Entrega]]</f>
        <v>0</v>
      </c>
      <c r="E760" s="830"/>
      <c r="F760" s="831"/>
      <c r="G760" s="832"/>
      <c r="H760" s="852"/>
      <c r="I760" s="834"/>
      <c r="J760" s="835"/>
      <c r="K760" s="836">
        <f t="shared" si="154"/>
        <v>0</v>
      </c>
      <c r="L76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60" s="837">
        <f t="shared" si="156"/>
        <v>0</v>
      </c>
      <c r="N760" s="838">
        <f>+Tabla1[[#This Row],[VENTA TOTAL $ (IVA INC) ]]</f>
        <v>0</v>
      </c>
      <c r="O760" s="838">
        <v>0</v>
      </c>
      <c r="P760" s="838">
        <v>0</v>
      </c>
      <c r="Q760" s="839">
        <f>+Tabla1[[#This Row],[VENTA TOTAL $ (IVA INC) ]]</f>
        <v>0</v>
      </c>
      <c r="R760" s="840">
        <f>+Tabla1[[#This Row],[FECHA FC]]+Tabla1[[#This Row],[PLAZO ENTREGA VALORES]]</f>
        <v>0</v>
      </c>
      <c r="S760" s="840">
        <f>+Tabla1[[#This Row],[FECHA FC]]+Tabla1[[#This Row],[PLAZO PAGO (DIAS)]]</f>
        <v>0</v>
      </c>
      <c r="T760" s="834">
        <f t="shared" ca="1" si="155"/>
        <v>-46181</v>
      </c>
      <c r="U760" s="831"/>
      <c r="V760" s="831"/>
      <c r="W760" s="841">
        <f t="shared" si="157"/>
        <v>7</v>
      </c>
      <c r="X760" s="830"/>
      <c r="Y760" s="859"/>
      <c r="Z760" s="860">
        <f>Tabla1[[#This Row],[KGS]]/50</f>
        <v>0</v>
      </c>
      <c r="AA76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60" s="844">
        <f>-Tabla1[[#This Row],[COSTO FLETE $ POR BOLSA 5O KG (SIN IVA)]]*1.21-Tabla1[[#This Row],[PRECIO $/ KG A PLAZO EN CLIENTE ( SIN IVA)]]*0.003*1.21*50</f>
        <v>0</v>
      </c>
      <c r="AC760" s="845" t="e">
        <f>SUM(Tabla1[[#This Row],[PRECIO $ BOLSA 50 KG (IVA INC) ]]+Tabla1[[#This Row],[COSTO FLETE $ BOLSA 50 KG (IVA INC)]])</f>
        <v>#VALUE!</v>
      </c>
      <c r="AD760" s="844" t="e">
        <f>-Tabla1[[#This Row],[PRECIO $ BOLSA 50 KG (IVA INC) ]]*(Tabla1[[#This Row],[TASA FINANCIACION MENSUAL]]/365)*Tabla1[[#This Row],[PLAZO ENTREGA VALORES]]</f>
        <v>#VALUE!</v>
      </c>
      <c r="AE760" s="845" t="e">
        <f>SUM(Tabla1[[#This Row],[PRECIO $ BOLSA50 KG  FOB TUCUMAN A PLAZO (IVA INC)]]+Tabla1[[#This Row],[GASTOS FINANCIEROS $ BOLSA 50 KG (IVA INC)]])</f>
        <v>#VALUE!</v>
      </c>
      <c r="AF760" s="828"/>
      <c r="AG760" s="828"/>
      <c r="AH760" s="828"/>
      <c r="AI760" s="828"/>
      <c r="AJ76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60" s="846" t="e">
        <f>SUM(Tabla1[[#This Row],[PRECIO $ BOLSA 50KG  FOB CDO TUC (IVA INC)]]-Tabla1[[#This Row],[PRECIO REF $ BOLSA 50 KG CACTU (IVA INC)]])</f>
        <v>#VALUE!</v>
      </c>
      <c r="AL760" s="847" t="str">
        <f>IFERROR(Tabla1[[#This Row],[PRECIO $ BOLSA 50KG  FOB CDO TUC (IVA INC)]]/Tabla1[[#This Row],[PRECIO REF $ BOLSA 50 KG CACTU (IVA INC)]]-1,"")</f>
        <v/>
      </c>
      <c r="AM760" s="846" t="e">
        <f>+Tabla1[[#This Row],[DIF $ PRECIO NETO INDUSTRIA vs Neto TUCUMAN (IVA INC)]]*Tabla1[[#This Row],[Q Bolsas Equivalentes 50kg]]</f>
        <v>#VALUE!</v>
      </c>
      <c r="AN760" s="846" t="e">
        <f>Tabla1[[#This Row],[PRECIO REF $ BOLSA 50 KG CACTU (IVA INC)]]*Tabla1[[#This Row],[Q Bolsas Equivalentes 50kg]]</f>
        <v>#VALUE!</v>
      </c>
      <c r="AO760" s="846" t="e">
        <f>+Tabla1[[#This Row],[PRECIO $ BOLSA 50KG  FOB CDO TUC (IVA INC)]]*Tabla1[[#This Row],[Q Bolsas Equivalentes 50kg]]</f>
        <v>#VALUE!</v>
      </c>
      <c r="AP760" s="847"/>
      <c r="AQ760" s="846">
        <v>0</v>
      </c>
      <c r="AR760" s="828"/>
      <c r="AS760" s="849"/>
      <c r="AT760" s="923">
        <f>+Tabla1[[#This Row],[VENTA TOTAL $ (IVA INC) ]]-(SUM(Tabla1[[#This Row],[PENDIENTE DE ENTREGA]:[VALORES COBRADOS]]))</f>
        <v>0</v>
      </c>
      <c r="AU760" s="850" t="e">
        <f>VLOOKUP(Tabla1[[#This Row],[FECHA OC]],'TIPO DE CAMBIO'!A:B,2,TRUE)</f>
        <v>#N/A</v>
      </c>
      <c r="AV760" s="850" t="e">
        <f>+Tabla1[[#This Row],[SUBTOTAL]]/Tabla1[[#This Row],[TIPO DE CAMBIO]]</f>
        <v>#N/A</v>
      </c>
      <c r="AW760" s="851"/>
      <c r="AX760" s="850" t="str">
        <f>IFERROR(Tabla1[[#This Row],[VENTA TOTAL USD A PLAZO EN CLIENTE  (SIN IVA)]]*(1+Tabla1[[#This Row],[% IVA ]]),"")</f>
        <v/>
      </c>
      <c r="AY760" s="850" t="e">
        <f>+Tabla1[[#This Row],[VENTA TOTAL USD A PLAZO EN CLIENTE  (SIN IVA)]]/Tabla1[[#This Row],[KGS]]*1000</f>
        <v>#N/A</v>
      </c>
      <c r="AZ760" s="850" t="e">
        <f>-Tabla1[[#This Row],[COSTO FLETE $ POR BOLSA 5O KG (SIN IVA)]]*20/Tabla1[[#This Row],[TIPO DE CAMBIO]]</f>
        <v>#N/A</v>
      </c>
      <c r="BA760" s="850" t="e">
        <f>+Tabla1[[#This Row],[GASTOS FINANCIEROS $ BOLSA 50 KG (IVA INC)]]*20/Tabla1[[#This Row],[TIPO DE CAMBIO]]</f>
        <v>#VALUE!</v>
      </c>
      <c r="BB760" s="850" t="e">
        <f>+Tabla1[[#This Row],[PRECIO POR TN USD EN CLIENTE A PLAZO (SIN IVA)]]+Tabla1[[#This Row],[COSTO USD FLETE /TN (SIN IVA)]]+Tabla1[[#This Row],[COSTO FINANCIERO USD POR BOLSA 50KG (IVA INC)]]</f>
        <v>#N/A</v>
      </c>
      <c r="BC760" s="828"/>
      <c r="BD760" s="944"/>
    </row>
    <row r="761" spans="1:56" ht="15.75" customHeight="1">
      <c r="A761" s="912">
        <v>46327</v>
      </c>
      <c r="B761" s="853"/>
      <c r="C761" s="792"/>
      <c r="D761" s="829">
        <f>+Tabla1[[#This Row],[FECHA Entrega]]</f>
        <v>0</v>
      </c>
      <c r="E761" s="830"/>
      <c r="F761" s="831"/>
      <c r="G761" s="832"/>
      <c r="H761" s="852"/>
      <c r="I761" s="834"/>
      <c r="J761" s="835"/>
      <c r="K761" s="836">
        <f t="shared" si="154"/>
        <v>0</v>
      </c>
      <c r="L76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61" s="837">
        <f t="shared" si="156"/>
        <v>0</v>
      </c>
      <c r="N761" s="838">
        <f>+Tabla1[[#This Row],[VENTA TOTAL $ (IVA INC) ]]</f>
        <v>0</v>
      </c>
      <c r="O761" s="838">
        <v>0</v>
      </c>
      <c r="P761" s="838">
        <v>0</v>
      </c>
      <c r="Q761" s="839">
        <f>+Tabla1[[#This Row],[VENTA TOTAL $ (IVA INC) ]]</f>
        <v>0</v>
      </c>
      <c r="R761" s="840">
        <f>+Tabla1[[#This Row],[FECHA FC]]+Tabla1[[#This Row],[PLAZO ENTREGA VALORES]]</f>
        <v>0</v>
      </c>
      <c r="S761" s="840">
        <f>+Tabla1[[#This Row],[FECHA FC]]+Tabla1[[#This Row],[PLAZO PAGO (DIAS)]]</f>
        <v>0</v>
      </c>
      <c r="T761" s="834">
        <f t="shared" ca="1" si="155"/>
        <v>-46181</v>
      </c>
      <c r="U761" s="831"/>
      <c r="V761" s="831"/>
      <c r="W761" s="841">
        <f t="shared" si="157"/>
        <v>7</v>
      </c>
      <c r="X761" s="830"/>
      <c r="Y761" s="859"/>
      <c r="Z761" s="860">
        <f>Tabla1[[#This Row],[KGS]]/50</f>
        <v>0</v>
      </c>
      <c r="AA76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61" s="844">
        <f>-Tabla1[[#This Row],[COSTO FLETE $ POR BOLSA 5O KG (SIN IVA)]]*1.21-Tabla1[[#This Row],[PRECIO $/ KG A PLAZO EN CLIENTE ( SIN IVA)]]*0.003*1.21*50</f>
        <v>0</v>
      </c>
      <c r="AC761" s="845" t="e">
        <f>SUM(Tabla1[[#This Row],[PRECIO $ BOLSA 50 KG (IVA INC) ]]+Tabla1[[#This Row],[COSTO FLETE $ BOLSA 50 KG (IVA INC)]])</f>
        <v>#VALUE!</v>
      </c>
      <c r="AD761" s="844" t="e">
        <f>-Tabla1[[#This Row],[PRECIO $ BOLSA 50 KG (IVA INC) ]]*(Tabla1[[#This Row],[TASA FINANCIACION MENSUAL]]/365)*Tabla1[[#This Row],[PLAZO ENTREGA VALORES]]</f>
        <v>#VALUE!</v>
      </c>
      <c r="AE761" s="845" t="e">
        <f>SUM(Tabla1[[#This Row],[PRECIO $ BOLSA50 KG  FOB TUCUMAN A PLAZO (IVA INC)]]+Tabla1[[#This Row],[GASTOS FINANCIEROS $ BOLSA 50 KG (IVA INC)]])</f>
        <v>#VALUE!</v>
      </c>
      <c r="AF761" s="828"/>
      <c r="AG761" s="828"/>
      <c r="AH761" s="828"/>
      <c r="AI761" s="828"/>
      <c r="AJ76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61" s="846" t="e">
        <f>SUM(Tabla1[[#This Row],[PRECIO $ BOLSA 50KG  FOB CDO TUC (IVA INC)]]-Tabla1[[#This Row],[PRECIO REF $ BOLSA 50 KG CACTU (IVA INC)]])</f>
        <v>#VALUE!</v>
      </c>
      <c r="AL761" s="847" t="str">
        <f>IFERROR(Tabla1[[#This Row],[PRECIO $ BOLSA 50KG  FOB CDO TUC (IVA INC)]]/Tabla1[[#This Row],[PRECIO REF $ BOLSA 50 KG CACTU (IVA INC)]]-1,"")</f>
        <v/>
      </c>
      <c r="AM761" s="846" t="e">
        <f>+Tabla1[[#This Row],[DIF $ PRECIO NETO INDUSTRIA vs Neto TUCUMAN (IVA INC)]]*Tabla1[[#This Row],[Q Bolsas Equivalentes 50kg]]</f>
        <v>#VALUE!</v>
      </c>
      <c r="AN761" s="846" t="e">
        <f>Tabla1[[#This Row],[PRECIO REF $ BOLSA 50 KG CACTU (IVA INC)]]*Tabla1[[#This Row],[Q Bolsas Equivalentes 50kg]]</f>
        <v>#VALUE!</v>
      </c>
      <c r="AO761" s="846" t="e">
        <f>+Tabla1[[#This Row],[PRECIO $ BOLSA 50KG  FOB CDO TUC (IVA INC)]]*Tabla1[[#This Row],[Q Bolsas Equivalentes 50kg]]</f>
        <v>#VALUE!</v>
      </c>
      <c r="AP761" s="847"/>
      <c r="AQ761" s="846">
        <v>0</v>
      </c>
      <c r="AR761" s="828"/>
      <c r="AS761" s="849"/>
      <c r="AT761" s="923">
        <f>+Tabla1[[#This Row],[VENTA TOTAL $ (IVA INC) ]]-(SUM(Tabla1[[#This Row],[PENDIENTE DE ENTREGA]:[VALORES COBRADOS]]))</f>
        <v>0</v>
      </c>
      <c r="AU761" s="850" t="e">
        <f>VLOOKUP(Tabla1[[#This Row],[FECHA OC]],'TIPO DE CAMBIO'!A:B,2,TRUE)</f>
        <v>#N/A</v>
      </c>
      <c r="AV761" s="850" t="e">
        <f>+Tabla1[[#This Row],[SUBTOTAL]]/Tabla1[[#This Row],[TIPO DE CAMBIO]]</f>
        <v>#N/A</v>
      </c>
      <c r="AW761" s="851"/>
      <c r="AX761" s="850" t="str">
        <f>IFERROR(Tabla1[[#This Row],[VENTA TOTAL USD A PLAZO EN CLIENTE  (SIN IVA)]]*(1+Tabla1[[#This Row],[% IVA ]]),"")</f>
        <v/>
      </c>
      <c r="AY761" s="850" t="e">
        <f>+Tabla1[[#This Row],[VENTA TOTAL USD A PLAZO EN CLIENTE  (SIN IVA)]]/Tabla1[[#This Row],[KGS]]*1000</f>
        <v>#N/A</v>
      </c>
      <c r="AZ761" s="850" t="e">
        <f>-Tabla1[[#This Row],[COSTO FLETE $ POR BOLSA 5O KG (SIN IVA)]]*20/Tabla1[[#This Row],[TIPO DE CAMBIO]]</f>
        <v>#N/A</v>
      </c>
      <c r="BA761" s="850" t="e">
        <f>+Tabla1[[#This Row],[GASTOS FINANCIEROS $ BOLSA 50 KG (IVA INC)]]*20/Tabla1[[#This Row],[TIPO DE CAMBIO]]</f>
        <v>#VALUE!</v>
      </c>
      <c r="BB761" s="850" t="e">
        <f>+Tabla1[[#This Row],[PRECIO POR TN USD EN CLIENTE A PLAZO (SIN IVA)]]+Tabla1[[#This Row],[COSTO USD FLETE /TN (SIN IVA)]]+Tabla1[[#This Row],[COSTO FINANCIERO USD POR BOLSA 50KG (IVA INC)]]</f>
        <v>#N/A</v>
      </c>
      <c r="BC761" s="828"/>
      <c r="BD761" s="944"/>
    </row>
    <row r="762" spans="1:56" ht="15.75" customHeight="1">
      <c r="A762" s="912">
        <v>46327</v>
      </c>
      <c r="B762" s="853"/>
      <c r="C762" s="792"/>
      <c r="D762" s="829">
        <f>+Tabla1[[#This Row],[FECHA Entrega]]</f>
        <v>0</v>
      </c>
      <c r="E762" s="830"/>
      <c r="F762" s="831"/>
      <c r="G762" s="832"/>
      <c r="H762" s="852"/>
      <c r="I762" s="834"/>
      <c r="J762" s="835"/>
      <c r="K762" s="836">
        <f t="shared" si="154"/>
        <v>0</v>
      </c>
      <c r="L76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62" s="837">
        <f t="shared" si="156"/>
        <v>0</v>
      </c>
      <c r="N762" s="838">
        <f>+Tabla1[[#This Row],[VENTA TOTAL $ (IVA INC) ]]</f>
        <v>0</v>
      </c>
      <c r="O762" s="838">
        <v>0</v>
      </c>
      <c r="P762" s="838">
        <v>0</v>
      </c>
      <c r="Q762" s="839">
        <f>+Tabla1[[#This Row],[VENTA TOTAL $ (IVA INC) ]]</f>
        <v>0</v>
      </c>
      <c r="R762" s="840">
        <f>+Tabla1[[#This Row],[FECHA FC]]+Tabla1[[#This Row],[PLAZO ENTREGA VALORES]]</f>
        <v>0</v>
      </c>
      <c r="S762" s="840">
        <f>+Tabla1[[#This Row],[FECHA FC]]+Tabla1[[#This Row],[PLAZO PAGO (DIAS)]]</f>
        <v>0</v>
      </c>
      <c r="T762" s="834">
        <f t="shared" ca="1" si="155"/>
        <v>-46181</v>
      </c>
      <c r="U762" s="831"/>
      <c r="V762" s="831"/>
      <c r="W762" s="841">
        <f t="shared" si="157"/>
        <v>7</v>
      </c>
      <c r="X762" s="830"/>
      <c r="Y762" s="859"/>
      <c r="Z762" s="860">
        <f>Tabla1[[#This Row],[KGS]]/50</f>
        <v>0</v>
      </c>
      <c r="AA76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62" s="844">
        <f>-Tabla1[[#This Row],[COSTO FLETE $ POR BOLSA 5O KG (SIN IVA)]]*1.21-Tabla1[[#This Row],[PRECIO $/ KG A PLAZO EN CLIENTE ( SIN IVA)]]*0.003*1.21*50</f>
        <v>0</v>
      </c>
      <c r="AC762" s="845" t="e">
        <f>SUM(Tabla1[[#This Row],[PRECIO $ BOLSA 50 KG (IVA INC) ]]+Tabla1[[#This Row],[COSTO FLETE $ BOLSA 50 KG (IVA INC)]])</f>
        <v>#VALUE!</v>
      </c>
      <c r="AD762" s="844" t="e">
        <f>-Tabla1[[#This Row],[PRECIO $ BOLSA 50 KG (IVA INC) ]]*(Tabla1[[#This Row],[TASA FINANCIACION MENSUAL]]/365)*Tabla1[[#This Row],[PLAZO ENTREGA VALORES]]</f>
        <v>#VALUE!</v>
      </c>
      <c r="AE762" s="845" t="e">
        <f>SUM(Tabla1[[#This Row],[PRECIO $ BOLSA50 KG  FOB TUCUMAN A PLAZO (IVA INC)]]+Tabla1[[#This Row],[GASTOS FINANCIEROS $ BOLSA 50 KG (IVA INC)]])</f>
        <v>#VALUE!</v>
      </c>
      <c r="AF762" s="828"/>
      <c r="AG762" s="828"/>
      <c r="AH762" s="828"/>
      <c r="AI762" s="828"/>
      <c r="AJ76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62" s="846" t="e">
        <f>SUM(Tabla1[[#This Row],[PRECIO $ BOLSA 50KG  FOB CDO TUC (IVA INC)]]-Tabla1[[#This Row],[PRECIO REF $ BOLSA 50 KG CACTU (IVA INC)]])</f>
        <v>#VALUE!</v>
      </c>
      <c r="AL762" s="847" t="str">
        <f>IFERROR(Tabla1[[#This Row],[PRECIO $ BOLSA 50KG  FOB CDO TUC (IVA INC)]]/Tabla1[[#This Row],[PRECIO REF $ BOLSA 50 KG CACTU (IVA INC)]]-1,"")</f>
        <v/>
      </c>
      <c r="AM762" s="846" t="e">
        <f>+Tabla1[[#This Row],[DIF $ PRECIO NETO INDUSTRIA vs Neto TUCUMAN (IVA INC)]]*Tabla1[[#This Row],[Q Bolsas Equivalentes 50kg]]</f>
        <v>#VALUE!</v>
      </c>
      <c r="AN762" s="846" t="e">
        <f>Tabla1[[#This Row],[PRECIO REF $ BOLSA 50 KG CACTU (IVA INC)]]*Tabla1[[#This Row],[Q Bolsas Equivalentes 50kg]]</f>
        <v>#VALUE!</v>
      </c>
      <c r="AO762" s="846" t="e">
        <f>+Tabla1[[#This Row],[PRECIO $ BOLSA 50KG  FOB CDO TUC (IVA INC)]]*Tabla1[[#This Row],[Q Bolsas Equivalentes 50kg]]</f>
        <v>#VALUE!</v>
      </c>
      <c r="AP762" s="847"/>
      <c r="AQ762" s="846">
        <v>0</v>
      </c>
      <c r="AR762" s="828"/>
      <c r="AS762" s="849"/>
      <c r="AT762" s="923">
        <f>+Tabla1[[#This Row],[VENTA TOTAL $ (IVA INC) ]]-(SUM(Tabla1[[#This Row],[PENDIENTE DE ENTREGA]:[VALORES COBRADOS]]))</f>
        <v>0</v>
      </c>
      <c r="AU762" s="850" t="e">
        <f>VLOOKUP(Tabla1[[#This Row],[FECHA OC]],'TIPO DE CAMBIO'!A:B,2,TRUE)</f>
        <v>#N/A</v>
      </c>
      <c r="AV762" s="850" t="e">
        <f>+Tabla1[[#This Row],[SUBTOTAL]]/Tabla1[[#This Row],[TIPO DE CAMBIO]]</f>
        <v>#N/A</v>
      </c>
      <c r="AW762" s="851"/>
      <c r="AX762" s="850" t="str">
        <f>IFERROR(Tabla1[[#This Row],[VENTA TOTAL USD A PLAZO EN CLIENTE  (SIN IVA)]]*(1+Tabla1[[#This Row],[% IVA ]]),"")</f>
        <v/>
      </c>
      <c r="AY762" s="850" t="e">
        <f>+Tabla1[[#This Row],[VENTA TOTAL USD A PLAZO EN CLIENTE  (SIN IVA)]]/Tabla1[[#This Row],[KGS]]*1000</f>
        <v>#N/A</v>
      </c>
      <c r="AZ762" s="850" t="e">
        <f>-Tabla1[[#This Row],[COSTO FLETE $ POR BOLSA 5O KG (SIN IVA)]]*20/Tabla1[[#This Row],[TIPO DE CAMBIO]]</f>
        <v>#N/A</v>
      </c>
      <c r="BA762" s="850" t="e">
        <f>+Tabla1[[#This Row],[GASTOS FINANCIEROS $ BOLSA 50 KG (IVA INC)]]*20/Tabla1[[#This Row],[TIPO DE CAMBIO]]</f>
        <v>#VALUE!</v>
      </c>
      <c r="BB762" s="850" t="e">
        <f>+Tabla1[[#This Row],[PRECIO POR TN USD EN CLIENTE A PLAZO (SIN IVA)]]+Tabla1[[#This Row],[COSTO USD FLETE /TN (SIN IVA)]]+Tabla1[[#This Row],[COSTO FINANCIERO USD POR BOLSA 50KG (IVA INC)]]</f>
        <v>#N/A</v>
      </c>
      <c r="BC762" s="828"/>
      <c r="BD762" s="944"/>
    </row>
    <row r="763" spans="1:56" ht="15.75" customHeight="1">
      <c r="A763" s="912">
        <v>46327</v>
      </c>
      <c r="B763" s="853"/>
      <c r="C763" s="792"/>
      <c r="D763" s="829">
        <f>+Tabla1[[#This Row],[FECHA Entrega]]</f>
        <v>0</v>
      </c>
      <c r="E763" s="830"/>
      <c r="F763" s="831"/>
      <c r="G763" s="832"/>
      <c r="H763" s="852"/>
      <c r="I763" s="834"/>
      <c r="J763" s="835"/>
      <c r="K763" s="836">
        <f t="shared" si="154"/>
        <v>0</v>
      </c>
      <c r="L76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63" s="837">
        <f t="shared" si="156"/>
        <v>0</v>
      </c>
      <c r="N763" s="838">
        <f>+Tabla1[[#This Row],[VENTA TOTAL $ (IVA INC) ]]</f>
        <v>0</v>
      </c>
      <c r="O763" s="838">
        <v>0</v>
      </c>
      <c r="P763" s="838">
        <v>0</v>
      </c>
      <c r="Q763" s="839">
        <f>+Tabla1[[#This Row],[VENTA TOTAL $ (IVA INC) ]]</f>
        <v>0</v>
      </c>
      <c r="R763" s="840">
        <f>+Tabla1[[#This Row],[FECHA FC]]+Tabla1[[#This Row],[PLAZO ENTREGA VALORES]]</f>
        <v>0</v>
      </c>
      <c r="S763" s="840">
        <f>+Tabla1[[#This Row],[FECHA FC]]+Tabla1[[#This Row],[PLAZO PAGO (DIAS)]]</f>
        <v>0</v>
      </c>
      <c r="T763" s="834">
        <f t="shared" ca="1" si="155"/>
        <v>-46181</v>
      </c>
      <c r="U763" s="831"/>
      <c r="V763" s="831"/>
      <c r="W763" s="841">
        <f t="shared" si="157"/>
        <v>7</v>
      </c>
      <c r="X763" s="830"/>
      <c r="Y763" s="859"/>
      <c r="Z763" s="860">
        <f>Tabla1[[#This Row],[KGS]]/50</f>
        <v>0</v>
      </c>
      <c r="AA76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63" s="844">
        <f>-Tabla1[[#This Row],[COSTO FLETE $ POR BOLSA 5O KG (SIN IVA)]]*1.21-Tabla1[[#This Row],[PRECIO $/ KG A PLAZO EN CLIENTE ( SIN IVA)]]*0.003*1.21*50</f>
        <v>0</v>
      </c>
      <c r="AC763" s="845" t="e">
        <f>SUM(Tabla1[[#This Row],[PRECIO $ BOLSA 50 KG (IVA INC) ]]+Tabla1[[#This Row],[COSTO FLETE $ BOLSA 50 KG (IVA INC)]])</f>
        <v>#VALUE!</v>
      </c>
      <c r="AD763" s="844" t="e">
        <f>-Tabla1[[#This Row],[PRECIO $ BOLSA 50 KG (IVA INC) ]]*(Tabla1[[#This Row],[TASA FINANCIACION MENSUAL]]/365)*Tabla1[[#This Row],[PLAZO ENTREGA VALORES]]</f>
        <v>#VALUE!</v>
      </c>
      <c r="AE763" s="845" t="e">
        <f>SUM(Tabla1[[#This Row],[PRECIO $ BOLSA50 KG  FOB TUCUMAN A PLAZO (IVA INC)]]+Tabla1[[#This Row],[GASTOS FINANCIEROS $ BOLSA 50 KG (IVA INC)]])</f>
        <v>#VALUE!</v>
      </c>
      <c r="AF763" s="828"/>
      <c r="AG763" s="828"/>
      <c r="AH763" s="828"/>
      <c r="AI763" s="828"/>
      <c r="AJ76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63" s="846" t="e">
        <f>SUM(Tabla1[[#This Row],[PRECIO $ BOLSA 50KG  FOB CDO TUC (IVA INC)]]-Tabla1[[#This Row],[PRECIO REF $ BOLSA 50 KG CACTU (IVA INC)]])</f>
        <v>#VALUE!</v>
      </c>
      <c r="AL763" s="847" t="str">
        <f>IFERROR(Tabla1[[#This Row],[PRECIO $ BOLSA 50KG  FOB CDO TUC (IVA INC)]]/Tabla1[[#This Row],[PRECIO REF $ BOLSA 50 KG CACTU (IVA INC)]]-1,"")</f>
        <v/>
      </c>
      <c r="AM763" s="846" t="e">
        <f>+Tabla1[[#This Row],[DIF $ PRECIO NETO INDUSTRIA vs Neto TUCUMAN (IVA INC)]]*Tabla1[[#This Row],[Q Bolsas Equivalentes 50kg]]</f>
        <v>#VALUE!</v>
      </c>
      <c r="AN763" s="846" t="e">
        <f>Tabla1[[#This Row],[PRECIO REF $ BOLSA 50 KG CACTU (IVA INC)]]*Tabla1[[#This Row],[Q Bolsas Equivalentes 50kg]]</f>
        <v>#VALUE!</v>
      </c>
      <c r="AO763" s="846" t="e">
        <f>+Tabla1[[#This Row],[PRECIO $ BOLSA 50KG  FOB CDO TUC (IVA INC)]]*Tabla1[[#This Row],[Q Bolsas Equivalentes 50kg]]</f>
        <v>#VALUE!</v>
      </c>
      <c r="AP763" s="847"/>
      <c r="AQ763" s="846">
        <v>0</v>
      </c>
      <c r="AR763" s="828"/>
      <c r="AS763" s="849"/>
      <c r="AT763" s="923">
        <f>+Tabla1[[#This Row],[VENTA TOTAL $ (IVA INC) ]]-(SUM(Tabla1[[#This Row],[PENDIENTE DE ENTREGA]:[VALORES COBRADOS]]))</f>
        <v>0</v>
      </c>
      <c r="AU763" s="850" t="e">
        <f>VLOOKUP(Tabla1[[#This Row],[FECHA OC]],'TIPO DE CAMBIO'!A:B,2,TRUE)</f>
        <v>#N/A</v>
      </c>
      <c r="AV763" s="850" t="e">
        <f>+Tabla1[[#This Row],[SUBTOTAL]]/Tabla1[[#This Row],[TIPO DE CAMBIO]]</f>
        <v>#N/A</v>
      </c>
      <c r="AW763" s="851"/>
      <c r="AX763" s="850" t="str">
        <f>IFERROR(Tabla1[[#This Row],[VENTA TOTAL USD A PLAZO EN CLIENTE  (SIN IVA)]]*(1+Tabla1[[#This Row],[% IVA ]]),"")</f>
        <v/>
      </c>
      <c r="AY763" s="850" t="e">
        <f>+Tabla1[[#This Row],[VENTA TOTAL USD A PLAZO EN CLIENTE  (SIN IVA)]]/Tabla1[[#This Row],[KGS]]*1000</f>
        <v>#N/A</v>
      </c>
      <c r="AZ763" s="850" t="e">
        <f>-Tabla1[[#This Row],[COSTO FLETE $ POR BOLSA 5O KG (SIN IVA)]]*20/Tabla1[[#This Row],[TIPO DE CAMBIO]]</f>
        <v>#N/A</v>
      </c>
      <c r="BA763" s="850" t="e">
        <f>+Tabla1[[#This Row],[GASTOS FINANCIEROS $ BOLSA 50 KG (IVA INC)]]*20/Tabla1[[#This Row],[TIPO DE CAMBIO]]</f>
        <v>#VALUE!</v>
      </c>
      <c r="BB763" s="850" t="e">
        <f>+Tabla1[[#This Row],[PRECIO POR TN USD EN CLIENTE A PLAZO (SIN IVA)]]+Tabla1[[#This Row],[COSTO USD FLETE /TN (SIN IVA)]]+Tabla1[[#This Row],[COSTO FINANCIERO USD POR BOLSA 50KG (IVA INC)]]</f>
        <v>#N/A</v>
      </c>
      <c r="BC763" s="828"/>
      <c r="BD763" s="944"/>
    </row>
    <row r="764" spans="1:56" ht="15.75" customHeight="1">
      <c r="A764" s="912">
        <v>46327</v>
      </c>
      <c r="B764" s="853"/>
      <c r="C764" s="792"/>
      <c r="D764" s="829">
        <f>+Tabla1[[#This Row],[FECHA Entrega]]</f>
        <v>0</v>
      </c>
      <c r="E764" s="830"/>
      <c r="F764" s="831"/>
      <c r="G764" s="832"/>
      <c r="H764" s="852"/>
      <c r="I764" s="834"/>
      <c r="J764" s="835"/>
      <c r="K764" s="836">
        <f t="shared" si="154"/>
        <v>0</v>
      </c>
      <c r="L76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64" s="837">
        <f t="shared" si="156"/>
        <v>0</v>
      </c>
      <c r="N764" s="838">
        <f>+Tabla1[[#This Row],[VENTA TOTAL $ (IVA INC) ]]</f>
        <v>0</v>
      </c>
      <c r="O764" s="838">
        <v>0</v>
      </c>
      <c r="P764" s="838">
        <v>0</v>
      </c>
      <c r="Q764" s="839">
        <f>+Tabla1[[#This Row],[VENTA TOTAL $ (IVA INC) ]]</f>
        <v>0</v>
      </c>
      <c r="R764" s="840">
        <f>+Tabla1[[#This Row],[FECHA FC]]+Tabla1[[#This Row],[PLAZO ENTREGA VALORES]]</f>
        <v>0</v>
      </c>
      <c r="S764" s="840">
        <f>+Tabla1[[#This Row],[FECHA FC]]+Tabla1[[#This Row],[PLAZO PAGO (DIAS)]]</f>
        <v>0</v>
      </c>
      <c r="T764" s="834">
        <f t="shared" ca="1" si="155"/>
        <v>-46181</v>
      </c>
      <c r="U764" s="831"/>
      <c r="V764" s="831"/>
      <c r="W764" s="841">
        <f t="shared" si="157"/>
        <v>7</v>
      </c>
      <c r="X764" s="830"/>
      <c r="Y764" s="859"/>
      <c r="Z764" s="860">
        <f>Tabla1[[#This Row],[KGS]]/50</f>
        <v>0</v>
      </c>
      <c r="AA76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64" s="844">
        <f>-Tabla1[[#This Row],[COSTO FLETE $ POR BOLSA 5O KG (SIN IVA)]]*1.21-Tabla1[[#This Row],[PRECIO $/ KG A PLAZO EN CLIENTE ( SIN IVA)]]*0.003*1.21*50</f>
        <v>0</v>
      </c>
      <c r="AC764" s="845" t="e">
        <f>SUM(Tabla1[[#This Row],[PRECIO $ BOLSA 50 KG (IVA INC) ]]+Tabla1[[#This Row],[COSTO FLETE $ BOLSA 50 KG (IVA INC)]])</f>
        <v>#VALUE!</v>
      </c>
      <c r="AD764" s="844" t="e">
        <f>-Tabla1[[#This Row],[PRECIO $ BOLSA 50 KG (IVA INC) ]]*(Tabla1[[#This Row],[TASA FINANCIACION MENSUAL]]/365)*Tabla1[[#This Row],[PLAZO ENTREGA VALORES]]</f>
        <v>#VALUE!</v>
      </c>
      <c r="AE764" s="845" t="e">
        <f>SUM(Tabla1[[#This Row],[PRECIO $ BOLSA50 KG  FOB TUCUMAN A PLAZO (IVA INC)]]+Tabla1[[#This Row],[GASTOS FINANCIEROS $ BOLSA 50 KG (IVA INC)]])</f>
        <v>#VALUE!</v>
      </c>
      <c r="AF764" s="828"/>
      <c r="AG764" s="828"/>
      <c r="AH764" s="828"/>
      <c r="AI764" s="828"/>
      <c r="AJ76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64" s="846" t="e">
        <f>SUM(Tabla1[[#This Row],[PRECIO $ BOLSA 50KG  FOB CDO TUC (IVA INC)]]-Tabla1[[#This Row],[PRECIO REF $ BOLSA 50 KG CACTU (IVA INC)]])</f>
        <v>#VALUE!</v>
      </c>
      <c r="AL764" s="847" t="str">
        <f>IFERROR(Tabla1[[#This Row],[PRECIO $ BOLSA 50KG  FOB CDO TUC (IVA INC)]]/Tabla1[[#This Row],[PRECIO REF $ BOLSA 50 KG CACTU (IVA INC)]]-1,"")</f>
        <v/>
      </c>
      <c r="AM764" s="846" t="e">
        <f>+Tabla1[[#This Row],[DIF $ PRECIO NETO INDUSTRIA vs Neto TUCUMAN (IVA INC)]]*Tabla1[[#This Row],[Q Bolsas Equivalentes 50kg]]</f>
        <v>#VALUE!</v>
      </c>
      <c r="AN764" s="846" t="e">
        <f>Tabla1[[#This Row],[PRECIO REF $ BOLSA 50 KG CACTU (IVA INC)]]*Tabla1[[#This Row],[Q Bolsas Equivalentes 50kg]]</f>
        <v>#VALUE!</v>
      </c>
      <c r="AO764" s="846" t="e">
        <f>+Tabla1[[#This Row],[PRECIO $ BOLSA 50KG  FOB CDO TUC (IVA INC)]]*Tabla1[[#This Row],[Q Bolsas Equivalentes 50kg]]</f>
        <v>#VALUE!</v>
      </c>
      <c r="AP764" s="847"/>
      <c r="AQ764" s="846">
        <v>0</v>
      </c>
      <c r="AR764" s="828"/>
      <c r="AS764" s="849"/>
      <c r="AT764" s="923">
        <f>+Tabla1[[#This Row],[VENTA TOTAL $ (IVA INC) ]]-(SUM(Tabla1[[#This Row],[PENDIENTE DE ENTREGA]:[VALORES COBRADOS]]))</f>
        <v>0</v>
      </c>
      <c r="AU764" s="850" t="e">
        <f>VLOOKUP(Tabla1[[#This Row],[FECHA OC]],'TIPO DE CAMBIO'!A:B,2,TRUE)</f>
        <v>#N/A</v>
      </c>
      <c r="AV764" s="850" t="e">
        <f>+Tabla1[[#This Row],[SUBTOTAL]]/Tabla1[[#This Row],[TIPO DE CAMBIO]]</f>
        <v>#N/A</v>
      </c>
      <c r="AW764" s="851"/>
      <c r="AX764" s="850" t="str">
        <f>IFERROR(Tabla1[[#This Row],[VENTA TOTAL USD A PLAZO EN CLIENTE  (SIN IVA)]]*(1+Tabla1[[#This Row],[% IVA ]]),"")</f>
        <v/>
      </c>
      <c r="AY764" s="850" t="e">
        <f>+Tabla1[[#This Row],[VENTA TOTAL USD A PLAZO EN CLIENTE  (SIN IVA)]]/Tabla1[[#This Row],[KGS]]*1000</f>
        <v>#N/A</v>
      </c>
      <c r="AZ764" s="850" t="e">
        <f>-Tabla1[[#This Row],[COSTO FLETE $ POR BOLSA 5O KG (SIN IVA)]]*20/Tabla1[[#This Row],[TIPO DE CAMBIO]]</f>
        <v>#N/A</v>
      </c>
      <c r="BA764" s="850" t="e">
        <f>+Tabla1[[#This Row],[GASTOS FINANCIEROS $ BOLSA 50 KG (IVA INC)]]*20/Tabla1[[#This Row],[TIPO DE CAMBIO]]</f>
        <v>#VALUE!</v>
      </c>
      <c r="BB764" s="850" t="e">
        <f>+Tabla1[[#This Row],[PRECIO POR TN USD EN CLIENTE A PLAZO (SIN IVA)]]+Tabla1[[#This Row],[COSTO USD FLETE /TN (SIN IVA)]]+Tabla1[[#This Row],[COSTO FINANCIERO USD POR BOLSA 50KG (IVA INC)]]</f>
        <v>#N/A</v>
      </c>
      <c r="BC764" s="828"/>
      <c r="BD764" s="944"/>
    </row>
    <row r="765" spans="1:56" ht="15.75" customHeight="1">
      <c r="A765" s="912">
        <v>46327</v>
      </c>
      <c r="B765" s="853"/>
      <c r="C765" s="792"/>
      <c r="D765" s="829">
        <f>+Tabla1[[#This Row],[FECHA Entrega]]</f>
        <v>0</v>
      </c>
      <c r="E765" s="830"/>
      <c r="F765" s="831"/>
      <c r="G765" s="832"/>
      <c r="H765" s="852"/>
      <c r="I765" s="834"/>
      <c r="J765" s="835"/>
      <c r="K765" s="836">
        <f t="shared" si="154"/>
        <v>0</v>
      </c>
      <c r="L76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65" s="837">
        <f t="shared" si="156"/>
        <v>0</v>
      </c>
      <c r="N765" s="838">
        <f>+Tabla1[[#This Row],[VENTA TOTAL $ (IVA INC) ]]</f>
        <v>0</v>
      </c>
      <c r="O765" s="838">
        <v>0</v>
      </c>
      <c r="P765" s="838">
        <v>0</v>
      </c>
      <c r="Q765" s="839">
        <f>+Tabla1[[#This Row],[VENTA TOTAL $ (IVA INC) ]]</f>
        <v>0</v>
      </c>
      <c r="R765" s="840">
        <f>+Tabla1[[#This Row],[FECHA FC]]+Tabla1[[#This Row],[PLAZO ENTREGA VALORES]]</f>
        <v>0</v>
      </c>
      <c r="S765" s="840">
        <f>+Tabla1[[#This Row],[FECHA FC]]+Tabla1[[#This Row],[PLAZO PAGO (DIAS)]]</f>
        <v>0</v>
      </c>
      <c r="T765" s="834">
        <f t="shared" ca="1" si="155"/>
        <v>-46181</v>
      </c>
      <c r="U765" s="831"/>
      <c r="V765" s="831"/>
      <c r="W765" s="841">
        <f t="shared" si="157"/>
        <v>7</v>
      </c>
      <c r="X765" s="830"/>
      <c r="Y765" s="859"/>
      <c r="Z765" s="860">
        <f>Tabla1[[#This Row],[KGS]]/50</f>
        <v>0</v>
      </c>
      <c r="AA76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65" s="844">
        <f>-Tabla1[[#This Row],[COSTO FLETE $ POR BOLSA 5O KG (SIN IVA)]]*1.21-Tabla1[[#This Row],[PRECIO $/ KG A PLAZO EN CLIENTE ( SIN IVA)]]*0.003*1.21*50</f>
        <v>0</v>
      </c>
      <c r="AC765" s="845" t="e">
        <f>SUM(Tabla1[[#This Row],[PRECIO $ BOLSA 50 KG (IVA INC) ]]+Tabla1[[#This Row],[COSTO FLETE $ BOLSA 50 KG (IVA INC)]])</f>
        <v>#VALUE!</v>
      </c>
      <c r="AD765" s="844" t="e">
        <f>-Tabla1[[#This Row],[PRECIO $ BOLSA 50 KG (IVA INC) ]]*(Tabla1[[#This Row],[TASA FINANCIACION MENSUAL]]/365)*Tabla1[[#This Row],[PLAZO ENTREGA VALORES]]</f>
        <v>#VALUE!</v>
      </c>
      <c r="AE765" s="845" t="e">
        <f>SUM(Tabla1[[#This Row],[PRECIO $ BOLSA50 KG  FOB TUCUMAN A PLAZO (IVA INC)]]+Tabla1[[#This Row],[GASTOS FINANCIEROS $ BOLSA 50 KG (IVA INC)]])</f>
        <v>#VALUE!</v>
      </c>
      <c r="AF765" s="828"/>
      <c r="AG765" s="828"/>
      <c r="AH765" s="828"/>
      <c r="AI765" s="828"/>
      <c r="AJ76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65" s="846" t="e">
        <f>SUM(Tabla1[[#This Row],[PRECIO $ BOLSA 50KG  FOB CDO TUC (IVA INC)]]-Tabla1[[#This Row],[PRECIO REF $ BOLSA 50 KG CACTU (IVA INC)]])</f>
        <v>#VALUE!</v>
      </c>
      <c r="AL765" s="847" t="str">
        <f>IFERROR(Tabla1[[#This Row],[PRECIO $ BOLSA 50KG  FOB CDO TUC (IVA INC)]]/Tabla1[[#This Row],[PRECIO REF $ BOLSA 50 KG CACTU (IVA INC)]]-1,"")</f>
        <v/>
      </c>
      <c r="AM765" s="846" t="e">
        <f>+Tabla1[[#This Row],[DIF $ PRECIO NETO INDUSTRIA vs Neto TUCUMAN (IVA INC)]]*Tabla1[[#This Row],[Q Bolsas Equivalentes 50kg]]</f>
        <v>#VALUE!</v>
      </c>
      <c r="AN765" s="846" t="e">
        <f>Tabla1[[#This Row],[PRECIO REF $ BOLSA 50 KG CACTU (IVA INC)]]*Tabla1[[#This Row],[Q Bolsas Equivalentes 50kg]]</f>
        <v>#VALUE!</v>
      </c>
      <c r="AO765" s="846" t="e">
        <f>+Tabla1[[#This Row],[PRECIO $ BOLSA 50KG  FOB CDO TUC (IVA INC)]]*Tabla1[[#This Row],[Q Bolsas Equivalentes 50kg]]</f>
        <v>#VALUE!</v>
      </c>
      <c r="AP765" s="847"/>
      <c r="AQ765" s="846">
        <v>0</v>
      </c>
      <c r="AR765" s="828"/>
      <c r="AS765" s="849"/>
      <c r="AT765" s="923">
        <f>+Tabla1[[#This Row],[VENTA TOTAL $ (IVA INC) ]]-(SUM(Tabla1[[#This Row],[PENDIENTE DE ENTREGA]:[VALORES COBRADOS]]))</f>
        <v>0</v>
      </c>
      <c r="AU765" s="850" t="e">
        <f>VLOOKUP(Tabla1[[#This Row],[FECHA OC]],'TIPO DE CAMBIO'!A:B,2,TRUE)</f>
        <v>#N/A</v>
      </c>
      <c r="AV765" s="850" t="e">
        <f>+Tabla1[[#This Row],[SUBTOTAL]]/Tabla1[[#This Row],[TIPO DE CAMBIO]]</f>
        <v>#N/A</v>
      </c>
      <c r="AW765" s="851"/>
      <c r="AX765" s="850" t="str">
        <f>IFERROR(Tabla1[[#This Row],[VENTA TOTAL USD A PLAZO EN CLIENTE  (SIN IVA)]]*(1+Tabla1[[#This Row],[% IVA ]]),"")</f>
        <v/>
      </c>
      <c r="AY765" s="850" t="e">
        <f>+Tabla1[[#This Row],[VENTA TOTAL USD A PLAZO EN CLIENTE  (SIN IVA)]]/Tabla1[[#This Row],[KGS]]*1000</f>
        <v>#N/A</v>
      </c>
      <c r="AZ765" s="850" t="e">
        <f>-Tabla1[[#This Row],[COSTO FLETE $ POR BOLSA 5O KG (SIN IVA)]]*20/Tabla1[[#This Row],[TIPO DE CAMBIO]]</f>
        <v>#N/A</v>
      </c>
      <c r="BA765" s="850" t="e">
        <f>+Tabla1[[#This Row],[GASTOS FINANCIEROS $ BOLSA 50 KG (IVA INC)]]*20/Tabla1[[#This Row],[TIPO DE CAMBIO]]</f>
        <v>#VALUE!</v>
      </c>
      <c r="BB765" s="850" t="e">
        <f>+Tabla1[[#This Row],[PRECIO POR TN USD EN CLIENTE A PLAZO (SIN IVA)]]+Tabla1[[#This Row],[COSTO USD FLETE /TN (SIN IVA)]]+Tabla1[[#This Row],[COSTO FINANCIERO USD POR BOLSA 50KG (IVA INC)]]</f>
        <v>#N/A</v>
      </c>
      <c r="BC765" s="828"/>
      <c r="BD765" s="944"/>
    </row>
    <row r="766" spans="1:56" ht="15.75" customHeight="1">
      <c r="A766" s="912">
        <v>46327</v>
      </c>
      <c r="B766" s="853"/>
      <c r="C766" s="792"/>
      <c r="D766" s="829">
        <f>+Tabla1[[#This Row],[FECHA Entrega]]</f>
        <v>0</v>
      </c>
      <c r="E766" s="830"/>
      <c r="F766" s="831"/>
      <c r="G766" s="832"/>
      <c r="H766" s="852"/>
      <c r="I766" s="834"/>
      <c r="J766" s="835"/>
      <c r="K766" s="836">
        <f t="shared" si="154"/>
        <v>0</v>
      </c>
      <c r="L76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66" s="837">
        <f t="shared" si="156"/>
        <v>0</v>
      </c>
      <c r="N766" s="838">
        <f>+Tabla1[[#This Row],[VENTA TOTAL $ (IVA INC) ]]</f>
        <v>0</v>
      </c>
      <c r="O766" s="838">
        <v>0</v>
      </c>
      <c r="P766" s="838">
        <v>0</v>
      </c>
      <c r="Q766" s="839">
        <f>+Tabla1[[#This Row],[VENTA TOTAL $ (IVA INC) ]]-Tabla1[[#This Row],[PENDIENTE DE COBRO]]</f>
        <v>0</v>
      </c>
      <c r="R766" s="840">
        <f>+Tabla1[[#This Row],[FECHA FC]]+Tabla1[[#This Row],[PLAZO ENTREGA VALORES]]</f>
        <v>0</v>
      </c>
      <c r="S766" s="840">
        <f>+Tabla1[[#This Row],[FECHA FC]]+Tabla1[[#This Row],[PLAZO PAGO (DIAS)]]</f>
        <v>0</v>
      </c>
      <c r="T766" s="834">
        <f t="shared" ca="1" si="155"/>
        <v>-46181</v>
      </c>
      <c r="U766" s="831"/>
      <c r="V766" s="831"/>
      <c r="W766" s="841">
        <f t="shared" si="157"/>
        <v>7</v>
      </c>
      <c r="X766" s="830"/>
      <c r="Y766" s="859"/>
      <c r="Z766" s="860">
        <f>Tabla1[[#This Row],[KGS]]/50</f>
        <v>0</v>
      </c>
      <c r="AA76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66" s="844">
        <f>-Tabla1[[#This Row],[COSTO FLETE $ POR BOLSA 5O KG (SIN IVA)]]*1.21-Tabla1[[#This Row],[PRECIO $/ KG A PLAZO EN CLIENTE ( SIN IVA)]]*0.003*1.21*50</f>
        <v>0</v>
      </c>
      <c r="AC766" s="845" t="e">
        <f>SUM(Tabla1[[#This Row],[PRECIO $ BOLSA 50 KG (IVA INC) ]]+Tabla1[[#This Row],[COSTO FLETE $ BOLSA 50 KG (IVA INC)]])</f>
        <v>#VALUE!</v>
      </c>
      <c r="AD766" s="844" t="e">
        <f>-Tabla1[[#This Row],[PRECIO $ BOLSA 50 KG (IVA INC) ]]*(Tabla1[[#This Row],[TASA FINANCIACION MENSUAL]]/365)*Tabla1[[#This Row],[PLAZO ENTREGA VALORES]]</f>
        <v>#VALUE!</v>
      </c>
      <c r="AE766" s="845" t="e">
        <f>SUM(Tabla1[[#This Row],[PRECIO $ BOLSA50 KG  FOB TUCUMAN A PLAZO (IVA INC)]]+Tabla1[[#This Row],[GASTOS FINANCIEROS $ BOLSA 50 KG (IVA INC)]])</f>
        <v>#VALUE!</v>
      </c>
      <c r="AF766" s="828"/>
      <c r="AG766" s="828"/>
      <c r="AH766" s="828"/>
      <c r="AI766" s="828"/>
      <c r="AJ76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66" s="846" t="e">
        <f>SUM(Tabla1[[#This Row],[PRECIO $ BOLSA 50KG  FOB CDO TUC (IVA INC)]]-Tabla1[[#This Row],[PRECIO REF $ BOLSA 50 KG CACTU (IVA INC)]])</f>
        <v>#VALUE!</v>
      </c>
      <c r="AL766" s="847" t="str">
        <f>IFERROR(Tabla1[[#This Row],[PRECIO $ BOLSA 50KG  FOB CDO TUC (IVA INC)]]/Tabla1[[#This Row],[PRECIO REF $ BOLSA 50 KG CACTU (IVA INC)]]-1,"")</f>
        <v/>
      </c>
      <c r="AM766" s="846" t="e">
        <f>+Tabla1[[#This Row],[DIF $ PRECIO NETO INDUSTRIA vs Neto TUCUMAN (IVA INC)]]*Tabla1[[#This Row],[Q Bolsas Equivalentes 50kg]]</f>
        <v>#VALUE!</v>
      </c>
      <c r="AN766" s="846" t="e">
        <f>Tabla1[[#This Row],[PRECIO REF $ BOLSA 50 KG CACTU (IVA INC)]]*Tabla1[[#This Row],[Q Bolsas Equivalentes 50kg]]</f>
        <v>#VALUE!</v>
      </c>
      <c r="AO766" s="846" t="e">
        <f>+Tabla1[[#This Row],[PRECIO $ BOLSA 50KG  FOB CDO TUC (IVA INC)]]*Tabla1[[#This Row],[Q Bolsas Equivalentes 50kg]]</f>
        <v>#VALUE!</v>
      </c>
      <c r="AP766" s="847"/>
      <c r="AQ766" s="846">
        <v>0</v>
      </c>
      <c r="AR766" s="828"/>
      <c r="AS766" s="849"/>
      <c r="AT766" s="923">
        <f>+Tabla1[[#This Row],[VENTA TOTAL $ (IVA INC) ]]-(SUM(Tabla1[[#This Row],[PENDIENTE DE ENTREGA]:[VALORES COBRADOS]]))</f>
        <v>0</v>
      </c>
      <c r="AU766" s="850" t="e">
        <f>VLOOKUP(Tabla1[[#This Row],[FECHA OC]],'TIPO DE CAMBIO'!A:B,2,TRUE)</f>
        <v>#N/A</v>
      </c>
      <c r="AV766" s="850" t="e">
        <f>+Tabla1[[#This Row],[SUBTOTAL]]/Tabla1[[#This Row],[TIPO DE CAMBIO]]</f>
        <v>#N/A</v>
      </c>
      <c r="AW766" s="851"/>
      <c r="AX766" s="850" t="str">
        <f>IFERROR(Tabla1[[#This Row],[VENTA TOTAL USD A PLAZO EN CLIENTE  (SIN IVA)]]*(1+Tabla1[[#This Row],[% IVA ]]),"")</f>
        <v/>
      </c>
      <c r="AY766" s="850" t="e">
        <f>+Tabla1[[#This Row],[VENTA TOTAL USD A PLAZO EN CLIENTE  (SIN IVA)]]/Tabla1[[#This Row],[KGS]]*1000</f>
        <v>#N/A</v>
      </c>
      <c r="AZ766" s="850" t="e">
        <f>-Tabla1[[#This Row],[COSTO FLETE $ POR BOLSA 5O KG (SIN IVA)]]*20/Tabla1[[#This Row],[TIPO DE CAMBIO]]</f>
        <v>#N/A</v>
      </c>
      <c r="BA766" s="850" t="e">
        <f>+Tabla1[[#This Row],[GASTOS FINANCIEROS $ BOLSA 50 KG (IVA INC)]]*20/Tabla1[[#This Row],[TIPO DE CAMBIO]]</f>
        <v>#VALUE!</v>
      </c>
      <c r="BB766" s="850" t="e">
        <f>+Tabla1[[#This Row],[PRECIO POR TN USD EN CLIENTE A PLAZO (SIN IVA)]]+Tabla1[[#This Row],[COSTO USD FLETE /TN (SIN IVA)]]+Tabla1[[#This Row],[COSTO FINANCIERO USD POR BOLSA 50KG (IVA INC)]]</f>
        <v>#N/A</v>
      </c>
      <c r="BC766" s="828"/>
      <c r="BD766" s="944"/>
    </row>
    <row r="767" spans="1:56" ht="15.75" customHeight="1">
      <c r="A767" s="912">
        <v>46327</v>
      </c>
      <c r="B767" s="853"/>
      <c r="C767" s="792"/>
      <c r="D767" s="829">
        <f>+Tabla1[[#This Row],[FECHA Entrega]]</f>
        <v>0</v>
      </c>
      <c r="E767" s="830"/>
      <c r="F767" s="831"/>
      <c r="G767" s="832"/>
      <c r="H767" s="852"/>
      <c r="I767" s="834"/>
      <c r="J767" s="835"/>
      <c r="K767" s="836">
        <f t="shared" si="154"/>
        <v>0</v>
      </c>
      <c r="L76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67" s="837">
        <f t="shared" si="156"/>
        <v>0</v>
      </c>
      <c r="N767" s="838">
        <f>+Tabla1[[#This Row],[VENTA TOTAL $ (IVA INC) ]]</f>
        <v>0</v>
      </c>
      <c r="O767" s="838">
        <v>0</v>
      </c>
      <c r="P767" s="838">
        <v>0</v>
      </c>
      <c r="Q767" s="839">
        <f>+Tabla1[[#This Row],[VENTA TOTAL $ (IVA INC) ]]-Tabla1[[#This Row],[PENDIENTE DE COBRO]]</f>
        <v>0</v>
      </c>
      <c r="R767" s="840">
        <f>+Tabla1[[#This Row],[FECHA FC]]+Tabla1[[#This Row],[PLAZO ENTREGA VALORES]]</f>
        <v>0</v>
      </c>
      <c r="S767" s="840">
        <f>+Tabla1[[#This Row],[FECHA FC]]+Tabla1[[#This Row],[PLAZO PAGO (DIAS)]]</f>
        <v>0</v>
      </c>
      <c r="T767" s="834">
        <f t="shared" ca="1" si="155"/>
        <v>-46181</v>
      </c>
      <c r="U767" s="831"/>
      <c r="V767" s="831"/>
      <c r="W767" s="841">
        <f t="shared" si="157"/>
        <v>7</v>
      </c>
      <c r="X767" s="830"/>
      <c r="Y767" s="859"/>
      <c r="Z767" s="860">
        <f>Tabla1[[#This Row],[KGS]]/50</f>
        <v>0</v>
      </c>
      <c r="AA76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67" s="844">
        <f>-Tabla1[[#This Row],[COSTO FLETE $ POR BOLSA 5O KG (SIN IVA)]]*1.21-Tabla1[[#This Row],[PRECIO $/ KG A PLAZO EN CLIENTE ( SIN IVA)]]*0.003*1.21*50</f>
        <v>0</v>
      </c>
      <c r="AC767" s="845" t="e">
        <f>SUM(Tabla1[[#This Row],[PRECIO $ BOLSA 50 KG (IVA INC) ]]+Tabla1[[#This Row],[COSTO FLETE $ BOLSA 50 KG (IVA INC)]])</f>
        <v>#VALUE!</v>
      </c>
      <c r="AD767" s="844" t="e">
        <f>-Tabla1[[#This Row],[PRECIO $ BOLSA 50 KG (IVA INC) ]]*(Tabla1[[#This Row],[TASA FINANCIACION MENSUAL]]/365)*Tabla1[[#This Row],[PLAZO ENTREGA VALORES]]</f>
        <v>#VALUE!</v>
      </c>
      <c r="AE767" s="845" t="e">
        <f>SUM(Tabla1[[#This Row],[PRECIO $ BOLSA50 KG  FOB TUCUMAN A PLAZO (IVA INC)]]+Tabla1[[#This Row],[GASTOS FINANCIEROS $ BOLSA 50 KG (IVA INC)]])</f>
        <v>#VALUE!</v>
      </c>
      <c r="AF767" s="828"/>
      <c r="AG767" s="828"/>
      <c r="AH767" s="828"/>
      <c r="AI767" s="828"/>
      <c r="AJ76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67" s="846" t="e">
        <f>SUM(Tabla1[[#This Row],[PRECIO $ BOLSA 50KG  FOB CDO TUC (IVA INC)]]-Tabla1[[#This Row],[PRECIO REF $ BOLSA 50 KG CACTU (IVA INC)]])</f>
        <v>#VALUE!</v>
      </c>
      <c r="AL767" s="847" t="str">
        <f>IFERROR(Tabla1[[#This Row],[PRECIO $ BOLSA 50KG  FOB CDO TUC (IVA INC)]]/Tabla1[[#This Row],[PRECIO REF $ BOLSA 50 KG CACTU (IVA INC)]]-1,"")</f>
        <v/>
      </c>
      <c r="AM767" s="846" t="e">
        <f>+Tabla1[[#This Row],[DIF $ PRECIO NETO INDUSTRIA vs Neto TUCUMAN (IVA INC)]]*Tabla1[[#This Row],[Q Bolsas Equivalentes 50kg]]</f>
        <v>#VALUE!</v>
      </c>
      <c r="AN767" s="846" t="e">
        <f>Tabla1[[#This Row],[PRECIO REF $ BOLSA 50 KG CACTU (IVA INC)]]*Tabla1[[#This Row],[Q Bolsas Equivalentes 50kg]]</f>
        <v>#VALUE!</v>
      </c>
      <c r="AO767" s="846" t="e">
        <f>+Tabla1[[#This Row],[PRECIO $ BOLSA 50KG  FOB CDO TUC (IVA INC)]]*Tabla1[[#This Row],[Q Bolsas Equivalentes 50kg]]</f>
        <v>#VALUE!</v>
      </c>
      <c r="AP767" s="847"/>
      <c r="AQ767" s="846">
        <v>0</v>
      </c>
      <c r="AR767" s="828"/>
      <c r="AS767" s="849"/>
      <c r="AT767" s="923">
        <f>+Tabla1[[#This Row],[VENTA TOTAL $ (IVA INC) ]]-(SUM(Tabla1[[#This Row],[PENDIENTE DE ENTREGA]:[VALORES COBRADOS]]))</f>
        <v>0</v>
      </c>
      <c r="AU767" s="850" t="e">
        <f>VLOOKUP(Tabla1[[#This Row],[FECHA OC]],'TIPO DE CAMBIO'!A:B,2,TRUE)</f>
        <v>#N/A</v>
      </c>
      <c r="AV767" s="850" t="e">
        <f>+Tabla1[[#This Row],[SUBTOTAL]]/Tabla1[[#This Row],[TIPO DE CAMBIO]]</f>
        <v>#N/A</v>
      </c>
      <c r="AW767" s="851"/>
      <c r="AX767" s="850" t="str">
        <f>IFERROR(Tabla1[[#This Row],[VENTA TOTAL USD A PLAZO EN CLIENTE  (SIN IVA)]]*(1+Tabla1[[#This Row],[% IVA ]]),"")</f>
        <v/>
      </c>
      <c r="AY767" s="850" t="e">
        <f>+Tabla1[[#This Row],[VENTA TOTAL USD A PLAZO EN CLIENTE  (SIN IVA)]]/Tabla1[[#This Row],[KGS]]*1000</f>
        <v>#N/A</v>
      </c>
      <c r="AZ767" s="850" t="e">
        <f>-Tabla1[[#This Row],[COSTO FLETE $ POR BOLSA 5O KG (SIN IVA)]]*20/Tabla1[[#This Row],[TIPO DE CAMBIO]]</f>
        <v>#N/A</v>
      </c>
      <c r="BA767" s="850" t="e">
        <f>+Tabla1[[#This Row],[GASTOS FINANCIEROS $ BOLSA 50 KG (IVA INC)]]*20/Tabla1[[#This Row],[TIPO DE CAMBIO]]</f>
        <v>#VALUE!</v>
      </c>
      <c r="BB767" s="850" t="e">
        <f>+Tabla1[[#This Row],[PRECIO POR TN USD EN CLIENTE A PLAZO (SIN IVA)]]+Tabla1[[#This Row],[COSTO USD FLETE /TN (SIN IVA)]]+Tabla1[[#This Row],[COSTO FINANCIERO USD POR BOLSA 50KG (IVA INC)]]</f>
        <v>#N/A</v>
      </c>
      <c r="BC767" s="828"/>
      <c r="BD767" s="944"/>
    </row>
    <row r="768" spans="1:56" ht="15.75" customHeight="1">
      <c r="A768" s="912">
        <v>46327</v>
      </c>
      <c r="B768" s="853"/>
      <c r="C768" s="792"/>
      <c r="D768" s="829">
        <f>+Tabla1[[#This Row],[FECHA Entrega]]</f>
        <v>0</v>
      </c>
      <c r="E768" s="830"/>
      <c r="F768" s="831"/>
      <c r="G768" s="832"/>
      <c r="H768" s="852"/>
      <c r="I768" s="834"/>
      <c r="J768" s="835"/>
      <c r="K768" s="836">
        <f t="shared" si="154"/>
        <v>0</v>
      </c>
      <c r="L76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68" s="837">
        <f t="shared" si="156"/>
        <v>0</v>
      </c>
      <c r="N768" s="838">
        <f>+Tabla1[[#This Row],[VENTA TOTAL $ (IVA INC) ]]</f>
        <v>0</v>
      </c>
      <c r="O768" s="838">
        <v>0</v>
      </c>
      <c r="P768" s="838">
        <v>0</v>
      </c>
      <c r="Q768" s="839">
        <f>+Tabla1[[#This Row],[VENTA TOTAL $ (IVA INC) ]]</f>
        <v>0</v>
      </c>
      <c r="R768" s="840">
        <f>+Tabla1[[#This Row],[FECHA FC]]+Tabla1[[#This Row],[PLAZO ENTREGA VALORES]]</f>
        <v>0</v>
      </c>
      <c r="S768" s="840">
        <f>+Tabla1[[#This Row],[FECHA FC]]+Tabla1[[#This Row],[PLAZO PAGO (DIAS)]]</f>
        <v>0</v>
      </c>
      <c r="T768" s="834">
        <f t="shared" ca="1" si="155"/>
        <v>-46181</v>
      </c>
      <c r="U768" s="831"/>
      <c r="V768" s="831"/>
      <c r="W768" s="841">
        <f t="shared" si="157"/>
        <v>7</v>
      </c>
      <c r="X768" s="830"/>
      <c r="Y768" s="859"/>
      <c r="Z768" s="860">
        <f>Tabla1[[#This Row],[KGS]]/50</f>
        <v>0</v>
      </c>
      <c r="AA76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68" s="844">
        <f>-Tabla1[[#This Row],[COSTO FLETE $ POR BOLSA 5O KG (SIN IVA)]]*1.21-Tabla1[[#This Row],[PRECIO $/ KG A PLAZO EN CLIENTE ( SIN IVA)]]*0.003*1.21*50</f>
        <v>0</v>
      </c>
      <c r="AC768" s="845" t="e">
        <f>SUM(Tabla1[[#This Row],[PRECIO $ BOLSA 50 KG (IVA INC) ]]+Tabla1[[#This Row],[COSTO FLETE $ BOLSA 50 KG (IVA INC)]])</f>
        <v>#VALUE!</v>
      </c>
      <c r="AD768" s="844" t="e">
        <f>-Tabla1[[#This Row],[PRECIO $ BOLSA 50 KG (IVA INC) ]]*(Tabla1[[#This Row],[TASA FINANCIACION MENSUAL]]/365)*Tabla1[[#This Row],[PLAZO ENTREGA VALORES]]</f>
        <v>#VALUE!</v>
      </c>
      <c r="AE768" s="845" t="e">
        <f>SUM(Tabla1[[#This Row],[PRECIO $ BOLSA50 KG  FOB TUCUMAN A PLAZO (IVA INC)]]+Tabla1[[#This Row],[GASTOS FINANCIEROS $ BOLSA 50 KG (IVA INC)]])</f>
        <v>#VALUE!</v>
      </c>
      <c r="AF768" s="828"/>
      <c r="AG768" s="828"/>
      <c r="AH768" s="828"/>
      <c r="AI768" s="828"/>
      <c r="AJ76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68" s="846" t="e">
        <f>SUM(Tabla1[[#This Row],[PRECIO $ BOLSA 50KG  FOB CDO TUC (IVA INC)]]-Tabla1[[#This Row],[PRECIO REF $ BOLSA 50 KG CACTU (IVA INC)]])</f>
        <v>#VALUE!</v>
      </c>
      <c r="AL768" s="847" t="str">
        <f>IFERROR(Tabla1[[#This Row],[PRECIO $ BOLSA 50KG  FOB CDO TUC (IVA INC)]]/Tabla1[[#This Row],[PRECIO REF $ BOLSA 50 KG CACTU (IVA INC)]]-1,"")</f>
        <v/>
      </c>
      <c r="AM768" s="846" t="e">
        <f>+Tabla1[[#This Row],[DIF $ PRECIO NETO INDUSTRIA vs Neto TUCUMAN (IVA INC)]]*Tabla1[[#This Row],[Q Bolsas Equivalentes 50kg]]</f>
        <v>#VALUE!</v>
      </c>
      <c r="AN768" s="846" t="e">
        <f>Tabla1[[#This Row],[PRECIO REF $ BOLSA 50 KG CACTU (IVA INC)]]*Tabla1[[#This Row],[Q Bolsas Equivalentes 50kg]]</f>
        <v>#VALUE!</v>
      </c>
      <c r="AO768" s="846" t="e">
        <f>+Tabla1[[#This Row],[PRECIO $ BOLSA 50KG  FOB CDO TUC (IVA INC)]]*Tabla1[[#This Row],[Q Bolsas Equivalentes 50kg]]</f>
        <v>#VALUE!</v>
      </c>
      <c r="AP768" s="847"/>
      <c r="AQ768" s="846">
        <v>0</v>
      </c>
      <c r="AR768" s="828"/>
      <c r="AS768" s="849"/>
      <c r="AT768" s="923">
        <f>+Tabla1[[#This Row],[VENTA TOTAL $ (IVA INC) ]]-(SUM(Tabla1[[#This Row],[PENDIENTE DE ENTREGA]:[VALORES COBRADOS]]))</f>
        <v>0</v>
      </c>
      <c r="AU768" s="850" t="e">
        <f>VLOOKUP(Tabla1[[#This Row],[FECHA OC]],'TIPO DE CAMBIO'!A:B,2,TRUE)</f>
        <v>#N/A</v>
      </c>
      <c r="AV768" s="850" t="e">
        <f>+Tabla1[[#This Row],[SUBTOTAL]]/Tabla1[[#This Row],[TIPO DE CAMBIO]]</f>
        <v>#N/A</v>
      </c>
      <c r="AW768" s="851"/>
      <c r="AX768" s="850" t="str">
        <f>IFERROR(Tabla1[[#This Row],[VENTA TOTAL USD A PLAZO EN CLIENTE  (SIN IVA)]]*(1+Tabla1[[#This Row],[% IVA ]]),"")</f>
        <v/>
      </c>
      <c r="AY768" s="850" t="e">
        <f>+Tabla1[[#This Row],[VENTA TOTAL USD A PLAZO EN CLIENTE  (SIN IVA)]]/Tabla1[[#This Row],[KGS]]*1000</f>
        <v>#N/A</v>
      </c>
      <c r="AZ768" s="850" t="e">
        <f>-Tabla1[[#This Row],[COSTO FLETE $ POR BOLSA 5O KG (SIN IVA)]]*20/Tabla1[[#This Row],[TIPO DE CAMBIO]]</f>
        <v>#N/A</v>
      </c>
      <c r="BA768" s="850" t="e">
        <f>+Tabla1[[#This Row],[GASTOS FINANCIEROS $ BOLSA 50 KG (IVA INC)]]*20/Tabla1[[#This Row],[TIPO DE CAMBIO]]</f>
        <v>#VALUE!</v>
      </c>
      <c r="BB768" s="850" t="e">
        <f>+Tabla1[[#This Row],[PRECIO POR TN USD EN CLIENTE A PLAZO (SIN IVA)]]+Tabla1[[#This Row],[COSTO USD FLETE /TN (SIN IVA)]]+Tabla1[[#This Row],[COSTO FINANCIERO USD POR BOLSA 50KG (IVA INC)]]</f>
        <v>#N/A</v>
      </c>
      <c r="BC768" s="828"/>
      <c r="BD768" s="944"/>
    </row>
    <row r="769" spans="1:56" ht="15.75" customHeight="1">
      <c r="A769" s="912">
        <v>46327</v>
      </c>
      <c r="B769" s="863"/>
      <c r="C769" s="792"/>
      <c r="D769" s="829">
        <f>+Tabla1[[#This Row],[FECHA Entrega]]</f>
        <v>0</v>
      </c>
      <c r="E769" s="830"/>
      <c r="F769" s="831"/>
      <c r="G769" s="832"/>
      <c r="H769" s="852"/>
      <c r="I769" s="834"/>
      <c r="J769" s="835"/>
      <c r="K769" s="836">
        <f t="shared" si="154"/>
        <v>0</v>
      </c>
      <c r="L76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69" s="837">
        <f t="shared" si="156"/>
        <v>0</v>
      </c>
      <c r="N769" s="838">
        <f>+Tabla1[[#This Row],[VENTA TOTAL $ (IVA INC) ]]</f>
        <v>0</v>
      </c>
      <c r="O769" s="838">
        <v>0</v>
      </c>
      <c r="P769" s="838">
        <v>0</v>
      </c>
      <c r="Q769" s="839">
        <f>+Tabla1[[#This Row],[VENTA TOTAL $ (IVA INC) ]]</f>
        <v>0</v>
      </c>
      <c r="R769" s="840">
        <f>+Tabla1[[#This Row],[FECHA FC]]+Tabla1[[#This Row],[PLAZO ENTREGA VALORES]]</f>
        <v>0</v>
      </c>
      <c r="S769" s="840">
        <f>+Tabla1[[#This Row],[FECHA FC]]+Tabla1[[#This Row],[PLAZO PAGO (DIAS)]]</f>
        <v>0</v>
      </c>
      <c r="T769" s="834">
        <f t="shared" ca="1" si="155"/>
        <v>-46181</v>
      </c>
      <c r="U769" s="831"/>
      <c r="V769" s="831"/>
      <c r="W769" s="841">
        <f>+Tabla1[[#This Row],[FECHA VTO VALORES]]+7</f>
        <v>7</v>
      </c>
      <c r="X769" s="830"/>
      <c r="Y769" s="859"/>
      <c r="Z769" s="860">
        <f>Tabla1[[#This Row],[KGS]]/50</f>
        <v>0</v>
      </c>
      <c r="AA76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69" s="844">
        <f>-Tabla1[[#This Row],[COSTO FLETE $ POR BOLSA 5O KG (SIN IVA)]]*1.21-Tabla1[[#This Row],[PRECIO $/ KG A PLAZO EN CLIENTE ( SIN IVA)]]*0.003*1.21*50</f>
        <v>0</v>
      </c>
      <c r="AC769" s="845" t="e">
        <f>SUM(Tabla1[[#This Row],[PRECIO $ BOLSA 50 KG (IVA INC) ]]+Tabla1[[#This Row],[COSTO FLETE $ BOLSA 50 KG (IVA INC)]])</f>
        <v>#VALUE!</v>
      </c>
      <c r="AD769" s="844" t="e">
        <f>-Tabla1[[#This Row],[PRECIO $ BOLSA 50 KG (IVA INC) ]]*(Tabla1[[#This Row],[TASA FINANCIACION MENSUAL]]/365)*Tabla1[[#This Row],[PLAZO ENTREGA VALORES]]</f>
        <v>#VALUE!</v>
      </c>
      <c r="AE769" s="845" t="e">
        <f>SUM(Tabla1[[#This Row],[PRECIO $ BOLSA50 KG  FOB TUCUMAN A PLAZO (IVA INC)]]+Tabla1[[#This Row],[GASTOS FINANCIEROS $ BOLSA 50 KG (IVA INC)]])</f>
        <v>#VALUE!</v>
      </c>
      <c r="AF769" s="828"/>
      <c r="AG769" s="828"/>
      <c r="AH769" s="828"/>
      <c r="AI769" s="828"/>
      <c r="AJ76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69" s="846" t="e">
        <f>SUM(Tabla1[[#This Row],[PRECIO $ BOLSA 50KG  FOB CDO TUC (IVA INC)]]-Tabla1[[#This Row],[PRECIO REF $ BOLSA 50 KG CACTU (IVA INC)]])</f>
        <v>#VALUE!</v>
      </c>
      <c r="AL769" s="847" t="str">
        <f>IFERROR(Tabla1[[#This Row],[PRECIO $ BOLSA 50KG  FOB CDO TUC (IVA INC)]]/Tabla1[[#This Row],[PRECIO REF $ BOLSA 50 KG CACTU (IVA INC)]]-1,"")</f>
        <v/>
      </c>
      <c r="AM769" s="846" t="e">
        <f>+Tabla1[[#This Row],[DIF $ PRECIO NETO INDUSTRIA vs Neto TUCUMAN (IVA INC)]]*Tabla1[[#This Row],[Q Bolsas Equivalentes 50kg]]</f>
        <v>#VALUE!</v>
      </c>
      <c r="AN769" s="846" t="e">
        <f>Tabla1[[#This Row],[PRECIO REF $ BOLSA 50 KG CACTU (IVA INC)]]*Tabla1[[#This Row],[Q Bolsas Equivalentes 50kg]]</f>
        <v>#VALUE!</v>
      </c>
      <c r="AO769" s="846" t="e">
        <f>+Tabla1[[#This Row],[PRECIO $ BOLSA 50KG  FOB CDO TUC (IVA INC)]]*Tabla1[[#This Row],[Q Bolsas Equivalentes 50kg]]</f>
        <v>#VALUE!</v>
      </c>
      <c r="AP769" s="847"/>
      <c r="AQ769" s="846">
        <v>0</v>
      </c>
      <c r="AR769" s="828"/>
      <c r="AS769" s="849"/>
      <c r="AT769" s="923">
        <f>+Tabla1[[#This Row],[VENTA TOTAL $ (IVA INC) ]]-(SUM(Tabla1[[#This Row],[PENDIENTE DE ENTREGA]:[VALORES COBRADOS]]))</f>
        <v>0</v>
      </c>
      <c r="AU769" s="850" t="e">
        <f>VLOOKUP(Tabla1[[#This Row],[FECHA OC]],'TIPO DE CAMBIO'!A:B,2,TRUE)</f>
        <v>#N/A</v>
      </c>
      <c r="AV769" s="850" t="e">
        <f>+Tabla1[[#This Row],[SUBTOTAL]]/Tabla1[[#This Row],[TIPO DE CAMBIO]]</f>
        <v>#N/A</v>
      </c>
      <c r="AW769" s="851"/>
      <c r="AX769" s="850" t="str">
        <f>IFERROR(Tabla1[[#This Row],[VENTA TOTAL USD A PLAZO EN CLIENTE  (SIN IVA)]]*(1+Tabla1[[#This Row],[% IVA ]]),"")</f>
        <v/>
      </c>
      <c r="AY769" s="850" t="e">
        <f>+Tabla1[[#This Row],[VENTA TOTAL USD A PLAZO EN CLIENTE  (SIN IVA)]]/Tabla1[[#This Row],[KGS]]*1000</f>
        <v>#N/A</v>
      </c>
      <c r="AZ769" s="850" t="e">
        <f>-Tabla1[[#This Row],[COSTO FLETE $ POR BOLSA 5O KG (SIN IVA)]]*20/Tabla1[[#This Row],[TIPO DE CAMBIO]]</f>
        <v>#N/A</v>
      </c>
      <c r="BA769" s="850" t="e">
        <f>+Tabla1[[#This Row],[GASTOS FINANCIEROS $ BOLSA 50 KG (IVA INC)]]*20/Tabla1[[#This Row],[TIPO DE CAMBIO]]</f>
        <v>#VALUE!</v>
      </c>
      <c r="BB769" s="850" t="e">
        <f>+Tabla1[[#This Row],[PRECIO POR TN USD EN CLIENTE A PLAZO (SIN IVA)]]+Tabla1[[#This Row],[COSTO USD FLETE /TN (SIN IVA)]]+Tabla1[[#This Row],[COSTO FINANCIERO USD POR BOLSA 50KG (IVA INC)]]</f>
        <v>#N/A</v>
      </c>
      <c r="BC769" s="828"/>
      <c r="BD769" s="944"/>
    </row>
    <row r="770" spans="1:56" ht="15.75" customHeight="1">
      <c r="A770" s="912">
        <v>46327</v>
      </c>
      <c r="B770" s="863"/>
      <c r="C770" s="792"/>
      <c r="D770" s="829">
        <f>+Tabla1[[#This Row],[FECHA Entrega]]</f>
        <v>0</v>
      </c>
      <c r="E770" s="830"/>
      <c r="F770" s="831"/>
      <c r="G770" s="832"/>
      <c r="H770" s="852"/>
      <c r="I770" s="834"/>
      <c r="J770" s="835"/>
      <c r="K770" s="836">
        <f t="shared" si="154"/>
        <v>0</v>
      </c>
      <c r="L77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70" s="837">
        <f t="shared" si="156"/>
        <v>0</v>
      </c>
      <c r="N770" s="838">
        <f>+Tabla1[[#This Row],[VENTA TOTAL $ (IVA INC) ]]</f>
        <v>0</v>
      </c>
      <c r="O770" s="838">
        <v>0</v>
      </c>
      <c r="P770" s="838">
        <v>0</v>
      </c>
      <c r="Q770" s="839">
        <f>+Tabla1[[#This Row],[VENTA TOTAL $ (IVA INC) ]]-Tabla1[[#This Row],[PENDIENTE DE COBRO]]</f>
        <v>0</v>
      </c>
      <c r="R770" s="840">
        <f>+Tabla1[[#This Row],[FECHA FC]]+Tabla1[[#This Row],[PLAZO ENTREGA VALORES]]</f>
        <v>0</v>
      </c>
      <c r="S770" s="840">
        <f>+Tabla1[[#This Row],[FECHA FC]]+Tabla1[[#This Row],[PLAZO PAGO (DIAS)]]</f>
        <v>0</v>
      </c>
      <c r="T770" s="834">
        <f t="shared" ca="1" si="155"/>
        <v>-46181</v>
      </c>
      <c r="U770" s="831"/>
      <c r="V770" s="831"/>
      <c r="W770" s="841">
        <f>+Tabla1[[#This Row],[FECHA VTO VALORES]]+7</f>
        <v>7</v>
      </c>
      <c r="X770" s="830"/>
      <c r="Y770" s="859"/>
      <c r="Z770" s="860">
        <f>Tabla1[[#This Row],[KGS]]/50</f>
        <v>0</v>
      </c>
      <c r="AA77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70" s="844">
        <f>-Tabla1[[#This Row],[COSTO FLETE $ POR BOLSA 5O KG (SIN IVA)]]*1.21-Tabla1[[#This Row],[PRECIO $/ KG A PLAZO EN CLIENTE ( SIN IVA)]]*0.003*1.21*50</f>
        <v>0</v>
      </c>
      <c r="AC770" s="845" t="e">
        <f>SUM(Tabla1[[#This Row],[PRECIO $ BOLSA 50 KG (IVA INC) ]]+Tabla1[[#This Row],[COSTO FLETE $ BOLSA 50 KG (IVA INC)]])</f>
        <v>#VALUE!</v>
      </c>
      <c r="AD770" s="844" t="e">
        <f>-Tabla1[[#This Row],[PRECIO $ BOLSA 50 KG (IVA INC) ]]*(Tabla1[[#This Row],[TASA FINANCIACION MENSUAL]]/365)*Tabla1[[#This Row],[PLAZO ENTREGA VALORES]]</f>
        <v>#VALUE!</v>
      </c>
      <c r="AE770" s="845" t="e">
        <f>SUM(Tabla1[[#This Row],[PRECIO $ BOLSA50 KG  FOB TUCUMAN A PLAZO (IVA INC)]]+Tabla1[[#This Row],[GASTOS FINANCIEROS $ BOLSA 50 KG (IVA INC)]])</f>
        <v>#VALUE!</v>
      </c>
      <c r="AF770" s="828"/>
      <c r="AG770" s="828"/>
      <c r="AH770" s="828"/>
      <c r="AI770" s="828"/>
      <c r="AJ77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70" s="846" t="e">
        <f>SUM(Tabla1[[#This Row],[PRECIO $ BOLSA 50KG  FOB CDO TUC (IVA INC)]]-Tabla1[[#This Row],[PRECIO REF $ BOLSA 50 KG CACTU (IVA INC)]])</f>
        <v>#VALUE!</v>
      </c>
      <c r="AL770" s="847" t="str">
        <f>IFERROR(Tabla1[[#This Row],[PRECIO $ BOLSA 50KG  FOB CDO TUC (IVA INC)]]/Tabla1[[#This Row],[PRECIO REF $ BOLSA 50 KG CACTU (IVA INC)]]-1,"")</f>
        <v/>
      </c>
      <c r="AM770" s="846" t="e">
        <f>+Tabla1[[#This Row],[DIF $ PRECIO NETO INDUSTRIA vs Neto TUCUMAN (IVA INC)]]*Tabla1[[#This Row],[Q Bolsas Equivalentes 50kg]]</f>
        <v>#VALUE!</v>
      </c>
      <c r="AN770" s="846" t="e">
        <f>Tabla1[[#This Row],[PRECIO REF $ BOLSA 50 KG CACTU (IVA INC)]]*Tabla1[[#This Row],[Q Bolsas Equivalentes 50kg]]</f>
        <v>#VALUE!</v>
      </c>
      <c r="AO770" s="846" t="e">
        <f>+Tabla1[[#This Row],[PRECIO $ BOLSA 50KG  FOB CDO TUC (IVA INC)]]*Tabla1[[#This Row],[Q Bolsas Equivalentes 50kg]]</f>
        <v>#VALUE!</v>
      </c>
      <c r="AP770" s="847"/>
      <c r="AQ770" s="846">
        <v>0</v>
      </c>
      <c r="AR770" s="828"/>
      <c r="AS770" s="849"/>
      <c r="AT770" s="923">
        <f>+Tabla1[[#This Row],[VENTA TOTAL $ (IVA INC) ]]-(SUM(Tabla1[[#This Row],[PENDIENTE DE ENTREGA]:[VALORES COBRADOS]]))</f>
        <v>0</v>
      </c>
      <c r="AU770" s="850" t="e">
        <f>VLOOKUP(Tabla1[[#This Row],[FECHA OC]],'TIPO DE CAMBIO'!A:B,2,TRUE)</f>
        <v>#N/A</v>
      </c>
      <c r="AV770" s="850" t="e">
        <f>+Tabla1[[#This Row],[SUBTOTAL]]/Tabla1[[#This Row],[TIPO DE CAMBIO]]</f>
        <v>#N/A</v>
      </c>
      <c r="AW770" s="851"/>
      <c r="AX770" s="850" t="str">
        <f>IFERROR(Tabla1[[#This Row],[VENTA TOTAL USD A PLAZO EN CLIENTE  (SIN IVA)]]*(1+Tabla1[[#This Row],[% IVA ]]),"")</f>
        <v/>
      </c>
      <c r="AY770" s="850" t="e">
        <f>+Tabla1[[#This Row],[VENTA TOTAL USD A PLAZO EN CLIENTE  (SIN IVA)]]/Tabla1[[#This Row],[KGS]]*1000</f>
        <v>#N/A</v>
      </c>
      <c r="AZ770" s="850" t="e">
        <f>-Tabla1[[#This Row],[COSTO FLETE $ POR BOLSA 5O KG (SIN IVA)]]*20/Tabla1[[#This Row],[TIPO DE CAMBIO]]</f>
        <v>#N/A</v>
      </c>
      <c r="BA770" s="850" t="e">
        <f>+Tabla1[[#This Row],[GASTOS FINANCIEROS $ BOLSA 50 KG (IVA INC)]]*20/Tabla1[[#This Row],[TIPO DE CAMBIO]]</f>
        <v>#VALUE!</v>
      </c>
      <c r="BB770" s="850" t="e">
        <f>+Tabla1[[#This Row],[PRECIO POR TN USD EN CLIENTE A PLAZO (SIN IVA)]]+Tabla1[[#This Row],[COSTO USD FLETE /TN (SIN IVA)]]+Tabla1[[#This Row],[COSTO FINANCIERO USD POR BOLSA 50KG (IVA INC)]]</f>
        <v>#N/A</v>
      </c>
      <c r="BC770" s="828"/>
      <c r="BD770" s="944"/>
    </row>
    <row r="771" spans="1:56" ht="15.75" customHeight="1">
      <c r="A771" s="912">
        <v>46327</v>
      </c>
      <c r="B771" s="863"/>
      <c r="C771" s="792"/>
      <c r="D771" s="829">
        <f>+Tabla1[[#This Row],[FECHA Entrega]]</f>
        <v>0</v>
      </c>
      <c r="E771" s="830"/>
      <c r="F771" s="831"/>
      <c r="G771" s="832"/>
      <c r="H771" s="852"/>
      <c r="I771" s="834"/>
      <c r="J771" s="835"/>
      <c r="K771" s="836">
        <f t="shared" si="154"/>
        <v>0</v>
      </c>
      <c r="L77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71" s="837">
        <f t="shared" si="156"/>
        <v>0</v>
      </c>
      <c r="N771" s="838">
        <f>+Tabla1[[#This Row],[VENTA TOTAL $ (IVA INC) ]]</f>
        <v>0</v>
      </c>
      <c r="O771" s="838">
        <v>0</v>
      </c>
      <c r="P771" s="838">
        <v>0</v>
      </c>
      <c r="Q771" s="839">
        <f>+Tabla1[[#This Row],[VENTA TOTAL $ (IVA INC) ]]</f>
        <v>0</v>
      </c>
      <c r="R771" s="840">
        <f>+Tabla1[[#This Row],[FECHA FC]]+Tabla1[[#This Row],[PLAZO ENTREGA VALORES]]</f>
        <v>0</v>
      </c>
      <c r="S771" s="840">
        <f>+Tabla1[[#This Row],[FECHA FC]]+Tabla1[[#This Row],[PLAZO PAGO (DIAS)]]</f>
        <v>0</v>
      </c>
      <c r="T771" s="834">
        <f t="shared" ca="1" si="155"/>
        <v>-46181</v>
      </c>
      <c r="U771" s="831"/>
      <c r="V771" s="831"/>
      <c r="W771" s="841">
        <f>+Tabla1[[#This Row],[FECHA VTO VALORES]]+7</f>
        <v>7</v>
      </c>
      <c r="X771" s="830"/>
      <c r="Y771" s="859"/>
      <c r="Z771" s="860">
        <f>Tabla1[[#This Row],[KGS]]/50</f>
        <v>0</v>
      </c>
      <c r="AA77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71" s="844">
        <f>-Tabla1[[#This Row],[COSTO FLETE $ POR BOLSA 5O KG (SIN IVA)]]*1.21-Tabla1[[#This Row],[PRECIO $/ KG A PLAZO EN CLIENTE ( SIN IVA)]]*0.003*1.21*50</f>
        <v>0</v>
      </c>
      <c r="AC771" s="845" t="e">
        <f>SUM(Tabla1[[#This Row],[PRECIO $ BOLSA 50 KG (IVA INC) ]]+Tabla1[[#This Row],[COSTO FLETE $ BOLSA 50 KG (IVA INC)]])</f>
        <v>#VALUE!</v>
      </c>
      <c r="AD771" s="844" t="e">
        <f>-Tabla1[[#This Row],[PRECIO $ BOLSA 50 KG (IVA INC) ]]*(Tabla1[[#This Row],[TASA FINANCIACION MENSUAL]]/365)*Tabla1[[#This Row],[PLAZO ENTREGA VALORES]]</f>
        <v>#VALUE!</v>
      </c>
      <c r="AE771" s="845" t="e">
        <f>SUM(Tabla1[[#This Row],[PRECIO $ BOLSA50 KG  FOB TUCUMAN A PLAZO (IVA INC)]]+Tabla1[[#This Row],[GASTOS FINANCIEROS $ BOLSA 50 KG (IVA INC)]])</f>
        <v>#VALUE!</v>
      </c>
      <c r="AF771" s="828"/>
      <c r="AG771" s="828"/>
      <c r="AH771" s="828"/>
      <c r="AI771" s="828"/>
      <c r="AJ77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71" s="846" t="e">
        <f>SUM(Tabla1[[#This Row],[PRECIO $ BOLSA 50KG  FOB CDO TUC (IVA INC)]]-Tabla1[[#This Row],[PRECIO REF $ BOLSA 50 KG CACTU (IVA INC)]])</f>
        <v>#VALUE!</v>
      </c>
      <c r="AL771" s="847" t="str">
        <f>IFERROR(Tabla1[[#This Row],[PRECIO $ BOLSA 50KG  FOB CDO TUC (IVA INC)]]/Tabla1[[#This Row],[PRECIO REF $ BOLSA 50 KG CACTU (IVA INC)]]-1,"")</f>
        <v/>
      </c>
      <c r="AM771" s="846" t="e">
        <f>+Tabla1[[#This Row],[DIF $ PRECIO NETO INDUSTRIA vs Neto TUCUMAN (IVA INC)]]*Tabla1[[#This Row],[Q Bolsas Equivalentes 50kg]]</f>
        <v>#VALUE!</v>
      </c>
      <c r="AN771" s="846" t="e">
        <f>Tabla1[[#This Row],[PRECIO REF $ BOLSA 50 KG CACTU (IVA INC)]]*Tabla1[[#This Row],[Q Bolsas Equivalentes 50kg]]</f>
        <v>#VALUE!</v>
      </c>
      <c r="AO771" s="846" t="e">
        <f>+Tabla1[[#This Row],[PRECIO $ BOLSA 50KG  FOB CDO TUC (IVA INC)]]*Tabla1[[#This Row],[Q Bolsas Equivalentes 50kg]]</f>
        <v>#VALUE!</v>
      </c>
      <c r="AP771" s="847"/>
      <c r="AQ771" s="846">
        <v>0</v>
      </c>
      <c r="AR771" s="828"/>
      <c r="AS771" s="849"/>
      <c r="AT771" s="923">
        <f>+Tabla1[[#This Row],[VENTA TOTAL $ (IVA INC) ]]-(SUM(Tabla1[[#This Row],[PENDIENTE DE ENTREGA]:[VALORES COBRADOS]]))</f>
        <v>0</v>
      </c>
      <c r="AU771" s="850" t="e">
        <f>VLOOKUP(Tabla1[[#This Row],[FECHA OC]],'TIPO DE CAMBIO'!A:B,2,TRUE)</f>
        <v>#N/A</v>
      </c>
      <c r="AV771" s="850" t="e">
        <f>+Tabla1[[#This Row],[SUBTOTAL]]/Tabla1[[#This Row],[TIPO DE CAMBIO]]</f>
        <v>#N/A</v>
      </c>
      <c r="AW771" s="851"/>
      <c r="AX771" s="850" t="str">
        <f>IFERROR(Tabla1[[#This Row],[VENTA TOTAL USD A PLAZO EN CLIENTE  (SIN IVA)]]*(1+Tabla1[[#This Row],[% IVA ]]),"")</f>
        <v/>
      </c>
      <c r="AY771" s="850" t="e">
        <f>+Tabla1[[#This Row],[VENTA TOTAL USD A PLAZO EN CLIENTE  (SIN IVA)]]/Tabla1[[#This Row],[KGS]]*1000</f>
        <v>#N/A</v>
      </c>
      <c r="AZ771" s="850" t="e">
        <f>-Tabla1[[#This Row],[COSTO FLETE $ POR BOLSA 5O KG (SIN IVA)]]*20/Tabla1[[#This Row],[TIPO DE CAMBIO]]</f>
        <v>#N/A</v>
      </c>
      <c r="BA771" s="850" t="e">
        <f>+Tabla1[[#This Row],[GASTOS FINANCIEROS $ BOLSA 50 KG (IVA INC)]]*20/Tabla1[[#This Row],[TIPO DE CAMBIO]]</f>
        <v>#VALUE!</v>
      </c>
      <c r="BB771" s="850" t="e">
        <f>+Tabla1[[#This Row],[PRECIO POR TN USD EN CLIENTE A PLAZO (SIN IVA)]]+Tabla1[[#This Row],[COSTO USD FLETE /TN (SIN IVA)]]+Tabla1[[#This Row],[COSTO FINANCIERO USD POR BOLSA 50KG (IVA INC)]]</f>
        <v>#N/A</v>
      </c>
      <c r="BC771" s="828"/>
      <c r="BD771" s="944"/>
    </row>
    <row r="772" spans="1:56" ht="15.75" customHeight="1">
      <c r="A772" s="912">
        <v>46327</v>
      </c>
      <c r="B772" s="863"/>
      <c r="C772" s="792"/>
      <c r="D772" s="829">
        <f>+Tabla1[[#This Row],[FECHA Entrega]]</f>
        <v>0</v>
      </c>
      <c r="E772" s="830"/>
      <c r="F772" s="831"/>
      <c r="G772" s="832"/>
      <c r="H772" s="852"/>
      <c r="I772" s="834"/>
      <c r="J772" s="835"/>
      <c r="K772" s="836">
        <f t="shared" si="154"/>
        <v>0</v>
      </c>
      <c r="L77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72" s="837">
        <f t="shared" si="156"/>
        <v>0</v>
      </c>
      <c r="N772" s="838">
        <f>+Tabla1[[#This Row],[VENTA TOTAL $ (IVA INC) ]]</f>
        <v>0</v>
      </c>
      <c r="O772" s="838">
        <v>0</v>
      </c>
      <c r="P772" s="838">
        <v>0</v>
      </c>
      <c r="Q772" s="839">
        <f>+Tabla1[[#This Row],[VENTA TOTAL $ (IVA INC) ]]</f>
        <v>0</v>
      </c>
      <c r="R772" s="840">
        <f>+Tabla1[[#This Row],[FECHA FC]]+Tabla1[[#This Row],[PLAZO ENTREGA VALORES]]</f>
        <v>0</v>
      </c>
      <c r="S772" s="840">
        <f>+Tabla1[[#This Row],[FECHA FC]]+Tabla1[[#This Row],[PLAZO PAGO (DIAS)]]</f>
        <v>0</v>
      </c>
      <c r="T772" s="834">
        <f t="shared" ca="1" si="155"/>
        <v>-46181</v>
      </c>
      <c r="U772" s="831"/>
      <c r="V772" s="831"/>
      <c r="W772" s="841">
        <f>+Tabla1[[#This Row],[FECHA VTO VALORES]]+7</f>
        <v>7</v>
      </c>
      <c r="X772" s="830"/>
      <c r="Y772" s="859"/>
      <c r="Z772" s="860">
        <f>Tabla1[[#This Row],[KGS]]/50</f>
        <v>0</v>
      </c>
      <c r="AA77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72" s="844">
        <f>-Tabla1[[#This Row],[COSTO FLETE $ POR BOLSA 5O KG (SIN IVA)]]*1.21-Tabla1[[#This Row],[PRECIO $/ KG A PLAZO EN CLIENTE ( SIN IVA)]]*0.003*1.21*50</f>
        <v>0</v>
      </c>
      <c r="AC772" s="845" t="e">
        <f>SUM(Tabla1[[#This Row],[PRECIO $ BOLSA 50 KG (IVA INC) ]]+Tabla1[[#This Row],[COSTO FLETE $ BOLSA 50 KG (IVA INC)]])</f>
        <v>#VALUE!</v>
      </c>
      <c r="AD772" s="844" t="e">
        <f>-Tabla1[[#This Row],[PRECIO $ BOLSA 50 KG (IVA INC) ]]*(Tabla1[[#This Row],[TASA FINANCIACION MENSUAL]]/365)*Tabla1[[#This Row],[PLAZO ENTREGA VALORES]]</f>
        <v>#VALUE!</v>
      </c>
      <c r="AE772" s="845" t="e">
        <f>SUM(Tabla1[[#This Row],[PRECIO $ BOLSA50 KG  FOB TUCUMAN A PLAZO (IVA INC)]]+Tabla1[[#This Row],[GASTOS FINANCIEROS $ BOLSA 50 KG (IVA INC)]])</f>
        <v>#VALUE!</v>
      </c>
      <c r="AF772" s="828"/>
      <c r="AG772" s="828"/>
      <c r="AH772" s="828"/>
      <c r="AI772" s="828"/>
      <c r="AJ77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72" s="846" t="e">
        <f>SUM(Tabla1[[#This Row],[PRECIO $ BOLSA 50KG  FOB CDO TUC (IVA INC)]]-Tabla1[[#This Row],[PRECIO REF $ BOLSA 50 KG CACTU (IVA INC)]])</f>
        <v>#VALUE!</v>
      </c>
      <c r="AL772" s="847" t="str">
        <f>IFERROR(Tabla1[[#This Row],[PRECIO $ BOLSA 50KG  FOB CDO TUC (IVA INC)]]/Tabla1[[#This Row],[PRECIO REF $ BOLSA 50 KG CACTU (IVA INC)]]-1,"")</f>
        <v/>
      </c>
      <c r="AM772" s="846" t="e">
        <f>+Tabla1[[#This Row],[DIF $ PRECIO NETO INDUSTRIA vs Neto TUCUMAN (IVA INC)]]*Tabla1[[#This Row],[Q Bolsas Equivalentes 50kg]]</f>
        <v>#VALUE!</v>
      </c>
      <c r="AN772" s="846" t="e">
        <f>Tabla1[[#This Row],[PRECIO REF $ BOLSA 50 KG CACTU (IVA INC)]]*Tabla1[[#This Row],[Q Bolsas Equivalentes 50kg]]</f>
        <v>#VALUE!</v>
      </c>
      <c r="AO772" s="846" t="e">
        <f>+Tabla1[[#This Row],[PRECIO $ BOLSA 50KG  FOB CDO TUC (IVA INC)]]*Tabla1[[#This Row],[Q Bolsas Equivalentes 50kg]]</f>
        <v>#VALUE!</v>
      </c>
      <c r="AP772" s="847"/>
      <c r="AQ772" s="846">
        <v>0</v>
      </c>
      <c r="AR772" s="828"/>
      <c r="AS772" s="849"/>
      <c r="AT772" s="923">
        <f>+Tabla1[[#This Row],[VENTA TOTAL $ (IVA INC) ]]-(SUM(Tabla1[[#This Row],[PENDIENTE DE ENTREGA]:[VALORES COBRADOS]]))</f>
        <v>0</v>
      </c>
      <c r="AU772" s="850" t="e">
        <f>VLOOKUP(Tabla1[[#This Row],[FECHA OC]],'TIPO DE CAMBIO'!A:B,2,TRUE)</f>
        <v>#N/A</v>
      </c>
      <c r="AV772" s="850" t="e">
        <f>+Tabla1[[#This Row],[SUBTOTAL]]/Tabla1[[#This Row],[TIPO DE CAMBIO]]</f>
        <v>#N/A</v>
      </c>
      <c r="AW772" s="851"/>
      <c r="AX772" s="850" t="str">
        <f>IFERROR(Tabla1[[#This Row],[VENTA TOTAL USD A PLAZO EN CLIENTE  (SIN IVA)]]*(1+Tabla1[[#This Row],[% IVA ]]),"")</f>
        <v/>
      </c>
      <c r="AY772" s="850" t="e">
        <f>+Tabla1[[#This Row],[VENTA TOTAL USD A PLAZO EN CLIENTE  (SIN IVA)]]/Tabla1[[#This Row],[KGS]]*1000</f>
        <v>#N/A</v>
      </c>
      <c r="AZ772" s="850" t="e">
        <f>-Tabla1[[#This Row],[COSTO FLETE $ POR BOLSA 5O KG (SIN IVA)]]*20/Tabla1[[#This Row],[TIPO DE CAMBIO]]</f>
        <v>#N/A</v>
      </c>
      <c r="BA772" s="850" t="e">
        <f>+Tabla1[[#This Row],[GASTOS FINANCIEROS $ BOLSA 50 KG (IVA INC)]]*20/Tabla1[[#This Row],[TIPO DE CAMBIO]]</f>
        <v>#VALUE!</v>
      </c>
      <c r="BB772" s="850" t="e">
        <f>+Tabla1[[#This Row],[PRECIO POR TN USD EN CLIENTE A PLAZO (SIN IVA)]]+Tabla1[[#This Row],[COSTO USD FLETE /TN (SIN IVA)]]+Tabla1[[#This Row],[COSTO FINANCIERO USD POR BOLSA 50KG (IVA INC)]]</f>
        <v>#N/A</v>
      </c>
      <c r="BC772" s="828"/>
      <c r="BD772" s="944"/>
    </row>
    <row r="773" spans="1:56" ht="15.75" customHeight="1">
      <c r="A773" s="912">
        <v>46327</v>
      </c>
      <c r="B773" s="853"/>
      <c r="C773" s="792"/>
      <c r="D773" s="829">
        <f>+Tabla1[[#This Row],[FECHA Entrega]]</f>
        <v>0</v>
      </c>
      <c r="E773" s="830"/>
      <c r="F773" s="831"/>
      <c r="G773" s="832"/>
      <c r="H773" s="852"/>
      <c r="I773" s="834"/>
      <c r="J773" s="835"/>
      <c r="K773" s="836">
        <f t="shared" si="154"/>
        <v>0</v>
      </c>
      <c r="L77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73" s="837">
        <f t="shared" si="156"/>
        <v>0</v>
      </c>
      <c r="N773" s="838">
        <f>+Tabla1[[#This Row],[VENTA TOTAL $ (IVA INC) ]]</f>
        <v>0</v>
      </c>
      <c r="O773" s="838">
        <v>0</v>
      </c>
      <c r="P773" s="838">
        <v>0</v>
      </c>
      <c r="Q773" s="839">
        <f>+Tabla1[[#This Row],[VENTA TOTAL $ (IVA INC) ]]</f>
        <v>0</v>
      </c>
      <c r="R773" s="840">
        <f>+Tabla1[[#This Row],[FECHA FC]]+Tabla1[[#This Row],[PLAZO ENTREGA VALORES]]</f>
        <v>0</v>
      </c>
      <c r="S773" s="840">
        <f>+Tabla1[[#This Row],[FECHA FC]]+Tabla1[[#This Row],[PLAZO PAGO (DIAS)]]</f>
        <v>0</v>
      </c>
      <c r="T773" s="834">
        <f t="shared" ca="1" si="155"/>
        <v>-46181</v>
      </c>
      <c r="U773" s="831"/>
      <c r="V773" s="831"/>
      <c r="W773" s="841">
        <f t="shared" ref="W773:W779" si="158">+S773+7</f>
        <v>7</v>
      </c>
      <c r="X773" s="830"/>
      <c r="Y773" s="859"/>
      <c r="Z773" s="860">
        <f>Tabla1[[#This Row],[KGS]]/50</f>
        <v>0</v>
      </c>
      <c r="AA77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73" s="844">
        <f>-Tabla1[[#This Row],[COSTO FLETE $ POR BOLSA 5O KG (SIN IVA)]]*1.21-Tabla1[[#This Row],[PRECIO $/ KG A PLAZO EN CLIENTE ( SIN IVA)]]*0.003*1.21*50</f>
        <v>0</v>
      </c>
      <c r="AC773" s="845" t="e">
        <f>SUM(Tabla1[[#This Row],[PRECIO $ BOLSA 50 KG (IVA INC) ]]+Tabla1[[#This Row],[COSTO FLETE $ BOLSA 50 KG (IVA INC)]])</f>
        <v>#VALUE!</v>
      </c>
      <c r="AD773" s="844" t="e">
        <f>-Tabla1[[#This Row],[PRECIO $ BOLSA 50 KG (IVA INC) ]]*(Tabla1[[#This Row],[TASA FINANCIACION MENSUAL]]/365)*Tabla1[[#This Row],[PLAZO ENTREGA VALORES]]</f>
        <v>#VALUE!</v>
      </c>
      <c r="AE773" s="845" t="e">
        <f>SUM(Tabla1[[#This Row],[PRECIO $ BOLSA50 KG  FOB TUCUMAN A PLAZO (IVA INC)]]+Tabla1[[#This Row],[GASTOS FINANCIEROS $ BOLSA 50 KG (IVA INC)]])</f>
        <v>#VALUE!</v>
      </c>
      <c r="AF773" s="828"/>
      <c r="AG773" s="828"/>
      <c r="AH773" s="828"/>
      <c r="AI773" s="828"/>
      <c r="AJ77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73" s="846" t="e">
        <f>SUM(Tabla1[[#This Row],[PRECIO $ BOLSA 50KG  FOB CDO TUC (IVA INC)]]-Tabla1[[#This Row],[PRECIO REF $ BOLSA 50 KG CACTU (IVA INC)]])</f>
        <v>#VALUE!</v>
      </c>
      <c r="AL773" s="847" t="str">
        <f>IFERROR(Tabla1[[#This Row],[PRECIO $ BOLSA 50KG  FOB CDO TUC (IVA INC)]]/Tabla1[[#This Row],[PRECIO REF $ BOLSA 50 KG CACTU (IVA INC)]]-1,"")</f>
        <v/>
      </c>
      <c r="AM773" s="846" t="e">
        <f>+Tabla1[[#This Row],[DIF $ PRECIO NETO INDUSTRIA vs Neto TUCUMAN (IVA INC)]]*Tabla1[[#This Row],[Q Bolsas Equivalentes 50kg]]</f>
        <v>#VALUE!</v>
      </c>
      <c r="AN773" s="846" t="e">
        <f>Tabla1[[#This Row],[PRECIO REF $ BOLSA 50 KG CACTU (IVA INC)]]*Tabla1[[#This Row],[Q Bolsas Equivalentes 50kg]]</f>
        <v>#VALUE!</v>
      </c>
      <c r="AO773" s="846" t="e">
        <f>+Tabla1[[#This Row],[PRECIO $ BOLSA 50KG  FOB CDO TUC (IVA INC)]]*Tabla1[[#This Row],[Q Bolsas Equivalentes 50kg]]</f>
        <v>#VALUE!</v>
      </c>
      <c r="AP773" s="847"/>
      <c r="AQ773" s="846">
        <v>0</v>
      </c>
      <c r="AR773" s="828"/>
      <c r="AS773" s="849"/>
      <c r="AT773" s="923">
        <f>+Tabla1[[#This Row],[VENTA TOTAL $ (IVA INC) ]]-(SUM(Tabla1[[#This Row],[PENDIENTE DE ENTREGA]:[VALORES COBRADOS]]))</f>
        <v>0</v>
      </c>
      <c r="AU773" s="850" t="e">
        <f>VLOOKUP(Tabla1[[#This Row],[FECHA OC]],'TIPO DE CAMBIO'!A:B,2,TRUE)</f>
        <v>#N/A</v>
      </c>
      <c r="AV773" s="850" t="e">
        <f>+Tabla1[[#This Row],[SUBTOTAL]]/Tabla1[[#This Row],[TIPO DE CAMBIO]]</f>
        <v>#N/A</v>
      </c>
      <c r="AW773" s="851"/>
      <c r="AX773" s="850" t="str">
        <f>IFERROR(Tabla1[[#This Row],[VENTA TOTAL USD A PLAZO EN CLIENTE  (SIN IVA)]]*(1+Tabla1[[#This Row],[% IVA ]]),"")</f>
        <v/>
      </c>
      <c r="AY773" s="850" t="e">
        <f>+Tabla1[[#This Row],[VENTA TOTAL USD A PLAZO EN CLIENTE  (SIN IVA)]]/Tabla1[[#This Row],[KGS]]*1000</f>
        <v>#N/A</v>
      </c>
      <c r="AZ773" s="850" t="e">
        <f>-Tabla1[[#This Row],[COSTO FLETE $ POR BOLSA 5O KG (SIN IVA)]]*20/Tabla1[[#This Row],[TIPO DE CAMBIO]]</f>
        <v>#N/A</v>
      </c>
      <c r="BA773" s="850" t="e">
        <f>+Tabla1[[#This Row],[GASTOS FINANCIEROS $ BOLSA 50 KG (IVA INC)]]*20/Tabla1[[#This Row],[TIPO DE CAMBIO]]</f>
        <v>#VALUE!</v>
      </c>
      <c r="BB773" s="850" t="e">
        <f>+Tabla1[[#This Row],[PRECIO POR TN USD EN CLIENTE A PLAZO (SIN IVA)]]+Tabla1[[#This Row],[COSTO USD FLETE /TN (SIN IVA)]]+Tabla1[[#This Row],[COSTO FINANCIERO USD POR BOLSA 50KG (IVA INC)]]</f>
        <v>#N/A</v>
      </c>
      <c r="BC773" s="828"/>
      <c r="BD773" s="944"/>
    </row>
    <row r="774" spans="1:56" ht="15.75" customHeight="1">
      <c r="A774" s="912">
        <v>46327</v>
      </c>
      <c r="B774" s="853"/>
      <c r="C774" s="792"/>
      <c r="D774" s="829">
        <f>+Tabla1[[#This Row],[FECHA Entrega]]</f>
        <v>0</v>
      </c>
      <c r="E774" s="830"/>
      <c r="F774" s="831"/>
      <c r="G774" s="832"/>
      <c r="H774" s="852"/>
      <c r="I774" s="834"/>
      <c r="J774" s="835"/>
      <c r="K774" s="836">
        <f t="shared" si="154"/>
        <v>0</v>
      </c>
      <c r="L77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74" s="837">
        <f t="shared" si="156"/>
        <v>0</v>
      </c>
      <c r="N774" s="838">
        <f>+Tabla1[[#This Row],[VENTA TOTAL $ (IVA INC) ]]</f>
        <v>0</v>
      </c>
      <c r="O774" s="838">
        <v>0</v>
      </c>
      <c r="P774" s="838">
        <v>0</v>
      </c>
      <c r="Q774" s="839">
        <f>+Tabla1[[#This Row],[VENTA TOTAL $ (IVA INC) ]]</f>
        <v>0</v>
      </c>
      <c r="R774" s="840">
        <f>+Tabla1[[#This Row],[FECHA FC]]+Tabla1[[#This Row],[PLAZO ENTREGA VALORES]]</f>
        <v>0</v>
      </c>
      <c r="S774" s="840">
        <f>+Tabla1[[#This Row],[FECHA FC]]+Tabla1[[#This Row],[PLAZO PAGO (DIAS)]]</f>
        <v>0</v>
      </c>
      <c r="T774" s="834">
        <f t="shared" ca="1" si="155"/>
        <v>-46181</v>
      </c>
      <c r="U774" s="831"/>
      <c r="V774" s="831"/>
      <c r="W774" s="841">
        <f t="shared" si="158"/>
        <v>7</v>
      </c>
      <c r="X774" s="830"/>
      <c r="Y774" s="859"/>
      <c r="Z774" s="860">
        <f>Tabla1[[#This Row],[KGS]]/50</f>
        <v>0</v>
      </c>
      <c r="AA77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74" s="844">
        <f>-Tabla1[[#This Row],[COSTO FLETE $ POR BOLSA 5O KG (SIN IVA)]]*1.21-Tabla1[[#This Row],[PRECIO $/ KG A PLAZO EN CLIENTE ( SIN IVA)]]*0.003*1.21*50</f>
        <v>0</v>
      </c>
      <c r="AC774" s="845" t="e">
        <f>SUM(Tabla1[[#This Row],[PRECIO $ BOLSA 50 KG (IVA INC) ]]+Tabla1[[#This Row],[COSTO FLETE $ BOLSA 50 KG (IVA INC)]])</f>
        <v>#VALUE!</v>
      </c>
      <c r="AD774" s="844" t="e">
        <f>-Tabla1[[#This Row],[PRECIO $ BOLSA 50 KG (IVA INC) ]]*(Tabla1[[#This Row],[TASA FINANCIACION MENSUAL]]/365)*Tabla1[[#This Row],[PLAZO ENTREGA VALORES]]</f>
        <v>#VALUE!</v>
      </c>
      <c r="AE774" s="845" t="e">
        <f>SUM(Tabla1[[#This Row],[PRECIO $ BOLSA50 KG  FOB TUCUMAN A PLAZO (IVA INC)]]+Tabla1[[#This Row],[GASTOS FINANCIEROS $ BOLSA 50 KG (IVA INC)]])</f>
        <v>#VALUE!</v>
      </c>
      <c r="AF774" s="828"/>
      <c r="AG774" s="828"/>
      <c r="AH774" s="828"/>
      <c r="AI774" s="828"/>
      <c r="AJ77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74" s="846" t="e">
        <f>SUM(Tabla1[[#This Row],[PRECIO $ BOLSA 50KG  FOB CDO TUC (IVA INC)]]-Tabla1[[#This Row],[PRECIO REF $ BOLSA 50 KG CACTU (IVA INC)]])</f>
        <v>#VALUE!</v>
      </c>
      <c r="AL774" s="847" t="str">
        <f>IFERROR(Tabla1[[#This Row],[PRECIO $ BOLSA 50KG  FOB CDO TUC (IVA INC)]]/Tabla1[[#This Row],[PRECIO REF $ BOLSA 50 KG CACTU (IVA INC)]]-1,"")</f>
        <v/>
      </c>
      <c r="AM774" s="846" t="e">
        <f>+Tabla1[[#This Row],[DIF $ PRECIO NETO INDUSTRIA vs Neto TUCUMAN (IVA INC)]]*Tabla1[[#This Row],[Q Bolsas Equivalentes 50kg]]</f>
        <v>#VALUE!</v>
      </c>
      <c r="AN774" s="846" t="e">
        <f>Tabla1[[#This Row],[PRECIO REF $ BOLSA 50 KG CACTU (IVA INC)]]*Tabla1[[#This Row],[Q Bolsas Equivalentes 50kg]]</f>
        <v>#VALUE!</v>
      </c>
      <c r="AO774" s="846" t="e">
        <f>+Tabla1[[#This Row],[PRECIO $ BOLSA 50KG  FOB CDO TUC (IVA INC)]]*Tabla1[[#This Row],[Q Bolsas Equivalentes 50kg]]</f>
        <v>#VALUE!</v>
      </c>
      <c r="AP774" s="847"/>
      <c r="AQ774" s="846">
        <v>0</v>
      </c>
      <c r="AR774" s="828"/>
      <c r="AS774" s="849"/>
      <c r="AT774" s="923">
        <f>+Tabla1[[#This Row],[VENTA TOTAL $ (IVA INC) ]]-(SUM(Tabla1[[#This Row],[PENDIENTE DE ENTREGA]:[VALORES COBRADOS]]))</f>
        <v>0</v>
      </c>
      <c r="AU774" s="850" t="e">
        <f>VLOOKUP(Tabla1[[#This Row],[FECHA OC]],'TIPO DE CAMBIO'!A:B,2,TRUE)</f>
        <v>#N/A</v>
      </c>
      <c r="AV774" s="850" t="e">
        <f>+Tabla1[[#This Row],[SUBTOTAL]]/Tabla1[[#This Row],[TIPO DE CAMBIO]]</f>
        <v>#N/A</v>
      </c>
      <c r="AW774" s="851"/>
      <c r="AX774" s="850" t="str">
        <f>IFERROR(Tabla1[[#This Row],[VENTA TOTAL USD A PLAZO EN CLIENTE  (SIN IVA)]]*(1+Tabla1[[#This Row],[% IVA ]]),"")</f>
        <v/>
      </c>
      <c r="AY774" s="850" t="e">
        <f>+Tabla1[[#This Row],[VENTA TOTAL USD A PLAZO EN CLIENTE  (SIN IVA)]]/Tabla1[[#This Row],[KGS]]*1000</f>
        <v>#N/A</v>
      </c>
      <c r="AZ774" s="850" t="e">
        <f>-Tabla1[[#This Row],[COSTO FLETE $ POR BOLSA 5O KG (SIN IVA)]]*20/Tabla1[[#This Row],[TIPO DE CAMBIO]]</f>
        <v>#N/A</v>
      </c>
      <c r="BA774" s="850" t="e">
        <f>+Tabla1[[#This Row],[GASTOS FINANCIEROS $ BOLSA 50 KG (IVA INC)]]*20/Tabla1[[#This Row],[TIPO DE CAMBIO]]</f>
        <v>#VALUE!</v>
      </c>
      <c r="BB774" s="850" t="e">
        <f>+Tabla1[[#This Row],[PRECIO POR TN USD EN CLIENTE A PLAZO (SIN IVA)]]+Tabla1[[#This Row],[COSTO USD FLETE /TN (SIN IVA)]]+Tabla1[[#This Row],[COSTO FINANCIERO USD POR BOLSA 50KG (IVA INC)]]</f>
        <v>#N/A</v>
      </c>
      <c r="BC774" s="828"/>
      <c r="BD774" s="944"/>
    </row>
    <row r="775" spans="1:56" ht="15.75" customHeight="1">
      <c r="A775" s="912">
        <v>46327</v>
      </c>
      <c r="B775" s="853"/>
      <c r="C775" s="792"/>
      <c r="D775" s="829">
        <f>+Tabla1[[#This Row],[FECHA Entrega]]</f>
        <v>0</v>
      </c>
      <c r="E775" s="830"/>
      <c r="F775" s="831"/>
      <c r="G775" s="832"/>
      <c r="H775" s="852"/>
      <c r="I775" s="834"/>
      <c r="J775" s="835"/>
      <c r="K775" s="836">
        <f t="shared" si="154"/>
        <v>0</v>
      </c>
      <c r="L77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75" s="837">
        <f t="shared" si="156"/>
        <v>0</v>
      </c>
      <c r="N775" s="838">
        <f>+Tabla1[[#This Row],[VENTA TOTAL $ (IVA INC) ]]</f>
        <v>0</v>
      </c>
      <c r="O775" s="838">
        <v>0</v>
      </c>
      <c r="P775" s="838">
        <v>0</v>
      </c>
      <c r="Q775" s="839">
        <f>+Tabla1[[#This Row],[VENTA TOTAL $ (IVA INC) ]]-Tabla1[[#This Row],[PENDIENTE DE COBRO]]</f>
        <v>0</v>
      </c>
      <c r="R775" s="840">
        <f>+Tabla1[[#This Row],[FECHA FC]]+Tabla1[[#This Row],[PLAZO ENTREGA VALORES]]</f>
        <v>0</v>
      </c>
      <c r="S775" s="840">
        <f>+Tabla1[[#This Row],[FECHA FC]]+Tabla1[[#This Row],[PLAZO PAGO (DIAS)]]</f>
        <v>0</v>
      </c>
      <c r="T775" s="834">
        <f t="shared" ca="1" si="155"/>
        <v>-46181</v>
      </c>
      <c r="U775" s="831"/>
      <c r="V775" s="831"/>
      <c r="W775" s="841">
        <f t="shared" si="158"/>
        <v>7</v>
      </c>
      <c r="X775" s="830"/>
      <c r="Y775" s="859"/>
      <c r="Z775" s="860">
        <f>Tabla1[[#This Row],[KGS]]/50</f>
        <v>0</v>
      </c>
      <c r="AA77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75" s="844">
        <f>-Tabla1[[#This Row],[COSTO FLETE $ POR BOLSA 5O KG (SIN IVA)]]*1.21-Tabla1[[#This Row],[PRECIO $/ KG A PLAZO EN CLIENTE ( SIN IVA)]]*0.003*1.21*50</f>
        <v>0</v>
      </c>
      <c r="AC775" s="845" t="e">
        <f>SUM(Tabla1[[#This Row],[PRECIO $ BOLSA 50 KG (IVA INC) ]]+Tabla1[[#This Row],[COSTO FLETE $ BOLSA 50 KG (IVA INC)]])</f>
        <v>#VALUE!</v>
      </c>
      <c r="AD775" s="844" t="e">
        <f>-Tabla1[[#This Row],[PRECIO $ BOLSA 50 KG (IVA INC) ]]*(Tabla1[[#This Row],[TASA FINANCIACION MENSUAL]]/365)*Tabla1[[#This Row],[PLAZO ENTREGA VALORES]]</f>
        <v>#VALUE!</v>
      </c>
      <c r="AE775" s="845" t="e">
        <f>SUM(Tabla1[[#This Row],[PRECIO $ BOLSA50 KG  FOB TUCUMAN A PLAZO (IVA INC)]]+Tabla1[[#This Row],[GASTOS FINANCIEROS $ BOLSA 50 KG (IVA INC)]])</f>
        <v>#VALUE!</v>
      </c>
      <c r="AF775" s="828"/>
      <c r="AG775" s="828"/>
      <c r="AH775" s="828"/>
      <c r="AI775" s="828"/>
      <c r="AJ77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75" s="846" t="e">
        <f>SUM(Tabla1[[#This Row],[PRECIO $ BOLSA 50KG  FOB CDO TUC (IVA INC)]]-Tabla1[[#This Row],[PRECIO REF $ BOLSA 50 KG CACTU (IVA INC)]])</f>
        <v>#VALUE!</v>
      </c>
      <c r="AL775" s="847" t="str">
        <f>IFERROR(Tabla1[[#This Row],[PRECIO $ BOLSA 50KG  FOB CDO TUC (IVA INC)]]/Tabla1[[#This Row],[PRECIO REF $ BOLSA 50 KG CACTU (IVA INC)]]-1,"")</f>
        <v/>
      </c>
      <c r="AM775" s="846" t="e">
        <f>+Tabla1[[#This Row],[DIF $ PRECIO NETO INDUSTRIA vs Neto TUCUMAN (IVA INC)]]*Tabla1[[#This Row],[Q Bolsas Equivalentes 50kg]]</f>
        <v>#VALUE!</v>
      </c>
      <c r="AN775" s="846" t="e">
        <f>Tabla1[[#This Row],[PRECIO REF $ BOLSA 50 KG CACTU (IVA INC)]]*Tabla1[[#This Row],[Q Bolsas Equivalentes 50kg]]</f>
        <v>#VALUE!</v>
      </c>
      <c r="AO775" s="846" t="e">
        <f>+Tabla1[[#This Row],[PRECIO $ BOLSA 50KG  FOB CDO TUC (IVA INC)]]*Tabla1[[#This Row],[Q Bolsas Equivalentes 50kg]]</f>
        <v>#VALUE!</v>
      </c>
      <c r="AP775" s="847"/>
      <c r="AQ775" s="846">
        <v>0</v>
      </c>
      <c r="AR775" s="828"/>
      <c r="AS775" s="849"/>
      <c r="AT775" s="923">
        <f>+Tabla1[[#This Row],[VENTA TOTAL $ (IVA INC) ]]-(SUM(Tabla1[[#This Row],[PENDIENTE DE ENTREGA]:[VALORES COBRADOS]]))</f>
        <v>0</v>
      </c>
      <c r="AU775" s="850" t="e">
        <f>VLOOKUP(Tabla1[[#This Row],[FECHA OC]],'TIPO DE CAMBIO'!A:B,2,TRUE)</f>
        <v>#N/A</v>
      </c>
      <c r="AV775" s="850" t="e">
        <f>+Tabla1[[#This Row],[SUBTOTAL]]/Tabla1[[#This Row],[TIPO DE CAMBIO]]</f>
        <v>#N/A</v>
      </c>
      <c r="AW775" s="851"/>
      <c r="AX775" s="850" t="str">
        <f>IFERROR(Tabla1[[#This Row],[VENTA TOTAL USD A PLAZO EN CLIENTE  (SIN IVA)]]*(1+Tabla1[[#This Row],[% IVA ]]),"")</f>
        <v/>
      </c>
      <c r="AY775" s="850" t="e">
        <f>+Tabla1[[#This Row],[VENTA TOTAL USD A PLAZO EN CLIENTE  (SIN IVA)]]/Tabla1[[#This Row],[KGS]]*1000</f>
        <v>#N/A</v>
      </c>
      <c r="AZ775" s="850" t="e">
        <f>-Tabla1[[#This Row],[COSTO FLETE $ POR BOLSA 5O KG (SIN IVA)]]*20/Tabla1[[#This Row],[TIPO DE CAMBIO]]</f>
        <v>#N/A</v>
      </c>
      <c r="BA775" s="850" t="e">
        <f>+Tabla1[[#This Row],[GASTOS FINANCIEROS $ BOLSA 50 KG (IVA INC)]]*20/Tabla1[[#This Row],[TIPO DE CAMBIO]]</f>
        <v>#VALUE!</v>
      </c>
      <c r="BB775" s="850" t="e">
        <f>+Tabla1[[#This Row],[PRECIO POR TN USD EN CLIENTE A PLAZO (SIN IVA)]]+Tabla1[[#This Row],[COSTO USD FLETE /TN (SIN IVA)]]+Tabla1[[#This Row],[COSTO FINANCIERO USD POR BOLSA 50KG (IVA INC)]]</f>
        <v>#N/A</v>
      </c>
      <c r="BC775" s="828"/>
      <c r="BD775" s="944"/>
    </row>
    <row r="776" spans="1:56" ht="15.75" customHeight="1">
      <c r="A776" s="912">
        <v>46327</v>
      </c>
      <c r="B776" s="853"/>
      <c r="C776" s="792"/>
      <c r="D776" s="829">
        <f>+Tabla1[[#This Row],[FECHA Entrega]]</f>
        <v>0</v>
      </c>
      <c r="E776" s="830"/>
      <c r="F776" s="831"/>
      <c r="G776" s="832"/>
      <c r="H776" s="852"/>
      <c r="I776" s="834"/>
      <c r="J776" s="835"/>
      <c r="K776" s="836">
        <f t="shared" si="154"/>
        <v>0</v>
      </c>
      <c r="L77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76" s="837">
        <f t="shared" si="156"/>
        <v>0</v>
      </c>
      <c r="N776" s="838">
        <f>+Tabla1[[#This Row],[VENTA TOTAL $ (IVA INC) ]]</f>
        <v>0</v>
      </c>
      <c r="O776" s="838">
        <v>0</v>
      </c>
      <c r="P776" s="838">
        <v>0</v>
      </c>
      <c r="Q776" s="839">
        <f>+Tabla1[[#This Row],[VENTA TOTAL $ (IVA INC) ]]-Tabla1[[#This Row],[PENDIENTE DE COBRO]]</f>
        <v>0</v>
      </c>
      <c r="R776" s="840">
        <f>+Tabla1[[#This Row],[FECHA FC]]+Tabla1[[#This Row],[PLAZO ENTREGA VALORES]]</f>
        <v>0</v>
      </c>
      <c r="S776" s="840">
        <f>+Tabla1[[#This Row],[FECHA FC]]+Tabla1[[#This Row],[PLAZO PAGO (DIAS)]]</f>
        <v>0</v>
      </c>
      <c r="T776" s="834">
        <f t="shared" ca="1" si="155"/>
        <v>-46181</v>
      </c>
      <c r="U776" s="831"/>
      <c r="V776" s="831"/>
      <c r="W776" s="841">
        <f t="shared" si="158"/>
        <v>7</v>
      </c>
      <c r="X776" s="830"/>
      <c r="Y776" s="859"/>
      <c r="Z776" s="860">
        <f>Tabla1[[#This Row],[KGS]]/50</f>
        <v>0</v>
      </c>
      <c r="AA77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76" s="844">
        <f>-Tabla1[[#This Row],[COSTO FLETE $ POR BOLSA 5O KG (SIN IVA)]]*1.21-Tabla1[[#This Row],[PRECIO $/ KG A PLAZO EN CLIENTE ( SIN IVA)]]*0.003*1.21*50</f>
        <v>0</v>
      </c>
      <c r="AC776" s="845" t="e">
        <f>SUM(Tabla1[[#This Row],[PRECIO $ BOLSA 50 KG (IVA INC) ]]+Tabla1[[#This Row],[COSTO FLETE $ BOLSA 50 KG (IVA INC)]])</f>
        <v>#VALUE!</v>
      </c>
      <c r="AD776" s="844" t="e">
        <f>-Tabla1[[#This Row],[PRECIO $ BOLSA 50 KG (IVA INC) ]]*(Tabla1[[#This Row],[TASA FINANCIACION MENSUAL]]/365)*Tabla1[[#This Row],[PLAZO ENTREGA VALORES]]</f>
        <v>#VALUE!</v>
      </c>
      <c r="AE776" s="845" t="e">
        <f>SUM(Tabla1[[#This Row],[PRECIO $ BOLSA50 KG  FOB TUCUMAN A PLAZO (IVA INC)]]+Tabla1[[#This Row],[GASTOS FINANCIEROS $ BOLSA 50 KG (IVA INC)]])</f>
        <v>#VALUE!</v>
      </c>
      <c r="AF776" s="828"/>
      <c r="AG776" s="828"/>
      <c r="AH776" s="828"/>
      <c r="AI776" s="828"/>
      <c r="AJ77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76" s="846" t="e">
        <f>SUM(Tabla1[[#This Row],[PRECIO $ BOLSA 50KG  FOB CDO TUC (IVA INC)]]-Tabla1[[#This Row],[PRECIO REF $ BOLSA 50 KG CACTU (IVA INC)]])</f>
        <v>#VALUE!</v>
      </c>
      <c r="AL776" s="847" t="str">
        <f>IFERROR(Tabla1[[#This Row],[PRECIO $ BOLSA 50KG  FOB CDO TUC (IVA INC)]]/Tabla1[[#This Row],[PRECIO REF $ BOLSA 50 KG CACTU (IVA INC)]]-1,"")</f>
        <v/>
      </c>
      <c r="AM776" s="846" t="e">
        <f>+Tabla1[[#This Row],[DIF $ PRECIO NETO INDUSTRIA vs Neto TUCUMAN (IVA INC)]]*Tabla1[[#This Row],[Q Bolsas Equivalentes 50kg]]</f>
        <v>#VALUE!</v>
      </c>
      <c r="AN776" s="846" t="e">
        <f>Tabla1[[#This Row],[PRECIO REF $ BOLSA 50 KG CACTU (IVA INC)]]*Tabla1[[#This Row],[Q Bolsas Equivalentes 50kg]]</f>
        <v>#VALUE!</v>
      </c>
      <c r="AO776" s="846" t="e">
        <f>+Tabla1[[#This Row],[PRECIO $ BOLSA 50KG  FOB CDO TUC (IVA INC)]]*Tabla1[[#This Row],[Q Bolsas Equivalentes 50kg]]</f>
        <v>#VALUE!</v>
      </c>
      <c r="AP776" s="847"/>
      <c r="AQ776" s="846">
        <v>0</v>
      </c>
      <c r="AR776" s="828"/>
      <c r="AS776" s="849"/>
      <c r="AT776" s="923">
        <f>+Tabla1[[#This Row],[VENTA TOTAL $ (IVA INC) ]]-(SUM(Tabla1[[#This Row],[PENDIENTE DE ENTREGA]:[VALORES COBRADOS]]))</f>
        <v>0</v>
      </c>
      <c r="AU776" s="850" t="e">
        <f>VLOOKUP(Tabla1[[#This Row],[FECHA OC]],'TIPO DE CAMBIO'!A:B,2,TRUE)</f>
        <v>#N/A</v>
      </c>
      <c r="AV776" s="850" t="e">
        <f>+Tabla1[[#This Row],[SUBTOTAL]]/Tabla1[[#This Row],[TIPO DE CAMBIO]]</f>
        <v>#N/A</v>
      </c>
      <c r="AW776" s="851"/>
      <c r="AX776" s="850" t="str">
        <f>IFERROR(Tabla1[[#This Row],[VENTA TOTAL USD A PLAZO EN CLIENTE  (SIN IVA)]]*(1+Tabla1[[#This Row],[% IVA ]]),"")</f>
        <v/>
      </c>
      <c r="AY776" s="850" t="e">
        <f>+Tabla1[[#This Row],[VENTA TOTAL USD A PLAZO EN CLIENTE  (SIN IVA)]]/Tabla1[[#This Row],[KGS]]*1000</f>
        <v>#N/A</v>
      </c>
      <c r="AZ776" s="850" t="e">
        <f>-Tabla1[[#This Row],[COSTO FLETE $ POR BOLSA 5O KG (SIN IVA)]]*20/Tabla1[[#This Row],[TIPO DE CAMBIO]]</f>
        <v>#N/A</v>
      </c>
      <c r="BA776" s="850" t="e">
        <f>+Tabla1[[#This Row],[GASTOS FINANCIEROS $ BOLSA 50 KG (IVA INC)]]*20/Tabla1[[#This Row],[TIPO DE CAMBIO]]</f>
        <v>#VALUE!</v>
      </c>
      <c r="BB776" s="850" t="e">
        <f>+Tabla1[[#This Row],[PRECIO POR TN USD EN CLIENTE A PLAZO (SIN IVA)]]+Tabla1[[#This Row],[COSTO USD FLETE /TN (SIN IVA)]]+Tabla1[[#This Row],[COSTO FINANCIERO USD POR BOLSA 50KG (IVA INC)]]</f>
        <v>#N/A</v>
      </c>
      <c r="BC776" s="828"/>
      <c r="BD776" s="944"/>
    </row>
    <row r="777" spans="1:56" ht="15.75" customHeight="1">
      <c r="A777" s="912">
        <v>46327</v>
      </c>
      <c r="B777" s="853"/>
      <c r="C777" s="792"/>
      <c r="D777" s="829">
        <f>+Tabla1[[#This Row],[FECHA Entrega]]</f>
        <v>0</v>
      </c>
      <c r="E777" s="830"/>
      <c r="F777" s="831"/>
      <c r="G777" s="832"/>
      <c r="H777" s="852"/>
      <c r="I777" s="834"/>
      <c r="J777" s="835"/>
      <c r="K777" s="836">
        <f t="shared" si="154"/>
        <v>0</v>
      </c>
      <c r="L77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77" s="837">
        <f t="shared" si="156"/>
        <v>0</v>
      </c>
      <c r="N777" s="838">
        <f>+Tabla1[[#This Row],[VENTA TOTAL $ (IVA INC) ]]</f>
        <v>0</v>
      </c>
      <c r="O777" s="838">
        <v>0</v>
      </c>
      <c r="P777" s="838">
        <v>0</v>
      </c>
      <c r="Q777" s="839">
        <f>+Tabla1[[#This Row],[VENTA TOTAL $ (IVA INC) ]]</f>
        <v>0</v>
      </c>
      <c r="R777" s="840">
        <f>+Tabla1[[#This Row],[FECHA FC]]+Tabla1[[#This Row],[PLAZO ENTREGA VALORES]]</f>
        <v>0</v>
      </c>
      <c r="S777" s="840">
        <f>+Tabla1[[#This Row],[FECHA FC]]+Tabla1[[#This Row],[PLAZO PAGO (DIAS)]]</f>
        <v>0</v>
      </c>
      <c r="T777" s="834">
        <f t="shared" ca="1" si="155"/>
        <v>-46181</v>
      </c>
      <c r="U777" s="831"/>
      <c r="V777" s="831"/>
      <c r="W777" s="841">
        <f t="shared" si="158"/>
        <v>7</v>
      </c>
      <c r="X777" s="830"/>
      <c r="Y777" s="859"/>
      <c r="Z777" s="860">
        <f>Tabla1[[#This Row],[KGS]]/50</f>
        <v>0</v>
      </c>
      <c r="AA77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77" s="844">
        <f>-Tabla1[[#This Row],[COSTO FLETE $ POR BOLSA 5O KG (SIN IVA)]]*1.21-Tabla1[[#This Row],[PRECIO $/ KG A PLAZO EN CLIENTE ( SIN IVA)]]*0.003*1.21*50</f>
        <v>0</v>
      </c>
      <c r="AC777" s="845" t="e">
        <f>SUM(Tabla1[[#This Row],[PRECIO $ BOLSA 50 KG (IVA INC) ]]+Tabla1[[#This Row],[COSTO FLETE $ BOLSA 50 KG (IVA INC)]])</f>
        <v>#VALUE!</v>
      </c>
      <c r="AD777" s="844" t="e">
        <f>-Tabla1[[#This Row],[PRECIO $ BOLSA 50 KG (IVA INC) ]]*(Tabla1[[#This Row],[TASA FINANCIACION MENSUAL]]/365)*Tabla1[[#This Row],[PLAZO ENTREGA VALORES]]</f>
        <v>#VALUE!</v>
      </c>
      <c r="AE777" s="845" t="e">
        <f>SUM(Tabla1[[#This Row],[PRECIO $ BOLSA50 KG  FOB TUCUMAN A PLAZO (IVA INC)]]+Tabla1[[#This Row],[GASTOS FINANCIEROS $ BOLSA 50 KG (IVA INC)]])</f>
        <v>#VALUE!</v>
      </c>
      <c r="AF777" s="828"/>
      <c r="AG777" s="828"/>
      <c r="AH777" s="828"/>
      <c r="AI777" s="828"/>
      <c r="AJ77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77" s="846" t="e">
        <f>SUM(Tabla1[[#This Row],[PRECIO $ BOLSA 50KG  FOB CDO TUC (IVA INC)]]-Tabla1[[#This Row],[PRECIO REF $ BOLSA 50 KG CACTU (IVA INC)]])</f>
        <v>#VALUE!</v>
      </c>
      <c r="AL777" s="847" t="str">
        <f>IFERROR(Tabla1[[#This Row],[PRECIO $ BOLSA 50KG  FOB CDO TUC (IVA INC)]]/Tabla1[[#This Row],[PRECIO REF $ BOLSA 50 KG CACTU (IVA INC)]]-1,"")</f>
        <v/>
      </c>
      <c r="AM777" s="846" t="e">
        <f>+Tabla1[[#This Row],[DIF $ PRECIO NETO INDUSTRIA vs Neto TUCUMAN (IVA INC)]]*Tabla1[[#This Row],[Q Bolsas Equivalentes 50kg]]</f>
        <v>#VALUE!</v>
      </c>
      <c r="AN777" s="846" t="e">
        <f>Tabla1[[#This Row],[PRECIO REF $ BOLSA 50 KG CACTU (IVA INC)]]*Tabla1[[#This Row],[Q Bolsas Equivalentes 50kg]]</f>
        <v>#VALUE!</v>
      </c>
      <c r="AO777" s="846" t="e">
        <f>+Tabla1[[#This Row],[PRECIO $ BOLSA 50KG  FOB CDO TUC (IVA INC)]]*Tabla1[[#This Row],[Q Bolsas Equivalentes 50kg]]</f>
        <v>#VALUE!</v>
      </c>
      <c r="AP777" s="847"/>
      <c r="AQ777" s="846">
        <v>0</v>
      </c>
      <c r="AR777" s="828"/>
      <c r="AS777" s="849"/>
      <c r="AT777" s="923">
        <f>+Tabla1[[#This Row],[VENTA TOTAL $ (IVA INC) ]]-(SUM(Tabla1[[#This Row],[PENDIENTE DE ENTREGA]:[VALORES COBRADOS]]))</f>
        <v>0</v>
      </c>
      <c r="AU777" s="850" t="e">
        <f>VLOOKUP(Tabla1[[#This Row],[FECHA OC]],'TIPO DE CAMBIO'!A:B,2,TRUE)</f>
        <v>#N/A</v>
      </c>
      <c r="AV777" s="850" t="e">
        <f>+Tabla1[[#This Row],[SUBTOTAL]]/Tabla1[[#This Row],[TIPO DE CAMBIO]]</f>
        <v>#N/A</v>
      </c>
      <c r="AW777" s="851"/>
      <c r="AX777" s="850" t="str">
        <f>IFERROR(Tabla1[[#This Row],[VENTA TOTAL USD A PLAZO EN CLIENTE  (SIN IVA)]]*(1+Tabla1[[#This Row],[% IVA ]]),"")</f>
        <v/>
      </c>
      <c r="AY777" s="850" t="e">
        <f>+Tabla1[[#This Row],[VENTA TOTAL USD A PLAZO EN CLIENTE  (SIN IVA)]]/Tabla1[[#This Row],[KGS]]*1000</f>
        <v>#N/A</v>
      </c>
      <c r="AZ777" s="850" t="e">
        <f>-Tabla1[[#This Row],[COSTO FLETE $ POR BOLSA 5O KG (SIN IVA)]]*20/Tabla1[[#This Row],[TIPO DE CAMBIO]]</f>
        <v>#N/A</v>
      </c>
      <c r="BA777" s="850" t="e">
        <f>+Tabla1[[#This Row],[GASTOS FINANCIEROS $ BOLSA 50 KG (IVA INC)]]*20/Tabla1[[#This Row],[TIPO DE CAMBIO]]</f>
        <v>#VALUE!</v>
      </c>
      <c r="BB777" s="850" t="e">
        <f>+Tabla1[[#This Row],[PRECIO POR TN USD EN CLIENTE A PLAZO (SIN IVA)]]+Tabla1[[#This Row],[COSTO USD FLETE /TN (SIN IVA)]]+Tabla1[[#This Row],[COSTO FINANCIERO USD POR BOLSA 50KG (IVA INC)]]</f>
        <v>#N/A</v>
      </c>
      <c r="BC777" s="828"/>
      <c r="BD777" s="944"/>
    </row>
    <row r="778" spans="1:56" ht="15.75" customHeight="1">
      <c r="A778" s="912">
        <v>46327</v>
      </c>
      <c r="B778" s="853"/>
      <c r="C778" s="792"/>
      <c r="D778" s="829">
        <f>+Tabla1[[#This Row],[FECHA Entrega]]</f>
        <v>0</v>
      </c>
      <c r="E778" s="830"/>
      <c r="F778" s="831"/>
      <c r="G778" s="832"/>
      <c r="H778" s="852"/>
      <c r="I778" s="834"/>
      <c r="J778" s="835"/>
      <c r="K778" s="836">
        <f t="shared" si="154"/>
        <v>0</v>
      </c>
      <c r="L77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78" s="837">
        <f t="shared" si="156"/>
        <v>0</v>
      </c>
      <c r="N778" s="838">
        <f>+Tabla1[[#This Row],[VENTA TOTAL $ (IVA INC) ]]</f>
        <v>0</v>
      </c>
      <c r="O778" s="838">
        <v>0</v>
      </c>
      <c r="P778" s="838">
        <v>0</v>
      </c>
      <c r="Q778" s="839">
        <f>+Tabla1[[#This Row],[VENTA TOTAL $ (IVA INC) ]]</f>
        <v>0</v>
      </c>
      <c r="R778" s="840">
        <f>+Tabla1[[#This Row],[FECHA FC]]+Tabla1[[#This Row],[PLAZO ENTREGA VALORES]]</f>
        <v>0</v>
      </c>
      <c r="S778" s="840">
        <f>+Tabla1[[#This Row],[FECHA FC]]+Tabla1[[#This Row],[PLAZO PAGO (DIAS)]]</f>
        <v>0</v>
      </c>
      <c r="T778" s="834">
        <f t="shared" ca="1" si="155"/>
        <v>-46181</v>
      </c>
      <c r="U778" s="831"/>
      <c r="V778" s="831"/>
      <c r="W778" s="841">
        <f t="shared" si="158"/>
        <v>7</v>
      </c>
      <c r="X778" s="830"/>
      <c r="Y778" s="859"/>
      <c r="Z778" s="860">
        <f>Tabla1[[#This Row],[KGS]]/50</f>
        <v>0</v>
      </c>
      <c r="AA77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78" s="844">
        <f>-Tabla1[[#This Row],[COSTO FLETE $ POR BOLSA 5O KG (SIN IVA)]]*1.21-Tabla1[[#This Row],[PRECIO $/ KG A PLAZO EN CLIENTE ( SIN IVA)]]*0.003*1.21*50</f>
        <v>0</v>
      </c>
      <c r="AC778" s="845" t="e">
        <f>SUM(Tabla1[[#This Row],[PRECIO $ BOLSA 50 KG (IVA INC) ]]+Tabla1[[#This Row],[COSTO FLETE $ BOLSA 50 KG (IVA INC)]])</f>
        <v>#VALUE!</v>
      </c>
      <c r="AD778" s="844" t="e">
        <f>-Tabla1[[#This Row],[PRECIO $ BOLSA 50 KG (IVA INC) ]]*(Tabla1[[#This Row],[TASA FINANCIACION MENSUAL]]/365)*Tabla1[[#This Row],[PLAZO ENTREGA VALORES]]</f>
        <v>#VALUE!</v>
      </c>
      <c r="AE778" s="845" t="e">
        <f>SUM(Tabla1[[#This Row],[PRECIO $ BOLSA50 KG  FOB TUCUMAN A PLAZO (IVA INC)]]+Tabla1[[#This Row],[GASTOS FINANCIEROS $ BOLSA 50 KG (IVA INC)]])</f>
        <v>#VALUE!</v>
      </c>
      <c r="AF778" s="828"/>
      <c r="AG778" s="828"/>
      <c r="AH778" s="828"/>
      <c r="AI778" s="828"/>
      <c r="AJ77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78" s="846" t="e">
        <f>SUM(Tabla1[[#This Row],[PRECIO $ BOLSA 50KG  FOB CDO TUC (IVA INC)]]-Tabla1[[#This Row],[PRECIO REF $ BOLSA 50 KG CACTU (IVA INC)]])</f>
        <v>#VALUE!</v>
      </c>
      <c r="AL778" s="847" t="str">
        <f>IFERROR(Tabla1[[#This Row],[PRECIO $ BOLSA 50KG  FOB CDO TUC (IVA INC)]]/Tabla1[[#This Row],[PRECIO REF $ BOLSA 50 KG CACTU (IVA INC)]]-1,"")</f>
        <v/>
      </c>
      <c r="AM778" s="846" t="e">
        <f>+Tabla1[[#This Row],[DIF $ PRECIO NETO INDUSTRIA vs Neto TUCUMAN (IVA INC)]]*Tabla1[[#This Row],[Q Bolsas Equivalentes 50kg]]</f>
        <v>#VALUE!</v>
      </c>
      <c r="AN778" s="846" t="e">
        <f>Tabla1[[#This Row],[PRECIO REF $ BOLSA 50 KG CACTU (IVA INC)]]*Tabla1[[#This Row],[Q Bolsas Equivalentes 50kg]]</f>
        <v>#VALUE!</v>
      </c>
      <c r="AO778" s="846" t="e">
        <f>+Tabla1[[#This Row],[PRECIO $ BOLSA 50KG  FOB CDO TUC (IVA INC)]]*Tabla1[[#This Row],[Q Bolsas Equivalentes 50kg]]</f>
        <v>#VALUE!</v>
      </c>
      <c r="AP778" s="847"/>
      <c r="AQ778" s="846">
        <v>0</v>
      </c>
      <c r="AR778" s="828"/>
      <c r="AS778" s="849"/>
      <c r="AT778" s="923">
        <f>+Tabla1[[#This Row],[VENTA TOTAL $ (IVA INC) ]]-(SUM(Tabla1[[#This Row],[PENDIENTE DE ENTREGA]:[VALORES COBRADOS]]))</f>
        <v>0</v>
      </c>
      <c r="AU778" s="850" t="e">
        <f>VLOOKUP(Tabla1[[#This Row],[FECHA OC]],'TIPO DE CAMBIO'!A:B,2,TRUE)</f>
        <v>#N/A</v>
      </c>
      <c r="AV778" s="850" t="e">
        <f>+Tabla1[[#This Row],[SUBTOTAL]]/Tabla1[[#This Row],[TIPO DE CAMBIO]]</f>
        <v>#N/A</v>
      </c>
      <c r="AW778" s="851"/>
      <c r="AX778" s="850" t="str">
        <f>IFERROR(Tabla1[[#This Row],[VENTA TOTAL USD A PLAZO EN CLIENTE  (SIN IVA)]]*(1+Tabla1[[#This Row],[% IVA ]]),"")</f>
        <v/>
      </c>
      <c r="AY778" s="850" t="e">
        <f>+Tabla1[[#This Row],[VENTA TOTAL USD A PLAZO EN CLIENTE  (SIN IVA)]]/Tabla1[[#This Row],[KGS]]*1000</f>
        <v>#N/A</v>
      </c>
      <c r="AZ778" s="850" t="e">
        <f>-Tabla1[[#This Row],[COSTO FLETE $ POR BOLSA 5O KG (SIN IVA)]]*20/Tabla1[[#This Row],[TIPO DE CAMBIO]]</f>
        <v>#N/A</v>
      </c>
      <c r="BA778" s="850" t="e">
        <f>+Tabla1[[#This Row],[GASTOS FINANCIEROS $ BOLSA 50 KG (IVA INC)]]*20/Tabla1[[#This Row],[TIPO DE CAMBIO]]</f>
        <v>#VALUE!</v>
      </c>
      <c r="BB778" s="850" t="e">
        <f>+Tabla1[[#This Row],[PRECIO POR TN USD EN CLIENTE A PLAZO (SIN IVA)]]+Tabla1[[#This Row],[COSTO USD FLETE /TN (SIN IVA)]]+Tabla1[[#This Row],[COSTO FINANCIERO USD POR BOLSA 50KG (IVA INC)]]</f>
        <v>#N/A</v>
      </c>
      <c r="BC778" s="848"/>
      <c r="BD778" s="944"/>
    </row>
    <row r="779" spans="1:56" ht="15.75" customHeight="1">
      <c r="A779" s="912">
        <v>46327</v>
      </c>
      <c r="B779" s="853"/>
      <c r="C779" s="792"/>
      <c r="D779" s="829">
        <f>+Tabla1[[#This Row],[FECHA Entrega]]</f>
        <v>0</v>
      </c>
      <c r="E779" s="830"/>
      <c r="F779" s="831"/>
      <c r="G779" s="832"/>
      <c r="H779" s="852"/>
      <c r="I779" s="834"/>
      <c r="J779" s="835"/>
      <c r="K779" s="836">
        <f t="shared" si="154"/>
        <v>0</v>
      </c>
      <c r="L77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79" s="837">
        <f t="shared" si="156"/>
        <v>0</v>
      </c>
      <c r="N779" s="838">
        <f>+Tabla1[[#This Row],[VENTA TOTAL $ (IVA INC) ]]</f>
        <v>0</v>
      </c>
      <c r="O779" s="838">
        <v>0</v>
      </c>
      <c r="P779" s="838">
        <v>0</v>
      </c>
      <c r="Q779" s="839">
        <f>+Tabla1[[#This Row],[VENTA TOTAL $ (IVA INC) ]]</f>
        <v>0</v>
      </c>
      <c r="R779" s="840">
        <f>+Tabla1[[#This Row],[FECHA FC]]+Tabla1[[#This Row],[PLAZO ENTREGA VALORES]]</f>
        <v>0</v>
      </c>
      <c r="S779" s="840">
        <f>+Tabla1[[#This Row],[FECHA FC]]+Tabla1[[#This Row],[PLAZO PAGO (DIAS)]]</f>
        <v>0</v>
      </c>
      <c r="T779" s="834">
        <f t="shared" ca="1" si="155"/>
        <v>-46181</v>
      </c>
      <c r="U779" s="831"/>
      <c r="V779" s="831"/>
      <c r="W779" s="841">
        <f t="shared" si="158"/>
        <v>7</v>
      </c>
      <c r="X779" s="830"/>
      <c r="Y779" s="859"/>
      <c r="Z779" s="860">
        <f>Tabla1[[#This Row],[KGS]]/50</f>
        <v>0</v>
      </c>
      <c r="AA77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79" s="844">
        <f>-Tabla1[[#This Row],[COSTO FLETE $ POR BOLSA 5O KG (SIN IVA)]]*1.21-Tabla1[[#This Row],[PRECIO $/ KG A PLAZO EN CLIENTE ( SIN IVA)]]*0.003*1.21*50</f>
        <v>0</v>
      </c>
      <c r="AC779" s="845" t="e">
        <f>SUM(Tabla1[[#This Row],[PRECIO $ BOLSA 50 KG (IVA INC) ]]+Tabla1[[#This Row],[COSTO FLETE $ BOLSA 50 KG (IVA INC)]])</f>
        <v>#VALUE!</v>
      </c>
      <c r="AD779" s="844" t="e">
        <f>-Tabla1[[#This Row],[PRECIO $ BOLSA 50 KG (IVA INC) ]]*(Tabla1[[#This Row],[TASA FINANCIACION MENSUAL]]/365)*Tabla1[[#This Row],[PLAZO ENTREGA VALORES]]</f>
        <v>#VALUE!</v>
      </c>
      <c r="AE779" s="845" t="e">
        <f>SUM(Tabla1[[#This Row],[PRECIO $ BOLSA50 KG  FOB TUCUMAN A PLAZO (IVA INC)]]+Tabla1[[#This Row],[GASTOS FINANCIEROS $ BOLSA 50 KG (IVA INC)]])</f>
        <v>#VALUE!</v>
      </c>
      <c r="AF779" s="828"/>
      <c r="AG779" s="828"/>
      <c r="AH779" s="828"/>
      <c r="AI779" s="828"/>
      <c r="AJ77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79" s="846" t="e">
        <f>SUM(Tabla1[[#This Row],[PRECIO $ BOLSA 50KG  FOB CDO TUC (IVA INC)]]-Tabla1[[#This Row],[PRECIO REF $ BOLSA 50 KG CACTU (IVA INC)]])</f>
        <v>#VALUE!</v>
      </c>
      <c r="AL779" s="847" t="str">
        <f>IFERROR(Tabla1[[#This Row],[PRECIO $ BOLSA 50KG  FOB CDO TUC (IVA INC)]]/Tabla1[[#This Row],[PRECIO REF $ BOLSA 50 KG CACTU (IVA INC)]]-1,"")</f>
        <v/>
      </c>
      <c r="AM779" s="846" t="e">
        <f>+Tabla1[[#This Row],[DIF $ PRECIO NETO INDUSTRIA vs Neto TUCUMAN (IVA INC)]]*Tabla1[[#This Row],[Q Bolsas Equivalentes 50kg]]</f>
        <v>#VALUE!</v>
      </c>
      <c r="AN779" s="846" t="e">
        <f>Tabla1[[#This Row],[PRECIO REF $ BOLSA 50 KG CACTU (IVA INC)]]*Tabla1[[#This Row],[Q Bolsas Equivalentes 50kg]]</f>
        <v>#VALUE!</v>
      </c>
      <c r="AO779" s="846" t="e">
        <f>+Tabla1[[#This Row],[PRECIO $ BOLSA 50KG  FOB CDO TUC (IVA INC)]]*Tabla1[[#This Row],[Q Bolsas Equivalentes 50kg]]</f>
        <v>#VALUE!</v>
      </c>
      <c r="AP779" s="847"/>
      <c r="AQ779" s="846">
        <v>0</v>
      </c>
      <c r="AR779" s="828"/>
      <c r="AS779" s="849"/>
      <c r="AT779" s="923">
        <f>+Tabla1[[#This Row],[VENTA TOTAL $ (IVA INC) ]]-(SUM(Tabla1[[#This Row],[PENDIENTE DE ENTREGA]:[VALORES COBRADOS]]))</f>
        <v>0</v>
      </c>
      <c r="AU779" s="850" t="e">
        <f>VLOOKUP(Tabla1[[#This Row],[FECHA OC]],'TIPO DE CAMBIO'!A:B,2,TRUE)</f>
        <v>#N/A</v>
      </c>
      <c r="AV779" s="850" t="e">
        <f>+Tabla1[[#This Row],[SUBTOTAL]]/Tabla1[[#This Row],[TIPO DE CAMBIO]]</f>
        <v>#N/A</v>
      </c>
      <c r="AW779" s="851"/>
      <c r="AX779" s="850" t="str">
        <f>IFERROR(Tabla1[[#This Row],[VENTA TOTAL USD A PLAZO EN CLIENTE  (SIN IVA)]]*(1+Tabla1[[#This Row],[% IVA ]]),"")</f>
        <v/>
      </c>
      <c r="AY779" s="850" t="e">
        <f>+Tabla1[[#This Row],[VENTA TOTAL USD A PLAZO EN CLIENTE  (SIN IVA)]]/Tabla1[[#This Row],[KGS]]*1000</f>
        <v>#N/A</v>
      </c>
      <c r="AZ779" s="850" t="e">
        <f>-Tabla1[[#This Row],[COSTO FLETE $ POR BOLSA 5O KG (SIN IVA)]]*20/Tabla1[[#This Row],[TIPO DE CAMBIO]]</f>
        <v>#N/A</v>
      </c>
      <c r="BA779" s="850" t="e">
        <f>+Tabla1[[#This Row],[GASTOS FINANCIEROS $ BOLSA 50 KG (IVA INC)]]*20/Tabla1[[#This Row],[TIPO DE CAMBIO]]</f>
        <v>#VALUE!</v>
      </c>
      <c r="BB779" s="850" t="e">
        <f>+Tabla1[[#This Row],[PRECIO POR TN USD EN CLIENTE A PLAZO (SIN IVA)]]+Tabla1[[#This Row],[COSTO USD FLETE /TN (SIN IVA)]]+Tabla1[[#This Row],[COSTO FINANCIERO USD POR BOLSA 50KG (IVA INC)]]</f>
        <v>#N/A</v>
      </c>
      <c r="BC779" s="848"/>
      <c r="BD779" s="944"/>
    </row>
    <row r="780" spans="1:56" ht="15.75" customHeight="1">
      <c r="A780" s="912">
        <v>46327</v>
      </c>
      <c r="B780" s="863"/>
      <c r="C780" s="792"/>
      <c r="D780" s="829">
        <f>+Tabla1[[#This Row],[FECHA Entrega]]</f>
        <v>0</v>
      </c>
      <c r="E780" s="830"/>
      <c r="F780" s="831"/>
      <c r="G780" s="832"/>
      <c r="H780" s="852"/>
      <c r="I780" s="834"/>
      <c r="J780" s="835"/>
      <c r="K780" s="836">
        <f t="shared" si="154"/>
        <v>0</v>
      </c>
      <c r="L78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80" s="837">
        <f t="shared" si="156"/>
        <v>0</v>
      </c>
      <c r="N780" s="838">
        <f>+Tabla1[[#This Row],[VENTA TOTAL $ (IVA INC) ]]</f>
        <v>0</v>
      </c>
      <c r="O780" s="838">
        <v>0</v>
      </c>
      <c r="P780" s="838">
        <v>0</v>
      </c>
      <c r="Q780" s="839">
        <f>+Tabla1[[#This Row],[VENTA TOTAL $ (IVA INC) ]]</f>
        <v>0</v>
      </c>
      <c r="R780" s="840">
        <f>+Tabla1[[#This Row],[FECHA FC]]+Tabla1[[#This Row],[PLAZO ENTREGA VALORES]]</f>
        <v>0</v>
      </c>
      <c r="S780" s="840">
        <f>+Tabla1[[#This Row],[FECHA FC]]+Tabla1[[#This Row],[PLAZO PAGO (DIAS)]]</f>
        <v>0</v>
      </c>
      <c r="T780" s="834">
        <f t="shared" ca="1" si="155"/>
        <v>-46181</v>
      </c>
      <c r="U780" s="831"/>
      <c r="V780" s="831"/>
      <c r="W780" s="841">
        <f>+Tabla1[[#This Row],[FECHA VTO VALORES]]+7</f>
        <v>7</v>
      </c>
      <c r="X780" s="830"/>
      <c r="Y780" s="859"/>
      <c r="Z780" s="860">
        <f>Tabla1[[#This Row],[KGS]]/50</f>
        <v>0</v>
      </c>
      <c r="AA78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80" s="844">
        <f>-Tabla1[[#This Row],[COSTO FLETE $ POR BOLSA 5O KG (SIN IVA)]]*1.21-Tabla1[[#This Row],[PRECIO $/ KG A PLAZO EN CLIENTE ( SIN IVA)]]*0.003*1.21*50</f>
        <v>0</v>
      </c>
      <c r="AC780" s="845" t="e">
        <f>SUM(Tabla1[[#This Row],[PRECIO $ BOLSA 50 KG (IVA INC) ]]+Tabla1[[#This Row],[COSTO FLETE $ BOLSA 50 KG (IVA INC)]])</f>
        <v>#VALUE!</v>
      </c>
      <c r="AD780" s="844" t="e">
        <f>-Tabla1[[#This Row],[PRECIO $ BOLSA 50 KG (IVA INC) ]]*(Tabla1[[#This Row],[TASA FINANCIACION MENSUAL]]/365)*Tabla1[[#This Row],[PLAZO ENTREGA VALORES]]</f>
        <v>#VALUE!</v>
      </c>
      <c r="AE780" s="845" t="e">
        <f>SUM(Tabla1[[#This Row],[PRECIO $ BOLSA50 KG  FOB TUCUMAN A PLAZO (IVA INC)]]+Tabla1[[#This Row],[GASTOS FINANCIEROS $ BOLSA 50 KG (IVA INC)]])</f>
        <v>#VALUE!</v>
      </c>
      <c r="AF780" s="828"/>
      <c r="AG780" s="828"/>
      <c r="AH780" s="828"/>
      <c r="AI780" s="828"/>
      <c r="AJ78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80" s="846" t="e">
        <f>SUM(Tabla1[[#This Row],[PRECIO $ BOLSA 50KG  FOB CDO TUC (IVA INC)]]-Tabla1[[#This Row],[PRECIO REF $ BOLSA 50 KG CACTU (IVA INC)]])</f>
        <v>#VALUE!</v>
      </c>
      <c r="AL780" s="847" t="str">
        <f>IFERROR(Tabla1[[#This Row],[PRECIO $ BOLSA 50KG  FOB CDO TUC (IVA INC)]]/Tabla1[[#This Row],[PRECIO REF $ BOLSA 50 KG CACTU (IVA INC)]]-1,"")</f>
        <v/>
      </c>
      <c r="AM780" s="846" t="e">
        <f>+Tabla1[[#This Row],[DIF $ PRECIO NETO INDUSTRIA vs Neto TUCUMAN (IVA INC)]]*Tabla1[[#This Row],[Q Bolsas Equivalentes 50kg]]</f>
        <v>#VALUE!</v>
      </c>
      <c r="AN780" s="846" t="e">
        <f>Tabla1[[#This Row],[PRECIO REF $ BOLSA 50 KG CACTU (IVA INC)]]*Tabla1[[#This Row],[Q Bolsas Equivalentes 50kg]]</f>
        <v>#VALUE!</v>
      </c>
      <c r="AO780" s="846" t="e">
        <f>+Tabla1[[#This Row],[PRECIO $ BOLSA 50KG  FOB CDO TUC (IVA INC)]]*Tabla1[[#This Row],[Q Bolsas Equivalentes 50kg]]</f>
        <v>#VALUE!</v>
      </c>
      <c r="AP780" s="847"/>
      <c r="AQ780" s="846">
        <v>0</v>
      </c>
      <c r="AR780" s="828"/>
      <c r="AS780" s="849"/>
      <c r="AT780" s="923">
        <f>+Tabla1[[#This Row],[VENTA TOTAL $ (IVA INC) ]]-(SUM(Tabla1[[#This Row],[PENDIENTE DE ENTREGA]:[VALORES COBRADOS]]))</f>
        <v>0</v>
      </c>
      <c r="AU780" s="850" t="e">
        <f>VLOOKUP(Tabla1[[#This Row],[FECHA OC]],'TIPO DE CAMBIO'!A:B,2,TRUE)</f>
        <v>#N/A</v>
      </c>
      <c r="AV780" s="850" t="e">
        <f>+Tabla1[[#This Row],[SUBTOTAL]]/Tabla1[[#This Row],[TIPO DE CAMBIO]]</f>
        <v>#N/A</v>
      </c>
      <c r="AW780" s="851"/>
      <c r="AX780" s="850" t="str">
        <f>IFERROR(Tabla1[[#This Row],[VENTA TOTAL USD A PLAZO EN CLIENTE  (SIN IVA)]]*(1+Tabla1[[#This Row],[% IVA ]]),"")</f>
        <v/>
      </c>
      <c r="AY780" s="850" t="e">
        <f>+Tabla1[[#This Row],[VENTA TOTAL USD A PLAZO EN CLIENTE  (SIN IVA)]]/Tabla1[[#This Row],[KGS]]*1000</f>
        <v>#N/A</v>
      </c>
      <c r="AZ780" s="850" t="e">
        <f>-Tabla1[[#This Row],[COSTO FLETE $ POR BOLSA 5O KG (SIN IVA)]]*20/Tabla1[[#This Row],[TIPO DE CAMBIO]]</f>
        <v>#N/A</v>
      </c>
      <c r="BA780" s="850" t="e">
        <f>+Tabla1[[#This Row],[GASTOS FINANCIEROS $ BOLSA 50 KG (IVA INC)]]*20/Tabla1[[#This Row],[TIPO DE CAMBIO]]</f>
        <v>#VALUE!</v>
      </c>
      <c r="BB780" s="850" t="e">
        <f>+Tabla1[[#This Row],[PRECIO POR TN USD EN CLIENTE A PLAZO (SIN IVA)]]+Tabla1[[#This Row],[COSTO USD FLETE /TN (SIN IVA)]]+Tabla1[[#This Row],[COSTO FINANCIERO USD POR BOLSA 50KG (IVA INC)]]</f>
        <v>#N/A</v>
      </c>
      <c r="BC780" s="828"/>
      <c r="BD780" s="944"/>
    </row>
    <row r="781" spans="1:56" ht="15.75" customHeight="1">
      <c r="A781" s="912">
        <v>46357</v>
      </c>
      <c r="B781" s="863"/>
      <c r="C781" s="792"/>
      <c r="D781" s="829">
        <f>+Tabla1[[#This Row],[FECHA Entrega]]</f>
        <v>0</v>
      </c>
      <c r="E781" s="830"/>
      <c r="F781" s="831"/>
      <c r="G781" s="832"/>
      <c r="H781" s="852"/>
      <c r="I781" s="834"/>
      <c r="J781" s="835"/>
      <c r="K781" s="836">
        <f t="shared" si="154"/>
        <v>0</v>
      </c>
      <c r="L78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81" s="837">
        <f t="shared" si="156"/>
        <v>0</v>
      </c>
      <c r="N781" s="838">
        <f>+Tabla1[[#This Row],[VENTA TOTAL $ (IVA INC) ]]</f>
        <v>0</v>
      </c>
      <c r="O781" s="838">
        <v>0</v>
      </c>
      <c r="P781" s="838">
        <v>0</v>
      </c>
      <c r="Q781" s="839">
        <f>+Tabla1[[#This Row],[VENTA TOTAL $ (IVA INC) ]]</f>
        <v>0</v>
      </c>
      <c r="R781" s="840">
        <f>+Tabla1[[#This Row],[FECHA FC]]+Tabla1[[#This Row],[PLAZO ENTREGA VALORES]]</f>
        <v>0</v>
      </c>
      <c r="S781" s="840">
        <f>+Tabla1[[#This Row],[FECHA FC]]+Tabla1[[#This Row],[PLAZO PAGO (DIAS)]]</f>
        <v>0</v>
      </c>
      <c r="T781" s="834">
        <f t="shared" ca="1" si="155"/>
        <v>-46181</v>
      </c>
      <c r="U781" s="831"/>
      <c r="V781" s="831"/>
      <c r="W781" s="841">
        <f>+Tabla1[[#This Row],[FECHA VTO VALORES]]+7</f>
        <v>7</v>
      </c>
      <c r="X781" s="830"/>
      <c r="Y781" s="859"/>
      <c r="Z781" s="860">
        <f>Tabla1[[#This Row],[KGS]]/50</f>
        <v>0</v>
      </c>
      <c r="AA78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81" s="844">
        <f>-Tabla1[[#This Row],[COSTO FLETE $ POR BOLSA 5O KG (SIN IVA)]]*1.21-Tabla1[[#This Row],[PRECIO $/ KG A PLAZO EN CLIENTE ( SIN IVA)]]*0.003*1.21*50</f>
        <v>0</v>
      </c>
      <c r="AC781" s="845" t="e">
        <f>SUM(Tabla1[[#This Row],[PRECIO $ BOLSA 50 KG (IVA INC) ]]+Tabla1[[#This Row],[COSTO FLETE $ BOLSA 50 KG (IVA INC)]])</f>
        <v>#VALUE!</v>
      </c>
      <c r="AD781" s="844" t="e">
        <f>-Tabla1[[#This Row],[PRECIO $ BOLSA 50 KG (IVA INC) ]]*(Tabla1[[#This Row],[TASA FINANCIACION MENSUAL]]/365)*Tabla1[[#This Row],[PLAZO ENTREGA VALORES]]</f>
        <v>#VALUE!</v>
      </c>
      <c r="AE781" s="845" t="e">
        <f>SUM(Tabla1[[#This Row],[PRECIO $ BOLSA50 KG  FOB TUCUMAN A PLAZO (IVA INC)]]+Tabla1[[#This Row],[GASTOS FINANCIEROS $ BOLSA 50 KG (IVA INC)]])</f>
        <v>#VALUE!</v>
      </c>
      <c r="AF781" s="828"/>
      <c r="AG781" s="828"/>
      <c r="AH781" s="828"/>
      <c r="AI781" s="828"/>
      <c r="AJ78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81" s="846" t="e">
        <f>SUM(Tabla1[[#This Row],[PRECIO $ BOLSA 50KG  FOB CDO TUC (IVA INC)]]-Tabla1[[#This Row],[PRECIO REF $ BOLSA 50 KG CACTU (IVA INC)]])</f>
        <v>#VALUE!</v>
      </c>
      <c r="AL781" s="847" t="str">
        <f>IFERROR(Tabla1[[#This Row],[PRECIO $ BOLSA 50KG  FOB CDO TUC (IVA INC)]]/Tabla1[[#This Row],[PRECIO REF $ BOLSA 50 KG CACTU (IVA INC)]]-1,"")</f>
        <v/>
      </c>
      <c r="AM781" s="846" t="e">
        <f>+Tabla1[[#This Row],[DIF $ PRECIO NETO INDUSTRIA vs Neto TUCUMAN (IVA INC)]]*Tabla1[[#This Row],[Q Bolsas Equivalentes 50kg]]</f>
        <v>#VALUE!</v>
      </c>
      <c r="AN781" s="846" t="e">
        <f>Tabla1[[#This Row],[PRECIO REF $ BOLSA 50 KG CACTU (IVA INC)]]*Tabla1[[#This Row],[Q Bolsas Equivalentes 50kg]]</f>
        <v>#VALUE!</v>
      </c>
      <c r="AO781" s="846" t="e">
        <f>+Tabla1[[#This Row],[PRECIO $ BOLSA 50KG  FOB CDO TUC (IVA INC)]]*Tabla1[[#This Row],[Q Bolsas Equivalentes 50kg]]</f>
        <v>#VALUE!</v>
      </c>
      <c r="AP781" s="847"/>
      <c r="AQ781" s="846">
        <v>0</v>
      </c>
      <c r="AR781" s="828"/>
      <c r="AS781" s="849"/>
      <c r="AT781" s="923">
        <f>+Tabla1[[#This Row],[VENTA TOTAL $ (IVA INC) ]]-(SUM(Tabla1[[#This Row],[PENDIENTE DE ENTREGA]:[VALORES COBRADOS]]))</f>
        <v>0</v>
      </c>
      <c r="AU781" s="850" t="e">
        <f>VLOOKUP(Tabla1[[#This Row],[FECHA OC]],'TIPO DE CAMBIO'!A:B,2,TRUE)</f>
        <v>#N/A</v>
      </c>
      <c r="AV781" s="850" t="e">
        <f>+Tabla1[[#This Row],[SUBTOTAL]]/Tabla1[[#This Row],[TIPO DE CAMBIO]]</f>
        <v>#N/A</v>
      </c>
      <c r="AW781" s="851"/>
      <c r="AX781" s="850" t="str">
        <f>IFERROR(Tabla1[[#This Row],[VENTA TOTAL USD A PLAZO EN CLIENTE  (SIN IVA)]]*(1+Tabla1[[#This Row],[% IVA ]]),"")</f>
        <v/>
      </c>
      <c r="AY781" s="850" t="e">
        <f>+Tabla1[[#This Row],[VENTA TOTAL USD A PLAZO EN CLIENTE  (SIN IVA)]]/Tabla1[[#This Row],[KGS]]*1000</f>
        <v>#N/A</v>
      </c>
      <c r="AZ781" s="850" t="e">
        <f>-Tabla1[[#This Row],[COSTO FLETE $ POR BOLSA 5O KG (SIN IVA)]]*20/Tabla1[[#This Row],[TIPO DE CAMBIO]]</f>
        <v>#N/A</v>
      </c>
      <c r="BA781" s="850" t="e">
        <f>+Tabla1[[#This Row],[GASTOS FINANCIEROS $ BOLSA 50 KG (IVA INC)]]*20/Tabla1[[#This Row],[TIPO DE CAMBIO]]</f>
        <v>#VALUE!</v>
      </c>
      <c r="BB781" s="850" t="e">
        <f>+Tabla1[[#This Row],[PRECIO POR TN USD EN CLIENTE A PLAZO (SIN IVA)]]+Tabla1[[#This Row],[COSTO USD FLETE /TN (SIN IVA)]]+Tabla1[[#This Row],[COSTO FINANCIERO USD POR BOLSA 50KG (IVA INC)]]</f>
        <v>#N/A</v>
      </c>
      <c r="BC781" s="828"/>
      <c r="BD781" s="944"/>
    </row>
    <row r="782" spans="1:56" ht="15.75" customHeight="1">
      <c r="A782" s="912">
        <v>46357</v>
      </c>
      <c r="B782" s="863"/>
      <c r="C782" s="792"/>
      <c r="D782" s="829">
        <f>+Tabla1[[#This Row],[FECHA Entrega]]</f>
        <v>0</v>
      </c>
      <c r="E782" s="830"/>
      <c r="F782" s="831"/>
      <c r="G782" s="832"/>
      <c r="H782" s="852"/>
      <c r="I782" s="834"/>
      <c r="J782" s="835"/>
      <c r="K782" s="836">
        <f t="shared" si="154"/>
        <v>0</v>
      </c>
      <c r="L78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82" s="837">
        <f t="shared" si="156"/>
        <v>0</v>
      </c>
      <c r="N782" s="838">
        <f>+Tabla1[[#This Row],[VENTA TOTAL $ (IVA INC) ]]</f>
        <v>0</v>
      </c>
      <c r="O782" s="838">
        <v>0</v>
      </c>
      <c r="P782" s="838">
        <v>0</v>
      </c>
      <c r="Q782" s="839">
        <f>+Tabla1[[#This Row],[VENTA TOTAL $ (IVA INC) ]]</f>
        <v>0</v>
      </c>
      <c r="R782" s="840">
        <f>+Tabla1[[#This Row],[FECHA FC]]+Tabla1[[#This Row],[PLAZO ENTREGA VALORES]]</f>
        <v>0</v>
      </c>
      <c r="S782" s="840">
        <f>+Tabla1[[#This Row],[FECHA FC]]+Tabla1[[#This Row],[PLAZO PAGO (DIAS)]]</f>
        <v>0</v>
      </c>
      <c r="T782" s="834">
        <f t="shared" ca="1" si="155"/>
        <v>-46181</v>
      </c>
      <c r="U782" s="831"/>
      <c r="V782" s="831"/>
      <c r="W782" s="841">
        <f>+Tabla1[[#This Row],[FECHA VTO VALORES]]+7</f>
        <v>7</v>
      </c>
      <c r="X782" s="830"/>
      <c r="Y782" s="859"/>
      <c r="Z782" s="860">
        <f>Tabla1[[#This Row],[KGS]]/50</f>
        <v>0</v>
      </c>
      <c r="AA78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82" s="844">
        <f>-Tabla1[[#This Row],[COSTO FLETE $ POR BOLSA 5O KG (SIN IVA)]]*1.21-Tabla1[[#This Row],[PRECIO $/ KG A PLAZO EN CLIENTE ( SIN IVA)]]*0.003*1.21*50</f>
        <v>0</v>
      </c>
      <c r="AC782" s="845" t="e">
        <f>SUM(Tabla1[[#This Row],[PRECIO $ BOLSA 50 KG (IVA INC) ]]+Tabla1[[#This Row],[COSTO FLETE $ BOLSA 50 KG (IVA INC)]])</f>
        <v>#VALUE!</v>
      </c>
      <c r="AD782" s="844" t="e">
        <f>-Tabla1[[#This Row],[PRECIO $ BOLSA 50 KG (IVA INC) ]]*(Tabla1[[#This Row],[TASA FINANCIACION MENSUAL]]/365)*Tabla1[[#This Row],[PLAZO ENTREGA VALORES]]</f>
        <v>#VALUE!</v>
      </c>
      <c r="AE782" s="845" t="e">
        <f>SUM(Tabla1[[#This Row],[PRECIO $ BOLSA50 KG  FOB TUCUMAN A PLAZO (IVA INC)]]+Tabla1[[#This Row],[GASTOS FINANCIEROS $ BOLSA 50 KG (IVA INC)]])</f>
        <v>#VALUE!</v>
      </c>
      <c r="AF782" s="828"/>
      <c r="AG782" s="828"/>
      <c r="AH782" s="828"/>
      <c r="AI782" s="828"/>
      <c r="AJ78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82" s="846" t="e">
        <f>SUM(Tabla1[[#This Row],[PRECIO $ BOLSA 50KG  FOB CDO TUC (IVA INC)]]-Tabla1[[#This Row],[PRECIO REF $ BOLSA 50 KG CACTU (IVA INC)]])</f>
        <v>#VALUE!</v>
      </c>
      <c r="AL782" s="847" t="str">
        <f>IFERROR(Tabla1[[#This Row],[PRECIO $ BOLSA 50KG  FOB CDO TUC (IVA INC)]]/Tabla1[[#This Row],[PRECIO REF $ BOLSA 50 KG CACTU (IVA INC)]]-1,"")</f>
        <v/>
      </c>
      <c r="AM782" s="846" t="e">
        <f>+Tabla1[[#This Row],[DIF $ PRECIO NETO INDUSTRIA vs Neto TUCUMAN (IVA INC)]]*Tabla1[[#This Row],[Q Bolsas Equivalentes 50kg]]</f>
        <v>#VALUE!</v>
      </c>
      <c r="AN782" s="846" t="e">
        <f>Tabla1[[#This Row],[PRECIO REF $ BOLSA 50 KG CACTU (IVA INC)]]*Tabla1[[#This Row],[Q Bolsas Equivalentes 50kg]]</f>
        <v>#VALUE!</v>
      </c>
      <c r="AO782" s="846" t="e">
        <f>+Tabla1[[#This Row],[PRECIO $ BOLSA 50KG  FOB CDO TUC (IVA INC)]]*Tabla1[[#This Row],[Q Bolsas Equivalentes 50kg]]</f>
        <v>#VALUE!</v>
      </c>
      <c r="AP782" s="847"/>
      <c r="AQ782" s="846">
        <v>0</v>
      </c>
      <c r="AR782" s="828"/>
      <c r="AS782" s="849"/>
      <c r="AT782" s="923">
        <f>+Tabla1[[#This Row],[VENTA TOTAL $ (IVA INC) ]]-(SUM(Tabla1[[#This Row],[PENDIENTE DE ENTREGA]:[VALORES COBRADOS]]))</f>
        <v>0</v>
      </c>
      <c r="AU782" s="850" t="e">
        <f>VLOOKUP(Tabla1[[#This Row],[FECHA OC]],'TIPO DE CAMBIO'!A:B,2,TRUE)</f>
        <v>#N/A</v>
      </c>
      <c r="AV782" s="850" t="e">
        <f>+Tabla1[[#This Row],[SUBTOTAL]]/Tabla1[[#This Row],[TIPO DE CAMBIO]]</f>
        <v>#N/A</v>
      </c>
      <c r="AW782" s="851"/>
      <c r="AX782" s="850" t="str">
        <f>IFERROR(Tabla1[[#This Row],[VENTA TOTAL USD A PLAZO EN CLIENTE  (SIN IVA)]]*(1+Tabla1[[#This Row],[% IVA ]]),"")</f>
        <v/>
      </c>
      <c r="AY782" s="850" t="e">
        <f>+Tabla1[[#This Row],[VENTA TOTAL USD A PLAZO EN CLIENTE  (SIN IVA)]]/Tabla1[[#This Row],[KGS]]*1000</f>
        <v>#N/A</v>
      </c>
      <c r="AZ782" s="850" t="e">
        <f>-Tabla1[[#This Row],[COSTO FLETE $ POR BOLSA 5O KG (SIN IVA)]]*20/Tabla1[[#This Row],[TIPO DE CAMBIO]]</f>
        <v>#N/A</v>
      </c>
      <c r="BA782" s="850" t="e">
        <f>+Tabla1[[#This Row],[GASTOS FINANCIEROS $ BOLSA 50 KG (IVA INC)]]*20/Tabla1[[#This Row],[TIPO DE CAMBIO]]</f>
        <v>#VALUE!</v>
      </c>
      <c r="BB782" s="850" t="e">
        <f>+Tabla1[[#This Row],[PRECIO POR TN USD EN CLIENTE A PLAZO (SIN IVA)]]+Tabla1[[#This Row],[COSTO USD FLETE /TN (SIN IVA)]]+Tabla1[[#This Row],[COSTO FINANCIERO USD POR BOLSA 50KG (IVA INC)]]</f>
        <v>#N/A</v>
      </c>
      <c r="BC782" s="828"/>
      <c r="BD782" s="944"/>
    </row>
    <row r="783" spans="1:56" ht="15.75" customHeight="1">
      <c r="A783" s="912">
        <v>46357</v>
      </c>
      <c r="B783" s="863"/>
      <c r="C783" s="792"/>
      <c r="D783" s="829">
        <f>+Tabla1[[#This Row],[FECHA Entrega]]</f>
        <v>0</v>
      </c>
      <c r="E783" s="830"/>
      <c r="F783" s="831"/>
      <c r="G783" s="832"/>
      <c r="H783" s="852"/>
      <c r="I783" s="834"/>
      <c r="J783" s="835"/>
      <c r="K783" s="836">
        <f t="shared" si="154"/>
        <v>0</v>
      </c>
      <c r="L78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83" s="837">
        <f t="shared" si="156"/>
        <v>0</v>
      </c>
      <c r="N783" s="838">
        <f>+Tabla1[[#This Row],[VENTA TOTAL $ (IVA INC) ]]</f>
        <v>0</v>
      </c>
      <c r="O783" s="838">
        <v>0</v>
      </c>
      <c r="P783" s="838">
        <v>0</v>
      </c>
      <c r="Q783" s="839">
        <f>+Tabla1[[#This Row],[VENTA TOTAL $ (IVA INC) ]]-Tabla1[[#This Row],[PENDIENTE DE COBRO]]</f>
        <v>0</v>
      </c>
      <c r="R783" s="840">
        <f>+Tabla1[[#This Row],[FECHA FC]]+Tabla1[[#This Row],[PLAZO ENTREGA VALORES]]</f>
        <v>0</v>
      </c>
      <c r="S783" s="840">
        <f>+Tabla1[[#This Row],[FECHA FC]]+Tabla1[[#This Row],[PLAZO PAGO (DIAS)]]</f>
        <v>0</v>
      </c>
      <c r="T783" s="834">
        <f t="shared" ca="1" si="155"/>
        <v>-46181</v>
      </c>
      <c r="U783" s="831"/>
      <c r="V783" s="831"/>
      <c r="W783" s="841">
        <f>+Tabla1[[#This Row],[FECHA VTO VALORES]]+7</f>
        <v>7</v>
      </c>
      <c r="X783" s="830"/>
      <c r="Y783" s="859"/>
      <c r="Z783" s="860">
        <f>Tabla1[[#This Row],[KGS]]/50</f>
        <v>0</v>
      </c>
      <c r="AA78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83" s="844">
        <f>-Tabla1[[#This Row],[COSTO FLETE $ POR BOLSA 5O KG (SIN IVA)]]*1.21-Tabla1[[#This Row],[PRECIO $/ KG A PLAZO EN CLIENTE ( SIN IVA)]]*0.003*1.21*50</f>
        <v>0</v>
      </c>
      <c r="AC783" s="845" t="e">
        <f>SUM(Tabla1[[#This Row],[PRECIO $ BOLSA 50 KG (IVA INC) ]]+Tabla1[[#This Row],[COSTO FLETE $ BOLSA 50 KG (IVA INC)]])</f>
        <v>#VALUE!</v>
      </c>
      <c r="AD783" s="844" t="e">
        <f>-Tabla1[[#This Row],[PRECIO $ BOLSA 50 KG (IVA INC) ]]*(Tabla1[[#This Row],[TASA FINANCIACION MENSUAL]]/365)*Tabla1[[#This Row],[PLAZO ENTREGA VALORES]]</f>
        <v>#VALUE!</v>
      </c>
      <c r="AE783" s="845" t="e">
        <f>SUM(Tabla1[[#This Row],[PRECIO $ BOLSA50 KG  FOB TUCUMAN A PLAZO (IVA INC)]]+Tabla1[[#This Row],[GASTOS FINANCIEROS $ BOLSA 50 KG (IVA INC)]])</f>
        <v>#VALUE!</v>
      </c>
      <c r="AF783" s="828"/>
      <c r="AG783" s="828"/>
      <c r="AH783" s="828"/>
      <c r="AI783" s="828"/>
      <c r="AJ78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83" s="846" t="e">
        <f>SUM(Tabla1[[#This Row],[PRECIO $ BOLSA 50KG  FOB CDO TUC (IVA INC)]]-Tabla1[[#This Row],[PRECIO REF $ BOLSA 50 KG CACTU (IVA INC)]])</f>
        <v>#VALUE!</v>
      </c>
      <c r="AL783" s="847" t="str">
        <f>IFERROR(Tabla1[[#This Row],[PRECIO $ BOLSA 50KG  FOB CDO TUC (IVA INC)]]/Tabla1[[#This Row],[PRECIO REF $ BOLSA 50 KG CACTU (IVA INC)]]-1,"")</f>
        <v/>
      </c>
      <c r="AM783" s="846" t="e">
        <f>+Tabla1[[#This Row],[DIF $ PRECIO NETO INDUSTRIA vs Neto TUCUMAN (IVA INC)]]*Tabla1[[#This Row],[Q Bolsas Equivalentes 50kg]]</f>
        <v>#VALUE!</v>
      </c>
      <c r="AN783" s="846" t="e">
        <f>Tabla1[[#This Row],[PRECIO REF $ BOLSA 50 KG CACTU (IVA INC)]]*Tabla1[[#This Row],[Q Bolsas Equivalentes 50kg]]</f>
        <v>#VALUE!</v>
      </c>
      <c r="AO783" s="846" t="e">
        <f>+Tabla1[[#This Row],[PRECIO $ BOLSA 50KG  FOB CDO TUC (IVA INC)]]*Tabla1[[#This Row],[Q Bolsas Equivalentes 50kg]]</f>
        <v>#VALUE!</v>
      </c>
      <c r="AP783" s="847"/>
      <c r="AQ783" s="846">
        <v>0</v>
      </c>
      <c r="AR783" s="828"/>
      <c r="AS783" s="849"/>
      <c r="AT783" s="923">
        <f>+Tabla1[[#This Row],[VENTA TOTAL $ (IVA INC) ]]-(SUM(Tabla1[[#This Row],[PENDIENTE DE ENTREGA]:[VALORES COBRADOS]]))</f>
        <v>0</v>
      </c>
      <c r="AU783" s="850" t="e">
        <f>VLOOKUP(Tabla1[[#This Row],[FECHA OC]],'TIPO DE CAMBIO'!A:B,2,TRUE)</f>
        <v>#N/A</v>
      </c>
      <c r="AV783" s="850" t="e">
        <f>+Tabla1[[#This Row],[SUBTOTAL]]/Tabla1[[#This Row],[TIPO DE CAMBIO]]</f>
        <v>#N/A</v>
      </c>
      <c r="AW783" s="851"/>
      <c r="AX783" s="850" t="str">
        <f>IFERROR(Tabla1[[#This Row],[VENTA TOTAL USD A PLAZO EN CLIENTE  (SIN IVA)]]*(1+Tabla1[[#This Row],[% IVA ]]),"")</f>
        <v/>
      </c>
      <c r="AY783" s="850" t="e">
        <f>+Tabla1[[#This Row],[VENTA TOTAL USD A PLAZO EN CLIENTE  (SIN IVA)]]/Tabla1[[#This Row],[KGS]]*1000</f>
        <v>#N/A</v>
      </c>
      <c r="AZ783" s="850" t="e">
        <f>-Tabla1[[#This Row],[COSTO FLETE $ POR BOLSA 5O KG (SIN IVA)]]*20/Tabla1[[#This Row],[TIPO DE CAMBIO]]</f>
        <v>#N/A</v>
      </c>
      <c r="BA783" s="850" t="e">
        <f>+Tabla1[[#This Row],[GASTOS FINANCIEROS $ BOLSA 50 KG (IVA INC)]]*20/Tabla1[[#This Row],[TIPO DE CAMBIO]]</f>
        <v>#VALUE!</v>
      </c>
      <c r="BB783" s="850" t="e">
        <f>+Tabla1[[#This Row],[PRECIO POR TN USD EN CLIENTE A PLAZO (SIN IVA)]]+Tabla1[[#This Row],[COSTO USD FLETE /TN (SIN IVA)]]+Tabla1[[#This Row],[COSTO FINANCIERO USD POR BOLSA 50KG (IVA INC)]]</f>
        <v>#N/A</v>
      </c>
      <c r="BC783" s="828"/>
      <c r="BD783" s="944"/>
    </row>
    <row r="784" spans="1:56" ht="15.75" customHeight="1">
      <c r="A784" s="912">
        <v>46357</v>
      </c>
      <c r="B784" s="853"/>
      <c r="C784" s="792"/>
      <c r="D784" s="829">
        <f>+Tabla1[[#This Row],[FECHA Entrega]]</f>
        <v>0</v>
      </c>
      <c r="E784" s="830"/>
      <c r="F784" s="831"/>
      <c r="G784" s="832"/>
      <c r="H784" s="852"/>
      <c r="I784" s="834"/>
      <c r="J784" s="835"/>
      <c r="K784" s="836">
        <f t="shared" si="154"/>
        <v>0</v>
      </c>
      <c r="L78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84" s="837">
        <f t="shared" si="156"/>
        <v>0</v>
      </c>
      <c r="N784" s="838">
        <f>+Tabla1[[#This Row],[VENTA TOTAL $ (IVA INC) ]]</f>
        <v>0</v>
      </c>
      <c r="O784" s="838">
        <v>0</v>
      </c>
      <c r="P784" s="838">
        <v>0</v>
      </c>
      <c r="Q784" s="865">
        <f>+Tabla1[[#This Row],[VENTA TOTAL $ (IVA INC) ]]</f>
        <v>0</v>
      </c>
      <c r="R784" s="840">
        <f>+Tabla1[[#This Row],[FECHA FC]]+Tabla1[[#This Row],[PLAZO ENTREGA VALORES]]</f>
        <v>0</v>
      </c>
      <c r="S784" s="840">
        <f>+Tabla1[[#This Row],[FECHA FC]]+Tabla1[[#This Row],[PLAZO PAGO (DIAS)]]</f>
        <v>0</v>
      </c>
      <c r="T784" s="834">
        <f t="shared" ca="1" si="155"/>
        <v>-46181</v>
      </c>
      <c r="U784" s="831"/>
      <c r="V784" s="831"/>
      <c r="W784" s="841">
        <f>+S784+7</f>
        <v>7</v>
      </c>
      <c r="X784" s="830"/>
      <c r="Y784" s="859"/>
      <c r="Z784" s="860">
        <f>Tabla1[[#This Row],[KGS]]/50</f>
        <v>0</v>
      </c>
      <c r="AA78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84" s="844">
        <f>-Tabla1[[#This Row],[COSTO FLETE $ POR BOLSA 5O KG (SIN IVA)]]*1.21-Tabla1[[#This Row],[PRECIO $/ KG A PLAZO EN CLIENTE ( SIN IVA)]]*0.003*1.21*50</f>
        <v>0</v>
      </c>
      <c r="AC784" s="845" t="e">
        <f>SUM(Tabla1[[#This Row],[PRECIO $ BOLSA 50 KG (IVA INC) ]]+Tabla1[[#This Row],[COSTO FLETE $ BOLSA 50 KG (IVA INC)]])</f>
        <v>#VALUE!</v>
      </c>
      <c r="AD784" s="844" t="e">
        <f>-Tabla1[[#This Row],[PRECIO $ BOLSA 50 KG (IVA INC) ]]*(Tabla1[[#This Row],[TASA FINANCIACION MENSUAL]]/365)*Tabla1[[#This Row],[PLAZO ENTREGA VALORES]]</f>
        <v>#VALUE!</v>
      </c>
      <c r="AE784" s="845" t="e">
        <f>SUM(Tabla1[[#This Row],[PRECIO $ BOLSA50 KG  FOB TUCUMAN A PLAZO (IVA INC)]]+Tabla1[[#This Row],[GASTOS FINANCIEROS $ BOLSA 50 KG (IVA INC)]])</f>
        <v>#VALUE!</v>
      </c>
      <c r="AF784" s="828"/>
      <c r="AG784" s="828"/>
      <c r="AH784" s="828"/>
      <c r="AI784" s="828"/>
      <c r="AJ78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84" s="846" t="e">
        <f>SUM(Tabla1[[#This Row],[PRECIO $ BOLSA 50KG  FOB CDO TUC (IVA INC)]]-Tabla1[[#This Row],[PRECIO REF $ BOLSA 50 KG CACTU (IVA INC)]])</f>
        <v>#VALUE!</v>
      </c>
      <c r="AL784" s="847" t="str">
        <f>IFERROR(Tabla1[[#This Row],[PRECIO $ BOLSA 50KG  FOB CDO TUC (IVA INC)]]/Tabla1[[#This Row],[PRECIO REF $ BOLSA 50 KG CACTU (IVA INC)]]-1,"")</f>
        <v/>
      </c>
      <c r="AM784" s="846" t="e">
        <f>+Tabla1[[#This Row],[DIF $ PRECIO NETO INDUSTRIA vs Neto TUCUMAN (IVA INC)]]*Tabla1[[#This Row],[Q Bolsas Equivalentes 50kg]]</f>
        <v>#VALUE!</v>
      </c>
      <c r="AN784" s="846" t="e">
        <f>Tabla1[[#This Row],[PRECIO REF $ BOLSA 50 KG CACTU (IVA INC)]]*Tabla1[[#This Row],[Q Bolsas Equivalentes 50kg]]</f>
        <v>#VALUE!</v>
      </c>
      <c r="AO784" s="846" t="e">
        <f>+Tabla1[[#This Row],[PRECIO $ BOLSA 50KG  FOB CDO TUC (IVA INC)]]*Tabla1[[#This Row],[Q Bolsas Equivalentes 50kg]]</f>
        <v>#VALUE!</v>
      </c>
      <c r="AP784" s="847"/>
      <c r="AQ784" s="846">
        <v>0</v>
      </c>
      <c r="AR784" s="828"/>
      <c r="AS784" s="849"/>
      <c r="AT784" s="923">
        <f>+Tabla1[[#This Row],[VENTA TOTAL $ (IVA INC) ]]-(SUM(Tabla1[[#This Row],[PENDIENTE DE ENTREGA]:[VALORES COBRADOS]]))</f>
        <v>0</v>
      </c>
      <c r="AU784" s="850" t="e">
        <f>VLOOKUP(Tabla1[[#This Row],[FECHA OC]],'TIPO DE CAMBIO'!A:B,2,TRUE)</f>
        <v>#N/A</v>
      </c>
      <c r="AV784" s="850" t="e">
        <f>+Tabla1[[#This Row],[SUBTOTAL]]/Tabla1[[#This Row],[TIPO DE CAMBIO]]</f>
        <v>#N/A</v>
      </c>
      <c r="AW784" s="851"/>
      <c r="AX784" s="850" t="str">
        <f>IFERROR(Tabla1[[#This Row],[VENTA TOTAL USD A PLAZO EN CLIENTE  (SIN IVA)]]*(1+Tabla1[[#This Row],[% IVA ]]),"")</f>
        <v/>
      </c>
      <c r="AY784" s="850" t="e">
        <f>+Tabla1[[#This Row],[VENTA TOTAL USD A PLAZO EN CLIENTE  (SIN IVA)]]/Tabla1[[#This Row],[KGS]]*1000</f>
        <v>#N/A</v>
      </c>
      <c r="AZ784" s="850" t="e">
        <f>-Tabla1[[#This Row],[COSTO FLETE $ POR BOLSA 5O KG (SIN IVA)]]*20/Tabla1[[#This Row],[TIPO DE CAMBIO]]</f>
        <v>#N/A</v>
      </c>
      <c r="BA784" s="850" t="e">
        <f>+Tabla1[[#This Row],[GASTOS FINANCIEROS $ BOLSA 50 KG (IVA INC)]]*20/Tabla1[[#This Row],[TIPO DE CAMBIO]]</f>
        <v>#VALUE!</v>
      </c>
      <c r="BB784" s="850" t="e">
        <f>+Tabla1[[#This Row],[PRECIO POR TN USD EN CLIENTE A PLAZO (SIN IVA)]]+Tabla1[[#This Row],[COSTO USD FLETE /TN (SIN IVA)]]+Tabla1[[#This Row],[COSTO FINANCIERO USD POR BOLSA 50KG (IVA INC)]]</f>
        <v>#N/A</v>
      </c>
      <c r="BC784" s="828"/>
      <c r="BD784" s="944"/>
    </row>
    <row r="785" spans="1:56" ht="15.75" customHeight="1">
      <c r="A785" s="912">
        <v>46357</v>
      </c>
      <c r="B785" s="863"/>
      <c r="C785" s="792"/>
      <c r="D785" s="829">
        <f>+Tabla1[[#This Row],[FECHA Entrega]]</f>
        <v>0</v>
      </c>
      <c r="E785" s="830"/>
      <c r="F785" s="831"/>
      <c r="G785" s="832"/>
      <c r="H785" s="852"/>
      <c r="I785" s="834"/>
      <c r="J785" s="835"/>
      <c r="K785" s="836">
        <f t="shared" si="154"/>
        <v>0</v>
      </c>
      <c r="L78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85" s="837">
        <f t="shared" si="156"/>
        <v>0</v>
      </c>
      <c r="N785" s="838">
        <f>+Tabla1[[#This Row],[VENTA TOTAL $ (IVA INC) ]]</f>
        <v>0</v>
      </c>
      <c r="O785" s="838">
        <v>0</v>
      </c>
      <c r="P785" s="838">
        <v>0</v>
      </c>
      <c r="Q785" s="839">
        <f>+Tabla1[[#This Row],[VENTA TOTAL $ (IVA INC) ]]</f>
        <v>0</v>
      </c>
      <c r="R785" s="840">
        <f>+Tabla1[[#This Row],[FECHA FC]]+Tabla1[[#This Row],[PLAZO ENTREGA VALORES]]</f>
        <v>0</v>
      </c>
      <c r="S785" s="840">
        <f>+Tabla1[[#This Row],[FECHA FC]]+Tabla1[[#This Row],[PLAZO PAGO (DIAS)]]</f>
        <v>0</v>
      </c>
      <c r="T785" s="834">
        <f t="shared" ca="1" si="155"/>
        <v>-46181</v>
      </c>
      <c r="U785" s="831"/>
      <c r="V785" s="831"/>
      <c r="W785" s="841">
        <f>+Tabla1[[#This Row],[FECHA VTO VALORES]]+7</f>
        <v>7</v>
      </c>
      <c r="X785" s="830"/>
      <c r="Y785" s="859"/>
      <c r="Z785" s="860">
        <f>Tabla1[[#This Row],[KGS]]/50</f>
        <v>0</v>
      </c>
      <c r="AA78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85" s="844">
        <f>-Tabla1[[#This Row],[COSTO FLETE $ POR BOLSA 5O KG (SIN IVA)]]*1.21-Tabla1[[#This Row],[PRECIO $/ KG A PLAZO EN CLIENTE ( SIN IVA)]]*0.003*1.21*50</f>
        <v>0</v>
      </c>
      <c r="AC785" s="845" t="e">
        <f>SUM(Tabla1[[#This Row],[PRECIO $ BOLSA 50 KG (IVA INC) ]]+Tabla1[[#This Row],[COSTO FLETE $ BOLSA 50 KG (IVA INC)]])</f>
        <v>#VALUE!</v>
      </c>
      <c r="AD785" s="844" t="e">
        <f>-Tabla1[[#This Row],[PRECIO $ BOLSA 50 KG (IVA INC) ]]*(Tabla1[[#This Row],[TASA FINANCIACION MENSUAL]]/365)*Tabla1[[#This Row],[PLAZO ENTREGA VALORES]]</f>
        <v>#VALUE!</v>
      </c>
      <c r="AE785" s="845" t="e">
        <f>SUM(Tabla1[[#This Row],[PRECIO $ BOLSA50 KG  FOB TUCUMAN A PLAZO (IVA INC)]]+Tabla1[[#This Row],[GASTOS FINANCIEROS $ BOLSA 50 KG (IVA INC)]])</f>
        <v>#VALUE!</v>
      </c>
      <c r="AF785" s="828"/>
      <c r="AG785" s="828"/>
      <c r="AH785" s="828"/>
      <c r="AI785" s="828"/>
      <c r="AJ78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85" s="846" t="e">
        <f>SUM(Tabla1[[#This Row],[PRECIO $ BOLSA 50KG  FOB CDO TUC (IVA INC)]]-Tabla1[[#This Row],[PRECIO REF $ BOLSA 50 KG CACTU (IVA INC)]])</f>
        <v>#VALUE!</v>
      </c>
      <c r="AL785" s="847" t="str">
        <f>IFERROR(Tabla1[[#This Row],[PRECIO $ BOLSA 50KG  FOB CDO TUC (IVA INC)]]/Tabla1[[#This Row],[PRECIO REF $ BOLSA 50 KG CACTU (IVA INC)]]-1,"")</f>
        <v/>
      </c>
      <c r="AM785" s="846" t="e">
        <f>+Tabla1[[#This Row],[DIF $ PRECIO NETO INDUSTRIA vs Neto TUCUMAN (IVA INC)]]*Tabla1[[#This Row],[Q Bolsas Equivalentes 50kg]]</f>
        <v>#VALUE!</v>
      </c>
      <c r="AN785" s="846" t="e">
        <f>Tabla1[[#This Row],[PRECIO REF $ BOLSA 50 KG CACTU (IVA INC)]]*Tabla1[[#This Row],[Q Bolsas Equivalentes 50kg]]</f>
        <v>#VALUE!</v>
      </c>
      <c r="AO785" s="846" t="e">
        <f>+Tabla1[[#This Row],[PRECIO $ BOLSA 50KG  FOB CDO TUC (IVA INC)]]*Tabla1[[#This Row],[Q Bolsas Equivalentes 50kg]]</f>
        <v>#VALUE!</v>
      </c>
      <c r="AP785" s="847"/>
      <c r="AQ785" s="846">
        <v>0</v>
      </c>
      <c r="AR785" s="828"/>
      <c r="AS785" s="849"/>
      <c r="AT785" s="923">
        <f>+Tabla1[[#This Row],[VENTA TOTAL $ (IVA INC) ]]-(SUM(Tabla1[[#This Row],[PENDIENTE DE ENTREGA]:[VALORES COBRADOS]]))</f>
        <v>0</v>
      </c>
      <c r="AU785" s="850" t="e">
        <f>VLOOKUP(Tabla1[[#This Row],[FECHA OC]],'TIPO DE CAMBIO'!A:B,2,TRUE)</f>
        <v>#N/A</v>
      </c>
      <c r="AV785" s="850" t="e">
        <f>+Tabla1[[#This Row],[SUBTOTAL]]/Tabla1[[#This Row],[TIPO DE CAMBIO]]</f>
        <v>#N/A</v>
      </c>
      <c r="AW785" s="851"/>
      <c r="AX785" s="850" t="str">
        <f>IFERROR(Tabla1[[#This Row],[VENTA TOTAL USD A PLAZO EN CLIENTE  (SIN IVA)]]*(1+Tabla1[[#This Row],[% IVA ]]),"")</f>
        <v/>
      </c>
      <c r="AY785" s="850" t="e">
        <f>+Tabla1[[#This Row],[VENTA TOTAL USD A PLAZO EN CLIENTE  (SIN IVA)]]/Tabla1[[#This Row],[KGS]]*1000</f>
        <v>#N/A</v>
      </c>
      <c r="AZ785" s="850" t="e">
        <f>-Tabla1[[#This Row],[COSTO FLETE $ POR BOLSA 5O KG (SIN IVA)]]*20/Tabla1[[#This Row],[TIPO DE CAMBIO]]</f>
        <v>#N/A</v>
      </c>
      <c r="BA785" s="850" t="e">
        <f>+Tabla1[[#This Row],[GASTOS FINANCIEROS $ BOLSA 50 KG (IVA INC)]]*20/Tabla1[[#This Row],[TIPO DE CAMBIO]]</f>
        <v>#VALUE!</v>
      </c>
      <c r="BB785" s="850" t="e">
        <f>+Tabla1[[#This Row],[PRECIO POR TN USD EN CLIENTE A PLAZO (SIN IVA)]]+Tabla1[[#This Row],[COSTO USD FLETE /TN (SIN IVA)]]+Tabla1[[#This Row],[COSTO FINANCIERO USD POR BOLSA 50KG (IVA INC)]]</f>
        <v>#N/A</v>
      </c>
      <c r="BC785" s="848"/>
      <c r="BD785" s="944"/>
    </row>
    <row r="786" spans="1:56" ht="15.75" customHeight="1">
      <c r="A786" s="912">
        <v>46357</v>
      </c>
      <c r="B786" s="863"/>
      <c r="C786" s="792"/>
      <c r="D786" s="829">
        <f>+Tabla1[[#This Row],[FECHA Entrega]]</f>
        <v>0</v>
      </c>
      <c r="E786" s="830"/>
      <c r="F786" s="831"/>
      <c r="G786" s="832"/>
      <c r="H786" s="852"/>
      <c r="I786" s="834"/>
      <c r="J786" s="835"/>
      <c r="K786" s="836">
        <f t="shared" si="154"/>
        <v>0</v>
      </c>
      <c r="L78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86" s="837">
        <f t="shared" si="156"/>
        <v>0</v>
      </c>
      <c r="N786" s="838">
        <f>+Tabla1[[#This Row],[VENTA TOTAL $ (IVA INC) ]]</f>
        <v>0</v>
      </c>
      <c r="O786" s="838">
        <v>0</v>
      </c>
      <c r="P786" s="838">
        <v>0</v>
      </c>
      <c r="Q786" s="839">
        <f>+Tabla1[[#This Row],[VENTA TOTAL $ (IVA INC) ]]</f>
        <v>0</v>
      </c>
      <c r="R786" s="840">
        <f>+Tabla1[[#This Row],[FECHA FC]]+Tabla1[[#This Row],[PLAZO ENTREGA VALORES]]</f>
        <v>0</v>
      </c>
      <c r="S786" s="840">
        <f>+Tabla1[[#This Row],[FECHA FC]]+Tabla1[[#This Row],[PLAZO PAGO (DIAS)]]</f>
        <v>0</v>
      </c>
      <c r="T786" s="834">
        <f t="shared" ca="1" si="155"/>
        <v>-46181</v>
      </c>
      <c r="U786" s="831"/>
      <c r="V786" s="831"/>
      <c r="W786" s="841">
        <f>+Tabla1[[#This Row],[FECHA VTO VALORES]]+7</f>
        <v>7</v>
      </c>
      <c r="X786" s="830"/>
      <c r="Y786" s="859"/>
      <c r="Z786" s="860">
        <f>Tabla1[[#This Row],[KGS]]/50</f>
        <v>0</v>
      </c>
      <c r="AA78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86" s="844">
        <f>-Tabla1[[#This Row],[COSTO FLETE $ POR BOLSA 5O KG (SIN IVA)]]*1.21-Tabla1[[#This Row],[PRECIO $/ KG A PLAZO EN CLIENTE ( SIN IVA)]]*0.003*1.21*50</f>
        <v>0</v>
      </c>
      <c r="AC786" s="845" t="e">
        <f>SUM(Tabla1[[#This Row],[PRECIO $ BOLSA 50 KG (IVA INC) ]]+Tabla1[[#This Row],[COSTO FLETE $ BOLSA 50 KG (IVA INC)]])</f>
        <v>#VALUE!</v>
      </c>
      <c r="AD786" s="844" t="e">
        <f>-Tabla1[[#This Row],[PRECIO $ BOLSA 50 KG (IVA INC) ]]*(Tabla1[[#This Row],[TASA FINANCIACION MENSUAL]]/365)*Tabla1[[#This Row],[PLAZO ENTREGA VALORES]]</f>
        <v>#VALUE!</v>
      </c>
      <c r="AE786" s="845" t="e">
        <f>SUM(Tabla1[[#This Row],[PRECIO $ BOLSA50 KG  FOB TUCUMAN A PLAZO (IVA INC)]]+Tabla1[[#This Row],[GASTOS FINANCIEROS $ BOLSA 50 KG (IVA INC)]])</f>
        <v>#VALUE!</v>
      </c>
      <c r="AF786" s="828"/>
      <c r="AG786" s="828"/>
      <c r="AH786" s="828"/>
      <c r="AI786" s="828"/>
      <c r="AJ78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86" s="846" t="e">
        <f>SUM(Tabla1[[#This Row],[PRECIO $ BOLSA 50KG  FOB CDO TUC (IVA INC)]]-Tabla1[[#This Row],[PRECIO REF $ BOLSA 50 KG CACTU (IVA INC)]])</f>
        <v>#VALUE!</v>
      </c>
      <c r="AL786" s="847" t="str">
        <f>IFERROR(Tabla1[[#This Row],[PRECIO $ BOLSA 50KG  FOB CDO TUC (IVA INC)]]/Tabla1[[#This Row],[PRECIO REF $ BOLSA 50 KG CACTU (IVA INC)]]-1,"")</f>
        <v/>
      </c>
      <c r="AM786" s="846" t="e">
        <f>+Tabla1[[#This Row],[DIF $ PRECIO NETO INDUSTRIA vs Neto TUCUMAN (IVA INC)]]*Tabla1[[#This Row],[Q Bolsas Equivalentes 50kg]]</f>
        <v>#VALUE!</v>
      </c>
      <c r="AN786" s="846" t="e">
        <f>Tabla1[[#This Row],[PRECIO REF $ BOLSA 50 KG CACTU (IVA INC)]]*Tabla1[[#This Row],[Q Bolsas Equivalentes 50kg]]</f>
        <v>#VALUE!</v>
      </c>
      <c r="AO786" s="846" t="e">
        <f>+Tabla1[[#This Row],[PRECIO $ BOLSA 50KG  FOB CDO TUC (IVA INC)]]*Tabla1[[#This Row],[Q Bolsas Equivalentes 50kg]]</f>
        <v>#VALUE!</v>
      </c>
      <c r="AP786" s="847"/>
      <c r="AQ786" s="846">
        <v>0</v>
      </c>
      <c r="AR786" s="828"/>
      <c r="AS786" s="849"/>
      <c r="AT786" s="923">
        <f>+Tabla1[[#This Row],[VENTA TOTAL $ (IVA INC) ]]-(SUM(Tabla1[[#This Row],[PENDIENTE DE ENTREGA]:[VALORES COBRADOS]]))</f>
        <v>0</v>
      </c>
      <c r="AU786" s="850" t="e">
        <f>VLOOKUP(Tabla1[[#This Row],[FECHA OC]],'TIPO DE CAMBIO'!A:B,2,TRUE)</f>
        <v>#N/A</v>
      </c>
      <c r="AV786" s="850" t="e">
        <f>+Tabla1[[#This Row],[SUBTOTAL]]/Tabla1[[#This Row],[TIPO DE CAMBIO]]</f>
        <v>#N/A</v>
      </c>
      <c r="AW786" s="851"/>
      <c r="AX786" s="850" t="str">
        <f>IFERROR(Tabla1[[#This Row],[VENTA TOTAL USD A PLAZO EN CLIENTE  (SIN IVA)]]*(1+Tabla1[[#This Row],[% IVA ]]),"")</f>
        <v/>
      </c>
      <c r="AY786" s="850" t="e">
        <f>+Tabla1[[#This Row],[VENTA TOTAL USD A PLAZO EN CLIENTE  (SIN IVA)]]/Tabla1[[#This Row],[KGS]]*1000</f>
        <v>#N/A</v>
      </c>
      <c r="AZ786" s="850" t="e">
        <f>-Tabla1[[#This Row],[COSTO FLETE $ POR BOLSA 5O KG (SIN IVA)]]*20/Tabla1[[#This Row],[TIPO DE CAMBIO]]</f>
        <v>#N/A</v>
      </c>
      <c r="BA786" s="850" t="e">
        <f>+Tabla1[[#This Row],[GASTOS FINANCIEROS $ BOLSA 50 KG (IVA INC)]]*20/Tabla1[[#This Row],[TIPO DE CAMBIO]]</f>
        <v>#VALUE!</v>
      </c>
      <c r="BB786" s="850" t="e">
        <f>+Tabla1[[#This Row],[PRECIO POR TN USD EN CLIENTE A PLAZO (SIN IVA)]]+Tabla1[[#This Row],[COSTO USD FLETE /TN (SIN IVA)]]+Tabla1[[#This Row],[COSTO FINANCIERO USD POR BOLSA 50KG (IVA INC)]]</f>
        <v>#N/A</v>
      </c>
      <c r="BC786" s="848"/>
      <c r="BD786" s="944"/>
    </row>
    <row r="787" spans="1:56" ht="15.75" customHeight="1">
      <c r="A787" s="912">
        <v>46357</v>
      </c>
      <c r="B787" s="863"/>
      <c r="C787" s="792"/>
      <c r="D787" s="829">
        <f>+Tabla1[[#This Row],[FECHA Entrega]]</f>
        <v>0</v>
      </c>
      <c r="E787" s="830"/>
      <c r="F787" s="831"/>
      <c r="G787" s="832"/>
      <c r="H787" s="852"/>
      <c r="I787" s="834"/>
      <c r="J787" s="835"/>
      <c r="K787" s="836">
        <f t="shared" si="154"/>
        <v>0</v>
      </c>
      <c r="L78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87" s="837">
        <f t="shared" si="156"/>
        <v>0</v>
      </c>
      <c r="N787" s="838">
        <f>+Tabla1[[#This Row],[VENTA TOTAL $ (IVA INC) ]]</f>
        <v>0</v>
      </c>
      <c r="O787" s="838">
        <v>0</v>
      </c>
      <c r="P787" s="838">
        <v>0</v>
      </c>
      <c r="Q787" s="839">
        <f>+Tabla1[[#This Row],[VENTA TOTAL $ (IVA INC) ]]</f>
        <v>0</v>
      </c>
      <c r="R787" s="840">
        <f>+Tabla1[[#This Row],[FECHA FC]]+Tabla1[[#This Row],[PLAZO ENTREGA VALORES]]</f>
        <v>0</v>
      </c>
      <c r="S787" s="840">
        <f>+Tabla1[[#This Row],[FECHA FC]]+Tabla1[[#This Row],[PLAZO PAGO (DIAS)]]</f>
        <v>0</v>
      </c>
      <c r="T787" s="834">
        <f t="shared" ca="1" si="155"/>
        <v>-46181</v>
      </c>
      <c r="U787" s="831"/>
      <c r="V787" s="831"/>
      <c r="W787" s="841">
        <f>+Tabla1[[#This Row],[FECHA VTO VALORES]]+7</f>
        <v>7</v>
      </c>
      <c r="X787" s="830"/>
      <c r="Y787" s="859"/>
      <c r="Z787" s="860">
        <f>Tabla1[[#This Row],[KGS]]/50</f>
        <v>0</v>
      </c>
      <c r="AA78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87" s="844">
        <f>-Tabla1[[#This Row],[COSTO FLETE $ POR BOLSA 5O KG (SIN IVA)]]*1.21-Tabla1[[#This Row],[PRECIO $/ KG A PLAZO EN CLIENTE ( SIN IVA)]]*0.003*1.21*50</f>
        <v>0</v>
      </c>
      <c r="AC787" s="845" t="e">
        <f>SUM(Tabla1[[#This Row],[PRECIO $ BOLSA 50 KG (IVA INC) ]]+Tabla1[[#This Row],[COSTO FLETE $ BOLSA 50 KG (IVA INC)]])</f>
        <v>#VALUE!</v>
      </c>
      <c r="AD787" s="844" t="e">
        <f>-Tabla1[[#This Row],[PRECIO $ BOLSA 50 KG (IVA INC) ]]*(Tabla1[[#This Row],[TASA FINANCIACION MENSUAL]]/365)*Tabla1[[#This Row],[PLAZO ENTREGA VALORES]]</f>
        <v>#VALUE!</v>
      </c>
      <c r="AE787" s="845" t="e">
        <f>SUM(Tabla1[[#This Row],[PRECIO $ BOLSA50 KG  FOB TUCUMAN A PLAZO (IVA INC)]]+Tabla1[[#This Row],[GASTOS FINANCIEROS $ BOLSA 50 KG (IVA INC)]])</f>
        <v>#VALUE!</v>
      </c>
      <c r="AF787" s="828"/>
      <c r="AG787" s="828"/>
      <c r="AH787" s="828"/>
      <c r="AI787" s="828"/>
      <c r="AJ78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87" s="846" t="e">
        <f>SUM(Tabla1[[#This Row],[PRECIO $ BOLSA 50KG  FOB CDO TUC (IVA INC)]]-Tabla1[[#This Row],[PRECIO REF $ BOLSA 50 KG CACTU (IVA INC)]])</f>
        <v>#VALUE!</v>
      </c>
      <c r="AL787" s="847" t="str">
        <f>IFERROR(Tabla1[[#This Row],[PRECIO $ BOLSA 50KG  FOB CDO TUC (IVA INC)]]/Tabla1[[#This Row],[PRECIO REF $ BOLSA 50 KG CACTU (IVA INC)]]-1,"")</f>
        <v/>
      </c>
      <c r="AM787" s="846" t="e">
        <f>+Tabla1[[#This Row],[DIF $ PRECIO NETO INDUSTRIA vs Neto TUCUMAN (IVA INC)]]*Tabla1[[#This Row],[Q Bolsas Equivalentes 50kg]]</f>
        <v>#VALUE!</v>
      </c>
      <c r="AN787" s="846" t="e">
        <f>Tabla1[[#This Row],[PRECIO REF $ BOLSA 50 KG CACTU (IVA INC)]]*Tabla1[[#This Row],[Q Bolsas Equivalentes 50kg]]</f>
        <v>#VALUE!</v>
      </c>
      <c r="AO787" s="846" t="e">
        <f>+Tabla1[[#This Row],[PRECIO $ BOLSA 50KG  FOB CDO TUC (IVA INC)]]*Tabla1[[#This Row],[Q Bolsas Equivalentes 50kg]]</f>
        <v>#VALUE!</v>
      </c>
      <c r="AP787" s="847"/>
      <c r="AQ787" s="846">
        <v>0</v>
      </c>
      <c r="AR787" s="828"/>
      <c r="AS787" s="849"/>
      <c r="AT787" s="923">
        <f>+Tabla1[[#This Row],[VENTA TOTAL $ (IVA INC) ]]-(SUM(Tabla1[[#This Row],[PENDIENTE DE ENTREGA]:[VALORES COBRADOS]]))</f>
        <v>0</v>
      </c>
      <c r="AU787" s="850" t="e">
        <f>VLOOKUP(Tabla1[[#This Row],[FECHA OC]],'TIPO DE CAMBIO'!A:B,2,TRUE)</f>
        <v>#N/A</v>
      </c>
      <c r="AV787" s="850" t="e">
        <f>+Tabla1[[#This Row],[SUBTOTAL]]/Tabla1[[#This Row],[TIPO DE CAMBIO]]</f>
        <v>#N/A</v>
      </c>
      <c r="AW787" s="851"/>
      <c r="AX787" s="850" t="str">
        <f>IFERROR(Tabla1[[#This Row],[VENTA TOTAL USD A PLAZO EN CLIENTE  (SIN IVA)]]*(1+Tabla1[[#This Row],[% IVA ]]),"")</f>
        <v/>
      </c>
      <c r="AY787" s="850" t="e">
        <f>+Tabla1[[#This Row],[VENTA TOTAL USD A PLAZO EN CLIENTE  (SIN IVA)]]/Tabla1[[#This Row],[KGS]]*1000</f>
        <v>#N/A</v>
      </c>
      <c r="AZ787" s="850" t="e">
        <f>-Tabla1[[#This Row],[COSTO FLETE $ POR BOLSA 5O KG (SIN IVA)]]*20/Tabla1[[#This Row],[TIPO DE CAMBIO]]</f>
        <v>#N/A</v>
      </c>
      <c r="BA787" s="850" t="e">
        <f>+Tabla1[[#This Row],[GASTOS FINANCIEROS $ BOLSA 50 KG (IVA INC)]]*20/Tabla1[[#This Row],[TIPO DE CAMBIO]]</f>
        <v>#VALUE!</v>
      </c>
      <c r="BB787" s="850" t="e">
        <f>+Tabla1[[#This Row],[PRECIO POR TN USD EN CLIENTE A PLAZO (SIN IVA)]]+Tabla1[[#This Row],[COSTO USD FLETE /TN (SIN IVA)]]+Tabla1[[#This Row],[COSTO FINANCIERO USD POR BOLSA 50KG (IVA INC)]]</f>
        <v>#N/A</v>
      </c>
      <c r="BC787" s="848"/>
      <c r="BD787" s="944"/>
    </row>
    <row r="788" spans="1:56" ht="15.75" customHeight="1">
      <c r="A788" s="912">
        <v>46357</v>
      </c>
      <c r="B788" s="863"/>
      <c r="C788" s="792"/>
      <c r="D788" s="829">
        <f>+Tabla1[[#This Row],[FECHA Entrega]]</f>
        <v>0</v>
      </c>
      <c r="E788" s="830"/>
      <c r="F788" s="831"/>
      <c r="G788" s="832"/>
      <c r="H788" s="852"/>
      <c r="I788" s="834"/>
      <c r="J788" s="835"/>
      <c r="K788" s="836">
        <f t="shared" si="154"/>
        <v>0</v>
      </c>
      <c r="L78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88" s="837">
        <f t="shared" si="156"/>
        <v>0</v>
      </c>
      <c r="N788" s="838">
        <f>+Tabla1[[#This Row],[VENTA TOTAL $ (IVA INC) ]]</f>
        <v>0</v>
      </c>
      <c r="O788" s="838">
        <v>0</v>
      </c>
      <c r="P788" s="838">
        <v>0</v>
      </c>
      <c r="Q788" s="839">
        <f>+M787</f>
        <v>0</v>
      </c>
      <c r="R788" s="840">
        <f>+Tabla1[[#This Row],[FECHA FC]]+Tabla1[[#This Row],[PLAZO ENTREGA VALORES]]</f>
        <v>0</v>
      </c>
      <c r="S788" s="840">
        <f>+Tabla1[[#This Row],[FECHA FC]]+Tabla1[[#This Row],[PLAZO PAGO (DIAS)]]</f>
        <v>0</v>
      </c>
      <c r="T788" s="834">
        <f t="shared" ca="1" si="155"/>
        <v>-46181</v>
      </c>
      <c r="U788" s="831"/>
      <c r="V788" s="831"/>
      <c r="W788" s="841">
        <f>+Tabla1[[#This Row],[FECHA VTO VALORES]]+7</f>
        <v>7</v>
      </c>
      <c r="X788" s="830"/>
      <c r="Y788" s="859"/>
      <c r="Z788" s="860">
        <f>Tabla1[[#This Row],[KGS]]/50</f>
        <v>0</v>
      </c>
      <c r="AA78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88" s="844">
        <f>-Tabla1[[#This Row],[COSTO FLETE $ POR BOLSA 5O KG (SIN IVA)]]*1.21-Tabla1[[#This Row],[PRECIO $/ KG A PLAZO EN CLIENTE ( SIN IVA)]]*0.003*1.21*50</f>
        <v>0</v>
      </c>
      <c r="AC788" s="845" t="e">
        <f>SUM(Tabla1[[#This Row],[PRECIO $ BOLSA 50 KG (IVA INC) ]]+Tabla1[[#This Row],[COSTO FLETE $ BOLSA 50 KG (IVA INC)]])</f>
        <v>#VALUE!</v>
      </c>
      <c r="AD788" s="844" t="e">
        <f>-Tabla1[[#This Row],[PRECIO $ BOLSA 50 KG (IVA INC) ]]*(Tabla1[[#This Row],[TASA FINANCIACION MENSUAL]]/365)*Tabla1[[#This Row],[PLAZO ENTREGA VALORES]]</f>
        <v>#VALUE!</v>
      </c>
      <c r="AE788" s="845" t="e">
        <f>SUM(Tabla1[[#This Row],[PRECIO $ BOLSA50 KG  FOB TUCUMAN A PLAZO (IVA INC)]]+Tabla1[[#This Row],[GASTOS FINANCIEROS $ BOLSA 50 KG (IVA INC)]])</f>
        <v>#VALUE!</v>
      </c>
      <c r="AF788" s="828"/>
      <c r="AG788" s="828"/>
      <c r="AH788" s="828"/>
      <c r="AI788" s="828"/>
      <c r="AJ78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88" s="846" t="e">
        <f>SUM(Tabla1[[#This Row],[PRECIO $ BOLSA 50KG  FOB CDO TUC (IVA INC)]]-Tabla1[[#This Row],[PRECIO REF $ BOLSA 50 KG CACTU (IVA INC)]])</f>
        <v>#VALUE!</v>
      </c>
      <c r="AL788" s="847" t="str">
        <f>IFERROR(Tabla1[[#This Row],[PRECIO $ BOLSA 50KG  FOB CDO TUC (IVA INC)]]/Tabla1[[#This Row],[PRECIO REF $ BOLSA 50 KG CACTU (IVA INC)]]-1,"")</f>
        <v/>
      </c>
      <c r="AM788" s="846" t="e">
        <f>+Tabla1[[#This Row],[DIF $ PRECIO NETO INDUSTRIA vs Neto TUCUMAN (IVA INC)]]*Tabla1[[#This Row],[Q Bolsas Equivalentes 50kg]]</f>
        <v>#VALUE!</v>
      </c>
      <c r="AN788" s="846" t="e">
        <f>Tabla1[[#This Row],[PRECIO REF $ BOLSA 50 KG CACTU (IVA INC)]]*Tabla1[[#This Row],[Q Bolsas Equivalentes 50kg]]</f>
        <v>#VALUE!</v>
      </c>
      <c r="AO788" s="846" t="e">
        <f>+Tabla1[[#This Row],[PRECIO $ BOLSA 50KG  FOB CDO TUC (IVA INC)]]*Tabla1[[#This Row],[Q Bolsas Equivalentes 50kg]]</f>
        <v>#VALUE!</v>
      </c>
      <c r="AP788" s="847"/>
      <c r="AQ788" s="846">
        <v>0</v>
      </c>
      <c r="AR788" s="828"/>
      <c r="AS788" s="849"/>
      <c r="AT788" s="923">
        <f>+Tabla1[[#This Row],[VENTA TOTAL $ (IVA INC) ]]-(SUM(Tabla1[[#This Row],[PENDIENTE DE ENTREGA]:[VALORES COBRADOS]]))</f>
        <v>0</v>
      </c>
      <c r="AU788" s="850" t="e">
        <f>VLOOKUP(Tabla1[[#This Row],[FECHA OC]],'TIPO DE CAMBIO'!A:B,2,TRUE)</f>
        <v>#N/A</v>
      </c>
      <c r="AV788" s="850" t="e">
        <f>+Tabla1[[#This Row],[SUBTOTAL]]/Tabla1[[#This Row],[TIPO DE CAMBIO]]</f>
        <v>#N/A</v>
      </c>
      <c r="AW788" s="851"/>
      <c r="AX788" s="850" t="str">
        <f>IFERROR(Tabla1[[#This Row],[VENTA TOTAL USD A PLAZO EN CLIENTE  (SIN IVA)]]*(1+Tabla1[[#This Row],[% IVA ]]),"")</f>
        <v/>
      </c>
      <c r="AY788" s="850" t="e">
        <f>+Tabla1[[#This Row],[VENTA TOTAL USD A PLAZO EN CLIENTE  (SIN IVA)]]/Tabla1[[#This Row],[KGS]]*1000</f>
        <v>#N/A</v>
      </c>
      <c r="AZ788" s="850" t="e">
        <f>-Tabla1[[#This Row],[COSTO FLETE $ POR BOLSA 5O KG (SIN IVA)]]*20/Tabla1[[#This Row],[TIPO DE CAMBIO]]</f>
        <v>#N/A</v>
      </c>
      <c r="BA788" s="850" t="e">
        <f>+Tabla1[[#This Row],[GASTOS FINANCIEROS $ BOLSA 50 KG (IVA INC)]]*20/Tabla1[[#This Row],[TIPO DE CAMBIO]]</f>
        <v>#VALUE!</v>
      </c>
      <c r="BB788" s="850" t="e">
        <f>+Tabla1[[#This Row],[PRECIO POR TN USD EN CLIENTE A PLAZO (SIN IVA)]]+Tabla1[[#This Row],[COSTO USD FLETE /TN (SIN IVA)]]+Tabla1[[#This Row],[COSTO FINANCIERO USD POR BOLSA 50KG (IVA INC)]]</f>
        <v>#N/A</v>
      </c>
      <c r="BC788" s="848"/>
      <c r="BD788" s="944"/>
    </row>
    <row r="789" spans="1:56" ht="15.75" customHeight="1">
      <c r="A789" s="912">
        <v>46357</v>
      </c>
      <c r="B789" s="863"/>
      <c r="C789" s="792"/>
      <c r="D789" s="829">
        <f>+Tabla1[[#This Row],[FECHA Entrega]]</f>
        <v>0</v>
      </c>
      <c r="E789" s="830"/>
      <c r="F789" s="831"/>
      <c r="G789" s="832"/>
      <c r="H789" s="852"/>
      <c r="I789" s="834"/>
      <c r="J789" s="835"/>
      <c r="K789" s="836">
        <f t="shared" si="154"/>
        <v>0</v>
      </c>
      <c r="L78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89" s="837">
        <f t="shared" si="156"/>
        <v>0</v>
      </c>
      <c r="N789" s="838">
        <f>+Tabla1[[#This Row],[VENTA TOTAL $ (IVA INC) ]]</f>
        <v>0</v>
      </c>
      <c r="O789" s="838">
        <v>0</v>
      </c>
      <c r="P789" s="838">
        <v>0</v>
      </c>
      <c r="Q789" s="839">
        <f>+Tabla1[[#This Row],[VENTA TOTAL $ (IVA INC) ]]</f>
        <v>0</v>
      </c>
      <c r="R789" s="840">
        <f>+Tabla1[[#This Row],[FECHA FC]]+Tabla1[[#This Row],[PLAZO ENTREGA VALORES]]</f>
        <v>0</v>
      </c>
      <c r="S789" s="840">
        <f>+Tabla1[[#This Row],[FECHA FC]]+Tabla1[[#This Row],[PLAZO PAGO (DIAS)]]</f>
        <v>0</v>
      </c>
      <c r="T789" s="834">
        <f t="shared" ca="1" si="155"/>
        <v>-46181</v>
      </c>
      <c r="U789" s="831"/>
      <c r="V789" s="831"/>
      <c r="W789" s="841">
        <f>+Tabla1[[#This Row],[FECHA VTO VALORES]]+7</f>
        <v>7</v>
      </c>
      <c r="X789" s="830"/>
      <c r="Y789" s="859"/>
      <c r="Z789" s="860">
        <f>Tabla1[[#This Row],[KGS]]/50</f>
        <v>0</v>
      </c>
      <c r="AA78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89" s="844">
        <f>-Tabla1[[#This Row],[COSTO FLETE $ POR BOLSA 5O KG (SIN IVA)]]*1.21-Tabla1[[#This Row],[PRECIO $/ KG A PLAZO EN CLIENTE ( SIN IVA)]]*0.003*1.21*50</f>
        <v>0</v>
      </c>
      <c r="AC789" s="845" t="e">
        <f>SUM(Tabla1[[#This Row],[PRECIO $ BOLSA 50 KG (IVA INC) ]]+Tabla1[[#This Row],[COSTO FLETE $ BOLSA 50 KG (IVA INC)]])</f>
        <v>#VALUE!</v>
      </c>
      <c r="AD789" s="844" t="e">
        <f>-Tabla1[[#This Row],[PRECIO $ BOLSA 50 KG (IVA INC) ]]*(Tabla1[[#This Row],[TASA FINANCIACION MENSUAL]]/365)*Tabla1[[#This Row],[PLAZO ENTREGA VALORES]]</f>
        <v>#VALUE!</v>
      </c>
      <c r="AE789" s="845" t="e">
        <f>SUM(Tabla1[[#This Row],[PRECIO $ BOLSA50 KG  FOB TUCUMAN A PLAZO (IVA INC)]]+Tabla1[[#This Row],[GASTOS FINANCIEROS $ BOLSA 50 KG (IVA INC)]])</f>
        <v>#VALUE!</v>
      </c>
      <c r="AF789" s="828"/>
      <c r="AG789" s="828"/>
      <c r="AH789" s="828"/>
      <c r="AI789" s="828"/>
      <c r="AJ78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89" s="846" t="e">
        <f>SUM(Tabla1[[#This Row],[PRECIO $ BOLSA 50KG  FOB CDO TUC (IVA INC)]]-Tabla1[[#This Row],[PRECIO REF $ BOLSA 50 KG CACTU (IVA INC)]])</f>
        <v>#VALUE!</v>
      </c>
      <c r="AL789" s="847" t="str">
        <f>IFERROR(Tabla1[[#This Row],[PRECIO $ BOLSA 50KG  FOB CDO TUC (IVA INC)]]/Tabla1[[#This Row],[PRECIO REF $ BOLSA 50 KG CACTU (IVA INC)]]-1,"")</f>
        <v/>
      </c>
      <c r="AM789" s="846" t="e">
        <f>+Tabla1[[#This Row],[DIF $ PRECIO NETO INDUSTRIA vs Neto TUCUMAN (IVA INC)]]*Tabla1[[#This Row],[Q Bolsas Equivalentes 50kg]]</f>
        <v>#VALUE!</v>
      </c>
      <c r="AN789" s="846" t="e">
        <f>Tabla1[[#This Row],[PRECIO REF $ BOLSA 50 KG CACTU (IVA INC)]]*Tabla1[[#This Row],[Q Bolsas Equivalentes 50kg]]</f>
        <v>#VALUE!</v>
      </c>
      <c r="AO789" s="846" t="e">
        <f>+Tabla1[[#This Row],[PRECIO $ BOLSA 50KG  FOB CDO TUC (IVA INC)]]*Tabla1[[#This Row],[Q Bolsas Equivalentes 50kg]]</f>
        <v>#VALUE!</v>
      </c>
      <c r="AP789" s="847"/>
      <c r="AQ789" s="846">
        <v>0</v>
      </c>
      <c r="AR789" s="828"/>
      <c r="AS789" s="849"/>
      <c r="AT789" s="923">
        <f>+Tabla1[[#This Row],[VENTA TOTAL $ (IVA INC) ]]-(SUM(Tabla1[[#This Row],[PENDIENTE DE ENTREGA]:[VALORES COBRADOS]]))</f>
        <v>0</v>
      </c>
      <c r="AU789" s="850" t="e">
        <f>VLOOKUP(Tabla1[[#This Row],[FECHA OC]],'TIPO DE CAMBIO'!A:B,2,TRUE)</f>
        <v>#N/A</v>
      </c>
      <c r="AV789" s="850" t="e">
        <f>+Tabla1[[#This Row],[SUBTOTAL]]/Tabla1[[#This Row],[TIPO DE CAMBIO]]</f>
        <v>#N/A</v>
      </c>
      <c r="AW789" s="851"/>
      <c r="AX789" s="850" t="str">
        <f>IFERROR(Tabla1[[#This Row],[VENTA TOTAL USD A PLAZO EN CLIENTE  (SIN IVA)]]*(1+Tabla1[[#This Row],[% IVA ]]),"")</f>
        <v/>
      </c>
      <c r="AY789" s="850" t="e">
        <f>+Tabla1[[#This Row],[VENTA TOTAL USD A PLAZO EN CLIENTE  (SIN IVA)]]/Tabla1[[#This Row],[KGS]]*1000</f>
        <v>#N/A</v>
      </c>
      <c r="AZ789" s="850" t="e">
        <f>-Tabla1[[#This Row],[COSTO FLETE $ POR BOLSA 5O KG (SIN IVA)]]*20/Tabla1[[#This Row],[TIPO DE CAMBIO]]</f>
        <v>#N/A</v>
      </c>
      <c r="BA789" s="850" t="e">
        <f>+Tabla1[[#This Row],[GASTOS FINANCIEROS $ BOLSA 50 KG (IVA INC)]]*20/Tabla1[[#This Row],[TIPO DE CAMBIO]]</f>
        <v>#VALUE!</v>
      </c>
      <c r="BB789" s="850" t="e">
        <f>+Tabla1[[#This Row],[PRECIO POR TN USD EN CLIENTE A PLAZO (SIN IVA)]]+Tabla1[[#This Row],[COSTO USD FLETE /TN (SIN IVA)]]+Tabla1[[#This Row],[COSTO FINANCIERO USD POR BOLSA 50KG (IVA INC)]]</f>
        <v>#N/A</v>
      </c>
      <c r="BC789" s="848"/>
      <c r="BD789" s="944"/>
    </row>
    <row r="790" spans="1:56" ht="15.75" customHeight="1">
      <c r="A790" s="912">
        <v>46357</v>
      </c>
      <c r="B790" s="863"/>
      <c r="C790" s="792"/>
      <c r="D790" s="829">
        <f>+Tabla1[[#This Row],[FECHA Entrega]]</f>
        <v>0</v>
      </c>
      <c r="E790" s="830"/>
      <c r="F790" s="831"/>
      <c r="G790" s="832"/>
      <c r="H790" s="852"/>
      <c r="I790" s="834"/>
      <c r="J790" s="835"/>
      <c r="K790" s="836">
        <f t="shared" si="154"/>
        <v>0</v>
      </c>
      <c r="L79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90" s="837">
        <f t="shared" si="156"/>
        <v>0</v>
      </c>
      <c r="N790" s="838">
        <f>+Tabla1[[#This Row],[VENTA TOTAL $ (IVA INC) ]]</f>
        <v>0</v>
      </c>
      <c r="O790" s="838">
        <v>0</v>
      </c>
      <c r="P790" s="838">
        <v>0</v>
      </c>
      <c r="Q790" s="839">
        <f>+Tabla1[[#This Row],[VENTA TOTAL $ (IVA INC) ]]</f>
        <v>0</v>
      </c>
      <c r="R790" s="840">
        <f>+Tabla1[[#This Row],[FECHA FC]]+Tabla1[[#This Row],[PLAZO ENTREGA VALORES]]</f>
        <v>0</v>
      </c>
      <c r="S790" s="840">
        <f>+Tabla1[[#This Row],[FECHA FC]]+Tabla1[[#This Row],[PLAZO PAGO (DIAS)]]</f>
        <v>0</v>
      </c>
      <c r="T790" s="834">
        <f t="shared" ca="1" si="155"/>
        <v>-46181</v>
      </c>
      <c r="U790" s="831"/>
      <c r="V790" s="831"/>
      <c r="W790" s="841">
        <f>+Tabla1[[#This Row],[FECHA VTO VALORES]]+7</f>
        <v>7</v>
      </c>
      <c r="X790" s="830"/>
      <c r="Y790" s="859"/>
      <c r="Z790" s="860">
        <f>Tabla1[[#This Row],[KGS]]/50</f>
        <v>0</v>
      </c>
      <c r="AA79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90" s="844">
        <f>-Tabla1[[#This Row],[COSTO FLETE $ POR BOLSA 5O KG (SIN IVA)]]*1.21-Tabla1[[#This Row],[PRECIO $/ KG A PLAZO EN CLIENTE ( SIN IVA)]]*0.003*1.21*50</f>
        <v>0</v>
      </c>
      <c r="AC790" s="845" t="e">
        <f>SUM(Tabla1[[#This Row],[PRECIO $ BOLSA 50 KG (IVA INC) ]]+Tabla1[[#This Row],[COSTO FLETE $ BOLSA 50 KG (IVA INC)]])</f>
        <v>#VALUE!</v>
      </c>
      <c r="AD790" s="844" t="e">
        <f>-Tabla1[[#This Row],[PRECIO $ BOLSA 50 KG (IVA INC) ]]*(Tabla1[[#This Row],[TASA FINANCIACION MENSUAL]]/365)*Tabla1[[#This Row],[PLAZO ENTREGA VALORES]]</f>
        <v>#VALUE!</v>
      </c>
      <c r="AE790" s="845" t="e">
        <f>SUM(Tabla1[[#This Row],[PRECIO $ BOLSA50 KG  FOB TUCUMAN A PLAZO (IVA INC)]]+Tabla1[[#This Row],[GASTOS FINANCIEROS $ BOLSA 50 KG (IVA INC)]])</f>
        <v>#VALUE!</v>
      </c>
      <c r="AF790" s="828"/>
      <c r="AG790" s="828"/>
      <c r="AH790" s="828"/>
      <c r="AI790" s="828"/>
      <c r="AJ79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90" s="846" t="e">
        <f>SUM(Tabla1[[#This Row],[PRECIO $ BOLSA 50KG  FOB CDO TUC (IVA INC)]]-Tabla1[[#This Row],[PRECIO REF $ BOLSA 50 KG CACTU (IVA INC)]])</f>
        <v>#VALUE!</v>
      </c>
      <c r="AL790" s="847" t="str">
        <f>IFERROR(Tabla1[[#This Row],[PRECIO $ BOLSA 50KG  FOB CDO TUC (IVA INC)]]/Tabla1[[#This Row],[PRECIO REF $ BOLSA 50 KG CACTU (IVA INC)]]-1,"")</f>
        <v/>
      </c>
      <c r="AM790" s="846" t="e">
        <f>+Tabla1[[#This Row],[DIF $ PRECIO NETO INDUSTRIA vs Neto TUCUMAN (IVA INC)]]*Tabla1[[#This Row],[Q Bolsas Equivalentes 50kg]]</f>
        <v>#VALUE!</v>
      </c>
      <c r="AN790" s="846" t="e">
        <f>Tabla1[[#This Row],[PRECIO REF $ BOLSA 50 KG CACTU (IVA INC)]]*Tabla1[[#This Row],[Q Bolsas Equivalentes 50kg]]</f>
        <v>#VALUE!</v>
      </c>
      <c r="AO790" s="846" t="e">
        <f>+Tabla1[[#This Row],[PRECIO $ BOLSA 50KG  FOB CDO TUC (IVA INC)]]*Tabla1[[#This Row],[Q Bolsas Equivalentes 50kg]]</f>
        <v>#VALUE!</v>
      </c>
      <c r="AP790" s="847"/>
      <c r="AQ790" s="846">
        <v>0</v>
      </c>
      <c r="AR790" s="828"/>
      <c r="AS790" s="849"/>
      <c r="AT790" s="923">
        <f>+Tabla1[[#This Row],[VENTA TOTAL $ (IVA INC) ]]-(SUM(Tabla1[[#This Row],[PENDIENTE DE ENTREGA]:[VALORES COBRADOS]]))</f>
        <v>0</v>
      </c>
      <c r="AU790" s="850" t="e">
        <f>VLOOKUP(Tabla1[[#This Row],[FECHA OC]],'TIPO DE CAMBIO'!A:B,2,TRUE)</f>
        <v>#N/A</v>
      </c>
      <c r="AV790" s="850" t="e">
        <f>+Tabla1[[#This Row],[SUBTOTAL]]/Tabla1[[#This Row],[TIPO DE CAMBIO]]</f>
        <v>#N/A</v>
      </c>
      <c r="AW790" s="851"/>
      <c r="AX790" s="850" t="str">
        <f>IFERROR(Tabla1[[#This Row],[VENTA TOTAL USD A PLAZO EN CLIENTE  (SIN IVA)]]*(1+Tabla1[[#This Row],[% IVA ]]),"")</f>
        <v/>
      </c>
      <c r="AY790" s="850" t="e">
        <f>+Tabla1[[#This Row],[VENTA TOTAL USD A PLAZO EN CLIENTE  (SIN IVA)]]/Tabla1[[#This Row],[KGS]]*1000</f>
        <v>#N/A</v>
      </c>
      <c r="AZ790" s="850" t="e">
        <f>-Tabla1[[#This Row],[COSTO FLETE $ POR BOLSA 5O KG (SIN IVA)]]*20/Tabla1[[#This Row],[TIPO DE CAMBIO]]</f>
        <v>#N/A</v>
      </c>
      <c r="BA790" s="850" t="e">
        <f>+Tabla1[[#This Row],[GASTOS FINANCIEROS $ BOLSA 50 KG (IVA INC)]]*20/Tabla1[[#This Row],[TIPO DE CAMBIO]]</f>
        <v>#VALUE!</v>
      </c>
      <c r="BB790" s="850" t="e">
        <f>+Tabla1[[#This Row],[PRECIO POR TN USD EN CLIENTE A PLAZO (SIN IVA)]]+Tabla1[[#This Row],[COSTO USD FLETE /TN (SIN IVA)]]+Tabla1[[#This Row],[COSTO FINANCIERO USD POR BOLSA 50KG (IVA INC)]]</f>
        <v>#N/A</v>
      </c>
      <c r="BC790" s="848"/>
      <c r="BD790" s="944"/>
    </row>
    <row r="791" spans="1:56" ht="15.75" customHeight="1">
      <c r="A791" s="912">
        <v>46357</v>
      </c>
      <c r="B791" s="853"/>
      <c r="C791" s="792"/>
      <c r="D791" s="829">
        <f>+Tabla1[[#This Row],[FECHA Entrega]]</f>
        <v>0</v>
      </c>
      <c r="E791" s="830"/>
      <c r="F791" s="831"/>
      <c r="G791" s="832"/>
      <c r="H791" s="852"/>
      <c r="I791" s="834"/>
      <c r="J791" s="835"/>
      <c r="K791" s="836">
        <f t="shared" si="154"/>
        <v>0</v>
      </c>
      <c r="L79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91" s="837">
        <f t="shared" si="156"/>
        <v>0</v>
      </c>
      <c r="N791" s="838">
        <f>+Tabla1[[#This Row],[VENTA TOTAL $ (IVA INC) ]]</f>
        <v>0</v>
      </c>
      <c r="O791" s="838">
        <v>0</v>
      </c>
      <c r="P791" s="838">
        <v>0</v>
      </c>
      <c r="Q791" s="839">
        <f>+Tabla1[[#This Row],[VENTA TOTAL $ (IVA INC) ]]</f>
        <v>0</v>
      </c>
      <c r="R791" s="840">
        <f>+Tabla1[[#This Row],[FECHA FC]]+Tabla1[[#This Row],[PLAZO ENTREGA VALORES]]</f>
        <v>0</v>
      </c>
      <c r="S791" s="840">
        <f>+Tabla1[[#This Row],[FECHA FC]]+Tabla1[[#This Row],[PLAZO PAGO (DIAS)]]</f>
        <v>0</v>
      </c>
      <c r="T791" s="834">
        <f t="shared" ca="1" si="155"/>
        <v>-46181</v>
      </c>
      <c r="U791" s="831"/>
      <c r="V791" s="831"/>
      <c r="W791" s="841">
        <f t="shared" ref="W791:W799" si="159">+S791+7</f>
        <v>7</v>
      </c>
      <c r="X791" s="830"/>
      <c r="Y791" s="859"/>
      <c r="Z791" s="860">
        <f>Tabla1[[#This Row],[KGS]]/50</f>
        <v>0</v>
      </c>
      <c r="AA79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91" s="844">
        <f>-Tabla1[[#This Row],[COSTO FLETE $ POR BOLSA 5O KG (SIN IVA)]]*1.21-Tabla1[[#This Row],[PRECIO $/ KG A PLAZO EN CLIENTE ( SIN IVA)]]*0.003*1.21*50</f>
        <v>0</v>
      </c>
      <c r="AC791" s="845" t="e">
        <f>SUM(Tabla1[[#This Row],[PRECIO $ BOLSA 50 KG (IVA INC) ]]+Tabla1[[#This Row],[COSTO FLETE $ BOLSA 50 KG (IVA INC)]])</f>
        <v>#VALUE!</v>
      </c>
      <c r="AD791" s="844" t="e">
        <f>-Tabla1[[#This Row],[PRECIO $ BOLSA 50 KG (IVA INC) ]]*(Tabla1[[#This Row],[TASA FINANCIACION MENSUAL]]/365)*Tabla1[[#This Row],[PLAZO ENTREGA VALORES]]</f>
        <v>#VALUE!</v>
      </c>
      <c r="AE791" s="845" t="e">
        <f>SUM(Tabla1[[#This Row],[PRECIO $ BOLSA50 KG  FOB TUCUMAN A PLAZO (IVA INC)]]+Tabla1[[#This Row],[GASTOS FINANCIEROS $ BOLSA 50 KG (IVA INC)]])</f>
        <v>#VALUE!</v>
      </c>
      <c r="AF791" s="828"/>
      <c r="AG791" s="828"/>
      <c r="AH791" s="828"/>
      <c r="AI791" s="828"/>
      <c r="AJ79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91" s="846" t="e">
        <f>SUM(Tabla1[[#This Row],[PRECIO $ BOLSA 50KG  FOB CDO TUC (IVA INC)]]-Tabla1[[#This Row],[PRECIO REF $ BOLSA 50 KG CACTU (IVA INC)]])</f>
        <v>#VALUE!</v>
      </c>
      <c r="AL791" s="847" t="str">
        <f>IFERROR(Tabla1[[#This Row],[PRECIO $ BOLSA 50KG  FOB CDO TUC (IVA INC)]]/Tabla1[[#This Row],[PRECIO REF $ BOLSA 50 KG CACTU (IVA INC)]]-1,"")</f>
        <v/>
      </c>
      <c r="AM791" s="846" t="e">
        <f>+Tabla1[[#This Row],[DIF $ PRECIO NETO INDUSTRIA vs Neto TUCUMAN (IVA INC)]]*Tabla1[[#This Row],[Q Bolsas Equivalentes 50kg]]</f>
        <v>#VALUE!</v>
      </c>
      <c r="AN791" s="846" t="e">
        <f>Tabla1[[#This Row],[PRECIO REF $ BOLSA 50 KG CACTU (IVA INC)]]*Tabla1[[#This Row],[Q Bolsas Equivalentes 50kg]]</f>
        <v>#VALUE!</v>
      </c>
      <c r="AO791" s="846" t="e">
        <f>+Tabla1[[#This Row],[PRECIO $ BOLSA 50KG  FOB CDO TUC (IVA INC)]]*Tabla1[[#This Row],[Q Bolsas Equivalentes 50kg]]</f>
        <v>#VALUE!</v>
      </c>
      <c r="AP791" s="847"/>
      <c r="AQ791" s="846">
        <v>0</v>
      </c>
      <c r="AR791" s="828"/>
      <c r="AS791" s="849"/>
      <c r="AT791" s="923">
        <f>+Tabla1[[#This Row],[VENTA TOTAL $ (IVA INC) ]]-(SUM(Tabla1[[#This Row],[PENDIENTE DE ENTREGA]:[VALORES COBRADOS]]))</f>
        <v>0</v>
      </c>
      <c r="AU791" s="850" t="e">
        <f>VLOOKUP(Tabla1[[#This Row],[FECHA OC]],'TIPO DE CAMBIO'!A:B,2,TRUE)</f>
        <v>#N/A</v>
      </c>
      <c r="AV791" s="850" t="e">
        <f>+Tabla1[[#This Row],[SUBTOTAL]]/Tabla1[[#This Row],[TIPO DE CAMBIO]]</f>
        <v>#N/A</v>
      </c>
      <c r="AW791" s="851"/>
      <c r="AX791" s="850" t="str">
        <f>IFERROR(Tabla1[[#This Row],[VENTA TOTAL USD A PLAZO EN CLIENTE  (SIN IVA)]]*(1+Tabla1[[#This Row],[% IVA ]]),"")</f>
        <v/>
      </c>
      <c r="AY791" s="850" t="e">
        <f>+Tabla1[[#This Row],[VENTA TOTAL USD A PLAZO EN CLIENTE  (SIN IVA)]]/Tabla1[[#This Row],[KGS]]*1000</f>
        <v>#N/A</v>
      </c>
      <c r="AZ791" s="850" t="e">
        <f>-Tabla1[[#This Row],[COSTO FLETE $ POR BOLSA 5O KG (SIN IVA)]]*20/Tabla1[[#This Row],[TIPO DE CAMBIO]]</f>
        <v>#N/A</v>
      </c>
      <c r="BA791" s="850" t="e">
        <f>+Tabla1[[#This Row],[GASTOS FINANCIEROS $ BOLSA 50 KG (IVA INC)]]*20/Tabla1[[#This Row],[TIPO DE CAMBIO]]</f>
        <v>#VALUE!</v>
      </c>
      <c r="BB791" s="850" t="e">
        <f>+Tabla1[[#This Row],[PRECIO POR TN USD EN CLIENTE A PLAZO (SIN IVA)]]+Tabla1[[#This Row],[COSTO USD FLETE /TN (SIN IVA)]]+Tabla1[[#This Row],[COSTO FINANCIERO USD POR BOLSA 50KG (IVA INC)]]</f>
        <v>#N/A</v>
      </c>
      <c r="BC791" s="828"/>
      <c r="BD791" s="944"/>
    </row>
    <row r="792" spans="1:56" ht="15.75" customHeight="1">
      <c r="A792" s="912">
        <v>46357</v>
      </c>
      <c r="B792" s="853"/>
      <c r="C792" s="792"/>
      <c r="D792" s="829">
        <f>+Tabla1[[#This Row],[FECHA Entrega]]</f>
        <v>0</v>
      </c>
      <c r="E792" s="830"/>
      <c r="F792" s="831"/>
      <c r="G792" s="832"/>
      <c r="H792" s="852"/>
      <c r="I792" s="834"/>
      <c r="J792" s="835"/>
      <c r="K792" s="836">
        <f t="shared" ref="K792:K855" si="160">+J792*I792</f>
        <v>0</v>
      </c>
      <c r="L79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92" s="837">
        <f t="shared" si="156"/>
        <v>0</v>
      </c>
      <c r="N792" s="838">
        <f>+Tabla1[[#This Row],[VENTA TOTAL $ (IVA INC) ]]</f>
        <v>0</v>
      </c>
      <c r="O792" s="838">
        <v>0</v>
      </c>
      <c r="P792" s="838">
        <v>0</v>
      </c>
      <c r="Q792" s="839">
        <f>+Tabla1[[#This Row],[VENTA TOTAL $ (IVA INC) ]]</f>
        <v>0</v>
      </c>
      <c r="R792" s="840">
        <f>+Tabla1[[#This Row],[FECHA FC]]+Tabla1[[#This Row],[PLAZO ENTREGA VALORES]]</f>
        <v>0</v>
      </c>
      <c r="S792" s="840">
        <f>+Tabla1[[#This Row],[FECHA FC]]+Tabla1[[#This Row],[PLAZO PAGO (DIAS)]]</f>
        <v>0</v>
      </c>
      <c r="T792" s="834">
        <f t="shared" ca="1" si="155"/>
        <v>-46181</v>
      </c>
      <c r="U792" s="831"/>
      <c r="V792" s="831"/>
      <c r="W792" s="841">
        <f t="shared" si="159"/>
        <v>7</v>
      </c>
      <c r="X792" s="830"/>
      <c r="Y792" s="859"/>
      <c r="Z792" s="860">
        <f>Tabla1[[#This Row],[KGS]]/50</f>
        <v>0</v>
      </c>
      <c r="AA79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92" s="844">
        <f>-Tabla1[[#This Row],[COSTO FLETE $ POR BOLSA 5O KG (SIN IVA)]]*1.21-Tabla1[[#This Row],[PRECIO $/ KG A PLAZO EN CLIENTE ( SIN IVA)]]*0.003*1.21*50</f>
        <v>0</v>
      </c>
      <c r="AC792" s="845" t="e">
        <f>SUM(Tabla1[[#This Row],[PRECIO $ BOLSA 50 KG (IVA INC) ]]+Tabla1[[#This Row],[COSTO FLETE $ BOLSA 50 KG (IVA INC)]])</f>
        <v>#VALUE!</v>
      </c>
      <c r="AD792" s="844" t="e">
        <f>-Tabla1[[#This Row],[PRECIO $ BOLSA 50 KG (IVA INC) ]]*(Tabla1[[#This Row],[TASA FINANCIACION MENSUAL]]/365)*Tabla1[[#This Row],[PLAZO ENTREGA VALORES]]</f>
        <v>#VALUE!</v>
      </c>
      <c r="AE792" s="845" t="e">
        <f>SUM(Tabla1[[#This Row],[PRECIO $ BOLSA50 KG  FOB TUCUMAN A PLAZO (IVA INC)]]+Tabla1[[#This Row],[GASTOS FINANCIEROS $ BOLSA 50 KG (IVA INC)]])</f>
        <v>#VALUE!</v>
      </c>
      <c r="AF792" s="828"/>
      <c r="AG792" s="828"/>
      <c r="AH792" s="828"/>
      <c r="AI792" s="828"/>
      <c r="AJ79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92" s="846" t="e">
        <f>SUM(Tabla1[[#This Row],[PRECIO $ BOLSA 50KG  FOB CDO TUC (IVA INC)]]-Tabla1[[#This Row],[PRECIO REF $ BOLSA 50 KG CACTU (IVA INC)]])</f>
        <v>#VALUE!</v>
      </c>
      <c r="AL792" s="847" t="str">
        <f>IFERROR(Tabla1[[#This Row],[PRECIO $ BOLSA 50KG  FOB CDO TUC (IVA INC)]]/Tabla1[[#This Row],[PRECIO REF $ BOLSA 50 KG CACTU (IVA INC)]]-1,"")</f>
        <v/>
      </c>
      <c r="AM792" s="846" t="e">
        <f>+Tabla1[[#This Row],[DIF $ PRECIO NETO INDUSTRIA vs Neto TUCUMAN (IVA INC)]]*Tabla1[[#This Row],[Q Bolsas Equivalentes 50kg]]</f>
        <v>#VALUE!</v>
      </c>
      <c r="AN792" s="846" t="e">
        <f>Tabla1[[#This Row],[PRECIO REF $ BOLSA 50 KG CACTU (IVA INC)]]*Tabla1[[#This Row],[Q Bolsas Equivalentes 50kg]]</f>
        <v>#VALUE!</v>
      </c>
      <c r="AO792" s="846" t="e">
        <f>+Tabla1[[#This Row],[PRECIO $ BOLSA 50KG  FOB CDO TUC (IVA INC)]]*Tabla1[[#This Row],[Q Bolsas Equivalentes 50kg]]</f>
        <v>#VALUE!</v>
      </c>
      <c r="AP792" s="847"/>
      <c r="AQ792" s="846">
        <v>0</v>
      </c>
      <c r="AR792" s="828"/>
      <c r="AS792" s="849"/>
      <c r="AT792" s="923">
        <f>+Tabla1[[#This Row],[VENTA TOTAL $ (IVA INC) ]]-(SUM(Tabla1[[#This Row],[PENDIENTE DE ENTREGA]:[VALORES COBRADOS]]))</f>
        <v>0</v>
      </c>
      <c r="AU792" s="850" t="e">
        <f>VLOOKUP(Tabla1[[#This Row],[FECHA OC]],'TIPO DE CAMBIO'!A:B,2,TRUE)</f>
        <v>#N/A</v>
      </c>
      <c r="AV792" s="850" t="e">
        <f>+Tabla1[[#This Row],[SUBTOTAL]]/Tabla1[[#This Row],[TIPO DE CAMBIO]]</f>
        <v>#N/A</v>
      </c>
      <c r="AW792" s="851"/>
      <c r="AX792" s="850" t="str">
        <f>IFERROR(Tabla1[[#This Row],[VENTA TOTAL USD A PLAZO EN CLIENTE  (SIN IVA)]]*(1+Tabla1[[#This Row],[% IVA ]]),"")</f>
        <v/>
      </c>
      <c r="AY792" s="850" t="e">
        <f>+Tabla1[[#This Row],[VENTA TOTAL USD A PLAZO EN CLIENTE  (SIN IVA)]]/Tabla1[[#This Row],[KGS]]*1000</f>
        <v>#N/A</v>
      </c>
      <c r="AZ792" s="850" t="e">
        <f>-Tabla1[[#This Row],[COSTO FLETE $ POR BOLSA 5O KG (SIN IVA)]]*20/Tabla1[[#This Row],[TIPO DE CAMBIO]]</f>
        <v>#N/A</v>
      </c>
      <c r="BA792" s="850" t="e">
        <f>+Tabla1[[#This Row],[GASTOS FINANCIEROS $ BOLSA 50 KG (IVA INC)]]*20/Tabla1[[#This Row],[TIPO DE CAMBIO]]</f>
        <v>#VALUE!</v>
      </c>
      <c r="BB792" s="850" t="e">
        <f>+Tabla1[[#This Row],[PRECIO POR TN USD EN CLIENTE A PLAZO (SIN IVA)]]+Tabla1[[#This Row],[COSTO USD FLETE /TN (SIN IVA)]]+Tabla1[[#This Row],[COSTO FINANCIERO USD POR BOLSA 50KG (IVA INC)]]</f>
        <v>#N/A</v>
      </c>
      <c r="BC792" s="828"/>
      <c r="BD792" s="944"/>
    </row>
    <row r="793" spans="1:56" ht="15.75" customHeight="1">
      <c r="A793" s="912">
        <v>46357</v>
      </c>
      <c r="B793" s="853"/>
      <c r="C793" s="792"/>
      <c r="D793" s="829">
        <f>+Tabla1[[#This Row],[FECHA Entrega]]</f>
        <v>0</v>
      </c>
      <c r="E793" s="830"/>
      <c r="F793" s="831"/>
      <c r="G793" s="832"/>
      <c r="H793" s="852"/>
      <c r="I793" s="834"/>
      <c r="J793" s="835"/>
      <c r="K793" s="836">
        <f t="shared" si="160"/>
        <v>0</v>
      </c>
      <c r="L79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93" s="837">
        <f t="shared" si="156"/>
        <v>0</v>
      </c>
      <c r="N793" s="838">
        <f>+Tabla1[[#This Row],[VENTA TOTAL $ (IVA INC) ]]</f>
        <v>0</v>
      </c>
      <c r="O793" s="838">
        <v>0</v>
      </c>
      <c r="P793" s="838">
        <v>0</v>
      </c>
      <c r="Q793" s="839">
        <f>+Tabla1[[#This Row],[VENTA TOTAL $ (IVA INC) ]]</f>
        <v>0</v>
      </c>
      <c r="R793" s="840">
        <f>+Tabla1[[#This Row],[FECHA FC]]+Tabla1[[#This Row],[PLAZO ENTREGA VALORES]]</f>
        <v>0</v>
      </c>
      <c r="S793" s="840">
        <f>+Tabla1[[#This Row],[FECHA FC]]+Tabla1[[#This Row],[PLAZO PAGO (DIAS)]]</f>
        <v>0</v>
      </c>
      <c r="T793" s="834">
        <f t="shared" ref="T793:T856" ca="1" si="161">+S793-$U$2</f>
        <v>-46181</v>
      </c>
      <c r="U793" s="831"/>
      <c r="V793" s="831"/>
      <c r="W793" s="841">
        <f t="shared" si="159"/>
        <v>7</v>
      </c>
      <c r="X793" s="830"/>
      <c r="Y793" s="859"/>
      <c r="Z793" s="860">
        <f>Tabla1[[#This Row],[KGS]]/50</f>
        <v>0</v>
      </c>
      <c r="AA79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93" s="844">
        <f>-Tabla1[[#This Row],[COSTO FLETE $ POR BOLSA 5O KG (SIN IVA)]]*1.21-Tabla1[[#This Row],[PRECIO $/ KG A PLAZO EN CLIENTE ( SIN IVA)]]*0.003*1.21*50</f>
        <v>0</v>
      </c>
      <c r="AC793" s="845" t="e">
        <f>SUM(Tabla1[[#This Row],[PRECIO $ BOLSA 50 KG (IVA INC) ]]+Tabla1[[#This Row],[COSTO FLETE $ BOLSA 50 KG (IVA INC)]])</f>
        <v>#VALUE!</v>
      </c>
      <c r="AD793" s="844" t="e">
        <f>-Tabla1[[#This Row],[PRECIO $ BOLSA 50 KG (IVA INC) ]]*(Tabla1[[#This Row],[TASA FINANCIACION MENSUAL]]/365)*Tabla1[[#This Row],[PLAZO ENTREGA VALORES]]</f>
        <v>#VALUE!</v>
      </c>
      <c r="AE793" s="845" t="e">
        <f>SUM(Tabla1[[#This Row],[PRECIO $ BOLSA50 KG  FOB TUCUMAN A PLAZO (IVA INC)]]+Tabla1[[#This Row],[GASTOS FINANCIEROS $ BOLSA 50 KG (IVA INC)]])</f>
        <v>#VALUE!</v>
      </c>
      <c r="AF793" s="828"/>
      <c r="AG793" s="828"/>
      <c r="AH793" s="828"/>
      <c r="AI793" s="828"/>
      <c r="AJ79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93" s="846" t="e">
        <f>SUM(Tabla1[[#This Row],[PRECIO $ BOLSA 50KG  FOB CDO TUC (IVA INC)]]-Tabla1[[#This Row],[PRECIO REF $ BOLSA 50 KG CACTU (IVA INC)]])</f>
        <v>#VALUE!</v>
      </c>
      <c r="AL793" s="847" t="str">
        <f>IFERROR(Tabla1[[#This Row],[PRECIO $ BOLSA 50KG  FOB CDO TUC (IVA INC)]]/Tabla1[[#This Row],[PRECIO REF $ BOLSA 50 KG CACTU (IVA INC)]]-1,"")</f>
        <v/>
      </c>
      <c r="AM793" s="846" t="e">
        <f>+Tabla1[[#This Row],[DIF $ PRECIO NETO INDUSTRIA vs Neto TUCUMAN (IVA INC)]]*Tabla1[[#This Row],[Q Bolsas Equivalentes 50kg]]</f>
        <v>#VALUE!</v>
      </c>
      <c r="AN793" s="846" t="e">
        <f>Tabla1[[#This Row],[PRECIO REF $ BOLSA 50 KG CACTU (IVA INC)]]*Tabla1[[#This Row],[Q Bolsas Equivalentes 50kg]]</f>
        <v>#VALUE!</v>
      </c>
      <c r="AO793" s="846" t="e">
        <f>+Tabla1[[#This Row],[PRECIO $ BOLSA 50KG  FOB CDO TUC (IVA INC)]]*Tabla1[[#This Row],[Q Bolsas Equivalentes 50kg]]</f>
        <v>#VALUE!</v>
      </c>
      <c r="AP793" s="847"/>
      <c r="AQ793" s="846">
        <v>0</v>
      </c>
      <c r="AR793" s="828"/>
      <c r="AS793" s="849"/>
      <c r="AT793" s="923">
        <f>+Tabla1[[#This Row],[VENTA TOTAL $ (IVA INC) ]]-(SUM(Tabla1[[#This Row],[PENDIENTE DE ENTREGA]:[VALORES COBRADOS]]))</f>
        <v>0</v>
      </c>
      <c r="AU793" s="850" t="e">
        <f>VLOOKUP(Tabla1[[#This Row],[FECHA OC]],'TIPO DE CAMBIO'!A:B,2,TRUE)</f>
        <v>#N/A</v>
      </c>
      <c r="AV793" s="850" t="e">
        <f>+Tabla1[[#This Row],[SUBTOTAL]]/Tabla1[[#This Row],[TIPO DE CAMBIO]]</f>
        <v>#N/A</v>
      </c>
      <c r="AW793" s="851"/>
      <c r="AX793" s="850" t="str">
        <f>IFERROR(Tabla1[[#This Row],[VENTA TOTAL USD A PLAZO EN CLIENTE  (SIN IVA)]]*(1+Tabla1[[#This Row],[% IVA ]]),"")</f>
        <v/>
      </c>
      <c r="AY793" s="850" t="e">
        <f>+Tabla1[[#This Row],[VENTA TOTAL USD A PLAZO EN CLIENTE  (SIN IVA)]]/Tabla1[[#This Row],[KGS]]*1000</f>
        <v>#N/A</v>
      </c>
      <c r="AZ793" s="850" t="e">
        <f>-Tabla1[[#This Row],[COSTO FLETE $ POR BOLSA 5O KG (SIN IVA)]]*20/Tabla1[[#This Row],[TIPO DE CAMBIO]]</f>
        <v>#N/A</v>
      </c>
      <c r="BA793" s="850" t="e">
        <f>+Tabla1[[#This Row],[GASTOS FINANCIEROS $ BOLSA 50 KG (IVA INC)]]*20/Tabla1[[#This Row],[TIPO DE CAMBIO]]</f>
        <v>#VALUE!</v>
      </c>
      <c r="BB793" s="850" t="e">
        <f>+Tabla1[[#This Row],[PRECIO POR TN USD EN CLIENTE A PLAZO (SIN IVA)]]+Tabla1[[#This Row],[COSTO USD FLETE /TN (SIN IVA)]]+Tabla1[[#This Row],[COSTO FINANCIERO USD POR BOLSA 50KG (IVA INC)]]</f>
        <v>#N/A</v>
      </c>
      <c r="BC793" s="828"/>
      <c r="BD793" s="944"/>
    </row>
    <row r="794" spans="1:56" ht="15.75" customHeight="1">
      <c r="A794" s="912">
        <v>46357</v>
      </c>
      <c r="B794" s="853"/>
      <c r="C794" s="792"/>
      <c r="D794" s="829">
        <f>+Tabla1[[#This Row],[FECHA Entrega]]</f>
        <v>0</v>
      </c>
      <c r="E794" s="830"/>
      <c r="F794" s="831"/>
      <c r="G794" s="832"/>
      <c r="H794" s="852"/>
      <c r="I794" s="834"/>
      <c r="J794" s="835"/>
      <c r="K794" s="836">
        <f t="shared" si="160"/>
        <v>0</v>
      </c>
      <c r="L79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94" s="837">
        <f t="shared" si="156"/>
        <v>0</v>
      </c>
      <c r="N794" s="838">
        <f>+Tabla1[[#This Row],[VENTA TOTAL $ (IVA INC) ]]</f>
        <v>0</v>
      </c>
      <c r="O794" s="838">
        <v>0</v>
      </c>
      <c r="P794" s="838">
        <v>0</v>
      </c>
      <c r="Q794" s="839">
        <f>+Tabla1[[#This Row],[VENTA TOTAL $ (IVA INC) ]]-Tabla1[[#This Row],[PENDIENTE DE COBRO]]</f>
        <v>0</v>
      </c>
      <c r="R794" s="840">
        <f>+Tabla1[[#This Row],[FECHA FC]]+Tabla1[[#This Row],[PLAZO ENTREGA VALORES]]</f>
        <v>0</v>
      </c>
      <c r="S794" s="840">
        <f>+Tabla1[[#This Row],[FECHA FC]]+Tabla1[[#This Row],[PLAZO PAGO (DIAS)]]</f>
        <v>0</v>
      </c>
      <c r="T794" s="834">
        <f t="shared" ca="1" si="161"/>
        <v>-46181</v>
      </c>
      <c r="U794" s="831"/>
      <c r="V794" s="831"/>
      <c r="W794" s="841">
        <f t="shared" si="159"/>
        <v>7</v>
      </c>
      <c r="X794" s="830"/>
      <c r="Y794" s="859"/>
      <c r="Z794" s="860">
        <f>Tabla1[[#This Row],[KGS]]/50</f>
        <v>0</v>
      </c>
      <c r="AA79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94" s="844">
        <f>-Tabla1[[#This Row],[COSTO FLETE $ POR BOLSA 5O KG (SIN IVA)]]*1.21-Tabla1[[#This Row],[PRECIO $/ KG A PLAZO EN CLIENTE ( SIN IVA)]]*0.003*1.21*50</f>
        <v>0</v>
      </c>
      <c r="AC794" s="845" t="e">
        <f>SUM(Tabla1[[#This Row],[PRECIO $ BOLSA 50 KG (IVA INC) ]]+Tabla1[[#This Row],[COSTO FLETE $ BOLSA 50 KG (IVA INC)]])</f>
        <v>#VALUE!</v>
      </c>
      <c r="AD794" s="844" t="e">
        <f>-Tabla1[[#This Row],[PRECIO $ BOLSA 50 KG (IVA INC) ]]*(Tabla1[[#This Row],[TASA FINANCIACION MENSUAL]]/365)*Tabla1[[#This Row],[PLAZO ENTREGA VALORES]]</f>
        <v>#VALUE!</v>
      </c>
      <c r="AE794" s="845" t="e">
        <f>SUM(Tabla1[[#This Row],[PRECIO $ BOLSA50 KG  FOB TUCUMAN A PLAZO (IVA INC)]]+Tabla1[[#This Row],[GASTOS FINANCIEROS $ BOLSA 50 KG (IVA INC)]])</f>
        <v>#VALUE!</v>
      </c>
      <c r="AF794" s="828"/>
      <c r="AG794" s="828"/>
      <c r="AH794" s="828"/>
      <c r="AI794" s="828"/>
      <c r="AJ79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94" s="846" t="e">
        <f>SUM(Tabla1[[#This Row],[PRECIO $ BOLSA 50KG  FOB CDO TUC (IVA INC)]]-Tabla1[[#This Row],[PRECIO REF $ BOLSA 50 KG CACTU (IVA INC)]])</f>
        <v>#VALUE!</v>
      </c>
      <c r="AL794" s="847" t="str">
        <f>IFERROR(Tabla1[[#This Row],[PRECIO $ BOLSA 50KG  FOB CDO TUC (IVA INC)]]/Tabla1[[#This Row],[PRECIO REF $ BOLSA 50 KG CACTU (IVA INC)]]-1,"")</f>
        <v/>
      </c>
      <c r="AM794" s="846" t="e">
        <f>+Tabla1[[#This Row],[DIF $ PRECIO NETO INDUSTRIA vs Neto TUCUMAN (IVA INC)]]*Tabla1[[#This Row],[Q Bolsas Equivalentes 50kg]]</f>
        <v>#VALUE!</v>
      </c>
      <c r="AN794" s="846" t="e">
        <f>Tabla1[[#This Row],[PRECIO REF $ BOLSA 50 KG CACTU (IVA INC)]]*Tabla1[[#This Row],[Q Bolsas Equivalentes 50kg]]</f>
        <v>#VALUE!</v>
      </c>
      <c r="AO794" s="846" t="e">
        <f>+Tabla1[[#This Row],[PRECIO $ BOLSA 50KG  FOB CDO TUC (IVA INC)]]*Tabla1[[#This Row],[Q Bolsas Equivalentes 50kg]]</f>
        <v>#VALUE!</v>
      </c>
      <c r="AP794" s="847"/>
      <c r="AQ794" s="846">
        <v>0</v>
      </c>
      <c r="AR794" s="828"/>
      <c r="AS794" s="849"/>
      <c r="AT794" s="923">
        <f>+Tabla1[[#This Row],[VENTA TOTAL $ (IVA INC) ]]-(SUM(Tabla1[[#This Row],[PENDIENTE DE ENTREGA]:[VALORES COBRADOS]]))</f>
        <v>0</v>
      </c>
      <c r="AU794" s="850" t="e">
        <f>VLOOKUP(Tabla1[[#This Row],[FECHA OC]],'TIPO DE CAMBIO'!A:B,2,TRUE)</f>
        <v>#N/A</v>
      </c>
      <c r="AV794" s="850" t="e">
        <f>+Tabla1[[#This Row],[SUBTOTAL]]/Tabla1[[#This Row],[TIPO DE CAMBIO]]</f>
        <v>#N/A</v>
      </c>
      <c r="AW794" s="851"/>
      <c r="AX794" s="850" t="str">
        <f>IFERROR(Tabla1[[#This Row],[VENTA TOTAL USD A PLAZO EN CLIENTE  (SIN IVA)]]*(1+Tabla1[[#This Row],[% IVA ]]),"")</f>
        <v/>
      </c>
      <c r="AY794" s="850" t="e">
        <f>+Tabla1[[#This Row],[VENTA TOTAL USD A PLAZO EN CLIENTE  (SIN IVA)]]/Tabla1[[#This Row],[KGS]]*1000</f>
        <v>#N/A</v>
      </c>
      <c r="AZ794" s="850" t="e">
        <f>-Tabla1[[#This Row],[COSTO FLETE $ POR BOLSA 5O KG (SIN IVA)]]*20/Tabla1[[#This Row],[TIPO DE CAMBIO]]</f>
        <v>#N/A</v>
      </c>
      <c r="BA794" s="850" t="e">
        <f>+Tabla1[[#This Row],[GASTOS FINANCIEROS $ BOLSA 50 KG (IVA INC)]]*20/Tabla1[[#This Row],[TIPO DE CAMBIO]]</f>
        <v>#VALUE!</v>
      </c>
      <c r="BB794" s="850" t="e">
        <f>+Tabla1[[#This Row],[PRECIO POR TN USD EN CLIENTE A PLAZO (SIN IVA)]]+Tabla1[[#This Row],[COSTO USD FLETE /TN (SIN IVA)]]+Tabla1[[#This Row],[COSTO FINANCIERO USD POR BOLSA 50KG (IVA INC)]]</f>
        <v>#N/A</v>
      </c>
      <c r="BC794" s="828"/>
      <c r="BD794" s="944"/>
    </row>
    <row r="795" spans="1:56" ht="15.75" customHeight="1">
      <c r="A795" s="912">
        <v>46357</v>
      </c>
      <c r="B795" s="853"/>
      <c r="C795" s="792"/>
      <c r="D795" s="829">
        <f>+Tabla1[[#This Row],[FECHA Entrega]]</f>
        <v>0</v>
      </c>
      <c r="E795" s="830"/>
      <c r="F795" s="831"/>
      <c r="G795" s="832"/>
      <c r="H795" s="852"/>
      <c r="I795" s="834"/>
      <c r="J795" s="835"/>
      <c r="K795" s="836">
        <f t="shared" si="160"/>
        <v>0</v>
      </c>
      <c r="L79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95" s="837">
        <f t="shared" si="156"/>
        <v>0</v>
      </c>
      <c r="N795" s="838">
        <f>+Tabla1[[#This Row],[VENTA TOTAL $ (IVA INC) ]]</f>
        <v>0</v>
      </c>
      <c r="O795" s="838">
        <v>0</v>
      </c>
      <c r="P795" s="838">
        <v>0</v>
      </c>
      <c r="Q795" s="839">
        <f>+Tabla1[[#This Row],[VENTA TOTAL $ (IVA INC) ]]-Tabla1[[#This Row],[PENDIENTE DE COBRO]]</f>
        <v>0</v>
      </c>
      <c r="R795" s="840">
        <f>+Tabla1[[#This Row],[FECHA FC]]+Tabla1[[#This Row],[PLAZO ENTREGA VALORES]]</f>
        <v>0</v>
      </c>
      <c r="S795" s="840">
        <f>+Tabla1[[#This Row],[FECHA FC]]+Tabla1[[#This Row],[PLAZO PAGO (DIAS)]]</f>
        <v>0</v>
      </c>
      <c r="T795" s="834">
        <f t="shared" ca="1" si="161"/>
        <v>-46181</v>
      </c>
      <c r="U795" s="831"/>
      <c r="V795" s="831"/>
      <c r="W795" s="841">
        <f t="shared" si="159"/>
        <v>7</v>
      </c>
      <c r="X795" s="830"/>
      <c r="Y795" s="859"/>
      <c r="Z795" s="860">
        <f>Tabla1[[#This Row],[KGS]]/50</f>
        <v>0</v>
      </c>
      <c r="AA79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95" s="844">
        <f>-Tabla1[[#This Row],[COSTO FLETE $ POR BOLSA 5O KG (SIN IVA)]]*1.21-Tabla1[[#This Row],[PRECIO $/ KG A PLAZO EN CLIENTE ( SIN IVA)]]*0.003*1.21*50</f>
        <v>0</v>
      </c>
      <c r="AC795" s="845" t="e">
        <f>SUM(Tabla1[[#This Row],[PRECIO $ BOLSA 50 KG (IVA INC) ]]+Tabla1[[#This Row],[COSTO FLETE $ BOLSA 50 KG (IVA INC)]])</f>
        <v>#VALUE!</v>
      </c>
      <c r="AD795" s="844" t="e">
        <f>-Tabla1[[#This Row],[PRECIO $ BOLSA 50 KG (IVA INC) ]]*(Tabla1[[#This Row],[TASA FINANCIACION MENSUAL]]/365)*Tabla1[[#This Row],[PLAZO ENTREGA VALORES]]</f>
        <v>#VALUE!</v>
      </c>
      <c r="AE795" s="845" t="e">
        <f>SUM(Tabla1[[#This Row],[PRECIO $ BOLSA50 KG  FOB TUCUMAN A PLAZO (IVA INC)]]+Tabla1[[#This Row],[GASTOS FINANCIEROS $ BOLSA 50 KG (IVA INC)]])</f>
        <v>#VALUE!</v>
      </c>
      <c r="AF795" s="828"/>
      <c r="AG795" s="828"/>
      <c r="AH795" s="828"/>
      <c r="AI795" s="828"/>
      <c r="AJ79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95" s="846" t="e">
        <f>SUM(Tabla1[[#This Row],[PRECIO $ BOLSA 50KG  FOB CDO TUC (IVA INC)]]-Tabla1[[#This Row],[PRECIO REF $ BOLSA 50 KG CACTU (IVA INC)]])</f>
        <v>#VALUE!</v>
      </c>
      <c r="AL795" s="847" t="str">
        <f>IFERROR(Tabla1[[#This Row],[PRECIO $ BOLSA 50KG  FOB CDO TUC (IVA INC)]]/Tabla1[[#This Row],[PRECIO REF $ BOLSA 50 KG CACTU (IVA INC)]]-1,"")</f>
        <v/>
      </c>
      <c r="AM795" s="846" t="e">
        <f>+Tabla1[[#This Row],[DIF $ PRECIO NETO INDUSTRIA vs Neto TUCUMAN (IVA INC)]]*Tabla1[[#This Row],[Q Bolsas Equivalentes 50kg]]</f>
        <v>#VALUE!</v>
      </c>
      <c r="AN795" s="846" t="e">
        <f>Tabla1[[#This Row],[PRECIO REF $ BOLSA 50 KG CACTU (IVA INC)]]*Tabla1[[#This Row],[Q Bolsas Equivalentes 50kg]]</f>
        <v>#VALUE!</v>
      </c>
      <c r="AO795" s="846" t="e">
        <f>+Tabla1[[#This Row],[PRECIO $ BOLSA 50KG  FOB CDO TUC (IVA INC)]]*Tabla1[[#This Row],[Q Bolsas Equivalentes 50kg]]</f>
        <v>#VALUE!</v>
      </c>
      <c r="AP795" s="847"/>
      <c r="AQ795" s="846">
        <v>0</v>
      </c>
      <c r="AR795" s="828"/>
      <c r="AS795" s="849"/>
      <c r="AT795" s="923">
        <f>+Tabla1[[#This Row],[VENTA TOTAL $ (IVA INC) ]]-(SUM(Tabla1[[#This Row],[PENDIENTE DE ENTREGA]:[VALORES COBRADOS]]))</f>
        <v>0</v>
      </c>
      <c r="AU795" s="850" t="e">
        <f>VLOOKUP(Tabla1[[#This Row],[FECHA OC]],'TIPO DE CAMBIO'!A:B,2,TRUE)</f>
        <v>#N/A</v>
      </c>
      <c r="AV795" s="850" t="e">
        <f>+Tabla1[[#This Row],[SUBTOTAL]]/Tabla1[[#This Row],[TIPO DE CAMBIO]]</f>
        <v>#N/A</v>
      </c>
      <c r="AW795" s="851"/>
      <c r="AX795" s="850" t="str">
        <f>IFERROR(Tabla1[[#This Row],[VENTA TOTAL USD A PLAZO EN CLIENTE  (SIN IVA)]]*(1+Tabla1[[#This Row],[% IVA ]]),"")</f>
        <v/>
      </c>
      <c r="AY795" s="850" t="e">
        <f>+Tabla1[[#This Row],[VENTA TOTAL USD A PLAZO EN CLIENTE  (SIN IVA)]]/Tabla1[[#This Row],[KGS]]*1000</f>
        <v>#N/A</v>
      </c>
      <c r="AZ795" s="850" t="e">
        <f>-Tabla1[[#This Row],[COSTO FLETE $ POR BOLSA 5O KG (SIN IVA)]]*20/Tabla1[[#This Row],[TIPO DE CAMBIO]]</f>
        <v>#N/A</v>
      </c>
      <c r="BA795" s="850" t="e">
        <f>+Tabla1[[#This Row],[GASTOS FINANCIEROS $ BOLSA 50 KG (IVA INC)]]*20/Tabla1[[#This Row],[TIPO DE CAMBIO]]</f>
        <v>#VALUE!</v>
      </c>
      <c r="BB795" s="850" t="e">
        <f>+Tabla1[[#This Row],[PRECIO POR TN USD EN CLIENTE A PLAZO (SIN IVA)]]+Tabla1[[#This Row],[COSTO USD FLETE /TN (SIN IVA)]]+Tabla1[[#This Row],[COSTO FINANCIERO USD POR BOLSA 50KG (IVA INC)]]</f>
        <v>#N/A</v>
      </c>
      <c r="BC795" s="828"/>
      <c r="BD795" s="944"/>
    </row>
    <row r="796" spans="1:56" ht="15.75" customHeight="1">
      <c r="A796" s="912">
        <v>46357</v>
      </c>
      <c r="B796" s="853"/>
      <c r="C796" s="792"/>
      <c r="D796" s="829">
        <f>+Tabla1[[#This Row],[FECHA Entrega]]</f>
        <v>0</v>
      </c>
      <c r="E796" s="830"/>
      <c r="F796" s="831"/>
      <c r="G796" s="832"/>
      <c r="H796" s="852"/>
      <c r="I796" s="834"/>
      <c r="J796" s="835"/>
      <c r="K796" s="836">
        <f t="shared" si="160"/>
        <v>0</v>
      </c>
      <c r="L79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96" s="837">
        <f t="shared" si="156"/>
        <v>0</v>
      </c>
      <c r="N796" s="838">
        <f>+Tabla1[[#This Row],[VENTA TOTAL $ (IVA INC) ]]</f>
        <v>0</v>
      </c>
      <c r="O796" s="838">
        <v>0</v>
      </c>
      <c r="P796" s="838">
        <v>0</v>
      </c>
      <c r="Q796" s="839">
        <f>+Tabla1[[#This Row],[VENTA TOTAL $ (IVA INC) ]]-Tabla1[[#This Row],[PENDIENTE DE COBRO]]</f>
        <v>0</v>
      </c>
      <c r="R796" s="840">
        <f>+Tabla1[[#This Row],[FECHA FC]]+Tabla1[[#This Row],[PLAZO ENTREGA VALORES]]</f>
        <v>0</v>
      </c>
      <c r="S796" s="840">
        <f>+Tabla1[[#This Row],[FECHA FC]]+Tabla1[[#This Row],[PLAZO PAGO (DIAS)]]</f>
        <v>0</v>
      </c>
      <c r="T796" s="834">
        <f t="shared" ca="1" si="161"/>
        <v>-46181</v>
      </c>
      <c r="U796" s="831"/>
      <c r="V796" s="831"/>
      <c r="W796" s="841">
        <f t="shared" si="159"/>
        <v>7</v>
      </c>
      <c r="X796" s="830"/>
      <c r="Y796" s="859"/>
      <c r="Z796" s="860">
        <f>Tabla1[[#This Row],[KGS]]/50</f>
        <v>0</v>
      </c>
      <c r="AA79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96" s="844">
        <f>-Tabla1[[#This Row],[COSTO FLETE $ POR BOLSA 5O KG (SIN IVA)]]*1.21-Tabla1[[#This Row],[PRECIO $/ KG A PLAZO EN CLIENTE ( SIN IVA)]]*0.003*1.21*50</f>
        <v>0</v>
      </c>
      <c r="AC796" s="845" t="e">
        <f>SUM(Tabla1[[#This Row],[PRECIO $ BOLSA 50 KG (IVA INC) ]]+Tabla1[[#This Row],[COSTO FLETE $ BOLSA 50 KG (IVA INC)]])</f>
        <v>#VALUE!</v>
      </c>
      <c r="AD796" s="844" t="e">
        <f>-Tabla1[[#This Row],[PRECIO $ BOLSA 50 KG (IVA INC) ]]*(Tabla1[[#This Row],[TASA FINANCIACION MENSUAL]]/365)*Tabla1[[#This Row],[PLAZO ENTREGA VALORES]]</f>
        <v>#VALUE!</v>
      </c>
      <c r="AE796" s="845" t="e">
        <f>SUM(Tabla1[[#This Row],[PRECIO $ BOLSA50 KG  FOB TUCUMAN A PLAZO (IVA INC)]]+Tabla1[[#This Row],[GASTOS FINANCIEROS $ BOLSA 50 KG (IVA INC)]])</f>
        <v>#VALUE!</v>
      </c>
      <c r="AF796" s="828"/>
      <c r="AG796" s="828"/>
      <c r="AH796" s="828"/>
      <c r="AI796" s="828"/>
      <c r="AJ79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96" s="846" t="e">
        <f>SUM(Tabla1[[#This Row],[PRECIO $ BOLSA 50KG  FOB CDO TUC (IVA INC)]]-Tabla1[[#This Row],[PRECIO REF $ BOLSA 50 KG CACTU (IVA INC)]])</f>
        <v>#VALUE!</v>
      </c>
      <c r="AL796" s="847" t="str">
        <f>IFERROR(Tabla1[[#This Row],[PRECIO $ BOLSA 50KG  FOB CDO TUC (IVA INC)]]/Tabla1[[#This Row],[PRECIO REF $ BOLSA 50 KG CACTU (IVA INC)]]-1,"")</f>
        <v/>
      </c>
      <c r="AM796" s="846" t="e">
        <f>+Tabla1[[#This Row],[DIF $ PRECIO NETO INDUSTRIA vs Neto TUCUMAN (IVA INC)]]*Tabla1[[#This Row],[Q Bolsas Equivalentes 50kg]]</f>
        <v>#VALUE!</v>
      </c>
      <c r="AN796" s="846" t="e">
        <f>Tabla1[[#This Row],[PRECIO REF $ BOLSA 50 KG CACTU (IVA INC)]]*Tabla1[[#This Row],[Q Bolsas Equivalentes 50kg]]</f>
        <v>#VALUE!</v>
      </c>
      <c r="AO796" s="846" t="e">
        <f>+Tabla1[[#This Row],[PRECIO $ BOLSA 50KG  FOB CDO TUC (IVA INC)]]*Tabla1[[#This Row],[Q Bolsas Equivalentes 50kg]]</f>
        <v>#VALUE!</v>
      </c>
      <c r="AP796" s="847"/>
      <c r="AQ796" s="846">
        <v>0</v>
      </c>
      <c r="AR796" s="828"/>
      <c r="AS796" s="849"/>
      <c r="AT796" s="923">
        <f>+Tabla1[[#This Row],[VENTA TOTAL $ (IVA INC) ]]-(SUM(Tabla1[[#This Row],[PENDIENTE DE ENTREGA]:[VALORES COBRADOS]]))</f>
        <v>0</v>
      </c>
      <c r="AU796" s="850" t="e">
        <f>VLOOKUP(Tabla1[[#This Row],[FECHA OC]],'TIPO DE CAMBIO'!A:B,2,TRUE)</f>
        <v>#N/A</v>
      </c>
      <c r="AV796" s="850" t="e">
        <f>+Tabla1[[#This Row],[SUBTOTAL]]/Tabla1[[#This Row],[TIPO DE CAMBIO]]</f>
        <v>#N/A</v>
      </c>
      <c r="AW796" s="851"/>
      <c r="AX796" s="850" t="str">
        <f>IFERROR(Tabla1[[#This Row],[VENTA TOTAL USD A PLAZO EN CLIENTE  (SIN IVA)]]*(1+Tabla1[[#This Row],[% IVA ]]),"")</f>
        <v/>
      </c>
      <c r="AY796" s="850" t="e">
        <f>+Tabla1[[#This Row],[VENTA TOTAL USD A PLAZO EN CLIENTE  (SIN IVA)]]/Tabla1[[#This Row],[KGS]]*1000</f>
        <v>#N/A</v>
      </c>
      <c r="AZ796" s="850" t="e">
        <f>-Tabla1[[#This Row],[COSTO FLETE $ POR BOLSA 5O KG (SIN IVA)]]*20/Tabla1[[#This Row],[TIPO DE CAMBIO]]</f>
        <v>#N/A</v>
      </c>
      <c r="BA796" s="850" t="e">
        <f>+Tabla1[[#This Row],[GASTOS FINANCIEROS $ BOLSA 50 KG (IVA INC)]]*20/Tabla1[[#This Row],[TIPO DE CAMBIO]]</f>
        <v>#VALUE!</v>
      </c>
      <c r="BB796" s="850" t="e">
        <f>+Tabla1[[#This Row],[PRECIO POR TN USD EN CLIENTE A PLAZO (SIN IVA)]]+Tabla1[[#This Row],[COSTO USD FLETE /TN (SIN IVA)]]+Tabla1[[#This Row],[COSTO FINANCIERO USD POR BOLSA 50KG (IVA INC)]]</f>
        <v>#N/A</v>
      </c>
      <c r="BC796" s="828"/>
      <c r="BD796" s="944"/>
    </row>
    <row r="797" spans="1:56" ht="15.75" customHeight="1">
      <c r="A797" s="912">
        <v>46357</v>
      </c>
      <c r="B797" s="853"/>
      <c r="C797" s="792"/>
      <c r="D797" s="829">
        <f>+Tabla1[[#This Row],[FECHA Entrega]]</f>
        <v>0</v>
      </c>
      <c r="E797" s="830"/>
      <c r="F797" s="831"/>
      <c r="G797" s="832"/>
      <c r="H797" s="852"/>
      <c r="I797" s="834"/>
      <c r="J797" s="835"/>
      <c r="K797" s="836">
        <f t="shared" si="160"/>
        <v>0</v>
      </c>
      <c r="L79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97" s="837">
        <f t="shared" si="156"/>
        <v>0</v>
      </c>
      <c r="N797" s="838">
        <f>+Tabla1[[#This Row],[VENTA TOTAL $ (IVA INC) ]]</f>
        <v>0</v>
      </c>
      <c r="O797" s="838">
        <v>0</v>
      </c>
      <c r="P797" s="838">
        <v>0</v>
      </c>
      <c r="Q797" s="839">
        <f>+Tabla1[[#This Row],[VENTA TOTAL $ (IVA INC) ]]-Tabla1[[#This Row],[PENDIENTE DE COBRO]]</f>
        <v>0</v>
      </c>
      <c r="R797" s="840">
        <f>+Tabla1[[#This Row],[FECHA FC]]+Tabla1[[#This Row],[PLAZO ENTREGA VALORES]]</f>
        <v>0</v>
      </c>
      <c r="S797" s="840">
        <f>+Tabla1[[#This Row],[FECHA FC]]+Tabla1[[#This Row],[PLAZO PAGO (DIAS)]]</f>
        <v>0</v>
      </c>
      <c r="T797" s="834">
        <f t="shared" ca="1" si="161"/>
        <v>-46181</v>
      </c>
      <c r="U797" s="831"/>
      <c r="V797" s="831"/>
      <c r="W797" s="841">
        <f t="shared" si="159"/>
        <v>7</v>
      </c>
      <c r="X797" s="830"/>
      <c r="Y797" s="859"/>
      <c r="Z797" s="860">
        <f>Tabla1[[#This Row],[KGS]]/50</f>
        <v>0</v>
      </c>
      <c r="AA79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97" s="844">
        <f>-Tabla1[[#This Row],[COSTO FLETE $ POR BOLSA 5O KG (SIN IVA)]]*1.21-Tabla1[[#This Row],[PRECIO $/ KG A PLAZO EN CLIENTE ( SIN IVA)]]*0.003*1.21*50</f>
        <v>0</v>
      </c>
      <c r="AC797" s="845" t="e">
        <f>SUM(Tabla1[[#This Row],[PRECIO $ BOLSA 50 KG (IVA INC) ]]+Tabla1[[#This Row],[COSTO FLETE $ BOLSA 50 KG (IVA INC)]])</f>
        <v>#VALUE!</v>
      </c>
      <c r="AD797" s="844" t="e">
        <f>-Tabla1[[#This Row],[PRECIO $ BOLSA 50 KG (IVA INC) ]]*(Tabla1[[#This Row],[TASA FINANCIACION MENSUAL]]/365)*Tabla1[[#This Row],[PLAZO ENTREGA VALORES]]</f>
        <v>#VALUE!</v>
      </c>
      <c r="AE797" s="845" t="e">
        <f>SUM(Tabla1[[#This Row],[PRECIO $ BOLSA50 KG  FOB TUCUMAN A PLAZO (IVA INC)]]+Tabla1[[#This Row],[GASTOS FINANCIEROS $ BOLSA 50 KG (IVA INC)]])</f>
        <v>#VALUE!</v>
      </c>
      <c r="AF797" s="828"/>
      <c r="AG797" s="828"/>
      <c r="AH797" s="828"/>
      <c r="AI797" s="828"/>
      <c r="AJ79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97" s="846" t="e">
        <f>SUM(Tabla1[[#This Row],[PRECIO $ BOLSA 50KG  FOB CDO TUC (IVA INC)]]-Tabla1[[#This Row],[PRECIO REF $ BOLSA 50 KG CACTU (IVA INC)]])</f>
        <v>#VALUE!</v>
      </c>
      <c r="AL797" s="847" t="str">
        <f>IFERROR(Tabla1[[#This Row],[PRECIO $ BOLSA 50KG  FOB CDO TUC (IVA INC)]]/Tabla1[[#This Row],[PRECIO REF $ BOLSA 50 KG CACTU (IVA INC)]]-1,"")</f>
        <v/>
      </c>
      <c r="AM797" s="846" t="e">
        <f>+Tabla1[[#This Row],[DIF $ PRECIO NETO INDUSTRIA vs Neto TUCUMAN (IVA INC)]]*Tabla1[[#This Row],[Q Bolsas Equivalentes 50kg]]</f>
        <v>#VALUE!</v>
      </c>
      <c r="AN797" s="846" t="e">
        <f>Tabla1[[#This Row],[PRECIO REF $ BOLSA 50 KG CACTU (IVA INC)]]*Tabla1[[#This Row],[Q Bolsas Equivalentes 50kg]]</f>
        <v>#VALUE!</v>
      </c>
      <c r="AO797" s="846" t="e">
        <f>+Tabla1[[#This Row],[PRECIO $ BOLSA 50KG  FOB CDO TUC (IVA INC)]]*Tabla1[[#This Row],[Q Bolsas Equivalentes 50kg]]</f>
        <v>#VALUE!</v>
      </c>
      <c r="AP797" s="847"/>
      <c r="AQ797" s="846">
        <v>0</v>
      </c>
      <c r="AR797" s="828"/>
      <c r="AS797" s="849"/>
      <c r="AT797" s="923">
        <f>+Tabla1[[#This Row],[VENTA TOTAL $ (IVA INC) ]]-(SUM(Tabla1[[#This Row],[PENDIENTE DE ENTREGA]:[VALORES COBRADOS]]))</f>
        <v>0</v>
      </c>
      <c r="AU797" s="850" t="e">
        <f>VLOOKUP(Tabla1[[#This Row],[FECHA OC]],'TIPO DE CAMBIO'!A:B,2,TRUE)</f>
        <v>#N/A</v>
      </c>
      <c r="AV797" s="850" t="e">
        <f>+Tabla1[[#This Row],[SUBTOTAL]]/Tabla1[[#This Row],[TIPO DE CAMBIO]]</f>
        <v>#N/A</v>
      </c>
      <c r="AW797" s="851"/>
      <c r="AX797" s="850" t="str">
        <f>IFERROR(Tabla1[[#This Row],[VENTA TOTAL USD A PLAZO EN CLIENTE  (SIN IVA)]]*(1+Tabla1[[#This Row],[% IVA ]]),"")</f>
        <v/>
      </c>
      <c r="AY797" s="850" t="e">
        <f>+Tabla1[[#This Row],[VENTA TOTAL USD A PLAZO EN CLIENTE  (SIN IVA)]]/Tabla1[[#This Row],[KGS]]*1000</f>
        <v>#N/A</v>
      </c>
      <c r="AZ797" s="850" t="e">
        <f>-Tabla1[[#This Row],[COSTO FLETE $ POR BOLSA 5O KG (SIN IVA)]]*20/Tabla1[[#This Row],[TIPO DE CAMBIO]]</f>
        <v>#N/A</v>
      </c>
      <c r="BA797" s="850" t="e">
        <f>+Tabla1[[#This Row],[GASTOS FINANCIEROS $ BOLSA 50 KG (IVA INC)]]*20/Tabla1[[#This Row],[TIPO DE CAMBIO]]</f>
        <v>#VALUE!</v>
      </c>
      <c r="BB797" s="850" t="e">
        <f>+Tabla1[[#This Row],[PRECIO POR TN USD EN CLIENTE A PLAZO (SIN IVA)]]+Tabla1[[#This Row],[COSTO USD FLETE /TN (SIN IVA)]]+Tabla1[[#This Row],[COSTO FINANCIERO USD POR BOLSA 50KG (IVA INC)]]</f>
        <v>#N/A</v>
      </c>
      <c r="BC797" s="828"/>
      <c r="BD797" s="944"/>
    </row>
    <row r="798" spans="1:56" ht="15.75" customHeight="1">
      <c r="A798" s="912">
        <v>46357</v>
      </c>
      <c r="B798" s="853"/>
      <c r="C798" s="792"/>
      <c r="D798" s="829">
        <f>+Tabla1[[#This Row],[FECHA Entrega]]</f>
        <v>0</v>
      </c>
      <c r="E798" s="830"/>
      <c r="F798" s="831"/>
      <c r="G798" s="832"/>
      <c r="H798" s="852"/>
      <c r="I798" s="834"/>
      <c r="J798" s="835"/>
      <c r="K798" s="836">
        <f t="shared" si="160"/>
        <v>0</v>
      </c>
      <c r="L79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98" s="837">
        <f t="shared" si="156"/>
        <v>0</v>
      </c>
      <c r="N798" s="838">
        <f>+Tabla1[[#This Row],[VENTA TOTAL $ (IVA INC) ]]</f>
        <v>0</v>
      </c>
      <c r="O798" s="838">
        <v>0</v>
      </c>
      <c r="P798" s="838">
        <v>0</v>
      </c>
      <c r="Q798" s="839">
        <f>+Tabla1[[#This Row],[VENTA TOTAL $ (IVA INC) ]]-Tabla1[[#This Row],[PENDIENTE DE COBRO]]</f>
        <v>0</v>
      </c>
      <c r="R798" s="840">
        <f>+Tabla1[[#This Row],[FECHA FC]]+Tabla1[[#This Row],[PLAZO ENTREGA VALORES]]</f>
        <v>0</v>
      </c>
      <c r="S798" s="840">
        <f>+Tabla1[[#This Row],[FECHA FC]]+Tabla1[[#This Row],[PLAZO PAGO (DIAS)]]</f>
        <v>0</v>
      </c>
      <c r="T798" s="834">
        <f t="shared" ca="1" si="161"/>
        <v>-46181</v>
      </c>
      <c r="U798" s="831"/>
      <c r="V798" s="831"/>
      <c r="W798" s="841">
        <f t="shared" si="159"/>
        <v>7</v>
      </c>
      <c r="X798" s="830"/>
      <c r="Y798" s="859"/>
      <c r="Z798" s="860">
        <f>Tabla1[[#This Row],[KGS]]/50</f>
        <v>0</v>
      </c>
      <c r="AA79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98" s="844">
        <f>-Tabla1[[#This Row],[COSTO FLETE $ POR BOLSA 5O KG (SIN IVA)]]*1.21-Tabla1[[#This Row],[PRECIO $/ KG A PLAZO EN CLIENTE ( SIN IVA)]]*0.003*1.21*50</f>
        <v>0</v>
      </c>
      <c r="AC798" s="845" t="e">
        <f>SUM(Tabla1[[#This Row],[PRECIO $ BOLSA 50 KG (IVA INC) ]]+Tabla1[[#This Row],[COSTO FLETE $ BOLSA 50 KG (IVA INC)]])</f>
        <v>#VALUE!</v>
      </c>
      <c r="AD798" s="844" t="e">
        <f>-Tabla1[[#This Row],[PRECIO $ BOLSA 50 KG (IVA INC) ]]*(Tabla1[[#This Row],[TASA FINANCIACION MENSUAL]]/365)*Tabla1[[#This Row],[PLAZO ENTREGA VALORES]]</f>
        <v>#VALUE!</v>
      </c>
      <c r="AE798" s="845" t="e">
        <f>SUM(Tabla1[[#This Row],[PRECIO $ BOLSA50 KG  FOB TUCUMAN A PLAZO (IVA INC)]]+Tabla1[[#This Row],[GASTOS FINANCIEROS $ BOLSA 50 KG (IVA INC)]])</f>
        <v>#VALUE!</v>
      </c>
      <c r="AF798" s="828"/>
      <c r="AG798" s="828"/>
      <c r="AH798" s="828"/>
      <c r="AI798" s="828"/>
      <c r="AJ79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98" s="846" t="e">
        <f>SUM(Tabla1[[#This Row],[PRECIO $ BOLSA 50KG  FOB CDO TUC (IVA INC)]]-Tabla1[[#This Row],[PRECIO REF $ BOLSA 50 KG CACTU (IVA INC)]])</f>
        <v>#VALUE!</v>
      </c>
      <c r="AL798" s="847" t="str">
        <f>IFERROR(Tabla1[[#This Row],[PRECIO $ BOLSA 50KG  FOB CDO TUC (IVA INC)]]/Tabla1[[#This Row],[PRECIO REF $ BOLSA 50 KG CACTU (IVA INC)]]-1,"")</f>
        <v/>
      </c>
      <c r="AM798" s="846" t="e">
        <f>+Tabla1[[#This Row],[DIF $ PRECIO NETO INDUSTRIA vs Neto TUCUMAN (IVA INC)]]*Tabla1[[#This Row],[Q Bolsas Equivalentes 50kg]]</f>
        <v>#VALUE!</v>
      </c>
      <c r="AN798" s="846" t="e">
        <f>Tabla1[[#This Row],[PRECIO REF $ BOLSA 50 KG CACTU (IVA INC)]]*Tabla1[[#This Row],[Q Bolsas Equivalentes 50kg]]</f>
        <v>#VALUE!</v>
      </c>
      <c r="AO798" s="846" t="e">
        <f>+Tabla1[[#This Row],[PRECIO $ BOLSA 50KG  FOB CDO TUC (IVA INC)]]*Tabla1[[#This Row],[Q Bolsas Equivalentes 50kg]]</f>
        <v>#VALUE!</v>
      </c>
      <c r="AP798" s="847"/>
      <c r="AQ798" s="846">
        <v>0</v>
      </c>
      <c r="AR798" s="828"/>
      <c r="AS798" s="849"/>
      <c r="AT798" s="923">
        <f>+Tabla1[[#This Row],[VENTA TOTAL $ (IVA INC) ]]-(SUM(Tabla1[[#This Row],[PENDIENTE DE ENTREGA]:[VALORES COBRADOS]]))</f>
        <v>0</v>
      </c>
      <c r="AU798" s="850" t="e">
        <f>VLOOKUP(Tabla1[[#This Row],[FECHA OC]],'TIPO DE CAMBIO'!A:B,2,TRUE)</f>
        <v>#N/A</v>
      </c>
      <c r="AV798" s="850" t="e">
        <f>+Tabla1[[#This Row],[SUBTOTAL]]/Tabla1[[#This Row],[TIPO DE CAMBIO]]</f>
        <v>#N/A</v>
      </c>
      <c r="AW798" s="851"/>
      <c r="AX798" s="850" t="str">
        <f>IFERROR(Tabla1[[#This Row],[VENTA TOTAL USD A PLAZO EN CLIENTE  (SIN IVA)]]*(1+Tabla1[[#This Row],[% IVA ]]),"")</f>
        <v/>
      </c>
      <c r="AY798" s="850" t="e">
        <f>+Tabla1[[#This Row],[VENTA TOTAL USD A PLAZO EN CLIENTE  (SIN IVA)]]/Tabla1[[#This Row],[KGS]]*1000</f>
        <v>#N/A</v>
      </c>
      <c r="AZ798" s="850" t="e">
        <f>-Tabla1[[#This Row],[COSTO FLETE $ POR BOLSA 5O KG (SIN IVA)]]*20/Tabla1[[#This Row],[TIPO DE CAMBIO]]</f>
        <v>#N/A</v>
      </c>
      <c r="BA798" s="850" t="e">
        <f>+Tabla1[[#This Row],[GASTOS FINANCIEROS $ BOLSA 50 KG (IVA INC)]]*20/Tabla1[[#This Row],[TIPO DE CAMBIO]]</f>
        <v>#VALUE!</v>
      </c>
      <c r="BB798" s="850" t="e">
        <f>+Tabla1[[#This Row],[PRECIO POR TN USD EN CLIENTE A PLAZO (SIN IVA)]]+Tabla1[[#This Row],[COSTO USD FLETE /TN (SIN IVA)]]+Tabla1[[#This Row],[COSTO FINANCIERO USD POR BOLSA 50KG (IVA INC)]]</f>
        <v>#N/A</v>
      </c>
      <c r="BC798" s="828"/>
      <c r="BD798" s="944"/>
    </row>
    <row r="799" spans="1:56" ht="15.75" customHeight="1">
      <c r="A799" s="912">
        <v>46357</v>
      </c>
      <c r="B799" s="853"/>
      <c r="C799" s="792"/>
      <c r="D799" s="829">
        <f>+Tabla1[[#This Row],[FECHA Entrega]]</f>
        <v>0</v>
      </c>
      <c r="E799" s="830"/>
      <c r="F799" s="831"/>
      <c r="G799" s="832"/>
      <c r="H799" s="852"/>
      <c r="I799" s="834"/>
      <c r="J799" s="835"/>
      <c r="K799" s="836">
        <f t="shared" si="160"/>
        <v>0</v>
      </c>
      <c r="L79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799" s="837">
        <f t="shared" si="156"/>
        <v>0</v>
      </c>
      <c r="N799" s="838">
        <f>+Tabla1[[#This Row],[VENTA TOTAL $ (IVA INC) ]]</f>
        <v>0</v>
      </c>
      <c r="O799" s="838">
        <v>0</v>
      </c>
      <c r="P799" s="838">
        <v>0</v>
      </c>
      <c r="Q799" s="839">
        <f>+Tabla1[[#This Row],[VENTA TOTAL $ (IVA INC) ]]-Tabla1[[#This Row],[PENDIENTE DE COBRO]]</f>
        <v>0</v>
      </c>
      <c r="R799" s="840">
        <f>+Tabla1[[#This Row],[FECHA FC]]+Tabla1[[#This Row],[PLAZO ENTREGA VALORES]]</f>
        <v>0</v>
      </c>
      <c r="S799" s="840">
        <f>+Tabla1[[#This Row],[FECHA FC]]+Tabla1[[#This Row],[PLAZO PAGO (DIAS)]]</f>
        <v>0</v>
      </c>
      <c r="T799" s="834">
        <f t="shared" ca="1" si="161"/>
        <v>-46181</v>
      </c>
      <c r="U799" s="831"/>
      <c r="V799" s="831"/>
      <c r="W799" s="841">
        <f t="shared" si="159"/>
        <v>7</v>
      </c>
      <c r="X799" s="830"/>
      <c r="Y799" s="859"/>
      <c r="Z799" s="860">
        <f>Tabla1[[#This Row],[KGS]]/50</f>
        <v>0</v>
      </c>
      <c r="AA79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799" s="844">
        <f>-Tabla1[[#This Row],[COSTO FLETE $ POR BOLSA 5O KG (SIN IVA)]]*1.21-Tabla1[[#This Row],[PRECIO $/ KG A PLAZO EN CLIENTE ( SIN IVA)]]*0.003*1.21*50</f>
        <v>0</v>
      </c>
      <c r="AC799" s="845" t="e">
        <f>SUM(Tabla1[[#This Row],[PRECIO $ BOLSA 50 KG (IVA INC) ]]+Tabla1[[#This Row],[COSTO FLETE $ BOLSA 50 KG (IVA INC)]])</f>
        <v>#VALUE!</v>
      </c>
      <c r="AD799" s="844" t="e">
        <f>-Tabla1[[#This Row],[PRECIO $ BOLSA 50 KG (IVA INC) ]]*(Tabla1[[#This Row],[TASA FINANCIACION MENSUAL]]/365)*Tabla1[[#This Row],[PLAZO ENTREGA VALORES]]</f>
        <v>#VALUE!</v>
      </c>
      <c r="AE799" s="845" t="e">
        <f>SUM(Tabla1[[#This Row],[PRECIO $ BOLSA50 KG  FOB TUCUMAN A PLAZO (IVA INC)]]+Tabla1[[#This Row],[GASTOS FINANCIEROS $ BOLSA 50 KG (IVA INC)]])</f>
        <v>#VALUE!</v>
      </c>
      <c r="AF799" s="828"/>
      <c r="AG799" s="828"/>
      <c r="AH799" s="828"/>
      <c r="AI799" s="828"/>
      <c r="AJ79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799" s="846" t="e">
        <f>SUM(Tabla1[[#This Row],[PRECIO $ BOLSA 50KG  FOB CDO TUC (IVA INC)]]-Tabla1[[#This Row],[PRECIO REF $ BOLSA 50 KG CACTU (IVA INC)]])</f>
        <v>#VALUE!</v>
      </c>
      <c r="AL799" s="847" t="str">
        <f>IFERROR(Tabla1[[#This Row],[PRECIO $ BOLSA 50KG  FOB CDO TUC (IVA INC)]]/Tabla1[[#This Row],[PRECIO REF $ BOLSA 50 KG CACTU (IVA INC)]]-1,"")</f>
        <v/>
      </c>
      <c r="AM799" s="846" t="e">
        <f>+Tabla1[[#This Row],[DIF $ PRECIO NETO INDUSTRIA vs Neto TUCUMAN (IVA INC)]]*Tabla1[[#This Row],[Q Bolsas Equivalentes 50kg]]</f>
        <v>#VALUE!</v>
      </c>
      <c r="AN799" s="846" t="e">
        <f>Tabla1[[#This Row],[PRECIO REF $ BOLSA 50 KG CACTU (IVA INC)]]*Tabla1[[#This Row],[Q Bolsas Equivalentes 50kg]]</f>
        <v>#VALUE!</v>
      </c>
      <c r="AO799" s="846" t="e">
        <f>+Tabla1[[#This Row],[PRECIO $ BOLSA 50KG  FOB CDO TUC (IVA INC)]]*Tabla1[[#This Row],[Q Bolsas Equivalentes 50kg]]</f>
        <v>#VALUE!</v>
      </c>
      <c r="AP799" s="847"/>
      <c r="AQ799" s="846">
        <v>0</v>
      </c>
      <c r="AR799" s="828"/>
      <c r="AS799" s="849"/>
      <c r="AT799" s="923">
        <f>+Tabla1[[#This Row],[VENTA TOTAL $ (IVA INC) ]]-(SUM(Tabla1[[#This Row],[PENDIENTE DE ENTREGA]:[VALORES COBRADOS]]))</f>
        <v>0</v>
      </c>
      <c r="AU799" s="850" t="e">
        <f>VLOOKUP(Tabla1[[#This Row],[FECHA OC]],'TIPO DE CAMBIO'!A:B,2,TRUE)</f>
        <v>#N/A</v>
      </c>
      <c r="AV799" s="850" t="e">
        <f>+Tabla1[[#This Row],[SUBTOTAL]]/Tabla1[[#This Row],[TIPO DE CAMBIO]]</f>
        <v>#N/A</v>
      </c>
      <c r="AW799" s="851"/>
      <c r="AX799" s="850" t="str">
        <f>IFERROR(Tabla1[[#This Row],[VENTA TOTAL USD A PLAZO EN CLIENTE  (SIN IVA)]]*(1+Tabla1[[#This Row],[% IVA ]]),"")</f>
        <v/>
      </c>
      <c r="AY799" s="850" t="e">
        <f>+Tabla1[[#This Row],[VENTA TOTAL USD A PLAZO EN CLIENTE  (SIN IVA)]]/Tabla1[[#This Row],[KGS]]*1000</f>
        <v>#N/A</v>
      </c>
      <c r="AZ799" s="850" t="e">
        <f>-Tabla1[[#This Row],[COSTO FLETE $ POR BOLSA 5O KG (SIN IVA)]]*20/Tabla1[[#This Row],[TIPO DE CAMBIO]]</f>
        <v>#N/A</v>
      </c>
      <c r="BA799" s="850" t="e">
        <f>+Tabla1[[#This Row],[GASTOS FINANCIEROS $ BOLSA 50 KG (IVA INC)]]*20/Tabla1[[#This Row],[TIPO DE CAMBIO]]</f>
        <v>#VALUE!</v>
      </c>
      <c r="BB799" s="850" t="e">
        <f>+Tabla1[[#This Row],[PRECIO POR TN USD EN CLIENTE A PLAZO (SIN IVA)]]+Tabla1[[#This Row],[COSTO USD FLETE /TN (SIN IVA)]]+Tabla1[[#This Row],[COSTO FINANCIERO USD POR BOLSA 50KG (IVA INC)]]</f>
        <v>#N/A</v>
      </c>
      <c r="BC799" s="828"/>
      <c r="BD799" s="944"/>
    </row>
    <row r="800" spans="1:56" ht="15.75" customHeight="1">
      <c r="A800" s="912">
        <v>46357</v>
      </c>
      <c r="B800" s="863"/>
      <c r="C800" s="792"/>
      <c r="D800" s="829">
        <f>+Tabla1[[#This Row],[FECHA Entrega]]</f>
        <v>0</v>
      </c>
      <c r="E800" s="830"/>
      <c r="F800" s="831"/>
      <c r="G800" s="832"/>
      <c r="H800" s="852"/>
      <c r="I800" s="834"/>
      <c r="J800" s="835"/>
      <c r="K800" s="836">
        <f t="shared" si="160"/>
        <v>0</v>
      </c>
      <c r="L80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00" s="837">
        <f t="shared" si="156"/>
        <v>0</v>
      </c>
      <c r="N800" s="838">
        <f>+Tabla1[[#This Row],[VENTA TOTAL $ (IVA INC) ]]</f>
        <v>0</v>
      </c>
      <c r="O800" s="838">
        <v>0</v>
      </c>
      <c r="P800" s="838">
        <v>0</v>
      </c>
      <c r="Q800" s="839">
        <f>+Tabla1[[#This Row],[VENTA TOTAL $ (IVA INC) ]]-Tabla1[[#This Row],[PENDIENTE DE COBRO]]</f>
        <v>0</v>
      </c>
      <c r="R800" s="840">
        <f>+Tabla1[[#This Row],[FECHA FC]]+Tabla1[[#This Row],[PLAZO ENTREGA VALORES]]</f>
        <v>0</v>
      </c>
      <c r="S800" s="840">
        <f>+Tabla1[[#This Row],[FECHA FC]]+Tabla1[[#This Row],[PLAZO PAGO (DIAS)]]</f>
        <v>0</v>
      </c>
      <c r="T800" s="834">
        <f t="shared" ca="1" si="161"/>
        <v>-46181</v>
      </c>
      <c r="U800" s="831"/>
      <c r="V800" s="831"/>
      <c r="W800" s="841">
        <f>+Tabla1[[#This Row],[FECHA VTO VALORES]]+7</f>
        <v>7</v>
      </c>
      <c r="X800" s="830"/>
      <c r="Y800" s="859"/>
      <c r="Z800" s="860">
        <f>Tabla1[[#This Row],[KGS]]/50</f>
        <v>0</v>
      </c>
      <c r="AA80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00" s="844">
        <f>-Tabla1[[#This Row],[COSTO FLETE $ POR BOLSA 5O KG (SIN IVA)]]*1.21-Tabla1[[#This Row],[PRECIO $/ KG A PLAZO EN CLIENTE ( SIN IVA)]]*0.003*1.21*50</f>
        <v>0</v>
      </c>
      <c r="AC800" s="845" t="e">
        <f>SUM(Tabla1[[#This Row],[PRECIO $ BOLSA 50 KG (IVA INC) ]]+Tabla1[[#This Row],[COSTO FLETE $ BOLSA 50 KG (IVA INC)]])</f>
        <v>#VALUE!</v>
      </c>
      <c r="AD800" s="844" t="e">
        <f>-Tabla1[[#This Row],[PRECIO $ BOLSA 50 KG (IVA INC) ]]*(Tabla1[[#This Row],[TASA FINANCIACION MENSUAL]]/365)*Tabla1[[#This Row],[PLAZO ENTREGA VALORES]]</f>
        <v>#VALUE!</v>
      </c>
      <c r="AE800" s="845" t="e">
        <f>SUM(Tabla1[[#This Row],[PRECIO $ BOLSA50 KG  FOB TUCUMAN A PLAZO (IVA INC)]]+Tabla1[[#This Row],[GASTOS FINANCIEROS $ BOLSA 50 KG (IVA INC)]])</f>
        <v>#VALUE!</v>
      </c>
      <c r="AF800" s="828"/>
      <c r="AG800" s="828"/>
      <c r="AH800" s="828"/>
      <c r="AI800" s="828"/>
      <c r="AJ80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00" s="846" t="e">
        <f>SUM(Tabla1[[#This Row],[PRECIO $ BOLSA 50KG  FOB CDO TUC (IVA INC)]]-Tabla1[[#This Row],[PRECIO REF $ BOLSA 50 KG CACTU (IVA INC)]])</f>
        <v>#VALUE!</v>
      </c>
      <c r="AL800" s="847" t="str">
        <f>IFERROR(Tabla1[[#This Row],[PRECIO $ BOLSA 50KG  FOB CDO TUC (IVA INC)]]/Tabla1[[#This Row],[PRECIO REF $ BOLSA 50 KG CACTU (IVA INC)]]-1,"")</f>
        <v/>
      </c>
      <c r="AM800" s="846" t="e">
        <f>+Tabla1[[#This Row],[DIF $ PRECIO NETO INDUSTRIA vs Neto TUCUMAN (IVA INC)]]*Tabla1[[#This Row],[Q Bolsas Equivalentes 50kg]]</f>
        <v>#VALUE!</v>
      </c>
      <c r="AN800" s="846" t="e">
        <f>Tabla1[[#This Row],[PRECIO REF $ BOLSA 50 KG CACTU (IVA INC)]]*Tabla1[[#This Row],[Q Bolsas Equivalentes 50kg]]</f>
        <v>#VALUE!</v>
      </c>
      <c r="AO800" s="846" t="e">
        <f>+Tabla1[[#This Row],[PRECIO $ BOLSA 50KG  FOB CDO TUC (IVA INC)]]*Tabla1[[#This Row],[Q Bolsas Equivalentes 50kg]]</f>
        <v>#VALUE!</v>
      </c>
      <c r="AP800" s="847"/>
      <c r="AQ800" s="846">
        <v>0</v>
      </c>
      <c r="AR800" s="828"/>
      <c r="AS800" s="849"/>
      <c r="AT800" s="923">
        <f>+Tabla1[[#This Row],[VENTA TOTAL $ (IVA INC) ]]-(SUM(Tabla1[[#This Row],[PENDIENTE DE ENTREGA]:[VALORES COBRADOS]]))</f>
        <v>0</v>
      </c>
      <c r="AU800" s="850" t="e">
        <f>VLOOKUP(Tabla1[[#This Row],[FECHA OC]],'TIPO DE CAMBIO'!A:B,2,TRUE)</f>
        <v>#N/A</v>
      </c>
      <c r="AV800" s="850" t="e">
        <f>+Tabla1[[#This Row],[SUBTOTAL]]/Tabla1[[#This Row],[TIPO DE CAMBIO]]</f>
        <v>#N/A</v>
      </c>
      <c r="AW800" s="851"/>
      <c r="AX800" s="850" t="str">
        <f>IFERROR(Tabla1[[#This Row],[VENTA TOTAL USD A PLAZO EN CLIENTE  (SIN IVA)]]*(1+Tabla1[[#This Row],[% IVA ]]),"")</f>
        <v/>
      </c>
      <c r="AY800" s="850" t="e">
        <f>+Tabla1[[#This Row],[VENTA TOTAL USD A PLAZO EN CLIENTE  (SIN IVA)]]/Tabla1[[#This Row],[KGS]]*1000</f>
        <v>#N/A</v>
      </c>
      <c r="AZ800" s="850" t="e">
        <f>-Tabla1[[#This Row],[COSTO FLETE $ POR BOLSA 5O KG (SIN IVA)]]*20/Tabla1[[#This Row],[TIPO DE CAMBIO]]</f>
        <v>#N/A</v>
      </c>
      <c r="BA800" s="850" t="e">
        <f>+Tabla1[[#This Row],[GASTOS FINANCIEROS $ BOLSA 50 KG (IVA INC)]]*20/Tabla1[[#This Row],[TIPO DE CAMBIO]]</f>
        <v>#VALUE!</v>
      </c>
      <c r="BB800" s="850" t="e">
        <f>+Tabla1[[#This Row],[PRECIO POR TN USD EN CLIENTE A PLAZO (SIN IVA)]]+Tabla1[[#This Row],[COSTO USD FLETE /TN (SIN IVA)]]+Tabla1[[#This Row],[COSTO FINANCIERO USD POR BOLSA 50KG (IVA INC)]]</f>
        <v>#N/A</v>
      </c>
      <c r="BC800" s="828"/>
      <c r="BD800" s="944"/>
    </row>
    <row r="801" spans="1:56" ht="15.75" customHeight="1">
      <c r="A801" s="912">
        <v>46357</v>
      </c>
      <c r="B801" s="853"/>
      <c r="C801" s="792"/>
      <c r="D801" s="829">
        <f>+Tabla1[[#This Row],[FECHA Entrega]]</f>
        <v>0</v>
      </c>
      <c r="E801" s="830"/>
      <c r="F801" s="831"/>
      <c r="G801" s="832"/>
      <c r="H801" s="852"/>
      <c r="I801" s="834"/>
      <c r="J801" s="835"/>
      <c r="K801" s="836">
        <f t="shared" si="160"/>
        <v>0</v>
      </c>
      <c r="L80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01" s="837">
        <f t="shared" ref="M801:M864" si="162">SUM(K801:L801)</f>
        <v>0</v>
      </c>
      <c r="N801" s="838">
        <f>+Tabla1[[#This Row],[VENTA TOTAL $ (IVA INC) ]]</f>
        <v>0</v>
      </c>
      <c r="O801" s="838">
        <v>0</v>
      </c>
      <c r="P801" s="838">
        <v>0</v>
      </c>
      <c r="Q801" s="839">
        <f>+Tabla1[[#This Row],[VENTA TOTAL $ (IVA INC) ]]-Tabla1[[#This Row],[PENDIENTE DE COBRO]]</f>
        <v>0</v>
      </c>
      <c r="R801" s="840">
        <f>+Tabla1[[#This Row],[FECHA FC]]+Tabla1[[#This Row],[PLAZO ENTREGA VALORES]]</f>
        <v>0</v>
      </c>
      <c r="S801" s="840">
        <f>+Tabla1[[#This Row],[FECHA FC]]+Tabla1[[#This Row],[PLAZO PAGO (DIAS)]]</f>
        <v>0</v>
      </c>
      <c r="T801" s="834">
        <f t="shared" ca="1" si="161"/>
        <v>-46181</v>
      </c>
      <c r="U801" s="831"/>
      <c r="V801" s="831"/>
      <c r="W801" s="841">
        <f>+S801+7</f>
        <v>7</v>
      </c>
      <c r="X801" s="830"/>
      <c r="Y801" s="859"/>
      <c r="Z801" s="860">
        <f>Tabla1[[#This Row],[KGS]]/50</f>
        <v>0</v>
      </c>
      <c r="AA80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01" s="844">
        <f>-Tabla1[[#This Row],[COSTO FLETE $ POR BOLSA 5O KG (SIN IVA)]]*1.21-Tabla1[[#This Row],[PRECIO $/ KG A PLAZO EN CLIENTE ( SIN IVA)]]*0.003*1.21*50</f>
        <v>0</v>
      </c>
      <c r="AC801" s="845" t="e">
        <f>SUM(Tabla1[[#This Row],[PRECIO $ BOLSA 50 KG (IVA INC) ]]+Tabla1[[#This Row],[COSTO FLETE $ BOLSA 50 KG (IVA INC)]])</f>
        <v>#VALUE!</v>
      </c>
      <c r="AD801" s="844" t="e">
        <f>-Tabla1[[#This Row],[PRECIO $ BOLSA 50 KG (IVA INC) ]]*(Tabla1[[#This Row],[TASA FINANCIACION MENSUAL]]/365)*Tabla1[[#This Row],[PLAZO ENTREGA VALORES]]</f>
        <v>#VALUE!</v>
      </c>
      <c r="AE801" s="845" t="e">
        <f>SUM(Tabla1[[#This Row],[PRECIO $ BOLSA50 KG  FOB TUCUMAN A PLAZO (IVA INC)]]+Tabla1[[#This Row],[GASTOS FINANCIEROS $ BOLSA 50 KG (IVA INC)]])</f>
        <v>#VALUE!</v>
      </c>
      <c r="AF801" s="828"/>
      <c r="AG801" s="828"/>
      <c r="AH801" s="828"/>
      <c r="AI801" s="828"/>
      <c r="AJ80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01" s="846" t="e">
        <f>SUM(Tabla1[[#This Row],[PRECIO $ BOLSA 50KG  FOB CDO TUC (IVA INC)]]-Tabla1[[#This Row],[PRECIO REF $ BOLSA 50 KG CACTU (IVA INC)]])</f>
        <v>#VALUE!</v>
      </c>
      <c r="AL801" s="847" t="str">
        <f>IFERROR(Tabla1[[#This Row],[PRECIO $ BOLSA 50KG  FOB CDO TUC (IVA INC)]]/Tabla1[[#This Row],[PRECIO REF $ BOLSA 50 KG CACTU (IVA INC)]]-1,"")</f>
        <v/>
      </c>
      <c r="AM801" s="846" t="e">
        <f>+Tabla1[[#This Row],[DIF $ PRECIO NETO INDUSTRIA vs Neto TUCUMAN (IVA INC)]]*Tabla1[[#This Row],[Q Bolsas Equivalentes 50kg]]</f>
        <v>#VALUE!</v>
      </c>
      <c r="AN801" s="846" t="e">
        <f>Tabla1[[#This Row],[PRECIO REF $ BOLSA 50 KG CACTU (IVA INC)]]*Tabla1[[#This Row],[Q Bolsas Equivalentes 50kg]]</f>
        <v>#VALUE!</v>
      </c>
      <c r="AO801" s="846" t="e">
        <f>+Tabla1[[#This Row],[PRECIO $ BOLSA 50KG  FOB CDO TUC (IVA INC)]]*Tabla1[[#This Row],[Q Bolsas Equivalentes 50kg]]</f>
        <v>#VALUE!</v>
      </c>
      <c r="AP801" s="847"/>
      <c r="AQ801" s="846">
        <v>0</v>
      </c>
      <c r="AR801" s="828"/>
      <c r="AS801" s="849"/>
      <c r="AT801" s="923">
        <f>+Tabla1[[#This Row],[VENTA TOTAL $ (IVA INC) ]]-(SUM(Tabla1[[#This Row],[PENDIENTE DE ENTREGA]:[VALORES COBRADOS]]))</f>
        <v>0</v>
      </c>
      <c r="AU801" s="850" t="e">
        <f>VLOOKUP(Tabla1[[#This Row],[FECHA OC]],'TIPO DE CAMBIO'!A:B,2,TRUE)</f>
        <v>#N/A</v>
      </c>
      <c r="AV801" s="850" t="e">
        <f>+Tabla1[[#This Row],[SUBTOTAL]]/Tabla1[[#This Row],[TIPO DE CAMBIO]]</f>
        <v>#N/A</v>
      </c>
      <c r="AW801" s="851"/>
      <c r="AX801" s="850" t="str">
        <f>IFERROR(Tabla1[[#This Row],[VENTA TOTAL USD A PLAZO EN CLIENTE  (SIN IVA)]]*(1+Tabla1[[#This Row],[% IVA ]]),"")</f>
        <v/>
      </c>
      <c r="AY801" s="850" t="e">
        <f>+Tabla1[[#This Row],[VENTA TOTAL USD A PLAZO EN CLIENTE  (SIN IVA)]]/Tabla1[[#This Row],[KGS]]*1000</f>
        <v>#N/A</v>
      </c>
      <c r="AZ801" s="850" t="e">
        <f>-Tabla1[[#This Row],[COSTO FLETE $ POR BOLSA 5O KG (SIN IVA)]]*20/Tabla1[[#This Row],[TIPO DE CAMBIO]]</f>
        <v>#N/A</v>
      </c>
      <c r="BA801" s="850" t="e">
        <f>+Tabla1[[#This Row],[GASTOS FINANCIEROS $ BOLSA 50 KG (IVA INC)]]*20/Tabla1[[#This Row],[TIPO DE CAMBIO]]</f>
        <v>#VALUE!</v>
      </c>
      <c r="BB801" s="850" t="e">
        <f>+Tabla1[[#This Row],[PRECIO POR TN USD EN CLIENTE A PLAZO (SIN IVA)]]+Tabla1[[#This Row],[COSTO USD FLETE /TN (SIN IVA)]]+Tabla1[[#This Row],[COSTO FINANCIERO USD POR BOLSA 50KG (IVA INC)]]</f>
        <v>#N/A</v>
      </c>
      <c r="BC801" s="828"/>
      <c r="BD801" s="944"/>
    </row>
    <row r="802" spans="1:56" ht="15.75" customHeight="1">
      <c r="A802" s="912">
        <v>46357</v>
      </c>
      <c r="B802" s="853"/>
      <c r="C802" s="792"/>
      <c r="D802" s="829">
        <f>+Tabla1[[#This Row],[FECHA Entrega]]</f>
        <v>0</v>
      </c>
      <c r="E802" s="830"/>
      <c r="F802" s="831"/>
      <c r="G802" s="832"/>
      <c r="H802" s="852"/>
      <c r="I802" s="834"/>
      <c r="J802" s="835"/>
      <c r="K802" s="836">
        <f t="shared" si="160"/>
        <v>0</v>
      </c>
      <c r="L80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02" s="837">
        <f t="shared" si="162"/>
        <v>0</v>
      </c>
      <c r="N802" s="838">
        <f>+Tabla1[[#This Row],[VENTA TOTAL $ (IVA INC) ]]</f>
        <v>0</v>
      </c>
      <c r="O802" s="838">
        <v>0</v>
      </c>
      <c r="P802" s="838">
        <v>0</v>
      </c>
      <c r="Q802" s="839">
        <f>+Tabla1[[#This Row],[VENTA TOTAL $ (IVA INC) ]]</f>
        <v>0</v>
      </c>
      <c r="R802" s="840">
        <f>+Tabla1[[#This Row],[FECHA FC]]+Tabla1[[#This Row],[PLAZO ENTREGA VALORES]]</f>
        <v>0</v>
      </c>
      <c r="S802" s="840">
        <f>+Tabla1[[#This Row],[FECHA FC]]+Tabla1[[#This Row],[PLAZO PAGO (DIAS)]]</f>
        <v>0</v>
      </c>
      <c r="T802" s="834">
        <f t="shared" ca="1" si="161"/>
        <v>-46181</v>
      </c>
      <c r="U802" s="831"/>
      <c r="V802" s="831"/>
      <c r="W802" s="841">
        <f>+S802+7</f>
        <v>7</v>
      </c>
      <c r="X802" s="830"/>
      <c r="Y802" s="859"/>
      <c r="Z802" s="860">
        <f>Tabla1[[#This Row],[KGS]]/50</f>
        <v>0</v>
      </c>
      <c r="AA80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02" s="844">
        <f>-Tabla1[[#This Row],[COSTO FLETE $ POR BOLSA 5O KG (SIN IVA)]]*1.21-Tabla1[[#This Row],[PRECIO $/ KG A PLAZO EN CLIENTE ( SIN IVA)]]*0.003*1.21*50</f>
        <v>0</v>
      </c>
      <c r="AC802" s="845" t="e">
        <f>SUM(Tabla1[[#This Row],[PRECIO $ BOLSA 50 KG (IVA INC) ]]+Tabla1[[#This Row],[COSTO FLETE $ BOLSA 50 KG (IVA INC)]])</f>
        <v>#VALUE!</v>
      </c>
      <c r="AD802" s="844" t="e">
        <f>-Tabla1[[#This Row],[PRECIO $ BOLSA 50 KG (IVA INC) ]]*(Tabla1[[#This Row],[TASA FINANCIACION MENSUAL]]/365)*Tabla1[[#This Row],[PLAZO ENTREGA VALORES]]</f>
        <v>#VALUE!</v>
      </c>
      <c r="AE802" s="845" t="e">
        <f>SUM(Tabla1[[#This Row],[PRECIO $ BOLSA50 KG  FOB TUCUMAN A PLAZO (IVA INC)]]+Tabla1[[#This Row],[GASTOS FINANCIEROS $ BOLSA 50 KG (IVA INC)]])</f>
        <v>#VALUE!</v>
      </c>
      <c r="AF802" s="828"/>
      <c r="AG802" s="828"/>
      <c r="AH802" s="828"/>
      <c r="AI802" s="828"/>
      <c r="AJ80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02" s="846" t="e">
        <f>SUM(Tabla1[[#This Row],[PRECIO $ BOLSA 50KG  FOB CDO TUC (IVA INC)]]-Tabla1[[#This Row],[PRECIO REF $ BOLSA 50 KG CACTU (IVA INC)]])</f>
        <v>#VALUE!</v>
      </c>
      <c r="AL802" s="847" t="str">
        <f>IFERROR(Tabla1[[#This Row],[PRECIO $ BOLSA 50KG  FOB CDO TUC (IVA INC)]]/Tabla1[[#This Row],[PRECIO REF $ BOLSA 50 KG CACTU (IVA INC)]]-1,"")</f>
        <v/>
      </c>
      <c r="AM802" s="846" t="e">
        <f>+Tabla1[[#This Row],[DIF $ PRECIO NETO INDUSTRIA vs Neto TUCUMAN (IVA INC)]]*Tabla1[[#This Row],[Q Bolsas Equivalentes 50kg]]</f>
        <v>#VALUE!</v>
      </c>
      <c r="AN802" s="846" t="e">
        <f>Tabla1[[#This Row],[PRECIO REF $ BOLSA 50 KG CACTU (IVA INC)]]*Tabla1[[#This Row],[Q Bolsas Equivalentes 50kg]]</f>
        <v>#VALUE!</v>
      </c>
      <c r="AO802" s="846" t="e">
        <f>+Tabla1[[#This Row],[PRECIO $ BOLSA 50KG  FOB CDO TUC (IVA INC)]]*Tabla1[[#This Row],[Q Bolsas Equivalentes 50kg]]</f>
        <v>#VALUE!</v>
      </c>
      <c r="AP802" s="847"/>
      <c r="AQ802" s="846">
        <v>0</v>
      </c>
      <c r="AR802" s="828"/>
      <c r="AS802" s="849"/>
      <c r="AT802" s="923">
        <f>+Tabla1[[#This Row],[VENTA TOTAL $ (IVA INC) ]]-(SUM(Tabla1[[#This Row],[PENDIENTE DE ENTREGA]:[VALORES COBRADOS]]))</f>
        <v>0</v>
      </c>
      <c r="AU802" s="850" t="e">
        <f>VLOOKUP(Tabla1[[#This Row],[FECHA OC]],'TIPO DE CAMBIO'!A:B,2,TRUE)</f>
        <v>#N/A</v>
      </c>
      <c r="AV802" s="850" t="e">
        <f>+Tabla1[[#This Row],[SUBTOTAL]]/Tabla1[[#This Row],[TIPO DE CAMBIO]]</f>
        <v>#N/A</v>
      </c>
      <c r="AW802" s="851"/>
      <c r="AX802" s="850" t="str">
        <f>IFERROR(Tabla1[[#This Row],[VENTA TOTAL USD A PLAZO EN CLIENTE  (SIN IVA)]]*(1+Tabla1[[#This Row],[% IVA ]]),"")</f>
        <v/>
      </c>
      <c r="AY802" s="850" t="e">
        <f>+Tabla1[[#This Row],[VENTA TOTAL USD A PLAZO EN CLIENTE  (SIN IVA)]]/Tabla1[[#This Row],[KGS]]*1000</f>
        <v>#N/A</v>
      </c>
      <c r="AZ802" s="850" t="e">
        <f>-Tabla1[[#This Row],[COSTO FLETE $ POR BOLSA 5O KG (SIN IVA)]]*20/Tabla1[[#This Row],[TIPO DE CAMBIO]]</f>
        <v>#N/A</v>
      </c>
      <c r="BA802" s="850" t="e">
        <f>+Tabla1[[#This Row],[GASTOS FINANCIEROS $ BOLSA 50 KG (IVA INC)]]*20/Tabla1[[#This Row],[TIPO DE CAMBIO]]</f>
        <v>#VALUE!</v>
      </c>
      <c r="BB802" s="850" t="e">
        <f>+Tabla1[[#This Row],[PRECIO POR TN USD EN CLIENTE A PLAZO (SIN IVA)]]+Tabla1[[#This Row],[COSTO USD FLETE /TN (SIN IVA)]]+Tabla1[[#This Row],[COSTO FINANCIERO USD POR BOLSA 50KG (IVA INC)]]</f>
        <v>#N/A</v>
      </c>
      <c r="BC802" s="828"/>
      <c r="BD802" s="944"/>
    </row>
    <row r="803" spans="1:56" ht="15.75" customHeight="1">
      <c r="A803" s="912">
        <v>46357</v>
      </c>
      <c r="B803" s="828"/>
      <c r="C803" s="792"/>
      <c r="D803" s="829">
        <f>+Tabla1[[#This Row],[FECHA Entrega]]</f>
        <v>0</v>
      </c>
      <c r="E803" s="830"/>
      <c r="F803" s="831"/>
      <c r="G803" s="832"/>
      <c r="H803" s="852"/>
      <c r="I803" s="834"/>
      <c r="J803" s="835"/>
      <c r="K803" s="836">
        <f t="shared" si="160"/>
        <v>0</v>
      </c>
      <c r="L80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03" s="837">
        <f t="shared" si="162"/>
        <v>0</v>
      </c>
      <c r="N803" s="838">
        <f>+Tabla1[[#This Row],[VENTA TOTAL $ (IVA INC) ]]</f>
        <v>0</v>
      </c>
      <c r="O803" s="838">
        <v>0</v>
      </c>
      <c r="P803" s="838">
        <v>0</v>
      </c>
      <c r="Q803" s="839">
        <f>+Tabla1[[#This Row],[VENTA TOTAL $ (IVA INC) ]]</f>
        <v>0</v>
      </c>
      <c r="R803" s="840">
        <f>+Tabla1[[#This Row],[FECHA FC]]+Tabla1[[#This Row],[PLAZO ENTREGA VALORES]]</f>
        <v>0</v>
      </c>
      <c r="S803" s="840">
        <f>+Tabla1[[#This Row],[FECHA FC]]+Tabla1[[#This Row],[PLAZO PAGO (DIAS)]]</f>
        <v>0</v>
      </c>
      <c r="T803" s="834">
        <f t="shared" ca="1" si="161"/>
        <v>-46181</v>
      </c>
      <c r="U803" s="831"/>
      <c r="V803" s="831"/>
      <c r="W803" s="841">
        <f>+Tabla1[[#This Row],[FECHA VTO VALORES]]+7</f>
        <v>7</v>
      </c>
      <c r="X803" s="830"/>
      <c r="Y803" s="859"/>
      <c r="Z803" s="860">
        <f>Tabla1[[#This Row],[KGS]]/50</f>
        <v>0</v>
      </c>
      <c r="AA80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03" s="844">
        <f>-Tabla1[[#This Row],[COSTO FLETE $ POR BOLSA 5O KG (SIN IVA)]]*1.21-Tabla1[[#This Row],[PRECIO $/ KG A PLAZO EN CLIENTE ( SIN IVA)]]*0.003*1.21*50</f>
        <v>0</v>
      </c>
      <c r="AC803" s="845" t="e">
        <f>SUM(Tabla1[[#This Row],[PRECIO $ BOLSA 50 KG (IVA INC) ]]+Tabla1[[#This Row],[COSTO FLETE $ BOLSA 50 KG (IVA INC)]])</f>
        <v>#VALUE!</v>
      </c>
      <c r="AD803" s="844" t="e">
        <f>-Tabla1[[#This Row],[PRECIO $ BOLSA 50 KG (IVA INC) ]]*(Tabla1[[#This Row],[TASA FINANCIACION MENSUAL]]/365)*Tabla1[[#This Row],[PLAZO ENTREGA VALORES]]</f>
        <v>#VALUE!</v>
      </c>
      <c r="AE803" s="845" t="e">
        <f>SUM(Tabla1[[#This Row],[PRECIO $ BOLSA50 KG  FOB TUCUMAN A PLAZO (IVA INC)]]+Tabla1[[#This Row],[GASTOS FINANCIEROS $ BOLSA 50 KG (IVA INC)]])</f>
        <v>#VALUE!</v>
      </c>
      <c r="AF803" s="828"/>
      <c r="AG803" s="828"/>
      <c r="AH803" s="828"/>
      <c r="AI803" s="828"/>
      <c r="AJ80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03" s="846" t="e">
        <f>SUM(Tabla1[[#This Row],[PRECIO $ BOLSA 50KG  FOB CDO TUC (IVA INC)]]-Tabla1[[#This Row],[PRECIO REF $ BOLSA 50 KG CACTU (IVA INC)]])</f>
        <v>#VALUE!</v>
      </c>
      <c r="AL803" s="847" t="str">
        <f>IFERROR(Tabla1[[#This Row],[PRECIO $ BOLSA 50KG  FOB CDO TUC (IVA INC)]]/Tabla1[[#This Row],[PRECIO REF $ BOLSA 50 KG CACTU (IVA INC)]]-1,"")</f>
        <v/>
      </c>
      <c r="AM803" s="846" t="e">
        <f>+Tabla1[[#This Row],[DIF $ PRECIO NETO INDUSTRIA vs Neto TUCUMAN (IVA INC)]]*Tabla1[[#This Row],[Q Bolsas Equivalentes 50kg]]</f>
        <v>#VALUE!</v>
      </c>
      <c r="AN803" s="846" t="e">
        <f>Tabla1[[#This Row],[PRECIO REF $ BOLSA 50 KG CACTU (IVA INC)]]*Tabla1[[#This Row],[Q Bolsas Equivalentes 50kg]]</f>
        <v>#VALUE!</v>
      </c>
      <c r="AO803" s="846" t="e">
        <f>+Tabla1[[#This Row],[PRECIO $ BOLSA 50KG  FOB CDO TUC (IVA INC)]]*Tabla1[[#This Row],[Q Bolsas Equivalentes 50kg]]</f>
        <v>#VALUE!</v>
      </c>
      <c r="AP803" s="847"/>
      <c r="AQ803" s="846">
        <v>0</v>
      </c>
      <c r="AR803" s="828"/>
      <c r="AS803" s="849"/>
      <c r="AT803" s="923">
        <f>+Tabla1[[#This Row],[VENTA TOTAL $ (IVA INC) ]]-(SUM(Tabla1[[#This Row],[PENDIENTE DE ENTREGA]:[VALORES COBRADOS]]))</f>
        <v>0</v>
      </c>
      <c r="AU803" s="850" t="e">
        <f>VLOOKUP(Tabla1[[#This Row],[FECHA OC]],'TIPO DE CAMBIO'!A:B,2,TRUE)</f>
        <v>#N/A</v>
      </c>
      <c r="AV803" s="850" t="e">
        <f>+Tabla1[[#This Row],[SUBTOTAL]]/Tabla1[[#This Row],[TIPO DE CAMBIO]]</f>
        <v>#N/A</v>
      </c>
      <c r="AW803" s="851"/>
      <c r="AX803" s="850" t="str">
        <f>IFERROR(Tabla1[[#This Row],[VENTA TOTAL USD A PLAZO EN CLIENTE  (SIN IVA)]]*(1+Tabla1[[#This Row],[% IVA ]]),"")</f>
        <v/>
      </c>
      <c r="AY803" s="850" t="e">
        <f>+Tabla1[[#This Row],[VENTA TOTAL USD A PLAZO EN CLIENTE  (SIN IVA)]]/Tabla1[[#This Row],[KGS]]*1000</f>
        <v>#N/A</v>
      </c>
      <c r="AZ803" s="850" t="e">
        <f>-Tabla1[[#This Row],[COSTO FLETE $ POR BOLSA 5O KG (SIN IVA)]]*20/Tabla1[[#This Row],[TIPO DE CAMBIO]]</f>
        <v>#N/A</v>
      </c>
      <c r="BA803" s="850" t="e">
        <f>+Tabla1[[#This Row],[GASTOS FINANCIEROS $ BOLSA 50 KG (IVA INC)]]*20/Tabla1[[#This Row],[TIPO DE CAMBIO]]</f>
        <v>#VALUE!</v>
      </c>
      <c r="BB803" s="850" t="e">
        <f>+Tabla1[[#This Row],[PRECIO POR TN USD EN CLIENTE A PLAZO (SIN IVA)]]+Tabla1[[#This Row],[COSTO USD FLETE /TN (SIN IVA)]]+Tabla1[[#This Row],[COSTO FINANCIERO USD POR BOLSA 50KG (IVA INC)]]</f>
        <v>#N/A</v>
      </c>
      <c r="BC803" s="828"/>
      <c r="BD803" s="944"/>
    </row>
    <row r="804" spans="1:56" ht="15.75" customHeight="1">
      <c r="A804" s="912">
        <v>46357</v>
      </c>
      <c r="B804" s="853"/>
      <c r="C804" s="792"/>
      <c r="D804" s="829">
        <f>+Tabla1[[#This Row],[FECHA Entrega]]</f>
        <v>0</v>
      </c>
      <c r="E804" s="830"/>
      <c r="F804" s="831"/>
      <c r="G804" s="832"/>
      <c r="H804" s="852"/>
      <c r="I804" s="834"/>
      <c r="J804" s="835"/>
      <c r="K804" s="836">
        <f t="shared" si="160"/>
        <v>0</v>
      </c>
      <c r="L80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04" s="837">
        <f t="shared" si="162"/>
        <v>0</v>
      </c>
      <c r="N804" s="838">
        <f>+Tabla1[[#This Row],[VENTA TOTAL $ (IVA INC) ]]</f>
        <v>0</v>
      </c>
      <c r="O804" s="838">
        <v>0</v>
      </c>
      <c r="P804" s="838">
        <v>0</v>
      </c>
      <c r="Q804" s="839">
        <f>+Tabla1[[#This Row],[VENTA TOTAL $ (IVA INC) ]]</f>
        <v>0</v>
      </c>
      <c r="R804" s="840">
        <f>+Tabla1[[#This Row],[FECHA FC]]+Tabla1[[#This Row],[PLAZO ENTREGA VALORES]]</f>
        <v>0</v>
      </c>
      <c r="S804" s="840">
        <f>+Tabla1[[#This Row],[FECHA FC]]+Tabla1[[#This Row],[PLAZO PAGO (DIAS)]]</f>
        <v>0</v>
      </c>
      <c r="T804" s="834">
        <f t="shared" ca="1" si="161"/>
        <v>-46181</v>
      </c>
      <c r="U804" s="831"/>
      <c r="V804" s="831"/>
      <c r="W804" s="841">
        <f>+Tabla1[[#This Row],[FECHA VTO VALORES]]+7</f>
        <v>7</v>
      </c>
      <c r="X804" s="830"/>
      <c r="Y804" s="859"/>
      <c r="Z804" s="860">
        <f>Tabla1[[#This Row],[KGS]]/50</f>
        <v>0</v>
      </c>
      <c r="AA80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04" s="844">
        <f>-Tabla1[[#This Row],[COSTO FLETE $ POR BOLSA 5O KG (SIN IVA)]]*1.21-Tabla1[[#This Row],[PRECIO $/ KG A PLAZO EN CLIENTE ( SIN IVA)]]*0.003*1.21*50</f>
        <v>0</v>
      </c>
      <c r="AC804" s="845" t="e">
        <f>SUM(Tabla1[[#This Row],[PRECIO $ BOLSA 50 KG (IVA INC) ]]+Tabla1[[#This Row],[COSTO FLETE $ BOLSA 50 KG (IVA INC)]])</f>
        <v>#VALUE!</v>
      </c>
      <c r="AD804" s="844" t="e">
        <f>-Tabla1[[#This Row],[PRECIO $ BOLSA 50 KG (IVA INC) ]]*(Tabla1[[#This Row],[TASA FINANCIACION MENSUAL]]/365)*Tabla1[[#This Row],[PLAZO ENTREGA VALORES]]</f>
        <v>#VALUE!</v>
      </c>
      <c r="AE804" s="845" t="e">
        <f>SUM(Tabla1[[#This Row],[PRECIO $ BOLSA50 KG  FOB TUCUMAN A PLAZO (IVA INC)]]+Tabla1[[#This Row],[GASTOS FINANCIEROS $ BOLSA 50 KG (IVA INC)]])</f>
        <v>#VALUE!</v>
      </c>
      <c r="AF804" s="828"/>
      <c r="AG804" s="828"/>
      <c r="AH804" s="828"/>
      <c r="AI804" s="828"/>
      <c r="AJ80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04" s="846" t="e">
        <f>SUM(Tabla1[[#This Row],[PRECIO $ BOLSA 50KG  FOB CDO TUC (IVA INC)]]-Tabla1[[#This Row],[PRECIO REF $ BOLSA 50 KG CACTU (IVA INC)]])</f>
        <v>#VALUE!</v>
      </c>
      <c r="AL804" s="847" t="str">
        <f>IFERROR(Tabla1[[#This Row],[PRECIO $ BOLSA 50KG  FOB CDO TUC (IVA INC)]]/Tabla1[[#This Row],[PRECIO REF $ BOLSA 50 KG CACTU (IVA INC)]]-1,"")</f>
        <v/>
      </c>
      <c r="AM804" s="846" t="e">
        <f>+Tabla1[[#This Row],[DIF $ PRECIO NETO INDUSTRIA vs Neto TUCUMAN (IVA INC)]]*Tabla1[[#This Row],[Q Bolsas Equivalentes 50kg]]</f>
        <v>#VALUE!</v>
      </c>
      <c r="AN804" s="846" t="e">
        <f>Tabla1[[#This Row],[PRECIO REF $ BOLSA 50 KG CACTU (IVA INC)]]*Tabla1[[#This Row],[Q Bolsas Equivalentes 50kg]]</f>
        <v>#VALUE!</v>
      </c>
      <c r="AO804" s="846" t="e">
        <f>+Tabla1[[#This Row],[PRECIO $ BOLSA 50KG  FOB CDO TUC (IVA INC)]]*Tabla1[[#This Row],[Q Bolsas Equivalentes 50kg]]</f>
        <v>#VALUE!</v>
      </c>
      <c r="AP804" s="847"/>
      <c r="AQ804" s="846">
        <v>0</v>
      </c>
      <c r="AR804" s="828"/>
      <c r="AS804" s="849"/>
      <c r="AT804" s="923">
        <f>+Tabla1[[#This Row],[VENTA TOTAL $ (IVA INC) ]]-(SUM(Tabla1[[#This Row],[PENDIENTE DE ENTREGA]:[VALORES COBRADOS]]))</f>
        <v>0</v>
      </c>
      <c r="AU804" s="850" t="e">
        <f>VLOOKUP(Tabla1[[#This Row],[FECHA OC]],'TIPO DE CAMBIO'!A:B,2,TRUE)</f>
        <v>#N/A</v>
      </c>
      <c r="AV804" s="850" t="e">
        <f>+Tabla1[[#This Row],[SUBTOTAL]]/Tabla1[[#This Row],[TIPO DE CAMBIO]]</f>
        <v>#N/A</v>
      </c>
      <c r="AW804" s="851"/>
      <c r="AX804" s="850" t="str">
        <f>IFERROR(Tabla1[[#This Row],[VENTA TOTAL USD A PLAZO EN CLIENTE  (SIN IVA)]]*(1+Tabla1[[#This Row],[% IVA ]]),"")</f>
        <v/>
      </c>
      <c r="AY804" s="850" t="e">
        <f>+Tabla1[[#This Row],[VENTA TOTAL USD A PLAZO EN CLIENTE  (SIN IVA)]]/Tabla1[[#This Row],[KGS]]*1000</f>
        <v>#N/A</v>
      </c>
      <c r="AZ804" s="850" t="e">
        <f>-Tabla1[[#This Row],[COSTO FLETE $ POR BOLSA 5O KG (SIN IVA)]]*20/Tabla1[[#This Row],[TIPO DE CAMBIO]]</f>
        <v>#N/A</v>
      </c>
      <c r="BA804" s="850" t="e">
        <f>+Tabla1[[#This Row],[GASTOS FINANCIEROS $ BOLSA 50 KG (IVA INC)]]*20/Tabla1[[#This Row],[TIPO DE CAMBIO]]</f>
        <v>#VALUE!</v>
      </c>
      <c r="BB804" s="850" t="e">
        <f>+Tabla1[[#This Row],[PRECIO POR TN USD EN CLIENTE A PLAZO (SIN IVA)]]+Tabla1[[#This Row],[COSTO USD FLETE /TN (SIN IVA)]]+Tabla1[[#This Row],[COSTO FINANCIERO USD POR BOLSA 50KG (IVA INC)]]</f>
        <v>#N/A</v>
      </c>
      <c r="BC804" s="828"/>
      <c r="BD804" s="944"/>
    </row>
    <row r="805" spans="1:56" ht="15.75" customHeight="1">
      <c r="A805" s="912">
        <v>46357</v>
      </c>
      <c r="B805" s="853"/>
      <c r="C805" s="792"/>
      <c r="D805" s="829">
        <f>+Tabla1[[#This Row],[FECHA Entrega]]</f>
        <v>0</v>
      </c>
      <c r="E805" s="830"/>
      <c r="F805" s="831"/>
      <c r="G805" s="832"/>
      <c r="H805" s="852"/>
      <c r="I805" s="834"/>
      <c r="J805" s="835"/>
      <c r="K805" s="836">
        <f t="shared" si="160"/>
        <v>0</v>
      </c>
      <c r="L80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05" s="837">
        <f t="shared" si="162"/>
        <v>0</v>
      </c>
      <c r="N805" s="838">
        <f>+Tabla1[[#This Row],[VENTA TOTAL $ (IVA INC) ]]</f>
        <v>0</v>
      </c>
      <c r="O805" s="838">
        <v>0</v>
      </c>
      <c r="P805" s="838">
        <v>0</v>
      </c>
      <c r="Q805" s="839">
        <f>+Tabla1[[#This Row],[VENTA TOTAL $ (IVA INC) ]]</f>
        <v>0</v>
      </c>
      <c r="R805" s="840">
        <f>+Tabla1[[#This Row],[FECHA FC]]+Tabla1[[#This Row],[PLAZO ENTREGA VALORES]]</f>
        <v>0</v>
      </c>
      <c r="S805" s="840">
        <f>+Tabla1[[#This Row],[FECHA FC]]+Tabla1[[#This Row],[PLAZO PAGO (DIAS)]]</f>
        <v>0</v>
      </c>
      <c r="T805" s="834">
        <f t="shared" ca="1" si="161"/>
        <v>-46181</v>
      </c>
      <c r="U805" s="831"/>
      <c r="V805" s="831"/>
      <c r="W805" s="841">
        <f>+Tabla1[[#This Row],[FECHA VTO VALORES]]+7</f>
        <v>7</v>
      </c>
      <c r="X805" s="830"/>
      <c r="Y805" s="859"/>
      <c r="Z805" s="860">
        <f>Tabla1[[#This Row],[KGS]]/50</f>
        <v>0</v>
      </c>
      <c r="AA80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05" s="844">
        <f>-Tabla1[[#This Row],[COSTO FLETE $ POR BOLSA 5O KG (SIN IVA)]]*1.21-Tabla1[[#This Row],[PRECIO $/ KG A PLAZO EN CLIENTE ( SIN IVA)]]*0.003*1.21*50</f>
        <v>0</v>
      </c>
      <c r="AC805" s="845" t="e">
        <f>SUM(Tabla1[[#This Row],[PRECIO $ BOLSA 50 KG (IVA INC) ]]+Tabla1[[#This Row],[COSTO FLETE $ BOLSA 50 KG (IVA INC)]])</f>
        <v>#VALUE!</v>
      </c>
      <c r="AD805" s="844" t="e">
        <f>-Tabla1[[#This Row],[PRECIO $ BOLSA 50 KG (IVA INC) ]]*(Tabla1[[#This Row],[TASA FINANCIACION MENSUAL]]/365)*Tabla1[[#This Row],[PLAZO ENTREGA VALORES]]</f>
        <v>#VALUE!</v>
      </c>
      <c r="AE805" s="845" t="e">
        <f>SUM(Tabla1[[#This Row],[PRECIO $ BOLSA50 KG  FOB TUCUMAN A PLAZO (IVA INC)]]+Tabla1[[#This Row],[GASTOS FINANCIEROS $ BOLSA 50 KG (IVA INC)]])</f>
        <v>#VALUE!</v>
      </c>
      <c r="AF805" s="828"/>
      <c r="AG805" s="828"/>
      <c r="AH805" s="828"/>
      <c r="AI805" s="828"/>
      <c r="AJ80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05" s="846" t="e">
        <f>SUM(Tabla1[[#This Row],[PRECIO $ BOLSA 50KG  FOB CDO TUC (IVA INC)]]-Tabla1[[#This Row],[PRECIO REF $ BOLSA 50 KG CACTU (IVA INC)]])</f>
        <v>#VALUE!</v>
      </c>
      <c r="AL805" s="847" t="str">
        <f>IFERROR(Tabla1[[#This Row],[PRECIO $ BOLSA 50KG  FOB CDO TUC (IVA INC)]]/Tabla1[[#This Row],[PRECIO REF $ BOLSA 50 KG CACTU (IVA INC)]]-1,"")</f>
        <v/>
      </c>
      <c r="AM805" s="846" t="e">
        <f>+Tabla1[[#This Row],[DIF $ PRECIO NETO INDUSTRIA vs Neto TUCUMAN (IVA INC)]]*Tabla1[[#This Row],[Q Bolsas Equivalentes 50kg]]</f>
        <v>#VALUE!</v>
      </c>
      <c r="AN805" s="846" t="e">
        <f>Tabla1[[#This Row],[PRECIO REF $ BOLSA 50 KG CACTU (IVA INC)]]*Tabla1[[#This Row],[Q Bolsas Equivalentes 50kg]]</f>
        <v>#VALUE!</v>
      </c>
      <c r="AO805" s="846" t="e">
        <f>+Tabla1[[#This Row],[PRECIO $ BOLSA 50KG  FOB CDO TUC (IVA INC)]]*Tabla1[[#This Row],[Q Bolsas Equivalentes 50kg]]</f>
        <v>#VALUE!</v>
      </c>
      <c r="AP805" s="847"/>
      <c r="AQ805" s="846">
        <v>0</v>
      </c>
      <c r="AR805" s="828"/>
      <c r="AS805" s="849"/>
      <c r="AT805" s="923">
        <f>+Tabla1[[#This Row],[VENTA TOTAL $ (IVA INC) ]]-(SUM(Tabla1[[#This Row],[PENDIENTE DE ENTREGA]:[VALORES COBRADOS]]))</f>
        <v>0</v>
      </c>
      <c r="AU805" s="850" t="e">
        <f>VLOOKUP(Tabla1[[#This Row],[FECHA OC]],'TIPO DE CAMBIO'!A:B,2,TRUE)</f>
        <v>#N/A</v>
      </c>
      <c r="AV805" s="850" t="e">
        <f>+Tabla1[[#This Row],[SUBTOTAL]]/Tabla1[[#This Row],[TIPO DE CAMBIO]]</f>
        <v>#N/A</v>
      </c>
      <c r="AW805" s="851"/>
      <c r="AX805" s="850" t="str">
        <f>IFERROR(Tabla1[[#This Row],[VENTA TOTAL USD A PLAZO EN CLIENTE  (SIN IVA)]]*(1+Tabla1[[#This Row],[% IVA ]]),"")</f>
        <v/>
      </c>
      <c r="AY805" s="850" t="e">
        <f>+Tabla1[[#This Row],[VENTA TOTAL USD A PLAZO EN CLIENTE  (SIN IVA)]]/Tabla1[[#This Row],[KGS]]*1000</f>
        <v>#N/A</v>
      </c>
      <c r="AZ805" s="850" t="e">
        <f>-Tabla1[[#This Row],[COSTO FLETE $ POR BOLSA 5O KG (SIN IVA)]]*20/Tabla1[[#This Row],[TIPO DE CAMBIO]]</f>
        <v>#N/A</v>
      </c>
      <c r="BA805" s="850" t="e">
        <f>+Tabla1[[#This Row],[GASTOS FINANCIEROS $ BOLSA 50 KG (IVA INC)]]*20/Tabla1[[#This Row],[TIPO DE CAMBIO]]</f>
        <v>#VALUE!</v>
      </c>
      <c r="BB805" s="850" t="e">
        <f>+Tabla1[[#This Row],[PRECIO POR TN USD EN CLIENTE A PLAZO (SIN IVA)]]+Tabla1[[#This Row],[COSTO USD FLETE /TN (SIN IVA)]]+Tabla1[[#This Row],[COSTO FINANCIERO USD POR BOLSA 50KG (IVA INC)]]</f>
        <v>#N/A</v>
      </c>
      <c r="BC805" s="828"/>
      <c r="BD805" s="944"/>
    </row>
    <row r="806" spans="1:56" ht="15.75" customHeight="1">
      <c r="A806" s="912">
        <v>46357</v>
      </c>
      <c r="B806" s="853"/>
      <c r="C806" s="792"/>
      <c r="D806" s="829">
        <f>+Tabla1[[#This Row],[FECHA Entrega]]</f>
        <v>0</v>
      </c>
      <c r="E806" s="830"/>
      <c r="F806" s="831"/>
      <c r="G806" s="832"/>
      <c r="H806" s="852"/>
      <c r="I806" s="834"/>
      <c r="J806" s="835"/>
      <c r="K806" s="836">
        <f t="shared" si="160"/>
        <v>0</v>
      </c>
      <c r="L80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06" s="837">
        <f t="shared" si="162"/>
        <v>0</v>
      </c>
      <c r="N806" s="838">
        <f>+Tabla1[[#This Row],[VENTA TOTAL $ (IVA INC) ]]</f>
        <v>0</v>
      </c>
      <c r="O806" s="838">
        <v>0</v>
      </c>
      <c r="P806" s="838">
        <v>0</v>
      </c>
      <c r="Q806" s="839">
        <f>+Tabla1[[#This Row],[VENTA TOTAL $ (IVA INC) ]]</f>
        <v>0</v>
      </c>
      <c r="R806" s="840">
        <f>+Tabla1[[#This Row],[FECHA FC]]+Tabla1[[#This Row],[PLAZO ENTREGA VALORES]]</f>
        <v>0</v>
      </c>
      <c r="S806" s="840">
        <f>+Tabla1[[#This Row],[FECHA FC]]+Tabla1[[#This Row],[PLAZO PAGO (DIAS)]]</f>
        <v>0</v>
      </c>
      <c r="T806" s="834">
        <f t="shared" ca="1" si="161"/>
        <v>-46181</v>
      </c>
      <c r="U806" s="831"/>
      <c r="V806" s="831"/>
      <c r="W806" s="841">
        <f>+S806+7</f>
        <v>7</v>
      </c>
      <c r="X806" s="830"/>
      <c r="Y806" s="859"/>
      <c r="Z806" s="860">
        <f>Tabla1[[#This Row],[KGS]]/50</f>
        <v>0</v>
      </c>
      <c r="AA80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06" s="844">
        <f>-Tabla1[[#This Row],[COSTO FLETE $ POR BOLSA 5O KG (SIN IVA)]]*1.21-Tabla1[[#This Row],[PRECIO $/ KG A PLAZO EN CLIENTE ( SIN IVA)]]*0.003*1.21*50</f>
        <v>0</v>
      </c>
      <c r="AC806" s="845" t="e">
        <f>SUM(Tabla1[[#This Row],[PRECIO $ BOLSA 50 KG (IVA INC) ]]+Tabla1[[#This Row],[COSTO FLETE $ BOLSA 50 KG (IVA INC)]])</f>
        <v>#VALUE!</v>
      </c>
      <c r="AD806" s="844" t="e">
        <f>-Tabla1[[#This Row],[PRECIO $ BOLSA 50 KG (IVA INC) ]]*(Tabla1[[#This Row],[TASA FINANCIACION MENSUAL]]/365)*Tabla1[[#This Row],[PLAZO ENTREGA VALORES]]</f>
        <v>#VALUE!</v>
      </c>
      <c r="AE806" s="845" t="e">
        <f>SUM(Tabla1[[#This Row],[PRECIO $ BOLSA50 KG  FOB TUCUMAN A PLAZO (IVA INC)]]+Tabla1[[#This Row],[GASTOS FINANCIEROS $ BOLSA 50 KG (IVA INC)]])</f>
        <v>#VALUE!</v>
      </c>
      <c r="AF806" s="828"/>
      <c r="AG806" s="828"/>
      <c r="AH806" s="828"/>
      <c r="AI806" s="828"/>
      <c r="AJ80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06" s="846" t="e">
        <f>SUM(Tabla1[[#This Row],[PRECIO $ BOLSA 50KG  FOB CDO TUC (IVA INC)]]-Tabla1[[#This Row],[PRECIO REF $ BOLSA 50 KG CACTU (IVA INC)]])</f>
        <v>#VALUE!</v>
      </c>
      <c r="AL806" s="847" t="str">
        <f>IFERROR(Tabla1[[#This Row],[PRECIO $ BOLSA 50KG  FOB CDO TUC (IVA INC)]]/Tabla1[[#This Row],[PRECIO REF $ BOLSA 50 KG CACTU (IVA INC)]]-1,"")</f>
        <v/>
      </c>
      <c r="AM806" s="846" t="e">
        <f>+Tabla1[[#This Row],[DIF $ PRECIO NETO INDUSTRIA vs Neto TUCUMAN (IVA INC)]]*Tabla1[[#This Row],[Q Bolsas Equivalentes 50kg]]</f>
        <v>#VALUE!</v>
      </c>
      <c r="AN806" s="846" t="e">
        <f>Tabla1[[#This Row],[PRECIO REF $ BOLSA 50 KG CACTU (IVA INC)]]*Tabla1[[#This Row],[Q Bolsas Equivalentes 50kg]]</f>
        <v>#VALUE!</v>
      </c>
      <c r="AO806" s="846" t="e">
        <f>+Tabla1[[#This Row],[PRECIO $ BOLSA 50KG  FOB CDO TUC (IVA INC)]]*Tabla1[[#This Row],[Q Bolsas Equivalentes 50kg]]</f>
        <v>#VALUE!</v>
      </c>
      <c r="AP806" s="847"/>
      <c r="AQ806" s="846">
        <v>0</v>
      </c>
      <c r="AR806" s="828"/>
      <c r="AS806" s="849"/>
      <c r="AT806" s="923">
        <f>+Tabla1[[#This Row],[VENTA TOTAL $ (IVA INC) ]]-(SUM(Tabla1[[#This Row],[PENDIENTE DE ENTREGA]:[VALORES COBRADOS]]))</f>
        <v>0</v>
      </c>
      <c r="AU806" s="850" t="e">
        <f>VLOOKUP(Tabla1[[#This Row],[FECHA OC]],'TIPO DE CAMBIO'!A:B,2,TRUE)</f>
        <v>#N/A</v>
      </c>
      <c r="AV806" s="850" t="e">
        <f>+Tabla1[[#This Row],[SUBTOTAL]]/Tabla1[[#This Row],[TIPO DE CAMBIO]]</f>
        <v>#N/A</v>
      </c>
      <c r="AW806" s="851"/>
      <c r="AX806" s="850" t="str">
        <f>IFERROR(Tabla1[[#This Row],[VENTA TOTAL USD A PLAZO EN CLIENTE  (SIN IVA)]]*(1+Tabla1[[#This Row],[% IVA ]]),"")</f>
        <v/>
      </c>
      <c r="AY806" s="850" t="e">
        <f>+Tabla1[[#This Row],[VENTA TOTAL USD A PLAZO EN CLIENTE  (SIN IVA)]]/Tabla1[[#This Row],[KGS]]*1000</f>
        <v>#N/A</v>
      </c>
      <c r="AZ806" s="850" t="e">
        <f>-Tabla1[[#This Row],[COSTO FLETE $ POR BOLSA 5O KG (SIN IVA)]]*20/Tabla1[[#This Row],[TIPO DE CAMBIO]]</f>
        <v>#N/A</v>
      </c>
      <c r="BA806" s="850" t="e">
        <f>+Tabla1[[#This Row],[GASTOS FINANCIEROS $ BOLSA 50 KG (IVA INC)]]*20/Tabla1[[#This Row],[TIPO DE CAMBIO]]</f>
        <v>#VALUE!</v>
      </c>
      <c r="BB806" s="850" t="e">
        <f>+Tabla1[[#This Row],[PRECIO POR TN USD EN CLIENTE A PLAZO (SIN IVA)]]+Tabla1[[#This Row],[COSTO USD FLETE /TN (SIN IVA)]]+Tabla1[[#This Row],[COSTO FINANCIERO USD POR BOLSA 50KG (IVA INC)]]</f>
        <v>#N/A</v>
      </c>
      <c r="BC806" s="828"/>
      <c r="BD806" s="944"/>
    </row>
    <row r="807" spans="1:56" ht="15.75" customHeight="1">
      <c r="A807" s="912">
        <v>46357</v>
      </c>
      <c r="B807" s="853"/>
      <c r="C807" s="792"/>
      <c r="D807" s="829">
        <f>+Tabla1[[#This Row],[FECHA Entrega]]</f>
        <v>0</v>
      </c>
      <c r="E807" s="830"/>
      <c r="F807" s="831"/>
      <c r="G807" s="832"/>
      <c r="H807" s="852"/>
      <c r="I807" s="834"/>
      <c r="J807" s="835"/>
      <c r="K807" s="836">
        <f t="shared" si="160"/>
        <v>0</v>
      </c>
      <c r="L80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07" s="837">
        <f t="shared" si="162"/>
        <v>0</v>
      </c>
      <c r="N807" s="838">
        <f>+Tabla1[[#This Row],[VENTA TOTAL $ (IVA INC) ]]</f>
        <v>0</v>
      </c>
      <c r="O807" s="838">
        <v>0</v>
      </c>
      <c r="P807" s="838">
        <v>0</v>
      </c>
      <c r="Q807" s="839">
        <f>+Tabla1[[#This Row],[VENTA TOTAL $ (IVA INC) ]]-Tabla1[[#This Row],[PENDIENTE DE COBRO]]</f>
        <v>0</v>
      </c>
      <c r="R807" s="840">
        <f>+Tabla1[[#This Row],[FECHA FC]]+Tabla1[[#This Row],[PLAZO ENTREGA VALORES]]</f>
        <v>0</v>
      </c>
      <c r="S807" s="840">
        <f>+Tabla1[[#This Row],[FECHA FC]]+Tabla1[[#This Row],[PLAZO PAGO (DIAS)]]</f>
        <v>0</v>
      </c>
      <c r="T807" s="834">
        <f t="shared" ca="1" si="161"/>
        <v>-46181</v>
      </c>
      <c r="U807" s="831"/>
      <c r="V807" s="831"/>
      <c r="W807" s="841">
        <f>+S807+7</f>
        <v>7</v>
      </c>
      <c r="X807" s="830"/>
      <c r="Y807" s="859"/>
      <c r="Z807" s="860">
        <f>Tabla1[[#This Row],[KGS]]/50</f>
        <v>0</v>
      </c>
      <c r="AA80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07" s="844">
        <f>-Tabla1[[#This Row],[COSTO FLETE $ POR BOLSA 5O KG (SIN IVA)]]*1.21-Tabla1[[#This Row],[PRECIO $/ KG A PLAZO EN CLIENTE ( SIN IVA)]]*0.003*1.21*50</f>
        <v>0</v>
      </c>
      <c r="AC807" s="845" t="e">
        <f>SUM(Tabla1[[#This Row],[PRECIO $ BOLSA 50 KG (IVA INC) ]]+Tabla1[[#This Row],[COSTO FLETE $ BOLSA 50 KG (IVA INC)]])</f>
        <v>#VALUE!</v>
      </c>
      <c r="AD807" s="844" t="e">
        <f>-Tabla1[[#This Row],[PRECIO $ BOLSA 50 KG (IVA INC) ]]*(Tabla1[[#This Row],[TASA FINANCIACION MENSUAL]]/365)*Tabla1[[#This Row],[PLAZO ENTREGA VALORES]]</f>
        <v>#VALUE!</v>
      </c>
      <c r="AE807" s="845" t="e">
        <f>SUM(Tabla1[[#This Row],[PRECIO $ BOLSA50 KG  FOB TUCUMAN A PLAZO (IVA INC)]]+Tabla1[[#This Row],[GASTOS FINANCIEROS $ BOLSA 50 KG (IVA INC)]])</f>
        <v>#VALUE!</v>
      </c>
      <c r="AF807" s="828"/>
      <c r="AG807" s="828"/>
      <c r="AH807" s="828"/>
      <c r="AI807" s="828"/>
      <c r="AJ80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07" s="846" t="e">
        <f>SUM(Tabla1[[#This Row],[PRECIO $ BOLSA 50KG  FOB CDO TUC (IVA INC)]]-Tabla1[[#This Row],[PRECIO REF $ BOLSA 50 KG CACTU (IVA INC)]])</f>
        <v>#VALUE!</v>
      </c>
      <c r="AL807" s="847" t="str">
        <f>IFERROR(Tabla1[[#This Row],[PRECIO $ BOLSA 50KG  FOB CDO TUC (IVA INC)]]/Tabla1[[#This Row],[PRECIO REF $ BOLSA 50 KG CACTU (IVA INC)]]-1,"")</f>
        <v/>
      </c>
      <c r="AM807" s="846" t="e">
        <f>+Tabla1[[#This Row],[DIF $ PRECIO NETO INDUSTRIA vs Neto TUCUMAN (IVA INC)]]*Tabla1[[#This Row],[Q Bolsas Equivalentes 50kg]]</f>
        <v>#VALUE!</v>
      </c>
      <c r="AN807" s="846" t="e">
        <f>Tabla1[[#This Row],[PRECIO REF $ BOLSA 50 KG CACTU (IVA INC)]]*Tabla1[[#This Row],[Q Bolsas Equivalentes 50kg]]</f>
        <v>#VALUE!</v>
      </c>
      <c r="AO807" s="846" t="e">
        <f>+Tabla1[[#This Row],[PRECIO $ BOLSA 50KG  FOB CDO TUC (IVA INC)]]*Tabla1[[#This Row],[Q Bolsas Equivalentes 50kg]]</f>
        <v>#VALUE!</v>
      </c>
      <c r="AP807" s="847"/>
      <c r="AQ807" s="846">
        <v>0</v>
      </c>
      <c r="AR807" s="828"/>
      <c r="AS807" s="849"/>
      <c r="AT807" s="923">
        <f>+Tabla1[[#This Row],[VENTA TOTAL $ (IVA INC) ]]-(SUM(Tabla1[[#This Row],[PENDIENTE DE ENTREGA]:[VALORES COBRADOS]]))</f>
        <v>0</v>
      </c>
      <c r="AU807" s="850" t="e">
        <f>VLOOKUP(Tabla1[[#This Row],[FECHA OC]],'TIPO DE CAMBIO'!A:B,2,TRUE)</f>
        <v>#N/A</v>
      </c>
      <c r="AV807" s="850" t="e">
        <f>+Tabla1[[#This Row],[SUBTOTAL]]/Tabla1[[#This Row],[TIPO DE CAMBIO]]</f>
        <v>#N/A</v>
      </c>
      <c r="AW807" s="851"/>
      <c r="AX807" s="850" t="str">
        <f>IFERROR(Tabla1[[#This Row],[VENTA TOTAL USD A PLAZO EN CLIENTE  (SIN IVA)]]*(1+Tabla1[[#This Row],[% IVA ]]),"")</f>
        <v/>
      </c>
      <c r="AY807" s="850" t="e">
        <f>+Tabla1[[#This Row],[VENTA TOTAL USD A PLAZO EN CLIENTE  (SIN IVA)]]/Tabla1[[#This Row],[KGS]]*1000</f>
        <v>#N/A</v>
      </c>
      <c r="AZ807" s="850" t="e">
        <f>-Tabla1[[#This Row],[COSTO FLETE $ POR BOLSA 5O KG (SIN IVA)]]*20/Tabla1[[#This Row],[TIPO DE CAMBIO]]</f>
        <v>#N/A</v>
      </c>
      <c r="BA807" s="850" t="e">
        <f>+Tabla1[[#This Row],[GASTOS FINANCIEROS $ BOLSA 50 KG (IVA INC)]]*20/Tabla1[[#This Row],[TIPO DE CAMBIO]]</f>
        <v>#VALUE!</v>
      </c>
      <c r="BB807" s="850" t="e">
        <f>+Tabla1[[#This Row],[PRECIO POR TN USD EN CLIENTE A PLAZO (SIN IVA)]]+Tabla1[[#This Row],[COSTO USD FLETE /TN (SIN IVA)]]+Tabla1[[#This Row],[COSTO FINANCIERO USD POR BOLSA 50KG (IVA INC)]]</f>
        <v>#N/A</v>
      </c>
      <c r="BC807" s="828"/>
      <c r="BD807" s="944"/>
    </row>
    <row r="808" spans="1:56" ht="15.75" customHeight="1">
      <c r="A808" s="912">
        <v>46357</v>
      </c>
      <c r="B808" s="853"/>
      <c r="C808" s="792"/>
      <c r="D808" s="829">
        <f>+Tabla1[[#This Row],[FECHA Entrega]]</f>
        <v>0</v>
      </c>
      <c r="E808" s="830"/>
      <c r="F808" s="831"/>
      <c r="G808" s="832"/>
      <c r="H808" s="852"/>
      <c r="I808" s="834"/>
      <c r="J808" s="835"/>
      <c r="K808" s="836">
        <f t="shared" si="160"/>
        <v>0</v>
      </c>
      <c r="L80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08" s="837">
        <f t="shared" si="162"/>
        <v>0</v>
      </c>
      <c r="N808" s="838">
        <f>+Tabla1[[#This Row],[VENTA TOTAL $ (IVA INC) ]]</f>
        <v>0</v>
      </c>
      <c r="O808" s="838">
        <v>0</v>
      </c>
      <c r="P808" s="838">
        <v>0</v>
      </c>
      <c r="Q808" s="839">
        <f>+Tabla1[[#This Row],[VENTA TOTAL $ (IVA INC) ]]-Tabla1[[#This Row],[PENDIENTE DE COBRO]]</f>
        <v>0</v>
      </c>
      <c r="R808" s="840">
        <f>+Tabla1[[#This Row],[FECHA FC]]+Tabla1[[#This Row],[PLAZO ENTREGA VALORES]]</f>
        <v>0</v>
      </c>
      <c r="S808" s="840">
        <f>+Tabla1[[#This Row],[FECHA FC]]+Tabla1[[#This Row],[PLAZO PAGO (DIAS)]]</f>
        <v>0</v>
      </c>
      <c r="T808" s="834">
        <f t="shared" ca="1" si="161"/>
        <v>-46181</v>
      </c>
      <c r="U808" s="831"/>
      <c r="V808" s="831"/>
      <c r="W808" s="841">
        <f>+S808+7</f>
        <v>7</v>
      </c>
      <c r="X808" s="830"/>
      <c r="Y808" s="859"/>
      <c r="Z808" s="860">
        <f>Tabla1[[#This Row],[KGS]]/50</f>
        <v>0</v>
      </c>
      <c r="AA80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08" s="844">
        <f>-Tabla1[[#This Row],[COSTO FLETE $ POR BOLSA 5O KG (SIN IVA)]]*1.21-Tabla1[[#This Row],[PRECIO $/ KG A PLAZO EN CLIENTE ( SIN IVA)]]*0.003*1.21*50</f>
        <v>0</v>
      </c>
      <c r="AC808" s="845" t="e">
        <f>SUM(Tabla1[[#This Row],[PRECIO $ BOLSA 50 KG (IVA INC) ]]+Tabla1[[#This Row],[COSTO FLETE $ BOLSA 50 KG (IVA INC)]])</f>
        <v>#VALUE!</v>
      </c>
      <c r="AD808" s="844" t="e">
        <f>-Tabla1[[#This Row],[PRECIO $ BOLSA 50 KG (IVA INC) ]]*(Tabla1[[#This Row],[TASA FINANCIACION MENSUAL]]/365)*Tabla1[[#This Row],[PLAZO ENTREGA VALORES]]</f>
        <v>#VALUE!</v>
      </c>
      <c r="AE808" s="845" t="e">
        <f>SUM(Tabla1[[#This Row],[PRECIO $ BOLSA50 KG  FOB TUCUMAN A PLAZO (IVA INC)]]+Tabla1[[#This Row],[GASTOS FINANCIEROS $ BOLSA 50 KG (IVA INC)]])</f>
        <v>#VALUE!</v>
      </c>
      <c r="AF808" s="828"/>
      <c r="AG808" s="828"/>
      <c r="AH808" s="828"/>
      <c r="AI808" s="828"/>
      <c r="AJ80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08" s="846" t="e">
        <f>SUM(Tabla1[[#This Row],[PRECIO $ BOLSA 50KG  FOB CDO TUC (IVA INC)]]-Tabla1[[#This Row],[PRECIO REF $ BOLSA 50 KG CACTU (IVA INC)]])</f>
        <v>#VALUE!</v>
      </c>
      <c r="AL808" s="847" t="str">
        <f>IFERROR(Tabla1[[#This Row],[PRECIO $ BOLSA 50KG  FOB CDO TUC (IVA INC)]]/Tabla1[[#This Row],[PRECIO REF $ BOLSA 50 KG CACTU (IVA INC)]]-1,"")</f>
        <v/>
      </c>
      <c r="AM808" s="846" t="e">
        <f>+Tabla1[[#This Row],[DIF $ PRECIO NETO INDUSTRIA vs Neto TUCUMAN (IVA INC)]]*Tabla1[[#This Row],[Q Bolsas Equivalentes 50kg]]</f>
        <v>#VALUE!</v>
      </c>
      <c r="AN808" s="846" t="e">
        <f>Tabla1[[#This Row],[PRECIO REF $ BOLSA 50 KG CACTU (IVA INC)]]*Tabla1[[#This Row],[Q Bolsas Equivalentes 50kg]]</f>
        <v>#VALUE!</v>
      </c>
      <c r="AO808" s="846" t="e">
        <f>+Tabla1[[#This Row],[PRECIO $ BOLSA 50KG  FOB CDO TUC (IVA INC)]]*Tabla1[[#This Row],[Q Bolsas Equivalentes 50kg]]</f>
        <v>#VALUE!</v>
      </c>
      <c r="AP808" s="847"/>
      <c r="AQ808" s="846">
        <v>0</v>
      </c>
      <c r="AR808" s="828"/>
      <c r="AS808" s="849"/>
      <c r="AT808" s="923">
        <f>+Tabla1[[#This Row],[VENTA TOTAL $ (IVA INC) ]]-(SUM(Tabla1[[#This Row],[PENDIENTE DE ENTREGA]:[VALORES COBRADOS]]))</f>
        <v>0</v>
      </c>
      <c r="AU808" s="850" t="e">
        <f>VLOOKUP(Tabla1[[#This Row],[FECHA OC]],'TIPO DE CAMBIO'!A:B,2,TRUE)</f>
        <v>#N/A</v>
      </c>
      <c r="AV808" s="850" t="e">
        <f>+Tabla1[[#This Row],[SUBTOTAL]]/Tabla1[[#This Row],[TIPO DE CAMBIO]]</f>
        <v>#N/A</v>
      </c>
      <c r="AW808" s="851"/>
      <c r="AX808" s="850" t="str">
        <f>IFERROR(Tabla1[[#This Row],[VENTA TOTAL USD A PLAZO EN CLIENTE  (SIN IVA)]]*(1+Tabla1[[#This Row],[% IVA ]]),"")</f>
        <v/>
      </c>
      <c r="AY808" s="850" t="e">
        <f>+Tabla1[[#This Row],[VENTA TOTAL USD A PLAZO EN CLIENTE  (SIN IVA)]]/Tabla1[[#This Row],[KGS]]*1000</f>
        <v>#N/A</v>
      </c>
      <c r="AZ808" s="850" t="e">
        <f>-Tabla1[[#This Row],[COSTO FLETE $ POR BOLSA 5O KG (SIN IVA)]]*20/Tabla1[[#This Row],[TIPO DE CAMBIO]]</f>
        <v>#N/A</v>
      </c>
      <c r="BA808" s="850" t="e">
        <f>+Tabla1[[#This Row],[GASTOS FINANCIEROS $ BOLSA 50 KG (IVA INC)]]*20/Tabla1[[#This Row],[TIPO DE CAMBIO]]</f>
        <v>#VALUE!</v>
      </c>
      <c r="BB808" s="850" t="e">
        <f>+Tabla1[[#This Row],[PRECIO POR TN USD EN CLIENTE A PLAZO (SIN IVA)]]+Tabla1[[#This Row],[COSTO USD FLETE /TN (SIN IVA)]]+Tabla1[[#This Row],[COSTO FINANCIERO USD POR BOLSA 50KG (IVA INC)]]</f>
        <v>#N/A</v>
      </c>
      <c r="BC808" s="828"/>
      <c r="BD808" s="944"/>
    </row>
    <row r="809" spans="1:56" ht="15.75" customHeight="1">
      <c r="A809" s="912">
        <v>46357</v>
      </c>
      <c r="B809" s="863"/>
      <c r="C809" s="792"/>
      <c r="D809" s="829">
        <f>+Tabla1[[#This Row],[FECHA Entrega]]</f>
        <v>0</v>
      </c>
      <c r="E809" s="830"/>
      <c r="F809" s="831"/>
      <c r="G809" s="832"/>
      <c r="H809" s="852"/>
      <c r="I809" s="834"/>
      <c r="J809" s="835"/>
      <c r="K809" s="836">
        <f t="shared" si="160"/>
        <v>0</v>
      </c>
      <c r="L80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09" s="837">
        <f t="shared" si="162"/>
        <v>0</v>
      </c>
      <c r="N809" s="838">
        <f>+Tabla1[[#This Row],[VENTA TOTAL $ (IVA INC) ]]</f>
        <v>0</v>
      </c>
      <c r="O809" s="838">
        <v>0</v>
      </c>
      <c r="P809" s="838">
        <v>0</v>
      </c>
      <c r="Q809" s="839">
        <f>+Tabla1[[#This Row],[VENTA TOTAL $ (IVA INC) ]]-Tabla1[[#This Row],[PENDIENTE DE COBRO]]</f>
        <v>0</v>
      </c>
      <c r="R809" s="840">
        <f>+Tabla1[[#This Row],[FECHA FC]]+Tabla1[[#This Row],[PLAZO ENTREGA VALORES]]</f>
        <v>0</v>
      </c>
      <c r="S809" s="840">
        <f>+Tabla1[[#This Row],[FECHA FC]]+Tabla1[[#This Row],[PLAZO PAGO (DIAS)]]</f>
        <v>0</v>
      </c>
      <c r="T809" s="834">
        <f t="shared" ca="1" si="161"/>
        <v>-46181</v>
      </c>
      <c r="U809" s="831"/>
      <c r="V809" s="831"/>
      <c r="W809" s="841">
        <f>+Tabla1[[#This Row],[FECHA VTO VALORES]]+7</f>
        <v>7</v>
      </c>
      <c r="X809" s="830"/>
      <c r="Y809" s="859"/>
      <c r="Z809" s="860">
        <f>Tabla1[[#This Row],[KGS]]/50</f>
        <v>0</v>
      </c>
      <c r="AA80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09" s="844">
        <f>-Tabla1[[#This Row],[COSTO FLETE $ POR BOLSA 5O KG (SIN IVA)]]*1.21-Tabla1[[#This Row],[PRECIO $/ KG A PLAZO EN CLIENTE ( SIN IVA)]]*0.003*1.21*50</f>
        <v>0</v>
      </c>
      <c r="AC809" s="845" t="e">
        <f>SUM(Tabla1[[#This Row],[PRECIO $ BOLSA 50 KG (IVA INC) ]]+Tabla1[[#This Row],[COSTO FLETE $ BOLSA 50 KG (IVA INC)]])</f>
        <v>#VALUE!</v>
      </c>
      <c r="AD809" s="844" t="e">
        <f>-Tabla1[[#This Row],[PRECIO $ BOLSA 50 KG (IVA INC) ]]*(Tabla1[[#This Row],[TASA FINANCIACION MENSUAL]]/365)*Tabla1[[#This Row],[PLAZO ENTREGA VALORES]]</f>
        <v>#VALUE!</v>
      </c>
      <c r="AE809" s="845" t="e">
        <f>SUM(Tabla1[[#This Row],[PRECIO $ BOLSA50 KG  FOB TUCUMAN A PLAZO (IVA INC)]]+Tabla1[[#This Row],[GASTOS FINANCIEROS $ BOLSA 50 KG (IVA INC)]])</f>
        <v>#VALUE!</v>
      </c>
      <c r="AF809" s="828"/>
      <c r="AG809" s="828"/>
      <c r="AH809" s="828"/>
      <c r="AI809" s="828"/>
      <c r="AJ80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09" s="846" t="e">
        <f>SUM(Tabla1[[#This Row],[PRECIO $ BOLSA 50KG  FOB CDO TUC (IVA INC)]]-Tabla1[[#This Row],[PRECIO REF $ BOLSA 50 KG CACTU (IVA INC)]])</f>
        <v>#VALUE!</v>
      </c>
      <c r="AL809" s="847" t="str">
        <f>IFERROR(Tabla1[[#This Row],[PRECIO $ BOLSA 50KG  FOB CDO TUC (IVA INC)]]/Tabla1[[#This Row],[PRECIO REF $ BOLSA 50 KG CACTU (IVA INC)]]-1,"")</f>
        <v/>
      </c>
      <c r="AM809" s="846" t="e">
        <f>+Tabla1[[#This Row],[DIF $ PRECIO NETO INDUSTRIA vs Neto TUCUMAN (IVA INC)]]*Tabla1[[#This Row],[Q Bolsas Equivalentes 50kg]]</f>
        <v>#VALUE!</v>
      </c>
      <c r="AN809" s="846" t="e">
        <f>Tabla1[[#This Row],[PRECIO REF $ BOLSA 50 KG CACTU (IVA INC)]]*Tabla1[[#This Row],[Q Bolsas Equivalentes 50kg]]</f>
        <v>#VALUE!</v>
      </c>
      <c r="AO809" s="846" t="e">
        <f>+Tabla1[[#This Row],[PRECIO $ BOLSA 50KG  FOB CDO TUC (IVA INC)]]*Tabla1[[#This Row],[Q Bolsas Equivalentes 50kg]]</f>
        <v>#VALUE!</v>
      </c>
      <c r="AP809" s="847"/>
      <c r="AQ809" s="846">
        <v>0</v>
      </c>
      <c r="AR809" s="828"/>
      <c r="AS809" s="849"/>
      <c r="AT809" s="923">
        <f>+Tabla1[[#This Row],[VENTA TOTAL $ (IVA INC) ]]-(SUM(Tabla1[[#This Row],[PENDIENTE DE ENTREGA]:[VALORES COBRADOS]]))</f>
        <v>0</v>
      </c>
      <c r="AU809" s="850" t="e">
        <f>VLOOKUP(Tabla1[[#This Row],[FECHA OC]],'TIPO DE CAMBIO'!A:B,2,TRUE)</f>
        <v>#N/A</v>
      </c>
      <c r="AV809" s="850" t="e">
        <f>+Tabla1[[#This Row],[SUBTOTAL]]/Tabla1[[#This Row],[TIPO DE CAMBIO]]</f>
        <v>#N/A</v>
      </c>
      <c r="AW809" s="851"/>
      <c r="AX809" s="850" t="str">
        <f>IFERROR(Tabla1[[#This Row],[VENTA TOTAL USD A PLAZO EN CLIENTE  (SIN IVA)]]*(1+Tabla1[[#This Row],[% IVA ]]),"")</f>
        <v/>
      </c>
      <c r="AY809" s="850" t="e">
        <f>+Tabla1[[#This Row],[VENTA TOTAL USD A PLAZO EN CLIENTE  (SIN IVA)]]/Tabla1[[#This Row],[KGS]]*1000</f>
        <v>#N/A</v>
      </c>
      <c r="AZ809" s="850" t="e">
        <f>-Tabla1[[#This Row],[COSTO FLETE $ POR BOLSA 5O KG (SIN IVA)]]*20/Tabla1[[#This Row],[TIPO DE CAMBIO]]</f>
        <v>#N/A</v>
      </c>
      <c r="BA809" s="850" t="e">
        <f>+Tabla1[[#This Row],[GASTOS FINANCIEROS $ BOLSA 50 KG (IVA INC)]]*20/Tabla1[[#This Row],[TIPO DE CAMBIO]]</f>
        <v>#VALUE!</v>
      </c>
      <c r="BB809" s="850" t="e">
        <f>+Tabla1[[#This Row],[PRECIO POR TN USD EN CLIENTE A PLAZO (SIN IVA)]]+Tabla1[[#This Row],[COSTO USD FLETE /TN (SIN IVA)]]+Tabla1[[#This Row],[COSTO FINANCIERO USD POR BOLSA 50KG (IVA INC)]]</f>
        <v>#N/A</v>
      </c>
      <c r="BC809" s="828"/>
      <c r="BD809" s="944"/>
    </row>
    <row r="810" spans="1:56" ht="15.75" customHeight="1">
      <c r="A810" s="912">
        <v>46357</v>
      </c>
      <c r="B810" s="863"/>
      <c r="C810" s="792"/>
      <c r="D810" s="829">
        <f>+Tabla1[[#This Row],[FECHA Entrega]]</f>
        <v>0</v>
      </c>
      <c r="E810" s="830"/>
      <c r="F810" s="831"/>
      <c r="G810" s="832"/>
      <c r="H810" s="852"/>
      <c r="I810" s="834"/>
      <c r="J810" s="835"/>
      <c r="K810" s="836">
        <f t="shared" si="160"/>
        <v>0</v>
      </c>
      <c r="L81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10" s="837">
        <f t="shared" si="162"/>
        <v>0</v>
      </c>
      <c r="N810" s="838">
        <f>+Tabla1[[#This Row],[VENTA TOTAL $ (IVA INC) ]]</f>
        <v>0</v>
      </c>
      <c r="O810" s="838">
        <v>0</v>
      </c>
      <c r="P810" s="838">
        <v>0</v>
      </c>
      <c r="Q810" s="839">
        <f>+Tabla1[[#This Row],[VENTA TOTAL $ (IVA INC) ]]-Tabla1[[#This Row],[PENDIENTE DE COBRO]]</f>
        <v>0</v>
      </c>
      <c r="R810" s="840">
        <f>+Tabla1[[#This Row],[FECHA FC]]+Tabla1[[#This Row],[PLAZO ENTREGA VALORES]]</f>
        <v>0</v>
      </c>
      <c r="S810" s="840">
        <f>+Tabla1[[#This Row],[FECHA FC]]+Tabla1[[#This Row],[PLAZO PAGO (DIAS)]]</f>
        <v>0</v>
      </c>
      <c r="T810" s="834">
        <f t="shared" ca="1" si="161"/>
        <v>-46181</v>
      </c>
      <c r="U810" s="831"/>
      <c r="V810" s="831"/>
      <c r="W810" s="841">
        <f>+Tabla1[[#This Row],[FECHA VTO VALORES]]+7</f>
        <v>7</v>
      </c>
      <c r="X810" s="830"/>
      <c r="Y810" s="859"/>
      <c r="Z810" s="860">
        <f>Tabla1[[#This Row],[KGS]]/50</f>
        <v>0</v>
      </c>
      <c r="AA81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10" s="844">
        <f>-Tabla1[[#This Row],[COSTO FLETE $ POR BOLSA 5O KG (SIN IVA)]]*1.21-Tabla1[[#This Row],[PRECIO $/ KG A PLAZO EN CLIENTE ( SIN IVA)]]*0.003*1.21*50</f>
        <v>0</v>
      </c>
      <c r="AC810" s="845" t="e">
        <f>SUM(Tabla1[[#This Row],[PRECIO $ BOLSA 50 KG (IVA INC) ]]+Tabla1[[#This Row],[COSTO FLETE $ BOLSA 50 KG (IVA INC)]])</f>
        <v>#VALUE!</v>
      </c>
      <c r="AD810" s="844" t="e">
        <f>-Tabla1[[#This Row],[PRECIO $ BOLSA 50 KG (IVA INC) ]]*(Tabla1[[#This Row],[TASA FINANCIACION MENSUAL]]/365)*Tabla1[[#This Row],[PLAZO ENTREGA VALORES]]</f>
        <v>#VALUE!</v>
      </c>
      <c r="AE810" s="845" t="e">
        <f>SUM(Tabla1[[#This Row],[PRECIO $ BOLSA50 KG  FOB TUCUMAN A PLAZO (IVA INC)]]+Tabla1[[#This Row],[GASTOS FINANCIEROS $ BOLSA 50 KG (IVA INC)]])</f>
        <v>#VALUE!</v>
      </c>
      <c r="AF810" s="828"/>
      <c r="AG810" s="828"/>
      <c r="AH810" s="828"/>
      <c r="AI810" s="828"/>
      <c r="AJ81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10" s="846" t="e">
        <f>SUM(Tabla1[[#This Row],[PRECIO $ BOLSA 50KG  FOB CDO TUC (IVA INC)]]-Tabla1[[#This Row],[PRECIO REF $ BOLSA 50 KG CACTU (IVA INC)]])</f>
        <v>#VALUE!</v>
      </c>
      <c r="AL810" s="847" t="str">
        <f>IFERROR(Tabla1[[#This Row],[PRECIO $ BOLSA 50KG  FOB CDO TUC (IVA INC)]]/Tabla1[[#This Row],[PRECIO REF $ BOLSA 50 KG CACTU (IVA INC)]]-1,"")</f>
        <v/>
      </c>
      <c r="AM810" s="846" t="e">
        <f>+Tabla1[[#This Row],[DIF $ PRECIO NETO INDUSTRIA vs Neto TUCUMAN (IVA INC)]]*Tabla1[[#This Row],[Q Bolsas Equivalentes 50kg]]</f>
        <v>#VALUE!</v>
      </c>
      <c r="AN810" s="846" t="e">
        <f>Tabla1[[#This Row],[PRECIO REF $ BOLSA 50 KG CACTU (IVA INC)]]*Tabla1[[#This Row],[Q Bolsas Equivalentes 50kg]]</f>
        <v>#VALUE!</v>
      </c>
      <c r="AO810" s="846" t="e">
        <f>+Tabla1[[#This Row],[PRECIO $ BOLSA 50KG  FOB CDO TUC (IVA INC)]]*Tabla1[[#This Row],[Q Bolsas Equivalentes 50kg]]</f>
        <v>#VALUE!</v>
      </c>
      <c r="AP810" s="847"/>
      <c r="AQ810" s="846">
        <v>0</v>
      </c>
      <c r="AR810" s="828"/>
      <c r="AS810" s="849"/>
      <c r="AT810" s="923">
        <f>+Tabla1[[#This Row],[VENTA TOTAL $ (IVA INC) ]]-(SUM(Tabla1[[#This Row],[PENDIENTE DE ENTREGA]:[VALORES COBRADOS]]))</f>
        <v>0</v>
      </c>
      <c r="AU810" s="850" t="e">
        <f>VLOOKUP(Tabla1[[#This Row],[FECHA OC]],'TIPO DE CAMBIO'!A:B,2,TRUE)</f>
        <v>#N/A</v>
      </c>
      <c r="AV810" s="850" t="e">
        <f>+Tabla1[[#This Row],[SUBTOTAL]]/Tabla1[[#This Row],[TIPO DE CAMBIO]]</f>
        <v>#N/A</v>
      </c>
      <c r="AW810" s="851"/>
      <c r="AX810" s="850" t="str">
        <f>IFERROR(Tabla1[[#This Row],[VENTA TOTAL USD A PLAZO EN CLIENTE  (SIN IVA)]]*(1+Tabla1[[#This Row],[% IVA ]]),"")</f>
        <v/>
      </c>
      <c r="AY810" s="850" t="e">
        <f>+Tabla1[[#This Row],[VENTA TOTAL USD A PLAZO EN CLIENTE  (SIN IVA)]]/Tabla1[[#This Row],[KGS]]*1000</f>
        <v>#N/A</v>
      </c>
      <c r="AZ810" s="850" t="e">
        <f>-Tabla1[[#This Row],[COSTO FLETE $ POR BOLSA 5O KG (SIN IVA)]]*20/Tabla1[[#This Row],[TIPO DE CAMBIO]]</f>
        <v>#N/A</v>
      </c>
      <c r="BA810" s="850" t="e">
        <f>+Tabla1[[#This Row],[GASTOS FINANCIEROS $ BOLSA 50 KG (IVA INC)]]*20/Tabla1[[#This Row],[TIPO DE CAMBIO]]</f>
        <v>#VALUE!</v>
      </c>
      <c r="BB810" s="850" t="e">
        <f>+Tabla1[[#This Row],[PRECIO POR TN USD EN CLIENTE A PLAZO (SIN IVA)]]+Tabla1[[#This Row],[COSTO USD FLETE /TN (SIN IVA)]]+Tabla1[[#This Row],[COSTO FINANCIERO USD POR BOLSA 50KG (IVA INC)]]</f>
        <v>#N/A</v>
      </c>
      <c r="BC810" s="828"/>
      <c r="BD810" s="944"/>
    </row>
    <row r="811" spans="1:56" ht="15.75" customHeight="1">
      <c r="A811" s="912">
        <v>46357</v>
      </c>
      <c r="B811" s="863"/>
      <c r="C811" s="792"/>
      <c r="D811" s="829">
        <f>+Tabla1[[#This Row],[FECHA Entrega]]</f>
        <v>0</v>
      </c>
      <c r="E811" s="830"/>
      <c r="F811" s="831"/>
      <c r="G811" s="832"/>
      <c r="H811" s="852"/>
      <c r="I811" s="834"/>
      <c r="J811" s="835"/>
      <c r="K811" s="836">
        <f t="shared" si="160"/>
        <v>0</v>
      </c>
      <c r="L81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11" s="837">
        <f t="shared" si="162"/>
        <v>0</v>
      </c>
      <c r="N811" s="838">
        <f>+Tabla1[[#This Row],[VENTA TOTAL $ (IVA INC) ]]</f>
        <v>0</v>
      </c>
      <c r="O811" s="838">
        <v>0</v>
      </c>
      <c r="P811" s="838">
        <v>0</v>
      </c>
      <c r="Q811" s="839">
        <f>+Tabla1[[#This Row],[VENTA TOTAL $ (IVA INC) ]]-Tabla1[[#This Row],[PENDIENTE DE COBRO]]</f>
        <v>0</v>
      </c>
      <c r="R811" s="840">
        <f>+Tabla1[[#This Row],[FECHA FC]]+Tabla1[[#This Row],[PLAZO ENTREGA VALORES]]</f>
        <v>0</v>
      </c>
      <c r="S811" s="840">
        <f>+Tabla1[[#This Row],[FECHA FC]]+Tabla1[[#This Row],[PLAZO PAGO (DIAS)]]</f>
        <v>0</v>
      </c>
      <c r="T811" s="834">
        <f t="shared" ca="1" si="161"/>
        <v>-46181</v>
      </c>
      <c r="U811" s="831"/>
      <c r="V811" s="831"/>
      <c r="W811" s="841">
        <f>+Tabla1[[#This Row],[FECHA VTO VALORES]]+7</f>
        <v>7</v>
      </c>
      <c r="X811" s="830"/>
      <c r="Y811" s="859"/>
      <c r="Z811" s="860">
        <f>Tabla1[[#This Row],[KGS]]/50</f>
        <v>0</v>
      </c>
      <c r="AA81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11" s="844">
        <f>-Tabla1[[#This Row],[COSTO FLETE $ POR BOLSA 5O KG (SIN IVA)]]*1.21-Tabla1[[#This Row],[PRECIO $/ KG A PLAZO EN CLIENTE ( SIN IVA)]]*0.003*1.21*50</f>
        <v>0</v>
      </c>
      <c r="AC811" s="845" t="e">
        <f>SUM(Tabla1[[#This Row],[PRECIO $ BOLSA 50 KG (IVA INC) ]]+Tabla1[[#This Row],[COSTO FLETE $ BOLSA 50 KG (IVA INC)]])</f>
        <v>#VALUE!</v>
      </c>
      <c r="AD811" s="844" t="e">
        <f>-Tabla1[[#This Row],[PRECIO $ BOLSA 50 KG (IVA INC) ]]*(Tabla1[[#This Row],[TASA FINANCIACION MENSUAL]]/365)*Tabla1[[#This Row],[PLAZO ENTREGA VALORES]]</f>
        <v>#VALUE!</v>
      </c>
      <c r="AE811" s="845" t="e">
        <f>SUM(Tabla1[[#This Row],[PRECIO $ BOLSA50 KG  FOB TUCUMAN A PLAZO (IVA INC)]]+Tabla1[[#This Row],[GASTOS FINANCIEROS $ BOLSA 50 KG (IVA INC)]])</f>
        <v>#VALUE!</v>
      </c>
      <c r="AF811" s="828"/>
      <c r="AG811" s="828"/>
      <c r="AH811" s="828"/>
      <c r="AI811" s="828"/>
      <c r="AJ81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11" s="846" t="e">
        <f>SUM(Tabla1[[#This Row],[PRECIO $ BOLSA 50KG  FOB CDO TUC (IVA INC)]]-Tabla1[[#This Row],[PRECIO REF $ BOLSA 50 KG CACTU (IVA INC)]])</f>
        <v>#VALUE!</v>
      </c>
      <c r="AL811" s="847" t="str">
        <f>IFERROR(Tabla1[[#This Row],[PRECIO $ BOLSA 50KG  FOB CDO TUC (IVA INC)]]/Tabla1[[#This Row],[PRECIO REF $ BOLSA 50 KG CACTU (IVA INC)]]-1,"")</f>
        <v/>
      </c>
      <c r="AM811" s="846" t="e">
        <f>+Tabla1[[#This Row],[DIF $ PRECIO NETO INDUSTRIA vs Neto TUCUMAN (IVA INC)]]*Tabla1[[#This Row],[Q Bolsas Equivalentes 50kg]]</f>
        <v>#VALUE!</v>
      </c>
      <c r="AN811" s="846" t="e">
        <f>Tabla1[[#This Row],[PRECIO REF $ BOLSA 50 KG CACTU (IVA INC)]]*Tabla1[[#This Row],[Q Bolsas Equivalentes 50kg]]</f>
        <v>#VALUE!</v>
      </c>
      <c r="AO811" s="846" t="e">
        <f>+Tabla1[[#This Row],[PRECIO $ BOLSA 50KG  FOB CDO TUC (IVA INC)]]*Tabla1[[#This Row],[Q Bolsas Equivalentes 50kg]]</f>
        <v>#VALUE!</v>
      </c>
      <c r="AP811" s="847"/>
      <c r="AQ811" s="846">
        <v>0</v>
      </c>
      <c r="AR811" s="828"/>
      <c r="AS811" s="849"/>
      <c r="AT811" s="923">
        <f>+Tabla1[[#This Row],[VENTA TOTAL $ (IVA INC) ]]-(SUM(Tabla1[[#This Row],[PENDIENTE DE ENTREGA]:[VALORES COBRADOS]]))</f>
        <v>0</v>
      </c>
      <c r="AU811" s="850" t="e">
        <f>VLOOKUP(Tabla1[[#This Row],[FECHA OC]],'TIPO DE CAMBIO'!A:B,2,TRUE)</f>
        <v>#N/A</v>
      </c>
      <c r="AV811" s="850" t="e">
        <f>+Tabla1[[#This Row],[SUBTOTAL]]/Tabla1[[#This Row],[TIPO DE CAMBIO]]</f>
        <v>#N/A</v>
      </c>
      <c r="AW811" s="851"/>
      <c r="AX811" s="850" t="str">
        <f>IFERROR(Tabla1[[#This Row],[VENTA TOTAL USD A PLAZO EN CLIENTE  (SIN IVA)]]*(1+Tabla1[[#This Row],[% IVA ]]),"")</f>
        <v/>
      </c>
      <c r="AY811" s="850" t="e">
        <f>+Tabla1[[#This Row],[VENTA TOTAL USD A PLAZO EN CLIENTE  (SIN IVA)]]/Tabla1[[#This Row],[KGS]]*1000</f>
        <v>#N/A</v>
      </c>
      <c r="AZ811" s="850" t="e">
        <f>-Tabla1[[#This Row],[COSTO FLETE $ POR BOLSA 5O KG (SIN IVA)]]*20/Tabla1[[#This Row],[TIPO DE CAMBIO]]</f>
        <v>#N/A</v>
      </c>
      <c r="BA811" s="850" t="e">
        <f>+Tabla1[[#This Row],[GASTOS FINANCIEROS $ BOLSA 50 KG (IVA INC)]]*20/Tabla1[[#This Row],[TIPO DE CAMBIO]]</f>
        <v>#VALUE!</v>
      </c>
      <c r="BB811" s="850" t="e">
        <f>+Tabla1[[#This Row],[PRECIO POR TN USD EN CLIENTE A PLAZO (SIN IVA)]]+Tabla1[[#This Row],[COSTO USD FLETE /TN (SIN IVA)]]+Tabla1[[#This Row],[COSTO FINANCIERO USD POR BOLSA 50KG (IVA INC)]]</f>
        <v>#N/A</v>
      </c>
      <c r="BC811" s="828"/>
      <c r="BD811" s="944"/>
    </row>
    <row r="812" spans="1:56" ht="15.75" customHeight="1">
      <c r="A812" s="912">
        <v>46357</v>
      </c>
      <c r="B812" s="863"/>
      <c r="C812" s="792"/>
      <c r="D812" s="829">
        <f>+Tabla1[[#This Row],[FECHA Entrega]]</f>
        <v>0</v>
      </c>
      <c r="E812" s="830"/>
      <c r="F812" s="831"/>
      <c r="G812" s="832"/>
      <c r="H812" s="852"/>
      <c r="I812" s="834"/>
      <c r="J812" s="835"/>
      <c r="K812" s="836">
        <f t="shared" si="160"/>
        <v>0</v>
      </c>
      <c r="L81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12" s="837">
        <f t="shared" si="162"/>
        <v>0</v>
      </c>
      <c r="N812" s="838">
        <f>+Tabla1[[#This Row],[VENTA TOTAL $ (IVA INC) ]]</f>
        <v>0</v>
      </c>
      <c r="O812" s="838">
        <v>0</v>
      </c>
      <c r="P812" s="838">
        <v>0</v>
      </c>
      <c r="Q812" s="839">
        <f>+Tabla1[[#This Row],[VENTA TOTAL $ (IVA INC) ]]-Tabla1[[#This Row],[PENDIENTE DE COBRO]]</f>
        <v>0</v>
      </c>
      <c r="R812" s="840">
        <f>+Tabla1[[#This Row],[FECHA FC]]+Tabla1[[#This Row],[PLAZO ENTREGA VALORES]]</f>
        <v>0</v>
      </c>
      <c r="S812" s="840">
        <f>+Tabla1[[#This Row],[FECHA FC]]+Tabla1[[#This Row],[PLAZO PAGO (DIAS)]]</f>
        <v>0</v>
      </c>
      <c r="T812" s="834">
        <f t="shared" ca="1" si="161"/>
        <v>-46181</v>
      </c>
      <c r="U812" s="831"/>
      <c r="V812" s="831"/>
      <c r="W812" s="841">
        <f>+Tabla1[[#This Row],[FECHA VTO VALORES]]+7</f>
        <v>7</v>
      </c>
      <c r="X812" s="830"/>
      <c r="Y812" s="859"/>
      <c r="Z812" s="860">
        <f>Tabla1[[#This Row],[KGS]]/50</f>
        <v>0</v>
      </c>
      <c r="AA81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12" s="844">
        <f>-Tabla1[[#This Row],[COSTO FLETE $ POR BOLSA 5O KG (SIN IVA)]]*1.21-Tabla1[[#This Row],[PRECIO $/ KG A PLAZO EN CLIENTE ( SIN IVA)]]*0.003*1.21*50</f>
        <v>0</v>
      </c>
      <c r="AC812" s="845" t="e">
        <f>SUM(Tabla1[[#This Row],[PRECIO $ BOLSA 50 KG (IVA INC) ]]+Tabla1[[#This Row],[COSTO FLETE $ BOLSA 50 KG (IVA INC)]])</f>
        <v>#VALUE!</v>
      </c>
      <c r="AD812" s="844" t="e">
        <f>-Tabla1[[#This Row],[PRECIO $ BOLSA 50 KG (IVA INC) ]]*(Tabla1[[#This Row],[TASA FINANCIACION MENSUAL]]/365)*Tabla1[[#This Row],[PLAZO ENTREGA VALORES]]</f>
        <v>#VALUE!</v>
      </c>
      <c r="AE812" s="845" t="e">
        <f>SUM(Tabla1[[#This Row],[PRECIO $ BOLSA50 KG  FOB TUCUMAN A PLAZO (IVA INC)]]+Tabla1[[#This Row],[GASTOS FINANCIEROS $ BOLSA 50 KG (IVA INC)]])</f>
        <v>#VALUE!</v>
      </c>
      <c r="AF812" s="828"/>
      <c r="AG812" s="828"/>
      <c r="AH812" s="828"/>
      <c r="AI812" s="828"/>
      <c r="AJ81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12" s="846" t="e">
        <f>SUM(Tabla1[[#This Row],[PRECIO $ BOLSA 50KG  FOB CDO TUC (IVA INC)]]-Tabla1[[#This Row],[PRECIO REF $ BOLSA 50 KG CACTU (IVA INC)]])</f>
        <v>#VALUE!</v>
      </c>
      <c r="AL812" s="847" t="str">
        <f>IFERROR(Tabla1[[#This Row],[PRECIO $ BOLSA 50KG  FOB CDO TUC (IVA INC)]]/Tabla1[[#This Row],[PRECIO REF $ BOLSA 50 KG CACTU (IVA INC)]]-1,"")</f>
        <v/>
      </c>
      <c r="AM812" s="846" t="e">
        <f>+Tabla1[[#This Row],[DIF $ PRECIO NETO INDUSTRIA vs Neto TUCUMAN (IVA INC)]]*Tabla1[[#This Row],[Q Bolsas Equivalentes 50kg]]</f>
        <v>#VALUE!</v>
      </c>
      <c r="AN812" s="846" t="e">
        <f>Tabla1[[#This Row],[PRECIO REF $ BOLSA 50 KG CACTU (IVA INC)]]*Tabla1[[#This Row],[Q Bolsas Equivalentes 50kg]]</f>
        <v>#VALUE!</v>
      </c>
      <c r="AO812" s="846" t="e">
        <f>+Tabla1[[#This Row],[PRECIO $ BOLSA 50KG  FOB CDO TUC (IVA INC)]]*Tabla1[[#This Row],[Q Bolsas Equivalentes 50kg]]</f>
        <v>#VALUE!</v>
      </c>
      <c r="AP812" s="847"/>
      <c r="AQ812" s="846">
        <v>0</v>
      </c>
      <c r="AR812" s="828"/>
      <c r="AS812" s="849"/>
      <c r="AT812" s="923">
        <f>+Tabla1[[#This Row],[VENTA TOTAL $ (IVA INC) ]]-(SUM(Tabla1[[#This Row],[PENDIENTE DE ENTREGA]:[VALORES COBRADOS]]))</f>
        <v>0</v>
      </c>
      <c r="AU812" s="850" t="e">
        <f>VLOOKUP(Tabla1[[#This Row],[FECHA OC]],'TIPO DE CAMBIO'!A:B,2,TRUE)</f>
        <v>#N/A</v>
      </c>
      <c r="AV812" s="850" t="e">
        <f>+Tabla1[[#This Row],[SUBTOTAL]]/Tabla1[[#This Row],[TIPO DE CAMBIO]]</f>
        <v>#N/A</v>
      </c>
      <c r="AW812" s="851"/>
      <c r="AX812" s="850" t="str">
        <f>IFERROR(Tabla1[[#This Row],[VENTA TOTAL USD A PLAZO EN CLIENTE  (SIN IVA)]]*(1+Tabla1[[#This Row],[% IVA ]]),"")</f>
        <v/>
      </c>
      <c r="AY812" s="850" t="e">
        <f>+Tabla1[[#This Row],[VENTA TOTAL USD A PLAZO EN CLIENTE  (SIN IVA)]]/Tabla1[[#This Row],[KGS]]*1000</f>
        <v>#N/A</v>
      </c>
      <c r="AZ812" s="850" t="e">
        <f>-Tabla1[[#This Row],[COSTO FLETE $ POR BOLSA 5O KG (SIN IVA)]]*20/Tabla1[[#This Row],[TIPO DE CAMBIO]]</f>
        <v>#N/A</v>
      </c>
      <c r="BA812" s="850" t="e">
        <f>+Tabla1[[#This Row],[GASTOS FINANCIEROS $ BOLSA 50 KG (IVA INC)]]*20/Tabla1[[#This Row],[TIPO DE CAMBIO]]</f>
        <v>#VALUE!</v>
      </c>
      <c r="BB812" s="850" t="e">
        <f>+Tabla1[[#This Row],[PRECIO POR TN USD EN CLIENTE A PLAZO (SIN IVA)]]+Tabla1[[#This Row],[COSTO USD FLETE /TN (SIN IVA)]]+Tabla1[[#This Row],[COSTO FINANCIERO USD POR BOLSA 50KG (IVA INC)]]</f>
        <v>#N/A</v>
      </c>
      <c r="BC812" s="828"/>
      <c r="BD812" s="944"/>
    </row>
    <row r="813" spans="1:56" ht="15.75" customHeight="1">
      <c r="A813" s="912">
        <v>46357</v>
      </c>
      <c r="B813" s="863"/>
      <c r="C813" s="792"/>
      <c r="D813" s="829">
        <f>+Tabla1[[#This Row],[FECHA Entrega]]</f>
        <v>0</v>
      </c>
      <c r="E813" s="830"/>
      <c r="F813" s="831"/>
      <c r="G813" s="832"/>
      <c r="H813" s="852"/>
      <c r="I813" s="834"/>
      <c r="J813" s="835"/>
      <c r="K813" s="836">
        <f t="shared" si="160"/>
        <v>0</v>
      </c>
      <c r="L81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13" s="837">
        <f t="shared" si="162"/>
        <v>0</v>
      </c>
      <c r="N813" s="838">
        <f>+Tabla1[[#This Row],[VENTA TOTAL $ (IVA INC) ]]</f>
        <v>0</v>
      </c>
      <c r="O813" s="838">
        <v>0</v>
      </c>
      <c r="P813" s="838">
        <v>0</v>
      </c>
      <c r="Q813" s="839">
        <f>+Tabla1[[#This Row],[VENTA TOTAL $ (IVA INC) ]]-Tabla1[[#This Row],[PENDIENTE DE COBRO]]</f>
        <v>0</v>
      </c>
      <c r="R813" s="840">
        <f>+Tabla1[[#This Row],[FECHA FC]]+Tabla1[[#This Row],[PLAZO ENTREGA VALORES]]</f>
        <v>0</v>
      </c>
      <c r="S813" s="840">
        <f>+Tabla1[[#This Row],[FECHA FC]]+Tabla1[[#This Row],[PLAZO PAGO (DIAS)]]</f>
        <v>0</v>
      </c>
      <c r="T813" s="834">
        <f t="shared" ca="1" si="161"/>
        <v>-46181</v>
      </c>
      <c r="U813" s="831"/>
      <c r="V813" s="831"/>
      <c r="W813" s="841">
        <f>+Tabla1[[#This Row],[FECHA VTO VALORES]]+7</f>
        <v>7</v>
      </c>
      <c r="X813" s="830"/>
      <c r="Y813" s="859"/>
      <c r="Z813" s="860">
        <f>Tabla1[[#This Row],[KGS]]/50</f>
        <v>0</v>
      </c>
      <c r="AA81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13" s="844">
        <f>-Tabla1[[#This Row],[COSTO FLETE $ POR BOLSA 5O KG (SIN IVA)]]*1.21-Tabla1[[#This Row],[PRECIO $/ KG A PLAZO EN CLIENTE ( SIN IVA)]]*0.003*1.21*50</f>
        <v>0</v>
      </c>
      <c r="AC813" s="845" t="e">
        <f>SUM(Tabla1[[#This Row],[PRECIO $ BOLSA 50 KG (IVA INC) ]]+Tabla1[[#This Row],[COSTO FLETE $ BOLSA 50 KG (IVA INC)]])</f>
        <v>#VALUE!</v>
      </c>
      <c r="AD813" s="844" t="e">
        <f>-Tabla1[[#This Row],[PRECIO $ BOLSA 50 KG (IVA INC) ]]*(Tabla1[[#This Row],[TASA FINANCIACION MENSUAL]]/365)*Tabla1[[#This Row],[PLAZO ENTREGA VALORES]]</f>
        <v>#VALUE!</v>
      </c>
      <c r="AE813" s="845" t="e">
        <f>SUM(Tabla1[[#This Row],[PRECIO $ BOLSA50 KG  FOB TUCUMAN A PLAZO (IVA INC)]]+Tabla1[[#This Row],[GASTOS FINANCIEROS $ BOLSA 50 KG (IVA INC)]])</f>
        <v>#VALUE!</v>
      </c>
      <c r="AF813" s="828"/>
      <c r="AG813" s="828"/>
      <c r="AH813" s="828"/>
      <c r="AI813" s="828"/>
      <c r="AJ81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13" s="846" t="e">
        <f>SUM(Tabla1[[#This Row],[PRECIO $ BOLSA 50KG  FOB CDO TUC (IVA INC)]]-Tabla1[[#This Row],[PRECIO REF $ BOLSA 50 KG CACTU (IVA INC)]])</f>
        <v>#VALUE!</v>
      </c>
      <c r="AL813" s="847" t="str">
        <f>IFERROR(Tabla1[[#This Row],[PRECIO $ BOLSA 50KG  FOB CDO TUC (IVA INC)]]/Tabla1[[#This Row],[PRECIO REF $ BOLSA 50 KG CACTU (IVA INC)]]-1,"")</f>
        <v/>
      </c>
      <c r="AM813" s="846" t="e">
        <f>+Tabla1[[#This Row],[DIF $ PRECIO NETO INDUSTRIA vs Neto TUCUMAN (IVA INC)]]*Tabla1[[#This Row],[Q Bolsas Equivalentes 50kg]]</f>
        <v>#VALUE!</v>
      </c>
      <c r="AN813" s="846" t="e">
        <f>Tabla1[[#This Row],[PRECIO REF $ BOLSA 50 KG CACTU (IVA INC)]]*Tabla1[[#This Row],[Q Bolsas Equivalentes 50kg]]</f>
        <v>#VALUE!</v>
      </c>
      <c r="AO813" s="846" t="e">
        <f>+Tabla1[[#This Row],[PRECIO $ BOLSA 50KG  FOB CDO TUC (IVA INC)]]*Tabla1[[#This Row],[Q Bolsas Equivalentes 50kg]]</f>
        <v>#VALUE!</v>
      </c>
      <c r="AP813" s="847"/>
      <c r="AQ813" s="846">
        <v>0</v>
      </c>
      <c r="AR813" s="828"/>
      <c r="AS813" s="849"/>
      <c r="AT813" s="923">
        <f>+Tabla1[[#This Row],[VENTA TOTAL $ (IVA INC) ]]-(SUM(Tabla1[[#This Row],[PENDIENTE DE ENTREGA]:[VALORES COBRADOS]]))</f>
        <v>0</v>
      </c>
      <c r="AU813" s="850" t="e">
        <f>VLOOKUP(Tabla1[[#This Row],[FECHA OC]],'TIPO DE CAMBIO'!A:B,2,TRUE)</f>
        <v>#N/A</v>
      </c>
      <c r="AV813" s="850" t="e">
        <f>+Tabla1[[#This Row],[SUBTOTAL]]/Tabla1[[#This Row],[TIPO DE CAMBIO]]</f>
        <v>#N/A</v>
      </c>
      <c r="AW813" s="851"/>
      <c r="AX813" s="850" t="str">
        <f>IFERROR(Tabla1[[#This Row],[VENTA TOTAL USD A PLAZO EN CLIENTE  (SIN IVA)]]*(1+Tabla1[[#This Row],[% IVA ]]),"")</f>
        <v/>
      </c>
      <c r="AY813" s="850" t="e">
        <f>+Tabla1[[#This Row],[VENTA TOTAL USD A PLAZO EN CLIENTE  (SIN IVA)]]/Tabla1[[#This Row],[KGS]]*1000</f>
        <v>#N/A</v>
      </c>
      <c r="AZ813" s="850" t="e">
        <f>-Tabla1[[#This Row],[COSTO FLETE $ POR BOLSA 5O KG (SIN IVA)]]*20/Tabla1[[#This Row],[TIPO DE CAMBIO]]</f>
        <v>#N/A</v>
      </c>
      <c r="BA813" s="850" t="e">
        <f>+Tabla1[[#This Row],[GASTOS FINANCIEROS $ BOLSA 50 KG (IVA INC)]]*20/Tabla1[[#This Row],[TIPO DE CAMBIO]]</f>
        <v>#VALUE!</v>
      </c>
      <c r="BB813" s="850" t="e">
        <f>+Tabla1[[#This Row],[PRECIO POR TN USD EN CLIENTE A PLAZO (SIN IVA)]]+Tabla1[[#This Row],[COSTO USD FLETE /TN (SIN IVA)]]+Tabla1[[#This Row],[COSTO FINANCIERO USD POR BOLSA 50KG (IVA INC)]]</f>
        <v>#N/A</v>
      </c>
      <c r="BC813" s="828"/>
      <c r="BD813" s="944"/>
    </row>
    <row r="814" spans="1:56" ht="15.75" customHeight="1">
      <c r="A814" s="912">
        <v>46388</v>
      </c>
      <c r="B814" s="863"/>
      <c r="C814" s="792"/>
      <c r="D814" s="829">
        <f>+Tabla1[[#This Row],[FECHA Entrega]]</f>
        <v>0</v>
      </c>
      <c r="E814" s="830"/>
      <c r="F814" s="831"/>
      <c r="G814" s="832"/>
      <c r="H814" s="852"/>
      <c r="I814" s="834"/>
      <c r="J814" s="835"/>
      <c r="K814" s="836">
        <f t="shared" si="160"/>
        <v>0</v>
      </c>
      <c r="L81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14" s="837">
        <f t="shared" si="162"/>
        <v>0</v>
      </c>
      <c r="N814" s="838">
        <f>+Tabla1[[#This Row],[VENTA TOTAL $ (IVA INC) ]]</f>
        <v>0</v>
      </c>
      <c r="O814" s="838">
        <v>0</v>
      </c>
      <c r="P814" s="838">
        <v>0</v>
      </c>
      <c r="Q814" s="839">
        <f>+Tabla1[[#This Row],[VENTA TOTAL $ (IVA INC) ]]</f>
        <v>0</v>
      </c>
      <c r="R814" s="840">
        <f>+Tabla1[[#This Row],[FECHA FC]]+Tabla1[[#This Row],[PLAZO ENTREGA VALORES]]</f>
        <v>0</v>
      </c>
      <c r="S814" s="840">
        <f>+Tabla1[[#This Row],[FECHA FC]]+Tabla1[[#This Row],[PLAZO PAGO (DIAS)]]</f>
        <v>0</v>
      </c>
      <c r="T814" s="834">
        <f t="shared" ca="1" si="161"/>
        <v>-46181</v>
      </c>
      <c r="U814" s="831"/>
      <c r="V814" s="831"/>
      <c r="W814" s="841">
        <f>+Tabla1[[#This Row],[FECHA VTO VALORES]]+7</f>
        <v>7</v>
      </c>
      <c r="X814" s="830"/>
      <c r="Y814" s="859"/>
      <c r="Z814" s="860">
        <f>Tabla1[[#This Row],[KGS]]/50</f>
        <v>0</v>
      </c>
      <c r="AA81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14" s="844">
        <f>-Tabla1[[#This Row],[COSTO FLETE $ POR BOLSA 5O KG (SIN IVA)]]*1.21-Tabla1[[#This Row],[PRECIO $/ KG A PLAZO EN CLIENTE ( SIN IVA)]]*0.003*1.21*50</f>
        <v>0</v>
      </c>
      <c r="AC814" s="845" t="e">
        <f>SUM(Tabla1[[#This Row],[PRECIO $ BOLSA 50 KG (IVA INC) ]]+Tabla1[[#This Row],[COSTO FLETE $ BOLSA 50 KG (IVA INC)]])</f>
        <v>#VALUE!</v>
      </c>
      <c r="AD814" s="844" t="e">
        <f>-Tabla1[[#This Row],[PRECIO $ BOLSA 50 KG (IVA INC) ]]*(Tabla1[[#This Row],[TASA FINANCIACION MENSUAL]]/365)*Tabla1[[#This Row],[PLAZO ENTREGA VALORES]]</f>
        <v>#VALUE!</v>
      </c>
      <c r="AE814" s="845" t="e">
        <f>SUM(Tabla1[[#This Row],[PRECIO $ BOLSA50 KG  FOB TUCUMAN A PLAZO (IVA INC)]]+Tabla1[[#This Row],[GASTOS FINANCIEROS $ BOLSA 50 KG (IVA INC)]])</f>
        <v>#VALUE!</v>
      </c>
      <c r="AF814" s="828"/>
      <c r="AG814" s="828"/>
      <c r="AH814" s="828"/>
      <c r="AI814" s="828"/>
      <c r="AJ81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14" s="846" t="e">
        <f>SUM(Tabla1[[#This Row],[PRECIO $ BOLSA 50KG  FOB CDO TUC (IVA INC)]]-Tabla1[[#This Row],[PRECIO REF $ BOLSA 50 KG CACTU (IVA INC)]])</f>
        <v>#VALUE!</v>
      </c>
      <c r="AL814" s="847" t="str">
        <f>IFERROR(Tabla1[[#This Row],[PRECIO $ BOLSA 50KG  FOB CDO TUC (IVA INC)]]/Tabla1[[#This Row],[PRECIO REF $ BOLSA 50 KG CACTU (IVA INC)]]-1,"")</f>
        <v/>
      </c>
      <c r="AM814" s="846" t="e">
        <f>+Tabla1[[#This Row],[DIF $ PRECIO NETO INDUSTRIA vs Neto TUCUMAN (IVA INC)]]*Tabla1[[#This Row],[Q Bolsas Equivalentes 50kg]]</f>
        <v>#VALUE!</v>
      </c>
      <c r="AN814" s="846" t="e">
        <f>Tabla1[[#This Row],[PRECIO REF $ BOLSA 50 KG CACTU (IVA INC)]]*Tabla1[[#This Row],[Q Bolsas Equivalentes 50kg]]</f>
        <v>#VALUE!</v>
      </c>
      <c r="AO814" s="846" t="e">
        <f>+Tabla1[[#This Row],[PRECIO $ BOLSA 50KG  FOB CDO TUC (IVA INC)]]*Tabla1[[#This Row],[Q Bolsas Equivalentes 50kg]]</f>
        <v>#VALUE!</v>
      </c>
      <c r="AP814" s="847"/>
      <c r="AQ814" s="846">
        <v>0</v>
      </c>
      <c r="AR814" s="828"/>
      <c r="AS814" s="849"/>
      <c r="AT814" s="923">
        <f>+Tabla1[[#This Row],[VENTA TOTAL $ (IVA INC) ]]-(SUM(Tabla1[[#This Row],[PENDIENTE DE ENTREGA]:[VALORES COBRADOS]]))</f>
        <v>0</v>
      </c>
      <c r="AU814" s="850" t="e">
        <f>VLOOKUP(Tabla1[[#This Row],[FECHA OC]],'TIPO DE CAMBIO'!A:B,2,TRUE)</f>
        <v>#N/A</v>
      </c>
      <c r="AV814" s="850" t="e">
        <f>+Tabla1[[#This Row],[SUBTOTAL]]/Tabla1[[#This Row],[TIPO DE CAMBIO]]</f>
        <v>#N/A</v>
      </c>
      <c r="AW814" s="851"/>
      <c r="AX814" s="850" t="str">
        <f>IFERROR(Tabla1[[#This Row],[VENTA TOTAL USD A PLAZO EN CLIENTE  (SIN IVA)]]*(1+Tabla1[[#This Row],[% IVA ]]),"")</f>
        <v/>
      </c>
      <c r="AY814" s="850" t="e">
        <f>+Tabla1[[#This Row],[VENTA TOTAL USD A PLAZO EN CLIENTE  (SIN IVA)]]/Tabla1[[#This Row],[KGS]]*1000</f>
        <v>#N/A</v>
      </c>
      <c r="AZ814" s="850" t="e">
        <f>-Tabla1[[#This Row],[COSTO FLETE $ POR BOLSA 5O KG (SIN IVA)]]*20/Tabla1[[#This Row],[TIPO DE CAMBIO]]</f>
        <v>#N/A</v>
      </c>
      <c r="BA814" s="850" t="e">
        <f>+Tabla1[[#This Row],[GASTOS FINANCIEROS $ BOLSA 50 KG (IVA INC)]]*20/Tabla1[[#This Row],[TIPO DE CAMBIO]]</f>
        <v>#VALUE!</v>
      </c>
      <c r="BB814" s="850" t="e">
        <f>+Tabla1[[#This Row],[PRECIO POR TN USD EN CLIENTE A PLAZO (SIN IVA)]]+Tabla1[[#This Row],[COSTO USD FLETE /TN (SIN IVA)]]+Tabla1[[#This Row],[COSTO FINANCIERO USD POR BOLSA 50KG (IVA INC)]]</f>
        <v>#N/A</v>
      </c>
      <c r="BC814" s="828"/>
      <c r="BD814" s="944"/>
    </row>
    <row r="815" spans="1:56" ht="15.75" customHeight="1">
      <c r="A815" s="912">
        <v>46388</v>
      </c>
      <c r="B815" s="863"/>
      <c r="C815" s="792"/>
      <c r="D815" s="829">
        <f>+Tabla1[[#This Row],[FECHA Entrega]]</f>
        <v>0</v>
      </c>
      <c r="E815" s="830"/>
      <c r="F815" s="831"/>
      <c r="G815" s="832"/>
      <c r="H815" s="852"/>
      <c r="I815" s="834"/>
      <c r="J815" s="835"/>
      <c r="K815" s="836">
        <f t="shared" si="160"/>
        <v>0</v>
      </c>
      <c r="L81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15" s="837">
        <f t="shared" si="162"/>
        <v>0</v>
      </c>
      <c r="N815" s="838">
        <f>+Tabla1[[#This Row],[VENTA TOTAL $ (IVA INC) ]]</f>
        <v>0</v>
      </c>
      <c r="O815" s="838">
        <v>0</v>
      </c>
      <c r="P815" s="838">
        <v>0</v>
      </c>
      <c r="Q815" s="839">
        <f>+Tabla1[[#This Row],[VENTA TOTAL $ (IVA INC) ]]</f>
        <v>0</v>
      </c>
      <c r="R815" s="840">
        <f>+Tabla1[[#This Row],[FECHA FC]]+Tabla1[[#This Row],[PLAZO ENTREGA VALORES]]</f>
        <v>0</v>
      </c>
      <c r="S815" s="840">
        <f>+Tabla1[[#This Row],[FECHA FC]]+Tabla1[[#This Row],[PLAZO PAGO (DIAS)]]</f>
        <v>0</v>
      </c>
      <c r="T815" s="834">
        <f t="shared" ca="1" si="161"/>
        <v>-46181</v>
      </c>
      <c r="U815" s="831"/>
      <c r="V815" s="831"/>
      <c r="W815" s="841">
        <f>+Tabla1[[#This Row],[FECHA VTO VALORES]]+7</f>
        <v>7</v>
      </c>
      <c r="X815" s="830"/>
      <c r="Y815" s="859"/>
      <c r="Z815" s="860">
        <f>Tabla1[[#This Row],[KGS]]/50</f>
        <v>0</v>
      </c>
      <c r="AA81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15" s="844">
        <f>-Tabla1[[#This Row],[COSTO FLETE $ POR BOLSA 5O KG (SIN IVA)]]*1.21-Tabla1[[#This Row],[PRECIO $/ KG A PLAZO EN CLIENTE ( SIN IVA)]]*0.003*1.21*50</f>
        <v>0</v>
      </c>
      <c r="AC815" s="845" t="e">
        <f>SUM(Tabla1[[#This Row],[PRECIO $ BOLSA 50 KG (IVA INC) ]]+Tabla1[[#This Row],[COSTO FLETE $ BOLSA 50 KG (IVA INC)]])</f>
        <v>#VALUE!</v>
      </c>
      <c r="AD815" s="844" t="e">
        <f>-Tabla1[[#This Row],[PRECIO $ BOLSA 50 KG (IVA INC) ]]*(Tabla1[[#This Row],[TASA FINANCIACION MENSUAL]]/365)*Tabla1[[#This Row],[PLAZO ENTREGA VALORES]]</f>
        <v>#VALUE!</v>
      </c>
      <c r="AE815" s="845" t="e">
        <f>SUM(Tabla1[[#This Row],[PRECIO $ BOLSA50 KG  FOB TUCUMAN A PLAZO (IVA INC)]]+Tabla1[[#This Row],[GASTOS FINANCIEROS $ BOLSA 50 KG (IVA INC)]])</f>
        <v>#VALUE!</v>
      </c>
      <c r="AF815" s="828"/>
      <c r="AG815" s="828"/>
      <c r="AH815" s="828"/>
      <c r="AI815" s="828"/>
      <c r="AJ81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15" s="846" t="e">
        <f>SUM(Tabla1[[#This Row],[PRECIO $ BOLSA 50KG  FOB CDO TUC (IVA INC)]]-Tabla1[[#This Row],[PRECIO REF $ BOLSA 50 KG CACTU (IVA INC)]])</f>
        <v>#VALUE!</v>
      </c>
      <c r="AL815" s="847" t="str">
        <f>IFERROR(Tabla1[[#This Row],[PRECIO $ BOLSA 50KG  FOB CDO TUC (IVA INC)]]/Tabla1[[#This Row],[PRECIO REF $ BOLSA 50 KG CACTU (IVA INC)]]-1,"")</f>
        <v/>
      </c>
      <c r="AM815" s="846" t="e">
        <f>+Tabla1[[#This Row],[DIF $ PRECIO NETO INDUSTRIA vs Neto TUCUMAN (IVA INC)]]*Tabla1[[#This Row],[Q Bolsas Equivalentes 50kg]]</f>
        <v>#VALUE!</v>
      </c>
      <c r="AN815" s="846" t="e">
        <f>Tabla1[[#This Row],[PRECIO REF $ BOLSA 50 KG CACTU (IVA INC)]]*Tabla1[[#This Row],[Q Bolsas Equivalentes 50kg]]</f>
        <v>#VALUE!</v>
      </c>
      <c r="AO815" s="846" t="e">
        <f>+Tabla1[[#This Row],[PRECIO $ BOLSA 50KG  FOB CDO TUC (IVA INC)]]*Tabla1[[#This Row],[Q Bolsas Equivalentes 50kg]]</f>
        <v>#VALUE!</v>
      </c>
      <c r="AP815" s="847"/>
      <c r="AQ815" s="846">
        <v>0</v>
      </c>
      <c r="AR815" s="828"/>
      <c r="AS815" s="849"/>
      <c r="AT815" s="923">
        <f>+Tabla1[[#This Row],[VENTA TOTAL $ (IVA INC) ]]-(SUM(Tabla1[[#This Row],[PENDIENTE DE ENTREGA]:[VALORES COBRADOS]]))</f>
        <v>0</v>
      </c>
      <c r="AU815" s="850" t="e">
        <f>VLOOKUP(Tabla1[[#This Row],[FECHA OC]],'TIPO DE CAMBIO'!A:B,2,TRUE)</f>
        <v>#N/A</v>
      </c>
      <c r="AV815" s="850" t="e">
        <f>+Tabla1[[#This Row],[SUBTOTAL]]/Tabla1[[#This Row],[TIPO DE CAMBIO]]</f>
        <v>#N/A</v>
      </c>
      <c r="AW815" s="851"/>
      <c r="AX815" s="850" t="str">
        <f>IFERROR(Tabla1[[#This Row],[VENTA TOTAL USD A PLAZO EN CLIENTE  (SIN IVA)]]*(1+Tabla1[[#This Row],[% IVA ]]),"")</f>
        <v/>
      </c>
      <c r="AY815" s="850" t="e">
        <f>+Tabla1[[#This Row],[VENTA TOTAL USD A PLAZO EN CLIENTE  (SIN IVA)]]/Tabla1[[#This Row],[KGS]]*1000</f>
        <v>#N/A</v>
      </c>
      <c r="AZ815" s="850" t="e">
        <f>-Tabla1[[#This Row],[COSTO FLETE $ POR BOLSA 5O KG (SIN IVA)]]*20/Tabla1[[#This Row],[TIPO DE CAMBIO]]</f>
        <v>#N/A</v>
      </c>
      <c r="BA815" s="850" t="e">
        <f>+Tabla1[[#This Row],[GASTOS FINANCIEROS $ BOLSA 50 KG (IVA INC)]]*20/Tabla1[[#This Row],[TIPO DE CAMBIO]]</f>
        <v>#VALUE!</v>
      </c>
      <c r="BB815" s="850" t="e">
        <f>+Tabla1[[#This Row],[PRECIO POR TN USD EN CLIENTE A PLAZO (SIN IVA)]]+Tabla1[[#This Row],[COSTO USD FLETE /TN (SIN IVA)]]+Tabla1[[#This Row],[COSTO FINANCIERO USD POR BOLSA 50KG (IVA INC)]]</f>
        <v>#N/A</v>
      </c>
      <c r="BC815" s="828"/>
      <c r="BD815" s="944"/>
    </row>
    <row r="816" spans="1:56" ht="15.75" customHeight="1">
      <c r="A816" s="912">
        <v>46388</v>
      </c>
      <c r="B816" s="863"/>
      <c r="C816" s="792"/>
      <c r="D816" s="829">
        <f>+Tabla1[[#This Row],[FECHA Entrega]]</f>
        <v>0</v>
      </c>
      <c r="E816" s="830"/>
      <c r="F816" s="831"/>
      <c r="G816" s="832"/>
      <c r="H816" s="852"/>
      <c r="I816" s="834"/>
      <c r="J816" s="835"/>
      <c r="K816" s="836">
        <f t="shared" si="160"/>
        <v>0</v>
      </c>
      <c r="L81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16" s="837">
        <f t="shared" si="162"/>
        <v>0</v>
      </c>
      <c r="N816" s="838">
        <f>+Tabla1[[#This Row],[VENTA TOTAL $ (IVA INC) ]]</f>
        <v>0</v>
      </c>
      <c r="O816" s="838">
        <v>0</v>
      </c>
      <c r="P816" s="838">
        <v>0</v>
      </c>
      <c r="Q816" s="839">
        <f>+Tabla1[[#This Row],[VENTA TOTAL $ (IVA INC) ]]</f>
        <v>0</v>
      </c>
      <c r="R816" s="840">
        <f>+Tabla1[[#This Row],[FECHA FC]]+Tabla1[[#This Row],[PLAZO ENTREGA VALORES]]</f>
        <v>0</v>
      </c>
      <c r="S816" s="840">
        <f>+Tabla1[[#This Row],[FECHA FC]]+Tabla1[[#This Row],[PLAZO PAGO (DIAS)]]</f>
        <v>0</v>
      </c>
      <c r="T816" s="834">
        <f t="shared" ca="1" si="161"/>
        <v>-46181</v>
      </c>
      <c r="U816" s="831"/>
      <c r="V816" s="831"/>
      <c r="W816" s="841">
        <f>+Tabla1[[#This Row],[FECHA VTO VALORES]]+7</f>
        <v>7</v>
      </c>
      <c r="X816" s="830"/>
      <c r="Y816" s="859"/>
      <c r="Z816" s="860">
        <f>Tabla1[[#This Row],[KGS]]/50</f>
        <v>0</v>
      </c>
      <c r="AA81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16" s="844">
        <f>-Tabla1[[#This Row],[COSTO FLETE $ POR BOLSA 5O KG (SIN IVA)]]*1.21-Tabla1[[#This Row],[PRECIO $/ KG A PLAZO EN CLIENTE ( SIN IVA)]]*0.003*1.21*50</f>
        <v>0</v>
      </c>
      <c r="AC816" s="845" t="e">
        <f>SUM(Tabla1[[#This Row],[PRECIO $ BOLSA 50 KG (IVA INC) ]]+Tabla1[[#This Row],[COSTO FLETE $ BOLSA 50 KG (IVA INC)]])</f>
        <v>#VALUE!</v>
      </c>
      <c r="AD816" s="844" t="e">
        <f>-Tabla1[[#This Row],[PRECIO $ BOLSA 50 KG (IVA INC) ]]*(Tabla1[[#This Row],[TASA FINANCIACION MENSUAL]]/365)*Tabla1[[#This Row],[PLAZO ENTREGA VALORES]]</f>
        <v>#VALUE!</v>
      </c>
      <c r="AE816" s="845" t="e">
        <f>SUM(Tabla1[[#This Row],[PRECIO $ BOLSA50 KG  FOB TUCUMAN A PLAZO (IVA INC)]]+Tabla1[[#This Row],[GASTOS FINANCIEROS $ BOLSA 50 KG (IVA INC)]])</f>
        <v>#VALUE!</v>
      </c>
      <c r="AF816" s="828"/>
      <c r="AG816" s="828"/>
      <c r="AH816" s="828"/>
      <c r="AI816" s="828"/>
      <c r="AJ81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16" s="846" t="e">
        <f>SUM(Tabla1[[#This Row],[PRECIO $ BOLSA 50KG  FOB CDO TUC (IVA INC)]]-Tabla1[[#This Row],[PRECIO REF $ BOLSA 50 KG CACTU (IVA INC)]])</f>
        <v>#VALUE!</v>
      </c>
      <c r="AL816" s="847" t="str">
        <f>IFERROR(Tabla1[[#This Row],[PRECIO $ BOLSA 50KG  FOB CDO TUC (IVA INC)]]/Tabla1[[#This Row],[PRECIO REF $ BOLSA 50 KG CACTU (IVA INC)]]-1,"")</f>
        <v/>
      </c>
      <c r="AM816" s="846" t="e">
        <f>+Tabla1[[#This Row],[DIF $ PRECIO NETO INDUSTRIA vs Neto TUCUMAN (IVA INC)]]*Tabla1[[#This Row],[Q Bolsas Equivalentes 50kg]]</f>
        <v>#VALUE!</v>
      </c>
      <c r="AN816" s="846" t="e">
        <f>Tabla1[[#This Row],[PRECIO REF $ BOLSA 50 KG CACTU (IVA INC)]]*Tabla1[[#This Row],[Q Bolsas Equivalentes 50kg]]</f>
        <v>#VALUE!</v>
      </c>
      <c r="AO816" s="846" t="e">
        <f>+Tabla1[[#This Row],[PRECIO $ BOLSA 50KG  FOB CDO TUC (IVA INC)]]*Tabla1[[#This Row],[Q Bolsas Equivalentes 50kg]]</f>
        <v>#VALUE!</v>
      </c>
      <c r="AP816" s="847"/>
      <c r="AQ816" s="846">
        <v>0</v>
      </c>
      <c r="AR816" s="828"/>
      <c r="AS816" s="849"/>
      <c r="AT816" s="923">
        <f>+Tabla1[[#This Row],[VENTA TOTAL $ (IVA INC) ]]-(SUM(Tabla1[[#This Row],[PENDIENTE DE ENTREGA]:[VALORES COBRADOS]]))</f>
        <v>0</v>
      </c>
      <c r="AU816" s="850" t="e">
        <f>VLOOKUP(Tabla1[[#This Row],[FECHA OC]],'TIPO DE CAMBIO'!A:B,2,TRUE)</f>
        <v>#N/A</v>
      </c>
      <c r="AV816" s="850" t="e">
        <f>+Tabla1[[#This Row],[SUBTOTAL]]/Tabla1[[#This Row],[TIPO DE CAMBIO]]</f>
        <v>#N/A</v>
      </c>
      <c r="AW816" s="851"/>
      <c r="AX816" s="850" t="str">
        <f>IFERROR(Tabla1[[#This Row],[VENTA TOTAL USD A PLAZO EN CLIENTE  (SIN IVA)]]*(1+Tabla1[[#This Row],[% IVA ]]),"")</f>
        <v/>
      </c>
      <c r="AY816" s="850" t="e">
        <f>+Tabla1[[#This Row],[VENTA TOTAL USD A PLAZO EN CLIENTE  (SIN IVA)]]/Tabla1[[#This Row],[KGS]]*1000</f>
        <v>#N/A</v>
      </c>
      <c r="AZ816" s="850" t="e">
        <f>-Tabla1[[#This Row],[COSTO FLETE $ POR BOLSA 5O KG (SIN IVA)]]*20/Tabla1[[#This Row],[TIPO DE CAMBIO]]</f>
        <v>#N/A</v>
      </c>
      <c r="BA816" s="850" t="e">
        <f>+Tabla1[[#This Row],[GASTOS FINANCIEROS $ BOLSA 50 KG (IVA INC)]]*20/Tabla1[[#This Row],[TIPO DE CAMBIO]]</f>
        <v>#VALUE!</v>
      </c>
      <c r="BB816" s="850" t="e">
        <f>+Tabla1[[#This Row],[PRECIO POR TN USD EN CLIENTE A PLAZO (SIN IVA)]]+Tabla1[[#This Row],[COSTO USD FLETE /TN (SIN IVA)]]+Tabla1[[#This Row],[COSTO FINANCIERO USD POR BOLSA 50KG (IVA INC)]]</f>
        <v>#N/A</v>
      </c>
      <c r="BC816" s="828"/>
      <c r="BD816" s="944"/>
    </row>
    <row r="817" spans="1:56" ht="15.75" customHeight="1">
      <c r="A817" s="912">
        <v>46388</v>
      </c>
      <c r="B817" s="863"/>
      <c r="C817" s="792"/>
      <c r="D817" s="829">
        <f>+Tabla1[[#This Row],[FECHA Entrega]]</f>
        <v>0</v>
      </c>
      <c r="E817" s="830"/>
      <c r="F817" s="831"/>
      <c r="G817" s="832"/>
      <c r="H817" s="852"/>
      <c r="I817" s="834"/>
      <c r="J817" s="835"/>
      <c r="K817" s="836">
        <f t="shared" si="160"/>
        <v>0</v>
      </c>
      <c r="L81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17" s="837">
        <f t="shared" si="162"/>
        <v>0</v>
      </c>
      <c r="N817" s="838">
        <f>+Tabla1[[#This Row],[VENTA TOTAL $ (IVA INC) ]]</f>
        <v>0</v>
      </c>
      <c r="O817" s="838">
        <v>0</v>
      </c>
      <c r="P817" s="838">
        <v>0</v>
      </c>
      <c r="Q817" s="839">
        <f>+Tabla1[[#This Row],[VENTA TOTAL $ (IVA INC) ]]</f>
        <v>0</v>
      </c>
      <c r="R817" s="840">
        <f>+Tabla1[[#This Row],[FECHA FC]]+Tabla1[[#This Row],[PLAZO ENTREGA VALORES]]</f>
        <v>0</v>
      </c>
      <c r="S817" s="840">
        <f>+Tabla1[[#This Row],[FECHA FC]]+Tabla1[[#This Row],[PLAZO PAGO (DIAS)]]</f>
        <v>0</v>
      </c>
      <c r="T817" s="834">
        <f t="shared" ca="1" si="161"/>
        <v>-46181</v>
      </c>
      <c r="U817" s="831"/>
      <c r="V817" s="831"/>
      <c r="W817" s="841">
        <f>+Tabla1[[#This Row],[FECHA VTO VALORES]]+7</f>
        <v>7</v>
      </c>
      <c r="X817" s="830"/>
      <c r="Y817" s="859"/>
      <c r="Z817" s="860">
        <f>Tabla1[[#This Row],[KGS]]/50</f>
        <v>0</v>
      </c>
      <c r="AA81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17" s="844">
        <f>-Tabla1[[#This Row],[COSTO FLETE $ POR BOLSA 5O KG (SIN IVA)]]*1.21-Tabla1[[#This Row],[PRECIO $/ KG A PLAZO EN CLIENTE ( SIN IVA)]]*0.003*1.21*50</f>
        <v>0</v>
      </c>
      <c r="AC817" s="845" t="e">
        <f>SUM(Tabla1[[#This Row],[PRECIO $ BOLSA 50 KG (IVA INC) ]]+Tabla1[[#This Row],[COSTO FLETE $ BOLSA 50 KG (IVA INC)]])</f>
        <v>#VALUE!</v>
      </c>
      <c r="AD817" s="844" t="e">
        <f>-Tabla1[[#This Row],[PRECIO $ BOLSA 50 KG (IVA INC) ]]*(Tabla1[[#This Row],[TASA FINANCIACION MENSUAL]]/365)*Tabla1[[#This Row],[PLAZO ENTREGA VALORES]]</f>
        <v>#VALUE!</v>
      </c>
      <c r="AE817" s="845" t="e">
        <f>SUM(Tabla1[[#This Row],[PRECIO $ BOLSA50 KG  FOB TUCUMAN A PLAZO (IVA INC)]]+Tabla1[[#This Row],[GASTOS FINANCIEROS $ BOLSA 50 KG (IVA INC)]])</f>
        <v>#VALUE!</v>
      </c>
      <c r="AF817" s="828"/>
      <c r="AG817" s="828"/>
      <c r="AH817" s="828"/>
      <c r="AI817" s="828"/>
      <c r="AJ81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17" s="846" t="e">
        <f>SUM(Tabla1[[#This Row],[PRECIO $ BOLSA 50KG  FOB CDO TUC (IVA INC)]]-Tabla1[[#This Row],[PRECIO REF $ BOLSA 50 KG CACTU (IVA INC)]])</f>
        <v>#VALUE!</v>
      </c>
      <c r="AL817" s="847" t="str">
        <f>IFERROR(Tabla1[[#This Row],[PRECIO $ BOLSA 50KG  FOB CDO TUC (IVA INC)]]/Tabla1[[#This Row],[PRECIO REF $ BOLSA 50 KG CACTU (IVA INC)]]-1,"")</f>
        <v/>
      </c>
      <c r="AM817" s="846" t="e">
        <f>+Tabla1[[#This Row],[DIF $ PRECIO NETO INDUSTRIA vs Neto TUCUMAN (IVA INC)]]*Tabla1[[#This Row],[Q Bolsas Equivalentes 50kg]]</f>
        <v>#VALUE!</v>
      </c>
      <c r="AN817" s="846" t="e">
        <f>Tabla1[[#This Row],[PRECIO REF $ BOLSA 50 KG CACTU (IVA INC)]]*Tabla1[[#This Row],[Q Bolsas Equivalentes 50kg]]</f>
        <v>#VALUE!</v>
      </c>
      <c r="AO817" s="846" t="e">
        <f>+Tabla1[[#This Row],[PRECIO $ BOLSA 50KG  FOB CDO TUC (IVA INC)]]*Tabla1[[#This Row],[Q Bolsas Equivalentes 50kg]]</f>
        <v>#VALUE!</v>
      </c>
      <c r="AP817" s="847"/>
      <c r="AQ817" s="846">
        <v>0</v>
      </c>
      <c r="AR817" s="828"/>
      <c r="AS817" s="849"/>
      <c r="AT817" s="923">
        <f>+Tabla1[[#This Row],[VENTA TOTAL $ (IVA INC) ]]-(SUM(Tabla1[[#This Row],[PENDIENTE DE ENTREGA]:[VALORES COBRADOS]]))</f>
        <v>0</v>
      </c>
      <c r="AU817" s="850" t="e">
        <f>VLOOKUP(Tabla1[[#This Row],[FECHA OC]],'TIPO DE CAMBIO'!A:B,2,TRUE)</f>
        <v>#N/A</v>
      </c>
      <c r="AV817" s="850" t="e">
        <f>+Tabla1[[#This Row],[SUBTOTAL]]/Tabla1[[#This Row],[TIPO DE CAMBIO]]</f>
        <v>#N/A</v>
      </c>
      <c r="AW817" s="851"/>
      <c r="AX817" s="850" t="str">
        <f>IFERROR(Tabla1[[#This Row],[VENTA TOTAL USD A PLAZO EN CLIENTE  (SIN IVA)]]*(1+Tabla1[[#This Row],[% IVA ]]),"")</f>
        <v/>
      </c>
      <c r="AY817" s="850" t="e">
        <f>+Tabla1[[#This Row],[VENTA TOTAL USD A PLAZO EN CLIENTE  (SIN IVA)]]/Tabla1[[#This Row],[KGS]]*1000</f>
        <v>#N/A</v>
      </c>
      <c r="AZ817" s="850" t="e">
        <f>-Tabla1[[#This Row],[COSTO FLETE $ POR BOLSA 5O KG (SIN IVA)]]*20/Tabla1[[#This Row],[TIPO DE CAMBIO]]</f>
        <v>#N/A</v>
      </c>
      <c r="BA817" s="850" t="e">
        <f>+Tabla1[[#This Row],[GASTOS FINANCIEROS $ BOLSA 50 KG (IVA INC)]]*20/Tabla1[[#This Row],[TIPO DE CAMBIO]]</f>
        <v>#VALUE!</v>
      </c>
      <c r="BB817" s="850" t="e">
        <f>+Tabla1[[#This Row],[PRECIO POR TN USD EN CLIENTE A PLAZO (SIN IVA)]]+Tabla1[[#This Row],[COSTO USD FLETE /TN (SIN IVA)]]+Tabla1[[#This Row],[COSTO FINANCIERO USD POR BOLSA 50KG (IVA INC)]]</f>
        <v>#N/A</v>
      </c>
      <c r="BC817" s="828"/>
      <c r="BD817" s="944"/>
    </row>
    <row r="818" spans="1:56" ht="15.75" customHeight="1">
      <c r="A818" s="912">
        <v>46388</v>
      </c>
      <c r="B818" s="863"/>
      <c r="C818" s="792"/>
      <c r="D818" s="829">
        <f>+Tabla1[[#This Row],[FECHA Entrega]]</f>
        <v>0</v>
      </c>
      <c r="E818" s="830"/>
      <c r="F818" s="831"/>
      <c r="G818" s="832"/>
      <c r="H818" s="852"/>
      <c r="I818" s="834"/>
      <c r="J818" s="835"/>
      <c r="K818" s="836">
        <f t="shared" si="160"/>
        <v>0</v>
      </c>
      <c r="L81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18" s="837">
        <f t="shared" si="162"/>
        <v>0</v>
      </c>
      <c r="N818" s="838">
        <f>+Tabla1[[#This Row],[VENTA TOTAL $ (IVA INC) ]]</f>
        <v>0</v>
      </c>
      <c r="O818" s="838">
        <v>0</v>
      </c>
      <c r="P818" s="838">
        <v>0</v>
      </c>
      <c r="Q818" s="839">
        <f>+Tabla1[[#This Row],[VENTA TOTAL $ (IVA INC) ]]</f>
        <v>0</v>
      </c>
      <c r="R818" s="840">
        <f>+Tabla1[[#This Row],[FECHA FC]]+Tabla1[[#This Row],[PLAZO ENTREGA VALORES]]</f>
        <v>0</v>
      </c>
      <c r="S818" s="840">
        <f>+Tabla1[[#This Row],[FECHA FC]]+Tabla1[[#This Row],[PLAZO PAGO (DIAS)]]</f>
        <v>0</v>
      </c>
      <c r="T818" s="834">
        <f t="shared" ca="1" si="161"/>
        <v>-46181</v>
      </c>
      <c r="U818" s="831"/>
      <c r="V818" s="831"/>
      <c r="W818" s="841">
        <f>+Tabla1[[#This Row],[FECHA VTO VALORES]]+7</f>
        <v>7</v>
      </c>
      <c r="X818" s="830"/>
      <c r="Y818" s="859"/>
      <c r="Z818" s="860">
        <f>Tabla1[[#This Row],[KGS]]/50</f>
        <v>0</v>
      </c>
      <c r="AA81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18" s="844">
        <f>-Tabla1[[#This Row],[COSTO FLETE $ POR BOLSA 5O KG (SIN IVA)]]*1.21-Tabla1[[#This Row],[PRECIO $/ KG A PLAZO EN CLIENTE ( SIN IVA)]]*0.003*1.21*50</f>
        <v>0</v>
      </c>
      <c r="AC818" s="845" t="e">
        <f>SUM(Tabla1[[#This Row],[PRECIO $ BOLSA 50 KG (IVA INC) ]]+Tabla1[[#This Row],[COSTO FLETE $ BOLSA 50 KG (IVA INC)]])</f>
        <v>#VALUE!</v>
      </c>
      <c r="AD818" s="844" t="e">
        <f>-Tabla1[[#This Row],[PRECIO $ BOLSA 50 KG (IVA INC) ]]*(Tabla1[[#This Row],[TASA FINANCIACION MENSUAL]]/365)*Tabla1[[#This Row],[PLAZO ENTREGA VALORES]]</f>
        <v>#VALUE!</v>
      </c>
      <c r="AE818" s="845" t="e">
        <f>SUM(Tabla1[[#This Row],[PRECIO $ BOLSA50 KG  FOB TUCUMAN A PLAZO (IVA INC)]]+Tabla1[[#This Row],[GASTOS FINANCIEROS $ BOLSA 50 KG (IVA INC)]])</f>
        <v>#VALUE!</v>
      </c>
      <c r="AF818" s="828"/>
      <c r="AG818" s="828"/>
      <c r="AH818" s="828"/>
      <c r="AI818" s="828"/>
      <c r="AJ81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18" s="846" t="e">
        <f>SUM(Tabla1[[#This Row],[PRECIO $ BOLSA 50KG  FOB CDO TUC (IVA INC)]]-Tabla1[[#This Row],[PRECIO REF $ BOLSA 50 KG CACTU (IVA INC)]])</f>
        <v>#VALUE!</v>
      </c>
      <c r="AL818" s="847" t="str">
        <f>IFERROR(Tabla1[[#This Row],[PRECIO $ BOLSA 50KG  FOB CDO TUC (IVA INC)]]/Tabla1[[#This Row],[PRECIO REF $ BOLSA 50 KG CACTU (IVA INC)]]-1,"")</f>
        <v/>
      </c>
      <c r="AM818" s="846" t="e">
        <f>+Tabla1[[#This Row],[DIF $ PRECIO NETO INDUSTRIA vs Neto TUCUMAN (IVA INC)]]*Tabla1[[#This Row],[Q Bolsas Equivalentes 50kg]]</f>
        <v>#VALUE!</v>
      </c>
      <c r="AN818" s="846" t="e">
        <f>Tabla1[[#This Row],[PRECIO REF $ BOLSA 50 KG CACTU (IVA INC)]]*Tabla1[[#This Row],[Q Bolsas Equivalentes 50kg]]</f>
        <v>#VALUE!</v>
      </c>
      <c r="AO818" s="846" t="e">
        <f>+Tabla1[[#This Row],[PRECIO $ BOLSA 50KG  FOB CDO TUC (IVA INC)]]*Tabla1[[#This Row],[Q Bolsas Equivalentes 50kg]]</f>
        <v>#VALUE!</v>
      </c>
      <c r="AP818" s="847"/>
      <c r="AQ818" s="846">
        <v>0</v>
      </c>
      <c r="AR818" s="828"/>
      <c r="AS818" s="849"/>
      <c r="AT818" s="923">
        <f>+Tabla1[[#This Row],[VENTA TOTAL $ (IVA INC) ]]-(SUM(Tabla1[[#This Row],[PENDIENTE DE ENTREGA]:[VALORES COBRADOS]]))</f>
        <v>0</v>
      </c>
      <c r="AU818" s="850" t="e">
        <f>VLOOKUP(Tabla1[[#This Row],[FECHA OC]],'TIPO DE CAMBIO'!A:B,2,TRUE)</f>
        <v>#N/A</v>
      </c>
      <c r="AV818" s="850" t="e">
        <f>+Tabla1[[#This Row],[SUBTOTAL]]/Tabla1[[#This Row],[TIPO DE CAMBIO]]</f>
        <v>#N/A</v>
      </c>
      <c r="AW818" s="851"/>
      <c r="AX818" s="850" t="str">
        <f>IFERROR(Tabla1[[#This Row],[VENTA TOTAL USD A PLAZO EN CLIENTE  (SIN IVA)]]*(1+Tabla1[[#This Row],[% IVA ]]),"")</f>
        <v/>
      </c>
      <c r="AY818" s="850" t="e">
        <f>+Tabla1[[#This Row],[VENTA TOTAL USD A PLAZO EN CLIENTE  (SIN IVA)]]/Tabla1[[#This Row],[KGS]]*1000</f>
        <v>#N/A</v>
      </c>
      <c r="AZ818" s="850" t="e">
        <f>-Tabla1[[#This Row],[COSTO FLETE $ POR BOLSA 5O KG (SIN IVA)]]*20/Tabla1[[#This Row],[TIPO DE CAMBIO]]</f>
        <v>#N/A</v>
      </c>
      <c r="BA818" s="850" t="e">
        <f>+Tabla1[[#This Row],[GASTOS FINANCIEROS $ BOLSA 50 KG (IVA INC)]]*20/Tabla1[[#This Row],[TIPO DE CAMBIO]]</f>
        <v>#VALUE!</v>
      </c>
      <c r="BB818" s="850" t="e">
        <f>+Tabla1[[#This Row],[PRECIO POR TN USD EN CLIENTE A PLAZO (SIN IVA)]]+Tabla1[[#This Row],[COSTO USD FLETE /TN (SIN IVA)]]+Tabla1[[#This Row],[COSTO FINANCIERO USD POR BOLSA 50KG (IVA INC)]]</f>
        <v>#N/A</v>
      </c>
      <c r="BC818" s="828"/>
      <c r="BD818" s="944"/>
    </row>
    <row r="819" spans="1:56" ht="15.75" customHeight="1">
      <c r="A819" s="912">
        <v>46388</v>
      </c>
      <c r="B819" s="863"/>
      <c r="C819" s="792"/>
      <c r="D819" s="829">
        <f>+Tabla1[[#This Row],[FECHA Entrega]]</f>
        <v>0</v>
      </c>
      <c r="E819" s="830"/>
      <c r="F819" s="831"/>
      <c r="G819" s="832"/>
      <c r="H819" s="852"/>
      <c r="I819" s="834"/>
      <c r="J819" s="835"/>
      <c r="K819" s="836">
        <f t="shared" si="160"/>
        <v>0</v>
      </c>
      <c r="L81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19" s="837">
        <f t="shared" si="162"/>
        <v>0</v>
      </c>
      <c r="N819" s="838">
        <f>+Tabla1[[#This Row],[VENTA TOTAL $ (IVA INC) ]]</f>
        <v>0</v>
      </c>
      <c r="O819" s="838">
        <v>0</v>
      </c>
      <c r="P819" s="838">
        <v>0</v>
      </c>
      <c r="Q819" s="839">
        <f>+Tabla1[[#This Row],[VENTA TOTAL $ (IVA INC) ]]</f>
        <v>0</v>
      </c>
      <c r="R819" s="840">
        <f>+Tabla1[[#This Row],[FECHA FC]]+Tabla1[[#This Row],[PLAZO ENTREGA VALORES]]</f>
        <v>0</v>
      </c>
      <c r="S819" s="840">
        <f>+Tabla1[[#This Row],[FECHA FC]]+Tabla1[[#This Row],[PLAZO PAGO (DIAS)]]</f>
        <v>0</v>
      </c>
      <c r="T819" s="834">
        <f t="shared" ca="1" si="161"/>
        <v>-46181</v>
      </c>
      <c r="U819" s="831"/>
      <c r="V819" s="831"/>
      <c r="W819" s="841">
        <f>+Tabla1[[#This Row],[FECHA VTO VALORES]]+7</f>
        <v>7</v>
      </c>
      <c r="X819" s="830"/>
      <c r="Y819" s="859"/>
      <c r="Z819" s="860">
        <f>Tabla1[[#This Row],[KGS]]/50</f>
        <v>0</v>
      </c>
      <c r="AA81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19" s="844">
        <f>-Tabla1[[#This Row],[COSTO FLETE $ POR BOLSA 5O KG (SIN IVA)]]*1.21-Tabla1[[#This Row],[PRECIO $/ KG A PLAZO EN CLIENTE ( SIN IVA)]]*0.003*1.21*50</f>
        <v>0</v>
      </c>
      <c r="AC819" s="845" t="e">
        <f>SUM(Tabla1[[#This Row],[PRECIO $ BOLSA 50 KG (IVA INC) ]]+Tabla1[[#This Row],[COSTO FLETE $ BOLSA 50 KG (IVA INC)]])</f>
        <v>#VALUE!</v>
      </c>
      <c r="AD819" s="844" t="e">
        <f>-Tabla1[[#This Row],[PRECIO $ BOLSA 50 KG (IVA INC) ]]*(Tabla1[[#This Row],[TASA FINANCIACION MENSUAL]]/365)*Tabla1[[#This Row],[PLAZO ENTREGA VALORES]]</f>
        <v>#VALUE!</v>
      </c>
      <c r="AE819" s="845" t="e">
        <f>SUM(Tabla1[[#This Row],[PRECIO $ BOLSA50 KG  FOB TUCUMAN A PLAZO (IVA INC)]]+Tabla1[[#This Row],[GASTOS FINANCIEROS $ BOLSA 50 KG (IVA INC)]])</f>
        <v>#VALUE!</v>
      </c>
      <c r="AF819" s="828"/>
      <c r="AG819" s="828"/>
      <c r="AH819" s="828"/>
      <c r="AI819" s="828"/>
      <c r="AJ81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19" s="846" t="e">
        <f>SUM(Tabla1[[#This Row],[PRECIO $ BOLSA 50KG  FOB CDO TUC (IVA INC)]]-Tabla1[[#This Row],[PRECIO REF $ BOLSA 50 KG CACTU (IVA INC)]])</f>
        <v>#VALUE!</v>
      </c>
      <c r="AL819" s="847" t="str">
        <f>IFERROR(Tabla1[[#This Row],[PRECIO $ BOLSA 50KG  FOB CDO TUC (IVA INC)]]/Tabla1[[#This Row],[PRECIO REF $ BOLSA 50 KG CACTU (IVA INC)]]-1,"")</f>
        <v/>
      </c>
      <c r="AM819" s="846" t="e">
        <f>+Tabla1[[#This Row],[DIF $ PRECIO NETO INDUSTRIA vs Neto TUCUMAN (IVA INC)]]*Tabla1[[#This Row],[Q Bolsas Equivalentes 50kg]]</f>
        <v>#VALUE!</v>
      </c>
      <c r="AN819" s="846" t="e">
        <f>Tabla1[[#This Row],[PRECIO REF $ BOLSA 50 KG CACTU (IVA INC)]]*Tabla1[[#This Row],[Q Bolsas Equivalentes 50kg]]</f>
        <v>#VALUE!</v>
      </c>
      <c r="AO819" s="846" t="e">
        <f>+Tabla1[[#This Row],[PRECIO $ BOLSA 50KG  FOB CDO TUC (IVA INC)]]*Tabla1[[#This Row],[Q Bolsas Equivalentes 50kg]]</f>
        <v>#VALUE!</v>
      </c>
      <c r="AP819" s="847"/>
      <c r="AQ819" s="846">
        <v>0</v>
      </c>
      <c r="AR819" s="828"/>
      <c r="AS819" s="849"/>
      <c r="AT819" s="923">
        <f>+Tabla1[[#This Row],[VENTA TOTAL $ (IVA INC) ]]-(SUM(Tabla1[[#This Row],[PENDIENTE DE ENTREGA]:[VALORES COBRADOS]]))</f>
        <v>0</v>
      </c>
      <c r="AU819" s="850" t="e">
        <f>VLOOKUP(Tabla1[[#This Row],[FECHA OC]],'TIPO DE CAMBIO'!A:B,2,TRUE)</f>
        <v>#N/A</v>
      </c>
      <c r="AV819" s="850" t="e">
        <f>+Tabla1[[#This Row],[SUBTOTAL]]/Tabla1[[#This Row],[TIPO DE CAMBIO]]</f>
        <v>#N/A</v>
      </c>
      <c r="AW819" s="851"/>
      <c r="AX819" s="850" t="str">
        <f>IFERROR(Tabla1[[#This Row],[VENTA TOTAL USD A PLAZO EN CLIENTE  (SIN IVA)]]*(1+Tabla1[[#This Row],[% IVA ]]),"")</f>
        <v/>
      </c>
      <c r="AY819" s="850" t="e">
        <f>+Tabla1[[#This Row],[VENTA TOTAL USD A PLAZO EN CLIENTE  (SIN IVA)]]/Tabla1[[#This Row],[KGS]]*1000</f>
        <v>#N/A</v>
      </c>
      <c r="AZ819" s="850" t="e">
        <f>-Tabla1[[#This Row],[COSTO FLETE $ POR BOLSA 5O KG (SIN IVA)]]*20/Tabla1[[#This Row],[TIPO DE CAMBIO]]</f>
        <v>#N/A</v>
      </c>
      <c r="BA819" s="850" t="e">
        <f>+Tabla1[[#This Row],[GASTOS FINANCIEROS $ BOLSA 50 KG (IVA INC)]]*20/Tabla1[[#This Row],[TIPO DE CAMBIO]]</f>
        <v>#VALUE!</v>
      </c>
      <c r="BB819" s="850" t="e">
        <f>+Tabla1[[#This Row],[PRECIO POR TN USD EN CLIENTE A PLAZO (SIN IVA)]]+Tabla1[[#This Row],[COSTO USD FLETE /TN (SIN IVA)]]+Tabla1[[#This Row],[COSTO FINANCIERO USD POR BOLSA 50KG (IVA INC)]]</f>
        <v>#N/A</v>
      </c>
      <c r="BC819" s="828"/>
      <c r="BD819" s="944"/>
    </row>
    <row r="820" spans="1:56" ht="15.75" customHeight="1">
      <c r="A820" s="912">
        <v>46388</v>
      </c>
      <c r="B820" s="863"/>
      <c r="C820" s="792"/>
      <c r="D820" s="829">
        <f>+Tabla1[[#This Row],[FECHA Entrega]]</f>
        <v>0</v>
      </c>
      <c r="E820" s="830"/>
      <c r="F820" s="831"/>
      <c r="G820" s="832"/>
      <c r="H820" s="852"/>
      <c r="I820" s="834"/>
      <c r="J820" s="835"/>
      <c r="K820" s="836">
        <f t="shared" si="160"/>
        <v>0</v>
      </c>
      <c r="L82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20" s="837">
        <f t="shared" si="162"/>
        <v>0</v>
      </c>
      <c r="N820" s="838">
        <f>+Tabla1[[#This Row],[VENTA TOTAL $ (IVA INC) ]]</f>
        <v>0</v>
      </c>
      <c r="O820" s="838">
        <v>0</v>
      </c>
      <c r="P820" s="838">
        <v>0</v>
      </c>
      <c r="Q820" s="839">
        <f>+Tabla1[[#This Row],[VENTA TOTAL $ (IVA INC) ]]</f>
        <v>0</v>
      </c>
      <c r="R820" s="840">
        <f>+Tabla1[[#This Row],[FECHA FC]]+Tabla1[[#This Row],[PLAZO ENTREGA VALORES]]</f>
        <v>0</v>
      </c>
      <c r="S820" s="840">
        <f>+Tabla1[[#This Row],[FECHA FC]]+Tabla1[[#This Row],[PLAZO PAGO (DIAS)]]</f>
        <v>0</v>
      </c>
      <c r="T820" s="834">
        <f t="shared" ca="1" si="161"/>
        <v>-46181</v>
      </c>
      <c r="U820" s="831"/>
      <c r="V820" s="831"/>
      <c r="W820" s="841">
        <f>+Tabla1[[#This Row],[FECHA VTO VALORES]]+7</f>
        <v>7</v>
      </c>
      <c r="X820" s="830"/>
      <c r="Y820" s="859"/>
      <c r="Z820" s="860">
        <f>Tabla1[[#This Row],[KGS]]/50</f>
        <v>0</v>
      </c>
      <c r="AA82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20" s="844">
        <f>-Tabla1[[#This Row],[COSTO FLETE $ POR BOLSA 5O KG (SIN IVA)]]*1.21-Tabla1[[#This Row],[PRECIO $/ KG A PLAZO EN CLIENTE ( SIN IVA)]]*0.003*1.21*50</f>
        <v>0</v>
      </c>
      <c r="AC820" s="845" t="e">
        <f>SUM(Tabla1[[#This Row],[PRECIO $ BOLSA 50 KG (IVA INC) ]]+Tabla1[[#This Row],[COSTO FLETE $ BOLSA 50 KG (IVA INC)]])</f>
        <v>#VALUE!</v>
      </c>
      <c r="AD820" s="844" t="e">
        <f>-Tabla1[[#This Row],[PRECIO $ BOLSA 50 KG (IVA INC) ]]*(Tabla1[[#This Row],[TASA FINANCIACION MENSUAL]]/365)*Tabla1[[#This Row],[PLAZO ENTREGA VALORES]]</f>
        <v>#VALUE!</v>
      </c>
      <c r="AE820" s="845" t="e">
        <f>SUM(Tabla1[[#This Row],[PRECIO $ BOLSA50 KG  FOB TUCUMAN A PLAZO (IVA INC)]]+Tabla1[[#This Row],[GASTOS FINANCIEROS $ BOLSA 50 KG (IVA INC)]])</f>
        <v>#VALUE!</v>
      </c>
      <c r="AF820" s="828"/>
      <c r="AG820" s="828"/>
      <c r="AH820" s="828"/>
      <c r="AI820" s="828"/>
      <c r="AJ82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20" s="846" t="e">
        <f>SUM(Tabla1[[#This Row],[PRECIO $ BOLSA 50KG  FOB CDO TUC (IVA INC)]]-Tabla1[[#This Row],[PRECIO REF $ BOLSA 50 KG CACTU (IVA INC)]])</f>
        <v>#VALUE!</v>
      </c>
      <c r="AL820" s="847" t="str">
        <f>IFERROR(Tabla1[[#This Row],[PRECIO $ BOLSA 50KG  FOB CDO TUC (IVA INC)]]/Tabla1[[#This Row],[PRECIO REF $ BOLSA 50 KG CACTU (IVA INC)]]-1,"")</f>
        <v/>
      </c>
      <c r="AM820" s="846" t="e">
        <f>+Tabla1[[#This Row],[DIF $ PRECIO NETO INDUSTRIA vs Neto TUCUMAN (IVA INC)]]*Tabla1[[#This Row],[Q Bolsas Equivalentes 50kg]]</f>
        <v>#VALUE!</v>
      </c>
      <c r="AN820" s="846" t="e">
        <f>Tabla1[[#This Row],[PRECIO REF $ BOLSA 50 KG CACTU (IVA INC)]]*Tabla1[[#This Row],[Q Bolsas Equivalentes 50kg]]</f>
        <v>#VALUE!</v>
      </c>
      <c r="AO820" s="846" t="e">
        <f>+Tabla1[[#This Row],[PRECIO $ BOLSA 50KG  FOB CDO TUC (IVA INC)]]*Tabla1[[#This Row],[Q Bolsas Equivalentes 50kg]]</f>
        <v>#VALUE!</v>
      </c>
      <c r="AP820" s="847"/>
      <c r="AQ820" s="846">
        <v>0</v>
      </c>
      <c r="AR820" s="828"/>
      <c r="AS820" s="849"/>
      <c r="AT820" s="923">
        <f>+Tabla1[[#This Row],[VENTA TOTAL $ (IVA INC) ]]-(SUM(Tabla1[[#This Row],[PENDIENTE DE ENTREGA]:[VALORES COBRADOS]]))</f>
        <v>0</v>
      </c>
      <c r="AU820" s="850" t="e">
        <f>VLOOKUP(Tabla1[[#This Row],[FECHA OC]],'TIPO DE CAMBIO'!A:B,2,TRUE)</f>
        <v>#N/A</v>
      </c>
      <c r="AV820" s="850" t="e">
        <f>+Tabla1[[#This Row],[SUBTOTAL]]/Tabla1[[#This Row],[TIPO DE CAMBIO]]</f>
        <v>#N/A</v>
      </c>
      <c r="AW820" s="851"/>
      <c r="AX820" s="850" t="str">
        <f>IFERROR(Tabla1[[#This Row],[VENTA TOTAL USD A PLAZO EN CLIENTE  (SIN IVA)]]*(1+Tabla1[[#This Row],[% IVA ]]),"")</f>
        <v/>
      </c>
      <c r="AY820" s="850" t="e">
        <f>+Tabla1[[#This Row],[VENTA TOTAL USD A PLAZO EN CLIENTE  (SIN IVA)]]/Tabla1[[#This Row],[KGS]]*1000</f>
        <v>#N/A</v>
      </c>
      <c r="AZ820" s="850" t="e">
        <f>-Tabla1[[#This Row],[COSTO FLETE $ POR BOLSA 5O KG (SIN IVA)]]*20/Tabla1[[#This Row],[TIPO DE CAMBIO]]</f>
        <v>#N/A</v>
      </c>
      <c r="BA820" s="850" t="e">
        <f>+Tabla1[[#This Row],[GASTOS FINANCIEROS $ BOLSA 50 KG (IVA INC)]]*20/Tabla1[[#This Row],[TIPO DE CAMBIO]]</f>
        <v>#VALUE!</v>
      </c>
      <c r="BB820" s="850" t="e">
        <f>+Tabla1[[#This Row],[PRECIO POR TN USD EN CLIENTE A PLAZO (SIN IVA)]]+Tabla1[[#This Row],[COSTO USD FLETE /TN (SIN IVA)]]+Tabla1[[#This Row],[COSTO FINANCIERO USD POR BOLSA 50KG (IVA INC)]]</f>
        <v>#N/A</v>
      </c>
      <c r="BC820" s="828"/>
      <c r="BD820" s="944"/>
    </row>
    <row r="821" spans="1:56" ht="15.75" customHeight="1">
      <c r="A821" s="912">
        <v>46388</v>
      </c>
      <c r="B821" s="863"/>
      <c r="C821" s="792"/>
      <c r="D821" s="829">
        <f>+Tabla1[[#This Row],[FECHA Entrega]]</f>
        <v>0</v>
      </c>
      <c r="E821" s="830"/>
      <c r="F821" s="831"/>
      <c r="G821" s="832"/>
      <c r="H821" s="852"/>
      <c r="I821" s="834"/>
      <c r="J821" s="835"/>
      <c r="K821" s="836">
        <f t="shared" si="160"/>
        <v>0</v>
      </c>
      <c r="L82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21" s="837">
        <f t="shared" si="162"/>
        <v>0</v>
      </c>
      <c r="N821" s="838">
        <f>+Tabla1[[#This Row],[VENTA TOTAL $ (IVA INC) ]]</f>
        <v>0</v>
      </c>
      <c r="O821" s="838">
        <v>0</v>
      </c>
      <c r="P821" s="838">
        <v>0</v>
      </c>
      <c r="Q821" s="839">
        <f>+Tabla1[[#This Row],[VENTA TOTAL $ (IVA INC) ]]-Tabla1[[#This Row],[PENDIENTE DE COBRO]]</f>
        <v>0</v>
      </c>
      <c r="R821" s="840">
        <f>+Tabla1[[#This Row],[FECHA FC]]+Tabla1[[#This Row],[PLAZO ENTREGA VALORES]]</f>
        <v>0</v>
      </c>
      <c r="S821" s="840">
        <f>+Tabla1[[#This Row],[FECHA FC]]+Tabla1[[#This Row],[PLAZO PAGO (DIAS)]]</f>
        <v>0</v>
      </c>
      <c r="T821" s="834">
        <f t="shared" ca="1" si="161"/>
        <v>-46181</v>
      </c>
      <c r="U821" s="831"/>
      <c r="V821" s="831"/>
      <c r="W821" s="841">
        <f>+Tabla1[[#This Row],[FECHA VTO VALORES]]+7</f>
        <v>7</v>
      </c>
      <c r="X821" s="830"/>
      <c r="Y821" s="859"/>
      <c r="Z821" s="860">
        <f>Tabla1[[#This Row],[KGS]]/50</f>
        <v>0</v>
      </c>
      <c r="AA82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21" s="844">
        <f>-Tabla1[[#This Row],[COSTO FLETE $ POR BOLSA 5O KG (SIN IVA)]]*1.21-Tabla1[[#This Row],[PRECIO $/ KG A PLAZO EN CLIENTE ( SIN IVA)]]*0.003*1.21*50</f>
        <v>0</v>
      </c>
      <c r="AC821" s="845" t="e">
        <f>SUM(Tabla1[[#This Row],[PRECIO $ BOLSA 50 KG (IVA INC) ]]+Tabla1[[#This Row],[COSTO FLETE $ BOLSA 50 KG (IVA INC)]])</f>
        <v>#VALUE!</v>
      </c>
      <c r="AD821" s="844" t="e">
        <f>-Tabla1[[#This Row],[PRECIO $ BOLSA 50 KG (IVA INC) ]]*(Tabla1[[#This Row],[TASA FINANCIACION MENSUAL]]/365)*Tabla1[[#This Row],[PLAZO ENTREGA VALORES]]</f>
        <v>#VALUE!</v>
      </c>
      <c r="AE821" s="845" t="e">
        <f>SUM(Tabla1[[#This Row],[PRECIO $ BOLSA50 KG  FOB TUCUMAN A PLAZO (IVA INC)]]+Tabla1[[#This Row],[GASTOS FINANCIEROS $ BOLSA 50 KG (IVA INC)]])</f>
        <v>#VALUE!</v>
      </c>
      <c r="AF821" s="828"/>
      <c r="AG821" s="828"/>
      <c r="AH821" s="828"/>
      <c r="AI821" s="828"/>
      <c r="AJ82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21" s="846" t="e">
        <f>SUM(Tabla1[[#This Row],[PRECIO $ BOLSA 50KG  FOB CDO TUC (IVA INC)]]-Tabla1[[#This Row],[PRECIO REF $ BOLSA 50 KG CACTU (IVA INC)]])</f>
        <v>#VALUE!</v>
      </c>
      <c r="AL821" s="847" t="str">
        <f>IFERROR(Tabla1[[#This Row],[PRECIO $ BOLSA 50KG  FOB CDO TUC (IVA INC)]]/Tabla1[[#This Row],[PRECIO REF $ BOLSA 50 KG CACTU (IVA INC)]]-1,"")</f>
        <v/>
      </c>
      <c r="AM821" s="846" t="e">
        <f>+Tabla1[[#This Row],[DIF $ PRECIO NETO INDUSTRIA vs Neto TUCUMAN (IVA INC)]]*Tabla1[[#This Row],[Q Bolsas Equivalentes 50kg]]</f>
        <v>#VALUE!</v>
      </c>
      <c r="AN821" s="846" t="e">
        <f>Tabla1[[#This Row],[PRECIO REF $ BOLSA 50 KG CACTU (IVA INC)]]*Tabla1[[#This Row],[Q Bolsas Equivalentes 50kg]]</f>
        <v>#VALUE!</v>
      </c>
      <c r="AO821" s="846" t="e">
        <f>+Tabla1[[#This Row],[PRECIO $ BOLSA 50KG  FOB CDO TUC (IVA INC)]]*Tabla1[[#This Row],[Q Bolsas Equivalentes 50kg]]</f>
        <v>#VALUE!</v>
      </c>
      <c r="AP821" s="847"/>
      <c r="AQ821" s="846">
        <v>0</v>
      </c>
      <c r="AR821" s="828"/>
      <c r="AS821" s="849"/>
      <c r="AT821" s="923">
        <f>+Tabla1[[#This Row],[VENTA TOTAL $ (IVA INC) ]]-(SUM(Tabla1[[#This Row],[PENDIENTE DE ENTREGA]:[VALORES COBRADOS]]))</f>
        <v>0</v>
      </c>
      <c r="AU821" s="850" t="e">
        <f>VLOOKUP(Tabla1[[#This Row],[FECHA OC]],'TIPO DE CAMBIO'!A:B,2,TRUE)</f>
        <v>#N/A</v>
      </c>
      <c r="AV821" s="850" t="e">
        <f>+Tabla1[[#This Row],[SUBTOTAL]]/Tabla1[[#This Row],[TIPO DE CAMBIO]]</f>
        <v>#N/A</v>
      </c>
      <c r="AW821" s="851"/>
      <c r="AX821" s="850" t="str">
        <f>IFERROR(Tabla1[[#This Row],[VENTA TOTAL USD A PLAZO EN CLIENTE  (SIN IVA)]]*(1+Tabla1[[#This Row],[% IVA ]]),"")</f>
        <v/>
      </c>
      <c r="AY821" s="850" t="e">
        <f>+Tabla1[[#This Row],[VENTA TOTAL USD A PLAZO EN CLIENTE  (SIN IVA)]]/Tabla1[[#This Row],[KGS]]*1000</f>
        <v>#N/A</v>
      </c>
      <c r="AZ821" s="850" t="e">
        <f>-Tabla1[[#This Row],[COSTO FLETE $ POR BOLSA 5O KG (SIN IVA)]]*20/Tabla1[[#This Row],[TIPO DE CAMBIO]]</f>
        <v>#N/A</v>
      </c>
      <c r="BA821" s="850" t="e">
        <f>+Tabla1[[#This Row],[GASTOS FINANCIEROS $ BOLSA 50 KG (IVA INC)]]*20/Tabla1[[#This Row],[TIPO DE CAMBIO]]</f>
        <v>#VALUE!</v>
      </c>
      <c r="BB821" s="850" t="e">
        <f>+Tabla1[[#This Row],[PRECIO POR TN USD EN CLIENTE A PLAZO (SIN IVA)]]+Tabla1[[#This Row],[COSTO USD FLETE /TN (SIN IVA)]]+Tabla1[[#This Row],[COSTO FINANCIERO USD POR BOLSA 50KG (IVA INC)]]</f>
        <v>#N/A</v>
      </c>
      <c r="BC821" s="848"/>
      <c r="BD821" s="944"/>
    </row>
    <row r="822" spans="1:56" ht="15.75" customHeight="1">
      <c r="A822" s="912">
        <v>46388</v>
      </c>
      <c r="B822" s="863"/>
      <c r="C822" s="792"/>
      <c r="D822" s="829">
        <f>+Tabla1[[#This Row],[FECHA Entrega]]</f>
        <v>0</v>
      </c>
      <c r="E822" s="830"/>
      <c r="F822" s="831"/>
      <c r="G822" s="832"/>
      <c r="H822" s="852"/>
      <c r="I822" s="834"/>
      <c r="J822" s="835"/>
      <c r="K822" s="836">
        <f t="shared" si="160"/>
        <v>0</v>
      </c>
      <c r="L82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22" s="837">
        <f t="shared" si="162"/>
        <v>0</v>
      </c>
      <c r="N822" s="838">
        <f>+Tabla1[[#This Row],[VENTA TOTAL $ (IVA INC) ]]</f>
        <v>0</v>
      </c>
      <c r="O822" s="838">
        <v>0</v>
      </c>
      <c r="P822" s="838">
        <v>0</v>
      </c>
      <c r="Q822" s="839">
        <f>+Tabla1[[#This Row],[VENTA TOTAL $ (IVA INC) ]]-Tabla1[[#This Row],[PENDIENTE DE COBRO]]</f>
        <v>0</v>
      </c>
      <c r="R822" s="840">
        <f>+Tabla1[[#This Row],[FECHA FC]]+Tabla1[[#This Row],[PLAZO ENTREGA VALORES]]</f>
        <v>0</v>
      </c>
      <c r="S822" s="840">
        <f>+Tabla1[[#This Row],[FECHA FC]]+Tabla1[[#This Row],[PLAZO PAGO (DIAS)]]</f>
        <v>0</v>
      </c>
      <c r="T822" s="834">
        <f t="shared" ca="1" si="161"/>
        <v>-46181</v>
      </c>
      <c r="U822" s="831"/>
      <c r="V822" s="831"/>
      <c r="W822" s="841">
        <f>+Tabla1[[#This Row],[FECHA VTO VALORES]]+7</f>
        <v>7</v>
      </c>
      <c r="X822" s="830"/>
      <c r="Y822" s="859"/>
      <c r="Z822" s="860">
        <f>Tabla1[[#This Row],[KGS]]/50</f>
        <v>0</v>
      </c>
      <c r="AA82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22" s="844">
        <f>-Tabla1[[#This Row],[COSTO FLETE $ POR BOLSA 5O KG (SIN IVA)]]*1.21-Tabla1[[#This Row],[PRECIO $/ KG A PLAZO EN CLIENTE ( SIN IVA)]]*0.003*1.21*50</f>
        <v>0</v>
      </c>
      <c r="AC822" s="845" t="e">
        <f>SUM(Tabla1[[#This Row],[PRECIO $ BOLSA 50 KG (IVA INC) ]]+Tabla1[[#This Row],[COSTO FLETE $ BOLSA 50 KG (IVA INC)]])</f>
        <v>#VALUE!</v>
      </c>
      <c r="AD822" s="844" t="e">
        <f>-Tabla1[[#This Row],[PRECIO $ BOLSA 50 KG (IVA INC) ]]*(Tabla1[[#This Row],[TASA FINANCIACION MENSUAL]]/365)*Tabla1[[#This Row],[PLAZO ENTREGA VALORES]]</f>
        <v>#VALUE!</v>
      </c>
      <c r="AE822" s="845" t="e">
        <f>SUM(Tabla1[[#This Row],[PRECIO $ BOLSA50 KG  FOB TUCUMAN A PLAZO (IVA INC)]]+Tabla1[[#This Row],[GASTOS FINANCIEROS $ BOLSA 50 KG (IVA INC)]])</f>
        <v>#VALUE!</v>
      </c>
      <c r="AF822" s="828"/>
      <c r="AG822" s="828"/>
      <c r="AH822" s="828"/>
      <c r="AI822" s="828"/>
      <c r="AJ82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22" s="846" t="e">
        <f>SUM(Tabla1[[#This Row],[PRECIO $ BOLSA 50KG  FOB CDO TUC (IVA INC)]]-Tabla1[[#This Row],[PRECIO REF $ BOLSA 50 KG CACTU (IVA INC)]])</f>
        <v>#VALUE!</v>
      </c>
      <c r="AL822" s="847" t="str">
        <f>IFERROR(Tabla1[[#This Row],[PRECIO $ BOLSA 50KG  FOB CDO TUC (IVA INC)]]/Tabla1[[#This Row],[PRECIO REF $ BOLSA 50 KG CACTU (IVA INC)]]-1,"")</f>
        <v/>
      </c>
      <c r="AM822" s="846" t="e">
        <f>+Tabla1[[#This Row],[DIF $ PRECIO NETO INDUSTRIA vs Neto TUCUMAN (IVA INC)]]*Tabla1[[#This Row],[Q Bolsas Equivalentes 50kg]]</f>
        <v>#VALUE!</v>
      </c>
      <c r="AN822" s="846" t="e">
        <f>Tabla1[[#This Row],[PRECIO REF $ BOLSA 50 KG CACTU (IVA INC)]]*Tabla1[[#This Row],[Q Bolsas Equivalentes 50kg]]</f>
        <v>#VALUE!</v>
      </c>
      <c r="AO822" s="846" t="e">
        <f>+Tabla1[[#This Row],[PRECIO $ BOLSA 50KG  FOB CDO TUC (IVA INC)]]*Tabla1[[#This Row],[Q Bolsas Equivalentes 50kg]]</f>
        <v>#VALUE!</v>
      </c>
      <c r="AP822" s="847"/>
      <c r="AQ822" s="846">
        <v>0</v>
      </c>
      <c r="AR822" s="828"/>
      <c r="AS822" s="849"/>
      <c r="AT822" s="923">
        <f>+Tabla1[[#This Row],[VENTA TOTAL $ (IVA INC) ]]-(SUM(Tabla1[[#This Row],[PENDIENTE DE ENTREGA]:[VALORES COBRADOS]]))</f>
        <v>0</v>
      </c>
      <c r="AU822" s="850" t="e">
        <f>VLOOKUP(Tabla1[[#This Row],[FECHA OC]],'TIPO DE CAMBIO'!A:B,2,TRUE)</f>
        <v>#N/A</v>
      </c>
      <c r="AV822" s="850" t="e">
        <f>+Tabla1[[#This Row],[SUBTOTAL]]/Tabla1[[#This Row],[TIPO DE CAMBIO]]</f>
        <v>#N/A</v>
      </c>
      <c r="AW822" s="851"/>
      <c r="AX822" s="850" t="str">
        <f>IFERROR(Tabla1[[#This Row],[VENTA TOTAL USD A PLAZO EN CLIENTE  (SIN IVA)]]*(1+Tabla1[[#This Row],[% IVA ]]),"")</f>
        <v/>
      </c>
      <c r="AY822" s="850" t="e">
        <f>+Tabla1[[#This Row],[VENTA TOTAL USD A PLAZO EN CLIENTE  (SIN IVA)]]/Tabla1[[#This Row],[KGS]]*1000</f>
        <v>#N/A</v>
      </c>
      <c r="AZ822" s="850" t="e">
        <f>-Tabla1[[#This Row],[COSTO FLETE $ POR BOLSA 5O KG (SIN IVA)]]*20/Tabla1[[#This Row],[TIPO DE CAMBIO]]</f>
        <v>#N/A</v>
      </c>
      <c r="BA822" s="850" t="e">
        <f>+Tabla1[[#This Row],[GASTOS FINANCIEROS $ BOLSA 50 KG (IVA INC)]]*20/Tabla1[[#This Row],[TIPO DE CAMBIO]]</f>
        <v>#VALUE!</v>
      </c>
      <c r="BB822" s="850" t="e">
        <f>+Tabla1[[#This Row],[PRECIO POR TN USD EN CLIENTE A PLAZO (SIN IVA)]]+Tabla1[[#This Row],[COSTO USD FLETE /TN (SIN IVA)]]+Tabla1[[#This Row],[COSTO FINANCIERO USD POR BOLSA 50KG (IVA INC)]]</f>
        <v>#N/A</v>
      </c>
      <c r="BC822" s="848"/>
      <c r="BD822" s="944"/>
    </row>
    <row r="823" spans="1:56" ht="15.75" customHeight="1">
      <c r="A823" s="912">
        <v>46388</v>
      </c>
      <c r="B823" s="863"/>
      <c r="C823" s="792"/>
      <c r="D823" s="829">
        <f>+Tabla1[[#This Row],[FECHA Entrega]]</f>
        <v>0</v>
      </c>
      <c r="E823" s="830"/>
      <c r="F823" s="831"/>
      <c r="G823" s="832"/>
      <c r="H823" s="852"/>
      <c r="I823" s="834"/>
      <c r="J823" s="835"/>
      <c r="K823" s="836">
        <f t="shared" si="160"/>
        <v>0</v>
      </c>
      <c r="L82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23" s="837">
        <f t="shared" si="162"/>
        <v>0</v>
      </c>
      <c r="N823" s="838">
        <f>+Tabla1[[#This Row],[VENTA TOTAL $ (IVA INC) ]]</f>
        <v>0</v>
      </c>
      <c r="O823" s="838">
        <v>0</v>
      </c>
      <c r="P823" s="838">
        <v>0</v>
      </c>
      <c r="Q823" s="839">
        <f>+Tabla1[[#This Row],[VENTA TOTAL $ (IVA INC) ]]</f>
        <v>0</v>
      </c>
      <c r="R823" s="840">
        <f>+Tabla1[[#This Row],[FECHA FC]]+Tabla1[[#This Row],[PLAZO ENTREGA VALORES]]</f>
        <v>0</v>
      </c>
      <c r="S823" s="840">
        <f>+Tabla1[[#This Row],[FECHA FC]]+Tabla1[[#This Row],[PLAZO PAGO (DIAS)]]</f>
        <v>0</v>
      </c>
      <c r="T823" s="834">
        <f t="shared" ca="1" si="161"/>
        <v>-46181</v>
      </c>
      <c r="U823" s="831"/>
      <c r="V823" s="831"/>
      <c r="W823" s="841">
        <f>+Tabla1[[#This Row],[FECHA VTO VALORES]]+7</f>
        <v>7</v>
      </c>
      <c r="X823" s="830"/>
      <c r="Y823" s="859"/>
      <c r="Z823" s="860">
        <f>Tabla1[[#This Row],[KGS]]/50</f>
        <v>0</v>
      </c>
      <c r="AA82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23" s="844">
        <f>-Tabla1[[#This Row],[COSTO FLETE $ POR BOLSA 5O KG (SIN IVA)]]*1.21-Tabla1[[#This Row],[PRECIO $/ KG A PLAZO EN CLIENTE ( SIN IVA)]]*0.003*1.21*50</f>
        <v>0</v>
      </c>
      <c r="AC823" s="845" t="e">
        <f>SUM(Tabla1[[#This Row],[PRECIO $ BOLSA 50 KG (IVA INC) ]]+Tabla1[[#This Row],[COSTO FLETE $ BOLSA 50 KG (IVA INC)]])</f>
        <v>#VALUE!</v>
      </c>
      <c r="AD823" s="844" t="e">
        <f>-Tabla1[[#This Row],[PRECIO $ BOLSA 50 KG (IVA INC) ]]*(Tabla1[[#This Row],[TASA FINANCIACION MENSUAL]]/365)*Tabla1[[#This Row],[PLAZO ENTREGA VALORES]]</f>
        <v>#VALUE!</v>
      </c>
      <c r="AE823" s="845" t="e">
        <f>SUM(Tabla1[[#This Row],[PRECIO $ BOLSA50 KG  FOB TUCUMAN A PLAZO (IVA INC)]]+Tabla1[[#This Row],[GASTOS FINANCIEROS $ BOLSA 50 KG (IVA INC)]])</f>
        <v>#VALUE!</v>
      </c>
      <c r="AF823" s="828"/>
      <c r="AG823" s="828"/>
      <c r="AH823" s="828"/>
      <c r="AI823" s="828"/>
      <c r="AJ82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23" s="846" t="e">
        <f>SUM(Tabla1[[#This Row],[PRECIO $ BOLSA 50KG  FOB CDO TUC (IVA INC)]]-Tabla1[[#This Row],[PRECIO REF $ BOLSA 50 KG CACTU (IVA INC)]])</f>
        <v>#VALUE!</v>
      </c>
      <c r="AL823" s="847" t="str">
        <f>IFERROR(Tabla1[[#This Row],[PRECIO $ BOLSA 50KG  FOB CDO TUC (IVA INC)]]/Tabla1[[#This Row],[PRECIO REF $ BOLSA 50 KG CACTU (IVA INC)]]-1,"")</f>
        <v/>
      </c>
      <c r="AM823" s="846" t="e">
        <f>+Tabla1[[#This Row],[DIF $ PRECIO NETO INDUSTRIA vs Neto TUCUMAN (IVA INC)]]*Tabla1[[#This Row],[Q Bolsas Equivalentes 50kg]]</f>
        <v>#VALUE!</v>
      </c>
      <c r="AN823" s="846" t="e">
        <f>Tabla1[[#This Row],[PRECIO REF $ BOLSA 50 KG CACTU (IVA INC)]]*Tabla1[[#This Row],[Q Bolsas Equivalentes 50kg]]</f>
        <v>#VALUE!</v>
      </c>
      <c r="AO823" s="846" t="e">
        <f>+Tabla1[[#This Row],[PRECIO $ BOLSA 50KG  FOB CDO TUC (IVA INC)]]*Tabla1[[#This Row],[Q Bolsas Equivalentes 50kg]]</f>
        <v>#VALUE!</v>
      </c>
      <c r="AP823" s="847"/>
      <c r="AQ823" s="846">
        <v>0</v>
      </c>
      <c r="AR823" s="828"/>
      <c r="AS823" s="849"/>
      <c r="AT823" s="923">
        <f>+Tabla1[[#This Row],[VENTA TOTAL $ (IVA INC) ]]-(SUM(Tabla1[[#This Row],[PENDIENTE DE ENTREGA]:[VALORES COBRADOS]]))</f>
        <v>0</v>
      </c>
      <c r="AU823" s="850" t="e">
        <f>VLOOKUP(Tabla1[[#This Row],[FECHA OC]],'TIPO DE CAMBIO'!A:B,2,TRUE)</f>
        <v>#N/A</v>
      </c>
      <c r="AV823" s="850" t="e">
        <f>+Tabla1[[#This Row],[SUBTOTAL]]/Tabla1[[#This Row],[TIPO DE CAMBIO]]</f>
        <v>#N/A</v>
      </c>
      <c r="AW823" s="851"/>
      <c r="AX823" s="850" t="str">
        <f>IFERROR(Tabla1[[#This Row],[VENTA TOTAL USD A PLAZO EN CLIENTE  (SIN IVA)]]*(1+Tabla1[[#This Row],[% IVA ]]),"")</f>
        <v/>
      </c>
      <c r="AY823" s="850" t="e">
        <f>+Tabla1[[#This Row],[VENTA TOTAL USD A PLAZO EN CLIENTE  (SIN IVA)]]/Tabla1[[#This Row],[KGS]]*1000</f>
        <v>#N/A</v>
      </c>
      <c r="AZ823" s="850" t="e">
        <f>-Tabla1[[#This Row],[COSTO FLETE $ POR BOLSA 5O KG (SIN IVA)]]*20/Tabla1[[#This Row],[TIPO DE CAMBIO]]</f>
        <v>#N/A</v>
      </c>
      <c r="BA823" s="850" t="e">
        <f>+Tabla1[[#This Row],[GASTOS FINANCIEROS $ BOLSA 50 KG (IVA INC)]]*20/Tabla1[[#This Row],[TIPO DE CAMBIO]]</f>
        <v>#VALUE!</v>
      </c>
      <c r="BB823" s="850" t="e">
        <f>+Tabla1[[#This Row],[PRECIO POR TN USD EN CLIENTE A PLAZO (SIN IVA)]]+Tabla1[[#This Row],[COSTO USD FLETE /TN (SIN IVA)]]+Tabla1[[#This Row],[COSTO FINANCIERO USD POR BOLSA 50KG (IVA INC)]]</f>
        <v>#N/A</v>
      </c>
      <c r="BC823" s="828"/>
      <c r="BD823" s="944"/>
    </row>
    <row r="824" spans="1:56" ht="15.75" customHeight="1">
      <c r="A824" s="912">
        <v>46388</v>
      </c>
      <c r="B824" s="863"/>
      <c r="C824" s="792"/>
      <c r="D824" s="829">
        <f>+Tabla1[[#This Row],[FECHA Entrega]]</f>
        <v>0</v>
      </c>
      <c r="E824" s="830"/>
      <c r="F824" s="831"/>
      <c r="G824" s="832"/>
      <c r="H824" s="852"/>
      <c r="I824" s="834"/>
      <c r="J824" s="835"/>
      <c r="K824" s="836">
        <f t="shared" si="160"/>
        <v>0</v>
      </c>
      <c r="L82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24" s="837">
        <f t="shared" si="162"/>
        <v>0</v>
      </c>
      <c r="N824" s="838">
        <f>+Tabla1[[#This Row],[VENTA TOTAL $ (IVA INC) ]]</f>
        <v>0</v>
      </c>
      <c r="O824" s="838">
        <v>0</v>
      </c>
      <c r="P824" s="838">
        <v>0</v>
      </c>
      <c r="Q824" s="839">
        <f>+Tabla1[[#This Row],[VENTA TOTAL $ (IVA INC) ]]</f>
        <v>0</v>
      </c>
      <c r="R824" s="840">
        <f>+Tabla1[[#This Row],[FECHA FC]]+Tabla1[[#This Row],[PLAZO ENTREGA VALORES]]</f>
        <v>0</v>
      </c>
      <c r="S824" s="840">
        <f>+Tabla1[[#This Row],[FECHA FC]]+Tabla1[[#This Row],[PLAZO PAGO (DIAS)]]</f>
        <v>0</v>
      </c>
      <c r="T824" s="834">
        <f t="shared" ca="1" si="161"/>
        <v>-46181</v>
      </c>
      <c r="U824" s="831"/>
      <c r="V824" s="831"/>
      <c r="W824" s="841">
        <f>+Tabla1[[#This Row],[FECHA VTO VALORES]]+7</f>
        <v>7</v>
      </c>
      <c r="X824" s="830"/>
      <c r="Y824" s="859"/>
      <c r="Z824" s="860">
        <f>Tabla1[[#This Row],[KGS]]/50</f>
        <v>0</v>
      </c>
      <c r="AA82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24" s="844">
        <f>-Tabla1[[#This Row],[COSTO FLETE $ POR BOLSA 5O KG (SIN IVA)]]*1.21-Tabla1[[#This Row],[PRECIO $/ KG A PLAZO EN CLIENTE ( SIN IVA)]]*0.003*1.21*50</f>
        <v>0</v>
      </c>
      <c r="AC824" s="845" t="e">
        <f>SUM(Tabla1[[#This Row],[PRECIO $ BOLSA 50 KG (IVA INC) ]]+Tabla1[[#This Row],[COSTO FLETE $ BOLSA 50 KG (IVA INC)]])</f>
        <v>#VALUE!</v>
      </c>
      <c r="AD824" s="844" t="e">
        <f>-Tabla1[[#This Row],[PRECIO $ BOLSA 50 KG (IVA INC) ]]*(Tabla1[[#This Row],[TASA FINANCIACION MENSUAL]]/365)*Tabla1[[#This Row],[PLAZO ENTREGA VALORES]]</f>
        <v>#VALUE!</v>
      </c>
      <c r="AE824" s="845" t="e">
        <f>SUM(Tabla1[[#This Row],[PRECIO $ BOLSA50 KG  FOB TUCUMAN A PLAZO (IVA INC)]]+Tabla1[[#This Row],[GASTOS FINANCIEROS $ BOLSA 50 KG (IVA INC)]])</f>
        <v>#VALUE!</v>
      </c>
      <c r="AF824" s="828"/>
      <c r="AG824" s="828"/>
      <c r="AH824" s="828"/>
      <c r="AI824" s="828"/>
      <c r="AJ82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24" s="846" t="e">
        <f>SUM(Tabla1[[#This Row],[PRECIO $ BOLSA 50KG  FOB CDO TUC (IVA INC)]]-Tabla1[[#This Row],[PRECIO REF $ BOLSA 50 KG CACTU (IVA INC)]])</f>
        <v>#VALUE!</v>
      </c>
      <c r="AL824" s="847" t="str">
        <f>IFERROR(Tabla1[[#This Row],[PRECIO $ BOLSA 50KG  FOB CDO TUC (IVA INC)]]/Tabla1[[#This Row],[PRECIO REF $ BOLSA 50 KG CACTU (IVA INC)]]-1,"")</f>
        <v/>
      </c>
      <c r="AM824" s="846" t="e">
        <f>+Tabla1[[#This Row],[DIF $ PRECIO NETO INDUSTRIA vs Neto TUCUMAN (IVA INC)]]*Tabla1[[#This Row],[Q Bolsas Equivalentes 50kg]]</f>
        <v>#VALUE!</v>
      </c>
      <c r="AN824" s="846" t="e">
        <f>Tabla1[[#This Row],[PRECIO REF $ BOLSA 50 KG CACTU (IVA INC)]]*Tabla1[[#This Row],[Q Bolsas Equivalentes 50kg]]</f>
        <v>#VALUE!</v>
      </c>
      <c r="AO824" s="846" t="e">
        <f>+Tabla1[[#This Row],[PRECIO $ BOLSA 50KG  FOB CDO TUC (IVA INC)]]*Tabla1[[#This Row],[Q Bolsas Equivalentes 50kg]]</f>
        <v>#VALUE!</v>
      </c>
      <c r="AP824" s="847"/>
      <c r="AQ824" s="846">
        <v>0</v>
      </c>
      <c r="AR824" s="828"/>
      <c r="AS824" s="849"/>
      <c r="AT824" s="923">
        <f>+Tabla1[[#This Row],[VENTA TOTAL $ (IVA INC) ]]-(SUM(Tabla1[[#This Row],[PENDIENTE DE ENTREGA]:[VALORES COBRADOS]]))</f>
        <v>0</v>
      </c>
      <c r="AU824" s="850" t="e">
        <f>VLOOKUP(Tabla1[[#This Row],[FECHA OC]],'TIPO DE CAMBIO'!A:B,2,TRUE)</f>
        <v>#N/A</v>
      </c>
      <c r="AV824" s="850" t="e">
        <f>+Tabla1[[#This Row],[SUBTOTAL]]/Tabla1[[#This Row],[TIPO DE CAMBIO]]</f>
        <v>#N/A</v>
      </c>
      <c r="AW824" s="851"/>
      <c r="AX824" s="850" t="str">
        <f>IFERROR(Tabla1[[#This Row],[VENTA TOTAL USD A PLAZO EN CLIENTE  (SIN IVA)]]*(1+Tabla1[[#This Row],[% IVA ]]),"")</f>
        <v/>
      </c>
      <c r="AY824" s="850" t="e">
        <f>+Tabla1[[#This Row],[VENTA TOTAL USD A PLAZO EN CLIENTE  (SIN IVA)]]/Tabla1[[#This Row],[KGS]]*1000</f>
        <v>#N/A</v>
      </c>
      <c r="AZ824" s="850" t="e">
        <f>-Tabla1[[#This Row],[COSTO FLETE $ POR BOLSA 5O KG (SIN IVA)]]*20/Tabla1[[#This Row],[TIPO DE CAMBIO]]</f>
        <v>#N/A</v>
      </c>
      <c r="BA824" s="850" t="e">
        <f>+Tabla1[[#This Row],[GASTOS FINANCIEROS $ BOLSA 50 KG (IVA INC)]]*20/Tabla1[[#This Row],[TIPO DE CAMBIO]]</f>
        <v>#VALUE!</v>
      </c>
      <c r="BB824" s="850" t="e">
        <f>+Tabla1[[#This Row],[PRECIO POR TN USD EN CLIENTE A PLAZO (SIN IVA)]]+Tabla1[[#This Row],[COSTO USD FLETE /TN (SIN IVA)]]+Tabla1[[#This Row],[COSTO FINANCIERO USD POR BOLSA 50KG (IVA INC)]]</f>
        <v>#N/A</v>
      </c>
      <c r="BC824" s="828"/>
      <c r="BD824" s="944"/>
    </row>
    <row r="825" spans="1:56" ht="15.75" customHeight="1">
      <c r="A825" s="912">
        <v>46388</v>
      </c>
      <c r="B825" s="863"/>
      <c r="C825" s="792"/>
      <c r="D825" s="829">
        <f>+Tabla1[[#This Row],[FECHA Entrega]]</f>
        <v>0</v>
      </c>
      <c r="E825" s="830"/>
      <c r="F825" s="831"/>
      <c r="G825" s="832"/>
      <c r="H825" s="852"/>
      <c r="I825" s="834"/>
      <c r="J825" s="835"/>
      <c r="K825" s="836">
        <f t="shared" si="160"/>
        <v>0</v>
      </c>
      <c r="L82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25" s="837">
        <f t="shared" si="162"/>
        <v>0</v>
      </c>
      <c r="N825" s="838">
        <f>+Tabla1[[#This Row],[VENTA TOTAL $ (IVA INC) ]]</f>
        <v>0</v>
      </c>
      <c r="O825" s="838">
        <v>0</v>
      </c>
      <c r="P825" s="838">
        <v>0</v>
      </c>
      <c r="Q825" s="839">
        <f>+Tabla1[[#This Row],[VENTA TOTAL $ (IVA INC) ]]</f>
        <v>0</v>
      </c>
      <c r="R825" s="840">
        <f>+Tabla1[[#This Row],[FECHA FC]]+Tabla1[[#This Row],[PLAZO ENTREGA VALORES]]</f>
        <v>0</v>
      </c>
      <c r="S825" s="840">
        <f>+Tabla1[[#This Row],[FECHA FC]]+Tabla1[[#This Row],[PLAZO PAGO (DIAS)]]</f>
        <v>0</v>
      </c>
      <c r="T825" s="834">
        <f t="shared" ca="1" si="161"/>
        <v>-46181</v>
      </c>
      <c r="U825" s="831"/>
      <c r="V825" s="831"/>
      <c r="W825" s="841">
        <f>+Tabla1[[#This Row],[FECHA VTO VALORES]]+7</f>
        <v>7</v>
      </c>
      <c r="X825" s="830"/>
      <c r="Y825" s="859"/>
      <c r="Z825" s="860">
        <f>Tabla1[[#This Row],[KGS]]/50</f>
        <v>0</v>
      </c>
      <c r="AA82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25" s="844">
        <f>-Tabla1[[#This Row],[COSTO FLETE $ POR BOLSA 5O KG (SIN IVA)]]*1.21-Tabla1[[#This Row],[PRECIO $/ KG A PLAZO EN CLIENTE ( SIN IVA)]]*0.003*1.21*50</f>
        <v>0</v>
      </c>
      <c r="AC825" s="845" t="e">
        <f>SUM(Tabla1[[#This Row],[PRECIO $ BOLSA 50 KG (IVA INC) ]]+Tabla1[[#This Row],[COSTO FLETE $ BOLSA 50 KG (IVA INC)]])</f>
        <v>#VALUE!</v>
      </c>
      <c r="AD825" s="844" t="e">
        <f>-Tabla1[[#This Row],[PRECIO $ BOLSA 50 KG (IVA INC) ]]*(Tabla1[[#This Row],[TASA FINANCIACION MENSUAL]]/365)*Tabla1[[#This Row],[PLAZO ENTREGA VALORES]]</f>
        <v>#VALUE!</v>
      </c>
      <c r="AE825" s="845" t="e">
        <f>SUM(Tabla1[[#This Row],[PRECIO $ BOLSA50 KG  FOB TUCUMAN A PLAZO (IVA INC)]]+Tabla1[[#This Row],[GASTOS FINANCIEROS $ BOLSA 50 KG (IVA INC)]])</f>
        <v>#VALUE!</v>
      </c>
      <c r="AF825" s="828"/>
      <c r="AG825" s="828"/>
      <c r="AH825" s="828"/>
      <c r="AI825" s="828"/>
      <c r="AJ82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25" s="846" t="e">
        <f>SUM(Tabla1[[#This Row],[PRECIO $ BOLSA 50KG  FOB CDO TUC (IVA INC)]]-Tabla1[[#This Row],[PRECIO REF $ BOLSA 50 KG CACTU (IVA INC)]])</f>
        <v>#VALUE!</v>
      </c>
      <c r="AL825" s="847" t="str">
        <f>IFERROR(Tabla1[[#This Row],[PRECIO $ BOLSA 50KG  FOB CDO TUC (IVA INC)]]/Tabla1[[#This Row],[PRECIO REF $ BOLSA 50 KG CACTU (IVA INC)]]-1,"")</f>
        <v/>
      </c>
      <c r="AM825" s="846" t="e">
        <f>+Tabla1[[#This Row],[DIF $ PRECIO NETO INDUSTRIA vs Neto TUCUMAN (IVA INC)]]*Tabla1[[#This Row],[Q Bolsas Equivalentes 50kg]]</f>
        <v>#VALUE!</v>
      </c>
      <c r="AN825" s="846" t="e">
        <f>Tabla1[[#This Row],[PRECIO REF $ BOLSA 50 KG CACTU (IVA INC)]]*Tabla1[[#This Row],[Q Bolsas Equivalentes 50kg]]</f>
        <v>#VALUE!</v>
      </c>
      <c r="AO825" s="846" t="e">
        <f>+Tabla1[[#This Row],[PRECIO $ BOLSA 50KG  FOB CDO TUC (IVA INC)]]*Tabla1[[#This Row],[Q Bolsas Equivalentes 50kg]]</f>
        <v>#VALUE!</v>
      </c>
      <c r="AP825" s="847"/>
      <c r="AQ825" s="846">
        <v>0</v>
      </c>
      <c r="AR825" s="828"/>
      <c r="AS825" s="849"/>
      <c r="AT825" s="923">
        <f>+Tabla1[[#This Row],[VENTA TOTAL $ (IVA INC) ]]-(SUM(Tabla1[[#This Row],[PENDIENTE DE ENTREGA]:[VALORES COBRADOS]]))</f>
        <v>0</v>
      </c>
      <c r="AU825" s="850" t="e">
        <f>VLOOKUP(Tabla1[[#This Row],[FECHA OC]],'TIPO DE CAMBIO'!A:B,2,TRUE)</f>
        <v>#N/A</v>
      </c>
      <c r="AV825" s="850" t="e">
        <f>+Tabla1[[#This Row],[SUBTOTAL]]/Tabla1[[#This Row],[TIPO DE CAMBIO]]</f>
        <v>#N/A</v>
      </c>
      <c r="AW825" s="851"/>
      <c r="AX825" s="850" t="str">
        <f>IFERROR(Tabla1[[#This Row],[VENTA TOTAL USD A PLAZO EN CLIENTE  (SIN IVA)]]*(1+Tabla1[[#This Row],[% IVA ]]),"")</f>
        <v/>
      </c>
      <c r="AY825" s="850" t="e">
        <f>+Tabla1[[#This Row],[VENTA TOTAL USD A PLAZO EN CLIENTE  (SIN IVA)]]/Tabla1[[#This Row],[KGS]]*1000</f>
        <v>#N/A</v>
      </c>
      <c r="AZ825" s="850" t="e">
        <f>-Tabla1[[#This Row],[COSTO FLETE $ POR BOLSA 5O KG (SIN IVA)]]*20/Tabla1[[#This Row],[TIPO DE CAMBIO]]</f>
        <v>#N/A</v>
      </c>
      <c r="BA825" s="850" t="e">
        <f>+Tabla1[[#This Row],[GASTOS FINANCIEROS $ BOLSA 50 KG (IVA INC)]]*20/Tabla1[[#This Row],[TIPO DE CAMBIO]]</f>
        <v>#VALUE!</v>
      </c>
      <c r="BB825" s="850" t="e">
        <f>+Tabla1[[#This Row],[PRECIO POR TN USD EN CLIENTE A PLAZO (SIN IVA)]]+Tabla1[[#This Row],[COSTO USD FLETE /TN (SIN IVA)]]+Tabla1[[#This Row],[COSTO FINANCIERO USD POR BOLSA 50KG (IVA INC)]]</f>
        <v>#N/A</v>
      </c>
      <c r="BC825" s="828"/>
      <c r="BD825" s="944"/>
    </row>
    <row r="826" spans="1:56" ht="15.75" customHeight="1">
      <c r="A826" s="912">
        <v>46388</v>
      </c>
      <c r="B826" s="863"/>
      <c r="C826" s="792"/>
      <c r="D826" s="829">
        <f>+Tabla1[[#This Row],[FECHA Entrega]]</f>
        <v>0</v>
      </c>
      <c r="E826" s="830"/>
      <c r="F826" s="831"/>
      <c r="G826" s="832"/>
      <c r="H826" s="852"/>
      <c r="I826" s="834"/>
      <c r="J826" s="835"/>
      <c r="K826" s="836">
        <f t="shared" si="160"/>
        <v>0</v>
      </c>
      <c r="L82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26" s="837">
        <f t="shared" si="162"/>
        <v>0</v>
      </c>
      <c r="N826" s="838">
        <f>+Tabla1[[#This Row],[VENTA TOTAL $ (IVA INC) ]]</f>
        <v>0</v>
      </c>
      <c r="O826" s="838">
        <v>0</v>
      </c>
      <c r="P826" s="838">
        <v>0</v>
      </c>
      <c r="Q826" s="839">
        <f>+Tabla1[[#This Row],[VENTA TOTAL $ (IVA INC) ]]</f>
        <v>0</v>
      </c>
      <c r="R826" s="840">
        <f>+Tabla1[[#This Row],[FECHA FC]]+Tabla1[[#This Row],[PLAZO ENTREGA VALORES]]</f>
        <v>0</v>
      </c>
      <c r="S826" s="840">
        <f>+Tabla1[[#This Row],[FECHA FC]]+Tabla1[[#This Row],[PLAZO PAGO (DIAS)]]</f>
        <v>0</v>
      </c>
      <c r="T826" s="834">
        <f t="shared" ca="1" si="161"/>
        <v>-46181</v>
      </c>
      <c r="U826" s="831"/>
      <c r="V826" s="831"/>
      <c r="W826" s="841">
        <f>+Tabla1[[#This Row],[FECHA VTO VALORES]]+7</f>
        <v>7</v>
      </c>
      <c r="X826" s="830"/>
      <c r="Y826" s="859"/>
      <c r="Z826" s="860">
        <f>Tabla1[[#This Row],[KGS]]/50</f>
        <v>0</v>
      </c>
      <c r="AA82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26" s="844">
        <f>-Tabla1[[#This Row],[COSTO FLETE $ POR BOLSA 5O KG (SIN IVA)]]*1.21-Tabla1[[#This Row],[PRECIO $/ KG A PLAZO EN CLIENTE ( SIN IVA)]]*0.003*1.21*50</f>
        <v>0</v>
      </c>
      <c r="AC826" s="845" t="e">
        <f>SUM(Tabla1[[#This Row],[PRECIO $ BOLSA 50 KG (IVA INC) ]]+Tabla1[[#This Row],[COSTO FLETE $ BOLSA 50 KG (IVA INC)]])</f>
        <v>#VALUE!</v>
      </c>
      <c r="AD826" s="844" t="e">
        <f>-Tabla1[[#This Row],[PRECIO $ BOLSA 50 KG (IVA INC) ]]*(Tabla1[[#This Row],[TASA FINANCIACION MENSUAL]]/365)*Tabla1[[#This Row],[PLAZO ENTREGA VALORES]]</f>
        <v>#VALUE!</v>
      </c>
      <c r="AE826" s="845" t="e">
        <f>SUM(Tabla1[[#This Row],[PRECIO $ BOLSA50 KG  FOB TUCUMAN A PLAZO (IVA INC)]]+Tabla1[[#This Row],[GASTOS FINANCIEROS $ BOLSA 50 KG (IVA INC)]])</f>
        <v>#VALUE!</v>
      </c>
      <c r="AF826" s="828"/>
      <c r="AG826" s="828"/>
      <c r="AH826" s="828"/>
      <c r="AI826" s="828"/>
      <c r="AJ82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26" s="846" t="e">
        <f>SUM(Tabla1[[#This Row],[PRECIO $ BOLSA 50KG  FOB CDO TUC (IVA INC)]]-Tabla1[[#This Row],[PRECIO REF $ BOLSA 50 KG CACTU (IVA INC)]])</f>
        <v>#VALUE!</v>
      </c>
      <c r="AL826" s="847" t="str">
        <f>IFERROR(Tabla1[[#This Row],[PRECIO $ BOLSA 50KG  FOB CDO TUC (IVA INC)]]/Tabla1[[#This Row],[PRECIO REF $ BOLSA 50 KG CACTU (IVA INC)]]-1,"")</f>
        <v/>
      </c>
      <c r="AM826" s="846" t="e">
        <f>+Tabla1[[#This Row],[DIF $ PRECIO NETO INDUSTRIA vs Neto TUCUMAN (IVA INC)]]*Tabla1[[#This Row],[Q Bolsas Equivalentes 50kg]]</f>
        <v>#VALUE!</v>
      </c>
      <c r="AN826" s="846" t="e">
        <f>Tabla1[[#This Row],[PRECIO REF $ BOLSA 50 KG CACTU (IVA INC)]]*Tabla1[[#This Row],[Q Bolsas Equivalentes 50kg]]</f>
        <v>#VALUE!</v>
      </c>
      <c r="AO826" s="846" t="e">
        <f>+Tabla1[[#This Row],[PRECIO $ BOLSA 50KG  FOB CDO TUC (IVA INC)]]*Tabla1[[#This Row],[Q Bolsas Equivalentes 50kg]]</f>
        <v>#VALUE!</v>
      </c>
      <c r="AP826" s="847"/>
      <c r="AQ826" s="846">
        <v>0</v>
      </c>
      <c r="AR826" s="828"/>
      <c r="AS826" s="849"/>
      <c r="AT826" s="923">
        <f>+Tabla1[[#This Row],[VENTA TOTAL $ (IVA INC) ]]-(SUM(Tabla1[[#This Row],[PENDIENTE DE ENTREGA]:[VALORES COBRADOS]]))</f>
        <v>0</v>
      </c>
      <c r="AU826" s="850" t="e">
        <f>VLOOKUP(Tabla1[[#This Row],[FECHA OC]],'TIPO DE CAMBIO'!A:B,2,TRUE)</f>
        <v>#N/A</v>
      </c>
      <c r="AV826" s="850" t="e">
        <f>+Tabla1[[#This Row],[SUBTOTAL]]/Tabla1[[#This Row],[TIPO DE CAMBIO]]</f>
        <v>#N/A</v>
      </c>
      <c r="AW826" s="851"/>
      <c r="AX826" s="850" t="str">
        <f>IFERROR(Tabla1[[#This Row],[VENTA TOTAL USD A PLAZO EN CLIENTE  (SIN IVA)]]*(1+Tabla1[[#This Row],[% IVA ]]),"")</f>
        <v/>
      </c>
      <c r="AY826" s="850" t="e">
        <f>+Tabla1[[#This Row],[VENTA TOTAL USD A PLAZO EN CLIENTE  (SIN IVA)]]/Tabla1[[#This Row],[KGS]]*1000</f>
        <v>#N/A</v>
      </c>
      <c r="AZ826" s="850" t="e">
        <f>-Tabla1[[#This Row],[COSTO FLETE $ POR BOLSA 5O KG (SIN IVA)]]*20/Tabla1[[#This Row],[TIPO DE CAMBIO]]</f>
        <v>#N/A</v>
      </c>
      <c r="BA826" s="850" t="e">
        <f>+Tabla1[[#This Row],[GASTOS FINANCIEROS $ BOLSA 50 KG (IVA INC)]]*20/Tabla1[[#This Row],[TIPO DE CAMBIO]]</f>
        <v>#VALUE!</v>
      </c>
      <c r="BB826" s="850" t="e">
        <f>+Tabla1[[#This Row],[PRECIO POR TN USD EN CLIENTE A PLAZO (SIN IVA)]]+Tabla1[[#This Row],[COSTO USD FLETE /TN (SIN IVA)]]+Tabla1[[#This Row],[COSTO FINANCIERO USD POR BOLSA 50KG (IVA INC)]]</f>
        <v>#N/A</v>
      </c>
      <c r="BC826" s="828"/>
      <c r="BD826" s="944"/>
    </row>
    <row r="827" spans="1:56" ht="15.75" customHeight="1">
      <c r="A827" s="912">
        <v>46388</v>
      </c>
      <c r="B827" s="863"/>
      <c r="C827" s="792"/>
      <c r="D827" s="829">
        <f>+Tabla1[[#This Row],[FECHA Entrega]]</f>
        <v>0</v>
      </c>
      <c r="E827" s="830"/>
      <c r="F827" s="831"/>
      <c r="G827" s="832"/>
      <c r="H827" s="852"/>
      <c r="I827" s="834"/>
      <c r="J827" s="835"/>
      <c r="K827" s="836">
        <f t="shared" si="160"/>
        <v>0</v>
      </c>
      <c r="L82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27" s="837">
        <f t="shared" si="162"/>
        <v>0</v>
      </c>
      <c r="N827" s="838">
        <f>+Tabla1[[#This Row],[VENTA TOTAL $ (IVA INC) ]]</f>
        <v>0</v>
      </c>
      <c r="O827" s="838">
        <v>0</v>
      </c>
      <c r="P827" s="838">
        <v>0</v>
      </c>
      <c r="Q827" s="839">
        <f>+Tabla1[[#This Row],[VENTA TOTAL $ (IVA INC) ]]</f>
        <v>0</v>
      </c>
      <c r="R827" s="840">
        <f>+Tabla1[[#This Row],[FECHA FC]]+Tabla1[[#This Row],[PLAZO ENTREGA VALORES]]</f>
        <v>0</v>
      </c>
      <c r="S827" s="840">
        <f>+Tabla1[[#This Row],[FECHA FC]]+Tabla1[[#This Row],[PLAZO PAGO (DIAS)]]</f>
        <v>0</v>
      </c>
      <c r="T827" s="834">
        <f t="shared" ca="1" si="161"/>
        <v>-46181</v>
      </c>
      <c r="U827" s="831"/>
      <c r="V827" s="831"/>
      <c r="W827" s="841">
        <f>+Tabla1[[#This Row],[FECHA VTO VALORES]]+7</f>
        <v>7</v>
      </c>
      <c r="X827" s="830"/>
      <c r="Y827" s="859"/>
      <c r="Z827" s="860">
        <f>Tabla1[[#This Row],[KGS]]/50</f>
        <v>0</v>
      </c>
      <c r="AA82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27" s="844">
        <f>-Tabla1[[#This Row],[COSTO FLETE $ POR BOLSA 5O KG (SIN IVA)]]*1.21-Tabla1[[#This Row],[PRECIO $/ KG A PLAZO EN CLIENTE ( SIN IVA)]]*0.003*1.21*50</f>
        <v>0</v>
      </c>
      <c r="AC827" s="845" t="e">
        <f>SUM(Tabla1[[#This Row],[PRECIO $ BOLSA 50 KG (IVA INC) ]]+Tabla1[[#This Row],[COSTO FLETE $ BOLSA 50 KG (IVA INC)]])</f>
        <v>#VALUE!</v>
      </c>
      <c r="AD827" s="844" t="e">
        <f>-Tabla1[[#This Row],[PRECIO $ BOLSA 50 KG (IVA INC) ]]*(Tabla1[[#This Row],[TASA FINANCIACION MENSUAL]]/365)*Tabla1[[#This Row],[PLAZO ENTREGA VALORES]]</f>
        <v>#VALUE!</v>
      </c>
      <c r="AE827" s="845" t="e">
        <f>SUM(Tabla1[[#This Row],[PRECIO $ BOLSA50 KG  FOB TUCUMAN A PLAZO (IVA INC)]]+Tabla1[[#This Row],[GASTOS FINANCIEROS $ BOLSA 50 KG (IVA INC)]])</f>
        <v>#VALUE!</v>
      </c>
      <c r="AF827" s="828"/>
      <c r="AG827" s="828"/>
      <c r="AH827" s="828"/>
      <c r="AI827" s="828"/>
      <c r="AJ82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27" s="846" t="e">
        <f>SUM(Tabla1[[#This Row],[PRECIO $ BOLSA 50KG  FOB CDO TUC (IVA INC)]]-Tabla1[[#This Row],[PRECIO REF $ BOLSA 50 KG CACTU (IVA INC)]])</f>
        <v>#VALUE!</v>
      </c>
      <c r="AL827" s="847" t="str">
        <f>IFERROR(Tabla1[[#This Row],[PRECIO $ BOLSA 50KG  FOB CDO TUC (IVA INC)]]/Tabla1[[#This Row],[PRECIO REF $ BOLSA 50 KG CACTU (IVA INC)]]-1,"")</f>
        <v/>
      </c>
      <c r="AM827" s="846" t="e">
        <f>+Tabla1[[#This Row],[DIF $ PRECIO NETO INDUSTRIA vs Neto TUCUMAN (IVA INC)]]*Tabla1[[#This Row],[Q Bolsas Equivalentes 50kg]]</f>
        <v>#VALUE!</v>
      </c>
      <c r="AN827" s="846" t="e">
        <f>Tabla1[[#This Row],[PRECIO REF $ BOLSA 50 KG CACTU (IVA INC)]]*Tabla1[[#This Row],[Q Bolsas Equivalentes 50kg]]</f>
        <v>#VALUE!</v>
      </c>
      <c r="AO827" s="846" t="e">
        <f>+Tabla1[[#This Row],[PRECIO $ BOLSA 50KG  FOB CDO TUC (IVA INC)]]*Tabla1[[#This Row],[Q Bolsas Equivalentes 50kg]]</f>
        <v>#VALUE!</v>
      </c>
      <c r="AP827" s="847"/>
      <c r="AQ827" s="846">
        <v>0</v>
      </c>
      <c r="AR827" s="828"/>
      <c r="AS827" s="849"/>
      <c r="AT827" s="923">
        <f>+Tabla1[[#This Row],[VENTA TOTAL $ (IVA INC) ]]-(SUM(Tabla1[[#This Row],[PENDIENTE DE ENTREGA]:[VALORES COBRADOS]]))</f>
        <v>0</v>
      </c>
      <c r="AU827" s="850" t="e">
        <f>VLOOKUP(Tabla1[[#This Row],[FECHA OC]],'TIPO DE CAMBIO'!A:B,2,TRUE)</f>
        <v>#N/A</v>
      </c>
      <c r="AV827" s="850" t="e">
        <f>+Tabla1[[#This Row],[SUBTOTAL]]/Tabla1[[#This Row],[TIPO DE CAMBIO]]</f>
        <v>#N/A</v>
      </c>
      <c r="AW827" s="851"/>
      <c r="AX827" s="850" t="str">
        <f>IFERROR(Tabla1[[#This Row],[VENTA TOTAL USD A PLAZO EN CLIENTE  (SIN IVA)]]*(1+Tabla1[[#This Row],[% IVA ]]),"")</f>
        <v/>
      </c>
      <c r="AY827" s="850" t="e">
        <f>+Tabla1[[#This Row],[VENTA TOTAL USD A PLAZO EN CLIENTE  (SIN IVA)]]/Tabla1[[#This Row],[KGS]]*1000</f>
        <v>#N/A</v>
      </c>
      <c r="AZ827" s="850" t="e">
        <f>-Tabla1[[#This Row],[COSTO FLETE $ POR BOLSA 5O KG (SIN IVA)]]*20/Tabla1[[#This Row],[TIPO DE CAMBIO]]</f>
        <v>#N/A</v>
      </c>
      <c r="BA827" s="850" t="e">
        <f>+Tabla1[[#This Row],[GASTOS FINANCIEROS $ BOLSA 50 KG (IVA INC)]]*20/Tabla1[[#This Row],[TIPO DE CAMBIO]]</f>
        <v>#VALUE!</v>
      </c>
      <c r="BB827" s="850" t="e">
        <f>+Tabla1[[#This Row],[PRECIO POR TN USD EN CLIENTE A PLAZO (SIN IVA)]]+Tabla1[[#This Row],[COSTO USD FLETE /TN (SIN IVA)]]+Tabla1[[#This Row],[COSTO FINANCIERO USD POR BOLSA 50KG (IVA INC)]]</f>
        <v>#N/A</v>
      </c>
      <c r="BC827" s="828"/>
      <c r="BD827" s="944"/>
    </row>
    <row r="828" spans="1:56" ht="15.75" customHeight="1">
      <c r="A828" s="912">
        <v>46388</v>
      </c>
      <c r="B828" s="863"/>
      <c r="C828" s="792"/>
      <c r="D828" s="829">
        <f>+Tabla1[[#This Row],[FECHA Entrega]]</f>
        <v>0</v>
      </c>
      <c r="E828" s="830"/>
      <c r="F828" s="831"/>
      <c r="G828" s="832"/>
      <c r="H828" s="852"/>
      <c r="I828" s="834"/>
      <c r="J828" s="835"/>
      <c r="K828" s="836">
        <f t="shared" si="160"/>
        <v>0</v>
      </c>
      <c r="L82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28" s="837">
        <f t="shared" si="162"/>
        <v>0</v>
      </c>
      <c r="N828" s="838">
        <f>+Tabla1[[#This Row],[VENTA TOTAL $ (IVA INC) ]]</f>
        <v>0</v>
      </c>
      <c r="O828" s="838">
        <v>0</v>
      </c>
      <c r="P828" s="838">
        <v>0</v>
      </c>
      <c r="Q828" s="839">
        <f>+Tabla1[[#This Row],[VENTA TOTAL $ (IVA INC) ]]</f>
        <v>0</v>
      </c>
      <c r="R828" s="840">
        <f>+Tabla1[[#This Row],[FECHA FC]]+Tabla1[[#This Row],[PLAZO ENTREGA VALORES]]</f>
        <v>0</v>
      </c>
      <c r="S828" s="840">
        <f>+Tabla1[[#This Row],[FECHA FC]]+Tabla1[[#This Row],[PLAZO PAGO (DIAS)]]</f>
        <v>0</v>
      </c>
      <c r="T828" s="834">
        <f t="shared" ca="1" si="161"/>
        <v>-46181</v>
      </c>
      <c r="U828" s="831"/>
      <c r="V828" s="831"/>
      <c r="W828" s="841">
        <f>+Tabla1[[#This Row],[FECHA VTO VALORES]]+7</f>
        <v>7</v>
      </c>
      <c r="X828" s="830"/>
      <c r="Y828" s="859"/>
      <c r="Z828" s="860">
        <f>Tabla1[[#This Row],[KGS]]/50</f>
        <v>0</v>
      </c>
      <c r="AA82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28" s="844">
        <f>-Tabla1[[#This Row],[COSTO FLETE $ POR BOLSA 5O KG (SIN IVA)]]*1.21-Tabla1[[#This Row],[PRECIO $/ KG A PLAZO EN CLIENTE ( SIN IVA)]]*0.003*1.21*50</f>
        <v>0</v>
      </c>
      <c r="AC828" s="845" t="e">
        <f>SUM(Tabla1[[#This Row],[PRECIO $ BOLSA 50 KG (IVA INC) ]]+Tabla1[[#This Row],[COSTO FLETE $ BOLSA 50 KG (IVA INC)]])</f>
        <v>#VALUE!</v>
      </c>
      <c r="AD828" s="844" t="e">
        <f>-Tabla1[[#This Row],[PRECIO $ BOLSA 50 KG (IVA INC) ]]*(Tabla1[[#This Row],[TASA FINANCIACION MENSUAL]]/365)*Tabla1[[#This Row],[PLAZO ENTREGA VALORES]]</f>
        <v>#VALUE!</v>
      </c>
      <c r="AE828" s="845" t="e">
        <f>SUM(Tabla1[[#This Row],[PRECIO $ BOLSA50 KG  FOB TUCUMAN A PLAZO (IVA INC)]]+Tabla1[[#This Row],[GASTOS FINANCIEROS $ BOLSA 50 KG (IVA INC)]])</f>
        <v>#VALUE!</v>
      </c>
      <c r="AF828" s="828"/>
      <c r="AG828" s="828"/>
      <c r="AH828" s="828"/>
      <c r="AI828" s="828"/>
      <c r="AJ82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28" s="846" t="e">
        <f>SUM(Tabla1[[#This Row],[PRECIO $ BOLSA 50KG  FOB CDO TUC (IVA INC)]]-Tabla1[[#This Row],[PRECIO REF $ BOLSA 50 KG CACTU (IVA INC)]])</f>
        <v>#VALUE!</v>
      </c>
      <c r="AL828" s="847" t="str">
        <f>IFERROR(Tabla1[[#This Row],[PRECIO $ BOLSA 50KG  FOB CDO TUC (IVA INC)]]/Tabla1[[#This Row],[PRECIO REF $ BOLSA 50 KG CACTU (IVA INC)]]-1,"")</f>
        <v/>
      </c>
      <c r="AM828" s="846" t="e">
        <f>+Tabla1[[#This Row],[DIF $ PRECIO NETO INDUSTRIA vs Neto TUCUMAN (IVA INC)]]*Tabla1[[#This Row],[Q Bolsas Equivalentes 50kg]]</f>
        <v>#VALUE!</v>
      </c>
      <c r="AN828" s="846" t="e">
        <f>Tabla1[[#This Row],[PRECIO REF $ BOLSA 50 KG CACTU (IVA INC)]]*Tabla1[[#This Row],[Q Bolsas Equivalentes 50kg]]</f>
        <v>#VALUE!</v>
      </c>
      <c r="AO828" s="846" t="e">
        <f>+Tabla1[[#This Row],[PRECIO $ BOLSA 50KG  FOB CDO TUC (IVA INC)]]*Tabla1[[#This Row],[Q Bolsas Equivalentes 50kg]]</f>
        <v>#VALUE!</v>
      </c>
      <c r="AP828" s="847"/>
      <c r="AQ828" s="846">
        <v>0</v>
      </c>
      <c r="AR828" s="828"/>
      <c r="AS828" s="849"/>
      <c r="AT828" s="923">
        <f>+Tabla1[[#This Row],[VENTA TOTAL $ (IVA INC) ]]-(SUM(Tabla1[[#This Row],[PENDIENTE DE ENTREGA]:[VALORES COBRADOS]]))</f>
        <v>0</v>
      </c>
      <c r="AU828" s="850" t="e">
        <f>VLOOKUP(Tabla1[[#This Row],[FECHA OC]],'TIPO DE CAMBIO'!A:B,2,TRUE)</f>
        <v>#N/A</v>
      </c>
      <c r="AV828" s="850" t="e">
        <f>+Tabla1[[#This Row],[SUBTOTAL]]/Tabla1[[#This Row],[TIPO DE CAMBIO]]</f>
        <v>#N/A</v>
      </c>
      <c r="AW828" s="851"/>
      <c r="AX828" s="850" t="str">
        <f>IFERROR(Tabla1[[#This Row],[VENTA TOTAL USD A PLAZO EN CLIENTE  (SIN IVA)]]*(1+Tabla1[[#This Row],[% IVA ]]),"")</f>
        <v/>
      </c>
      <c r="AY828" s="850" t="e">
        <f>+Tabla1[[#This Row],[VENTA TOTAL USD A PLAZO EN CLIENTE  (SIN IVA)]]/Tabla1[[#This Row],[KGS]]*1000</f>
        <v>#N/A</v>
      </c>
      <c r="AZ828" s="850" t="e">
        <f>-Tabla1[[#This Row],[COSTO FLETE $ POR BOLSA 5O KG (SIN IVA)]]*20/Tabla1[[#This Row],[TIPO DE CAMBIO]]</f>
        <v>#N/A</v>
      </c>
      <c r="BA828" s="850" t="e">
        <f>+Tabla1[[#This Row],[GASTOS FINANCIEROS $ BOLSA 50 KG (IVA INC)]]*20/Tabla1[[#This Row],[TIPO DE CAMBIO]]</f>
        <v>#VALUE!</v>
      </c>
      <c r="BB828" s="850" t="e">
        <f>+Tabla1[[#This Row],[PRECIO POR TN USD EN CLIENTE A PLAZO (SIN IVA)]]+Tabla1[[#This Row],[COSTO USD FLETE /TN (SIN IVA)]]+Tabla1[[#This Row],[COSTO FINANCIERO USD POR BOLSA 50KG (IVA INC)]]</f>
        <v>#N/A</v>
      </c>
      <c r="BC828" s="828"/>
      <c r="BD828" s="944"/>
    </row>
    <row r="829" spans="1:56" ht="15.75" customHeight="1">
      <c r="A829" s="912">
        <v>46388</v>
      </c>
      <c r="B829" s="863"/>
      <c r="C829" s="792"/>
      <c r="D829" s="829">
        <f>+Tabla1[[#This Row],[FECHA Entrega]]</f>
        <v>0</v>
      </c>
      <c r="E829" s="830"/>
      <c r="F829" s="831"/>
      <c r="G829" s="832"/>
      <c r="H829" s="852"/>
      <c r="I829" s="834"/>
      <c r="J829" s="835"/>
      <c r="K829" s="836">
        <f t="shared" si="160"/>
        <v>0</v>
      </c>
      <c r="L82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29" s="837">
        <f t="shared" si="162"/>
        <v>0</v>
      </c>
      <c r="N829" s="838">
        <f>+Tabla1[[#This Row],[VENTA TOTAL $ (IVA INC) ]]</f>
        <v>0</v>
      </c>
      <c r="O829" s="838">
        <v>0</v>
      </c>
      <c r="P829" s="838">
        <v>0</v>
      </c>
      <c r="Q829" s="839">
        <f>+Tabla1[[#This Row],[VENTA TOTAL $ (IVA INC) ]]</f>
        <v>0</v>
      </c>
      <c r="R829" s="840">
        <f>+Tabla1[[#This Row],[FECHA FC]]+Tabla1[[#This Row],[PLAZO ENTREGA VALORES]]</f>
        <v>0</v>
      </c>
      <c r="S829" s="840">
        <f>+Tabla1[[#This Row],[FECHA FC]]+Tabla1[[#This Row],[PLAZO PAGO (DIAS)]]</f>
        <v>0</v>
      </c>
      <c r="T829" s="834">
        <f t="shared" ca="1" si="161"/>
        <v>-46181</v>
      </c>
      <c r="U829" s="831"/>
      <c r="V829" s="831"/>
      <c r="W829" s="841">
        <f>+Tabla1[[#This Row],[FECHA VTO VALORES]]+7</f>
        <v>7</v>
      </c>
      <c r="X829" s="830"/>
      <c r="Y829" s="859"/>
      <c r="Z829" s="860">
        <f>Tabla1[[#This Row],[KGS]]/50</f>
        <v>0</v>
      </c>
      <c r="AA82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29" s="844">
        <f>-Tabla1[[#This Row],[COSTO FLETE $ POR BOLSA 5O KG (SIN IVA)]]*1.21-Tabla1[[#This Row],[PRECIO $/ KG A PLAZO EN CLIENTE ( SIN IVA)]]*0.003*1.21*50</f>
        <v>0</v>
      </c>
      <c r="AC829" s="845" t="e">
        <f>SUM(Tabla1[[#This Row],[PRECIO $ BOLSA 50 KG (IVA INC) ]]+Tabla1[[#This Row],[COSTO FLETE $ BOLSA 50 KG (IVA INC)]])</f>
        <v>#VALUE!</v>
      </c>
      <c r="AD829" s="844" t="e">
        <f>-Tabla1[[#This Row],[PRECIO $ BOLSA 50 KG (IVA INC) ]]*(Tabla1[[#This Row],[TASA FINANCIACION MENSUAL]]/365)*Tabla1[[#This Row],[PLAZO ENTREGA VALORES]]</f>
        <v>#VALUE!</v>
      </c>
      <c r="AE829" s="845" t="e">
        <f>SUM(Tabla1[[#This Row],[PRECIO $ BOLSA50 KG  FOB TUCUMAN A PLAZO (IVA INC)]]+Tabla1[[#This Row],[GASTOS FINANCIEROS $ BOLSA 50 KG (IVA INC)]])</f>
        <v>#VALUE!</v>
      </c>
      <c r="AF829" s="828"/>
      <c r="AG829" s="828"/>
      <c r="AH829" s="828"/>
      <c r="AI829" s="828"/>
      <c r="AJ82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29" s="846" t="e">
        <f>SUM(Tabla1[[#This Row],[PRECIO $ BOLSA 50KG  FOB CDO TUC (IVA INC)]]-Tabla1[[#This Row],[PRECIO REF $ BOLSA 50 KG CACTU (IVA INC)]])</f>
        <v>#VALUE!</v>
      </c>
      <c r="AL829" s="847" t="str">
        <f>IFERROR(Tabla1[[#This Row],[PRECIO $ BOLSA 50KG  FOB CDO TUC (IVA INC)]]/Tabla1[[#This Row],[PRECIO REF $ BOLSA 50 KG CACTU (IVA INC)]]-1,"")</f>
        <v/>
      </c>
      <c r="AM829" s="846" t="e">
        <f>+Tabla1[[#This Row],[DIF $ PRECIO NETO INDUSTRIA vs Neto TUCUMAN (IVA INC)]]*Tabla1[[#This Row],[Q Bolsas Equivalentes 50kg]]</f>
        <v>#VALUE!</v>
      </c>
      <c r="AN829" s="846" t="e">
        <f>Tabla1[[#This Row],[PRECIO REF $ BOLSA 50 KG CACTU (IVA INC)]]*Tabla1[[#This Row],[Q Bolsas Equivalentes 50kg]]</f>
        <v>#VALUE!</v>
      </c>
      <c r="AO829" s="846" t="e">
        <f>+Tabla1[[#This Row],[PRECIO $ BOLSA 50KG  FOB CDO TUC (IVA INC)]]*Tabla1[[#This Row],[Q Bolsas Equivalentes 50kg]]</f>
        <v>#VALUE!</v>
      </c>
      <c r="AP829" s="847"/>
      <c r="AQ829" s="846">
        <v>0</v>
      </c>
      <c r="AR829" s="828"/>
      <c r="AS829" s="849"/>
      <c r="AT829" s="923">
        <f>+Tabla1[[#This Row],[VENTA TOTAL $ (IVA INC) ]]-(SUM(Tabla1[[#This Row],[PENDIENTE DE ENTREGA]:[VALORES COBRADOS]]))</f>
        <v>0</v>
      </c>
      <c r="AU829" s="850" t="e">
        <f>VLOOKUP(Tabla1[[#This Row],[FECHA OC]],'TIPO DE CAMBIO'!A:B,2,TRUE)</f>
        <v>#N/A</v>
      </c>
      <c r="AV829" s="850" t="e">
        <f>+Tabla1[[#This Row],[SUBTOTAL]]/Tabla1[[#This Row],[TIPO DE CAMBIO]]</f>
        <v>#N/A</v>
      </c>
      <c r="AW829" s="851"/>
      <c r="AX829" s="850" t="str">
        <f>IFERROR(Tabla1[[#This Row],[VENTA TOTAL USD A PLAZO EN CLIENTE  (SIN IVA)]]*(1+Tabla1[[#This Row],[% IVA ]]),"")</f>
        <v/>
      </c>
      <c r="AY829" s="850" t="e">
        <f>+Tabla1[[#This Row],[VENTA TOTAL USD A PLAZO EN CLIENTE  (SIN IVA)]]/Tabla1[[#This Row],[KGS]]*1000</f>
        <v>#N/A</v>
      </c>
      <c r="AZ829" s="850" t="e">
        <f>-Tabla1[[#This Row],[COSTO FLETE $ POR BOLSA 5O KG (SIN IVA)]]*20/Tabla1[[#This Row],[TIPO DE CAMBIO]]</f>
        <v>#N/A</v>
      </c>
      <c r="BA829" s="850" t="e">
        <f>+Tabla1[[#This Row],[GASTOS FINANCIEROS $ BOLSA 50 KG (IVA INC)]]*20/Tabla1[[#This Row],[TIPO DE CAMBIO]]</f>
        <v>#VALUE!</v>
      </c>
      <c r="BB829" s="850" t="e">
        <f>+Tabla1[[#This Row],[PRECIO POR TN USD EN CLIENTE A PLAZO (SIN IVA)]]+Tabla1[[#This Row],[COSTO USD FLETE /TN (SIN IVA)]]+Tabla1[[#This Row],[COSTO FINANCIERO USD POR BOLSA 50KG (IVA INC)]]</f>
        <v>#N/A</v>
      </c>
      <c r="BC829" s="828"/>
      <c r="BD829" s="944"/>
    </row>
    <row r="830" spans="1:56" ht="15.75" customHeight="1">
      <c r="A830" s="912">
        <v>46419</v>
      </c>
      <c r="B830" s="863"/>
      <c r="C830" s="792"/>
      <c r="D830" s="829">
        <f>+Tabla1[[#This Row],[FECHA Entrega]]</f>
        <v>0</v>
      </c>
      <c r="E830" s="830"/>
      <c r="F830" s="831"/>
      <c r="G830" s="832"/>
      <c r="H830" s="852"/>
      <c r="I830" s="834"/>
      <c r="J830" s="835"/>
      <c r="K830" s="836">
        <f t="shared" si="160"/>
        <v>0</v>
      </c>
      <c r="L83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30" s="837">
        <f t="shared" si="162"/>
        <v>0</v>
      </c>
      <c r="N830" s="838">
        <f>+Tabla1[[#This Row],[VENTA TOTAL $ (IVA INC) ]]</f>
        <v>0</v>
      </c>
      <c r="O830" s="838">
        <v>0</v>
      </c>
      <c r="P830" s="838">
        <v>0</v>
      </c>
      <c r="Q830" s="839">
        <f>+Tabla1[[#This Row],[VENTA TOTAL $ (IVA INC) ]]-Tabla1[[#This Row],[PENDIENTE DE COBRO]]</f>
        <v>0</v>
      </c>
      <c r="R830" s="840">
        <f>+Tabla1[[#This Row],[FECHA FC]]+Tabla1[[#This Row],[PLAZO ENTREGA VALORES]]</f>
        <v>0</v>
      </c>
      <c r="S830" s="840">
        <f>+Tabla1[[#This Row],[FECHA FC]]+Tabla1[[#This Row],[PLAZO PAGO (DIAS)]]</f>
        <v>0</v>
      </c>
      <c r="T830" s="834">
        <f t="shared" ca="1" si="161"/>
        <v>-46181</v>
      </c>
      <c r="U830" s="831"/>
      <c r="V830" s="831"/>
      <c r="W830" s="841">
        <f>+Tabla1[[#This Row],[FECHA VTO VALORES]]+7</f>
        <v>7</v>
      </c>
      <c r="X830" s="830"/>
      <c r="Y830" s="859"/>
      <c r="Z830" s="860">
        <f>Tabla1[[#This Row],[KGS]]/50</f>
        <v>0</v>
      </c>
      <c r="AA83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30" s="844">
        <f>-Tabla1[[#This Row],[COSTO FLETE $ POR BOLSA 5O KG (SIN IVA)]]*1.21-Tabla1[[#This Row],[PRECIO $/ KG A PLAZO EN CLIENTE ( SIN IVA)]]*0.003*1.21*50</f>
        <v>0</v>
      </c>
      <c r="AC830" s="845" t="e">
        <f>SUM(Tabla1[[#This Row],[PRECIO $ BOLSA 50 KG (IVA INC) ]]+Tabla1[[#This Row],[COSTO FLETE $ BOLSA 50 KG (IVA INC)]])</f>
        <v>#VALUE!</v>
      </c>
      <c r="AD830" s="844" t="e">
        <f>-Tabla1[[#This Row],[PRECIO $ BOLSA 50 KG (IVA INC) ]]*(Tabla1[[#This Row],[TASA FINANCIACION MENSUAL]]/365)*Tabla1[[#This Row],[PLAZO ENTREGA VALORES]]</f>
        <v>#VALUE!</v>
      </c>
      <c r="AE830" s="845" t="e">
        <f>SUM(Tabla1[[#This Row],[PRECIO $ BOLSA50 KG  FOB TUCUMAN A PLAZO (IVA INC)]]+Tabla1[[#This Row],[GASTOS FINANCIEROS $ BOLSA 50 KG (IVA INC)]])</f>
        <v>#VALUE!</v>
      </c>
      <c r="AF830" s="828"/>
      <c r="AG830" s="828"/>
      <c r="AH830" s="828"/>
      <c r="AI830" s="828"/>
      <c r="AJ83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30" s="846" t="e">
        <f>SUM(Tabla1[[#This Row],[PRECIO $ BOLSA 50KG  FOB CDO TUC (IVA INC)]]-Tabla1[[#This Row],[PRECIO REF $ BOLSA 50 KG CACTU (IVA INC)]])</f>
        <v>#VALUE!</v>
      </c>
      <c r="AL830" s="847" t="str">
        <f>IFERROR(Tabla1[[#This Row],[PRECIO $ BOLSA 50KG  FOB CDO TUC (IVA INC)]]/Tabla1[[#This Row],[PRECIO REF $ BOLSA 50 KG CACTU (IVA INC)]]-1,"")</f>
        <v/>
      </c>
      <c r="AM830" s="846" t="e">
        <f>+Tabla1[[#This Row],[DIF $ PRECIO NETO INDUSTRIA vs Neto TUCUMAN (IVA INC)]]*Tabla1[[#This Row],[Q Bolsas Equivalentes 50kg]]</f>
        <v>#VALUE!</v>
      </c>
      <c r="AN830" s="846" t="e">
        <f>Tabla1[[#This Row],[PRECIO REF $ BOLSA 50 KG CACTU (IVA INC)]]*Tabla1[[#This Row],[Q Bolsas Equivalentes 50kg]]</f>
        <v>#VALUE!</v>
      </c>
      <c r="AO830" s="846" t="e">
        <f>+Tabla1[[#This Row],[PRECIO $ BOLSA 50KG  FOB CDO TUC (IVA INC)]]*Tabla1[[#This Row],[Q Bolsas Equivalentes 50kg]]</f>
        <v>#VALUE!</v>
      </c>
      <c r="AP830" s="847"/>
      <c r="AQ830" s="846">
        <v>0</v>
      </c>
      <c r="AR830" s="828"/>
      <c r="AS830" s="849"/>
      <c r="AT830" s="923">
        <f>+Tabla1[[#This Row],[VENTA TOTAL $ (IVA INC) ]]-(SUM(Tabla1[[#This Row],[PENDIENTE DE ENTREGA]:[VALORES COBRADOS]]))</f>
        <v>0</v>
      </c>
      <c r="AU830" s="850" t="e">
        <f>VLOOKUP(Tabla1[[#This Row],[FECHA OC]],'TIPO DE CAMBIO'!A:B,2,TRUE)</f>
        <v>#N/A</v>
      </c>
      <c r="AV830" s="850" t="e">
        <f>+Tabla1[[#This Row],[SUBTOTAL]]/Tabla1[[#This Row],[TIPO DE CAMBIO]]</f>
        <v>#N/A</v>
      </c>
      <c r="AW830" s="851"/>
      <c r="AX830" s="850" t="str">
        <f>IFERROR(Tabla1[[#This Row],[VENTA TOTAL USD A PLAZO EN CLIENTE  (SIN IVA)]]*(1+Tabla1[[#This Row],[% IVA ]]),"")</f>
        <v/>
      </c>
      <c r="AY830" s="850" t="e">
        <f>+Tabla1[[#This Row],[VENTA TOTAL USD A PLAZO EN CLIENTE  (SIN IVA)]]/Tabla1[[#This Row],[KGS]]*1000</f>
        <v>#N/A</v>
      </c>
      <c r="AZ830" s="850" t="e">
        <f>-Tabla1[[#This Row],[COSTO FLETE $ POR BOLSA 5O KG (SIN IVA)]]*20/Tabla1[[#This Row],[TIPO DE CAMBIO]]</f>
        <v>#N/A</v>
      </c>
      <c r="BA830" s="850" t="e">
        <f>+Tabla1[[#This Row],[GASTOS FINANCIEROS $ BOLSA 50 KG (IVA INC)]]*20/Tabla1[[#This Row],[TIPO DE CAMBIO]]</f>
        <v>#VALUE!</v>
      </c>
      <c r="BB830" s="850" t="e">
        <f>+Tabla1[[#This Row],[PRECIO POR TN USD EN CLIENTE A PLAZO (SIN IVA)]]+Tabla1[[#This Row],[COSTO USD FLETE /TN (SIN IVA)]]+Tabla1[[#This Row],[COSTO FINANCIERO USD POR BOLSA 50KG (IVA INC)]]</f>
        <v>#N/A</v>
      </c>
      <c r="BC830" s="828"/>
      <c r="BD830" s="944"/>
    </row>
    <row r="831" spans="1:56" ht="15.75" customHeight="1">
      <c r="A831" s="912">
        <v>46419</v>
      </c>
      <c r="B831" s="853"/>
      <c r="C831" s="792"/>
      <c r="D831" s="829">
        <f>+Tabla1[[#This Row],[FECHA Entrega]]</f>
        <v>0</v>
      </c>
      <c r="E831" s="830"/>
      <c r="F831" s="831"/>
      <c r="G831" s="832"/>
      <c r="H831" s="852"/>
      <c r="I831" s="834"/>
      <c r="J831" s="835"/>
      <c r="K831" s="836">
        <f t="shared" si="160"/>
        <v>0</v>
      </c>
      <c r="L83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31" s="837">
        <f t="shared" si="162"/>
        <v>0</v>
      </c>
      <c r="N831" s="838">
        <f>+Tabla1[[#This Row],[VENTA TOTAL $ (IVA INC) ]]</f>
        <v>0</v>
      </c>
      <c r="O831" s="838">
        <v>0</v>
      </c>
      <c r="P831" s="838">
        <v>0</v>
      </c>
      <c r="Q831" s="839">
        <f>+Tabla1[[#This Row],[VENTA TOTAL $ (IVA INC) ]]-Tabla1[[#This Row],[PENDIENTE DE COBRO]]</f>
        <v>0</v>
      </c>
      <c r="R831" s="840">
        <f>+Tabla1[[#This Row],[FECHA FC]]+Tabla1[[#This Row],[PLAZO ENTREGA VALORES]]</f>
        <v>0</v>
      </c>
      <c r="S831" s="840">
        <f>+Tabla1[[#This Row],[FECHA FC]]+Tabla1[[#This Row],[PLAZO PAGO (DIAS)]]</f>
        <v>0</v>
      </c>
      <c r="T831" s="834">
        <f t="shared" ca="1" si="161"/>
        <v>-46181</v>
      </c>
      <c r="U831" s="831"/>
      <c r="V831" s="831"/>
      <c r="W831" s="841">
        <f>+Tabla1[[#This Row],[FECHA VTO VALORES]]+7</f>
        <v>7</v>
      </c>
      <c r="X831" s="830"/>
      <c r="Y831" s="859"/>
      <c r="Z831" s="860">
        <f>Tabla1[[#This Row],[KGS]]/50</f>
        <v>0</v>
      </c>
      <c r="AA83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31" s="844">
        <f>-Tabla1[[#This Row],[COSTO FLETE $ POR BOLSA 5O KG (SIN IVA)]]*1.21-Tabla1[[#This Row],[PRECIO $/ KG A PLAZO EN CLIENTE ( SIN IVA)]]*0.003*1.21*50</f>
        <v>0</v>
      </c>
      <c r="AC831" s="845" t="e">
        <f>SUM(Tabla1[[#This Row],[PRECIO $ BOLSA 50 KG (IVA INC) ]]+Tabla1[[#This Row],[COSTO FLETE $ BOLSA 50 KG (IVA INC)]])</f>
        <v>#VALUE!</v>
      </c>
      <c r="AD831" s="844" t="e">
        <f>-Tabla1[[#This Row],[PRECIO $ BOLSA 50 KG (IVA INC) ]]*(Tabla1[[#This Row],[TASA FINANCIACION MENSUAL]]/365)*Tabla1[[#This Row],[PLAZO ENTREGA VALORES]]</f>
        <v>#VALUE!</v>
      </c>
      <c r="AE831" s="845" t="e">
        <f>SUM(Tabla1[[#This Row],[PRECIO $ BOLSA50 KG  FOB TUCUMAN A PLAZO (IVA INC)]]+Tabla1[[#This Row],[GASTOS FINANCIEROS $ BOLSA 50 KG (IVA INC)]])</f>
        <v>#VALUE!</v>
      </c>
      <c r="AF831" s="828"/>
      <c r="AG831" s="828"/>
      <c r="AH831" s="828"/>
      <c r="AI831" s="828"/>
      <c r="AJ83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31" s="846" t="e">
        <f>SUM(Tabla1[[#This Row],[PRECIO $ BOLSA 50KG  FOB CDO TUC (IVA INC)]]-Tabla1[[#This Row],[PRECIO REF $ BOLSA 50 KG CACTU (IVA INC)]])</f>
        <v>#VALUE!</v>
      </c>
      <c r="AL831" s="847" t="str">
        <f>IFERROR(Tabla1[[#This Row],[PRECIO $ BOLSA 50KG  FOB CDO TUC (IVA INC)]]/Tabla1[[#This Row],[PRECIO REF $ BOLSA 50 KG CACTU (IVA INC)]]-1,"")</f>
        <v/>
      </c>
      <c r="AM831" s="846" t="e">
        <f>+Tabla1[[#This Row],[DIF $ PRECIO NETO INDUSTRIA vs Neto TUCUMAN (IVA INC)]]*Tabla1[[#This Row],[Q Bolsas Equivalentes 50kg]]</f>
        <v>#VALUE!</v>
      </c>
      <c r="AN831" s="846" t="e">
        <f>Tabla1[[#This Row],[PRECIO REF $ BOLSA 50 KG CACTU (IVA INC)]]*Tabla1[[#This Row],[Q Bolsas Equivalentes 50kg]]</f>
        <v>#VALUE!</v>
      </c>
      <c r="AO831" s="846" t="e">
        <f>+Tabla1[[#This Row],[PRECIO $ BOLSA 50KG  FOB CDO TUC (IVA INC)]]*Tabla1[[#This Row],[Q Bolsas Equivalentes 50kg]]</f>
        <v>#VALUE!</v>
      </c>
      <c r="AP831" s="847"/>
      <c r="AQ831" s="846">
        <v>0</v>
      </c>
      <c r="AR831" s="828"/>
      <c r="AS831" s="849"/>
      <c r="AT831" s="923">
        <f>+Tabla1[[#This Row],[VENTA TOTAL $ (IVA INC) ]]-(SUM(Tabla1[[#This Row],[PENDIENTE DE ENTREGA]:[VALORES COBRADOS]]))</f>
        <v>0</v>
      </c>
      <c r="AU831" s="850" t="e">
        <f>VLOOKUP(Tabla1[[#This Row],[FECHA OC]],'TIPO DE CAMBIO'!A:B,2,TRUE)</f>
        <v>#N/A</v>
      </c>
      <c r="AV831" s="850" t="e">
        <f>+Tabla1[[#This Row],[SUBTOTAL]]/Tabla1[[#This Row],[TIPO DE CAMBIO]]</f>
        <v>#N/A</v>
      </c>
      <c r="AW831" s="851"/>
      <c r="AX831" s="850" t="str">
        <f>IFERROR(Tabla1[[#This Row],[VENTA TOTAL USD A PLAZO EN CLIENTE  (SIN IVA)]]*(1+Tabla1[[#This Row],[% IVA ]]),"")</f>
        <v/>
      </c>
      <c r="AY831" s="850" t="e">
        <f>+Tabla1[[#This Row],[VENTA TOTAL USD A PLAZO EN CLIENTE  (SIN IVA)]]/Tabla1[[#This Row],[KGS]]*1000</f>
        <v>#N/A</v>
      </c>
      <c r="AZ831" s="850" t="e">
        <f>-Tabla1[[#This Row],[COSTO FLETE $ POR BOLSA 5O KG (SIN IVA)]]*20/Tabla1[[#This Row],[TIPO DE CAMBIO]]</f>
        <v>#N/A</v>
      </c>
      <c r="BA831" s="850" t="e">
        <f>+Tabla1[[#This Row],[GASTOS FINANCIEROS $ BOLSA 50 KG (IVA INC)]]*20/Tabla1[[#This Row],[TIPO DE CAMBIO]]</f>
        <v>#VALUE!</v>
      </c>
      <c r="BB831" s="850" t="e">
        <f>+Tabla1[[#This Row],[PRECIO POR TN USD EN CLIENTE A PLAZO (SIN IVA)]]+Tabla1[[#This Row],[COSTO USD FLETE /TN (SIN IVA)]]+Tabla1[[#This Row],[COSTO FINANCIERO USD POR BOLSA 50KG (IVA INC)]]</f>
        <v>#N/A</v>
      </c>
      <c r="BC831" s="828"/>
      <c r="BD831" s="944"/>
    </row>
    <row r="832" spans="1:56" ht="15.75" customHeight="1">
      <c r="A832" s="912">
        <v>46419</v>
      </c>
      <c r="B832" s="853"/>
      <c r="C832" s="792"/>
      <c r="D832" s="829">
        <f>+Tabla1[[#This Row],[FECHA Entrega]]</f>
        <v>0</v>
      </c>
      <c r="E832" s="830"/>
      <c r="F832" s="831"/>
      <c r="G832" s="832"/>
      <c r="H832" s="852"/>
      <c r="I832" s="834"/>
      <c r="J832" s="835"/>
      <c r="K832" s="836">
        <f t="shared" si="160"/>
        <v>0</v>
      </c>
      <c r="L83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32" s="837">
        <f t="shared" si="162"/>
        <v>0</v>
      </c>
      <c r="N832" s="838">
        <f>+Tabla1[[#This Row],[VENTA TOTAL $ (IVA INC) ]]</f>
        <v>0</v>
      </c>
      <c r="O832" s="838">
        <v>0</v>
      </c>
      <c r="P832" s="838">
        <v>0</v>
      </c>
      <c r="Q832" s="839">
        <f>+Tabla1[[#This Row],[VENTA TOTAL $ (IVA INC) ]]</f>
        <v>0</v>
      </c>
      <c r="R832" s="840">
        <f>+Tabla1[[#This Row],[FECHA FC]]+Tabla1[[#This Row],[PLAZO ENTREGA VALORES]]</f>
        <v>0</v>
      </c>
      <c r="S832" s="840">
        <f>+Tabla1[[#This Row],[FECHA FC]]+Tabla1[[#This Row],[PLAZO PAGO (DIAS)]]</f>
        <v>0</v>
      </c>
      <c r="T832" s="834">
        <f t="shared" ca="1" si="161"/>
        <v>-46181</v>
      </c>
      <c r="U832" s="831"/>
      <c r="V832" s="831"/>
      <c r="W832" s="841">
        <f>+Tabla1[[#This Row],[FECHA VTO VALORES]]+7</f>
        <v>7</v>
      </c>
      <c r="X832" s="830"/>
      <c r="Y832" s="859"/>
      <c r="Z832" s="860">
        <f>Tabla1[[#This Row],[KGS]]/50</f>
        <v>0</v>
      </c>
      <c r="AA83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32" s="844">
        <f>-Tabla1[[#This Row],[COSTO FLETE $ POR BOLSA 5O KG (SIN IVA)]]*1.21-Tabla1[[#This Row],[PRECIO $/ KG A PLAZO EN CLIENTE ( SIN IVA)]]*0.003*1.21*50</f>
        <v>0</v>
      </c>
      <c r="AC832" s="845" t="e">
        <f>SUM(Tabla1[[#This Row],[PRECIO $ BOLSA 50 KG (IVA INC) ]]+Tabla1[[#This Row],[COSTO FLETE $ BOLSA 50 KG (IVA INC)]])</f>
        <v>#VALUE!</v>
      </c>
      <c r="AD832" s="844" t="e">
        <f>-Tabla1[[#This Row],[PRECIO $ BOLSA 50 KG (IVA INC) ]]*(Tabla1[[#This Row],[TASA FINANCIACION MENSUAL]]/365)*Tabla1[[#This Row],[PLAZO ENTREGA VALORES]]</f>
        <v>#VALUE!</v>
      </c>
      <c r="AE832" s="845" t="e">
        <f>SUM(Tabla1[[#This Row],[PRECIO $ BOLSA50 KG  FOB TUCUMAN A PLAZO (IVA INC)]]+Tabla1[[#This Row],[GASTOS FINANCIEROS $ BOLSA 50 KG (IVA INC)]])</f>
        <v>#VALUE!</v>
      </c>
      <c r="AF832" s="828"/>
      <c r="AG832" s="828"/>
      <c r="AH832" s="828"/>
      <c r="AI832" s="828"/>
      <c r="AJ83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32" s="846" t="e">
        <f>SUM(Tabla1[[#This Row],[PRECIO $ BOLSA 50KG  FOB CDO TUC (IVA INC)]]-Tabla1[[#This Row],[PRECIO REF $ BOLSA 50 KG CACTU (IVA INC)]])</f>
        <v>#VALUE!</v>
      </c>
      <c r="AL832" s="847" t="str">
        <f>IFERROR(Tabla1[[#This Row],[PRECIO $ BOLSA 50KG  FOB CDO TUC (IVA INC)]]/Tabla1[[#This Row],[PRECIO REF $ BOLSA 50 KG CACTU (IVA INC)]]-1,"")</f>
        <v/>
      </c>
      <c r="AM832" s="846" t="e">
        <f>+Tabla1[[#This Row],[DIF $ PRECIO NETO INDUSTRIA vs Neto TUCUMAN (IVA INC)]]*Tabla1[[#This Row],[Q Bolsas Equivalentes 50kg]]</f>
        <v>#VALUE!</v>
      </c>
      <c r="AN832" s="846" t="e">
        <f>Tabla1[[#This Row],[PRECIO REF $ BOLSA 50 KG CACTU (IVA INC)]]*Tabla1[[#This Row],[Q Bolsas Equivalentes 50kg]]</f>
        <v>#VALUE!</v>
      </c>
      <c r="AO832" s="846" t="e">
        <f>+Tabla1[[#This Row],[PRECIO $ BOLSA 50KG  FOB CDO TUC (IVA INC)]]*Tabla1[[#This Row],[Q Bolsas Equivalentes 50kg]]</f>
        <v>#VALUE!</v>
      </c>
      <c r="AP832" s="847"/>
      <c r="AQ832" s="846">
        <v>0</v>
      </c>
      <c r="AR832" s="828"/>
      <c r="AS832" s="849"/>
      <c r="AT832" s="923">
        <f>+Tabla1[[#This Row],[VENTA TOTAL $ (IVA INC) ]]-(SUM(Tabla1[[#This Row],[PENDIENTE DE ENTREGA]:[VALORES COBRADOS]]))</f>
        <v>0</v>
      </c>
      <c r="AU832" s="850" t="e">
        <f>VLOOKUP(Tabla1[[#This Row],[FECHA OC]],'TIPO DE CAMBIO'!A:B,2,TRUE)</f>
        <v>#N/A</v>
      </c>
      <c r="AV832" s="850" t="e">
        <f>+Tabla1[[#This Row],[SUBTOTAL]]/Tabla1[[#This Row],[TIPO DE CAMBIO]]</f>
        <v>#N/A</v>
      </c>
      <c r="AW832" s="851"/>
      <c r="AX832" s="850" t="str">
        <f>IFERROR(Tabla1[[#This Row],[VENTA TOTAL USD A PLAZO EN CLIENTE  (SIN IVA)]]*(1+Tabla1[[#This Row],[% IVA ]]),"")</f>
        <v/>
      </c>
      <c r="AY832" s="850" t="e">
        <f>+Tabla1[[#This Row],[VENTA TOTAL USD A PLAZO EN CLIENTE  (SIN IVA)]]/Tabla1[[#This Row],[KGS]]*1000</f>
        <v>#N/A</v>
      </c>
      <c r="AZ832" s="850" t="e">
        <f>-Tabla1[[#This Row],[COSTO FLETE $ POR BOLSA 5O KG (SIN IVA)]]*20/Tabla1[[#This Row],[TIPO DE CAMBIO]]</f>
        <v>#N/A</v>
      </c>
      <c r="BA832" s="850" t="e">
        <f>+Tabla1[[#This Row],[GASTOS FINANCIEROS $ BOLSA 50 KG (IVA INC)]]*20/Tabla1[[#This Row],[TIPO DE CAMBIO]]</f>
        <v>#VALUE!</v>
      </c>
      <c r="BB832" s="850" t="e">
        <f>+Tabla1[[#This Row],[PRECIO POR TN USD EN CLIENTE A PLAZO (SIN IVA)]]+Tabla1[[#This Row],[COSTO USD FLETE /TN (SIN IVA)]]+Tabla1[[#This Row],[COSTO FINANCIERO USD POR BOLSA 50KG (IVA INC)]]</f>
        <v>#N/A</v>
      </c>
      <c r="BC832" s="828"/>
      <c r="BD832" s="944"/>
    </row>
    <row r="833" spans="1:60" ht="15.75" customHeight="1">
      <c r="A833" s="912">
        <v>46419</v>
      </c>
      <c r="B833" s="853"/>
      <c r="C833" s="792"/>
      <c r="D833" s="829">
        <f>+Tabla1[[#This Row],[FECHA Entrega]]</f>
        <v>0</v>
      </c>
      <c r="E833" s="830"/>
      <c r="F833" s="831"/>
      <c r="G833" s="832"/>
      <c r="H833" s="852"/>
      <c r="I833" s="834"/>
      <c r="J833" s="835"/>
      <c r="K833" s="836">
        <f t="shared" si="160"/>
        <v>0</v>
      </c>
      <c r="L83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33" s="837">
        <f t="shared" si="162"/>
        <v>0</v>
      </c>
      <c r="N833" s="838">
        <f>+Tabla1[[#This Row],[VENTA TOTAL $ (IVA INC) ]]</f>
        <v>0</v>
      </c>
      <c r="O833" s="838">
        <v>0</v>
      </c>
      <c r="P833" s="838">
        <v>0</v>
      </c>
      <c r="Q833" s="839">
        <f>+Tabla1[[#This Row],[VENTA TOTAL $ (IVA INC) ]]</f>
        <v>0</v>
      </c>
      <c r="R833" s="840">
        <f>+Tabla1[[#This Row],[FECHA FC]]+Tabla1[[#This Row],[PLAZO ENTREGA VALORES]]</f>
        <v>0</v>
      </c>
      <c r="S833" s="840">
        <f>+Tabla1[[#This Row],[FECHA FC]]+Tabla1[[#This Row],[PLAZO PAGO (DIAS)]]</f>
        <v>0</v>
      </c>
      <c r="T833" s="834">
        <f t="shared" ca="1" si="161"/>
        <v>-46181</v>
      </c>
      <c r="U833" s="831"/>
      <c r="V833" s="831"/>
      <c r="W833" s="841">
        <f>+Tabla1[[#This Row],[FECHA VTO VALORES]]+7</f>
        <v>7</v>
      </c>
      <c r="X833" s="830"/>
      <c r="Y833" s="859"/>
      <c r="Z833" s="860">
        <f>Tabla1[[#This Row],[KGS]]/50</f>
        <v>0</v>
      </c>
      <c r="AA83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33" s="844">
        <f>-Tabla1[[#This Row],[COSTO FLETE $ POR BOLSA 5O KG (SIN IVA)]]*1.21-Tabla1[[#This Row],[PRECIO $/ KG A PLAZO EN CLIENTE ( SIN IVA)]]*0.003*1.21*50</f>
        <v>0</v>
      </c>
      <c r="AC833" s="845" t="e">
        <f>SUM(Tabla1[[#This Row],[PRECIO $ BOLSA 50 KG (IVA INC) ]]+Tabla1[[#This Row],[COSTO FLETE $ BOLSA 50 KG (IVA INC)]])</f>
        <v>#VALUE!</v>
      </c>
      <c r="AD833" s="844" t="e">
        <f>-Tabla1[[#This Row],[PRECIO $ BOLSA 50 KG (IVA INC) ]]*(Tabla1[[#This Row],[TASA FINANCIACION MENSUAL]]/365)*Tabla1[[#This Row],[PLAZO ENTREGA VALORES]]</f>
        <v>#VALUE!</v>
      </c>
      <c r="AE833" s="845" t="e">
        <f>SUM(Tabla1[[#This Row],[PRECIO $ BOLSA50 KG  FOB TUCUMAN A PLAZO (IVA INC)]]+Tabla1[[#This Row],[GASTOS FINANCIEROS $ BOLSA 50 KG (IVA INC)]])</f>
        <v>#VALUE!</v>
      </c>
      <c r="AF833" s="828"/>
      <c r="AG833" s="828"/>
      <c r="AH833" s="828"/>
      <c r="AI833" s="828"/>
      <c r="AJ83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33" s="846" t="e">
        <f>SUM(Tabla1[[#This Row],[PRECIO $ BOLSA 50KG  FOB CDO TUC (IVA INC)]]-Tabla1[[#This Row],[PRECIO REF $ BOLSA 50 KG CACTU (IVA INC)]])</f>
        <v>#VALUE!</v>
      </c>
      <c r="AL833" s="847" t="str">
        <f>IFERROR(Tabla1[[#This Row],[PRECIO $ BOLSA 50KG  FOB CDO TUC (IVA INC)]]/Tabla1[[#This Row],[PRECIO REF $ BOLSA 50 KG CACTU (IVA INC)]]-1,"")</f>
        <v/>
      </c>
      <c r="AM833" s="846" t="e">
        <f>+Tabla1[[#This Row],[DIF $ PRECIO NETO INDUSTRIA vs Neto TUCUMAN (IVA INC)]]*Tabla1[[#This Row],[Q Bolsas Equivalentes 50kg]]</f>
        <v>#VALUE!</v>
      </c>
      <c r="AN833" s="846" t="e">
        <f>Tabla1[[#This Row],[PRECIO REF $ BOLSA 50 KG CACTU (IVA INC)]]*Tabla1[[#This Row],[Q Bolsas Equivalentes 50kg]]</f>
        <v>#VALUE!</v>
      </c>
      <c r="AO833" s="846" t="e">
        <f>+Tabla1[[#This Row],[PRECIO $ BOLSA 50KG  FOB CDO TUC (IVA INC)]]*Tabla1[[#This Row],[Q Bolsas Equivalentes 50kg]]</f>
        <v>#VALUE!</v>
      </c>
      <c r="AP833" s="847"/>
      <c r="AQ833" s="846">
        <v>0</v>
      </c>
      <c r="AR833" s="828"/>
      <c r="AS833" s="849"/>
      <c r="AT833" s="923">
        <f>+Tabla1[[#This Row],[VENTA TOTAL $ (IVA INC) ]]-(SUM(Tabla1[[#This Row],[PENDIENTE DE ENTREGA]:[VALORES COBRADOS]]))</f>
        <v>0</v>
      </c>
      <c r="AU833" s="850" t="e">
        <f>VLOOKUP(Tabla1[[#This Row],[FECHA OC]],'TIPO DE CAMBIO'!A:B,2,TRUE)</f>
        <v>#N/A</v>
      </c>
      <c r="AV833" s="850" t="e">
        <f>+Tabla1[[#This Row],[SUBTOTAL]]/Tabla1[[#This Row],[TIPO DE CAMBIO]]</f>
        <v>#N/A</v>
      </c>
      <c r="AW833" s="851"/>
      <c r="AX833" s="850" t="str">
        <f>IFERROR(Tabla1[[#This Row],[VENTA TOTAL USD A PLAZO EN CLIENTE  (SIN IVA)]]*(1+Tabla1[[#This Row],[% IVA ]]),"")</f>
        <v/>
      </c>
      <c r="AY833" s="850" t="e">
        <f>+Tabla1[[#This Row],[VENTA TOTAL USD A PLAZO EN CLIENTE  (SIN IVA)]]/Tabla1[[#This Row],[KGS]]*1000</f>
        <v>#N/A</v>
      </c>
      <c r="AZ833" s="850" t="e">
        <f>-Tabla1[[#This Row],[COSTO FLETE $ POR BOLSA 5O KG (SIN IVA)]]*20/Tabla1[[#This Row],[TIPO DE CAMBIO]]</f>
        <v>#N/A</v>
      </c>
      <c r="BA833" s="850" t="e">
        <f>+Tabla1[[#This Row],[GASTOS FINANCIEROS $ BOLSA 50 KG (IVA INC)]]*20/Tabla1[[#This Row],[TIPO DE CAMBIO]]</f>
        <v>#VALUE!</v>
      </c>
      <c r="BB833" s="850" t="e">
        <f>+Tabla1[[#This Row],[PRECIO POR TN USD EN CLIENTE A PLAZO (SIN IVA)]]+Tabla1[[#This Row],[COSTO USD FLETE /TN (SIN IVA)]]+Tabla1[[#This Row],[COSTO FINANCIERO USD POR BOLSA 50KG (IVA INC)]]</f>
        <v>#N/A</v>
      </c>
      <c r="BC833" s="828"/>
      <c r="BD833" s="944"/>
    </row>
    <row r="834" spans="1:60" ht="15.75" customHeight="1">
      <c r="A834" s="912">
        <v>46419</v>
      </c>
      <c r="B834" s="853"/>
      <c r="C834" s="792"/>
      <c r="D834" s="829">
        <f>+Tabla1[[#This Row],[FECHA Entrega]]</f>
        <v>0</v>
      </c>
      <c r="E834" s="830"/>
      <c r="F834" s="831"/>
      <c r="G834" s="832"/>
      <c r="H834" s="852"/>
      <c r="I834" s="834"/>
      <c r="J834" s="835"/>
      <c r="K834" s="836">
        <f t="shared" si="160"/>
        <v>0</v>
      </c>
      <c r="L83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34" s="837">
        <f t="shared" si="162"/>
        <v>0</v>
      </c>
      <c r="N834" s="838">
        <f>+Tabla1[[#This Row],[VENTA TOTAL $ (IVA INC) ]]</f>
        <v>0</v>
      </c>
      <c r="O834" s="838">
        <v>0</v>
      </c>
      <c r="P834" s="838">
        <v>0</v>
      </c>
      <c r="Q834" s="839">
        <f>+Tabla1[[#This Row],[VENTA TOTAL $ (IVA INC) ]]</f>
        <v>0</v>
      </c>
      <c r="R834" s="840">
        <f>+Tabla1[[#This Row],[FECHA FC]]+Tabla1[[#This Row],[PLAZO ENTREGA VALORES]]</f>
        <v>0</v>
      </c>
      <c r="S834" s="840">
        <f>+Tabla1[[#This Row],[FECHA FC]]+Tabla1[[#This Row],[PLAZO PAGO (DIAS)]]</f>
        <v>0</v>
      </c>
      <c r="T834" s="834">
        <f t="shared" ca="1" si="161"/>
        <v>-46181</v>
      </c>
      <c r="U834" s="831"/>
      <c r="V834" s="831"/>
      <c r="W834" s="841">
        <f>+Tabla1[[#This Row],[FECHA VTO VALORES]]+7</f>
        <v>7</v>
      </c>
      <c r="X834" s="830"/>
      <c r="Y834" s="859"/>
      <c r="Z834" s="860">
        <f>Tabla1[[#This Row],[KGS]]/50</f>
        <v>0</v>
      </c>
      <c r="AA83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34" s="844">
        <f>-Tabla1[[#This Row],[COSTO FLETE $ POR BOLSA 5O KG (SIN IVA)]]*1.21-Tabla1[[#This Row],[PRECIO $/ KG A PLAZO EN CLIENTE ( SIN IVA)]]*0.003*1.21*50</f>
        <v>0</v>
      </c>
      <c r="AC834" s="845" t="e">
        <f>SUM(Tabla1[[#This Row],[PRECIO $ BOLSA 50 KG (IVA INC) ]]+Tabla1[[#This Row],[COSTO FLETE $ BOLSA 50 KG (IVA INC)]])</f>
        <v>#VALUE!</v>
      </c>
      <c r="AD834" s="844" t="e">
        <f>-Tabla1[[#This Row],[PRECIO $ BOLSA 50 KG (IVA INC) ]]*(Tabla1[[#This Row],[TASA FINANCIACION MENSUAL]]/365)*Tabla1[[#This Row],[PLAZO ENTREGA VALORES]]</f>
        <v>#VALUE!</v>
      </c>
      <c r="AE834" s="845" t="e">
        <f>SUM(Tabla1[[#This Row],[PRECIO $ BOLSA50 KG  FOB TUCUMAN A PLAZO (IVA INC)]]+Tabla1[[#This Row],[GASTOS FINANCIEROS $ BOLSA 50 KG (IVA INC)]])</f>
        <v>#VALUE!</v>
      </c>
      <c r="AF834" s="828"/>
      <c r="AG834" s="828"/>
      <c r="AH834" s="828"/>
      <c r="AI834" s="828"/>
      <c r="AJ83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34" s="846" t="e">
        <f>SUM(Tabla1[[#This Row],[PRECIO $ BOLSA 50KG  FOB CDO TUC (IVA INC)]]-Tabla1[[#This Row],[PRECIO REF $ BOLSA 50 KG CACTU (IVA INC)]])</f>
        <v>#VALUE!</v>
      </c>
      <c r="AL834" s="847" t="str">
        <f>IFERROR(Tabla1[[#This Row],[PRECIO $ BOLSA 50KG  FOB CDO TUC (IVA INC)]]/Tabla1[[#This Row],[PRECIO REF $ BOLSA 50 KG CACTU (IVA INC)]]-1,"")</f>
        <v/>
      </c>
      <c r="AM834" s="846" t="e">
        <f>+Tabla1[[#This Row],[DIF $ PRECIO NETO INDUSTRIA vs Neto TUCUMAN (IVA INC)]]*Tabla1[[#This Row],[Q Bolsas Equivalentes 50kg]]</f>
        <v>#VALUE!</v>
      </c>
      <c r="AN834" s="846" t="e">
        <f>Tabla1[[#This Row],[PRECIO REF $ BOLSA 50 KG CACTU (IVA INC)]]*Tabla1[[#This Row],[Q Bolsas Equivalentes 50kg]]</f>
        <v>#VALUE!</v>
      </c>
      <c r="AO834" s="846" t="e">
        <f>+Tabla1[[#This Row],[PRECIO $ BOLSA 50KG  FOB CDO TUC (IVA INC)]]*Tabla1[[#This Row],[Q Bolsas Equivalentes 50kg]]</f>
        <v>#VALUE!</v>
      </c>
      <c r="AP834" s="847"/>
      <c r="AQ834" s="846">
        <v>0</v>
      </c>
      <c r="AR834" s="828"/>
      <c r="AS834" s="849"/>
      <c r="AT834" s="923">
        <f>+Tabla1[[#This Row],[VENTA TOTAL $ (IVA INC) ]]-(SUM(Tabla1[[#This Row],[PENDIENTE DE ENTREGA]:[VALORES COBRADOS]]))</f>
        <v>0</v>
      </c>
      <c r="AU834" s="850" t="e">
        <f>VLOOKUP(Tabla1[[#This Row],[FECHA OC]],'TIPO DE CAMBIO'!A:B,2,TRUE)</f>
        <v>#N/A</v>
      </c>
      <c r="AV834" s="850" t="e">
        <f>+Tabla1[[#This Row],[SUBTOTAL]]/Tabla1[[#This Row],[TIPO DE CAMBIO]]</f>
        <v>#N/A</v>
      </c>
      <c r="AW834" s="851"/>
      <c r="AX834" s="850" t="str">
        <f>IFERROR(Tabla1[[#This Row],[VENTA TOTAL USD A PLAZO EN CLIENTE  (SIN IVA)]]*(1+Tabla1[[#This Row],[% IVA ]]),"")</f>
        <v/>
      </c>
      <c r="AY834" s="850" t="e">
        <f>+Tabla1[[#This Row],[VENTA TOTAL USD A PLAZO EN CLIENTE  (SIN IVA)]]/Tabla1[[#This Row],[KGS]]*1000</f>
        <v>#N/A</v>
      </c>
      <c r="AZ834" s="850" t="e">
        <f>-Tabla1[[#This Row],[COSTO FLETE $ POR BOLSA 5O KG (SIN IVA)]]*20/Tabla1[[#This Row],[TIPO DE CAMBIO]]</f>
        <v>#N/A</v>
      </c>
      <c r="BA834" s="850" t="e">
        <f>+Tabla1[[#This Row],[GASTOS FINANCIEROS $ BOLSA 50 KG (IVA INC)]]*20/Tabla1[[#This Row],[TIPO DE CAMBIO]]</f>
        <v>#VALUE!</v>
      </c>
      <c r="BB834" s="850" t="e">
        <f>+Tabla1[[#This Row],[PRECIO POR TN USD EN CLIENTE A PLAZO (SIN IVA)]]+Tabla1[[#This Row],[COSTO USD FLETE /TN (SIN IVA)]]+Tabla1[[#This Row],[COSTO FINANCIERO USD POR BOLSA 50KG (IVA INC)]]</f>
        <v>#N/A</v>
      </c>
      <c r="BC834" s="828"/>
      <c r="BD834" s="944"/>
    </row>
    <row r="835" spans="1:60" ht="15.75" customHeight="1">
      <c r="A835" s="912">
        <v>46419</v>
      </c>
      <c r="B835" s="853"/>
      <c r="C835" s="792"/>
      <c r="D835" s="829">
        <f>+Tabla1[[#This Row],[FECHA Entrega]]</f>
        <v>0</v>
      </c>
      <c r="E835" s="830"/>
      <c r="F835" s="831"/>
      <c r="G835" s="832"/>
      <c r="H835" s="852"/>
      <c r="I835" s="834"/>
      <c r="J835" s="835"/>
      <c r="K835" s="836">
        <f t="shared" si="160"/>
        <v>0</v>
      </c>
      <c r="L83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35" s="837">
        <f t="shared" si="162"/>
        <v>0</v>
      </c>
      <c r="N835" s="838">
        <f>+Tabla1[[#This Row],[VENTA TOTAL $ (IVA INC) ]]</f>
        <v>0</v>
      </c>
      <c r="O835" s="838">
        <v>0</v>
      </c>
      <c r="P835" s="838">
        <v>0</v>
      </c>
      <c r="Q835" s="839">
        <f>+Tabla1[[#This Row],[VENTA TOTAL $ (IVA INC) ]]</f>
        <v>0</v>
      </c>
      <c r="R835" s="840">
        <f>+Tabla1[[#This Row],[FECHA FC]]+Tabla1[[#This Row],[PLAZO ENTREGA VALORES]]</f>
        <v>0</v>
      </c>
      <c r="S835" s="840">
        <f>+Tabla1[[#This Row],[FECHA FC]]+Tabla1[[#This Row],[PLAZO PAGO (DIAS)]]</f>
        <v>0</v>
      </c>
      <c r="T835" s="834">
        <f t="shared" ca="1" si="161"/>
        <v>-46181</v>
      </c>
      <c r="U835" s="831"/>
      <c r="V835" s="831"/>
      <c r="W835" s="841">
        <f>+Tabla1[[#This Row],[FECHA VTO VALORES]]+7</f>
        <v>7</v>
      </c>
      <c r="X835" s="830"/>
      <c r="Y835" s="859"/>
      <c r="Z835" s="860">
        <f>Tabla1[[#This Row],[KGS]]/50</f>
        <v>0</v>
      </c>
      <c r="AA83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35" s="844">
        <f>-Tabla1[[#This Row],[COSTO FLETE $ POR BOLSA 5O KG (SIN IVA)]]*1.21-Tabla1[[#This Row],[PRECIO $/ KG A PLAZO EN CLIENTE ( SIN IVA)]]*0.003*1.21*50</f>
        <v>0</v>
      </c>
      <c r="AC835" s="845" t="e">
        <f>SUM(Tabla1[[#This Row],[PRECIO $ BOLSA 50 KG (IVA INC) ]]+Tabla1[[#This Row],[COSTO FLETE $ BOLSA 50 KG (IVA INC)]])</f>
        <v>#VALUE!</v>
      </c>
      <c r="AD835" s="844" t="e">
        <f>-Tabla1[[#This Row],[PRECIO $ BOLSA 50 KG (IVA INC) ]]*(Tabla1[[#This Row],[TASA FINANCIACION MENSUAL]]/365)*Tabla1[[#This Row],[PLAZO ENTREGA VALORES]]</f>
        <v>#VALUE!</v>
      </c>
      <c r="AE835" s="845" t="e">
        <f>SUM(Tabla1[[#This Row],[PRECIO $ BOLSA50 KG  FOB TUCUMAN A PLAZO (IVA INC)]]+Tabla1[[#This Row],[GASTOS FINANCIEROS $ BOLSA 50 KG (IVA INC)]])</f>
        <v>#VALUE!</v>
      </c>
      <c r="AF835" s="828"/>
      <c r="AG835" s="828"/>
      <c r="AH835" s="828"/>
      <c r="AI835" s="828"/>
      <c r="AJ83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35" s="846" t="e">
        <f>SUM(Tabla1[[#This Row],[PRECIO $ BOLSA 50KG  FOB CDO TUC (IVA INC)]]-Tabla1[[#This Row],[PRECIO REF $ BOLSA 50 KG CACTU (IVA INC)]])</f>
        <v>#VALUE!</v>
      </c>
      <c r="AL835" s="847" t="str">
        <f>IFERROR(Tabla1[[#This Row],[PRECIO $ BOLSA 50KG  FOB CDO TUC (IVA INC)]]/Tabla1[[#This Row],[PRECIO REF $ BOLSA 50 KG CACTU (IVA INC)]]-1,"")</f>
        <v/>
      </c>
      <c r="AM835" s="846" t="e">
        <f>+Tabla1[[#This Row],[DIF $ PRECIO NETO INDUSTRIA vs Neto TUCUMAN (IVA INC)]]*Tabla1[[#This Row],[Q Bolsas Equivalentes 50kg]]</f>
        <v>#VALUE!</v>
      </c>
      <c r="AN835" s="846" t="e">
        <f>Tabla1[[#This Row],[PRECIO REF $ BOLSA 50 KG CACTU (IVA INC)]]*Tabla1[[#This Row],[Q Bolsas Equivalentes 50kg]]</f>
        <v>#VALUE!</v>
      </c>
      <c r="AO835" s="846" t="e">
        <f>+Tabla1[[#This Row],[PRECIO $ BOLSA 50KG  FOB CDO TUC (IVA INC)]]*Tabla1[[#This Row],[Q Bolsas Equivalentes 50kg]]</f>
        <v>#VALUE!</v>
      </c>
      <c r="AP835" s="847"/>
      <c r="AQ835" s="846">
        <v>0</v>
      </c>
      <c r="AR835" s="828"/>
      <c r="AS835" s="849"/>
      <c r="AT835" s="923">
        <f>+Tabla1[[#This Row],[VENTA TOTAL $ (IVA INC) ]]-(SUM(Tabla1[[#This Row],[PENDIENTE DE ENTREGA]:[VALORES COBRADOS]]))</f>
        <v>0</v>
      </c>
      <c r="AU835" s="850" t="e">
        <f>VLOOKUP(Tabla1[[#This Row],[FECHA OC]],'TIPO DE CAMBIO'!A:B,2,TRUE)</f>
        <v>#N/A</v>
      </c>
      <c r="AV835" s="850" t="e">
        <f>+Tabla1[[#This Row],[SUBTOTAL]]/Tabla1[[#This Row],[TIPO DE CAMBIO]]</f>
        <v>#N/A</v>
      </c>
      <c r="AW835" s="851"/>
      <c r="AX835" s="850" t="str">
        <f>IFERROR(Tabla1[[#This Row],[VENTA TOTAL USD A PLAZO EN CLIENTE  (SIN IVA)]]*(1+Tabla1[[#This Row],[% IVA ]]),"")</f>
        <v/>
      </c>
      <c r="AY835" s="850" t="e">
        <f>+Tabla1[[#This Row],[VENTA TOTAL USD A PLAZO EN CLIENTE  (SIN IVA)]]/Tabla1[[#This Row],[KGS]]*1000</f>
        <v>#N/A</v>
      </c>
      <c r="AZ835" s="850" t="e">
        <f>-Tabla1[[#This Row],[COSTO FLETE $ POR BOLSA 5O KG (SIN IVA)]]*20/Tabla1[[#This Row],[TIPO DE CAMBIO]]</f>
        <v>#N/A</v>
      </c>
      <c r="BA835" s="850" t="e">
        <f>+Tabla1[[#This Row],[GASTOS FINANCIEROS $ BOLSA 50 KG (IVA INC)]]*20/Tabla1[[#This Row],[TIPO DE CAMBIO]]</f>
        <v>#VALUE!</v>
      </c>
      <c r="BB835" s="850" t="e">
        <f>+Tabla1[[#This Row],[PRECIO POR TN USD EN CLIENTE A PLAZO (SIN IVA)]]+Tabla1[[#This Row],[COSTO USD FLETE /TN (SIN IVA)]]+Tabla1[[#This Row],[COSTO FINANCIERO USD POR BOLSA 50KG (IVA INC)]]</f>
        <v>#N/A</v>
      </c>
      <c r="BC835" s="828"/>
      <c r="BD835" s="944"/>
      <c r="BG835" s="867"/>
      <c r="BH835" s="810"/>
    </row>
    <row r="836" spans="1:60" ht="15.75" customHeight="1">
      <c r="A836" s="912">
        <v>46419</v>
      </c>
      <c r="B836" s="853"/>
      <c r="C836" s="792"/>
      <c r="D836" s="829">
        <f>+Tabla1[[#This Row],[FECHA Entrega]]</f>
        <v>0</v>
      </c>
      <c r="E836" s="830"/>
      <c r="F836" s="831"/>
      <c r="G836" s="832"/>
      <c r="H836" s="852"/>
      <c r="I836" s="834"/>
      <c r="J836" s="835"/>
      <c r="K836" s="836">
        <f t="shared" si="160"/>
        <v>0</v>
      </c>
      <c r="L83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36" s="837">
        <f t="shared" si="162"/>
        <v>0</v>
      </c>
      <c r="N836" s="838">
        <f>+Tabla1[[#This Row],[VENTA TOTAL $ (IVA INC) ]]</f>
        <v>0</v>
      </c>
      <c r="O836" s="838">
        <v>0</v>
      </c>
      <c r="P836" s="838">
        <v>0</v>
      </c>
      <c r="Q836" s="839">
        <f>+Tabla1[[#This Row],[VENTA TOTAL $ (IVA INC) ]]-Tabla1[[#This Row],[PENDIENTE DE COBRO]]</f>
        <v>0</v>
      </c>
      <c r="R836" s="840">
        <f>+Tabla1[[#This Row],[FECHA FC]]+Tabla1[[#This Row],[PLAZO ENTREGA VALORES]]</f>
        <v>0</v>
      </c>
      <c r="S836" s="840">
        <f>+Tabla1[[#This Row],[FECHA FC]]+Tabla1[[#This Row],[PLAZO PAGO (DIAS)]]</f>
        <v>0</v>
      </c>
      <c r="T836" s="834">
        <f t="shared" ca="1" si="161"/>
        <v>-46181</v>
      </c>
      <c r="U836" s="831"/>
      <c r="V836" s="831"/>
      <c r="W836" s="841">
        <f>+Tabla1[[#This Row],[FECHA VTO VALORES]]+7</f>
        <v>7</v>
      </c>
      <c r="X836" s="830"/>
      <c r="Y836" s="859"/>
      <c r="Z836" s="860">
        <f>Tabla1[[#This Row],[KGS]]/50</f>
        <v>0</v>
      </c>
      <c r="AA83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36" s="844">
        <f>-Tabla1[[#This Row],[COSTO FLETE $ POR BOLSA 5O KG (SIN IVA)]]*1.21-Tabla1[[#This Row],[PRECIO $/ KG A PLAZO EN CLIENTE ( SIN IVA)]]*0.003*1.21*50</f>
        <v>0</v>
      </c>
      <c r="AC836" s="845" t="e">
        <f>SUM(Tabla1[[#This Row],[PRECIO $ BOLSA 50 KG (IVA INC) ]]+Tabla1[[#This Row],[COSTO FLETE $ BOLSA 50 KG (IVA INC)]])</f>
        <v>#VALUE!</v>
      </c>
      <c r="AD836" s="844" t="e">
        <f>-Tabla1[[#This Row],[PRECIO $ BOLSA 50 KG (IVA INC) ]]*(Tabla1[[#This Row],[TASA FINANCIACION MENSUAL]]/365)*Tabla1[[#This Row],[PLAZO ENTREGA VALORES]]</f>
        <v>#VALUE!</v>
      </c>
      <c r="AE836" s="845" t="e">
        <f>SUM(Tabla1[[#This Row],[PRECIO $ BOLSA50 KG  FOB TUCUMAN A PLAZO (IVA INC)]]+Tabla1[[#This Row],[GASTOS FINANCIEROS $ BOLSA 50 KG (IVA INC)]])</f>
        <v>#VALUE!</v>
      </c>
      <c r="AF836" s="828"/>
      <c r="AG836" s="828"/>
      <c r="AH836" s="828"/>
      <c r="AI836" s="828"/>
      <c r="AJ83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36" s="846" t="e">
        <f>SUM(Tabla1[[#This Row],[PRECIO $ BOLSA 50KG  FOB CDO TUC (IVA INC)]]-Tabla1[[#This Row],[PRECIO REF $ BOLSA 50 KG CACTU (IVA INC)]])</f>
        <v>#VALUE!</v>
      </c>
      <c r="AL836" s="847" t="str">
        <f>IFERROR(Tabla1[[#This Row],[PRECIO $ BOLSA 50KG  FOB CDO TUC (IVA INC)]]/Tabla1[[#This Row],[PRECIO REF $ BOLSA 50 KG CACTU (IVA INC)]]-1,"")</f>
        <v/>
      </c>
      <c r="AM836" s="846" t="e">
        <f>+Tabla1[[#This Row],[DIF $ PRECIO NETO INDUSTRIA vs Neto TUCUMAN (IVA INC)]]*Tabla1[[#This Row],[Q Bolsas Equivalentes 50kg]]</f>
        <v>#VALUE!</v>
      </c>
      <c r="AN836" s="846" t="e">
        <f>Tabla1[[#This Row],[PRECIO REF $ BOLSA 50 KG CACTU (IVA INC)]]*Tabla1[[#This Row],[Q Bolsas Equivalentes 50kg]]</f>
        <v>#VALUE!</v>
      </c>
      <c r="AO836" s="846" t="e">
        <f>+Tabla1[[#This Row],[PRECIO $ BOLSA 50KG  FOB CDO TUC (IVA INC)]]*Tabla1[[#This Row],[Q Bolsas Equivalentes 50kg]]</f>
        <v>#VALUE!</v>
      </c>
      <c r="AP836" s="847"/>
      <c r="AQ836" s="846">
        <v>0</v>
      </c>
      <c r="AR836" s="828"/>
      <c r="AS836" s="849"/>
      <c r="AT836" s="923">
        <f>+Tabla1[[#This Row],[VENTA TOTAL $ (IVA INC) ]]-(SUM(Tabla1[[#This Row],[PENDIENTE DE ENTREGA]:[VALORES COBRADOS]]))</f>
        <v>0</v>
      </c>
      <c r="AU836" s="850" t="e">
        <f>VLOOKUP(Tabla1[[#This Row],[FECHA OC]],'TIPO DE CAMBIO'!A:B,2,TRUE)</f>
        <v>#N/A</v>
      </c>
      <c r="AV836" s="850" t="e">
        <f>+Tabla1[[#This Row],[SUBTOTAL]]/Tabla1[[#This Row],[TIPO DE CAMBIO]]</f>
        <v>#N/A</v>
      </c>
      <c r="AW836" s="851"/>
      <c r="AX836" s="850" t="str">
        <f>IFERROR(Tabla1[[#This Row],[VENTA TOTAL USD A PLAZO EN CLIENTE  (SIN IVA)]]*(1+Tabla1[[#This Row],[% IVA ]]),"")</f>
        <v/>
      </c>
      <c r="AY836" s="850" t="e">
        <f>+Tabla1[[#This Row],[VENTA TOTAL USD A PLAZO EN CLIENTE  (SIN IVA)]]/Tabla1[[#This Row],[KGS]]*1000</f>
        <v>#N/A</v>
      </c>
      <c r="AZ836" s="850" t="e">
        <f>-Tabla1[[#This Row],[COSTO FLETE $ POR BOLSA 5O KG (SIN IVA)]]*20/Tabla1[[#This Row],[TIPO DE CAMBIO]]</f>
        <v>#N/A</v>
      </c>
      <c r="BA836" s="850" t="e">
        <f>+Tabla1[[#This Row],[GASTOS FINANCIEROS $ BOLSA 50 KG (IVA INC)]]*20/Tabla1[[#This Row],[TIPO DE CAMBIO]]</f>
        <v>#VALUE!</v>
      </c>
      <c r="BB836" s="850" t="e">
        <f>+Tabla1[[#This Row],[PRECIO POR TN USD EN CLIENTE A PLAZO (SIN IVA)]]+Tabla1[[#This Row],[COSTO USD FLETE /TN (SIN IVA)]]+Tabla1[[#This Row],[COSTO FINANCIERO USD POR BOLSA 50KG (IVA INC)]]</f>
        <v>#N/A</v>
      </c>
      <c r="BC836" s="828"/>
      <c r="BD836" s="944"/>
      <c r="BG836" s="867"/>
      <c r="BH836" s="810"/>
    </row>
    <row r="837" spans="1:60" ht="15.75" customHeight="1">
      <c r="A837" s="912">
        <v>46419</v>
      </c>
      <c r="B837" s="853"/>
      <c r="C837" s="792"/>
      <c r="D837" s="829">
        <f>+Tabla1[[#This Row],[FECHA Entrega]]</f>
        <v>0</v>
      </c>
      <c r="E837" s="830"/>
      <c r="F837" s="831"/>
      <c r="G837" s="832"/>
      <c r="H837" s="852"/>
      <c r="I837" s="834"/>
      <c r="J837" s="835"/>
      <c r="K837" s="836">
        <f t="shared" si="160"/>
        <v>0</v>
      </c>
      <c r="L83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37" s="837">
        <f t="shared" si="162"/>
        <v>0</v>
      </c>
      <c r="N837" s="838">
        <f>+Tabla1[[#This Row],[VENTA TOTAL $ (IVA INC) ]]</f>
        <v>0</v>
      </c>
      <c r="O837" s="838">
        <v>0</v>
      </c>
      <c r="P837" s="838">
        <v>0</v>
      </c>
      <c r="Q837" s="839">
        <f>+Tabla1[[#This Row],[VENTA TOTAL $ (IVA INC) ]]</f>
        <v>0</v>
      </c>
      <c r="R837" s="840">
        <f>+Tabla1[[#This Row],[FECHA FC]]+Tabla1[[#This Row],[PLAZO ENTREGA VALORES]]</f>
        <v>0</v>
      </c>
      <c r="S837" s="840">
        <f>+Tabla1[[#This Row],[FECHA FC]]+Tabla1[[#This Row],[PLAZO PAGO (DIAS)]]</f>
        <v>0</v>
      </c>
      <c r="T837" s="834">
        <f t="shared" ca="1" si="161"/>
        <v>-46181</v>
      </c>
      <c r="U837" s="831"/>
      <c r="V837" s="831"/>
      <c r="W837" s="841">
        <f>+Tabla1[[#This Row],[FECHA VTO VALORES]]+7</f>
        <v>7</v>
      </c>
      <c r="X837" s="830"/>
      <c r="Y837" s="859"/>
      <c r="Z837" s="860">
        <f>Tabla1[[#This Row],[KGS]]/50</f>
        <v>0</v>
      </c>
      <c r="AA83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37" s="844">
        <f>-Tabla1[[#This Row],[COSTO FLETE $ POR BOLSA 5O KG (SIN IVA)]]*1.21-Tabla1[[#This Row],[PRECIO $/ KG A PLAZO EN CLIENTE ( SIN IVA)]]*0.003*1.21*50</f>
        <v>0</v>
      </c>
      <c r="AC837" s="845" t="e">
        <f>SUM(Tabla1[[#This Row],[PRECIO $ BOLSA 50 KG (IVA INC) ]]+Tabla1[[#This Row],[COSTO FLETE $ BOLSA 50 KG (IVA INC)]])</f>
        <v>#VALUE!</v>
      </c>
      <c r="AD837" s="844" t="e">
        <f>-Tabla1[[#This Row],[PRECIO $ BOLSA 50 KG (IVA INC) ]]*(Tabla1[[#This Row],[TASA FINANCIACION MENSUAL]]/365)*Tabla1[[#This Row],[PLAZO ENTREGA VALORES]]</f>
        <v>#VALUE!</v>
      </c>
      <c r="AE837" s="845" t="e">
        <f>SUM(Tabla1[[#This Row],[PRECIO $ BOLSA50 KG  FOB TUCUMAN A PLAZO (IVA INC)]]+Tabla1[[#This Row],[GASTOS FINANCIEROS $ BOLSA 50 KG (IVA INC)]])</f>
        <v>#VALUE!</v>
      </c>
      <c r="AF837" s="828"/>
      <c r="AG837" s="828"/>
      <c r="AH837" s="828"/>
      <c r="AI837" s="828"/>
      <c r="AJ83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37" s="846" t="e">
        <f>SUM(Tabla1[[#This Row],[PRECIO $ BOLSA 50KG  FOB CDO TUC (IVA INC)]]-Tabla1[[#This Row],[PRECIO REF $ BOLSA 50 KG CACTU (IVA INC)]])</f>
        <v>#VALUE!</v>
      </c>
      <c r="AL837" s="847" t="str">
        <f>IFERROR(Tabla1[[#This Row],[PRECIO $ BOLSA 50KG  FOB CDO TUC (IVA INC)]]/Tabla1[[#This Row],[PRECIO REF $ BOLSA 50 KG CACTU (IVA INC)]]-1,"")</f>
        <v/>
      </c>
      <c r="AM837" s="846" t="e">
        <f>+Tabla1[[#This Row],[DIF $ PRECIO NETO INDUSTRIA vs Neto TUCUMAN (IVA INC)]]*Tabla1[[#This Row],[Q Bolsas Equivalentes 50kg]]</f>
        <v>#VALUE!</v>
      </c>
      <c r="AN837" s="846" t="e">
        <f>Tabla1[[#This Row],[PRECIO REF $ BOLSA 50 KG CACTU (IVA INC)]]*Tabla1[[#This Row],[Q Bolsas Equivalentes 50kg]]</f>
        <v>#VALUE!</v>
      </c>
      <c r="AO837" s="846" t="e">
        <f>+Tabla1[[#This Row],[PRECIO $ BOLSA 50KG  FOB CDO TUC (IVA INC)]]*Tabla1[[#This Row],[Q Bolsas Equivalentes 50kg]]</f>
        <v>#VALUE!</v>
      </c>
      <c r="AP837" s="847"/>
      <c r="AQ837" s="846">
        <v>0</v>
      </c>
      <c r="AR837" s="828"/>
      <c r="AS837" s="849"/>
      <c r="AT837" s="923">
        <f>+Tabla1[[#This Row],[VENTA TOTAL $ (IVA INC) ]]-(SUM(Tabla1[[#This Row],[PENDIENTE DE ENTREGA]:[VALORES COBRADOS]]))</f>
        <v>0</v>
      </c>
      <c r="AU837" s="850" t="e">
        <f>VLOOKUP(Tabla1[[#This Row],[FECHA OC]],'TIPO DE CAMBIO'!A:B,2,TRUE)</f>
        <v>#N/A</v>
      </c>
      <c r="AV837" s="850" t="e">
        <f>+Tabla1[[#This Row],[SUBTOTAL]]/Tabla1[[#This Row],[TIPO DE CAMBIO]]</f>
        <v>#N/A</v>
      </c>
      <c r="AW837" s="851"/>
      <c r="AX837" s="850" t="str">
        <f>IFERROR(Tabla1[[#This Row],[VENTA TOTAL USD A PLAZO EN CLIENTE  (SIN IVA)]]*(1+Tabla1[[#This Row],[% IVA ]]),"")</f>
        <v/>
      </c>
      <c r="AY837" s="850" t="e">
        <f>+Tabla1[[#This Row],[VENTA TOTAL USD A PLAZO EN CLIENTE  (SIN IVA)]]/Tabla1[[#This Row],[KGS]]*1000</f>
        <v>#N/A</v>
      </c>
      <c r="AZ837" s="850" t="e">
        <f>-Tabla1[[#This Row],[COSTO FLETE $ POR BOLSA 5O KG (SIN IVA)]]*20/Tabla1[[#This Row],[TIPO DE CAMBIO]]</f>
        <v>#N/A</v>
      </c>
      <c r="BA837" s="850" t="e">
        <f>+Tabla1[[#This Row],[GASTOS FINANCIEROS $ BOLSA 50 KG (IVA INC)]]*20/Tabla1[[#This Row],[TIPO DE CAMBIO]]</f>
        <v>#VALUE!</v>
      </c>
      <c r="BB837" s="850" t="e">
        <f>+Tabla1[[#This Row],[PRECIO POR TN USD EN CLIENTE A PLAZO (SIN IVA)]]+Tabla1[[#This Row],[COSTO USD FLETE /TN (SIN IVA)]]+Tabla1[[#This Row],[COSTO FINANCIERO USD POR BOLSA 50KG (IVA INC)]]</f>
        <v>#N/A</v>
      </c>
      <c r="BC837" s="828"/>
      <c r="BD837" s="944"/>
      <c r="BG837" s="867"/>
      <c r="BH837" s="810"/>
    </row>
    <row r="838" spans="1:60" ht="15.75" customHeight="1">
      <c r="A838" s="912">
        <v>46419</v>
      </c>
      <c r="B838" s="853"/>
      <c r="C838" s="792"/>
      <c r="D838" s="829">
        <f>+Tabla1[[#This Row],[FECHA Entrega]]</f>
        <v>0</v>
      </c>
      <c r="E838" s="830"/>
      <c r="F838" s="831"/>
      <c r="G838" s="832"/>
      <c r="H838" s="852"/>
      <c r="I838" s="834"/>
      <c r="J838" s="835"/>
      <c r="K838" s="836">
        <f t="shared" si="160"/>
        <v>0</v>
      </c>
      <c r="L83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38" s="837">
        <f t="shared" si="162"/>
        <v>0</v>
      </c>
      <c r="N838" s="838">
        <f>+Tabla1[[#This Row],[VENTA TOTAL $ (IVA INC) ]]</f>
        <v>0</v>
      </c>
      <c r="O838" s="838">
        <v>0</v>
      </c>
      <c r="P838" s="838">
        <v>0</v>
      </c>
      <c r="Q838" s="839">
        <f>+Tabla1[[#This Row],[VENTA TOTAL $ (IVA INC) ]]</f>
        <v>0</v>
      </c>
      <c r="R838" s="840">
        <f>+Tabla1[[#This Row],[FECHA FC]]+Tabla1[[#This Row],[PLAZO ENTREGA VALORES]]</f>
        <v>0</v>
      </c>
      <c r="S838" s="840">
        <f>+Tabla1[[#This Row],[FECHA FC]]+Tabla1[[#This Row],[PLAZO PAGO (DIAS)]]</f>
        <v>0</v>
      </c>
      <c r="T838" s="834">
        <f t="shared" ca="1" si="161"/>
        <v>-46181</v>
      </c>
      <c r="U838" s="831"/>
      <c r="V838" s="831"/>
      <c r="W838" s="841">
        <f>+Tabla1[[#This Row],[FECHA VTO VALORES]]+7</f>
        <v>7</v>
      </c>
      <c r="X838" s="830"/>
      <c r="Y838" s="859"/>
      <c r="Z838" s="860">
        <f>Tabla1[[#This Row],[KGS]]/50</f>
        <v>0</v>
      </c>
      <c r="AA83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38" s="844">
        <f>-Tabla1[[#This Row],[COSTO FLETE $ POR BOLSA 5O KG (SIN IVA)]]*1.21-Tabla1[[#This Row],[PRECIO $/ KG A PLAZO EN CLIENTE ( SIN IVA)]]*0.003*1.21*50</f>
        <v>0</v>
      </c>
      <c r="AC838" s="845" t="e">
        <f>SUM(Tabla1[[#This Row],[PRECIO $ BOLSA 50 KG (IVA INC) ]]+Tabla1[[#This Row],[COSTO FLETE $ BOLSA 50 KG (IVA INC)]])</f>
        <v>#VALUE!</v>
      </c>
      <c r="AD838" s="844" t="e">
        <f>-Tabla1[[#This Row],[PRECIO $ BOLSA 50 KG (IVA INC) ]]*(Tabla1[[#This Row],[TASA FINANCIACION MENSUAL]]/365)*Tabla1[[#This Row],[PLAZO ENTREGA VALORES]]</f>
        <v>#VALUE!</v>
      </c>
      <c r="AE838" s="845" t="e">
        <f>SUM(Tabla1[[#This Row],[PRECIO $ BOLSA50 KG  FOB TUCUMAN A PLAZO (IVA INC)]]+Tabla1[[#This Row],[GASTOS FINANCIEROS $ BOLSA 50 KG (IVA INC)]])</f>
        <v>#VALUE!</v>
      </c>
      <c r="AF838" s="828"/>
      <c r="AG838" s="828"/>
      <c r="AH838" s="828"/>
      <c r="AI838" s="828"/>
      <c r="AJ83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38" s="846" t="e">
        <f>SUM(Tabla1[[#This Row],[PRECIO $ BOLSA 50KG  FOB CDO TUC (IVA INC)]]-Tabla1[[#This Row],[PRECIO REF $ BOLSA 50 KG CACTU (IVA INC)]])</f>
        <v>#VALUE!</v>
      </c>
      <c r="AL838" s="847" t="str">
        <f>IFERROR(Tabla1[[#This Row],[PRECIO $ BOLSA 50KG  FOB CDO TUC (IVA INC)]]/Tabla1[[#This Row],[PRECIO REF $ BOLSA 50 KG CACTU (IVA INC)]]-1,"")</f>
        <v/>
      </c>
      <c r="AM838" s="846" t="e">
        <f>+Tabla1[[#This Row],[DIF $ PRECIO NETO INDUSTRIA vs Neto TUCUMAN (IVA INC)]]*Tabla1[[#This Row],[Q Bolsas Equivalentes 50kg]]</f>
        <v>#VALUE!</v>
      </c>
      <c r="AN838" s="846" t="e">
        <f>Tabla1[[#This Row],[PRECIO REF $ BOLSA 50 KG CACTU (IVA INC)]]*Tabla1[[#This Row],[Q Bolsas Equivalentes 50kg]]</f>
        <v>#VALUE!</v>
      </c>
      <c r="AO838" s="846" t="e">
        <f>+Tabla1[[#This Row],[PRECIO $ BOLSA 50KG  FOB CDO TUC (IVA INC)]]*Tabla1[[#This Row],[Q Bolsas Equivalentes 50kg]]</f>
        <v>#VALUE!</v>
      </c>
      <c r="AP838" s="847"/>
      <c r="AQ838" s="846">
        <v>0</v>
      </c>
      <c r="AR838" s="828"/>
      <c r="AS838" s="849"/>
      <c r="AT838" s="923">
        <f>+Tabla1[[#This Row],[VENTA TOTAL $ (IVA INC) ]]-(SUM(Tabla1[[#This Row],[PENDIENTE DE ENTREGA]:[VALORES COBRADOS]]))</f>
        <v>0</v>
      </c>
      <c r="AU838" s="850" t="e">
        <f>VLOOKUP(Tabla1[[#This Row],[FECHA OC]],'TIPO DE CAMBIO'!A:B,2,TRUE)</f>
        <v>#N/A</v>
      </c>
      <c r="AV838" s="850" t="e">
        <f>+Tabla1[[#This Row],[SUBTOTAL]]/Tabla1[[#This Row],[TIPO DE CAMBIO]]</f>
        <v>#N/A</v>
      </c>
      <c r="AW838" s="851"/>
      <c r="AX838" s="850" t="str">
        <f>IFERROR(Tabla1[[#This Row],[VENTA TOTAL USD A PLAZO EN CLIENTE  (SIN IVA)]]*(1+Tabla1[[#This Row],[% IVA ]]),"")</f>
        <v/>
      </c>
      <c r="AY838" s="866" t="e">
        <f>+Tabla1[[#This Row],[VENTA TOTAL USD A PLAZO EN CLIENTE  (SIN IVA)]]/Tabla1[[#This Row],[KGS]]*1000</f>
        <v>#N/A</v>
      </c>
      <c r="AZ838" s="850" t="e">
        <f>-Tabla1[[#This Row],[COSTO FLETE $ POR BOLSA 5O KG (SIN IVA)]]*20/Tabla1[[#This Row],[TIPO DE CAMBIO]]</f>
        <v>#N/A</v>
      </c>
      <c r="BA838" s="850" t="e">
        <f>+Tabla1[[#This Row],[GASTOS FINANCIEROS $ BOLSA 50 KG (IVA INC)]]*20/Tabla1[[#This Row],[TIPO DE CAMBIO]]</f>
        <v>#VALUE!</v>
      </c>
      <c r="BB838" s="850" t="e">
        <f>+Tabla1[[#This Row],[PRECIO POR TN USD EN CLIENTE A PLAZO (SIN IVA)]]+Tabla1[[#This Row],[COSTO USD FLETE /TN (SIN IVA)]]+Tabla1[[#This Row],[COSTO FINANCIERO USD POR BOLSA 50KG (IVA INC)]]</f>
        <v>#N/A</v>
      </c>
      <c r="BC838" s="828"/>
      <c r="BD838" s="944"/>
      <c r="BG838" s="867"/>
      <c r="BH838" s="810"/>
    </row>
    <row r="839" spans="1:60" ht="15.75" customHeight="1">
      <c r="A839" s="912">
        <v>46419</v>
      </c>
      <c r="B839" s="853"/>
      <c r="C839" s="792"/>
      <c r="D839" s="829">
        <f>+Tabla1[[#This Row],[FECHA Entrega]]</f>
        <v>0</v>
      </c>
      <c r="E839" s="830"/>
      <c r="F839" s="831"/>
      <c r="G839" s="832"/>
      <c r="H839" s="852"/>
      <c r="I839" s="834"/>
      <c r="J839" s="835"/>
      <c r="K839" s="836">
        <f t="shared" si="160"/>
        <v>0</v>
      </c>
      <c r="L83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39" s="837">
        <f t="shared" si="162"/>
        <v>0</v>
      </c>
      <c r="N839" s="838">
        <f>+Tabla1[[#This Row],[VENTA TOTAL $ (IVA INC) ]]</f>
        <v>0</v>
      </c>
      <c r="O839" s="838">
        <v>0</v>
      </c>
      <c r="P839" s="838">
        <v>0</v>
      </c>
      <c r="Q839" s="839">
        <f>+Tabla1[[#This Row],[VENTA TOTAL $ (IVA INC) ]]</f>
        <v>0</v>
      </c>
      <c r="R839" s="840">
        <f>+Tabla1[[#This Row],[FECHA FC]]+Tabla1[[#This Row],[PLAZO ENTREGA VALORES]]</f>
        <v>0</v>
      </c>
      <c r="S839" s="840">
        <f>+Tabla1[[#This Row],[FECHA FC]]+Tabla1[[#This Row],[PLAZO PAGO (DIAS)]]</f>
        <v>0</v>
      </c>
      <c r="T839" s="834">
        <f t="shared" ca="1" si="161"/>
        <v>-46181</v>
      </c>
      <c r="U839" s="831"/>
      <c r="V839" s="831"/>
      <c r="W839" s="841">
        <f>+Tabla1[[#This Row],[FECHA VTO VALORES]]+7</f>
        <v>7</v>
      </c>
      <c r="X839" s="830"/>
      <c r="Y839" s="859"/>
      <c r="Z839" s="860">
        <f>Tabla1[[#This Row],[KGS]]/50</f>
        <v>0</v>
      </c>
      <c r="AA83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39" s="844">
        <f>-Tabla1[[#This Row],[COSTO FLETE $ POR BOLSA 5O KG (SIN IVA)]]*1.21-Tabla1[[#This Row],[PRECIO $/ KG A PLAZO EN CLIENTE ( SIN IVA)]]*0.003*1.21*50</f>
        <v>0</v>
      </c>
      <c r="AC839" s="845" t="e">
        <f>SUM(Tabla1[[#This Row],[PRECIO $ BOLSA 50 KG (IVA INC) ]]+Tabla1[[#This Row],[COSTO FLETE $ BOLSA 50 KG (IVA INC)]])</f>
        <v>#VALUE!</v>
      </c>
      <c r="AD839" s="844" t="e">
        <f>-Tabla1[[#This Row],[PRECIO $ BOLSA 50 KG (IVA INC) ]]*(Tabla1[[#This Row],[TASA FINANCIACION MENSUAL]]/365)*Tabla1[[#This Row],[PLAZO ENTREGA VALORES]]</f>
        <v>#VALUE!</v>
      </c>
      <c r="AE839" s="845" t="e">
        <f>SUM(Tabla1[[#This Row],[PRECIO $ BOLSA50 KG  FOB TUCUMAN A PLAZO (IVA INC)]]+Tabla1[[#This Row],[GASTOS FINANCIEROS $ BOLSA 50 KG (IVA INC)]])</f>
        <v>#VALUE!</v>
      </c>
      <c r="AF839" s="828"/>
      <c r="AG839" s="828"/>
      <c r="AH839" s="828"/>
      <c r="AI839" s="828"/>
      <c r="AJ83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39" s="846" t="e">
        <f>SUM(Tabla1[[#This Row],[PRECIO $ BOLSA 50KG  FOB CDO TUC (IVA INC)]]-Tabla1[[#This Row],[PRECIO REF $ BOLSA 50 KG CACTU (IVA INC)]])</f>
        <v>#VALUE!</v>
      </c>
      <c r="AL839" s="847" t="str">
        <f>IFERROR(Tabla1[[#This Row],[PRECIO $ BOLSA 50KG  FOB CDO TUC (IVA INC)]]/Tabla1[[#This Row],[PRECIO REF $ BOLSA 50 KG CACTU (IVA INC)]]-1,"")</f>
        <v/>
      </c>
      <c r="AM839" s="846" t="e">
        <f>+Tabla1[[#This Row],[DIF $ PRECIO NETO INDUSTRIA vs Neto TUCUMAN (IVA INC)]]*Tabla1[[#This Row],[Q Bolsas Equivalentes 50kg]]</f>
        <v>#VALUE!</v>
      </c>
      <c r="AN839" s="846" t="e">
        <f>Tabla1[[#This Row],[PRECIO REF $ BOLSA 50 KG CACTU (IVA INC)]]*Tabla1[[#This Row],[Q Bolsas Equivalentes 50kg]]</f>
        <v>#VALUE!</v>
      </c>
      <c r="AO839" s="846" t="e">
        <f>+Tabla1[[#This Row],[PRECIO $ BOLSA 50KG  FOB CDO TUC (IVA INC)]]*Tabla1[[#This Row],[Q Bolsas Equivalentes 50kg]]</f>
        <v>#VALUE!</v>
      </c>
      <c r="AP839" s="847"/>
      <c r="AQ839" s="846">
        <v>0</v>
      </c>
      <c r="AR839" s="828"/>
      <c r="AS839" s="849"/>
      <c r="AT839" s="923">
        <f>+Tabla1[[#This Row],[VENTA TOTAL $ (IVA INC) ]]-(SUM(Tabla1[[#This Row],[PENDIENTE DE ENTREGA]:[VALORES COBRADOS]]))</f>
        <v>0</v>
      </c>
      <c r="AU839" s="850" t="e">
        <f>VLOOKUP(Tabla1[[#This Row],[FECHA OC]],'TIPO DE CAMBIO'!A:B,2,TRUE)</f>
        <v>#N/A</v>
      </c>
      <c r="AV839" s="850" t="e">
        <f>+Tabla1[[#This Row],[SUBTOTAL]]/Tabla1[[#This Row],[TIPO DE CAMBIO]]</f>
        <v>#N/A</v>
      </c>
      <c r="AW839" s="851"/>
      <c r="AX839" s="850" t="str">
        <f>IFERROR(Tabla1[[#This Row],[VENTA TOTAL USD A PLAZO EN CLIENTE  (SIN IVA)]]*(1+Tabla1[[#This Row],[% IVA ]]),"")</f>
        <v/>
      </c>
      <c r="AY839" s="866" t="e">
        <f>+Tabla1[[#This Row],[VENTA TOTAL USD A PLAZO EN CLIENTE  (SIN IVA)]]/Tabla1[[#This Row],[KGS]]*1000</f>
        <v>#N/A</v>
      </c>
      <c r="AZ839" s="850" t="e">
        <f>-Tabla1[[#This Row],[COSTO FLETE $ POR BOLSA 5O KG (SIN IVA)]]*20/Tabla1[[#This Row],[TIPO DE CAMBIO]]</f>
        <v>#N/A</v>
      </c>
      <c r="BA839" s="850" t="e">
        <f>+Tabla1[[#This Row],[GASTOS FINANCIEROS $ BOLSA 50 KG (IVA INC)]]*20/Tabla1[[#This Row],[TIPO DE CAMBIO]]</f>
        <v>#VALUE!</v>
      </c>
      <c r="BB839" s="850" t="e">
        <f>+Tabla1[[#This Row],[PRECIO POR TN USD EN CLIENTE A PLAZO (SIN IVA)]]+Tabla1[[#This Row],[COSTO USD FLETE /TN (SIN IVA)]]+Tabla1[[#This Row],[COSTO FINANCIERO USD POR BOLSA 50KG (IVA INC)]]</f>
        <v>#N/A</v>
      </c>
      <c r="BC839" s="828"/>
      <c r="BD839" s="944"/>
      <c r="BG839" s="867"/>
      <c r="BH839" s="810"/>
    </row>
    <row r="840" spans="1:60" ht="15.75" customHeight="1">
      <c r="A840" s="912">
        <v>46419</v>
      </c>
      <c r="B840" s="853"/>
      <c r="C840" s="792"/>
      <c r="D840" s="829">
        <f>+Tabla1[[#This Row],[FECHA Entrega]]</f>
        <v>0</v>
      </c>
      <c r="E840" s="830"/>
      <c r="F840" s="831"/>
      <c r="G840" s="832"/>
      <c r="H840" s="852"/>
      <c r="I840" s="834"/>
      <c r="J840" s="835"/>
      <c r="K840" s="836">
        <f t="shared" si="160"/>
        <v>0</v>
      </c>
      <c r="L84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40" s="837">
        <f t="shared" si="162"/>
        <v>0</v>
      </c>
      <c r="N840" s="838">
        <f>+Tabla1[[#This Row],[VENTA TOTAL $ (IVA INC) ]]</f>
        <v>0</v>
      </c>
      <c r="O840" s="838">
        <v>0</v>
      </c>
      <c r="P840" s="838">
        <v>0</v>
      </c>
      <c r="Q840" s="839">
        <f>+Tabla1[[#This Row],[VENTA TOTAL $ (IVA INC) ]]</f>
        <v>0</v>
      </c>
      <c r="R840" s="840">
        <f>+Tabla1[[#This Row],[FECHA FC]]+Tabla1[[#This Row],[PLAZO ENTREGA VALORES]]</f>
        <v>0</v>
      </c>
      <c r="S840" s="840">
        <f>+Tabla1[[#This Row],[FECHA FC]]+Tabla1[[#This Row],[PLAZO PAGO (DIAS)]]</f>
        <v>0</v>
      </c>
      <c r="T840" s="834">
        <f t="shared" ca="1" si="161"/>
        <v>-46181</v>
      </c>
      <c r="U840" s="831"/>
      <c r="V840" s="831"/>
      <c r="W840" s="841">
        <f>+Tabla1[[#This Row],[FECHA VTO VALORES]]+7</f>
        <v>7</v>
      </c>
      <c r="X840" s="830"/>
      <c r="Y840" s="859"/>
      <c r="Z840" s="860">
        <f>Tabla1[[#This Row],[KGS]]/50</f>
        <v>0</v>
      </c>
      <c r="AA84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40" s="844">
        <f>-Tabla1[[#This Row],[COSTO FLETE $ POR BOLSA 5O KG (SIN IVA)]]*1.21-Tabla1[[#This Row],[PRECIO $/ KG A PLAZO EN CLIENTE ( SIN IVA)]]*0.003*1.21*50</f>
        <v>0</v>
      </c>
      <c r="AC840" s="845" t="e">
        <f>SUM(Tabla1[[#This Row],[PRECIO $ BOLSA 50 KG (IVA INC) ]]+Tabla1[[#This Row],[COSTO FLETE $ BOLSA 50 KG (IVA INC)]])</f>
        <v>#VALUE!</v>
      </c>
      <c r="AD840" s="844" t="e">
        <f>-Tabla1[[#This Row],[PRECIO $ BOLSA 50 KG (IVA INC) ]]*(Tabla1[[#This Row],[TASA FINANCIACION MENSUAL]]/365)*Tabla1[[#This Row],[PLAZO ENTREGA VALORES]]</f>
        <v>#VALUE!</v>
      </c>
      <c r="AE840" s="845" t="e">
        <f>SUM(Tabla1[[#This Row],[PRECIO $ BOLSA50 KG  FOB TUCUMAN A PLAZO (IVA INC)]]+Tabla1[[#This Row],[GASTOS FINANCIEROS $ BOLSA 50 KG (IVA INC)]])</f>
        <v>#VALUE!</v>
      </c>
      <c r="AF840" s="828"/>
      <c r="AG840" s="828"/>
      <c r="AH840" s="828"/>
      <c r="AI840" s="828"/>
      <c r="AJ84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40" s="846" t="e">
        <f>SUM(Tabla1[[#This Row],[PRECIO $ BOLSA 50KG  FOB CDO TUC (IVA INC)]]-Tabla1[[#This Row],[PRECIO REF $ BOLSA 50 KG CACTU (IVA INC)]])</f>
        <v>#VALUE!</v>
      </c>
      <c r="AL840" s="847" t="str">
        <f>IFERROR(Tabla1[[#This Row],[PRECIO $ BOLSA 50KG  FOB CDO TUC (IVA INC)]]/Tabla1[[#This Row],[PRECIO REF $ BOLSA 50 KG CACTU (IVA INC)]]-1,"")</f>
        <v/>
      </c>
      <c r="AM840" s="846" t="e">
        <f>+Tabla1[[#This Row],[DIF $ PRECIO NETO INDUSTRIA vs Neto TUCUMAN (IVA INC)]]*Tabla1[[#This Row],[Q Bolsas Equivalentes 50kg]]</f>
        <v>#VALUE!</v>
      </c>
      <c r="AN840" s="846" t="e">
        <f>Tabla1[[#This Row],[PRECIO REF $ BOLSA 50 KG CACTU (IVA INC)]]*Tabla1[[#This Row],[Q Bolsas Equivalentes 50kg]]</f>
        <v>#VALUE!</v>
      </c>
      <c r="AO840" s="846" t="e">
        <f>+Tabla1[[#This Row],[PRECIO $ BOLSA 50KG  FOB CDO TUC (IVA INC)]]*Tabla1[[#This Row],[Q Bolsas Equivalentes 50kg]]</f>
        <v>#VALUE!</v>
      </c>
      <c r="AP840" s="847"/>
      <c r="AQ840" s="846">
        <v>0</v>
      </c>
      <c r="AR840" s="828"/>
      <c r="AS840" s="849"/>
      <c r="AT840" s="923">
        <f>+Tabla1[[#This Row],[VENTA TOTAL $ (IVA INC) ]]-(SUM(Tabla1[[#This Row],[PENDIENTE DE ENTREGA]:[VALORES COBRADOS]]))</f>
        <v>0</v>
      </c>
      <c r="AU840" s="850" t="e">
        <f>VLOOKUP(Tabla1[[#This Row],[FECHA OC]],'TIPO DE CAMBIO'!A:B,2,TRUE)</f>
        <v>#N/A</v>
      </c>
      <c r="AV840" s="850" t="e">
        <f>+Tabla1[[#This Row],[SUBTOTAL]]/Tabla1[[#This Row],[TIPO DE CAMBIO]]</f>
        <v>#N/A</v>
      </c>
      <c r="AW840" s="851"/>
      <c r="AX840" s="850" t="str">
        <f>IFERROR(Tabla1[[#This Row],[VENTA TOTAL USD A PLAZO EN CLIENTE  (SIN IVA)]]*(1+Tabla1[[#This Row],[% IVA ]]),"")</f>
        <v/>
      </c>
      <c r="AY840" s="866" t="e">
        <f>+Tabla1[[#This Row],[VENTA TOTAL USD A PLAZO EN CLIENTE  (SIN IVA)]]/Tabla1[[#This Row],[KGS]]*1000</f>
        <v>#N/A</v>
      </c>
      <c r="AZ840" s="850" t="e">
        <f>-Tabla1[[#This Row],[COSTO FLETE $ POR BOLSA 5O KG (SIN IVA)]]*20/Tabla1[[#This Row],[TIPO DE CAMBIO]]</f>
        <v>#N/A</v>
      </c>
      <c r="BA840" s="850" t="e">
        <f>+Tabla1[[#This Row],[GASTOS FINANCIEROS $ BOLSA 50 KG (IVA INC)]]*20/Tabla1[[#This Row],[TIPO DE CAMBIO]]</f>
        <v>#VALUE!</v>
      </c>
      <c r="BB840" s="850" t="e">
        <f>+Tabla1[[#This Row],[PRECIO POR TN USD EN CLIENTE A PLAZO (SIN IVA)]]+Tabla1[[#This Row],[COSTO USD FLETE /TN (SIN IVA)]]+Tabla1[[#This Row],[COSTO FINANCIERO USD POR BOLSA 50KG (IVA INC)]]</f>
        <v>#N/A</v>
      </c>
      <c r="BC840" s="828"/>
      <c r="BD840" s="944"/>
      <c r="BG840" s="867"/>
      <c r="BH840" s="810"/>
    </row>
    <row r="841" spans="1:60" ht="15.75" customHeight="1">
      <c r="A841" s="912">
        <v>46419</v>
      </c>
      <c r="B841" s="853"/>
      <c r="C841" s="792"/>
      <c r="D841" s="829">
        <f>+Tabla1[[#This Row],[FECHA Entrega]]</f>
        <v>0</v>
      </c>
      <c r="E841" s="830"/>
      <c r="F841" s="831"/>
      <c r="G841" s="832"/>
      <c r="H841" s="852"/>
      <c r="I841" s="834"/>
      <c r="J841" s="835"/>
      <c r="K841" s="836">
        <f t="shared" si="160"/>
        <v>0</v>
      </c>
      <c r="L84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41" s="837">
        <f t="shared" si="162"/>
        <v>0</v>
      </c>
      <c r="N841" s="838">
        <f>+Tabla1[[#This Row],[VENTA TOTAL $ (IVA INC) ]]</f>
        <v>0</v>
      </c>
      <c r="O841" s="838">
        <v>0</v>
      </c>
      <c r="P841" s="838">
        <v>0</v>
      </c>
      <c r="Q841" s="839">
        <f>+Tabla1[[#This Row],[VENTA TOTAL $ (IVA INC) ]]-Tabla1[[#This Row],[PENDIENTE DE COBRO]]</f>
        <v>0</v>
      </c>
      <c r="R841" s="840">
        <f>+Tabla1[[#This Row],[FECHA FC]]+Tabla1[[#This Row],[PLAZO ENTREGA VALORES]]</f>
        <v>0</v>
      </c>
      <c r="S841" s="840">
        <f>+Tabla1[[#This Row],[FECHA FC]]+Tabla1[[#This Row],[PLAZO PAGO (DIAS)]]</f>
        <v>0</v>
      </c>
      <c r="T841" s="834">
        <f t="shared" ca="1" si="161"/>
        <v>-46181</v>
      </c>
      <c r="U841" s="831"/>
      <c r="V841" s="831"/>
      <c r="W841" s="841">
        <f>+S841+7</f>
        <v>7</v>
      </c>
      <c r="X841" s="830"/>
      <c r="Y841" s="859"/>
      <c r="Z841" s="860">
        <f>Tabla1[[#This Row],[KGS]]/50</f>
        <v>0</v>
      </c>
      <c r="AA84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41" s="844">
        <f>-Tabla1[[#This Row],[COSTO FLETE $ POR BOLSA 5O KG (SIN IVA)]]*1.21-Tabla1[[#This Row],[PRECIO $/ KG A PLAZO EN CLIENTE ( SIN IVA)]]*0.003*1.21*50</f>
        <v>0</v>
      </c>
      <c r="AC841" s="845" t="e">
        <f>SUM(Tabla1[[#This Row],[PRECIO $ BOLSA 50 KG (IVA INC) ]]+Tabla1[[#This Row],[COSTO FLETE $ BOLSA 50 KG (IVA INC)]])</f>
        <v>#VALUE!</v>
      </c>
      <c r="AD841" s="844" t="e">
        <f>-Tabla1[[#This Row],[PRECIO $ BOLSA 50 KG (IVA INC) ]]*(Tabla1[[#This Row],[TASA FINANCIACION MENSUAL]]/365)*Tabla1[[#This Row],[PLAZO ENTREGA VALORES]]</f>
        <v>#VALUE!</v>
      </c>
      <c r="AE841" s="845" t="e">
        <f>SUM(Tabla1[[#This Row],[PRECIO $ BOLSA50 KG  FOB TUCUMAN A PLAZO (IVA INC)]]+Tabla1[[#This Row],[GASTOS FINANCIEROS $ BOLSA 50 KG (IVA INC)]])</f>
        <v>#VALUE!</v>
      </c>
      <c r="AF841" s="828"/>
      <c r="AG841" s="828"/>
      <c r="AH841" s="828"/>
      <c r="AI841" s="828"/>
      <c r="AJ84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41" s="846" t="e">
        <f>SUM(Tabla1[[#This Row],[PRECIO $ BOLSA 50KG  FOB CDO TUC (IVA INC)]]-Tabla1[[#This Row],[PRECIO REF $ BOLSA 50 KG CACTU (IVA INC)]])</f>
        <v>#VALUE!</v>
      </c>
      <c r="AL841" s="847" t="str">
        <f>IFERROR(Tabla1[[#This Row],[PRECIO $ BOLSA 50KG  FOB CDO TUC (IVA INC)]]/Tabla1[[#This Row],[PRECIO REF $ BOLSA 50 KG CACTU (IVA INC)]]-1,"")</f>
        <v/>
      </c>
      <c r="AM841" s="846" t="e">
        <f>+Tabla1[[#This Row],[DIF $ PRECIO NETO INDUSTRIA vs Neto TUCUMAN (IVA INC)]]*Tabla1[[#This Row],[Q Bolsas Equivalentes 50kg]]</f>
        <v>#VALUE!</v>
      </c>
      <c r="AN841" s="846" t="e">
        <f>Tabla1[[#This Row],[PRECIO REF $ BOLSA 50 KG CACTU (IVA INC)]]*Tabla1[[#This Row],[Q Bolsas Equivalentes 50kg]]</f>
        <v>#VALUE!</v>
      </c>
      <c r="AO841" s="846" t="e">
        <f>+Tabla1[[#This Row],[PRECIO $ BOLSA 50KG  FOB CDO TUC (IVA INC)]]*Tabla1[[#This Row],[Q Bolsas Equivalentes 50kg]]</f>
        <v>#VALUE!</v>
      </c>
      <c r="AP841" s="847"/>
      <c r="AQ841" s="846">
        <v>0</v>
      </c>
      <c r="AR841" s="828"/>
      <c r="AS841" s="849"/>
      <c r="AT841" s="923">
        <f>+Tabla1[[#This Row],[VENTA TOTAL $ (IVA INC) ]]-(SUM(Tabla1[[#This Row],[PENDIENTE DE ENTREGA]:[VALORES COBRADOS]]))</f>
        <v>0</v>
      </c>
      <c r="AU841" s="850" t="e">
        <f>VLOOKUP(Tabla1[[#This Row],[FECHA OC]],'TIPO DE CAMBIO'!A:B,2,TRUE)</f>
        <v>#N/A</v>
      </c>
      <c r="AV841" s="850" t="e">
        <f>+Tabla1[[#This Row],[SUBTOTAL]]/Tabla1[[#This Row],[TIPO DE CAMBIO]]</f>
        <v>#N/A</v>
      </c>
      <c r="AW841" s="851"/>
      <c r="AX841" s="850" t="str">
        <f>IFERROR(Tabla1[[#This Row],[VENTA TOTAL USD A PLAZO EN CLIENTE  (SIN IVA)]]*(1+Tabla1[[#This Row],[% IVA ]]),"")</f>
        <v/>
      </c>
      <c r="AY841" s="850" t="e">
        <f>+Tabla1[[#This Row],[VENTA TOTAL USD A PLAZO EN CLIENTE  (SIN IVA)]]/Tabla1[[#This Row],[KGS]]*1000</f>
        <v>#N/A</v>
      </c>
      <c r="AZ841" s="850" t="e">
        <f>-Tabla1[[#This Row],[COSTO FLETE $ POR BOLSA 5O KG (SIN IVA)]]*20/Tabla1[[#This Row],[TIPO DE CAMBIO]]</f>
        <v>#N/A</v>
      </c>
      <c r="BA841" s="850" t="e">
        <f>+Tabla1[[#This Row],[GASTOS FINANCIEROS $ BOLSA 50 KG (IVA INC)]]*20/Tabla1[[#This Row],[TIPO DE CAMBIO]]</f>
        <v>#VALUE!</v>
      </c>
      <c r="BB841" s="850" t="e">
        <f>+Tabla1[[#This Row],[PRECIO POR TN USD EN CLIENTE A PLAZO (SIN IVA)]]+Tabla1[[#This Row],[COSTO USD FLETE /TN (SIN IVA)]]+Tabla1[[#This Row],[COSTO FINANCIERO USD POR BOLSA 50KG (IVA INC)]]</f>
        <v>#N/A</v>
      </c>
      <c r="BC841" s="828"/>
      <c r="BD841" s="944"/>
      <c r="BG841" s="867"/>
      <c r="BH841" s="810"/>
    </row>
    <row r="842" spans="1:60" ht="15.75" customHeight="1">
      <c r="A842" s="912">
        <v>46419</v>
      </c>
      <c r="B842" s="853"/>
      <c r="C842" s="792"/>
      <c r="D842" s="829">
        <f>+Tabla1[[#This Row],[FECHA Entrega]]</f>
        <v>0</v>
      </c>
      <c r="E842" s="830"/>
      <c r="F842" s="831"/>
      <c r="G842" s="832"/>
      <c r="H842" s="852"/>
      <c r="I842" s="834"/>
      <c r="J842" s="835"/>
      <c r="K842" s="836">
        <f t="shared" si="160"/>
        <v>0</v>
      </c>
      <c r="L84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42" s="837">
        <f t="shared" si="162"/>
        <v>0</v>
      </c>
      <c r="N842" s="838">
        <f>+Tabla1[[#This Row],[VENTA TOTAL $ (IVA INC) ]]</f>
        <v>0</v>
      </c>
      <c r="O842" s="838">
        <v>0</v>
      </c>
      <c r="P842" s="838">
        <v>0</v>
      </c>
      <c r="Q842" s="839">
        <f>+Tabla1[[#This Row],[VENTA TOTAL $ (IVA INC) ]]-Tabla1[[#This Row],[PENDIENTE DE COBRO]]</f>
        <v>0</v>
      </c>
      <c r="R842" s="840">
        <f>+Tabla1[[#This Row],[FECHA FC]]+Tabla1[[#This Row],[PLAZO ENTREGA VALORES]]</f>
        <v>0</v>
      </c>
      <c r="S842" s="840">
        <f>+Tabla1[[#This Row],[FECHA FC]]+Tabla1[[#This Row],[PLAZO PAGO (DIAS)]]</f>
        <v>0</v>
      </c>
      <c r="T842" s="834">
        <f t="shared" ca="1" si="161"/>
        <v>-46181</v>
      </c>
      <c r="U842" s="831"/>
      <c r="V842" s="831"/>
      <c r="W842" s="841">
        <f>+S842+7</f>
        <v>7</v>
      </c>
      <c r="X842" s="830"/>
      <c r="Y842" s="859"/>
      <c r="Z842" s="860">
        <f>Tabla1[[#This Row],[KGS]]/50</f>
        <v>0</v>
      </c>
      <c r="AA84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42" s="844">
        <f>-Tabla1[[#This Row],[COSTO FLETE $ POR BOLSA 5O KG (SIN IVA)]]*1.21-Tabla1[[#This Row],[PRECIO $/ KG A PLAZO EN CLIENTE ( SIN IVA)]]*0.003*1.21*50</f>
        <v>0</v>
      </c>
      <c r="AC842" s="845" t="e">
        <f>SUM(Tabla1[[#This Row],[PRECIO $ BOLSA 50 KG (IVA INC) ]]+Tabla1[[#This Row],[COSTO FLETE $ BOLSA 50 KG (IVA INC)]])</f>
        <v>#VALUE!</v>
      </c>
      <c r="AD842" s="844" t="e">
        <f>-Tabla1[[#This Row],[PRECIO $ BOLSA 50 KG (IVA INC) ]]*(Tabla1[[#This Row],[TASA FINANCIACION MENSUAL]]/365)*Tabla1[[#This Row],[PLAZO ENTREGA VALORES]]</f>
        <v>#VALUE!</v>
      </c>
      <c r="AE842" s="845" t="e">
        <f>SUM(Tabla1[[#This Row],[PRECIO $ BOLSA50 KG  FOB TUCUMAN A PLAZO (IVA INC)]]+Tabla1[[#This Row],[GASTOS FINANCIEROS $ BOLSA 50 KG (IVA INC)]])</f>
        <v>#VALUE!</v>
      </c>
      <c r="AF842" s="828"/>
      <c r="AG842" s="828"/>
      <c r="AH842" s="828"/>
      <c r="AI842" s="828"/>
      <c r="AJ84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42" s="846" t="e">
        <f>SUM(Tabla1[[#This Row],[PRECIO $ BOLSA 50KG  FOB CDO TUC (IVA INC)]]-Tabla1[[#This Row],[PRECIO REF $ BOLSA 50 KG CACTU (IVA INC)]])</f>
        <v>#VALUE!</v>
      </c>
      <c r="AL842" s="847" t="str">
        <f>IFERROR(Tabla1[[#This Row],[PRECIO $ BOLSA 50KG  FOB CDO TUC (IVA INC)]]/Tabla1[[#This Row],[PRECIO REF $ BOLSA 50 KG CACTU (IVA INC)]]-1,"")</f>
        <v/>
      </c>
      <c r="AM842" s="846" t="e">
        <f>+Tabla1[[#This Row],[DIF $ PRECIO NETO INDUSTRIA vs Neto TUCUMAN (IVA INC)]]*Tabla1[[#This Row],[Q Bolsas Equivalentes 50kg]]</f>
        <v>#VALUE!</v>
      </c>
      <c r="AN842" s="846" t="e">
        <f>Tabla1[[#This Row],[PRECIO REF $ BOLSA 50 KG CACTU (IVA INC)]]*Tabla1[[#This Row],[Q Bolsas Equivalentes 50kg]]</f>
        <v>#VALUE!</v>
      </c>
      <c r="AO842" s="846" t="e">
        <f>+Tabla1[[#This Row],[PRECIO $ BOLSA 50KG  FOB CDO TUC (IVA INC)]]*Tabla1[[#This Row],[Q Bolsas Equivalentes 50kg]]</f>
        <v>#VALUE!</v>
      </c>
      <c r="AP842" s="847"/>
      <c r="AQ842" s="846">
        <v>0</v>
      </c>
      <c r="AR842" s="828"/>
      <c r="AS842" s="849"/>
      <c r="AT842" s="923">
        <f>+Tabla1[[#This Row],[VENTA TOTAL $ (IVA INC) ]]-(SUM(Tabla1[[#This Row],[PENDIENTE DE ENTREGA]:[VALORES COBRADOS]]))</f>
        <v>0</v>
      </c>
      <c r="AU842" s="850" t="e">
        <f>VLOOKUP(Tabla1[[#This Row],[FECHA OC]],'TIPO DE CAMBIO'!A:B,2,TRUE)</f>
        <v>#N/A</v>
      </c>
      <c r="AV842" s="850" t="e">
        <f>+Tabla1[[#This Row],[SUBTOTAL]]/Tabla1[[#This Row],[TIPO DE CAMBIO]]</f>
        <v>#N/A</v>
      </c>
      <c r="AW842" s="851"/>
      <c r="AX842" s="850" t="str">
        <f>IFERROR(Tabla1[[#This Row],[VENTA TOTAL USD A PLAZO EN CLIENTE  (SIN IVA)]]*(1+Tabla1[[#This Row],[% IVA ]]),"")</f>
        <v/>
      </c>
      <c r="AY842" s="850" t="e">
        <f>+Tabla1[[#This Row],[VENTA TOTAL USD A PLAZO EN CLIENTE  (SIN IVA)]]/Tabla1[[#This Row],[KGS]]*1000</f>
        <v>#N/A</v>
      </c>
      <c r="AZ842" s="850" t="e">
        <f>-Tabla1[[#This Row],[COSTO FLETE $ POR BOLSA 5O KG (SIN IVA)]]*20/Tabla1[[#This Row],[TIPO DE CAMBIO]]</f>
        <v>#N/A</v>
      </c>
      <c r="BA842" s="850" t="e">
        <f>+Tabla1[[#This Row],[GASTOS FINANCIEROS $ BOLSA 50 KG (IVA INC)]]*20/Tabla1[[#This Row],[TIPO DE CAMBIO]]</f>
        <v>#VALUE!</v>
      </c>
      <c r="BB842" s="850" t="e">
        <f>+Tabla1[[#This Row],[PRECIO POR TN USD EN CLIENTE A PLAZO (SIN IVA)]]+Tabla1[[#This Row],[COSTO USD FLETE /TN (SIN IVA)]]+Tabla1[[#This Row],[COSTO FINANCIERO USD POR BOLSA 50KG (IVA INC)]]</f>
        <v>#N/A</v>
      </c>
      <c r="BC842" s="828"/>
      <c r="BD842" s="944"/>
      <c r="BG842" s="867"/>
      <c r="BH842" s="810"/>
    </row>
    <row r="843" spans="1:60" ht="15.75" customHeight="1">
      <c r="A843" s="912">
        <v>46419</v>
      </c>
      <c r="B843" s="853"/>
      <c r="C843" s="792"/>
      <c r="D843" s="829">
        <f>+Tabla1[[#This Row],[FECHA Entrega]]</f>
        <v>0</v>
      </c>
      <c r="E843" s="830"/>
      <c r="F843" s="831"/>
      <c r="G843" s="832"/>
      <c r="H843" s="852"/>
      <c r="I843" s="834"/>
      <c r="J843" s="835"/>
      <c r="K843" s="836">
        <f t="shared" si="160"/>
        <v>0</v>
      </c>
      <c r="L84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43" s="837">
        <f t="shared" si="162"/>
        <v>0</v>
      </c>
      <c r="N843" s="838">
        <f>+Tabla1[[#This Row],[VENTA TOTAL $ (IVA INC) ]]</f>
        <v>0</v>
      </c>
      <c r="O843" s="838">
        <v>0</v>
      </c>
      <c r="P843" s="838">
        <v>0</v>
      </c>
      <c r="Q843" s="839">
        <f>+Tabla1[[#This Row],[VENTA TOTAL $ (IVA INC) ]]</f>
        <v>0</v>
      </c>
      <c r="R843" s="840">
        <f>+Tabla1[[#This Row],[FECHA FC]]+Tabla1[[#This Row],[PLAZO ENTREGA VALORES]]</f>
        <v>0</v>
      </c>
      <c r="S843" s="840">
        <f>+Tabla1[[#This Row],[FECHA FC]]+Tabla1[[#This Row],[PLAZO PAGO (DIAS)]]</f>
        <v>0</v>
      </c>
      <c r="T843" s="834">
        <f t="shared" ca="1" si="161"/>
        <v>-46181</v>
      </c>
      <c r="U843" s="831"/>
      <c r="V843" s="831"/>
      <c r="W843" s="841">
        <f>+S843+7</f>
        <v>7</v>
      </c>
      <c r="X843" s="830"/>
      <c r="Y843" s="859"/>
      <c r="Z843" s="860">
        <f>Tabla1[[#This Row],[KGS]]/50</f>
        <v>0</v>
      </c>
      <c r="AA84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43" s="844">
        <f>-Tabla1[[#This Row],[COSTO FLETE $ POR BOLSA 5O KG (SIN IVA)]]*1.21-Tabla1[[#This Row],[PRECIO $/ KG A PLAZO EN CLIENTE ( SIN IVA)]]*0.003*1.21*50</f>
        <v>0</v>
      </c>
      <c r="AC843" s="845" t="e">
        <f>SUM(Tabla1[[#This Row],[PRECIO $ BOLSA 50 KG (IVA INC) ]]+Tabla1[[#This Row],[COSTO FLETE $ BOLSA 50 KG (IVA INC)]])</f>
        <v>#VALUE!</v>
      </c>
      <c r="AD843" s="844" t="e">
        <f>-Tabla1[[#This Row],[PRECIO $ BOLSA 50 KG (IVA INC) ]]*(Tabla1[[#This Row],[TASA FINANCIACION MENSUAL]]/365)*Tabla1[[#This Row],[PLAZO ENTREGA VALORES]]</f>
        <v>#VALUE!</v>
      </c>
      <c r="AE843" s="845" t="e">
        <f>SUM(Tabla1[[#This Row],[PRECIO $ BOLSA50 KG  FOB TUCUMAN A PLAZO (IVA INC)]]+Tabla1[[#This Row],[GASTOS FINANCIEROS $ BOLSA 50 KG (IVA INC)]])</f>
        <v>#VALUE!</v>
      </c>
      <c r="AF843" s="828"/>
      <c r="AG843" s="828"/>
      <c r="AH843" s="828"/>
      <c r="AI843" s="828"/>
      <c r="AJ84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43" s="846" t="e">
        <f>SUM(Tabla1[[#This Row],[PRECIO $ BOLSA 50KG  FOB CDO TUC (IVA INC)]]-Tabla1[[#This Row],[PRECIO REF $ BOLSA 50 KG CACTU (IVA INC)]])</f>
        <v>#VALUE!</v>
      </c>
      <c r="AL843" s="847" t="str">
        <f>IFERROR(Tabla1[[#This Row],[PRECIO $ BOLSA 50KG  FOB CDO TUC (IVA INC)]]/Tabla1[[#This Row],[PRECIO REF $ BOLSA 50 KG CACTU (IVA INC)]]-1,"")</f>
        <v/>
      </c>
      <c r="AM843" s="846" t="e">
        <f>+Tabla1[[#This Row],[DIF $ PRECIO NETO INDUSTRIA vs Neto TUCUMAN (IVA INC)]]*Tabla1[[#This Row],[Q Bolsas Equivalentes 50kg]]</f>
        <v>#VALUE!</v>
      </c>
      <c r="AN843" s="846" t="e">
        <f>Tabla1[[#This Row],[PRECIO REF $ BOLSA 50 KG CACTU (IVA INC)]]*Tabla1[[#This Row],[Q Bolsas Equivalentes 50kg]]</f>
        <v>#VALUE!</v>
      </c>
      <c r="AO843" s="846" t="e">
        <f>+Tabla1[[#This Row],[PRECIO $ BOLSA 50KG  FOB CDO TUC (IVA INC)]]*Tabla1[[#This Row],[Q Bolsas Equivalentes 50kg]]</f>
        <v>#VALUE!</v>
      </c>
      <c r="AP843" s="847"/>
      <c r="AQ843" s="846">
        <v>0</v>
      </c>
      <c r="AR843" s="828"/>
      <c r="AS843" s="849"/>
      <c r="AT843" s="923">
        <f>+Tabla1[[#This Row],[VENTA TOTAL $ (IVA INC) ]]-(SUM(Tabla1[[#This Row],[PENDIENTE DE ENTREGA]:[VALORES COBRADOS]]))</f>
        <v>0</v>
      </c>
      <c r="AU843" s="850" t="e">
        <f>VLOOKUP(Tabla1[[#This Row],[FECHA OC]],'TIPO DE CAMBIO'!A:B,2,TRUE)</f>
        <v>#N/A</v>
      </c>
      <c r="AV843" s="850" t="e">
        <f>+Tabla1[[#This Row],[SUBTOTAL]]/Tabla1[[#This Row],[TIPO DE CAMBIO]]</f>
        <v>#N/A</v>
      </c>
      <c r="AW843" s="851"/>
      <c r="AX843" s="850" t="str">
        <f>IFERROR(Tabla1[[#This Row],[VENTA TOTAL USD A PLAZO EN CLIENTE  (SIN IVA)]]*(1+Tabla1[[#This Row],[% IVA ]]),"")</f>
        <v/>
      </c>
      <c r="AY843" s="850" t="e">
        <f>+Tabla1[[#This Row],[VENTA TOTAL USD A PLAZO EN CLIENTE  (SIN IVA)]]/Tabla1[[#This Row],[KGS]]*1000</f>
        <v>#N/A</v>
      </c>
      <c r="AZ843" s="850" t="e">
        <f>-Tabla1[[#This Row],[COSTO FLETE $ POR BOLSA 5O KG (SIN IVA)]]*20/Tabla1[[#This Row],[TIPO DE CAMBIO]]</f>
        <v>#N/A</v>
      </c>
      <c r="BA843" s="850" t="e">
        <f>+Tabla1[[#This Row],[GASTOS FINANCIEROS $ BOLSA 50 KG (IVA INC)]]*20/Tabla1[[#This Row],[TIPO DE CAMBIO]]</f>
        <v>#VALUE!</v>
      </c>
      <c r="BB843" s="850" t="e">
        <f>+Tabla1[[#This Row],[PRECIO POR TN USD EN CLIENTE A PLAZO (SIN IVA)]]+Tabla1[[#This Row],[COSTO USD FLETE /TN (SIN IVA)]]+Tabla1[[#This Row],[COSTO FINANCIERO USD POR BOLSA 50KG (IVA INC)]]</f>
        <v>#N/A</v>
      </c>
      <c r="BC843" s="828"/>
      <c r="BD843" s="944"/>
      <c r="BG843" s="867"/>
      <c r="BH843" s="810"/>
    </row>
    <row r="844" spans="1:60" ht="15.75" customHeight="1">
      <c r="A844" s="912">
        <v>46419</v>
      </c>
      <c r="B844" s="853"/>
      <c r="C844" s="792"/>
      <c r="D844" s="829">
        <f>+Tabla1[[#This Row],[FECHA Entrega]]</f>
        <v>0</v>
      </c>
      <c r="E844" s="830"/>
      <c r="F844" s="831"/>
      <c r="G844" s="832"/>
      <c r="H844" s="852"/>
      <c r="I844" s="834"/>
      <c r="J844" s="835"/>
      <c r="K844" s="836">
        <f t="shared" si="160"/>
        <v>0</v>
      </c>
      <c r="L84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44" s="837">
        <f t="shared" si="162"/>
        <v>0</v>
      </c>
      <c r="N844" s="838">
        <f>+Tabla1[[#This Row],[VENTA TOTAL $ (IVA INC) ]]</f>
        <v>0</v>
      </c>
      <c r="O844" s="838">
        <v>0</v>
      </c>
      <c r="P844" s="838">
        <v>0</v>
      </c>
      <c r="Q844" s="839">
        <f>+Tabla1[[#This Row],[VENTA TOTAL $ (IVA INC) ]]</f>
        <v>0</v>
      </c>
      <c r="R844" s="840">
        <f>+Tabla1[[#This Row],[FECHA FC]]+Tabla1[[#This Row],[PLAZO ENTREGA VALORES]]</f>
        <v>0</v>
      </c>
      <c r="S844" s="840">
        <f>+Tabla1[[#This Row],[FECHA FC]]+Tabla1[[#This Row],[PLAZO PAGO (DIAS)]]</f>
        <v>0</v>
      </c>
      <c r="T844" s="834">
        <f t="shared" ca="1" si="161"/>
        <v>-46181</v>
      </c>
      <c r="U844" s="831"/>
      <c r="V844" s="831"/>
      <c r="W844" s="841">
        <f>+Tabla1[[#This Row],[FECHA VTO VALORES]]+7</f>
        <v>7</v>
      </c>
      <c r="X844" s="830"/>
      <c r="Y844" s="859"/>
      <c r="Z844" s="860">
        <f>Tabla1[[#This Row],[KGS]]/50</f>
        <v>0</v>
      </c>
      <c r="AA84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44" s="844">
        <f>-Tabla1[[#This Row],[COSTO FLETE $ POR BOLSA 5O KG (SIN IVA)]]*1.21-Tabla1[[#This Row],[PRECIO $/ KG A PLAZO EN CLIENTE ( SIN IVA)]]*0.003*1.21*50</f>
        <v>0</v>
      </c>
      <c r="AC844" s="845" t="e">
        <f>SUM(Tabla1[[#This Row],[PRECIO $ BOLSA 50 KG (IVA INC) ]]+Tabla1[[#This Row],[COSTO FLETE $ BOLSA 50 KG (IVA INC)]])</f>
        <v>#VALUE!</v>
      </c>
      <c r="AD844" s="844" t="e">
        <f>-Tabla1[[#This Row],[PRECIO $ BOLSA 50 KG (IVA INC) ]]*(Tabla1[[#This Row],[TASA FINANCIACION MENSUAL]]/365)*Tabla1[[#This Row],[PLAZO ENTREGA VALORES]]</f>
        <v>#VALUE!</v>
      </c>
      <c r="AE844" s="845" t="e">
        <f>SUM(Tabla1[[#This Row],[PRECIO $ BOLSA50 KG  FOB TUCUMAN A PLAZO (IVA INC)]]+Tabla1[[#This Row],[GASTOS FINANCIEROS $ BOLSA 50 KG (IVA INC)]])</f>
        <v>#VALUE!</v>
      </c>
      <c r="AF844" s="828"/>
      <c r="AG844" s="828"/>
      <c r="AH844" s="828"/>
      <c r="AI844" s="828"/>
      <c r="AJ84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44" s="846" t="e">
        <f>SUM(Tabla1[[#This Row],[PRECIO $ BOLSA 50KG  FOB CDO TUC (IVA INC)]]-Tabla1[[#This Row],[PRECIO REF $ BOLSA 50 KG CACTU (IVA INC)]])</f>
        <v>#VALUE!</v>
      </c>
      <c r="AL844" s="847" t="str">
        <f>IFERROR(Tabla1[[#This Row],[PRECIO $ BOLSA 50KG  FOB CDO TUC (IVA INC)]]/Tabla1[[#This Row],[PRECIO REF $ BOLSA 50 KG CACTU (IVA INC)]]-1,"")</f>
        <v/>
      </c>
      <c r="AM844" s="846" t="e">
        <f>+Tabla1[[#This Row],[DIF $ PRECIO NETO INDUSTRIA vs Neto TUCUMAN (IVA INC)]]*Tabla1[[#This Row],[Q Bolsas Equivalentes 50kg]]</f>
        <v>#VALUE!</v>
      </c>
      <c r="AN844" s="846" t="e">
        <f>Tabla1[[#This Row],[PRECIO REF $ BOLSA 50 KG CACTU (IVA INC)]]*Tabla1[[#This Row],[Q Bolsas Equivalentes 50kg]]</f>
        <v>#VALUE!</v>
      </c>
      <c r="AO844" s="846" t="e">
        <f>+Tabla1[[#This Row],[PRECIO $ BOLSA 50KG  FOB CDO TUC (IVA INC)]]*Tabla1[[#This Row],[Q Bolsas Equivalentes 50kg]]</f>
        <v>#VALUE!</v>
      </c>
      <c r="AP844" s="847"/>
      <c r="AQ844" s="846">
        <v>0</v>
      </c>
      <c r="AR844" s="828"/>
      <c r="AS844" s="849"/>
      <c r="AT844" s="923">
        <f>+Tabla1[[#This Row],[VENTA TOTAL $ (IVA INC) ]]-(SUM(Tabla1[[#This Row],[PENDIENTE DE ENTREGA]:[VALORES COBRADOS]]))</f>
        <v>0</v>
      </c>
      <c r="AU844" s="850" t="e">
        <f>VLOOKUP(Tabla1[[#This Row],[FECHA OC]],'TIPO DE CAMBIO'!A:B,2,TRUE)</f>
        <v>#N/A</v>
      </c>
      <c r="AV844" s="850" t="e">
        <f>+Tabla1[[#This Row],[SUBTOTAL]]/Tabla1[[#This Row],[TIPO DE CAMBIO]]</f>
        <v>#N/A</v>
      </c>
      <c r="AW844" s="851"/>
      <c r="AX844" s="850" t="str">
        <f>IFERROR(Tabla1[[#This Row],[VENTA TOTAL USD A PLAZO EN CLIENTE  (SIN IVA)]]*(1+Tabla1[[#This Row],[% IVA ]]),"")</f>
        <v/>
      </c>
      <c r="AY844" s="850" t="e">
        <f>+Tabla1[[#This Row],[VENTA TOTAL USD A PLAZO EN CLIENTE  (SIN IVA)]]/Tabla1[[#This Row],[KGS]]*1000</f>
        <v>#N/A</v>
      </c>
      <c r="AZ844" s="850" t="e">
        <f>-Tabla1[[#This Row],[COSTO FLETE $ POR BOLSA 5O KG (SIN IVA)]]*20/Tabla1[[#This Row],[TIPO DE CAMBIO]]</f>
        <v>#N/A</v>
      </c>
      <c r="BA844" s="850" t="e">
        <f>+Tabla1[[#This Row],[GASTOS FINANCIEROS $ BOLSA 50 KG (IVA INC)]]*20/Tabla1[[#This Row],[TIPO DE CAMBIO]]</f>
        <v>#VALUE!</v>
      </c>
      <c r="BB844" s="850" t="e">
        <f>+Tabla1[[#This Row],[PRECIO POR TN USD EN CLIENTE A PLAZO (SIN IVA)]]+Tabla1[[#This Row],[COSTO USD FLETE /TN (SIN IVA)]]+Tabla1[[#This Row],[COSTO FINANCIERO USD POR BOLSA 50KG (IVA INC)]]</f>
        <v>#N/A</v>
      </c>
      <c r="BC844" s="828"/>
      <c r="BD844" s="944"/>
      <c r="BG844" s="867"/>
      <c r="BH844" s="810"/>
    </row>
    <row r="845" spans="1:60" ht="15.75" customHeight="1">
      <c r="A845" s="912">
        <v>46419</v>
      </c>
      <c r="B845" s="853"/>
      <c r="C845" s="792"/>
      <c r="D845" s="829">
        <f>+Tabla1[[#This Row],[FECHA Entrega]]</f>
        <v>0</v>
      </c>
      <c r="E845" s="830"/>
      <c r="F845" s="831"/>
      <c r="G845" s="832"/>
      <c r="H845" s="852"/>
      <c r="I845" s="834"/>
      <c r="J845" s="835"/>
      <c r="K845" s="836">
        <f t="shared" si="160"/>
        <v>0</v>
      </c>
      <c r="L84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45" s="837">
        <f t="shared" si="162"/>
        <v>0</v>
      </c>
      <c r="N845" s="838">
        <f>+Tabla1[[#This Row],[VENTA TOTAL $ (IVA INC) ]]</f>
        <v>0</v>
      </c>
      <c r="O845" s="838">
        <v>0</v>
      </c>
      <c r="P845" s="838">
        <v>0</v>
      </c>
      <c r="Q845" s="839">
        <f>+Tabla1[[#This Row],[VENTA TOTAL $ (IVA INC) ]]-Tabla1[[#This Row],[PENDIENTE DE COBRO]]</f>
        <v>0</v>
      </c>
      <c r="R845" s="840">
        <f>+Tabla1[[#This Row],[FECHA FC]]+Tabla1[[#This Row],[PLAZO ENTREGA VALORES]]</f>
        <v>0</v>
      </c>
      <c r="S845" s="840">
        <f>+Tabla1[[#This Row],[FECHA FC]]+Tabla1[[#This Row],[PLAZO PAGO (DIAS)]]</f>
        <v>0</v>
      </c>
      <c r="T845" s="834">
        <f t="shared" ca="1" si="161"/>
        <v>-46181</v>
      </c>
      <c r="U845" s="831"/>
      <c r="V845" s="831"/>
      <c r="W845" s="841">
        <f>+Tabla1[[#This Row],[FECHA VTO VALORES]]+7</f>
        <v>7</v>
      </c>
      <c r="X845" s="830"/>
      <c r="Y845" s="859"/>
      <c r="Z845" s="860">
        <f>Tabla1[[#This Row],[KGS]]/50</f>
        <v>0</v>
      </c>
      <c r="AA84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45" s="844">
        <f>-Tabla1[[#This Row],[COSTO FLETE $ POR BOLSA 5O KG (SIN IVA)]]*1.21-Tabla1[[#This Row],[PRECIO $/ KG A PLAZO EN CLIENTE ( SIN IVA)]]*0.003*1.21*50</f>
        <v>0</v>
      </c>
      <c r="AC845" s="845" t="e">
        <f>SUM(Tabla1[[#This Row],[PRECIO $ BOLSA 50 KG (IVA INC) ]]+Tabla1[[#This Row],[COSTO FLETE $ BOLSA 50 KG (IVA INC)]])</f>
        <v>#VALUE!</v>
      </c>
      <c r="AD845" s="844" t="e">
        <f>-Tabla1[[#This Row],[PRECIO $ BOLSA 50 KG (IVA INC) ]]*(Tabla1[[#This Row],[TASA FINANCIACION MENSUAL]]/365)*Tabla1[[#This Row],[PLAZO ENTREGA VALORES]]</f>
        <v>#VALUE!</v>
      </c>
      <c r="AE845" s="845" t="e">
        <f>SUM(Tabla1[[#This Row],[PRECIO $ BOLSA50 KG  FOB TUCUMAN A PLAZO (IVA INC)]]+Tabla1[[#This Row],[GASTOS FINANCIEROS $ BOLSA 50 KG (IVA INC)]])</f>
        <v>#VALUE!</v>
      </c>
      <c r="AF845" s="828"/>
      <c r="AG845" s="828"/>
      <c r="AH845" s="828"/>
      <c r="AI845" s="828"/>
      <c r="AJ84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45" s="846" t="e">
        <f>SUM(Tabla1[[#This Row],[PRECIO $ BOLSA 50KG  FOB CDO TUC (IVA INC)]]-Tabla1[[#This Row],[PRECIO REF $ BOLSA 50 KG CACTU (IVA INC)]])</f>
        <v>#VALUE!</v>
      </c>
      <c r="AL845" s="847" t="str">
        <f>IFERROR(Tabla1[[#This Row],[PRECIO $ BOLSA 50KG  FOB CDO TUC (IVA INC)]]/Tabla1[[#This Row],[PRECIO REF $ BOLSA 50 KG CACTU (IVA INC)]]-1,"")</f>
        <v/>
      </c>
      <c r="AM845" s="846" t="e">
        <f>+Tabla1[[#This Row],[DIF $ PRECIO NETO INDUSTRIA vs Neto TUCUMAN (IVA INC)]]*Tabla1[[#This Row],[Q Bolsas Equivalentes 50kg]]</f>
        <v>#VALUE!</v>
      </c>
      <c r="AN845" s="846" t="e">
        <f>Tabla1[[#This Row],[PRECIO REF $ BOLSA 50 KG CACTU (IVA INC)]]*Tabla1[[#This Row],[Q Bolsas Equivalentes 50kg]]</f>
        <v>#VALUE!</v>
      </c>
      <c r="AO845" s="846" t="e">
        <f>+Tabla1[[#This Row],[PRECIO $ BOLSA 50KG  FOB CDO TUC (IVA INC)]]*Tabla1[[#This Row],[Q Bolsas Equivalentes 50kg]]</f>
        <v>#VALUE!</v>
      </c>
      <c r="AP845" s="847"/>
      <c r="AQ845" s="846">
        <v>0</v>
      </c>
      <c r="AR845" s="828"/>
      <c r="AS845" s="849"/>
      <c r="AT845" s="923">
        <f>+Tabla1[[#This Row],[VENTA TOTAL $ (IVA INC) ]]-(SUM(Tabla1[[#This Row],[PENDIENTE DE ENTREGA]:[VALORES COBRADOS]]))</f>
        <v>0</v>
      </c>
      <c r="AU845" s="850" t="e">
        <f>VLOOKUP(Tabla1[[#This Row],[FECHA OC]],'TIPO DE CAMBIO'!A:B,2,TRUE)</f>
        <v>#N/A</v>
      </c>
      <c r="AV845" s="850" t="e">
        <f>+Tabla1[[#This Row],[SUBTOTAL]]/Tabla1[[#This Row],[TIPO DE CAMBIO]]</f>
        <v>#N/A</v>
      </c>
      <c r="AW845" s="851"/>
      <c r="AX845" s="850" t="str">
        <f>IFERROR(Tabla1[[#This Row],[VENTA TOTAL USD A PLAZO EN CLIENTE  (SIN IVA)]]*(1+Tabla1[[#This Row],[% IVA ]]),"")</f>
        <v/>
      </c>
      <c r="AY845" s="850" t="e">
        <f>+Tabla1[[#This Row],[VENTA TOTAL USD A PLAZO EN CLIENTE  (SIN IVA)]]/Tabla1[[#This Row],[KGS]]*1000</f>
        <v>#N/A</v>
      </c>
      <c r="AZ845" s="850" t="e">
        <f>-Tabla1[[#This Row],[COSTO FLETE $ POR BOLSA 5O KG (SIN IVA)]]*20/Tabla1[[#This Row],[TIPO DE CAMBIO]]</f>
        <v>#N/A</v>
      </c>
      <c r="BA845" s="850" t="e">
        <f>+Tabla1[[#This Row],[GASTOS FINANCIEROS $ BOLSA 50 KG (IVA INC)]]*20/Tabla1[[#This Row],[TIPO DE CAMBIO]]</f>
        <v>#VALUE!</v>
      </c>
      <c r="BB845" s="850" t="e">
        <f>+Tabla1[[#This Row],[PRECIO POR TN USD EN CLIENTE A PLAZO (SIN IVA)]]+Tabla1[[#This Row],[COSTO USD FLETE /TN (SIN IVA)]]+Tabla1[[#This Row],[COSTO FINANCIERO USD POR BOLSA 50KG (IVA INC)]]</f>
        <v>#N/A</v>
      </c>
      <c r="BC845" s="828"/>
      <c r="BD845" s="944"/>
      <c r="BG845" s="867"/>
      <c r="BH845" s="810"/>
    </row>
    <row r="846" spans="1:60" ht="15.75" customHeight="1">
      <c r="A846" s="912">
        <v>46419</v>
      </c>
      <c r="B846" s="853"/>
      <c r="C846" s="792"/>
      <c r="D846" s="829">
        <f>+Tabla1[[#This Row],[FECHA Entrega]]</f>
        <v>0</v>
      </c>
      <c r="E846" s="830"/>
      <c r="F846" s="831"/>
      <c r="G846" s="832"/>
      <c r="H846" s="852"/>
      <c r="I846" s="834"/>
      <c r="J846" s="835"/>
      <c r="K846" s="836">
        <f t="shared" si="160"/>
        <v>0</v>
      </c>
      <c r="L84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46" s="837">
        <f t="shared" si="162"/>
        <v>0</v>
      </c>
      <c r="N846" s="838">
        <f>+Tabla1[[#This Row],[VENTA TOTAL $ (IVA INC) ]]</f>
        <v>0</v>
      </c>
      <c r="O846" s="838">
        <v>0</v>
      </c>
      <c r="P846" s="838">
        <v>0</v>
      </c>
      <c r="Q846" s="839">
        <f>+Tabla1[[#This Row],[VENTA TOTAL $ (IVA INC) ]]</f>
        <v>0</v>
      </c>
      <c r="R846" s="840">
        <f>+Tabla1[[#This Row],[FECHA FC]]+Tabla1[[#This Row],[PLAZO ENTREGA VALORES]]</f>
        <v>0</v>
      </c>
      <c r="S846" s="840">
        <f>+Tabla1[[#This Row],[FECHA FC]]+Tabla1[[#This Row],[PLAZO PAGO (DIAS)]]</f>
        <v>0</v>
      </c>
      <c r="T846" s="834">
        <f t="shared" ca="1" si="161"/>
        <v>-46181</v>
      </c>
      <c r="U846" s="831"/>
      <c r="V846" s="831"/>
      <c r="W846" s="841">
        <f>+Tabla1[[#This Row],[FECHA VTO VALORES]]+7</f>
        <v>7</v>
      </c>
      <c r="X846" s="830"/>
      <c r="Y846" s="859"/>
      <c r="Z846" s="860">
        <f>Tabla1[[#This Row],[KGS]]/50</f>
        <v>0</v>
      </c>
      <c r="AA84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46" s="844">
        <f>-Tabla1[[#This Row],[COSTO FLETE $ POR BOLSA 5O KG (SIN IVA)]]*1.21-Tabla1[[#This Row],[PRECIO $/ KG A PLAZO EN CLIENTE ( SIN IVA)]]*0.003*1.21*50</f>
        <v>0</v>
      </c>
      <c r="AC846" s="845" t="e">
        <f>SUM(Tabla1[[#This Row],[PRECIO $ BOLSA 50 KG (IVA INC) ]]+Tabla1[[#This Row],[COSTO FLETE $ BOLSA 50 KG (IVA INC)]])</f>
        <v>#VALUE!</v>
      </c>
      <c r="AD846" s="844" t="e">
        <f>-Tabla1[[#This Row],[PRECIO $ BOLSA 50 KG (IVA INC) ]]*(Tabla1[[#This Row],[TASA FINANCIACION MENSUAL]]/365)*Tabla1[[#This Row],[PLAZO ENTREGA VALORES]]</f>
        <v>#VALUE!</v>
      </c>
      <c r="AE846" s="845" t="e">
        <f>SUM(Tabla1[[#This Row],[PRECIO $ BOLSA50 KG  FOB TUCUMAN A PLAZO (IVA INC)]]+Tabla1[[#This Row],[GASTOS FINANCIEROS $ BOLSA 50 KG (IVA INC)]])</f>
        <v>#VALUE!</v>
      </c>
      <c r="AF846" s="828"/>
      <c r="AG846" s="828"/>
      <c r="AH846" s="828"/>
      <c r="AI846" s="828"/>
      <c r="AJ84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46" s="846" t="e">
        <f>SUM(Tabla1[[#This Row],[PRECIO $ BOLSA 50KG  FOB CDO TUC (IVA INC)]]-Tabla1[[#This Row],[PRECIO REF $ BOLSA 50 KG CACTU (IVA INC)]])</f>
        <v>#VALUE!</v>
      </c>
      <c r="AL846" s="847" t="str">
        <f>IFERROR(Tabla1[[#This Row],[PRECIO $ BOLSA 50KG  FOB CDO TUC (IVA INC)]]/Tabla1[[#This Row],[PRECIO REF $ BOLSA 50 KG CACTU (IVA INC)]]-1,"")</f>
        <v/>
      </c>
      <c r="AM846" s="846" t="e">
        <f>+Tabla1[[#This Row],[DIF $ PRECIO NETO INDUSTRIA vs Neto TUCUMAN (IVA INC)]]*Tabla1[[#This Row],[Q Bolsas Equivalentes 50kg]]</f>
        <v>#VALUE!</v>
      </c>
      <c r="AN846" s="846" t="e">
        <f>Tabla1[[#This Row],[PRECIO REF $ BOLSA 50 KG CACTU (IVA INC)]]*Tabla1[[#This Row],[Q Bolsas Equivalentes 50kg]]</f>
        <v>#VALUE!</v>
      </c>
      <c r="AO846" s="846" t="e">
        <f>+Tabla1[[#This Row],[PRECIO $ BOLSA 50KG  FOB CDO TUC (IVA INC)]]*Tabla1[[#This Row],[Q Bolsas Equivalentes 50kg]]</f>
        <v>#VALUE!</v>
      </c>
      <c r="AP846" s="847"/>
      <c r="AQ846" s="846">
        <v>0</v>
      </c>
      <c r="AR846" s="828"/>
      <c r="AS846" s="849"/>
      <c r="AT846" s="923">
        <f>+Tabla1[[#This Row],[VENTA TOTAL $ (IVA INC) ]]-(SUM(Tabla1[[#This Row],[PENDIENTE DE ENTREGA]:[VALORES COBRADOS]]))</f>
        <v>0</v>
      </c>
      <c r="AU846" s="850" t="e">
        <f>VLOOKUP(Tabla1[[#This Row],[FECHA OC]],'TIPO DE CAMBIO'!A:B,2,TRUE)</f>
        <v>#N/A</v>
      </c>
      <c r="AV846" s="850" t="e">
        <f>+Tabla1[[#This Row],[SUBTOTAL]]/Tabla1[[#This Row],[TIPO DE CAMBIO]]</f>
        <v>#N/A</v>
      </c>
      <c r="AW846" s="851"/>
      <c r="AX846" s="850" t="str">
        <f>IFERROR(Tabla1[[#This Row],[VENTA TOTAL USD A PLAZO EN CLIENTE  (SIN IVA)]]*(1+Tabla1[[#This Row],[% IVA ]]),"")</f>
        <v/>
      </c>
      <c r="AY846" s="850" t="e">
        <f>+Tabla1[[#This Row],[VENTA TOTAL USD A PLAZO EN CLIENTE  (SIN IVA)]]/Tabla1[[#This Row],[KGS]]*1000</f>
        <v>#N/A</v>
      </c>
      <c r="AZ846" s="850" t="e">
        <f>-Tabla1[[#This Row],[COSTO FLETE $ POR BOLSA 5O KG (SIN IVA)]]*20/Tabla1[[#This Row],[TIPO DE CAMBIO]]</f>
        <v>#N/A</v>
      </c>
      <c r="BA846" s="850" t="e">
        <f>+Tabla1[[#This Row],[GASTOS FINANCIEROS $ BOLSA 50 KG (IVA INC)]]*20/Tabla1[[#This Row],[TIPO DE CAMBIO]]</f>
        <v>#VALUE!</v>
      </c>
      <c r="BB846" s="850" t="e">
        <f>+Tabla1[[#This Row],[PRECIO POR TN USD EN CLIENTE A PLAZO (SIN IVA)]]+Tabla1[[#This Row],[COSTO USD FLETE /TN (SIN IVA)]]+Tabla1[[#This Row],[COSTO FINANCIERO USD POR BOLSA 50KG (IVA INC)]]</f>
        <v>#N/A</v>
      </c>
      <c r="BC846" s="828"/>
      <c r="BD846" s="944"/>
      <c r="BG846" s="867"/>
      <c r="BH846" s="810"/>
    </row>
    <row r="847" spans="1:60" ht="15.75" customHeight="1">
      <c r="A847" s="912">
        <v>46419</v>
      </c>
      <c r="B847" s="853"/>
      <c r="C847" s="792"/>
      <c r="D847" s="829">
        <f>+Tabla1[[#This Row],[FECHA Entrega]]</f>
        <v>0</v>
      </c>
      <c r="E847" s="830"/>
      <c r="F847" s="831"/>
      <c r="G847" s="832"/>
      <c r="H847" s="852"/>
      <c r="I847" s="834"/>
      <c r="J847" s="835"/>
      <c r="K847" s="836">
        <f t="shared" si="160"/>
        <v>0</v>
      </c>
      <c r="L84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47" s="837">
        <f t="shared" si="162"/>
        <v>0</v>
      </c>
      <c r="N847" s="838">
        <f>+Tabla1[[#This Row],[VENTA TOTAL $ (IVA INC) ]]</f>
        <v>0</v>
      </c>
      <c r="O847" s="838">
        <v>0</v>
      </c>
      <c r="P847" s="838">
        <v>0</v>
      </c>
      <c r="Q847" s="839">
        <f>+Tabla1[[#This Row],[VENTA TOTAL $ (IVA INC) ]]</f>
        <v>0</v>
      </c>
      <c r="R847" s="840">
        <f>+Tabla1[[#This Row],[FECHA FC]]+Tabla1[[#This Row],[PLAZO ENTREGA VALORES]]</f>
        <v>0</v>
      </c>
      <c r="S847" s="840">
        <f>+Tabla1[[#This Row],[FECHA FC]]+Tabla1[[#This Row],[PLAZO PAGO (DIAS)]]</f>
        <v>0</v>
      </c>
      <c r="T847" s="834">
        <f t="shared" ca="1" si="161"/>
        <v>-46181</v>
      </c>
      <c r="U847" s="831"/>
      <c r="V847" s="831"/>
      <c r="W847" s="841">
        <f>+S847+7</f>
        <v>7</v>
      </c>
      <c r="X847" s="830"/>
      <c r="Y847" s="859"/>
      <c r="Z847" s="860">
        <f>Tabla1[[#This Row],[KGS]]/50</f>
        <v>0</v>
      </c>
      <c r="AA84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47" s="844">
        <f>-Tabla1[[#This Row],[COSTO FLETE $ POR BOLSA 5O KG (SIN IVA)]]*1.21-Tabla1[[#This Row],[PRECIO $/ KG A PLAZO EN CLIENTE ( SIN IVA)]]*0.003*1.21*50</f>
        <v>0</v>
      </c>
      <c r="AC847" s="845" t="e">
        <f>SUM(Tabla1[[#This Row],[PRECIO $ BOLSA 50 KG (IVA INC) ]]+Tabla1[[#This Row],[COSTO FLETE $ BOLSA 50 KG (IVA INC)]])</f>
        <v>#VALUE!</v>
      </c>
      <c r="AD847" s="844" t="e">
        <f>-Tabla1[[#This Row],[PRECIO $ BOLSA 50 KG (IVA INC) ]]*(Tabla1[[#This Row],[TASA FINANCIACION MENSUAL]]/365)*Tabla1[[#This Row],[PLAZO ENTREGA VALORES]]</f>
        <v>#VALUE!</v>
      </c>
      <c r="AE847" s="845" t="e">
        <f>SUM(Tabla1[[#This Row],[PRECIO $ BOLSA50 KG  FOB TUCUMAN A PLAZO (IVA INC)]]+Tabla1[[#This Row],[GASTOS FINANCIEROS $ BOLSA 50 KG (IVA INC)]])</f>
        <v>#VALUE!</v>
      </c>
      <c r="AF847" s="828"/>
      <c r="AG847" s="828"/>
      <c r="AH847" s="828"/>
      <c r="AI847" s="828"/>
      <c r="AJ84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47" s="846" t="e">
        <f>SUM(Tabla1[[#This Row],[PRECIO $ BOLSA 50KG  FOB CDO TUC (IVA INC)]]-Tabla1[[#This Row],[PRECIO REF $ BOLSA 50 KG CACTU (IVA INC)]])</f>
        <v>#VALUE!</v>
      </c>
      <c r="AL847" s="847" t="str">
        <f>IFERROR(Tabla1[[#This Row],[PRECIO $ BOLSA 50KG  FOB CDO TUC (IVA INC)]]/Tabla1[[#This Row],[PRECIO REF $ BOLSA 50 KG CACTU (IVA INC)]]-1,"")</f>
        <v/>
      </c>
      <c r="AM847" s="846" t="e">
        <f>+Tabla1[[#This Row],[DIF $ PRECIO NETO INDUSTRIA vs Neto TUCUMAN (IVA INC)]]*Tabla1[[#This Row],[Q Bolsas Equivalentes 50kg]]</f>
        <v>#VALUE!</v>
      </c>
      <c r="AN847" s="846" t="e">
        <f>Tabla1[[#This Row],[PRECIO REF $ BOLSA 50 KG CACTU (IVA INC)]]*Tabla1[[#This Row],[Q Bolsas Equivalentes 50kg]]</f>
        <v>#VALUE!</v>
      </c>
      <c r="AO847" s="846" t="e">
        <f>+Tabla1[[#This Row],[PRECIO $ BOLSA 50KG  FOB CDO TUC (IVA INC)]]*Tabla1[[#This Row],[Q Bolsas Equivalentes 50kg]]</f>
        <v>#VALUE!</v>
      </c>
      <c r="AP847" s="847"/>
      <c r="AQ847" s="846">
        <v>0</v>
      </c>
      <c r="AR847" s="828"/>
      <c r="AS847" s="849"/>
      <c r="AT847" s="923">
        <f>+Tabla1[[#This Row],[VENTA TOTAL $ (IVA INC) ]]-(SUM(Tabla1[[#This Row],[PENDIENTE DE ENTREGA]:[VALORES COBRADOS]]))</f>
        <v>0</v>
      </c>
      <c r="AU847" s="850" t="e">
        <f>VLOOKUP(Tabla1[[#This Row],[FECHA OC]],'TIPO DE CAMBIO'!A:B,2,TRUE)</f>
        <v>#N/A</v>
      </c>
      <c r="AV847" s="850" t="e">
        <f>+Tabla1[[#This Row],[SUBTOTAL]]/Tabla1[[#This Row],[TIPO DE CAMBIO]]</f>
        <v>#N/A</v>
      </c>
      <c r="AW847" s="851"/>
      <c r="AX847" s="850" t="str">
        <f>IFERROR(Tabla1[[#This Row],[VENTA TOTAL USD A PLAZO EN CLIENTE  (SIN IVA)]]*(1+Tabla1[[#This Row],[% IVA ]]),"")</f>
        <v/>
      </c>
      <c r="AY847" s="850" t="e">
        <f>+Tabla1[[#This Row],[VENTA TOTAL USD A PLAZO EN CLIENTE  (SIN IVA)]]/Tabla1[[#This Row],[KGS]]*1000</f>
        <v>#N/A</v>
      </c>
      <c r="AZ847" s="850" t="e">
        <f>-Tabla1[[#This Row],[COSTO FLETE $ POR BOLSA 5O KG (SIN IVA)]]*20/Tabla1[[#This Row],[TIPO DE CAMBIO]]</f>
        <v>#N/A</v>
      </c>
      <c r="BA847" s="850" t="e">
        <f>+Tabla1[[#This Row],[GASTOS FINANCIEROS $ BOLSA 50 KG (IVA INC)]]*20/Tabla1[[#This Row],[TIPO DE CAMBIO]]</f>
        <v>#VALUE!</v>
      </c>
      <c r="BB847" s="850" t="e">
        <f>+Tabla1[[#This Row],[PRECIO POR TN USD EN CLIENTE A PLAZO (SIN IVA)]]+Tabla1[[#This Row],[COSTO USD FLETE /TN (SIN IVA)]]+Tabla1[[#This Row],[COSTO FINANCIERO USD POR BOLSA 50KG (IVA INC)]]</f>
        <v>#N/A</v>
      </c>
      <c r="BC847" s="828"/>
      <c r="BD847" s="944"/>
      <c r="BG847" s="867"/>
      <c r="BH847" s="810"/>
    </row>
    <row r="848" spans="1:60" ht="15.75" customHeight="1">
      <c r="A848" s="912">
        <v>46419</v>
      </c>
      <c r="B848" s="853"/>
      <c r="C848" s="792"/>
      <c r="D848" s="829">
        <f>+Tabla1[[#This Row],[FECHA Entrega]]</f>
        <v>0</v>
      </c>
      <c r="E848" s="830"/>
      <c r="F848" s="831"/>
      <c r="G848" s="832"/>
      <c r="H848" s="852"/>
      <c r="I848" s="834"/>
      <c r="J848" s="835"/>
      <c r="K848" s="836">
        <f t="shared" si="160"/>
        <v>0</v>
      </c>
      <c r="L84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48" s="837">
        <f t="shared" si="162"/>
        <v>0</v>
      </c>
      <c r="N848" s="838">
        <f>+Tabla1[[#This Row],[VENTA TOTAL $ (IVA INC) ]]</f>
        <v>0</v>
      </c>
      <c r="O848" s="838">
        <v>0</v>
      </c>
      <c r="P848" s="838">
        <v>0</v>
      </c>
      <c r="Q848" s="839">
        <f>+Tabla1[[#This Row],[VENTA TOTAL $ (IVA INC) ]]</f>
        <v>0</v>
      </c>
      <c r="R848" s="840">
        <f>+Tabla1[[#This Row],[FECHA FC]]+Tabla1[[#This Row],[PLAZO ENTREGA VALORES]]</f>
        <v>0</v>
      </c>
      <c r="S848" s="840">
        <f>+Tabla1[[#This Row],[FECHA FC]]+Tabla1[[#This Row],[PLAZO PAGO (DIAS)]]</f>
        <v>0</v>
      </c>
      <c r="T848" s="834">
        <f t="shared" ca="1" si="161"/>
        <v>-46181</v>
      </c>
      <c r="U848" s="831"/>
      <c r="V848" s="831"/>
      <c r="W848" s="841">
        <f>+S848+7</f>
        <v>7</v>
      </c>
      <c r="X848" s="830"/>
      <c r="Y848" s="859"/>
      <c r="Z848" s="860">
        <f>Tabla1[[#This Row],[KGS]]/50</f>
        <v>0</v>
      </c>
      <c r="AA84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48" s="844">
        <f>-Tabla1[[#This Row],[COSTO FLETE $ POR BOLSA 5O KG (SIN IVA)]]*1.21-Tabla1[[#This Row],[PRECIO $/ KG A PLAZO EN CLIENTE ( SIN IVA)]]*0.003*1.21*50</f>
        <v>0</v>
      </c>
      <c r="AC848" s="845" t="e">
        <f>SUM(Tabla1[[#This Row],[PRECIO $ BOLSA 50 KG (IVA INC) ]]+Tabla1[[#This Row],[COSTO FLETE $ BOLSA 50 KG (IVA INC)]])</f>
        <v>#VALUE!</v>
      </c>
      <c r="AD848" s="844" t="e">
        <f>-Tabla1[[#This Row],[PRECIO $ BOLSA 50 KG (IVA INC) ]]*(Tabla1[[#This Row],[TASA FINANCIACION MENSUAL]]/365)*Tabla1[[#This Row],[PLAZO ENTREGA VALORES]]</f>
        <v>#VALUE!</v>
      </c>
      <c r="AE848" s="845" t="e">
        <f>SUM(Tabla1[[#This Row],[PRECIO $ BOLSA50 KG  FOB TUCUMAN A PLAZO (IVA INC)]]+Tabla1[[#This Row],[GASTOS FINANCIEROS $ BOLSA 50 KG (IVA INC)]])</f>
        <v>#VALUE!</v>
      </c>
      <c r="AF848" s="828"/>
      <c r="AG848" s="828"/>
      <c r="AH848" s="828"/>
      <c r="AI848" s="828"/>
      <c r="AJ84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48" s="846" t="e">
        <f>SUM(Tabla1[[#This Row],[PRECIO $ BOLSA 50KG  FOB CDO TUC (IVA INC)]]-Tabla1[[#This Row],[PRECIO REF $ BOLSA 50 KG CACTU (IVA INC)]])</f>
        <v>#VALUE!</v>
      </c>
      <c r="AL848" s="847" t="str">
        <f>IFERROR(Tabla1[[#This Row],[PRECIO $ BOLSA 50KG  FOB CDO TUC (IVA INC)]]/Tabla1[[#This Row],[PRECIO REF $ BOLSA 50 KG CACTU (IVA INC)]]-1,"")</f>
        <v/>
      </c>
      <c r="AM848" s="846" t="e">
        <f>+Tabla1[[#This Row],[DIF $ PRECIO NETO INDUSTRIA vs Neto TUCUMAN (IVA INC)]]*Tabla1[[#This Row],[Q Bolsas Equivalentes 50kg]]</f>
        <v>#VALUE!</v>
      </c>
      <c r="AN848" s="846" t="e">
        <f>Tabla1[[#This Row],[PRECIO REF $ BOLSA 50 KG CACTU (IVA INC)]]*Tabla1[[#This Row],[Q Bolsas Equivalentes 50kg]]</f>
        <v>#VALUE!</v>
      </c>
      <c r="AO848" s="846" t="e">
        <f>+Tabla1[[#This Row],[PRECIO $ BOLSA 50KG  FOB CDO TUC (IVA INC)]]*Tabla1[[#This Row],[Q Bolsas Equivalentes 50kg]]</f>
        <v>#VALUE!</v>
      </c>
      <c r="AP848" s="847"/>
      <c r="AQ848" s="846">
        <v>0</v>
      </c>
      <c r="AR848" s="828"/>
      <c r="AS848" s="849"/>
      <c r="AT848" s="923">
        <f>+Tabla1[[#This Row],[VENTA TOTAL $ (IVA INC) ]]-(SUM(Tabla1[[#This Row],[PENDIENTE DE ENTREGA]:[VALORES COBRADOS]]))</f>
        <v>0</v>
      </c>
      <c r="AU848" s="850" t="e">
        <f>VLOOKUP(Tabla1[[#This Row],[FECHA OC]],'TIPO DE CAMBIO'!A:B,2,TRUE)</f>
        <v>#N/A</v>
      </c>
      <c r="AV848" s="850" t="e">
        <f>+Tabla1[[#This Row],[SUBTOTAL]]/Tabla1[[#This Row],[TIPO DE CAMBIO]]</f>
        <v>#N/A</v>
      </c>
      <c r="AW848" s="851"/>
      <c r="AX848" s="850" t="str">
        <f>IFERROR(Tabla1[[#This Row],[VENTA TOTAL USD A PLAZO EN CLIENTE  (SIN IVA)]]*(1+Tabla1[[#This Row],[% IVA ]]),"")</f>
        <v/>
      </c>
      <c r="AY848" s="850" t="e">
        <f>+Tabla1[[#This Row],[VENTA TOTAL USD A PLAZO EN CLIENTE  (SIN IVA)]]/Tabla1[[#This Row],[KGS]]*1000</f>
        <v>#N/A</v>
      </c>
      <c r="AZ848" s="850" t="e">
        <f>-Tabla1[[#This Row],[COSTO FLETE $ POR BOLSA 5O KG (SIN IVA)]]*20/Tabla1[[#This Row],[TIPO DE CAMBIO]]</f>
        <v>#N/A</v>
      </c>
      <c r="BA848" s="850" t="e">
        <f>+Tabla1[[#This Row],[GASTOS FINANCIEROS $ BOLSA 50 KG (IVA INC)]]*20/Tabla1[[#This Row],[TIPO DE CAMBIO]]</f>
        <v>#VALUE!</v>
      </c>
      <c r="BB848" s="850" t="e">
        <f>+Tabla1[[#This Row],[PRECIO POR TN USD EN CLIENTE A PLAZO (SIN IVA)]]+Tabla1[[#This Row],[COSTO USD FLETE /TN (SIN IVA)]]+Tabla1[[#This Row],[COSTO FINANCIERO USD POR BOLSA 50KG (IVA INC)]]</f>
        <v>#N/A</v>
      </c>
      <c r="BC848" s="828"/>
      <c r="BD848" s="944"/>
      <c r="BG848" s="867"/>
      <c r="BH848" s="810"/>
    </row>
    <row r="849" spans="1:60" ht="15.75" customHeight="1">
      <c r="A849" s="912">
        <v>46419</v>
      </c>
      <c r="B849" s="853"/>
      <c r="C849" s="792"/>
      <c r="D849" s="829">
        <f>+Tabla1[[#This Row],[FECHA Entrega]]</f>
        <v>0</v>
      </c>
      <c r="E849" s="830"/>
      <c r="F849" s="831"/>
      <c r="G849" s="832"/>
      <c r="H849" s="852"/>
      <c r="I849" s="834"/>
      <c r="J849" s="835"/>
      <c r="K849" s="836">
        <f t="shared" si="160"/>
        <v>0</v>
      </c>
      <c r="L84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49" s="837">
        <f t="shared" si="162"/>
        <v>0</v>
      </c>
      <c r="N849" s="838">
        <f>+Tabla1[[#This Row],[VENTA TOTAL $ (IVA INC) ]]</f>
        <v>0</v>
      </c>
      <c r="O849" s="838">
        <v>0</v>
      </c>
      <c r="P849" s="838">
        <v>0</v>
      </c>
      <c r="Q849" s="839">
        <f>+Tabla1[[#This Row],[VENTA TOTAL $ (IVA INC) ]]</f>
        <v>0</v>
      </c>
      <c r="R849" s="840">
        <f>+Tabla1[[#This Row],[FECHA FC]]+Tabla1[[#This Row],[PLAZO ENTREGA VALORES]]</f>
        <v>0</v>
      </c>
      <c r="S849" s="840">
        <f>+Tabla1[[#This Row],[FECHA FC]]+Tabla1[[#This Row],[PLAZO PAGO (DIAS)]]</f>
        <v>0</v>
      </c>
      <c r="T849" s="834">
        <f t="shared" ca="1" si="161"/>
        <v>-46181</v>
      </c>
      <c r="U849" s="831"/>
      <c r="V849" s="831"/>
      <c r="W849" s="841">
        <f>+Tabla1[[#This Row],[FECHA VTO VALORES]]+7</f>
        <v>7</v>
      </c>
      <c r="X849" s="830"/>
      <c r="Y849" s="859"/>
      <c r="Z849" s="860">
        <f>Tabla1[[#This Row],[KGS]]/50</f>
        <v>0</v>
      </c>
      <c r="AA84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49" s="844">
        <f>-Tabla1[[#This Row],[COSTO FLETE $ POR BOLSA 5O KG (SIN IVA)]]*1.21-Tabla1[[#This Row],[PRECIO $/ KG A PLAZO EN CLIENTE ( SIN IVA)]]*0.003*1.21*50</f>
        <v>0</v>
      </c>
      <c r="AC849" s="845" t="e">
        <f>SUM(Tabla1[[#This Row],[PRECIO $ BOLSA 50 KG (IVA INC) ]]+Tabla1[[#This Row],[COSTO FLETE $ BOLSA 50 KG (IVA INC)]])</f>
        <v>#VALUE!</v>
      </c>
      <c r="AD849" s="844" t="e">
        <f>-Tabla1[[#This Row],[PRECIO $ BOLSA 50 KG (IVA INC) ]]*(Tabla1[[#This Row],[TASA FINANCIACION MENSUAL]]/365)*Tabla1[[#This Row],[PLAZO ENTREGA VALORES]]</f>
        <v>#VALUE!</v>
      </c>
      <c r="AE849" s="845" t="e">
        <f>SUM(Tabla1[[#This Row],[PRECIO $ BOLSA50 KG  FOB TUCUMAN A PLAZO (IVA INC)]]+Tabla1[[#This Row],[GASTOS FINANCIEROS $ BOLSA 50 KG (IVA INC)]])</f>
        <v>#VALUE!</v>
      </c>
      <c r="AF849" s="828"/>
      <c r="AG849" s="828"/>
      <c r="AH849" s="828"/>
      <c r="AI849" s="828"/>
      <c r="AJ84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49" s="846" t="e">
        <f>SUM(Tabla1[[#This Row],[PRECIO $ BOLSA 50KG  FOB CDO TUC (IVA INC)]]-Tabla1[[#This Row],[PRECIO REF $ BOLSA 50 KG CACTU (IVA INC)]])</f>
        <v>#VALUE!</v>
      </c>
      <c r="AL849" s="847" t="str">
        <f>IFERROR(Tabla1[[#This Row],[PRECIO $ BOLSA 50KG  FOB CDO TUC (IVA INC)]]/Tabla1[[#This Row],[PRECIO REF $ BOLSA 50 KG CACTU (IVA INC)]]-1,"")</f>
        <v/>
      </c>
      <c r="AM849" s="846" t="e">
        <f>+Tabla1[[#This Row],[DIF $ PRECIO NETO INDUSTRIA vs Neto TUCUMAN (IVA INC)]]*Tabla1[[#This Row],[Q Bolsas Equivalentes 50kg]]</f>
        <v>#VALUE!</v>
      </c>
      <c r="AN849" s="846" t="e">
        <f>Tabla1[[#This Row],[PRECIO REF $ BOLSA 50 KG CACTU (IVA INC)]]*Tabla1[[#This Row],[Q Bolsas Equivalentes 50kg]]</f>
        <v>#VALUE!</v>
      </c>
      <c r="AO849" s="846" t="e">
        <f>+Tabla1[[#This Row],[PRECIO $ BOLSA 50KG  FOB CDO TUC (IVA INC)]]*Tabla1[[#This Row],[Q Bolsas Equivalentes 50kg]]</f>
        <v>#VALUE!</v>
      </c>
      <c r="AP849" s="847"/>
      <c r="AQ849" s="846">
        <v>0</v>
      </c>
      <c r="AR849" s="828"/>
      <c r="AS849" s="849"/>
      <c r="AT849" s="923">
        <f>+Tabla1[[#This Row],[VENTA TOTAL $ (IVA INC) ]]-(SUM(Tabla1[[#This Row],[PENDIENTE DE ENTREGA]:[VALORES COBRADOS]]))</f>
        <v>0</v>
      </c>
      <c r="AU849" s="850" t="e">
        <f>VLOOKUP(Tabla1[[#This Row],[FECHA OC]],'TIPO DE CAMBIO'!A:B,2,TRUE)</f>
        <v>#N/A</v>
      </c>
      <c r="AV849" s="850" t="e">
        <f>+Tabla1[[#This Row],[SUBTOTAL]]/Tabla1[[#This Row],[TIPO DE CAMBIO]]</f>
        <v>#N/A</v>
      </c>
      <c r="AW849" s="851"/>
      <c r="AX849" s="850" t="str">
        <f>IFERROR(Tabla1[[#This Row],[VENTA TOTAL USD A PLAZO EN CLIENTE  (SIN IVA)]]*(1+Tabla1[[#This Row],[% IVA ]]),"")</f>
        <v/>
      </c>
      <c r="AY849" s="850" t="e">
        <f>+Tabla1[[#This Row],[VENTA TOTAL USD A PLAZO EN CLIENTE  (SIN IVA)]]/Tabla1[[#This Row],[KGS]]*1000</f>
        <v>#N/A</v>
      </c>
      <c r="AZ849" s="850" t="e">
        <f>-Tabla1[[#This Row],[COSTO FLETE $ POR BOLSA 5O KG (SIN IVA)]]*20/Tabla1[[#This Row],[TIPO DE CAMBIO]]</f>
        <v>#N/A</v>
      </c>
      <c r="BA849" s="850" t="e">
        <f>+Tabla1[[#This Row],[GASTOS FINANCIEROS $ BOLSA 50 KG (IVA INC)]]*20/Tabla1[[#This Row],[TIPO DE CAMBIO]]</f>
        <v>#VALUE!</v>
      </c>
      <c r="BB849" s="850" t="e">
        <f>+Tabla1[[#This Row],[PRECIO POR TN USD EN CLIENTE A PLAZO (SIN IVA)]]+Tabla1[[#This Row],[COSTO USD FLETE /TN (SIN IVA)]]+Tabla1[[#This Row],[COSTO FINANCIERO USD POR BOLSA 50KG (IVA INC)]]</f>
        <v>#N/A</v>
      </c>
      <c r="BC849" s="828"/>
      <c r="BD849" s="944"/>
      <c r="BG849" s="867"/>
      <c r="BH849" s="810"/>
    </row>
    <row r="850" spans="1:60" ht="15.75" customHeight="1">
      <c r="A850" s="912">
        <v>46419</v>
      </c>
      <c r="B850" s="853"/>
      <c r="C850" s="792"/>
      <c r="D850" s="829">
        <f>+Tabla1[[#This Row],[FECHA Entrega]]</f>
        <v>0</v>
      </c>
      <c r="E850" s="830"/>
      <c r="F850" s="831"/>
      <c r="G850" s="832"/>
      <c r="H850" s="852"/>
      <c r="I850" s="834"/>
      <c r="J850" s="835"/>
      <c r="K850" s="836">
        <f t="shared" si="160"/>
        <v>0</v>
      </c>
      <c r="L85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50" s="837">
        <f t="shared" si="162"/>
        <v>0</v>
      </c>
      <c r="N850" s="838">
        <f>+Tabla1[[#This Row],[VENTA TOTAL $ (IVA INC) ]]</f>
        <v>0</v>
      </c>
      <c r="O850" s="838">
        <v>0</v>
      </c>
      <c r="P850" s="838">
        <v>0</v>
      </c>
      <c r="Q850" s="839">
        <f>+Tabla1[[#This Row],[VENTA TOTAL $ (IVA INC) ]]</f>
        <v>0</v>
      </c>
      <c r="R850" s="840">
        <f>+Tabla1[[#This Row],[FECHA FC]]+Tabla1[[#This Row],[PLAZO ENTREGA VALORES]]</f>
        <v>0</v>
      </c>
      <c r="S850" s="840">
        <f>+Tabla1[[#This Row],[FECHA FC]]+Tabla1[[#This Row],[PLAZO PAGO (DIAS)]]</f>
        <v>0</v>
      </c>
      <c r="T850" s="834">
        <f t="shared" ca="1" si="161"/>
        <v>-46181</v>
      </c>
      <c r="U850" s="831"/>
      <c r="V850" s="831"/>
      <c r="W850" s="841">
        <f>+Tabla1[[#This Row],[FECHA VTO VALORES]]+7</f>
        <v>7</v>
      </c>
      <c r="X850" s="830"/>
      <c r="Y850" s="859"/>
      <c r="Z850" s="860">
        <f>Tabla1[[#This Row],[KGS]]/50</f>
        <v>0</v>
      </c>
      <c r="AA85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50" s="844">
        <f>-Tabla1[[#This Row],[COSTO FLETE $ POR BOLSA 5O KG (SIN IVA)]]*1.21-Tabla1[[#This Row],[PRECIO $/ KG A PLAZO EN CLIENTE ( SIN IVA)]]*0.003*1.21*50</f>
        <v>0</v>
      </c>
      <c r="AC850" s="845" t="e">
        <f>SUM(Tabla1[[#This Row],[PRECIO $ BOLSA 50 KG (IVA INC) ]]+Tabla1[[#This Row],[COSTO FLETE $ BOLSA 50 KG (IVA INC)]])</f>
        <v>#VALUE!</v>
      </c>
      <c r="AD850" s="844" t="e">
        <f>-Tabla1[[#This Row],[PRECIO $ BOLSA 50 KG (IVA INC) ]]*(Tabla1[[#This Row],[TASA FINANCIACION MENSUAL]]/365)*Tabla1[[#This Row],[PLAZO ENTREGA VALORES]]</f>
        <v>#VALUE!</v>
      </c>
      <c r="AE850" s="845" t="e">
        <f>SUM(Tabla1[[#This Row],[PRECIO $ BOLSA50 KG  FOB TUCUMAN A PLAZO (IVA INC)]]+Tabla1[[#This Row],[GASTOS FINANCIEROS $ BOLSA 50 KG (IVA INC)]])</f>
        <v>#VALUE!</v>
      </c>
      <c r="AF850" s="828"/>
      <c r="AG850" s="828"/>
      <c r="AH850" s="828"/>
      <c r="AI850" s="828"/>
      <c r="AJ85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50" s="846" t="e">
        <f>SUM(Tabla1[[#This Row],[PRECIO $ BOLSA 50KG  FOB CDO TUC (IVA INC)]]-Tabla1[[#This Row],[PRECIO REF $ BOLSA 50 KG CACTU (IVA INC)]])</f>
        <v>#VALUE!</v>
      </c>
      <c r="AL850" s="847" t="str">
        <f>IFERROR(Tabla1[[#This Row],[PRECIO $ BOLSA 50KG  FOB CDO TUC (IVA INC)]]/Tabla1[[#This Row],[PRECIO REF $ BOLSA 50 KG CACTU (IVA INC)]]-1,"")</f>
        <v/>
      </c>
      <c r="AM850" s="846" t="e">
        <f>+Tabla1[[#This Row],[DIF $ PRECIO NETO INDUSTRIA vs Neto TUCUMAN (IVA INC)]]*Tabla1[[#This Row],[Q Bolsas Equivalentes 50kg]]</f>
        <v>#VALUE!</v>
      </c>
      <c r="AN850" s="846" t="e">
        <f>Tabla1[[#This Row],[PRECIO REF $ BOLSA 50 KG CACTU (IVA INC)]]*Tabla1[[#This Row],[Q Bolsas Equivalentes 50kg]]</f>
        <v>#VALUE!</v>
      </c>
      <c r="AO850" s="846" t="e">
        <f>+Tabla1[[#This Row],[PRECIO $ BOLSA 50KG  FOB CDO TUC (IVA INC)]]*Tabla1[[#This Row],[Q Bolsas Equivalentes 50kg]]</f>
        <v>#VALUE!</v>
      </c>
      <c r="AP850" s="847"/>
      <c r="AQ850" s="846">
        <v>0</v>
      </c>
      <c r="AR850" s="828"/>
      <c r="AS850" s="849"/>
      <c r="AT850" s="923">
        <f>+Tabla1[[#This Row],[VENTA TOTAL $ (IVA INC) ]]-(SUM(Tabla1[[#This Row],[PENDIENTE DE ENTREGA]:[VALORES COBRADOS]]))</f>
        <v>0</v>
      </c>
      <c r="AU850" s="850" t="e">
        <f>VLOOKUP(Tabla1[[#This Row],[FECHA OC]],'TIPO DE CAMBIO'!A:B,2,TRUE)</f>
        <v>#N/A</v>
      </c>
      <c r="AV850" s="850" t="e">
        <f>+Tabla1[[#This Row],[SUBTOTAL]]/Tabla1[[#This Row],[TIPO DE CAMBIO]]</f>
        <v>#N/A</v>
      </c>
      <c r="AW850" s="851"/>
      <c r="AX850" s="850" t="str">
        <f>IFERROR(Tabla1[[#This Row],[VENTA TOTAL USD A PLAZO EN CLIENTE  (SIN IVA)]]*(1+Tabla1[[#This Row],[% IVA ]]),"")</f>
        <v/>
      </c>
      <c r="AY850" s="850" t="e">
        <f>+Tabla1[[#This Row],[VENTA TOTAL USD A PLAZO EN CLIENTE  (SIN IVA)]]/Tabla1[[#This Row],[KGS]]*1000</f>
        <v>#N/A</v>
      </c>
      <c r="AZ850" s="850" t="e">
        <f>-Tabla1[[#This Row],[COSTO FLETE $ POR BOLSA 5O KG (SIN IVA)]]*20/Tabla1[[#This Row],[TIPO DE CAMBIO]]</f>
        <v>#N/A</v>
      </c>
      <c r="BA850" s="850" t="e">
        <f>+Tabla1[[#This Row],[GASTOS FINANCIEROS $ BOLSA 50 KG (IVA INC)]]*20/Tabla1[[#This Row],[TIPO DE CAMBIO]]</f>
        <v>#VALUE!</v>
      </c>
      <c r="BB850" s="850" t="e">
        <f>+Tabla1[[#This Row],[PRECIO POR TN USD EN CLIENTE A PLAZO (SIN IVA)]]+Tabla1[[#This Row],[COSTO USD FLETE /TN (SIN IVA)]]+Tabla1[[#This Row],[COSTO FINANCIERO USD POR BOLSA 50KG (IVA INC)]]</f>
        <v>#N/A</v>
      </c>
      <c r="BC850" s="828"/>
      <c r="BD850" s="944"/>
      <c r="BG850" s="867"/>
      <c r="BH850" s="810"/>
    </row>
    <row r="851" spans="1:60" ht="15.75" customHeight="1">
      <c r="A851" s="912">
        <v>46419</v>
      </c>
      <c r="B851" s="853"/>
      <c r="C851" s="792"/>
      <c r="D851" s="829">
        <f>+Tabla1[[#This Row],[FECHA Entrega]]</f>
        <v>0</v>
      </c>
      <c r="E851" s="830"/>
      <c r="F851" s="831"/>
      <c r="G851" s="832"/>
      <c r="H851" s="852"/>
      <c r="I851" s="834"/>
      <c r="J851" s="835"/>
      <c r="K851" s="836">
        <f t="shared" si="160"/>
        <v>0</v>
      </c>
      <c r="L85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51" s="837">
        <f t="shared" si="162"/>
        <v>0</v>
      </c>
      <c r="N851" s="838">
        <f>+Tabla1[[#This Row],[VENTA TOTAL $ (IVA INC) ]]</f>
        <v>0</v>
      </c>
      <c r="O851" s="838">
        <v>0</v>
      </c>
      <c r="P851" s="838">
        <v>0</v>
      </c>
      <c r="Q851" s="839">
        <f>+Tabla1[[#This Row],[VENTA TOTAL $ (IVA INC) ]]</f>
        <v>0</v>
      </c>
      <c r="R851" s="840">
        <f>+Tabla1[[#This Row],[FECHA FC]]+Tabla1[[#This Row],[PLAZO ENTREGA VALORES]]</f>
        <v>0</v>
      </c>
      <c r="S851" s="840">
        <f>+Tabla1[[#This Row],[FECHA FC]]+Tabla1[[#This Row],[PLAZO PAGO (DIAS)]]</f>
        <v>0</v>
      </c>
      <c r="T851" s="834">
        <f t="shared" ca="1" si="161"/>
        <v>-46181</v>
      </c>
      <c r="U851" s="831"/>
      <c r="V851" s="831"/>
      <c r="W851" s="841">
        <f>+Tabla1[[#This Row],[FECHA VTO VALORES]]+7</f>
        <v>7</v>
      </c>
      <c r="X851" s="830"/>
      <c r="Y851" s="859"/>
      <c r="Z851" s="860">
        <f>Tabla1[[#This Row],[KGS]]/50</f>
        <v>0</v>
      </c>
      <c r="AA85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51" s="844">
        <f>-Tabla1[[#This Row],[COSTO FLETE $ POR BOLSA 5O KG (SIN IVA)]]*1.21-Tabla1[[#This Row],[PRECIO $/ KG A PLAZO EN CLIENTE ( SIN IVA)]]*0.003*1.21*50</f>
        <v>0</v>
      </c>
      <c r="AC851" s="845" t="e">
        <f>SUM(Tabla1[[#This Row],[PRECIO $ BOLSA 50 KG (IVA INC) ]]+Tabla1[[#This Row],[COSTO FLETE $ BOLSA 50 KG (IVA INC)]])</f>
        <v>#VALUE!</v>
      </c>
      <c r="AD851" s="844" t="e">
        <f>-Tabla1[[#This Row],[PRECIO $ BOLSA 50 KG (IVA INC) ]]*(Tabla1[[#This Row],[TASA FINANCIACION MENSUAL]]/365)*Tabla1[[#This Row],[PLAZO ENTREGA VALORES]]</f>
        <v>#VALUE!</v>
      </c>
      <c r="AE851" s="845" t="e">
        <f>SUM(Tabla1[[#This Row],[PRECIO $ BOLSA50 KG  FOB TUCUMAN A PLAZO (IVA INC)]]+Tabla1[[#This Row],[GASTOS FINANCIEROS $ BOLSA 50 KG (IVA INC)]])</f>
        <v>#VALUE!</v>
      </c>
      <c r="AF851" s="828"/>
      <c r="AG851" s="828"/>
      <c r="AH851" s="828"/>
      <c r="AI851" s="828"/>
      <c r="AJ85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51" s="846" t="e">
        <f>SUM(Tabla1[[#This Row],[PRECIO $ BOLSA 50KG  FOB CDO TUC (IVA INC)]]-Tabla1[[#This Row],[PRECIO REF $ BOLSA 50 KG CACTU (IVA INC)]])</f>
        <v>#VALUE!</v>
      </c>
      <c r="AL851" s="847" t="str">
        <f>IFERROR(Tabla1[[#This Row],[PRECIO $ BOLSA 50KG  FOB CDO TUC (IVA INC)]]/Tabla1[[#This Row],[PRECIO REF $ BOLSA 50 KG CACTU (IVA INC)]]-1,"")</f>
        <v/>
      </c>
      <c r="AM851" s="846" t="e">
        <f>+Tabla1[[#This Row],[DIF $ PRECIO NETO INDUSTRIA vs Neto TUCUMAN (IVA INC)]]*Tabla1[[#This Row],[Q Bolsas Equivalentes 50kg]]</f>
        <v>#VALUE!</v>
      </c>
      <c r="AN851" s="846" t="e">
        <f>Tabla1[[#This Row],[PRECIO REF $ BOLSA 50 KG CACTU (IVA INC)]]*Tabla1[[#This Row],[Q Bolsas Equivalentes 50kg]]</f>
        <v>#VALUE!</v>
      </c>
      <c r="AO851" s="846" t="e">
        <f>+Tabla1[[#This Row],[PRECIO $ BOLSA 50KG  FOB CDO TUC (IVA INC)]]*Tabla1[[#This Row],[Q Bolsas Equivalentes 50kg]]</f>
        <v>#VALUE!</v>
      </c>
      <c r="AP851" s="847"/>
      <c r="AQ851" s="846">
        <v>0</v>
      </c>
      <c r="AR851" s="828"/>
      <c r="AS851" s="849"/>
      <c r="AT851" s="923">
        <f>+Tabla1[[#This Row],[VENTA TOTAL $ (IVA INC) ]]-(SUM(Tabla1[[#This Row],[PENDIENTE DE ENTREGA]:[VALORES COBRADOS]]))</f>
        <v>0</v>
      </c>
      <c r="AU851" s="850" t="e">
        <f>VLOOKUP(Tabla1[[#This Row],[FECHA OC]],'TIPO DE CAMBIO'!A:B,2,TRUE)</f>
        <v>#N/A</v>
      </c>
      <c r="AV851" s="850" t="e">
        <f>+Tabla1[[#This Row],[SUBTOTAL]]/Tabla1[[#This Row],[TIPO DE CAMBIO]]</f>
        <v>#N/A</v>
      </c>
      <c r="AW851" s="851"/>
      <c r="AX851" s="850" t="str">
        <f>IFERROR(Tabla1[[#This Row],[VENTA TOTAL USD A PLAZO EN CLIENTE  (SIN IVA)]]*(1+Tabla1[[#This Row],[% IVA ]]),"")</f>
        <v/>
      </c>
      <c r="AY851" s="850" t="e">
        <f>+Tabla1[[#This Row],[VENTA TOTAL USD A PLAZO EN CLIENTE  (SIN IVA)]]/Tabla1[[#This Row],[KGS]]*1000</f>
        <v>#N/A</v>
      </c>
      <c r="AZ851" s="850" t="e">
        <f>-Tabla1[[#This Row],[COSTO FLETE $ POR BOLSA 5O KG (SIN IVA)]]*20/Tabla1[[#This Row],[TIPO DE CAMBIO]]</f>
        <v>#N/A</v>
      </c>
      <c r="BA851" s="850" t="e">
        <f>+Tabla1[[#This Row],[GASTOS FINANCIEROS $ BOLSA 50 KG (IVA INC)]]*20/Tabla1[[#This Row],[TIPO DE CAMBIO]]</f>
        <v>#VALUE!</v>
      </c>
      <c r="BB851" s="850" t="e">
        <f>+Tabla1[[#This Row],[PRECIO POR TN USD EN CLIENTE A PLAZO (SIN IVA)]]+Tabla1[[#This Row],[COSTO USD FLETE /TN (SIN IVA)]]+Tabla1[[#This Row],[COSTO FINANCIERO USD POR BOLSA 50KG (IVA INC)]]</f>
        <v>#N/A</v>
      </c>
      <c r="BC851" s="848"/>
      <c r="BD851" s="944"/>
      <c r="BG851" s="867"/>
      <c r="BH851" s="810"/>
    </row>
    <row r="852" spans="1:60" ht="15.75" customHeight="1">
      <c r="A852" s="912">
        <v>46419</v>
      </c>
      <c r="B852" s="853"/>
      <c r="C852" s="792"/>
      <c r="D852" s="829">
        <f>+Tabla1[[#This Row],[FECHA Entrega]]</f>
        <v>0</v>
      </c>
      <c r="E852" s="830"/>
      <c r="F852" s="831"/>
      <c r="G852" s="832"/>
      <c r="H852" s="852"/>
      <c r="I852" s="834"/>
      <c r="J852" s="835"/>
      <c r="K852" s="836">
        <f t="shared" si="160"/>
        <v>0</v>
      </c>
      <c r="L85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52" s="837">
        <f t="shared" si="162"/>
        <v>0</v>
      </c>
      <c r="N852" s="838">
        <f>+Tabla1[[#This Row],[VENTA TOTAL $ (IVA INC) ]]</f>
        <v>0</v>
      </c>
      <c r="O852" s="838">
        <v>0</v>
      </c>
      <c r="P852" s="838">
        <v>0</v>
      </c>
      <c r="Q852" s="839">
        <f>+Tabla1[[#This Row],[VENTA TOTAL $ (IVA INC) ]]-Tabla1[[#This Row],[PENDIENTE DE COBRO]]</f>
        <v>0</v>
      </c>
      <c r="R852" s="840">
        <f>+Tabla1[[#This Row],[FECHA FC]]+Tabla1[[#This Row],[PLAZO ENTREGA VALORES]]</f>
        <v>0</v>
      </c>
      <c r="S852" s="840">
        <f>+Tabla1[[#This Row],[FECHA FC]]+Tabla1[[#This Row],[PLAZO PAGO (DIAS)]]</f>
        <v>0</v>
      </c>
      <c r="T852" s="834">
        <f t="shared" ca="1" si="161"/>
        <v>-46181</v>
      </c>
      <c r="U852" s="831"/>
      <c r="V852" s="831"/>
      <c r="W852" s="841">
        <f>+Tabla1[[#This Row],[FECHA VTO VALORES]]+7</f>
        <v>7</v>
      </c>
      <c r="X852" s="830"/>
      <c r="Y852" s="859"/>
      <c r="Z852" s="860">
        <f>Tabla1[[#This Row],[KGS]]/50</f>
        <v>0</v>
      </c>
      <c r="AA85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52" s="844">
        <f>-Tabla1[[#This Row],[COSTO FLETE $ POR BOLSA 5O KG (SIN IVA)]]*1.21-Tabla1[[#This Row],[PRECIO $/ KG A PLAZO EN CLIENTE ( SIN IVA)]]*0.003*1.21*50</f>
        <v>0</v>
      </c>
      <c r="AC852" s="845" t="e">
        <f>SUM(Tabla1[[#This Row],[PRECIO $ BOLSA 50 KG (IVA INC) ]]+Tabla1[[#This Row],[COSTO FLETE $ BOLSA 50 KG (IVA INC)]])</f>
        <v>#VALUE!</v>
      </c>
      <c r="AD852" s="844" t="e">
        <f>-Tabla1[[#This Row],[PRECIO $ BOLSA 50 KG (IVA INC) ]]*(Tabla1[[#This Row],[TASA FINANCIACION MENSUAL]]/365)*Tabla1[[#This Row],[PLAZO ENTREGA VALORES]]</f>
        <v>#VALUE!</v>
      </c>
      <c r="AE852" s="845" t="e">
        <f>SUM(Tabla1[[#This Row],[PRECIO $ BOLSA50 KG  FOB TUCUMAN A PLAZO (IVA INC)]]+Tabla1[[#This Row],[GASTOS FINANCIEROS $ BOLSA 50 KG (IVA INC)]])</f>
        <v>#VALUE!</v>
      </c>
      <c r="AF852" s="828"/>
      <c r="AG852" s="828"/>
      <c r="AH852" s="828"/>
      <c r="AI852" s="828"/>
      <c r="AJ85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52" s="846" t="e">
        <f>SUM(Tabla1[[#This Row],[PRECIO $ BOLSA 50KG  FOB CDO TUC (IVA INC)]]-Tabla1[[#This Row],[PRECIO REF $ BOLSA 50 KG CACTU (IVA INC)]])</f>
        <v>#VALUE!</v>
      </c>
      <c r="AL852" s="847" t="str">
        <f>IFERROR(Tabla1[[#This Row],[PRECIO $ BOLSA 50KG  FOB CDO TUC (IVA INC)]]/Tabla1[[#This Row],[PRECIO REF $ BOLSA 50 KG CACTU (IVA INC)]]-1,"")</f>
        <v/>
      </c>
      <c r="AM852" s="846" t="e">
        <f>+Tabla1[[#This Row],[DIF $ PRECIO NETO INDUSTRIA vs Neto TUCUMAN (IVA INC)]]*Tabla1[[#This Row],[Q Bolsas Equivalentes 50kg]]</f>
        <v>#VALUE!</v>
      </c>
      <c r="AN852" s="846" t="e">
        <f>Tabla1[[#This Row],[PRECIO REF $ BOLSA 50 KG CACTU (IVA INC)]]*Tabla1[[#This Row],[Q Bolsas Equivalentes 50kg]]</f>
        <v>#VALUE!</v>
      </c>
      <c r="AO852" s="846" t="e">
        <f>+Tabla1[[#This Row],[PRECIO $ BOLSA 50KG  FOB CDO TUC (IVA INC)]]*Tabla1[[#This Row],[Q Bolsas Equivalentes 50kg]]</f>
        <v>#VALUE!</v>
      </c>
      <c r="AP852" s="847"/>
      <c r="AQ852" s="846">
        <v>0</v>
      </c>
      <c r="AR852" s="828"/>
      <c r="AS852" s="849"/>
      <c r="AT852" s="923">
        <f>+Tabla1[[#This Row],[VENTA TOTAL $ (IVA INC) ]]-(SUM(Tabla1[[#This Row],[PENDIENTE DE ENTREGA]:[VALORES COBRADOS]]))</f>
        <v>0</v>
      </c>
      <c r="AU852" s="850" t="e">
        <f>VLOOKUP(Tabla1[[#This Row],[FECHA OC]],'TIPO DE CAMBIO'!A:B,2,TRUE)</f>
        <v>#N/A</v>
      </c>
      <c r="AV852" s="850" t="e">
        <f>+Tabla1[[#This Row],[SUBTOTAL]]/Tabla1[[#This Row],[TIPO DE CAMBIO]]</f>
        <v>#N/A</v>
      </c>
      <c r="AW852" s="851"/>
      <c r="AX852" s="850" t="str">
        <f>IFERROR(Tabla1[[#This Row],[VENTA TOTAL USD A PLAZO EN CLIENTE  (SIN IVA)]]*(1+Tabla1[[#This Row],[% IVA ]]),"")</f>
        <v/>
      </c>
      <c r="AY852" s="850" t="e">
        <f>+Tabla1[[#This Row],[VENTA TOTAL USD A PLAZO EN CLIENTE  (SIN IVA)]]/Tabla1[[#This Row],[KGS]]*1000</f>
        <v>#N/A</v>
      </c>
      <c r="AZ852" s="850" t="e">
        <f>-Tabla1[[#This Row],[COSTO FLETE $ POR BOLSA 5O KG (SIN IVA)]]*20/Tabla1[[#This Row],[TIPO DE CAMBIO]]</f>
        <v>#N/A</v>
      </c>
      <c r="BA852" s="850" t="e">
        <f>+Tabla1[[#This Row],[GASTOS FINANCIEROS $ BOLSA 50 KG (IVA INC)]]*20/Tabla1[[#This Row],[TIPO DE CAMBIO]]</f>
        <v>#VALUE!</v>
      </c>
      <c r="BB852" s="850" t="e">
        <f>+Tabla1[[#This Row],[PRECIO POR TN USD EN CLIENTE A PLAZO (SIN IVA)]]+Tabla1[[#This Row],[COSTO USD FLETE /TN (SIN IVA)]]+Tabla1[[#This Row],[COSTO FINANCIERO USD POR BOLSA 50KG (IVA INC)]]</f>
        <v>#N/A</v>
      </c>
      <c r="BC852" s="828"/>
      <c r="BD852" s="944"/>
      <c r="BG852" s="867"/>
      <c r="BH852" s="810"/>
    </row>
    <row r="853" spans="1:60" ht="15.75" customHeight="1">
      <c r="A853" s="912">
        <v>46419</v>
      </c>
      <c r="B853" s="853"/>
      <c r="C853" s="792"/>
      <c r="D853" s="829">
        <f>+Tabla1[[#This Row],[FECHA Entrega]]</f>
        <v>0</v>
      </c>
      <c r="E853" s="830"/>
      <c r="F853" s="831"/>
      <c r="G853" s="832"/>
      <c r="H853" s="852"/>
      <c r="I853" s="834"/>
      <c r="J853" s="835"/>
      <c r="K853" s="836">
        <f t="shared" si="160"/>
        <v>0</v>
      </c>
      <c r="L85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53" s="837">
        <f t="shared" si="162"/>
        <v>0</v>
      </c>
      <c r="N853" s="838">
        <f>+Tabla1[[#This Row],[VENTA TOTAL $ (IVA INC) ]]</f>
        <v>0</v>
      </c>
      <c r="O853" s="838">
        <v>0</v>
      </c>
      <c r="P853" s="838">
        <v>0</v>
      </c>
      <c r="Q853" s="839">
        <f>+Tabla1[[#This Row],[VENTA TOTAL $ (IVA INC) ]]</f>
        <v>0</v>
      </c>
      <c r="R853" s="840">
        <f>+Tabla1[[#This Row],[FECHA FC]]+Tabla1[[#This Row],[PLAZO ENTREGA VALORES]]</f>
        <v>0</v>
      </c>
      <c r="S853" s="840">
        <f>+Tabla1[[#This Row],[FECHA FC]]+Tabla1[[#This Row],[PLAZO PAGO (DIAS)]]</f>
        <v>0</v>
      </c>
      <c r="T853" s="834">
        <f t="shared" ca="1" si="161"/>
        <v>-46181</v>
      </c>
      <c r="U853" s="831"/>
      <c r="V853" s="831"/>
      <c r="W853" s="841">
        <f>+Tabla1[[#This Row],[FECHA VTO VALORES]]+7</f>
        <v>7</v>
      </c>
      <c r="X853" s="830"/>
      <c r="Y853" s="859"/>
      <c r="Z853" s="860">
        <f>Tabla1[[#This Row],[KGS]]/50</f>
        <v>0</v>
      </c>
      <c r="AA85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53" s="844">
        <f>-Tabla1[[#This Row],[COSTO FLETE $ POR BOLSA 5O KG (SIN IVA)]]*1.21-Tabla1[[#This Row],[PRECIO $/ KG A PLAZO EN CLIENTE ( SIN IVA)]]*0.003*1.21*50</f>
        <v>0</v>
      </c>
      <c r="AC853" s="845" t="e">
        <f>SUM(Tabla1[[#This Row],[PRECIO $ BOLSA 50 KG (IVA INC) ]]+Tabla1[[#This Row],[COSTO FLETE $ BOLSA 50 KG (IVA INC)]])</f>
        <v>#VALUE!</v>
      </c>
      <c r="AD853" s="844" t="e">
        <f>-Tabla1[[#This Row],[PRECIO $ BOLSA 50 KG (IVA INC) ]]*(Tabla1[[#This Row],[TASA FINANCIACION MENSUAL]]/365)*Tabla1[[#This Row],[PLAZO ENTREGA VALORES]]</f>
        <v>#VALUE!</v>
      </c>
      <c r="AE853" s="845" t="e">
        <f>SUM(Tabla1[[#This Row],[PRECIO $ BOLSA50 KG  FOB TUCUMAN A PLAZO (IVA INC)]]+Tabla1[[#This Row],[GASTOS FINANCIEROS $ BOLSA 50 KG (IVA INC)]])</f>
        <v>#VALUE!</v>
      </c>
      <c r="AF853" s="828"/>
      <c r="AG853" s="828"/>
      <c r="AH853" s="828"/>
      <c r="AI853" s="828"/>
      <c r="AJ85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53" s="846" t="e">
        <f>SUM(Tabla1[[#This Row],[PRECIO $ BOLSA 50KG  FOB CDO TUC (IVA INC)]]-Tabla1[[#This Row],[PRECIO REF $ BOLSA 50 KG CACTU (IVA INC)]])</f>
        <v>#VALUE!</v>
      </c>
      <c r="AL853" s="847" t="str">
        <f>IFERROR(Tabla1[[#This Row],[PRECIO $ BOLSA 50KG  FOB CDO TUC (IVA INC)]]/Tabla1[[#This Row],[PRECIO REF $ BOLSA 50 KG CACTU (IVA INC)]]-1,"")</f>
        <v/>
      </c>
      <c r="AM853" s="846" t="e">
        <f>+Tabla1[[#This Row],[DIF $ PRECIO NETO INDUSTRIA vs Neto TUCUMAN (IVA INC)]]*Tabla1[[#This Row],[Q Bolsas Equivalentes 50kg]]</f>
        <v>#VALUE!</v>
      </c>
      <c r="AN853" s="846" t="e">
        <f>Tabla1[[#This Row],[PRECIO REF $ BOLSA 50 KG CACTU (IVA INC)]]*Tabla1[[#This Row],[Q Bolsas Equivalentes 50kg]]</f>
        <v>#VALUE!</v>
      </c>
      <c r="AO853" s="846" t="e">
        <f>+Tabla1[[#This Row],[PRECIO $ BOLSA 50KG  FOB CDO TUC (IVA INC)]]*Tabla1[[#This Row],[Q Bolsas Equivalentes 50kg]]</f>
        <v>#VALUE!</v>
      </c>
      <c r="AP853" s="847"/>
      <c r="AQ853" s="846">
        <v>0</v>
      </c>
      <c r="AR853" s="828"/>
      <c r="AS853" s="849"/>
      <c r="AT853" s="923">
        <f>+Tabla1[[#This Row],[VENTA TOTAL $ (IVA INC) ]]-(SUM(Tabla1[[#This Row],[PENDIENTE DE ENTREGA]:[VALORES COBRADOS]]))</f>
        <v>0</v>
      </c>
      <c r="AU853" s="850" t="e">
        <f>VLOOKUP(Tabla1[[#This Row],[FECHA OC]],'TIPO DE CAMBIO'!A:B,2,TRUE)</f>
        <v>#N/A</v>
      </c>
      <c r="AV853" s="850" t="e">
        <f>+Tabla1[[#This Row],[SUBTOTAL]]/Tabla1[[#This Row],[TIPO DE CAMBIO]]</f>
        <v>#N/A</v>
      </c>
      <c r="AW853" s="851"/>
      <c r="AX853" s="850" t="str">
        <f>IFERROR(Tabla1[[#This Row],[VENTA TOTAL USD A PLAZO EN CLIENTE  (SIN IVA)]]*(1+Tabla1[[#This Row],[% IVA ]]),"")</f>
        <v/>
      </c>
      <c r="AY853" s="850" t="e">
        <f>+Tabla1[[#This Row],[VENTA TOTAL USD A PLAZO EN CLIENTE  (SIN IVA)]]/Tabla1[[#This Row],[KGS]]*1000</f>
        <v>#N/A</v>
      </c>
      <c r="AZ853" s="850" t="e">
        <f>-Tabla1[[#This Row],[COSTO FLETE $ POR BOLSA 5O KG (SIN IVA)]]*20/Tabla1[[#This Row],[TIPO DE CAMBIO]]</f>
        <v>#N/A</v>
      </c>
      <c r="BA853" s="850" t="e">
        <f>+Tabla1[[#This Row],[GASTOS FINANCIEROS $ BOLSA 50 KG (IVA INC)]]*20/Tabla1[[#This Row],[TIPO DE CAMBIO]]</f>
        <v>#VALUE!</v>
      </c>
      <c r="BB853" s="850" t="e">
        <f>+Tabla1[[#This Row],[PRECIO POR TN USD EN CLIENTE A PLAZO (SIN IVA)]]+Tabla1[[#This Row],[COSTO USD FLETE /TN (SIN IVA)]]+Tabla1[[#This Row],[COSTO FINANCIERO USD POR BOLSA 50KG (IVA INC)]]</f>
        <v>#N/A</v>
      </c>
      <c r="BC853" s="828"/>
      <c r="BD853" s="944"/>
      <c r="BG853" s="867"/>
      <c r="BH853" s="810"/>
    </row>
    <row r="854" spans="1:60" ht="15.75" customHeight="1">
      <c r="A854" s="912">
        <v>46447</v>
      </c>
      <c r="B854" s="853"/>
      <c r="C854" s="792"/>
      <c r="D854" s="829">
        <f>+Tabla1[[#This Row],[FECHA Entrega]]</f>
        <v>0</v>
      </c>
      <c r="E854" s="830"/>
      <c r="F854" s="831"/>
      <c r="G854" s="832"/>
      <c r="H854" s="852"/>
      <c r="I854" s="834"/>
      <c r="J854" s="835"/>
      <c r="K854" s="836">
        <f t="shared" si="160"/>
        <v>0</v>
      </c>
      <c r="L85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54" s="837">
        <f t="shared" si="162"/>
        <v>0</v>
      </c>
      <c r="N854" s="838">
        <f>+Tabla1[[#This Row],[VENTA TOTAL $ (IVA INC) ]]</f>
        <v>0</v>
      </c>
      <c r="O854" s="838">
        <v>0</v>
      </c>
      <c r="P854" s="838">
        <v>0</v>
      </c>
      <c r="Q854" s="839">
        <f>+Tabla1[[#This Row],[VENTA TOTAL $ (IVA INC) ]]</f>
        <v>0</v>
      </c>
      <c r="R854" s="840">
        <f>+Tabla1[[#This Row],[FECHA FC]]+Tabla1[[#This Row],[PLAZO ENTREGA VALORES]]</f>
        <v>0</v>
      </c>
      <c r="S854" s="840">
        <f>+Tabla1[[#This Row],[FECHA FC]]+Tabla1[[#This Row],[PLAZO PAGO (DIAS)]]</f>
        <v>0</v>
      </c>
      <c r="T854" s="834">
        <f t="shared" ca="1" si="161"/>
        <v>-46181</v>
      </c>
      <c r="U854" s="831"/>
      <c r="V854" s="831"/>
      <c r="W854" s="841">
        <f>+Tabla1[[#This Row],[FECHA VTO VALORES]]+7</f>
        <v>7</v>
      </c>
      <c r="X854" s="830"/>
      <c r="Y854" s="859"/>
      <c r="Z854" s="860">
        <f>Tabla1[[#This Row],[KGS]]/50</f>
        <v>0</v>
      </c>
      <c r="AA85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54" s="844">
        <f>-Tabla1[[#This Row],[COSTO FLETE $ POR BOLSA 5O KG (SIN IVA)]]*1.21-Tabla1[[#This Row],[PRECIO $/ KG A PLAZO EN CLIENTE ( SIN IVA)]]*0.003*1.21*50</f>
        <v>0</v>
      </c>
      <c r="AC854" s="845" t="e">
        <f>SUM(Tabla1[[#This Row],[PRECIO $ BOLSA 50 KG (IVA INC) ]]+Tabla1[[#This Row],[COSTO FLETE $ BOLSA 50 KG (IVA INC)]])</f>
        <v>#VALUE!</v>
      </c>
      <c r="AD854" s="844" t="e">
        <f>-Tabla1[[#This Row],[PRECIO $ BOLSA 50 KG (IVA INC) ]]*(Tabla1[[#This Row],[TASA FINANCIACION MENSUAL]]/365)*Tabla1[[#This Row],[PLAZO ENTREGA VALORES]]</f>
        <v>#VALUE!</v>
      </c>
      <c r="AE854" s="845" t="e">
        <f>SUM(Tabla1[[#This Row],[PRECIO $ BOLSA50 KG  FOB TUCUMAN A PLAZO (IVA INC)]]+Tabla1[[#This Row],[GASTOS FINANCIEROS $ BOLSA 50 KG (IVA INC)]])</f>
        <v>#VALUE!</v>
      </c>
      <c r="AF854" s="828"/>
      <c r="AG854" s="828"/>
      <c r="AH854" s="828"/>
      <c r="AI854" s="828"/>
      <c r="AJ85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54" s="846" t="e">
        <f>SUM(Tabla1[[#This Row],[PRECIO $ BOLSA 50KG  FOB CDO TUC (IVA INC)]]-Tabla1[[#This Row],[PRECIO REF $ BOLSA 50 KG CACTU (IVA INC)]])</f>
        <v>#VALUE!</v>
      </c>
      <c r="AL854" s="847" t="str">
        <f>IFERROR(Tabla1[[#This Row],[PRECIO $ BOLSA 50KG  FOB CDO TUC (IVA INC)]]/Tabla1[[#This Row],[PRECIO REF $ BOLSA 50 KG CACTU (IVA INC)]]-1,"")</f>
        <v/>
      </c>
      <c r="AM854" s="846" t="e">
        <f>+Tabla1[[#This Row],[DIF $ PRECIO NETO INDUSTRIA vs Neto TUCUMAN (IVA INC)]]*Tabla1[[#This Row],[Q Bolsas Equivalentes 50kg]]</f>
        <v>#VALUE!</v>
      </c>
      <c r="AN854" s="846" t="e">
        <f>Tabla1[[#This Row],[PRECIO REF $ BOLSA 50 KG CACTU (IVA INC)]]*Tabla1[[#This Row],[Q Bolsas Equivalentes 50kg]]</f>
        <v>#VALUE!</v>
      </c>
      <c r="AO854" s="846" t="e">
        <f>+Tabla1[[#This Row],[PRECIO $ BOLSA 50KG  FOB CDO TUC (IVA INC)]]*Tabla1[[#This Row],[Q Bolsas Equivalentes 50kg]]</f>
        <v>#VALUE!</v>
      </c>
      <c r="AP854" s="847"/>
      <c r="AQ854" s="846">
        <v>0</v>
      </c>
      <c r="AR854" s="828"/>
      <c r="AS854" s="849"/>
      <c r="AT854" s="923">
        <f>+Tabla1[[#This Row],[VENTA TOTAL $ (IVA INC) ]]-(SUM(Tabla1[[#This Row],[PENDIENTE DE ENTREGA]:[VALORES COBRADOS]]))</f>
        <v>0</v>
      </c>
      <c r="AU854" s="850" t="e">
        <f>VLOOKUP(Tabla1[[#This Row],[FECHA OC]],'TIPO DE CAMBIO'!A:B,2,TRUE)</f>
        <v>#N/A</v>
      </c>
      <c r="AV854" s="850" t="e">
        <f>+Tabla1[[#This Row],[SUBTOTAL]]/Tabla1[[#This Row],[TIPO DE CAMBIO]]</f>
        <v>#N/A</v>
      </c>
      <c r="AW854" s="851"/>
      <c r="AX854" s="850" t="str">
        <f>IFERROR(Tabla1[[#This Row],[VENTA TOTAL USD A PLAZO EN CLIENTE  (SIN IVA)]]*(1+Tabla1[[#This Row],[% IVA ]]),"")</f>
        <v/>
      </c>
      <c r="AY854" s="850" t="e">
        <f>+Tabla1[[#This Row],[VENTA TOTAL USD A PLAZO EN CLIENTE  (SIN IVA)]]/Tabla1[[#This Row],[KGS]]*1000</f>
        <v>#N/A</v>
      </c>
      <c r="AZ854" s="850" t="e">
        <f>-Tabla1[[#This Row],[COSTO FLETE $ POR BOLSA 5O KG (SIN IVA)]]*20/Tabla1[[#This Row],[TIPO DE CAMBIO]]</f>
        <v>#N/A</v>
      </c>
      <c r="BA854" s="850" t="e">
        <f>+Tabla1[[#This Row],[GASTOS FINANCIEROS $ BOLSA 50 KG (IVA INC)]]*20/Tabla1[[#This Row],[TIPO DE CAMBIO]]</f>
        <v>#VALUE!</v>
      </c>
      <c r="BB854" s="850" t="e">
        <f>+Tabla1[[#This Row],[PRECIO POR TN USD EN CLIENTE A PLAZO (SIN IVA)]]+Tabla1[[#This Row],[COSTO USD FLETE /TN (SIN IVA)]]+Tabla1[[#This Row],[COSTO FINANCIERO USD POR BOLSA 50KG (IVA INC)]]</f>
        <v>#N/A</v>
      </c>
      <c r="BC854" s="828"/>
      <c r="BD854" s="944"/>
      <c r="BG854" s="867"/>
      <c r="BH854" s="810"/>
    </row>
    <row r="855" spans="1:60" ht="15.75" customHeight="1">
      <c r="A855" s="912">
        <v>46447</v>
      </c>
      <c r="B855" s="853"/>
      <c r="C855" s="792"/>
      <c r="D855" s="829">
        <f>+Tabla1[[#This Row],[FECHA Entrega]]</f>
        <v>0</v>
      </c>
      <c r="E855" s="830"/>
      <c r="F855" s="831"/>
      <c r="G855" s="832"/>
      <c r="H855" s="852"/>
      <c r="I855" s="834"/>
      <c r="J855" s="835"/>
      <c r="K855" s="836">
        <f t="shared" si="160"/>
        <v>0</v>
      </c>
      <c r="L85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55" s="837">
        <f t="shared" si="162"/>
        <v>0</v>
      </c>
      <c r="N855" s="838">
        <f>+Tabla1[[#This Row],[VENTA TOTAL $ (IVA INC) ]]</f>
        <v>0</v>
      </c>
      <c r="O855" s="838">
        <v>0</v>
      </c>
      <c r="P855" s="838">
        <v>0</v>
      </c>
      <c r="Q855" s="839">
        <f>+Tabla1[[#This Row],[VENTA TOTAL $ (IVA INC) ]]</f>
        <v>0</v>
      </c>
      <c r="R855" s="840">
        <f>+Tabla1[[#This Row],[FECHA FC]]+Tabla1[[#This Row],[PLAZO ENTREGA VALORES]]</f>
        <v>0</v>
      </c>
      <c r="S855" s="840">
        <f>+Tabla1[[#This Row],[FECHA FC]]+Tabla1[[#This Row],[PLAZO PAGO (DIAS)]]</f>
        <v>0</v>
      </c>
      <c r="T855" s="834">
        <f t="shared" ca="1" si="161"/>
        <v>-46181</v>
      </c>
      <c r="U855" s="831"/>
      <c r="V855" s="831"/>
      <c r="W855" s="841">
        <f>+Tabla1[[#This Row],[FECHA VTO VALORES]]+7</f>
        <v>7</v>
      </c>
      <c r="X855" s="830"/>
      <c r="Y855" s="859"/>
      <c r="Z855" s="860">
        <f>Tabla1[[#This Row],[KGS]]/50</f>
        <v>0</v>
      </c>
      <c r="AA85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55" s="844">
        <f>-Tabla1[[#This Row],[COSTO FLETE $ POR BOLSA 5O KG (SIN IVA)]]*1.21-Tabla1[[#This Row],[PRECIO $/ KG A PLAZO EN CLIENTE ( SIN IVA)]]*0.003*1.21*50</f>
        <v>0</v>
      </c>
      <c r="AC855" s="845" t="e">
        <f>SUM(Tabla1[[#This Row],[PRECIO $ BOLSA 50 KG (IVA INC) ]]+Tabla1[[#This Row],[COSTO FLETE $ BOLSA 50 KG (IVA INC)]])</f>
        <v>#VALUE!</v>
      </c>
      <c r="AD855" s="844" t="e">
        <f>-Tabla1[[#This Row],[PRECIO $ BOLSA 50 KG (IVA INC) ]]*(Tabla1[[#This Row],[TASA FINANCIACION MENSUAL]]/365)*Tabla1[[#This Row],[PLAZO ENTREGA VALORES]]</f>
        <v>#VALUE!</v>
      </c>
      <c r="AE855" s="845" t="e">
        <f>SUM(Tabla1[[#This Row],[PRECIO $ BOLSA50 KG  FOB TUCUMAN A PLAZO (IVA INC)]]+Tabla1[[#This Row],[GASTOS FINANCIEROS $ BOLSA 50 KG (IVA INC)]])</f>
        <v>#VALUE!</v>
      </c>
      <c r="AF855" s="828"/>
      <c r="AG855" s="828"/>
      <c r="AH855" s="828"/>
      <c r="AI855" s="828"/>
      <c r="AJ85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55" s="846" t="e">
        <f>SUM(Tabla1[[#This Row],[PRECIO $ BOLSA 50KG  FOB CDO TUC (IVA INC)]]-Tabla1[[#This Row],[PRECIO REF $ BOLSA 50 KG CACTU (IVA INC)]])</f>
        <v>#VALUE!</v>
      </c>
      <c r="AL855" s="847" t="str">
        <f>IFERROR(Tabla1[[#This Row],[PRECIO $ BOLSA 50KG  FOB CDO TUC (IVA INC)]]/Tabla1[[#This Row],[PRECIO REF $ BOLSA 50 KG CACTU (IVA INC)]]-1,"")</f>
        <v/>
      </c>
      <c r="AM855" s="846" t="e">
        <f>+Tabla1[[#This Row],[DIF $ PRECIO NETO INDUSTRIA vs Neto TUCUMAN (IVA INC)]]*Tabla1[[#This Row],[Q Bolsas Equivalentes 50kg]]</f>
        <v>#VALUE!</v>
      </c>
      <c r="AN855" s="846" t="e">
        <f>Tabla1[[#This Row],[PRECIO REF $ BOLSA 50 KG CACTU (IVA INC)]]*Tabla1[[#This Row],[Q Bolsas Equivalentes 50kg]]</f>
        <v>#VALUE!</v>
      </c>
      <c r="AO855" s="846" t="e">
        <f>+Tabla1[[#This Row],[PRECIO $ BOLSA 50KG  FOB CDO TUC (IVA INC)]]*Tabla1[[#This Row],[Q Bolsas Equivalentes 50kg]]</f>
        <v>#VALUE!</v>
      </c>
      <c r="AP855" s="847"/>
      <c r="AQ855" s="846">
        <v>0</v>
      </c>
      <c r="AR855" s="828"/>
      <c r="AS855" s="849"/>
      <c r="AT855" s="923">
        <f>+Tabla1[[#This Row],[VENTA TOTAL $ (IVA INC) ]]-(SUM(Tabla1[[#This Row],[PENDIENTE DE ENTREGA]:[VALORES COBRADOS]]))</f>
        <v>0</v>
      </c>
      <c r="AU855" s="850" t="e">
        <f>VLOOKUP(Tabla1[[#This Row],[FECHA OC]],'TIPO DE CAMBIO'!A:B,2,TRUE)</f>
        <v>#N/A</v>
      </c>
      <c r="AV855" s="850" t="e">
        <f>+Tabla1[[#This Row],[SUBTOTAL]]/Tabla1[[#This Row],[TIPO DE CAMBIO]]</f>
        <v>#N/A</v>
      </c>
      <c r="AW855" s="851"/>
      <c r="AX855" s="850" t="str">
        <f>IFERROR(Tabla1[[#This Row],[VENTA TOTAL USD A PLAZO EN CLIENTE  (SIN IVA)]]*(1+Tabla1[[#This Row],[% IVA ]]),"")</f>
        <v/>
      </c>
      <c r="AY855" s="850" t="e">
        <f>+Tabla1[[#This Row],[VENTA TOTAL USD A PLAZO EN CLIENTE  (SIN IVA)]]/Tabla1[[#This Row],[KGS]]*1000</f>
        <v>#N/A</v>
      </c>
      <c r="AZ855" s="850" t="e">
        <f>-Tabla1[[#This Row],[COSTO FLETE $ POR BOLSA 5O KG (SIN IVA)]]*20/Tabla1[[#This Row],[TIPO DE CAMBIO]]</f>
        <v>#N/A</v>
      </c>
      <c r="BA855" s="850" t="e">
        <f>+Tabla1[[#This Row],[GASTOS FINANCIEROS $ BOLSA 50 KG (IVA INC)]]*20/Tabla1[[#This Row],[TIPO DE CAMBIO]]</f>
        <v>#VALUE!</v>
      </c>
      <c r="BB855" s="850" t="e">
        <f>+Tabla1[[#This Row],[PRECIO POR TN USD EN CLIENTE A PLAZO (SIN IVA)]]+Tabla1[[#This Row],[COSTO USD FLETE /TN (SIN IVA)]]+Tabla1[[#This Row],[COSTO FINANCIERO USD POR BOLSA 50KG (IVA INC)]]</f>
        <v>#N/A</v>
      </c>
      <c r="BC855" s="828"/>
      <c r="BD855" s="944"/>
      <c r="BG855" s="867"/>
      <c r="BH855" s="810"/>
    </row>
    <row r="856" spans="1:60" ht="15.75" customHeight="1">
      <c r="A856" s="912">
        <v>46447</v>
      </c>
      <c r="B856" s="853"/>
      <c r="C856" s="792"/>
      <c r="D856" s="829">
        <f>+Tabla1[[#This Row],[FECHA Entrega]]</f>
        <v>0</v>
      </c>
      <c r="E856" s="830"/>
      <c r="F856" s="831"/>
      <c r="G856" s="832"/>
      <c r="H856" s="852"/>
      <c r="I856" s="834"/>
      <c r="J856" s="835"/>
      <c r="K856" s="836">
        <f t="shared" ref="K856:K879" si="163">+J856*I856</f>
        <v>0</v>
      </c>
      <c r="L85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56" s="837">
        <f t="shared" si="162"/>
        <v>0</v>
      </c>
      <c r="N856" s="838">
        <f>+Tabla1[[#This Row],[VENTA TOTAL $ (IVA INC) ]]</f>
        <v>0</v>
      </c>
      <c r="O856" s="838">
        <v>0</v>
      </c>
      <c r="P856" s="838">
        <v>0</v>
      </c>
      <c r="Q856" s="839">
        <f>+Tabla1[[#This Row],[VENTA TOTAL $ (IVA INC) ]]</f>
        <v>0</v>
      </c>
      <c r="R856" s="840">
        <f>+Tabla1[[#This Row],[FECHA FC]]+Tabla1[[#This Row],[PLAZO ENTREGA VALORES]]</f>
        <v>0</v>
      </c>
      <c r="S856" s="840">
        <f>+Tabla1[[#This Row],[FECHA FC]]+Tabla1[[#This Row],[PLAZO PAGO (DIAS)]]</f>
        <v>0</v>
      </c>
      <c r="T856" s="834">
        <f t="shared" ca="1" si="161"/>
        <v>-46181</v>
      </c>
      <c r="U856" s="831"/>
      <c r="V856" s="831"/>
      <c r="W856" s="841">
        <f>+Tabla1[[#This Row],[FECHA VTO VALORES]]+7</f>
        <v>7</v>
      </c>
      <c r="X856" s="830"/>
      <c r="Y856" s="859"/>
      <c r="Z856" s="860">
        <f>Tabla1[[#This Row],[KGS]]/50</f>
        <v>0</v>
      </c>
      <c r="AA85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56" s="844">
        <f>-Tabla1[[#This Row],[COSTO FLETE $ POR BOLSA 5O KG (SIN IVA)]]*1.21-Tabla1[[#This Row],[PRECIO $/ KG A PLAZO EN CLIENTE ( SIN IVA)]]*0.003*1.21*50</f>
        <v>0</v>
      </c>
      <c r="AC856" s="845" t="e">
        <f>SUM(Tabla1[[#This Row],[PRECIO $ BOLSA 50 KG (IVA INC) ]]+Tabla1[[#This Row],[COSTO FLETE $ BOLSA 50 KG (IVA INC)]])</f>
        <v>#VALUE!</v>
      </c>
      <c r="AD856" s="844" t="e">
        <f>-Tabla1[[#This Row],[PRECIO $ BOLSA 50 KG (IVA INC) ]]*(Tabla1[[#This Row],[TASA FINANCIACION MENSUAL]]/365)*Tabla1[[#This Row],[PLAZO ENTREGA VALORES]]</f>
        <v>#VALUE!</v>
      </c>
      <c r="AE856" s="845" t="e">
        <f>SUM(Tabla1[[#This Row],[PRECIO $ BOLSA50 KG  FOB TUCUMAN A PLAZO (IVA INC)]]+Tabla1[[#This Row],[GASTOS FINANCIEROS $ BOLSA 50 KG (IVA INC)]])</f>
        <v>#VALUE!</v>
      </c>
      <c r="AF856" s="828"/>
      <c r="AG856" s="828"/>
      <c r="AH856" s="828"/>
      <c r="AI856" s="828"/>
      <c r="AJ85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56" s="846" t="e">
        <f>SUM(Tabla1[[#This Row],[PRECIO $ BOLSA 50KG  FOB CDO TUC (IVA INC)]]-Tabla1[[#This Row],[PRECIO REF $ BOLSA 50 KG CACTU (IVA INC)]])</f>
        <v>#VALUE!</v>
      </c>
      <c r="AL856" s="847" t="str">
        <f>IFERROR(Tabla1[[#This Row],[PRECIO $ BOLSA 50KG  FOB CDO TUC (IVA INC)]]/Tabla1[[#This Row],[PRECIO REF $ BOLSA 50 KG CACTU (IVA INC)]]-1,"")</f>
        <v/>
      </c>
      <c r="AM856" s="846" t="e">
        <f>+Tabla1[[#This Row],[DIF $ PRECIO NETO INDUSTRIA vs Neto TUCUMAN (IVA INC)]]*Tabla1[[#This Row],[Q Bolsas Equivalentes 50kg]]</f>
        <v>#VALUE!</v>
      </c>
      <c r="AN856" s="846" t="e">
        <f>Tabla1[[#This Row],[PRECIO REF $ BOLSA 50 KG CACTU (IVA INC)]]*Tabla1[[#This Row],[Q Bolsas Equivalentes 50kg]]</f>
        <v>#VALUE!</v>
      </c>
      <c r="AO856" s="846" t="e">
        <f>+Tabla1[[#This Row],[PRECIO $ BOLSA 50KG  FOB CDO TUC (IVA INC)]]*Tabla1[[#This Row],[Q Bolsas Equivalentes 50kg]]</f>
        <v>#VALUE!</v>
      </c>
      <c r="AP856" s="847"/>
      <c r="AQ856" s="846">
        <v>0</v>
      </c>
      <c r="AR856" s="828"/>
      <c r="AS856" s="849"/>
      <c r="AT856" s="923">
        <f>+Tabla1[[#This Row],[VENTA TOTAL $ (IVA INC) ]]-(SUM(Tabla1[[#This Row],[PENDIENTE DE ENTREGA]:[VALORES COBRADOS]]))</f>
        <v>0</v>
      </c>
      <c r="AU856" s="850" t="e">
        <f>VLOOKUP(Tabla1[[#This Row],[FECHA OC]],'TIPO DE CAMBIO'!A:B,2,TRUE)</f>
        <v>#N/A</v>
      </c>
      <c r="AV856" s="850" t="e">
        <f>+Tabla1[[#This Row],[SUBTOTAL]]/Tabla1[[#This Row],[TIPO DE CAMBIO]]</f>
        <v>#N/A</v>
      </c>
      <c r="AW856" s="851"/>
      <c r="AX856" s="850" t="str">
        <f>IFERROR(Tabla1[[#This Row],[VENTA TOTAL USD A PLAZO EN CLIENTE  (SIN IVA)]]*(1+Tabla1[[#This Row],[% IVA ]]),"")</f>
        <v/>
      </c>
      <c r="AY856" s="850" t="e">
        <f>+Tabla1[[#This Row],[VENTA TOTAL USD A PLAZO EN CLIENTE  (SIN IVA)]]/Tabla1[[#This Row],[KGS]]*1000</f>
        <v>#N/A</v>
      </c>
      <c r="AZ856" s="850" t="e">
        <f>-Tabla1[[#This Row],[COSTO FLETE $ POR BOLSA 5O KG (SIN IVA)]]*20/Tabla1[[#This Row],[TIPO DE CAMBIO]]</f>
        <v>#N/A</v>
      </c>
      <c r="BA856" s="850" t="e">
        <f>+Tabla1[[#This Row],[GASTOS FINANCIEROS $ BOLSA 50 KG (IVA INC)]]*20/Tabla1[[#This Row],[TIPO DE CAMBIO]]</f>
        <v>#VALUE!</v>
      </c>
      <c r="BB856" s="850" t="e">
        <f>+Tabla1[[#This Row],[PRECIO POR TN USD EN CLIENTE A PLAZO (SIN IVA)]]+Tabla1[[#This Row],[COSTO USD FLETE /TN (SIN IVA)]]+Tabla1[[#This Row],[COSTO FINANCIERO USD POR BOLSA 50KG (IVA INC)]]</f>
        <v>#N/A</v>
      </c>
      <c r="BC856" s="828"/>
      <c r="BD856" s="944"/>
      <c r="BG856" s="867"/>
      <c r="BH856" s="810"/>
    </row>
    <row r="857" spans="1:60" ht="15.75" customHeight="1">
      <c r="A857" s="912">
        <v>46447</v>
      </c>
      <c r="B857" s="853"/>
      <c r="C857" s="792"/>
      <c r="D857" s="829">
        <f>+Tabla1[[#This Row],[FECHA Entrega]]</f>
        <v>0</v>
      </c>
      <c r="E857" s="830"/>
      <c r="F857" s="831"/>
      <c r="G857" s="832"/>
      <c r="H857" s="852"/>
      <c r="I857" s="834"/>
      <c r="J857" s="835"/>
      <c r="K857" s="836">
        <f t="shared" si="163"/>
        <v>0</v>
      </c>
      <c r="L85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57" s="837">
        <f t="shared" si="162"/>
        <v>0</v>
      </c>
      <c r="N857" s="838">
        <f>+Tabla1[[#This Row],[VENTA TOTAL $ (IVA INC) ]]</f>
        <v>0</v>
      </c>
      <c r="O857" s="838">
        <v>0</v>
      </c>
      <c r="P857" s="838">
        <v>0</v>
      </c>
      <c r="Q857" s="839">
        <f>+Tabla1[[#This Row],[VENTA TOTAL $ (IVA INC) ]]</f>
        <v>0</v>
      </c>
      <c r="R857" s="840">
        <f>+Tabla1[[#This Row],[FECHA FC]]+Tabla1[[#This Row],[PLAZO ENTREGA VALORES]]</f>
        <v>0</v>
      </c>
      <c r="S857" s="840">
        <f>+Tabla1[[#This Row],[FECHA FC]]+Tabla1[[#This Row],[PLAZO PAGO (DIAS)]]</f>
        <v>0</v>
      </c>
      <c r="T857" s="834">
        <f t="shared" ref="T857:T865" ca="1" si="164">+S857-$U$2</f>
        <v>-46181</v>
      </c>
      <c r="U857" s="831"/>
      <c r="V857" s="831"/>
      <c r="W857" s="841">
        <f>+Tabla1[[#This Row],[FECHA VTO VALORES]]+7</f>
        <v>7</v>
      </c>
      <c r="X857" s="830"/>
      <c r="Y857" s="859"/>
      <c r="Z857" s="860">
        <f>Tabla1[[#This Row],[KGS]]/50</f>
        <v>0</v>
      </c>
      <c r="AA85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57" s="844">
        <f>-Tabla1[[#This Row],[COSTO FLETE $ POR BOLSA 5O KG (SIN IVA)]]*1.21-Tabla1[[#This Row],[PRECIO $/ KG A PLAZO EN CLIENTE ( SIN IVA)]]*0.003*1.21*50</f>
        <v>0</v>
      </c>
      <c r="AC857" s="845" t="e">
        <f>SUM(Tabla1[[#This Row],[PRECIO $ BOLSA 50 KG (IVA INC) ]]+Tabla1[[#This Row],[COSTO FLETE $ BOLSA 50 KG (IVA INC)]])</f>
        <v>#VALUE!</v>
      </c>
      <c r="AD857" s="844" t="e">
        <f>-Tabla1[[#This Row],[PRECIO $ BOLSA 50 KG (IVA INC) ]]*(Tabla1[[#This Row],[TASA FINANCIACION MENSUAL]]/365)*Tabla1[[#This Row],[PLAZO ENTREGA VALORES]]</f>
        <v>#VALUE!</v>
      </c>
      <c r="AE857" s="845" t="e">
        <f>SUM(Tabla1[[#This Row],[PRECIO $ BOLSA50 KG  FOB TUCUMAN A PLAZO (IVA INC)]]+Tabla1[[#This Row],[GASTOS FINANCIEROS $ BOLSA 50 KG (IVA INC)]])</f>
        <v>#VALUE!</v>
      </c>
      <c r="AF857" s="828"/>
      <c r="AG857" s="828"/>
      <c r="AH857" s="828"/>
      <c r="AI857" s="828"/>
      <c r="AJ85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57" s="846" t="e">
        <f>SUM(Tabla1[[#This Row],[PRECIO $ BOLSA 50KG  FOB CDO TUC (IVA INC)]]-Tabla1[[#This Row],[PRECIO REF $ BOLSA 50 KG CACTU (IVA INC)]])</f>
        <v>#VALUE!</v>
      </c>
      <c r="AL857" s="847" t="str">
        <f>IFERROR(Tabla1[[#This Row],[PRECIO $ BOLSA 50KG  FOB CDO TUC (IVA INC)]]/Tabla1[[#This Row],[PRECIO REF $ BOLSA 50 KG CACTU (IVA INC)]]-1,"")</f>
        <v/>
      </c>
      <c r="AM857" s="846" t="e">
        <f>+Tabla1[[#This Row],[DIF $ PRECIO NETO INDUSTRIA vs Neto TUCUMAN (IVA INC)]]*Tabla1[[#This Row],[Q Bolsas Equivalentes 50kg]]</f>
        <v>#VALUE!</v>
      </c>
      <c r="AN857" s="846" t="e">
        <f>Tabla1[[#This Row],[PRECIO REF $ BOLSA 50 KG CACTU (IVA INC)]]*Tabla1[[#This Row],[Q Bolsas Equivalentes 50kg]]</f>
        <v>#VALUE!</v>
      </c>
      <c r="AO857" s="846" t="e">
        <f>+Tabla1[[#This Row],[PRECIO $ BOLSA 50KG  FOB CDO TUC (IVA INC)]]*Tabla1[[#This Row],[Q Bolsas Equivalentes 50kg]]</f>
        <v>#VALUE!</v>
      </c>
      <c r="AP857" s="847"/>
      <c r="AQ857" s="846">
        <v>0</v>
      </c>
      <c r="AR857" s="828"/>
      <c r="AS857" s="849"/>
      <c r="AT857" s="923">
        <f>+Tabla1[[#This Row],[VENTA TOTAL $ (IVA INC) ]]-(SUM(Tabla1[[#This Row],[PENDIENTE DE ENTREGA]:[VALORES COBRADOS]]))</f>
        <v>0</v>
      </c>
      <c r="AU857" s="850" t="e">
        <f>VLOOKUP(Tabla1[[#This Row],[FECHA OC]],'TIPO DE CAMBIO'!A:B,2,TRUE)</f>
        <v>#N/A</v>
      </c>
      <c r="AV857" s="850" t="e">
        <f>+Tabla1[[#This Row],[SUBTOTAL]]/Tabla1[[#This Row],[TIPO DE CAMBIO]]</f>
        <v>#N/A</v>
      </c>
      <c r="AW857" s="851"/>
      <c r="AX857" s="850" t="str">
        <f>IFERROR(Tabla1[[#This Row],[VENTA TOTAL USD A PLAZO EN CLIENTE  (SIN IVA)]]*(1+Tabla1[[#This Row],[% IVA ]]),"")</f>
        <v/>
      </c>
      <c r="AY857" s="866" t="e">
        <f>+Tabla1[[#This Row],[VENTA TOTAL USD A PLAZO EN CLIENTE  (SIN IVA)]]/Tabla1[[#This Row],[KGS]]*1000</f>
        <v>#N/A</v>
      </c>
      <c r="AZ857" s="850" t="e">
        <f>-Tabla1[[#This Row],[COSTO FLETE $ POR BOLSA 5O KG (SIN IVA)]]*20/Tabla1[[#This Row],[TIPO DE CAMBIO]]</f>
        <v>#N/A</v>
      </c>
      <c r="BA857" s="850" t="e">
        <f>+Tabla1[[#This Row],[GASTOS FINANCIEROS $ BOLSA 50 KG (IVA INC)]]*20/Tabla1[[#This Row],[TIPO DE CAMBIO]]</f>
        <v>#VALUE!</v>
      </c>
      <c r="BB857" s="850" t="e">
        <f>+Tabla1[[#This Row],[PRECIO POR TN USD EN CLIENTE A PLAZO (SIN IVA)]]+Tabla1[[#This Row],[COSTO USD FLETE /TN (SIN IVA)]]+Tabla1[[#This Row],[COSTO FINANCIERO USD POR BOLSA 50KG (IVA INC)]]</f>
        <v>#N/A</v>
      </c>
      <c r="BC857" s="828"/>
      <c r="BD857" s="944"/>
      <c r="BG857" s="867"/>
      <c r="BH857" s="810"/>
    </row>
    <row r="858" spans="1:60" ht="15.75" customHeight="1">
      <c r="A858" s="912">
        <v>46447</v>
      </c>
      <c r="B858" s="853"/>
      <c r="C858" s="792"/>
      <c r="D858" s="829">
        <f>+Tabla1[[#This Row],[FECHA Entrega]]</f>
        <v>0</v>
      </c>
      <c r="E858" s="830"/>
      <c r="F858" s="831"/>
      <c r="G858" s="832"/>
      <c r="H858" s="852"/>
      <c r="I858" s="834"/>
      <c r="J858" s="835"/>
      <c r="K858" s="836">
        <f t="shared" si="163"/>
        <v>0</v>
      </c>
      <c r="L85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58" s="837">
        <f t="shared" si="162"/>
        <v>0</v>
      </c>
      <c r="N858" s="838">
        <f>+Tabla1[[#This Row],[VENTA TOTAL $ (IVA INC) ]]</f>
        <v>0</v>
      </c>
      <c r="O858" s="838">
        <v>0</v>
      </c>
      <c r="P858" s="838">
        <v>0</v>
      </c>
      <c r="Q858" s="839">
        <f>+Tabla1[[#This Row],[VENTA TOTAL $ (IVA INC) ]]</f>
        <v>0</v>
      </c>
      <c r="R858" s="840">
        <f>+Tabla1[[#This Row],[FECHA FC]]+Tabla1[[#This Row],[PLAZO ENTREGA VALORES]]</f>
        <v>0</v>
      </c>
      <c r="S858" s="840">
        <f>+Tabla1[[#This Row],[FECHA FC]]+Tabla1[[#This Row],[PLAZO PAGO (DIAS)]]</f>
        <v>0</v>
      </c>
      <c r="T858" s="834">
        <f t="shared" ca="1" si="164"/>
        <v>-46181</v>
      </c>
      <c r="U858" s="831"/>
      <c r="V858" s="831"/>
      <c r="W858" s="841">
        <f>+Tabla1[[#This Row],[FECHA VTO VALORES]]+7</f>
        <v>7</v>
      </c>
      <c r="X858" s="830"/>
      <c r="Y858" s="859"/>
      <c r="Z858" s="860">
        <f>Tabla1[[#This Row],[KGS]]/50</f>
        <v>0</v>
      </c>
      <c r="AA85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58" s="844">
        <f>-Tabla1[[#This Row],[COSTO FLETE $ POR BOLSA 5O KG (SIN IVA)]]*1.21-Tabla1[[#This Row],[PRECIO $/ KG A PLAZO EN CLIENTE ( SIN IVA)]]*0.003*1.21*50</f>
        <v>0</v>
      </c>
      <c r="AC858" s="845" t="e">
        <f>SUM(Tabla1[[#This Row],[PRECIO $ BOLSA 50 KG (IVA INC) ]]+Tabla1[[#This Row],[COSTO FLETE $ BOLSA 50 KG (IVA INC)]])</f>
        <v>#VALUE!</v>
      </c>
      <c r="AD858" s="844" t="e">
        <f>-Tabla1[[#This Row],[PRECIO $ BOLSA 50 KG (IVA INC) ]]*(Tabla1[[#This Row],[TASA FINANCIACION MENSUAL]]/365)*Tabla1[[#This Row],[PLAZO ENTREGA VALORES]]</f>
        <v>#VALUE!</v>
      </c>
      <c r="AE858" s="845" t="e">
        <f>SUM(Tabla1[[#This Row],[PRECIO $ BOLSA50 KG  FOB TUCUMAN A PLAZO (IVA INC)]]+Tabla1[[#This Row],[GASTOS FINANCIEROS $ BOLSA 50 KG (IVA INC)]])</f>
        <v>#VALUE!</v>
      </c>
      <c r="AF858" s="828"/>
      <c r="AG858" s="828"/>
      <c r="AH858" s="828"/>
      <c r="AI858" s="828"/>
      <c r="AJ85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58" s="846" t="e">
        <f>SUM(Tabla1[[#This Row],[PRECIO $ BOLSA 50KG  FOB CDO TUC (IVA INC)]]-Tabla1[[#This Row],[PRECIO REF $ BOLSA 50 KG CACTU (IVA INC)]])</f>
        <v>#VALUE!</v>
      </c>
      <c r="AL858" s="847" t="str">
        <f>IFERROR(Tabla1[[#This Row],[PRECIO $ BOLSA 50KG  FOB CDO TUC (IVA INC)]]/Tabla1[[#This Row],[PRECIO REF $ BOLSA 50 KG CACTU (IVA INC)]]-1,"")</f>
        <v/>
      </c>
      <c r="AM858" s="846" t="e">
        <f>+Tabla1[[#This Row],[DIF $ PRECIO NETO INDUSTRIA vs Neto TUCUMAN (IVA INC)]]*Tabla1[[#This Row],[Q Bolsas Equivalentes 50kg]]</f>
        <v>#VALUE!</v>
      </c>
      <c r="AN858" s="846" t="e">
        <f>Tabla1[[#This Row],[PRECIO REF $ BOLSA 50 KG CACTU (IVA INC)]]*Tabla1[[#This Row],[Q Bolsas Equivalentes 50kg]]</f>
        <v>#VALUE!</v>
      </c>
      <c r="AO858" s="846" t="e">
        <f>+Tabla1[[#This Row],[PRECIO $ BOLSA 50KG  FOB CDO TUC (IVA INC)]]*Tabla1[[#This Row],[Q Bolsas Equivalentes 50kg]]</f>
        <v>#VALUE!</v>
      </c>
      <c r="AP858" s="847"/>
      <c r="AQ858" s="846">
        <v>0</v>
      </c>
      <c r="AR858" s="828"/>
      <c r="AS858" s="849"/>
      <c r="AT858" s="923">
        <f>+Tabla1[[#This Row],[VENTA TOTAL $ (IVA INC) ]]-(SUM(Tabla1[[#This Row],[PENDIENTE DE ENTREGA]:[VALORES COBRADOS]]))</f>
        <v>0</v>
      </c>
      <c r="AU858" s="850" t="e">
        <f>VLOOKUP(Tabla1[[#This Row],[FECHA OC]],'TIPO DE CAMBIO'!A:B,2,TRUE)</f>
        <v>#N/A</v>
      </c>
      <c r="AV858" s="850" t="e">
        <f>+Tabla1[[#This Row],[SUBTOTAL]]/Tabla1[[#This Row],[TIPO DE CAMBIO]]</f>
        <v>#N/A</v>
      </c>
      <c r="AW858" s="851"/>
      <c r="AX858" s="850" t="str">
        <f>IFERROR(Tabla1[[#This Row],[VENTA TOTAL USD A PLAZO EN CLIENTE  (SIN IVA)]]*(1+Tabla1[[#This Row],[% IVA ]]),"")</f>
        <v/>
      </c>
      <c r="AY858" s="866" t="e">
        <f>+Tabla1[[#This Row],[VENTA TOTAL USD A PLAZO EN CLIENTE  (SIN IVA)]]/Tabla1[[#This Row],[KGS]]*1000</f>
        <v>#N/A</v>
      </c>
      <c r="AZ858" s="850" t="e">
        <f>-Tabla1[[#This Row],[COSTO FLETE $ POR BOLSA 5O KG (SIN IVA)]]*20/Tabla1[[#This Row],[TIPO DE CAMBIO]]</f>
        <v>#N/A</v>
      </c>
      <c r="BA858" s="850" t="e">
        <f>+Tabla1[[#This Row],[GASTOS FINANCIEROS $ BOLSA 50 KG (IVA INC)]]*20/Tabla1[[#This Row],[TIPO DE CAMBIO]]</f>
        <v>#VALUE!</v>
      </c>
      <c r="BB858" s="850" t="e">
        <f>+Tabla1[[#This Row],[PRECIO POR TN USD EN CLIENTE A PLAZO (SIN IVA)]]+Tabla1[[#This Row],[COSTO USD FLETE /TN (SIN IVA)]]+Tabla1[[#This Row],[COSTO FINANCIERO USD POR BOLSA 50KG (IVA INC)]]</f>
        <v>#N/A</v>
      </c>
      <c r="BC858" s="828"/>
      <c r="BD858" s="944"/>
      <c r="BG858" s="867"/>
      <c r="BH858" s="810"/>
    </row>
    <row r="859" spans="1:60" ht="15.75" customHeight="1">
      <c r="A859" s="912">
        <v>46447</v>
      </c>
      <c r="B859" s="853"/>
      <c r="C859" s="792"/>
      <c r="D859" s="829">
        <f>+Tabla1[[#This Row],[FECHA Entrega]]</f>
        <v>0</v>
      </c>
      <c r="E859" s="830"/>
      <c r="F859" s="831"/>
      <c r="G859" s="832"/>
      <c r="H859" s="852"/>
      <c r="I859" s="834"/>
      <c r="J859" s="835"/>
      <c r="K859" s="836">
        <f t="shared" si="163"/>
        <v>0</v>
      </c>
      <c r="L85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59" s="837">
        <f t="shared" si="162"/>
        <v>0</v>
      </c>
      <c r="N859" s="838">
        <f>+Tabla1[[#This Row],[VENTA TOTAL $ (IVA INC) ]]</f>
        <v>0</v>
      </c>
      <c r="O859" s="838">
        <v>0</v>
      </c>
      <c r="P859" s="838">
        <v>0</v>
      </c>
      <c r="Q859" s="839">
        <f>+Tabla1[[#This Row],[VENTA TOTAL $ (IVA INC) ]]</f>
        <v>0</v>
      </c>
      <c r="R859" s="840">
        <f>+Tabla1[[#This Row],[FECHA FC]]+Tabla1[[#This Row],[PLAZO ENTREGA VALORES]]</f>
        <v>0</v>
      </c>
      <c r="S859" s="840">
        <f>+Tabla1[[#This Row],[FECHA FC]]+Tabla1[[#This Row],[PLAZO PAGO (DIAS)]]</f>
        <v>0</v>
      </c>
      <c r="T859" s="834">
        <f t="shared" ca="1" si="164"/>
        <v>-46181</v>
      </c>
      <c r="U859" s="831"/>
      <c r="V859" s="831"/>
      <c r="W859" s="841">
        <f>+Tabla1[[#This Row],[FECHA VTO VALORES]]+7</f>
        <v>7</v>
      </c>
      <c r="X859" s="830"/>
      <c r="Y859" s="859"/>
      <c r="Z859" s="860">
        <f>Tabla1[[#This Row],[KGS]]/50</f>
        <v>0</v>
      </c>
      <c r="AA85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59" s="844">
        <f>-Tabla1[[#This Row],[COSTO FLETE $ POR BOLSA 5O KG (SIN IVA)]]*1.21-Tabla1[[#This Row],[PRECIO $/ KG A PLAZO EN CLIENTE ( SIN IVA)]]*0.003*1.21*50</f>
        <v>0</v>
      </c>
      <c r="AC859" s="845" t="e">
        <f>SUM(Tabla1[[#This Row],[PRECIO $ BOLSA 50 KG (IVA INC) ]]+Tabla1[[#This Row],[COSTO FLETE $ BOLSA 50 KG (IVA INC)]])</f>
        <v>#VALUE!</v>
      </c>
      <c r="AD859" s="844" t="e">
        <f>-Tabla1[[#This Row],[PRECIO $ BOLSA 50 KG (IVA INC) ]]*(Tabla1[[#This Row],[TASA FINANCIACION MENSUAL]]/365)*Tabla1[[#This Row],[PLAZO ENTREGA VALORES]]</f>
        <v>#VALUE!</v>
      </c>
      <c r="AE859" s="845" t="e">
        <f>SUM(Tabla1[[#This Row],[PRECIO $ BOLSA50 KG  FOB TUCUMAN A PLAZO (IVA INC)]]+Tabla1[[#This Row],[GASTOS FINANCIEROS $ BOLSA 50 KG (IVA INC)]])</f>
        <v>#VALUE!</v>
      </c>
      <c r="AF859" s="828"/>
      <c r="AG859" s="828"/>
      <c r="AH859" s="828"/>
      <c r="AI859" s="828"/>
      <c r="AJ85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59" s="846" t="e">
        <f>SUM(Tabla1[[#This Row],[PRECIO $ BOLSA 50KG  FOB CDO TUC (IVA INC)]]-Tabla1[[#This Row],[PRECIO REF $ BOLSA 50 KG CACTU (IVA INC)]])</f>
        <v>#VALUE!</v>
      </c>
      <c r="AL859" s="847" t="str">
        <f>IFERROR(Tabla1[[#This Row],[PRECIO $ BOLSA 50KG  FOB CDO TUC (IVA INC)]]/Tabla1[[#This Row],[PRECIO REF $ BOLSA 50 KG CACTU (IVA INC)]]-1,"")</f>
        <v/>
      </c>
      <c r="AM859" s="846" t="e">
        <f>+Tabla1[[#This Row],[DIF $ PRECIO NETO INDUSTRIA vs Neto TUCUMAN (IVA INC)]]*Tabla1[[#This Row],[Q Bolsas Equivalentes 50kg]]</f>
        <v>#VALUE!</v>
      </c>
      <c r="AN859" s="846" t="e">
        <f>Tabla1[[#This Row],[PRECIO REF $ BOLSA 50 KG CACTU (IVA INC)]]*Tabla1[[#This Row],[Q Bolsas Equivalentes 50kg]]</f>
        <v>#VALUE!</v>
      </c>
      <c r="AO859" s="846" t="e">
        <f>+Tabla1[[#This Row],[PRECIO $ BOLSA 50KG  FOB CDO TUC (IVA INC)]]*Tabla1[[#This Row],[Q Bolsas Equivalentes 50kg]]</f>
        <v>#VALUE!</v>
      </c>
      <c r="AP859" s="847"/>
      <c r="AQ859" s="846">
        <v>0</v>
      </c>
      <c r="AR859" s="828"/>
      <c r="AS859" s="849"/>
      <c r="AT859" s="923">
        <f>+Tabla1[[#This Row],[VENTA TOTAL $ (IVA INC) ]]-(SUM(Tabla1[[#This Row],[PENDIENTE DE ENTREGA]:[VALORES COBRADOS]]))</f>
        <v>0</v>
      </c>
      <c r="AU859" s="850" t="e">
        <f>VLOOKUP(Tabla1[[#This Row],[FECHA OC]],'TIPO DE CAMBIO'!A:B,2,TRUE)</f>
        <v>#N/A</v>
      </c>
      <c r="AV859" s="850" t="e">
        <f>+Tabla1[[#This Row],[SUBTOTAL]]/Tabla1[[#This Row],[TIPO DE CAMBIO]]</f>
        <v>#N/A</v>
      </c>
      <c r="AW859" s="851"/>
      <c r="AX859" s="850" t="str">
        <f>IFERROR(Tabla1[[#This Row],[VENTA TOTAL USD A PLAZO EN CLIENTE  (SIN IVA)]]*(1+Tabla1[[#This Row],[% IVA ]]),"")</f>
        <v/>
      </c>
      <c r="AY859" s="866" t="e">
        <f>+Tabla1[[#This Row],[VENTA TOTAL USD A PLAZO EN CLIENTE  (SIN IVA)]]/Tabla1[[#This Row],[KGS]]*1000</f>
        <v>#N/A</v>
      </c>
      <c r="AZ859" s="850" t="e">
        <f>-Tabla1[[#This Row],[COSTO FLETE $ POR BOLSA 5O KG (SIN IVA)]]*20/Tabla1[[#This Row],[TIPO DE CAMBIO]]</f>
        <v>#N/A</v>
      </c>
      <c r="BA859" s="850" t="e">
        <f>+Tabla1[[#This Row],[GASTOS FINANCIEROS $ BOLSA 50 KG (IVA INC)]]*20/Tabla1[[#This Row],[TIPO DE CAMBIO]]</f>
        <v>#VALUE!</v>
      </c>
      <c r="BB859" s="850" t="e">
        <f>+Tabla1[[#This Row],[PRECIO POR TN USD EN CLIENTE A PLAZO (SIN IVA)]]+Tabla1[[#This Row],[COSTO USD FLETE /TN (SIN IVA)]]+Tabla1[[#This Row],[COSTO FINANCIERO USD POR BOLSA 50KG (IVA INC)]]</f>
        <v>#N/A</v>
      </c>
      <c r="BC859" s="828"/>
      <c r="BD859" s="944"/>
      <c r="BG859" s="867"/>
      <c r="BH859" s="810"/>
    </row>
    <row r="860" spans="1:60" ht="15.75" customHeight="1">
      <c r="A860" s="912">
        <v>46447</v>
      </c>
      <c r="B860" s="853"/>
      <c r="C860" s="792"/>
      <c r="D860" s="829">
        <f>+Tabla1[[#This Row],[FECHA Entrega]]</f>
        <v>0</v>
      </c>
      <c r="E860" s="830"/>
      <c r="F860" s="831"/>
      <c r="G860" s="832"/>
      <c r="H860" s="852"/>
      <c r="I860" s="834"/>
      <c r="J860" s="835"/>
      <c r="K860" s="836">
        <f t="shared" si="163"/>
        <v>0</v>
      </c>
      <c r="L86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60" s="837">
        <f t="shared" si="162"/>
        <v>0</v>
      </c>
      <c r="N860" s="838">
        <f>+Tabla1[[#This Row],[VENTA TOTAL $ (IVA INC) ]]</f>
        <v>0</v>
      </c>
      <c r="O860" s="838">
        <v>0</v>
      </c>
      <c r="P860" s="838">
        <v>0</v>
      </c>
      <c r="Q860" s="839">
        <f>+Tabla1[[#This Row],[VENTA TOTAL $ (IVA INC) ]]</f>
        <v>0</v>
      </c>
      <c r="R860" s="840">
        <f>+Tabla1[[#This Row],[FECHA FC]]+Tabla1[[#This Row],[PLAZO ENTREGA VALORES]]</f>
        <v>0</v>
      </c>
      <c r="S860" s="840">
        <f>+Tabla1[[#This Row],[FECHA FC]]+Tabla1[[#This Row],[PLAZO PAGO (DIAS)]]</f>
        <v>0</v>
      </c>
      <c r="T860" s="834">
        <f t="shared" ca="1" si="164"/>
        <v>-46181</v>
      </c>
      <c r="U860" s="831"/>
      <c r="V860" s="831"/>
      <c r="W860" s="841">
        <f>+Tabla1[[#This Row],[FECHA VTO VALORES]]+7</f>
        <v>7</v>
      </c>
      <c r="X860" s="830"/>
      <c r="Y860" s="859"/>
      <c r="Z860" s="860">
        <f>Tabla1[[#This Row],[KGS]]/50</f>
        <v>0</v>
      </c>
      <c r="AA86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60" s="844">
        <f>-Tabla1[[#This Row],[COSTO FLETE $ POR BOLSA 5O KG (SIN IVA)]]*1.21-Tabla1[[#This Row],[PRECIO $/ KG A PLAZO EN CLIENTE ( SIN IVA)]]*0.003*1.21*50</f>
        <v>0</v>
      </c>
      <c r="AC860" s="845" t="e">
        <f>SUM(Tabla1[[#This Row],[PRECIO $ BOLSA 50 KG (IVA INC) ]]+Tabla1[[#This Row],[COSTO FLETE $ BOLSA 50 KG (IVA INC)]])</f>
        <v>#VALUE!</v>
      </c>
      <c r="AD860" s="844" t="e">
        <f>-Tabla1[[#This Row],[PRECIO $ BOLSA 50 KG (IVA INC) ]]*(Tabla1[[#This Row],[TASA FINANCIACION MENSUAL]]/365)*Tabla1[[#This Row],[PLAZO ENTREGA VALORES]]</f>
        <v>#VALUE!</v>
      </c>
      <c r="AE860" s="845" t="e">
        <f>SUM(Tabla1[[#This Row],[PRECIO $ BOLSA50 KG  FOB TUCUMAN A PLAZO (IVA INC)]]+Tabla1[[#This Row],[GASTOS FINANCIEROS $ BOLSA 50 KG (IVA INC)]])</f>
        <v>#VALUE!</v>
      </c>
      <c r="AF860" s="828"/>
      <c r="AG860" s="828"/>
      <c r="AH860" s="828"/>
      <c r="AI860" s="828"/>
      <c r="AJ86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60" s="846" t="e">
        <f>SUM(Tabla1[[#This Row],[PRECIO $ BOLSA 50KG  FOB CDO TUC (IVA INC)]]-Tabla1[[#This Row],[PRECIO REF $ BOLSA 50 KG CACTU (IVA INC)]])</f>
        <v>#VALUE!</v>
      </c>
      <c r="AL860" s="847" t="str">
        <f>IFERROR(Tabla1[[#This Row],[PRECIO $ BOLSA 50KG  FOB CDO TUC (IVA INC)]]/Tabla1[[#This Row],[PRECIO REF $ BOLSA 50 KG CACTU (IVA INC)]]-1,"")</f>
        <v/>
      </c>
      <c r="AM860" s="846" t="e">
        <f>+Tabla1[[#This Row],[DIF $ PRECIO NETO INDUSTRIA vs Neto TUCUMAN (IVA INC)]]*Tabla1[[#This Row],[Q Bolsas Equivalentes 50kg]]</f>
        <v>#VALUE!</v>
      </c>
      <c r="AN860" s="846" t="e">
        <f>Tabla1[[#This Row],[PRECIO REF $ BOLSA 50 KG CACTU (IVA INC)]]*Tabla1[[#This Row],[Q Bolsas Equivalentes 50kg]]</f>
        <v>#VALUE!</v>
      </c>
      <c r="AO860" s="846" t="e">
        <f>+Tabla1[[#This Row],[PRECIO $ BOLSA 50KG  FOB CDO TUC (IVA INC)]]*Tabla1[[#This Row],[Q Bolsas Equivalentes 50kg]]</f>
        <v>#VALUE!</v>
      </c>
      <c r="AP860" s="847"/>
      <c r="AQ860" s="846">
        <v>0</v>
      </c>
      <c r="AR860" s="828"/>
      <c r="AS860" s="849"/>
      <c r="AT860" s="923">
        <f>+Tabla1[[#This Row],[VENTA TOTAL $ (IVA INC) ]]-(SUM(Tabla1[[#This Row],[PENDIENTE DE ENTREGA]:[VALORES COBRADOS]]))</f>
        <v>0</v>
      </c>
      <c r="AU860" s="850" t="e">
        <f>VLOOKUP(Tabla1[[#This Row],[FECHA OC]],'TIPO DE CAMBIO'!A:B,2,TRUE)</f>
        <v>#N/A</v>
      </c>
      <c r="AV860" s="850" t="e">
        <f>+Tabla1[[#This Row],[SUBTOTAL]]/Tabla1[[#This Row],[TIPO DE CAMBIO]]</f>
        <v>#N/A</v>
      </c>
      <c r="AW860" s="851"/>
      <c r="AX860" s="850" t="str">
        <f>IFERROR(Tabla1[[#This Row],[VENTA TOTAL USD A PLAZO EN CLIENTE  (SIN IVA)]]*(1+Tabla1[[#This Row],[% IVA ]]),"")</f>
        <v/>
      </c>
      <c r="AY860" s="866" t="e">
        <f>+Tabla1[[#This Row],[VENTA TOTAL USD A PLAZO EN CLIENTE  (SIN IVA)]]/Tabla1[[#This Row],[KGS]]*1000</f>
        <v>#N/A</v>
      </c>
      <c r="AZ860" s="850" t="e">
        <f>-Tabla1[[#This Row],[COSTO FLETE $ POR BOLSA 5O KG (SIN IVA)]]*20/Tabla1[[#This Row],[TIPO DE CAMBIO]]</f>
        <v>#N/A</v>
      </c>
      <c r="BA860" s="850" t="e">
        <f>+Tabla1[[#This Row],[GASTOS FINANCIEROS $ BOLSA 50 KG (IVA INC)]]*20/Tabla1[[#This Row],[TIPO DE CAMBIO]]</f>
        <v>#VALUE!</v>
      </c>
      <c r="BB860" s="850" t="e">
        <f>+Tabla1[[#This Row],[PRECIO POR TN USD EN CLIENTE A PLAZO (SIN IVA)]]+Tabla1[[#This Row],[COSTO USD FLETE /TN (SIN IVA)]]+Tabla1[[#This Row],[COSTO FINANCIERO USD POR BOLSA 50KG (IVA INC)]]</f>
        <v>#N/A</v>
      </c>
      <c r="BC860" s="828"/>
      <c r="BD860" s="944"/>
      <c r="BG860" s="867"/>
      <c r="BH860" s="810"/>
    </row>
    <row r="861" spans="1:60" ht="15.75" customHeight="1">
      <c r="A861" s="912">
        <v>46447</v>
      </c>
      <c r="B861" s="853"/>
      <c r="C861" s="792"/>
      <c r="D861" s="829">
        <f>+Tabla1[[#This Row],[FECHA Entrega]]</f>
        <v>0</v>
      </c>
      <c r="E861" s="830"/>
      <c r="F861" s="831"/>
      <c r="G861" s="832"/>
      <c r="H861" s="852"/>
      <c r="I861" s="834"/>
      <c r="J861" s="835"/>
      <c r="K861" s="836">
        <f t="shared" si="163"/>
        <v>0</v>
      </c>
      <c r="L86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61" s="837">
        <f t="shared" si="162"/>
        <v>0</v>
      </c>
      <c r="N861" s="838">
        <f>+Tabla1[[#This Row],[VENTA TOTAL $ (IVA INC) ]]</f>
        <v>0</v>
      </c>
      <c r="O861" s="838">
        <v>0</v>
      </c>
      <c r="P861" s="838">
        <v>0</v>
      </c>
      <c r="Q861" s="839">
        <f>+Tabla1[[#This Row],[VENTA TOTAL $ (IVA INC) ]]</f>
        <v>0</v>
      </c>
      <c r="R861" s="840">
        <f>+Tabla1[[#This Row],[FECHA FC]]+Tabla1[[#This Row],[PLAZO ENTREGA VALORES]]</f>
        <v>0</v>
      </c>
      <c r="S861" s="840">
        <f>+Tabla1[[#This Row],[FECHA FC]]+Tabla1[[#This Row],[PLAZO PAGO (DIAS)]]</f>
        <v>0</v>
      </c>
      <c r="T861" s="834">
        <f t="shared" ca="1" si="164"/>
        <v>-46181</v>
      </c>
      <c r="U861" s="831"/>
      <c r="V861" s="831"/>
      <c r="W861" s="841">
        <f>+Tabla1[[#This Row],[FECHA VTO VALORES]]+7</f>
        <v>7</v>
      </c>
      <c r="X861" s="830"/>
      <c r="Y861" s="859"/>
      <c r="Z861" s="860">
        <f>Tabla1[[#This Row],[KGS]]/50</f>
        <v>0</v>
      </c>
      <c r="AA86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61" s="844">
        <f>-Tabla1[[#This Row],[COSTO FLETE $ POR BOLSA 5O KG (SIN IVA)]]*1.21-Tabla1[[#This Row],[PRECIO $/ KG A PLAZO EN CLIENTE ( SIN IVA)]]*0.003*1.21*50</f>
        <v>0</v>
      </c>
      <c r="AC861" s="845" t="e">
        <f>SUM(Tabla1[[#This Row],[PRECIO $ BOLSA 50 KG (IVA INC) ]]+Tabla1[[#This Row],[COSTO FLETE $ BOLSA 50 KG (IVA INC)]])</f>
        <v>#VALUE!</v>
      </c>
      <c r="AD861" s="844" t="e">
        <f>-Tabla1[[#This Row],[PRECIO $ BOLSA 50 KG (IVA INC) ]]*(Tabla1[[#This Row],[TASA FINANCIACION MENSUAL]]/365)*Tabla1[[#This Row],[PLAZO ENTREGA VALORES]]</f>
        <v>#VALUE!</v>
      </c>
      <c r="AE861" s="845" t="e">
        <f>SUM(Tabla1[[#This Row],[PRECIO $ BOLSA50 KG  FOB TUCUMAN A PLAZO (IVA INC)]]+Tabla1[[#This Row],[GASTOS FINANCIEROS $ BOLSA 50 KG (IVA INC)]])</f>
        <v>#VALUE!</v>
      </c>
      <c r="AF861" s="828"/>
      <c r="AG861" s="828"/>
      <c r="AH861" s="828"/>
      <c r="AI861" s="828"/>
      <c r="AJ86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61" s="846" t="e">
        <f>SUM(Tabla1[[#This Row],[PRECIO $ BOLSA 50KG  FOB CDO TUC (IVA INC)]]-Tabla1[[#This Row],[PRECIO REF $ BOLSA 50 KG CACTU (IVA INC)]])</f>
        <v>#VALUE!</v>
      </c>
      <c r="AL861" s="847" t="str">
        <f>IFERROR(Tabla1[[#This Row],[PRECIO $ BOLSA 50KG  FOB CDO TUC (IVA INC)]]/Tabla1[[#This Row],[PRECIO REF $ BOLSA 50 KG CACTU (IVA INC)]]-1,"")</f>
        <v/>
      </c>
      <c r="AM861" s="846" t="e">
        <f>+Tabla1[[#This Row],[DIF $ PRECIO NETO INDUSTRIA vs Neto TUCUMAN (IVA INC)]]*Tabla1[[#This Row],[Q Bolsas Equivalentes 50kg]]</f>
        <v>#VALUE!</v>
      </c>
      <c r="AN861" s="846" t="e">
        <f>Tabla1[[#This Row],[PRECIO REF $ BOLSA 50 KG CACTU (IVA INC)]]*Tabla1[[#This Row],[Q Bolsas Equivalentes 50kg]]</f>
        <v>#VALUE!</v>
      </c>
      <c r="AO861" s="846" t="e">
        <f>+Tabla1[[#This Row],[PRECIO $ BOLSA 50KG  FOB CDO TUC (IVA INC)]]*Tabla1[[#This Row],[Q Bolsas Equivalentes 50kg]]</f>
        <v>#VALUE!</v>
      </c>
      <c r="AP861" s="847"/>
      <c r="AQ861" s="846">
        <v>0</v>
      </c>
      <c r="AR861" s="828"/>
      <c r="AS861" s="849"/>
      <c r="AT861" s="923">
        <f>+Tabla1[[#This Row],[VENTA TOTAL $ (IVA INC) ]]-(SUM(Tabla1[[#This Row],[PENDIENTE DE ENTREGA]:[VALORES COBRADOS]]))</f>
        <v>0</v>
      </c>
      <c r="AU861" s="850" t="e">
        <f>VLOOKUP(Tabla1[[#This Row],[FECHA OC]],'TIPO DE CAMBIO'!A:B,2,TRUE)</f>
        <v>#N/A</v>
      </c>
      <c r="AV861" s="850" t="e">
        <f>+Tabla1[[#This Row],[SUBTOTAL]]/Tabla1[[#This Row],[TIPO DE CAMBIO]]</f>
        <v>#N/A</v>
      </c>
      <c r="AW861" s="851"/>
      <c r="AX861" s="850" t="str">
        <f>IFERROR(Tabla1[[#This Row],[VENTA TOTAL USD A PLAZO EN CLIENTE  (SIN IVA)]]*(1+Tabla1[[#This Row],[% IVA ]]),"")</f>
        <v/>
      </c>
      <c r="AY861" s="866" t="e">
        <f>+Tabla1[[#This Row],[VENTA TOTAL USD A PLAZO EN CLIENTE  (SIN IVA)]]/Tabla1[[#This Row],[KGS]]*1000</f>
        <v>#N/A</v>
      </c>
      <c r="AZ861" s="850" t="e">
        <f>-Tabla1[[#This Row],[COSTO FLETE $ POR BOLSA 5O KG (SIN IVA)]]*20/Tabla1[[#This Row],[TIPO DE CAMBIO]]</f>
        <v>#N/A</v>
      </c>
      <c r="BA861" s="850" t="e">
        <f>+Tabla1[[#This Row],[GASTOS FINANCIEROS $ BOLSA 50 KG (IVA INC)]]*20/Tabla1[[#This Row],[TIPO DE CAMBIO]]</f>
        <v>#VALUE!</v>
      </c>
      <c r="BB861" s="850" t="e">
        <f>+Tabla1[[#This Row],[PRECIO POR TN USD EN CLIENTE A PLAZO (SIN IVA)]]+Tabla1[[#This Row],[COSTO USD FLETE /TN (SIN IVA)]]+Tabla1[[#This Row],[COSTO FINANCIERO USD POR BOLSA 50KG (IVA INC)]]</f>
        <v>#N/A</v>
      </c>
      <c r="BC861" s="828"/>
      <c r="BD861" s="944"/>
      <c r="BG861" s="867"/>
      <c r="BH861" s="810"/>
    </row>
    <row r="862" spans="1:60" ht="15.75" customHeight="1">
      <c r="A862" s="912">
        <v>46447</v>
      </c>
      <c r="B862" s="853"/>
      <c r="C862" s="792"/>
      <c r="D862" s="829">
        <f>+Tabla1[[#This Row],[FECHA Entrega]]</f>
        <v>0</v>
      </c>
      <c r="E862" s="830"/>
      <c r="F862" s="831"/>
      <c r="G862" s="832"/>
      <c r="H862" s="852"/>
      <c r="I862" s="834"/>
      <c r="J862" s="835"/>
      <c r="K862" s="836">
        <f t="shared" si="163"/>
        <v>0</v>
      </c>
      <c r="L86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62" s="837">
        <f t="shared" si="162"/>
        <v>0</v>
      </c>
      <c r="N862" s="838">
        <f>+Tabla1[[#This Row],[VENTA TOTAL $ (IVA INC) ]]</f>
        <v>0</v>
      </c>
      <c r="O862" s="838">
        <v>0</v>
      </c>
      <c r="P862" s="838">
        <v>0</v>
      </c>
      <c r="Q862" s="839">
        <f>+Tabla1[[#This Row],[VENTA TOTAL $ (IVA INC) ]]</f>
        <v>0</v>
      </c>
      <c r="R862" s="840">
        <f>+Tabla1[[#This Row],[FECHA FC]]+Tabla1[[#This Row],[PLAZO ENTREGA VALORES]]</f>
        <v>0</v>
      </c>
      <c r="S862" s="840">
        <f>+Tabla1[[#This Row],[FECHA FC]]+Tabla1[[#This Row],[PLAZO PAGO (DIAS)]]</f>
        <v>0</v>
      </c>
      <c r="T862" s="834">
        <f t="shared" ca="1" si="164"/>
        <v>-46181</v>
      </c>
      <c r="U862" s="831"/>
      <c r="V862" s="831"/>
      <c r="W862" s="841">
        <f>+Tabla1[[#This Row],[FECHA VTO VALORES]]+7</f>
        <v>7</v>
      </c>
      <c r="X862" s="830"/>
      <c r="Y862" s="859"/>
      <c r="Z862" s="860">
        <f>Tabla1[[#This Row],[KGS]]/50</f>
        <v>0</v>
      </c>
      <c r="AA86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62" s="844">
        <f>-Tabla1[[#This Row],[COSTO FLETE $ POR BOLSA 5O KG (SIN IVA)]]*1.21-Tabla1[[#This Row],[PRECIO $/ KG A PLAZO EN CLIENTE ( SIN IVA)]]*0.003*1.21*50</f>
        <v>0</v>
      </c>
      <c r="AC862" s="845" t="e">
        <f>SUM(Tabla1[[#This Row],[PRECIO $ BOLSA 50 KG (IVA INC) ]]+Tabla1[[#This Row],[COSTO FLETE $ BOLSA 50 KG (IVA INC)]])</f>
        <v>#VALUE!</v>
      </c>
      <c r="AD862" s="844" t="e">
        <f>-Tabla1[[#This Row],[PRECIO $ BOLSA 50 KG (IVA INC) ]]*(Tabla1[[#This Row],[TASA FINANCIACION MENSUAL]]/365)*Tabla1[[#This Row],[PLAZO ENTREGA VALORES]]</f>
        <v>#VALUE!</v>
      </c>
      <c r="AE862" s="845" t="e">
        <f>SUM(Tabla1[[#This Row],[PRECIO $ BOLSA50 KG  FOB TUCUMAN A PLAZO (IVA INC)]]+Tabla1[[#This Row],[GASTOS FINANCIEROS $ BOLSA 50 KG (IVA INC)]])</f>
        <v>#VALUE!</v>
      </c>
      <c r="AF862" s="828"/>
      <c r="AG862" s="828"/>
      <c r="AH862" s="828"/>
      <c r="AI862" s="828"/>
      <c r="AJ86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62" s="846" t="e">
        <f>SUM(Tabla1[[#This Row],[PRECIO $ BOLSA 50KG  FOB CDO TUC (IVA INC)]]-Tabla1[[#This Row],[PRECIO REF $ BOLSA 50 KG CACTU (IVA INC)]])</f>
        <v>#VALUE!</v>
      </c>
      <c r="AL862" s="847" t="str">
        <f>IFERROR(Tabla1[[#This Row],[PRECIO $ BOLSA 50KG  FOB CDO TUC (IVA INC)]]/Tabla1[[#This Row],[PRECIO REF $ BOLSA 50 KG CACTU (IVA INC)]]-1,"")</f>
        <v/>
      </c>
      <c r="AM862" s="846" t="e">
        <f>+Tabla1[[#This Row],[DIF $ PRECIO NETO INDUSTRIA vs Neto TUCUMAN (IVA INC)]]*Tabla1[[#This Row],[Q Bolsas Equivalentes 50kg]]</f>
        <v>#VALUE!</v>
      </c>
      <c r="AN862" s="846" t="e">
        <f>Tabla1[[#This Row],[PRECIO REF $ BOLSA 50 KG CACTU (IVA INC)]]*Tabla1[[#This Row],[Q Bolsas Equivalentes 50kg]]</f>
        <v>#VALUE!</v>
      </c>
      <c r="AO862" s="846" t="e">
        <f>+Tabla1[[#This Row],[PRECIO $ BOLSA 50KG  FOB CDO TUC (IVA INC)]]*Tabla1[[#This Row],[Q Bolsas Equivalentes 50kg]]</f>
        <v>#VALUE!</v>
      </c>
      <c r="AP862" s="847"/>
      <c r="AQ862" s="846">
        <v>0</v>
      </c>
      <c r="AR862" s="828"/>
      <c r="AS862" s="849"/>
      <c r="AT862" s="923">
        <f>+Tabla1[[#This Row],[VENTA TOTAL $ (IVA INC) ]]-(SUM(Tabla1[[#This Row],[PENDIENTE DE ENTREGA]:[VALORES COBRADOS]]))</f>
        <v>0</v>
      </c>
      <c r="AU862" s="850" t="e">
        <f>VLOOKUP(Tabla1[[#This Row],[FECHA OC]],'TIPO DE CAMBIO'!A:B,2,TRUE)</f>
        <v>#N/A</v>
      </c>
      <c r="AV862" s="850" t="e">
        <f>+Tabla1[[#This Row],[SUBTOTAL]]/Tabla1[[#This Row],[TIPO DE CAMBIO]]</f>
        <v>#N/A</v>
      </c>
      <c r="AW862" s="851"/>
      <c r="AX862" s="850" t="str">
        <f>IFERROR(Tabla1[[#This Row],[VENTA TOTAL USD A PLAZO EN CLIENTE  (SIN IVA)]]*(1+Tabla1[[#This Row],[% IVA ]]),"")</f>
        <v/>
      </c>
      <c r="AY862" s="866" t="e">
        <f>+Tabla1[[#This Row],[VENTA TOTAL USD A PLAZO EN CLIENTE  (SIN IVA)]]/Tabla1[[#This Row],[KGS]]*1000</f>
        <v>#N/A</v>
      </c>
      <c r="AZ862" s="850" t="e">
        <f>-Tabla1[[#This Row],[COSTO FLETE $ POR BOLSA 5O KG (SIN IVA)]]*20/Tabla1[[#This Row],[TIPO DE CAMBIO]]</f>
        <v>#N/A</v>
      </c>
      <c r="BA862" s="850" t="e">
        <f>+Tabla1[[#This Row],[GASTOS FINANCIEROS $ BOLSA 50 KG (IVA INC)]]*20/Tabla1[[#This Row],[TIPO DE CAMBIO]]</f>
        <v>#VALUE!</v>
      </c>
      <c r="BB862" s="850" t="e">
        <f>+Tabla1[[#This Row],[PRECIO POR TN USD EN CLIENTE A PLAZO (SIN IVA)]]+Tabla1[[#This Row],[COSTO USD FLETE /TN (SIN IVA)]]+Tabla1[[#This Row],[COSTO FINANCIERO USD POR BOLSA 50KG (IVA INC)]]</f>
        <v>#N/A</v>
      </c>
      <c r="BC862" s="828"/>
      <c r="BD862" s="944"/>
    </row>
    <row r="863" spans="1:60" ht="15.75" customHeight="1">
      <c r="A863" s="912">
        <v>46447</v>
      </c>
      <c r="B863" s="853"/>
      <c r="C863" s="792"/>
      <c r="D863" s="829">
        <f>+Tabla1[[#This Row],[FECHA Entrega]]</f>
        <v>0</v>
      </c>
      <c r="E863" s="830"/>
      <c r="F863" s="831"/>
      <c r="G863" s="832"/>
      <c r="H863" s="852"/>
      <c r="I863" s="834"/>
      <c r="J863" s="835"/>
      <c r="K863" s="836">
        <f t="shared" si="163"/>
        <v>0</v>
      </c>
      <c r="L86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63" s="837">
        <f t="shared" si="162"/>
        <v>0</v>
      </c>
      <c r="N863" s="838">
        <f>+Tabla1[[#This Row],[VENTA TOTAL $ (IVA INC) ]]</f>
        <v>0</v>
      </c>
      <c r="O863" s="838">
        <v>0</v>
      </c>
      <c r="P863" s="838">
        <v>0</v>
      </c>
      <c r="Q863" s="839">
        <f>+Tabla1[[#This Row],[VENTA TOTAL $ (IVA INC) ]]</f>
        <v>0</v>
      </c>
      <c r="R863" s="840">
        <f>+Tabla1[[#This Row],[FECHA FC]]+Tabla1[[#This Row],[PLAZO ENTREGA VALORES]]</f>
        <v>0</v>
      </c>
      <c r="S863" s="840">
        <f>+Tabla1[[#This Row],[FECHA FC]]+Tabla1[[#This Row],[PLAZO PAGO (DIAS)]]</f>
        <v>0</v>
      </c>
      <c r="T863" s="834">
        <f t="shared" ca="1" si="164"/>
        <v>-46181</v>
      </c>
      <c r="U863" s="831"/>
      <c r="V863" s="831"/>
      <c r="W863" s="841">
        <f>+Tabla1[[#This Row],[FECHA VTO VALORES]]+7</f>
        <v>7</v>
      </c>
      <c r="X863" s="830"/>
      <c r="Y863" s="859"/>
      <c r="Z863" s="860">
        <f>Tabla1[[#This Row],[KGS]]/50</f>
        <v>0</v>
      </c>
      <c r="AA86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63" s="844">
        <f>-Tabla1[[#This Row],[COSTO FLETE $ POR BOLSA 5O KG (SIN IVA)]]*1.21-Tabla1[[#This Row],[PRECIO $/ KG A PLAZO EN CLIENTE ( SIN IVA)]]*0.003*1.21*50</f>
        <v>0</v>
      </c>
      <c r="AC863" s="845" t="e">
        <f>SUM(Tabla1[[#This Row],[PRECIO $ BOLSA 50 KG (IVA INC) ]]+Tabla1[[#This Row],[COSTO FLETE $ BOLSA 50 KG (IVA INC)]])</f>
        <v>#VALUE!</v>
      </c>
      <c r="AD863" s="844" t="e">
        <f>-Tabla1[[#This Row],[PRECIO $ BOLSA 50 KG (IVA INC) ]]*(Tabla1[[#This Row],[TASA FINANCIACION MENSUAL]]/365)*Tabla1[[#This Row],[PLAZO ENTREGA VALORES]]</f>
        <v>#VALUE!</v>
      </c>
      <c r="AE863" s="845" t="e">
        <f>SUM(Tabla1[[#This Row],[PRECIO $ BOLSA50 KG  FOB TUCUMAN A PLAZO (IVA INC)]]+Tabla1[[#This Row],[GASTOS FINANCIEROS $ BOLSA 50 KG (IVA INC)]])</f>
        <v>#VALUE!</v>
      </c>
      <c r="AF863" s="828"/>
      <c r="AG863" s="828"/>
      <c r="AH863" s="828"/>
      <c r="AI863" s="828"/>
      <c r="AJ86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63" s="846" t="e">
        <f>SUM(Tabla1[[#This Row],[PRECIO $ BOLSA 50KG  FOB CDO TUC (IVA INC)]]-Tabla1[[#This Row],[PRECIO REF $ BOLSA 50 KG CACTU (IVA INC)]])</f>
        <v>#VALUE!</v>
      </c>
      <c r="AL863" s="847" t="str">
        <f>IFERROR(Tabla1[[#This Row],[PRECIO $ BOLSA 50KG  FOB CDO TUC (IVA INC)]]/Tabla1[[#This Row],[PRECIO REF $ BOLSA 50 KG CACTU (IVA INC)]]-1,"")</f>
        <v/>
      </c>
      <c r="AM863" s="846" t="e">
        <f>+Tabla1[[#This Row],[DIF $ PRECIO NETO INDUSTRIA vs Neto TUCUMAN (IVA INC)]]*Tabla1[[#This Row],[Q Bolsas Equivalentes 50kg]]</f>
        <v>#VALUE!</v>
      </c>
      <c r="AN863" s="846" t="e">
        <f>Tabla1[[#This Row],[PRECIO REF $ BOLSA 50 KG CACTU (IVA INC)]]*Tabla1[[#This Row],[Q Bolsas Equivalentes 50kg]]</f>
        <v>#VALUE!</v>
      </c>
      <c r="AO863" s="846" t="e">
        <f>+Tabla1[[#This Row],[PRECIO $ BOLSA 50KG  FOB CDO TUC (IVA INC)]]*Tabla1[[#This Row],[Q Bolsas Equivalentes 50kg]]</f>
        <v>#VALUE!</v>
      </c>
      <c r="AP863" s="847"/>
      <c r="AQ863" s="846">
        <v>0</v>
      </c>
      <c r="AR863" s="828"/>
      <c r="AS863" s="849"/>
      <c r="AT863" s="923">
        <f>+Tabla1[[#This Row],[VENTA TOTAL $ (IVA INC) ]]-(SUM(Tabla1[[#This Row],[PENDIENTE DE ENTREGA]:[VALORES COBRADOS]]))</f>
        <v>0</v>
      </c>
      <c r="AU863" s="850" t="e">
        <f>VLOOKUP(Tabla1[[#This Row],[FECHA OC]],'TIPO DE CAMBIO'!A:B,2,TRUE)</f>
        <v>#N/A</v>
      </c>
      <c r="AV863" s="850" t="e">
        <f>+Tabla1[[#This Row],[SUBTOTAL]]/Tabla1[[#This Row],[TIPO DE CAMBIO]]</f>
        <v>#N/A</v>
      </c>
      <c r="AW863" s="851"/>
      <c r="AX863" s="850" t="str">
        <f>IFERROR(Tabla1[[#This Row],[VENTA TOTAL USD A PLAZO EN CLIENTE  (SIN IVA)]]*(1+Tabla1[[#This Row],[% IVA ]]),"")</f>
        <v/>
      </c>
      <c r="AY863" s="866" t="e">
        <f>+Tabla1[[#This Row],[VENTA TOTAL USD A PLAZO EN CLIENTE  (SIN IVA)]]/Tabla1[[#This Row],[KGS]]*1000</f>
        <v>#N/A</v>
      </c>
      <c r="AZ863" s="850" t="e">
        <f>-Tabla1[[#This Row],[COSTO FLETE $ POR BOLSA 5O KG (SIN IVA)]]*20/Tabla1[[#This Row],[TIPO DE CAMBIO]]</f>
        <v>#N/A</v>
      </c>
      <c r="BA863" s="850" t="e">
        <f>+Tabla1[[#This Row],[GASTOS FINANCIEROS $ BOLSA 50 KG (IVA INC)]]*20/Tabla1[[#This Row],[TIPO DE CAMBIO]]</f>
        <v>#VALUE!</v>
      </c>
      <c r="BB863" s="850" t="e">
        <f>+Tabla1[[#This Row],[PRECIO POR TN USD EN CLIENTE A PLAZO (SIN IVA)]]+Tabla1[[#This Row],[COSTO USD FLETE /TN (SIN IVA)]]+Tabla1[[#This Row],[COSTO FINANCIERO USD POR BOLSA 50KG (IVA INC)]]</f>
        <v>#N/A</v>
      </c>
      <c r="BC863" s="828"/>
      <c r="BD863" s="944"/>
    </row>
    <row r="864" spans="1:60" ht="15.75" customHeight="1">
      <c r="A864" s="912">
        <v>46447</v>
      </c>
      <c r="B864" s="853"/>
      <c r="C864" s="792"/>
      <c r="D864" s="829">
        <f>+Tabla1[[#This Row],[FECHA Entrega]]</f>
        <v>0</v>
      </c>
      <c r="E864" s="830"/>
      <c r="F864" s="831"/>
      <c r="G864" s="832"/>
      <c r="H864" s="852"/>
      <c r="I864" s="834"/>
      <c r="J864" s="835"/>
      <c r="K864" s="836">
        <f t="shared" si="163"/>
        <v>0</v>
      </c>
      <c r="L86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64" s="837">
        <f t="shared" si="162"/>
        <v>0</v>
      </c>
      <c r="N864" s="838">
        <f>+Tabla1[[#This Row],[VENTA TOTAL $ (IVA INC) ]]</f>
        <v>0</v>
      </c>
      <c r="O864" s="838">
        <v>0</v>
      </c>
      <c r="P864" s="838">
        <v>0</v>
      </c>
      <c r="Q864" s="839">
        <f>+Tabla1[[#This Row],[VENTA TOTAL $ (IVA INC) ]]</f>
        <v>0</v>
      </c>
      <c r="R864" s="840">
        <f>+Tabla1[[#This Row],[FECHA FC]]+Tabla1[[#This Row],[PLAZO ENTREGA VALORES]]</f>
        <v>0</v>
      </c>
      <c r="S864" s="840">
        <f>+Tabla1[[#This Row],[FECHA FC]]+Tabla1[[#This Row],[PLAZO PAGO (DIAS)]]</f>
        <v>0</v>
      </c>
      <c r="T864" s="834">
        <f t="shared" ca="1" si="164"/>
        <v>-46181</v>
      </c>
      <c r="U864" s="831"/>
      <c r="V864" s="831"/>
      <c r="W864" s="841">
        <f>+Tabla1[[#This Row],[FECHA VTO VALORES]]+7</f>
        <v>7</v>
      </c>
      <c r="X864" s="830"/>
      <c r="Y864" s="859"/>
      <c r="Z864" s="860">
        <f>Tabla1[[#This Row],[KGS]]/50</f>
        <v>0</v>
      </c>
      <c r="AA86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64" s="844">
        <f>-Tabla1[[#This Row],[COSTO FLETE $ POR BOLSA 5O KG (SIN IVA)]]*1.21-Tabla1[[#This Row],[PRECIO $/ KG A PLAZO EN CLIENTE ( SIN IVA)]]*0.003*1.21*50</f>
        <v>0</v>
      </c>
      <c r="AC864" s="845" t="e">
        <f>SUM(Tabla1[[#This Row],[PRECIO $ BOLSA 50 KG (IVA INC) ]]+Tabla1[[#This Row],[COSTO FLETE $ BOLSA 50 KG (IVA INC)]])</f>
        <v>#VALUE!</v>
      </c>
      <c r="AD864" s="844" t="e">
        <f>-Tabla1[[#This Row],[PRECIO $ BOLSA 50 KG (IVA INC) ]]*(Tabla1[[#This Row],[TASA FINANCIACION MENSUAL]]/365)*Tabla1[[#This Row],[PLAZO ENTREGA VALORES]]</f>
        <v>#VALUE!</v>
      </c>
      <c r="AE864" s="845" t="e">
        <f>SUM(Tabla1[[#This Row],[PRECIO $ BOLSA50 KG  FOB TUCUMAN A PLAZO (IVA INC)]]+Tabla1[[#This Row],[GASTOS FINANCIEROS $ BOLSA 50 KG (IVA INC)]])</f>
        <v>#VALUE!</v>
      </c>
      <c r="AF864" s="828"/>
      <c r="AG864" s="828"/>
      <c r="AH864" s="828"/>
      <c r="AI864" s="828"/>
      <c r="AJ86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64" s="846" t="e">
        <f>SUM(Tabla1[[#This Row],[PRECIO $ BOLSA 50KG  FOB CDO TUC (IVA INC)]]-Tabla1[[#This Row],[PRECIO REF $ BOLSA 50 KG CACTU (IVA INC)]])</f>
        <v>#VALUE!</v>
      </c>
      <c r="AL864" s="847" t="str">
        <f>IFERROR(Tabla1[[#This Row],[PRECIO $ BOLSA 50KG  FOB CDO TUC (IVA INC)]]/Tabla1[[#This Row],[PRECIO REF $ BOLSA 50 KG CACTU (IVA INC)]]-1,"")</f>
        <v/>
      </c>
      <c r="AM864" s="846" t="e">
        <f>+Tabla1[[#This Row],[DIF $ PRECIO NETO INDUSTRIA vs Neto TUCUMAN (IVA INC)]]*Tabla1[[#This Row],[Q Bolsas Equivalentes 50kg]]</f>
        <v>#VALUE!</v>
      </c>
      <c r="AN864" s="846" t="e">
        <f>Tabla1[[#This Row],[PRECIO REF $ BOLSA 50 KG CACTU (IVA INC)]]*Tabla1[[#This Row],[Q Bolsas Equivalentes 50kg]]</f>
        <v>#VALUE!</v>
      </c>
      <c r="AO864" s="846" t="e">
        <f>+Tabla1[[#This Row],[PRECIO $ BOLSA 50KG  FOB CDO TUC (IVA INC)]]*Tabla1[[#This Row],[Q Bolsas Equivalentes 50kg]]</f>
        <v>#VALUE!</v>
      </c>
      <c r="AP864" s="847"/>
      <c r="AQ864" s="846">
        <v>0</v>
      </c>
      <c r="AR864" s="828"/>
      <c r="AS864" s="849"/>
      <c r="AT864" s="923">
        <f>+Tabla1[[#This Row],[VENTA TOTAL $ (IVA INC) ]]-(SUM(Tabla1[[#This Row],[PENDIENTE DE ENTREGA]:[VALORES COBRADOS]]))</f>
        <v>0</v>
      </c>
      <c r="AU864" s="850" t="e">
        <f>VLOOKUP(Tabla1[[#This Row],[FECHA OC]],'TIPO DE CAMBIO'!A:B,2,TRUE)</f>
        <v>#N/A</v>
      </c>
      <c r="AV864" s="850" t="e">
        <f>+Tabla1[[#This Row],[SUBTOTAL]]/Tabla1[[#This Row],[TIPO DE CAMBIO]]</f>
        <v>#N/A</v>
      </c>
      <c r="AW864" s="851"/>
      <c r="AX864" s="850" t="str">
        <f>IFERROR(Tabla1[[#This Row],[VENTA TOTAL USD A PLAZO EN CLIENTE  (SIN IVA)]]*(1+Tabla1[[#This Row],[% IVA ]]),"")</f>
        <v/>
      </c>
      <c r="AY864" s="866" t="e">
        <f>+Tabla1[[#This Row],[VENTA TOTAL USD A PLAZO EN CLIENTE  (SIN IVA)]]/Tabla1[[#This Row],[KGS]]*1000</f>
        <v>#N/A</v>
      </c>
      <c r="AZ864" s="850" t="e">
        <f>-Tabla1[[#This Row],[COSTO FLETE $ POR BOLSA 5O KG (SIN IVA)]]*20/Tabla1[[#This Row],[TIPO DE CAMBIO]]</f>
        <v>#N/A</v>
      </c>
      <c r="BA864" s="850" t="e">
        <f>+Tabla1[[#This Row],[GASTOS FINANCIEROS $ BOLSA 50 KG (IVA INC)]]*20/Tabla1[[#This Row],[TIPO DE CAMBIO]]</f>
        <v>#VALUE!</v>
      </c>
      <c r="BB864" s="850" t="e">
        <f>+Tabla1[[#This Row],[PRECIO POR TN USD EN CLIENTE A PLAZO (SIN IVA)]]+Tabla1[[#This Row],[COSTO USD FLETE /TN (SIN IVA)]]+Tabla1[[#This Row],[COSTO FINANCIERO USD POR BOLSA 50KG (IVA INC)]]</f>
        <v>#N/A</v>
      </c>
      <c r="BC864" s="828"/>
      <c r="BD864" s="944"/>
    </row>
    <row r="865" spans="1:56" ht="15.75" customHeight="1">
      <c r="A865" s="912">
        <v>46478</v>
      </c>
      <c r="B865" s="853"/>
      <c r="C865" s="792"/>
      <c r="D865" s="829">
        <f>+Tabla1[[#This Row],[FECHA Entrega]]</f>
        <v>0</v>
      </c>
      <c r="E865" s="830"/>
      <c r="F865" s="831"/>
      <c r="G865" s="832"/>
      <c r="H865" s="852"/>
      <c r="I865" s="834"/>
      <c r="J865" s="835"/>
      <c r="K865" s="836">
        <f t="shared" si="163"/>
        <v>0</v>
      </c>
      <c r="L86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65" s="837">
        <f t="shared" ref="M865:M879" si="165">SUM(K865:L865)</f>
        <v>0</v>
      </c>
      <c r="N865" s="838">
        <f>+Tabla1[[#This Row],[VENTA TOTAL $ (IVA INC) ]]</f>
        <v>0</v>
      </c>
      <c r="O865" s="838">
        <v>0</v>
      </c>
      <c r="P865" s="838">
        <v>0</v>
      </c>
      <c r="Q865" s="839">
        <v>0</v>
      </c>
      <c r="R865" s="840">
        <f>+Tabla1[[#This Row],[FECHA FC]]+Tabla1[[#This Row],[PLAZO ENTREGA VALORES]]</f>
        <v>0</v>
      </c>
      <c r="S865" s="840">
        <f>+Tabla1[[#This Row],[FECHA FC]]+Tabla1[[#This Row],[PLAZO PAGO (DIAS)]]</f>
        <v>0</v>
      </c>
      <c r="T865" s="834">
        <f t="shared" ca="1" si="164"/>
        <v>-46181</v>
      </c>
      <c r="U865" s="831"/>
      <c r="V865" s="831"/>
      <c r="W865" s="841">
        <f>+Tabla1[[#This Row],[FECHA VTO VALORES]]+7</f>
        <v>7</v>
      </c>
      <c r="X865" s="830"/>
      <c r="Y865" s="859"/>
      <c r="Z865" s="860">
        <f>Tabla1[[#This Row],[KGS]]/50</f>
        <v>0</v>
      </c>
      <c r="AA86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65" s="844">
        <f>-Tabla1[[#This Row],[COSTO FLETE $ POR BOLSA 5O KG (SIN IVA)]]*1.21-Tabla1[[#This Row],[PRECIO $/ KG A PLAZO EN CLIENTE ( SIN IVA)]]*0.003*1.21*50</f>
        <v>0</v>
      </c>
      <c r="AC865" s="845" t="e">
        <f>SUM(Tabla1[[#This Row],[PRECIO $ BOLSA 50 KG (IVA INC) ]]+Tabla1[[#This Row],[COSTO FLETE $ BOLSA 50 KG (IVA INC)]])</f>
        <v>#VALUE!</v>
      </c>
      <c r="AD865" s="844" t="e">
        <f>-Tabla1[[#This Row],[PRECIO $ BOLSA 50 KG (IVA INC) ]]*(Tabla1[[#This Row],[TASA FINANCIACION MENSUAL]]/365)*Tabla1[[#This Row],[PLAZO ENTREGA VALORES]]</f>
        <v>#VALUE!</v>
      </c>
      <c r="AE865" s="845" t="e">
        <f>SUM(Tabla1[[#This Row],[PRECIO $ BOLSA50 KG  FOB TUCUMAN A PLAZO (IVA INC)]]+Tabla1[[#This Row],[GASTOS FINANCIEROS $ BOLSA 50 KG (IVA INC)]])</f>
        <v>#VALUE!</v>
      </c>
      <c r="AF865" s="828"/>
      <c r="AG865" s="828"/>
      <c r="AH865" s="828"/>
      <c r="AI865" s="828"/>
      <c r="AJ86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65" s="846" t="e">
        <f>SUM(Tabla1[[#This Row],[PRECIO $ BOLSA 50KG  FOB CDO TUC (IVA INC)]]-Tabla1[[#This Row],[PRECIO REF $ BOLSA 50 KG CACTU (IVA INC)]])</f>
        <v>#VALUE!</v>
      </c>
      <c r="AL865" s="847" t="str">
        <f>IFERROR(Tabla1[[#This Row],[PRECIO $ BOLSA 50KG  FOB CDO TUC (IVA INC)]]/Tabla1[[#This Row],[PRECIO REF $ BOLSA 50 KG CACTU (IVA INC)]]-1,"")</f>
        <v/>
      </c>
      <c r="AM865" s="846" t="e">
        <f>+Tabla1[[#This Row],[DIF $ PRECIO NETO INDUSTRIA vs Neto TUCUMAN (IVA INC)]]*Tabla1[[#This Row],[Q Bolsas Equivalentes 50kg]]</f>
        <v>#VALUE!</v>
      </c>
      <c r="AN865" s="846" t="e">
        <f>Tabla1[[#This Row],[PRECIO REF $ BOLSA 50 KG CACTU (IVA INC)]]*Tabla1[[#This Row],[Q Bolsas Equivalentes 50kg]]</f>
        <v>#VALUE!</v>
      </c>
      <c r="AO865" s="846" t="e">
        <f>+Tabla1[[#This Row],[PRECIO $ BOLSA 50KG  FOB CDO TUC (IVA INC)]]*Tabla1[[#This Row],[Q Bolsas Equivalentes 50kg]]</f>
        <v>#VALUE!</v>
      </c>
      <c r="AP865" s="847"/>
      <c r="AQ865" s="846">
        <v>0</v>
      </c>
      <c r="AR865" s="828"/>
      <c r="AS865" s="849"/>
      <c r="AT865" s="923">
        <f>+Tabla1[[#This Row],[VENTA TOTAL $ (IVA INC) ]]-(SUM(Tabla1[[#This Row],[PENDIENTE DE ENTREGA]:[VALORES COBRADOS]]))</f>
        <v>0</v>
      </c>
      <c r="AU865" s="850" t="e">
        <f>VLOOKUP(Tabla1[[#This Row],[FECHA OC]],'TIPO DE CAMBIO'!A:B,2,TRUE)</f>
        <v>#N/A</v>
      </c>
      <c r="AV865" s="850" t="e">
        <f>+Tabla1[[#This Row],[SUBTOTAL]]/Tabla1[[#This Row],[TIPO DE CAMBIO]]</f>
        <v>#N/A</v>
      </c>
      <c r="AW865" s="851"/>
      <c r="AX865" s="850" t="str">
        <f>IFERROR(Tabla1[[#This Row],[VENTA TOTAL USD A PLAZO EN CLIENTE  (SIN IVA)]]*(1+Tabla1[[#This Row],[% IVA ]]),"")</f>
        <v/>
      </c>
      <c r="AY865" s="866" t="e">
        <f>+Tabla1[[#This Row],[VENTA TOTAL USD A PLAZO EN CLIENTE  (SIN IVA)]]/Tabla1[[#This Row],[KGS]]*1000</f>
        <v>#N/A</v>
      </c>
      <c r="AZ865" s="850" t="e">
        <f>-Tabla1[[#This Row],[COSTO FLETE $ POR BOLSA 5O KG (SIN IVA)]]*20/Tabla1[[#This Row],[TIPO DE CAMBIO]]</f>
        <v>#N/A</v>
      </c>
      <c r="BA865" s="850" t="e">
        <f>+Tabla1[[#This Row],[GASTOS FINANCIEROS $ BOLSA 50 KG (IVA INC)]]*20/Tabla1[[#This Row],[TIPO DE CAMBIO]]</f>
        <v>#VALUE!</v>
      </c>
      <c r="BB865" s="850" t="e">
        <f>+Tabla1[[#This Row],[PRECIO POR TN USD EN CLIENTE A PLAZO (SIN IVA)]]+Tabla1[[#This Row],[COSTO USD FLETE /TN (SIN IVA)]]+Tabla1[[#This Row],[COSTO FINANCIERO USD POR BOLSA 50KG (IVA INC)]]</f>
        <v>#N/A</v>
      </c>
      <c r="BC865" s="828"/>
      <c r="BD865" s="944"/>
    </row>
    <row r="866" spans="1:56" ht="15.75" customHeight="1">
      <c r="A866" s="912">
        <v>46478</v>
      </c>
      <c r="B866" s="853"/>
      <c r="C866" s="792"/>
      <c r="D866" s="829">
        <f>+Tabla1[[#This Row],[FECHA Entrega]]</f>
        <v>0</v>
      </c>
      <c r="E866" s="830"/>
      <c r="F866" s="831"/>
      <c r="G866" s="832"/>
      <c r="H866" s="852"/>
      <c r="I866" s="834"/>
      <c r="J866" s="835"/>
      <c r="K866" s="836">
        <f t="shared" ref="K866:K871" si="166">+J866*I866</f>
        <v>0</v>
      </c>
      <c r="L86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66" s="837">
        <f t="shared" si="165"/>
        <v>0</v>
      </c>
      <c r="N866" s="838">
        <f>+Tabla1[[#This Row],[VENTA TOTAL $ (IVA INC) ]]</f>
        <v>0</v>
      </c>
      <c r="O866" s="838">
        <v>0</v>
      </c>
      <c r="P866" s="838">
        <v>0</v>
      </c>
      <c r="Q866" s="839">
        <v>0</v>
      </c>
      <c r="R866" s="840">
        <f>+Tabla1[[#This Row],[FECHA FC]]+Tabla1[[#This Row],[PLAZO ENTREGA VALORES]]</f>
        <v>0</v>
      </c>
      <c r="S866" s="840">
        <f>+Tabla1[[#This Row],[FECHA FC]]+Tabla1[[#This Row],[PLAZO PAGO (DIAS)]]</f>
        <v>0</v>
      </c>
      <c r="T866" s="834">
        <f t="shared" ref="T866:T871" ca="1" si="167">+S866-$U$2</f>
        <v>-46181</v>
      </c>
      <c r="U866" s="831"/>
      <c r="V866" s="831"/>
      <c r="W866" s="841">
        <f>+Tabla1[[#This Row],[FECHA VTO VALORES]]+7</f>
        <v>7</v>
      </c>
      <c r="X866" s="830"/>
      <c r="Y866" s="859"/>
      <c r="Z866" s="860">
        <f>Tabla1[[#This Row],[KGS]]/50</f>
        <v>0</v>
      </c>
      <c r="AA86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66" s="844">
        <f>-Tabla1[[#This Row],[COSTO FLETE $ POR BOLSA 5O KG (SIN IVA)]]*1.21-Tabla1[[#This Row],[PRECIO $/ KG A PLAZO EN CLIENTE ( SIN IVA)]]*0.003*1.21*50</f>
        <v>0</v>
      </c>
      <c r="AC866" s="845" t="e">
        <f>SUM(Tabla1[[#This Row],[PRECIO $ BOLSA 50 KG (IVA INC) ]]+Tabla1[[#This Row],[COSTO FLETE $ BOLSA 50 KG (IVA INC)]])</f>
        <v>#VALUE!</v>
      </c>
      <c r="AD866" s="844" t="e">
        <f>-Tabla1[[#This Row],[PRECIO $ BOLSA 50 KG (IVA INC) ]]*(Tabla1[[#This Row],[TASA FINANCIACION MENSUAL]]/365)*Tabla1[[#This Row],[PLAZO ENTREGA VALORES]]</f>
        <v>#VALUE!</v>
      </c>
      <c r="AE866" s="845" t="e">
        <f>SUM(Tabla1[[#This Row],[PRECIO $ BOLSA50 KG  FOB TUCUMAN A PLAZO (IVA INC)]]+Tabla1[[#This Row],[GASTOS FINANCIEROS $ BOLSA 50 KG (IVA INC)]])</f>
        <v>#VALUE!</v>
      </c>
      <c r="AF866" s="828"/>
      <c r="AG866" s="828"/>
      <c r="AH866" s="828"/>
      <c r="AI866" s="828"/>
      <c r="AJ86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66" s="846" t="e">
        <f>SUM(Tabla1[[#This Row],[PRECIO $ BOLSA 50KG  FOB CDO TUC (IVA INC)]]-Tabla1[[#This Row],[PRECIO REF $ BOLSA 50 KG CACTU (IVA INC)]])</f>
        <v>#VALUE!</v>
      </c>
      <c r="AL866" s="847" t="str">
        <f>IFERROR(Tabla1[[#This Row],[PRECIO $ BOLSA 50KG  FOB CDO TUC (IVA INC)]]/Tabla1[[#This Row],[PRECIO REF $ BOLSA 50 KG CACTU (IVA INC)]]-1,"")</f>
        <v/>
      </c>
      <c r="AM866" s="846" t="e">
        <f>+Tabla1[[#This Row],[DIF $ PRECIO NETO INDUSTRIA vs Neto TUCUMAN (IVA INC)]]*Tabla1[[#This Row],[Q Bolsas Equivalentes 50kg]]</f>
        <v>#VALUE!</v>
      </c>
      <c r="AN866" s="846" t="e">
        <f>Tabla1[[#This Row],[PRECIO REF $ BOLSA 50 KG CACTU (IVA INC)]]*Tabla1[[#This Row],[Q Bolsas Equivalentes 50kg]]</f>
        <v>#VALUE!</v>
      </c>
      <c r="AO866" s="846" t="e">
        <f>+Tabla1[[#This Row],[PRECIO $ BOLSA 50KG  FOB CDO TUC (IVA INC)]]*Tabla1[[#This Row],[Q Bolsas Equivalentes 50kg]]</f>
        <v>#VALUE!</v>
      </c>
      <c r="AP866" s="847"/>
      <c r="AQ866" s="846">
        <v>0</v>
      </c>
      <c r="AR866" s="828"/>
      <c r="AS866" s="849"/>
      <c r="AT866" s="923">
        <f>+Tabla1[[#This Row],[VENTA TOTAL $ (IVA INC) ]]-(SUM(Tabla1[[#This Row],[PENDIENTE DE ENTREGA]:[VALORES COBRADOS]]))</f>
        <v>0</v>
      </c>
      <c r="AU866" s="850" t="e">
        <f>VLOOKUP(Tabla1[[#This Row],[FECHA OC]],'TIPO DE CAMBIO'!A:B,2,TRUE)</f>
        <v>#N/A</v>
      </c>
      <c r="AV866" s="850" t="e">
        <f>+Tabla1[[#This Row],[SUBTOTAL]]/Tabla1[[#This Row],[TIPO DE CAMBIO]]</f>
        <v>#N/A</v>
      </c>
      <c r="AW866" s="851"/>
      <c r="AX866" s="850" t="str">
        <f>IFERROR(Tabla1[[#This Row],[VENTA TOTAL USD A PLAZO EN CLIENTE  (SIN IVA)]]*(1+Tabla1[[#This Row],[% IVA ]]),"")</f>
        <v/>
      </c>
      <c r="AY866" s="866" t="e">
        <f>+Tabla1[[#This Row],[VENTA TOTAL USD A PLAZO EN CLIENTE  (SIN IVA)]]/Tabla1[[#This Row],[KGS]]*1000</f>
        <v>#N/A</v>
      </c>
      <c r="AZ866" s="850" t="e">
        <f>-Tabla1[[#This Row],[COSTO FLETE $ POR BOLSA 5O KG (SIN IVA)]]*20/Tabla1[[#This Row],[TIPO DE CAMBIO]]</f>
        <v>#N/A</v>
      </c>
      <c r="BA866" s="850" t="e">
        <f>+Tabla1[[#This Row],[GASTOS FINANCIEROS $ BOLSA 50 KG (IVA INC)]]*20/Tabla1[[#This Row],[TIPO DE CAMBIO]]</f>
        <v>#VALUE!</v>
      </c>
      <c r="BB866" s="850" t="e">
        <f>+Tabla1[[#This Row],[PRECIO POR TN USD EN CLIENTE A PLAZO (SIN IVA)]]+Tabla1[[#This Row],[COSTO USD FLETE /TN (SIN IVA)]]+Tabla1[[#This Row],[COSTO FINANCIERO USD POR BOLSA 50KG (IVA INC)]]</f>
        <v>#N/A</v>
      </c>
      <c r="BC866" s="828"/>
      <c r="BD866" s="944"/>
    </row>
    <row r="867" spans="1:56" ht="15.75" customHeight="1">
      <c r="A867" s="912">
        <v>46478</v>
      </c>
      <c r="B867" s="853"/>
      <c r="C867" s="792"/>
      <c r="D867" s="829">
        <f>+Tabla1[[#This Row],[FECHA Entrega]]</f>
        <v>0</v>
      </c>
      <c r="E867" s="830"/>
      <c r="F867" s="831"/>
      <c r="G867" s="832"/>
      <c r="H867" s="852"/>
      <c r="I867" s="834"/>
      <c r="J867" s="835"/>
      <c r="K867" s="836">
        <f t="shared" si="166"/>
        <v>0</v>
      </c>
      <c r="L86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67" s="837">
        <f t="shared" si="165"/>
        <v>0</v>
      </c>
      <c r="N867" s="838">
        <f>+Tabla1[[#This Row],[VENTA TOTAL $ (IVA INC) ]]</f>
        <v>0</v>
      </c>
      <c r="O867" s="838">
        <v>0</v>
      </c>
      <c r="P867" s="838">
        <v>0</v>
      </c>
      <c r="Q867" s="839">
        <v>0</v>
      </c>
      <c r="R867" s="840">
        <f>+Tabla1[[#This Row],[FECHA FC]]+Tabla1[[#This Row],[PLAZO ENTREGA VALORES]]</f>
        <v>0</v>
      </c>
      <c r="S867" s="840">
        <f>+Tabla1[[#This Row],[FECHA FC]]+Tabla1[[#This Row],[PLAZO PAGO (DIAS)]]</f>
        <v>0</v>
      </c>
      <c r="T867" s="834">
        <f t="shared" ca="1" si="167"/>
        <v>-46181</v>
      </c>
      <c r="U867" s="831"/>
      <c r="V867" s="831"/>
      <c r="W867" s="841">
        <f>+Tabla1[[#This Row],[FECHA VTO VALORES]]+7</f>
        <v>7</v>
      </c>
      <c r="X867" s="830"/>
      <c r="Y867" s="859"/>
      <c r="Z867" s="860">
        <f>Tabla1[[#This Row],[KGS]]/50</f>
        <v>0</v>
      </c>
      <c r="AA86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67" s="844">
        <f>-Tabla1[[#This Row],[COSTO FLETE $ POR BOLSA 5O KG (SIN IVA)]]*1.21-Tabla1[[#This Row],[PRECIO $/ KG A PLAZO EN CLIENTE ( SIN IVA)]]*0.003*1.21*50</f>
        <v>0</v>
      </c>
      <c r="AC867" s="845" t="e">
        <f>SUM(Tabla1[[#This Row],[PRECIO $ BOLSA 50 KG (IVA INC) ]]+Tabla1[[#This Row],[COSTO FLETE $ BOLSA 50 KG (IVA INC)]])</f>
        <v>#VALUE!</v>
      </c>
      <c r="AD867" s="844" t="e">
        <f>-Tabla1[[#This Row],[PRECIO $ BOLSA 50 KG (IVA INC) ]]*(Tabla1[[#This Row],[TASA FINANCIACION MENSUAL]]/365)*Tabla1[[#This Row],[PLAZO ENTREGA VALORES]]</f>
        <v>#VALUE!</v>
      </c>
      <c r="AE867" s="845" t="e">
        <f>SUM(Tabla1[[#This Row],[PRECIO $ BOLSA50 KG  FOB TUCUMAN A PLAZO (IVA INC)]]+Tabla1[[#This Row],[GASTOS FINANCIEROS $ BOLSA 50 KG (IVA INC)]])</f>
        <v>#VALUE!</v>
      </c>
      <c r="AF867" s="828"/>
      <c r="AG867" s="828"/>
      <c r="AH867" s="828"/>
      <c r="AI867" s="828"/>
      <c r="AJ86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67" s="846" t="e">
        <f>SUM(Tabla1[[#This Row],[PRECIO $ BOLSA 50KG  FOB CDO TUC (IVA INC)]]-Tabla1[[#This Row],[PRECIO REF $ BOLSA 50 KG CACTU (IVA INC)]])</f>
        <v>#VALUE!</v>
      </c>
      <c r="AL867" s="847" t="str">
        <f>IFERROR(Tabla1[[#This Row],[PRECIO $ BOLSA 50KG  FOB CDO TUC (IVA INC)]]/Tabla1[[#This Row],[PRECIO REF $ BOLSA 50 KG CACTU (IVA INC)]]-1,"")</f>
        <v/>
      </c>
      <c r="AM867" s="846" t="e">
        <f>+Tabla1[[#This Row],[DIF $ PRECIO NETO INDUSTRIA vs Neto TUCUMAN (IVA INC)]]*Tabla1[[#This Row],[Q Bolsas Equivalentes 50kg]]</f>
        <v>#VALUE!</v>
      </c>
      <c r="AN867" s="846" t="e">
        <f>Tabla1[[#This Row],[PRECIO REF $ BOLSA 50 KG CACTU (IVA INC)]]*Tabla1[[#This Row],[Q Bolsas Equivalentes 50kg]]</f>
        <v>#VALUE!</v>
      </c>
      <c r="AO867" s="846" t="e">
        <f>+Tabla1[[#This Row],[PRECIO $ BOLSA 50KG  FOB CDO TUC (IVA INC)]]*Tabla1[[#This Row],[Q Bolsas Equivalentes 50kg]]</f>
        <v>#VALUE!</v>
      </c>
      <c r="AP867" s="847"/>
      <c r="AQ867" s="846">
        <v>0</v>
      </c>
      <c r="AR867" s="828"/>
      <c r="AS867" s="849"/>
      <c r="AT867" s="923">
        <f>+Tabla1[[#This Row],[VENTA TOTAL $ (IVA INC) ]]-(SUM(Tabla1[[#This Row],[PENDIENTE DE ENTREGA]:[VALORES COBRADOS]]))</f>
        <v>0</v>
      </c>
      <c r="AU867" s="850" t="e">
        <f>VLOOKUP(Tabla1[[#This Row],[FECHA OC]],'TIPO DE CAMBIO'!A:B,2,TRUE)</f>
        <v>#N/A</v>
      </c>
      <c r="AV867" s="850" t="e">
        <f>+Tabla1[[#This Row],[SUBTOTAL]]/Tabla1[[#This Row],[TIPO DE CAMBIO]]</f>
        <v>#N/A</v>
      </c>
      <c r="AW867" s="851"/>
      <c r="AX867" s="850" t="str">
        <f>IFERROR(Tabla1[[#This Row],[VENTA TOTAL USD A PLAZO EN CLIENTE  (SIN IVA)]]*(1+Tabla1[[#This Row],[% IVA ]]),"")</f>
        <v/>
      </c>
      <c r="AY867" s="866" t="e">
        <f>+Tabla1[[#This Row],[VENTA TOTAL USD A PLAZO EN CLIENTE  (SIN IVA)]]/Tabla1[[#This Row],[KGS]]*1000</f>
        <v>#N/A</v>
      </c>
      <c r="AZ867" s="850" t="e">
        <f>-Tabla1[[#This Row],[COSTO FLETE $ POR BOLSA 5O KG (SIN IVA)]]*20/Tabla1[[#This Row],[TIPO DE CAMBIO]]</f>
        <v>#N/A</v>
      </c>
      <c r="BA867" s="850" t="e">
        <f>+Tabla1[[#This Row],[GASTOS FINANCIEROS $ BOLSA 50 KG (IVA INC)]]*20/Tabla1[[#This Row],[TIPO DE CAMBIO]]</f>
        <v>#VALUE!</v>
      </c>
      <c r="BB867" s="850" t="e">
        <f>+Tabla1[[#This Row],[PRECIO POR TN USD EN CLIENTE A PLAZO (SIN IVA)]]+Tabla1[[#This Row],[COSTO USD FLETE /TN (SIN IVA)]]+Tabla1[[#This Row],[COSTO FINANCIERO USD POR BOLSA 50KG (IVA INC)]]</f>
        <v>#N/A</v>
      </c>
      <c r="BC867" s="828"/>
      <c r="BD867" s="944"/>
    </row>
    <row r="868" spans="1:56" ht="15.75" customHeight="1">
      <c r="A868" s="912">
        <v>46478</v>
      </c>
      <c r="B868" s="853"/>
      <c r="C868" s="792"/>
      <c r="D868" s="829">
        <f>+Tabla1[[#This Row],[FECHA Entrega]]</f>
        <v>0</v>
      </c>
      <c r="E868" s="830"/>
      <c r="F868" s="831"/>
      <c r="G868" s="832"/>
      <c r="H868" s="852"/>
      <c r="I868" s="834"/>
      <c r="J868" s="835"/>
      <c r="K868" s="836">
        <f t="shared" si="166"/>
        <v>0</v>
      </c>
      <c r="L86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68" s="837">
        <f t="shared" si="165"/>
        <v>0</v>
      </c>
      <c r="N868" s="838">
        <f>+Tabla1[[#This Row],[VENTA TOTAL $ (IVA INC) ]]</f>
        <v>0</v>
      </c>
      <c r="O868" s="838">
        <v>0</v>
      </c>
      <c r="P868" s="838">
        <v>0</v>
      </c>
      <c r="Q868" s="839">
        <v>0</v>
      </c>
      <c r="R868" s="840">
        <f>+Tabla1[[#This Row],[FECHA FC]]+Tabla1[[#This Row],[PLAZO ENTREGA VALORES]]</f>
        <v>0</v>
      </c>
      <c r="S868" s="840">
        <f>+Tabla1[[#This Row],[FECHA FC]]+Tabla1[[#This Row],[PLAZO PAGO (DIAS)]]</f>
        <v>0</v>
      </c>
      <c r="T868" s="834">
        <f t="shared" ca="1" si="167"/>
        <v>-46181</v>
      </c>
      <c r="U868" s="831"/>
      <c r="V868" s="831"/>
      <c r="W868" s="841">
        <f>+Tabla1[[#This Row],[FECHA VTO VALORES]]+7</f>
        <v>7</v>
      </c>
      <c r="X868" s="830"/>
      <c r="Y868" s="859"/>
      <c r="Z868" s="860">
        <f>Tabla1[[#This Row],[KGS]]/50</f>
        <v>0</v>
      </c>
      <c r="AA86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68" s="844">
        <f>-Tabla1[[#This Row],[COSTO FLETE $ POR BOLSA 5O KG (SIN IVA)]]*1.21-Tabla1[[#This Row],[PRECIO $/ KG A PLAZO EN CLIENTE ( SIN IVA)]]*0.003*1.21*50</f>
        <v>0</v>
      </c>
      <c r="AC868" s="845" t="e">
        <f>SUM(Tabla1[[#This Row],[PRECIO $ BOLSA 50 KG (IVA INC) ]]+Tabla1[[#This Row],[COSTO FLETE $ BOLSA 50 KG (IVA INC)]])</f>
        <v>#VALUE!</v>
      </c>
      <c r="AD868" s="844" t="e">
        <f>-Tabla1[[#This Row],[PRECIO $ BOLSA 50 KG (IVA INC) ]]*(Tabla1[[#This Row],[TASA FINANCIACION MENSUAL]]/365)*Tabla1[[#This Row],[PLAZO ENTREGA VALORES]]</f>
        <v>#VALUE!</v>
      </c>
      <c r="AE868" s="845" t="e">
        <f>SUM(Tabla1[[#This Row],[PRECIO $ BOLSA50 KG  FOB TUCUMAN A PLAZO (IVA INC)]]+Tabla1[[#This Row],[GASTOS FINANCIEROS $ BOLSA 50 KG (IVA INC)]])</f>
        <v>#VALUE!</v>
      </c>
      <c r="AF868" s="828"/>
      <c r="AG868" s="828"/>
      <c r="AH868" s="828"/>
      <c r="AI868" s="828"/>
      <c r="AJ86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68" s="846" t="e">
        <f>SUM(Tabla1[[#This Row],[PRECIO $ BOLSA 50KG  FOB CDO TUC (IVA INC)]]-Tabla1[[#This Row],[PRECIO REF $ BOLSA 50 KG CACTU (IVA INC)]])</f>
        <v>#VALUE!</v>
      </c>
      <c r="AL868" s="847" t="str">
        <f>IFERROR(Tabla1[[#This Row],[PRECIO $ BOLSA 50KG  FOB CDO TUC (IVA INC)]]/Tabla1[[#This Row],[PRECIO REF $ BOLSA 50 KG CACTU (IVA INC)]]-1,"")</f>
        <v/>
      </c>
      <c r="AM868" s="846" t="e">
        <f>+Tabla1[[#This Row],[DIF $ PRECIO NETO INDUSTRIA vs Neto TUCUMAN (IVA INC)]]*Tabla1[[#This Row],[Q Bolsas Equivalentes 50kg]]</f>
        <v>#VALUE!</v>
      </c>
      <c r="AN868" s="846" t="e">
        <f>Tabla1[[#This Row],[PRECIO REF $ BOLSA 50 KG CACTU (IVA INC)]]*Tabla1[[#This Row],[Q Bolsas Equivalentes 50kg]]</f>
        <v>#VALUE!</v>
      </c>
      <c r="AO868" s="846" t="e">
        <f>+Tabla1[[#This Row],[PRECIO $ BOLSA 50KG  FOB CDO TUC (IVA INC)]]*Tabla1[[#This Row],[Q Bolsas Equivalentes 50kg]]</f>
        <v>#VALUE!</v>
      </c>
      <c r="AP868" s="847"/>
      <c r="AQ868" s="846">
        <v>0</v>
      </c>
      <c r="AR868" s="828"/>
      <c r="AS868" s="849"/>
      <c r="AT868" s="923">
        <f>+Tabla1[[#This Row],[VENTA TOTAL $ (IVA INC) ]]-(SUM(Tabla1[[#This Row],[PENDIENTE DE ENTREGA]:[VALORES COBRADOS]]))</f>
        <v>0</v>
      </c>
      <c r="AU868" s="850" t="e">
        <f>VLOOKUP(Tabla1[[#This Row],[FECHA OC]],'TIPO DE CAMBIO'!A:B,2,TRUE)</f>
        <v>#N/A</v>
      </c>
      <c r="AV868" s="850" t="e">
        <f>+Tabla1[[#This Row],[SUBTOTAL]]/Tabla1[[#This Row],[TIPO DE CAMBIO]]</f>
        <v>#N/A</v>
      </c>
      <c r="AW868" s="851"/>
      <c r="AX868" s="850" t="str">
        <f>IFERROR(Tabla1[[#This Row],[VENTA TOTAL USD A PLAZO EN CLIENTE  (SIN IVA)]]*(1+Tabla1[[#This Row],[% IVA ]]),"")</f>
        <v/>
      </c>
      <c r="AY868" s="866" t="e">
        <f>+Tabla1[[#This Row],[VENTA TOTAL USD A PLAZO EN CLIENTE  (SIN IVA)]]/Tabla1[[#This Row],[KGS]]*1000</f>
        <v>#N/A</v>
      </c>
      <c r="AZ868" s="850" t="e">
        <f>-Tabla1[[#This Row],[COSTO FLETE $ POR BOLSA 5O KG (SIN IVA)]]*20/Tabla1[[#This Row],[TIPO DE CAMBIO]]</f>
        <v>#N/A</v>
      </c>
      <c r="BA868" s="850" t="e">
        <f>+Tabla1[[#This Row],[GASTOS FINANCIEROS $ BOLSA 50 KG (IVA INC)]]*20/Tabla1[[#This Row],[TIPO DE CAMBIO]]</f>
        <v>#VALUE!</v>
      </c>
      <c r="BB868" s="850" t="e">
        <f>+Tabla1[[#This Row],[PRECIO POR TN USD EN CLIENTE A PLAZO (SIN IVA)]]+Tabla1[[#This Row],[COSTO USD FLETE /TN (SIN IVA)]]+Tabla1[[#This Row],[COSTO FINANCIERO USD POR BOLSA 50KG (IVA INC)]]</f>
        <v>#N/A</v>
      </c>
      <c r="BC868" s="828"/>
      <c r="BD868" s="944"/>
    </row>
    <row r="869" spans="1:56" ht="15.75" customHeight="1">
      <c r="A869" s="912">
        <v>46478</v>
      </c>
      <c r="B869" s="853"/>
      <c r="C869" s="792"/>
      <c r="D869" s="829">
        <f>+Tabla1[[#This Row],[FECHA Entrega]]</f>
        <v>0</v>
      </c>
      <c r="E869" s="830"/>
      <c r="F869" s="831"/>
      <c r="G869" s="832"/>
      <c r="H869" s="852"/>
      <c r="I869" s="834"/>
      <c r="J869" s="835"/>
      <c r="K869" s="836">
        <f t="shared" si="166"/>
        <v>0</v>
      </c>
      <c r="L86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69" s="837">
        <f t="shared" si="165"/>
        <v>0</v>
      </c>
      <c r="N869" s="838">
        <f>+Tabla1[[#This Row],[VENTA TOTAL $ (IVA INC) ]]</f>
        <v>0</v>
      </c>
      <c r="O869" s="838">
        <v>0</v>
      </c>
      <c r="P869" s="838">
        <v>0</v>
      </c>
      <c r="Q869" s="839">
        <v>0</v>
      </c>
      <c r="R869" s="840">
        <f>+Tabla1[[#This Row],[FECHA FC]]+Tabla1[[#This Row],[PLAZO ENTREGA VALORES]]</f>
        <v>0</v>
      </c>
      <c r="S869" s="840">
        <f>+Tabla1[[#This Row],[FECHA FC]]+Tabla1[[#This Row],[PLAZO PAGO (DIAS)]]</f>
        <v>0</v>
      </c>
      <c r="T869" s="834">
        <f t="shared" ca="1" si="167"/>
        <v>-46181</v>
      </c>
      <c r="U869" s="831"/>
      <c r="V869" s="831"/>
      <c r="W869" s="841">
        <f>+Tabla1[[#This Row],[FECHA VTO VALORES]]+7</f>
        <v>7</v>
      </c>
      <c r="X869" s="830"/>
      <c r="Y869" s="859"/>
      <c r="Z869" s="860">
        <f>Tabla1[[#This Row],[KGS]]/50</f>
        <v>0</v>
      </c>
      <c r="AA86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69" s="844">
        <f>-Tabla1[[#This Row],[COSTO FLETE $ POR BOLSA 5O KG (SIN IVA)]]*1.21-Tabla1[[#This Row],[PRECIO $/ KG A PLAZO EN CLIENTE ( SIN IVA)]]*0.003*1.21*50</f>
        <v>0</v>
      </c>
      <c r="AC869" s="845" t="e">
        <f>SUM(Tabla1[[#This Row],[PRECIO $ BOLSA 50 KG (IVA INC) ]]+Tabla1[[#This Row],[COSTO FLETE $ BOLSA 50 KG (IVA INC)]])</f>
        <v>#VALUE!</v>
      </c>
      <c r="AD869" s="844" t="e">
        <f>-Tabla1[[#This Row],[PRECIO $ BOLSA 50 KG (IVA INC) ]]*(Tabla1[[#This Row],[TASA FINANCIACION MENSUAL]]/365)*Tabla1[[#This Row],[PLAZO ENTREGA VALORES]]</f>
        <v>#VALUE!</v>
      </c>
      <c r="AE869" s="845" t="e">
        <f>SUM(Tabla1[[#This Row],[PRECIO $ BOLSA50 KG  FOB TUCUMAN A PLAZO (IVA INC)]]+Tabla1[[#This Row],[GASTOS FINANCIEROS $ BOLSA 50 KG (IVA INC)]])</f>
        <v>#VALUE!</v>
      </c>
      <c r="AF869" s="828"/>
      <c r="AG869" s="828"/>
      <c r="AH869" s="828"/>
      <c r="AI869" s="828"/>
      <c r="AJ86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69" s="846" t="e">
        <f>SUM(Tabla1[[#This Row],[PRECIO $ BOLSA 50KG  FOB CDO TUC (IVA INC)]]-Tabla1[[#This Row],[PRECIO REF $ BOLSA 50 KG CACTU (IVA INC)]])</f>
        <v>#VALUE!</v>
      </c>
      <c r="AL869" s="847" t="str">
        <f>IFERROR(Tabla1[[#This Row],[PRECIO $ BOLSA 50KG  FOB CDO TUC (IVA INC)]]/Tabla1[[#This Row],[PRECIO REF $ BOLSA 50 KG CACTU (IVA INC)]]-1,"")</f>
        <v/>
      </c>
      <c r="AM869" s="846" t="e">
        <f>+Tabla1[[#This Row],[DIF $ PRECIO NETO INDUSTRIA vs Neto TUCUMAN (IVA INC)]]*Tabla1[[#This Row],[Q Bolsas Equivalentes 50kg]]</f>
        <v>#VALUE!</v>
      </c>
      <c r="AN869" s="846" t="e">
        <f>Tabla1[[#This Row],[PRECIO REF $ BOLSA 50 KG CACTU (IVA INC)]]*Tabla1[[#This Row],[Q Bolsas Equivalentes 50kg]]</f>
        <v>#VALUE!</v>
      </c>
      <c r="AO869" s="846" t="e">
        <f>+Tabla1[[#This Row],[PRECIO $ BOLSA 50KG  FOB CDO TUC (IVA INC)]]*Tabla1[[#This Row],[Q Bolsas Equivalentes 50kg]]</f>
        <v>#VALUE!</v>
      </c>
      <c r="AP869" s="847"/>
      <c r="AQ869" s="846">
        <v>0</v>
      </c>
      <c r="AR869" s="828"/>
      <c r="AS869" s="849"/>
      <c r="AT869" s="923">
        <f>+Tabla1[[#This Row],[VENTA TOTAL $ (IVA INC) ]]-(SUM(Tabla1[[#This Row],[PENDIENTE DE ENTREGA]:[VALORES COBRADOS]]))</f>
        <v>0</v>
      </c>
      <c r="AU869" s="850" t="e">
        <f>VLOOKUP(Tabla1[[#This Row],[FECHA OC]],'TIPO DE CAMBIO'!A:B,2,TRUE)</f>
        <v>#N/A</v>
      </c>
      <c r="AV869" s="850" t="e">
        <f>+Tabla1[[#This Row],[SUBTOTAL]]/Tabla1[[#This Row],[TIPO DE CAMBIO]]</f>
        <v>#N/A</v>
      </c>
      <c r="AW869" s="851"/>
      <c r="AX869" s="850" t="str">
        <f>IFERROR(Tabla1[[#This Row],[VENTA TOTAL USD A PLAZO EN CLIENTE  (SIN IVA)]]*(1+Tabla1[[#This Row],[% IVA ]]),"")</f>
        <v/>
      </c>
      <c r="AY869" s="866" t="e">
        <f>+Tabla1[[#This Row],[VENTA TOTAL USD A PLAZO EN CLIENTE  (SIN IVA)]]/Tabla1[[#This Row],[KGS]]*1000</f>
        <v>#N/A</v>
      </c>
      <c r="AZ869" s="850" t="e">
        <f>-Tabla1[[#This Row],[COSTO FLETE $ POR BOLSA 5O KG (SIN IVA)]]*20/Tabla1[[#This Row],[TIPO DE CAMBIO]]</f>
        <v>#N/A</v>
      </c>
      <c r="BA869" s="850" t="e">
        <f>+Tabla1[[#This Row],[GASTOS FINANCIEROS $ BOLSA 50 KG (IVA INC)]]*20/Tabla1[[#This Row],[TIPO DE CAMBIO]]</f>
        <v>#VALUE!</v>
      </c>
      <c r="BB869" s="850" t="e">
        <f>+Tabla1[[#This Row],[PRECIO POR TN USD EN CLIENTE A PLAZO (SIN IVA)]]+Tabla1[[#This Row],[COSTO USD FLETE /TN (SIN IVA)]]+Tabla1[[#This Row],[COSTO FINANCIERO USD POR BOLSA 50KG (IVA INC)]]</f>
        <v>#N/A</v>
      </c>
      <c r="BC869" s="828"/>
      <c r="BD869" s="944"/>
    </row>
    <row r="870" spans="1:56" ht="15.75" customHeight="1">
      <c r="A870" s="912">
        <v>46478</v>
      </c>
      <c r="B870" s="853"/>
      <c r="C870" s="792"/>
      <c r="D870" s="829">
        <f>+Tabla1[[#This Row],[FECHA Entrega]]</f>
        <v>0</v>
      </c>
      <c r="E870" s="830"/>
      <c r="F870" s="831"/>
      <c r="G870" s="832"/>
      <c r="H870" s="852"/>
      <c r="I870" s="834"/>
      <c r="J870" s="835"/>
      <c r="K870" s="836">
        <f t="shared" si="166"/>
        <v>0</v>
      </c>
      <c r="L870"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70" s="837">
        <f t="shared" si="165"/>
        <v>0</v>
      </c>
      <c r="N870" s="838">
        <f>+Tabla1[[#This Row],[VENTA TOTAL $ (IVA INC) ]]</f>
        <v>0</v>
      </c>
      <c r="O870" s="838">
        <v>0</v>
      </c>
      <c r="P870" s="838">
        <v>0</v>
      </c>
      <c r="Q870" s="839">
        <v>0</v>
      </c>
      <c r="R870" s="840">
        <f>+Tabla1[[#This Row],[FECHA FC]]+Tabla1[[#This Row],[PLAZO ENTREGA VALORES]]</f>
        <v>0</v>
      </c>
      <c r="S870" s="840">
        <f>+Tabla1[[#This Row],[FECHA FC]]+Tabla1[[#This Row],[PLAZO PAGO (DIAS)]]</f>
        <v>0</v>
      </c>
      <c r="T870" s="834">
        <f t="shared" ca="1" si="167"/>
        <v>-46181</v>
      </c>
      <c r="U870" s="831"/>
      <c r="V870" s="831"/>
      <c r="W870" s="841">
        <f>+Tabla1[[#This Row],[FECHA VTO VALORES]]+7</f>
        <v>7</v>
      </c>
      <c r="X870" s="830"/>
      <c r="Y870" s="859"/>
      <c r="Z870" s="860">
        <f>Tabla1[[#This Row],[KGS]]/50</f>
        <v>0</v>
      </c>
      <c r="AA870"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70" s="844">
        <f>-Tabla1[[#This Row],[COSTO FLETE $ POR BOLSA 5O KG (SIN IVA)]]*1.21-Tabla1[[#This Row],[PRECIO $/ KG A PLAZO EN CLIENTE ( SIN IVA)]]*0.003*1.21*50</f>
        <v>0</v>
      </c>
      <c r="AC870" s="845" t="e">
        <f>SUM(Tabla1[[#This Row],[PRECIO $ BOLSA 50 KG (IVA INC) ]]+Tabla1[[#This Row],[COSTO FLETE $ BOLSA 50 KG (IVA INC)]])</f>
        <v>#VALUE!</v>
      </c>
      <c r="AD870" s="844" t="e">
        <f>-Tabla1[[#This Row],[PRECIO $ BOLSA 50 KG (IVA INC) ]]*(Tabla1[[#This Row],[TASA FINANCIACION MENSUAL]]/365)*Tabla1[[#This Row],[PLAZO ENTREGA VALORES]]</f>
        <v>#VALUE!</v>
      </c>
      <c r="AE870" s="845" t="e">
        <f>SUM(Tabla1[[#This Row],[PRECIO $ BOLSA50 KG  FOB TUCUMAN A PLAZO (IVA INC)]]+Tabla1[[#This Row],[GASTOS FINANCIEROS $ BOLSA 50 KG (IVA INC)]])</f>
        <v>#VALUE!</v>
      </c>
      <c r="AF870" s="828"/>
      <c r="AG870" s="828"/>
      <c r="AH870" s="828"/>
      <c r="AI870" s="828"/>
      <c r="AJ870"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70" s="846" t="e">
        <f>SUM(Tabla1[[#This Row],[PRECIO $ BOLSA 50KG  FOB CDO TUC (IVA INC)]]-Tabla1[[#This Row],[PRECIO REF $ BOLSA 50 KG CACTU (IVA INC)]])</f>
        <v>#VALUE!</v>
      </c>
      <c r="AL870" s="847" t="str">
        <f>IFERROR(Tabla1[[#This Row],[PRECIO $ BOLSA 50KG  FOB CDO TUC (IVA INC)]]/Tabla1[[#This Row],[PRECIO REF $ BOLSA 50 KG CACTU (IVA INC)]]-1,"")</f>
        <v/>
      </c>
      <c r="AM870" s="846" t="e">
        <f>+Tabla1[[#This Row],[DIF $ PRECIO NETO INDUSTRIA vs Neto TUCUMAN (IVA INC)]]*Tabla1[[#This Row],[Q Bolsas Equivalentes 50kg]]</f>
        <v>#VALUE!</v>
      </c>
      <c r="AN870" s="846" t="e">
        <f>Tabla1[[#This Row],[PRECIO REF $ BOLSA 50 KG CACTU (IVA INC)]]*Tabla1[[#This Row],[Q Bolsas Equivalentes 50kg]]</f>
        <v>#VALUE!</v>
      </c>
      <c r="AO870" s="846" t="e">
        <f>+Tabla1[[#This Row],[PRECIO $ BOLSA 50KG  FOB CDO TUC (IVA INC)]]*Tabla1[[#This Row],[Q Bolsas Equivalentes 50kg]]</f>
        <v>#VALUE!</v>
      </c>
      <c r="AP870" s="847"/>
      <c r="AQ870" s="846">
        <v>0</v>
      </c>
      <c r="AR870" s="828"/>
      <c r="AS870" s="849"/>
      <c r="AT870" s="923">
        <f>+Tabla1[[#This Row],[VENTA TOTAL $ (IVA INC) ]]-(SUM(Tabla1[[#This Row],[PENDIENTE DE ENTREGA]:[VALORES COBRADOS]]))</f>
        <v>0</v>
      </c>
      <c r="AU870" s="850" t="e">
        <f>VLOOKUP(Tabla1[[#This Row],[FECHA OC]],'TIPO DE CAMBIO'!A:B,2,TRUE)</f>
        <v>#N/A</v>
      </c>
      <c r="AV870" s="850" t="e">
        <f>+Tabla1[[#This Row],[SUBTOTAL]]/Tabla1[[#This Row],[TIPO DE CAMBIO]]</f>
        <v>#N/A</v>
      </c>
      <c r="AW870" s="851"/>
      <c r="AX870" s="850" t="str">
        <f>IFERROR(Tabla1[[#This Row],[VENTA TOTAL USD A PLAZO EN CLIENTE  (SIN IVA)]]*(1+Tabla1[[#This Row],[% IVA ]]),"")</f>
        <v/>
      </c>
      <c r="AY870" s="866" t="e">
        <f>+Tabla1[[#This Row],[VENTA TOTAL USD A PLAZO EN CLIENTE  (SIN IVA)]]/Tabla1[[#This Row],[KGS]]*1000</f>
        <v>#N/A</v>
      </c>
      <c r="AZ870" s="850" t="e">
        <f>-Tabla1[[#This Row],[COSTO FLETE $ POR BOLSA 5O KG (SIN IVA)]]*20/Tabla1[[#This Row],[TIPO DE CAMBIO]]</f>
        <v>#N/A</v>
      </c>
      <c r="BA870" s="850" t="e">
        <f>+Tabla1[[#This Row],[GASTOS FINANCIEROS $ BOLSA 50 KG (IVA INC)]]*20/Tabla1[[#This Row],[TIPO DE CAMBIO]]</f>
        <v>#VALUE!</v>
      </c>
      <c r="BB870" s="850" t="e">
        <f>+Tabla1[[#This Row],[PRECIO POR TN USD EN CLIENTE A PLAZO (SIN IVA)]]+Tabla1[[#This Row],[COSTO USD FLETE /TN (SIN IVA)]]+Tabla1[[#This Row],[COSTO FINANCIERO USD POR BOLSA 50KG (IVA INC)]]</f>
        <v>#N/A</v>
      </c>
      <c r="BC870" s="828"/>
      <c r="BD870" s="944"/>
    </row>
    <row r="871" spans="1:56" ht="15.75" customHeight="1">
      <c r="A871" s="912">
        <v>46478</v>
      </c>
      <c r="B871" s="853"/>
      <c r="C871" s="792"/>
      <c r="D871" s="829">
        <f>+Tabla1[[#This Row],[FECHA Entrega]]</f>
        <v>0</v>
      </c>
      <c r="E871" s="830"/>
      <c r="F871" s="831"/>
      <c r="G871" s="832"/>
      <c r="H871" s="852"/>
      <c r="I871" s="834"/>
      <c r="J871" s="835"/>
      <c r="K871" s="836">
        <f t="shared" si="166"/>
        <v>0</v>
      </c>
      <c r="L871"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71" s="837">
        <f t="shared" si="165"/>
        <v>0</v>
      </c>
      <c r="N871" s="838">
        <f>+Tabla1[[#This Row],[VENTA TOTAL $ (IVA INC) ]]</f>
        <v>0</v>
      </c>
      <c r="O871" s="838">
        <v>0</v>
      </c>
      <c r="P871" s="838">
        <v>0</v>
      </c>
      <c r="Q871" s="839">
        <v>0</v>
      </c>
      <c r="R871" s="840">
        <f>+Tabla1[[#This Row],[FECHA FC]]+Tabla1[[#This Row],[PLAZO ENTREGA VALORES]]</f>
        <v>0</v>
      </c>
      <c r="S871" s="840">
        <f>+Tabla1[[#This Row],[FECHA FC]]+Tabla1[[#This Row],[PLAZO PAGO (DIAS)]]</f>
        <v>0</v>
      </c>
      <c r="T871" s="834">
        <f t="shared" ca="1" si="167"/>
        <v>-46181</v>
      </c>
      <c r="U871" s="831"/>
      <c r="V871" s="831"/>
      <c r="W871" s="841">
        <f>+Tabla1[[#This Row],[FECHA VTO VALORES]]+7</f>
        <v>7</v>
      </c>
      <c r="X871" s="830"/>
      <c r="Y871" s="859"/>
      <c r="Z871" s="860">
        <f>Tabla1[[#This Row],[KGS]]/50</f>
        <v>0</v>
      </c>
      <c r="AA871"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71" s="844">
        <f>-Tabla1[[#This Row],[COSTO FLETE $ POR BOLSA 5O KG (SIN IVA)]]*1.21-Tabla1[[#This Row],[PRECIO $/ KG A PLAZO EN CLIENTE ( SIN IVA)]]*0.003*1.21*50</f>
        <v>0</v>
      </c>
      <c r="AC871" s="845" t="e">
        <f>SUM(Tabla1[[#This Row],[PRECIO $ BOLSA 50 KG (IVA INC) ]]+Tabla1[[#This Row],[COSTO FLETE $ BOLSA 50 KG (IVA INC)]])</f>
        <v>#VALUE!</v>
      </c>
      <c r="AD871" s="844" t="e">
        <f>-Tabla1[[#This Row],[PRECIO $ BOLSA 50 KG (IVA INC) ]]*(Tabla1[[#This Row],[TASA FINANCIACION MENSUAL]]/365)*Tabla1[[#This Row],[PLAZO ENTREGA VALORES]]</f>
        <v>#VALUE!</v>
      </c>
      <c r="AE871" s="845" t="e">
        <f>SUM(Tabla1[[#This Row],[PRECIO $ BOLSA50 KG  FOB TUCUMAN A PLAZO (IVA INC)]]+Tabla1[[#This Row],[GASTOS FINANCIEROS $ BOLSA 50 KG (IVA INC)]])</f>
        <v>#VALUE!</v>
      </c>
      <c r="AF871" s="828"/>
      <c r="AG871" s="828"/>
      <c r="AH871" s="828"/>
      <c r="AI871" s="828"/>
      <c r="AJ871"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71" s="846" t="e">
        <f>SUM(Tabla1[[#This Row],[PRECIO $ BOLSA 50KG  FOB CDO TUC (IVA INC)]]-Tabla1[[#This Row],[PRECIO REF $ BOLSA 50 KG CACTU (IVA INC)]])</f>
        <v>#VALUE!</v>
      </c>
      <c r="AL871" s="847" t="str">
        <f>IFERROR(Tabla1[[#This Row],[PRECIO $ BOLSA 50KG  FOB CDO TUC (IVA INC)]]/Tabla1[[#This Row],[PRECIO REF $ BOLSA 50 KG CACTU (IVA INC)]]-1,"")</f>
        <v/>
      </c>
      <c r="AM871" s="846" t="e">
        <f>+Tabla1[[#This Row],[DIF $ PRECIO NETO INDUSTRIA vs Neto TUCUMAN (IVA INC)]]*Tabla1[[#This Row],[Q Bolsas Equivalentes 50kg]]</f>
        <v>#VALUE!</v>
      </c>
      <c r="AN871" s="846" t="e">
        <f>Tabla1[[#This Row],[PRECIO REF $ BOLSA 50 KG CACTU (IVA INC)]]*Tabla1[[#This Row],[Q Bolsas Equivalentes 50kg]]</f>
        <v>#VALUE!</v>
      </c>
      <c r="AO871" s="846" t="e">
        <f>+Tabla1[[#This Row],[PRECIO $ BOLSA 50KG  FOB CDO TUC (IVA INC)]]*Tabla1[[#This Row],[Q Bolsas Equivalentes 50kg]]</f>
        <v>#VALUE!</v>
      </c>
      <c r="AP871" s="847"/>
      <c r="AQ871" s="846">
        <v>0</v>
      </c>
      <c r="AR871" s="828"/>
      <c r="AS871" s="849"/>
      <c r="AT871" s="923">
        <f>+Tabla1[[#This Row],[VENTA TOTAL $ (IVA INC) ]]-(SUM(Tabla1[[#This Row],[PENDIENTE DE ENTREGA]:[VALORES COBRADOS]]))</f>
        <v>0</v>
      </c>
      <c r="AU871" s="850" t="e">
        <f>VLOOKUP(Tabla1[[#This Row],[FECHA OC]],'TIPO DE CAMBIO'!A:B,2,TRUE)</f>
        <v>#N/A</v>
      </c>
      <c r="AV871" s="850" t="e">
        <f>+Tabla1[[#This Row],[SUBTOTAL]]/Tabla1[[#This Row],[TIPO DE CAMBIO]]</f>
        <v>#N/A</v>
      </c>
      <c r="AW871" s="851"/>
      <c r="AX871" s="850" t="str">
        <f>IFERROR(Tabla1[[#This Row],[VENTA TOTAL USD A PLAZO EN CLIENTE  (SIN IVA)]]*(1+Tabla1[[#This Row],[% IVA ]]),"")</f>
        <v/>
      </c>
      <c r="AY871" s="866" t="e">
        <f>+Tabla1[[#This Row],[VENTA TOTAL USD A PLAZO EN CLIENTE  (SIN IVA)]]/Tabla1[[#This Row],[KGS]]*1000</f>
        <v>#N/A</v>
      </c>
      <c r="AZ871" s="850" t="e">
        <f>-Tabla1[[#This Row],[COSTO FLETE $ POR BOLSA 5O KG (SIN IVA)]]*20/Tabla1[[#This Row],[TIPO DE CAMBIO]]</f>
        <v>#N/A</v>
      </c>
      <c r="BA871" s="850" t="e">
        <f>+Tabla1[[#This Row],[GASTOS FINANCIEROS $ BOLSA 50 KG (IVA INC)]]*20/Tabla1[[#This Row],[TIPO DE CAMBIO]]</f>
        <v>#VALUE!</v>
      </c>
      <c r="BB871" s="850" t="e">
        <f>+Tabla1[[#This Row],[PRECIO POR TN USD EN CLIENTE A PLAZO (SIN IVA)]]+Tabla1[[#This Row],[COSTO USD FLETE /TN (SIN IVA)]]+Tabla1[[#This Row],[COSTO FINANCIERO USD POR BOLSA 50KG (IVA INC)]]</f>
        <v>#N/A</v>
      </c>
      <c r="BC871" s="828"/>
      <c r="BD871" s="944"/>
    </row>
    <row r="872" spans="1:56" ht="15.75" customHeight="1">
      <c r="A872" s="912">
        <v>46478</v>
      </c>
      <c r="B872" s="853"/>
      <c r="C872" s="792"/>
      <c r="D872" s="829">
        <f>+Tabla1[[#This Row],[FECHA Entrega]]</f>
        <v>0</v>
      </c>
      <c r="E872" s="830"/>
      <c r="F872" s="831"/>
      <c r="G872" s="832"/>
      <c r="H872" s="852"/>
      <c r="I872" s="834"/>
      <c r="J872" s="835"/>
      <c r="K872" s="836">
        <f t="shared" si="163"/>
        <v>0</v>
      </c>
      <c r="L872"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72" s="837">
        <f t="shared" si="165"/>
        <v>0</v>
      </c>
      <c r="N872" s="838">
        <f>+Tabla1[[#This Row],[VENTA TOTAL $ (IVA INC) ]]</f>
        <v>0</v>
      </c>
      <c r="O872" s="838">
        <v>0</v>
      </c>
      <c r="P872" s="838">
        <v>0</v>
      </c>
      <c r="Q872" s="839">
        <f>+Tabla1[[#This Row],[VENTA TOTAL $ (IVA INC) ]]</f>
        <v>0</v>
      </c>
      <c r="R872" s="840">
        <f>+Tabla1[[#This Row],[FECHA FC]]+Tabla1[[#This Row],[PLAZO ENTREGA VALORES]]</f>
        <v>0</v>
      </c>
      <c r="S872" s="840">
        <f>+Tabla1[[#This Row],[FECHA FC]]+Tabla1[[#This Row],[PLAZO PAGO (DIAS)]]</f>
        <v>0</v>
      </c>
      <c r="T872" s="834">
        <f t="shared" ref="T872:T879" ca="1" si="168">+S872-$U$2</f>
        <v>-46181</v>
      </c>
      <c r="U872" s="831"/>
      <c r="V872" s="831"/>
      <c r="W872" s="841">
        <f>+Tabla1[[#This Row],[FECHA VTO VALORES]]+7</f>
        <v>7</v>
      </c>
      <c r="X872" s="830"/>
      <c r="Y872" s="859"/>
      <c r="Z872" s="860">
        <f>Tabla1[[#This Row],[KGS]]/50</f>
        <v>0</v>
      </c>
      <c r="AA872"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72" s="844">
        <f>-Tabla1[[#This Row],[COSTO FLETE $ POR BOLSA 5O KG (SIN IVA)]]*1.21-Tabla1[[#This Row],[PRECIO $/ KG A PLAZO EN CLIENTE ( SIN IVA)]]*0.003*1.21*50</f>
        <v>0</v>
      </c>
      <c r="AC872" s="845" t="e">
        <f>SUM(Tabla1[[#This Row],[PRECIO $ BOLSA 50 KG (IVA INC) ]]+Tabla1[[#This Row],[COSTO FLETE $ BOLSA 50 KG (IVA INC)]])</f>
        <v>#VALUE!</v>
      </c>
      <c r="AD872" s="844" t="e">
        <f>-Tabla1[[#This Row],[PRECIO $ BOLSA 50 KG (IVA INC) ]]*(Tabla1[[#This Row],[TASA FINANCIACION MENSUAL]]/365)*Tabla1[[#This Row],[PLAZO ENTREGA VALORES]]</f>
        <v>#VALUE!</v>
      </c>
      <c r="AE872" s="845" t="e">
        <f>SUM(Tabla1[[#This Row],[PRECIO $ BOLSA50 KG  FOB TUCUMAN A PLAZO (IVA INC)]]+Tabla1[[#This Row],[GASTOS FINANCIEROS $ BOLSA 50 KG (IVA INC)]])</f>
        <v>#VALUE!</v>
      </c>
      <c r="AF872" s="828"/>
      <c r="AG872" s="828"/>
      <c r="AH872" s="828"/>
      <c r="AI872" s="828"/>
      <c r="AJ872"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72" s="846" t="e">
        <f>SUM(Tabla1[[#This Row],[PRECIO $ BOLSA 50KG  FOB CDO TUC (IVA INC)]]-Tabla1[[#This Row],[PRECIO REF $ BOLSA 50 KG CACTU (IVA INC)]])</f>
        <v>#VALUE!</v>
      </c>
      <c r="AL872" s="847" t="str">
        <f>IFERROR(Tabla1[[#This Row],[PRECIO $ BOLSA 50KG  FOB CDO TUC (IVA INC)]]/Tabla1[[#This Row],[PRECIO REF $ BOLSA 50 KG CACTU (IVA INC)]]-1,"")</f>
        <v/>
      </c>
      <c r="AM872" s="846" t="e">
        <f>+Tabla1[[#This Row],[DIF $ PRECIO NETO INDUSTRIA vs Neto TUCUMAN (IVA INC)]]*Tabla1[[#This Row],[Q Bolsas Equivalentes 50kg]]</f>
        <v>#VALUE!</v>
      </c>
      <c r="AN872" s="846" t="e">
        <f>Tabla1[[#This Row],[PRECIO REF $ BOLSA 50 KG CACTU (IVA INC)]]*Tabla1[[#This Row],[Q Bolsas Equivalentes 50kg]]</f>
        <v>#VALUE!</v>
      </c>
      <c r="AO872" s="846" t="e">
        <f>+Tabla1[[#This Row],[PRECIO $ BOLSA 50KG  FOB CDO TUC (IVA INC)]]*Tabla1[[#This Row],[Q Bolsas Equivalentes 50kg]]</f>
        <v>#VALUE!</v>
      </c>
      <c r="AP872" s="847"/>
      <c r="AQ872" s="846">
        <v>0</v>
      </c>
      <c r="AR872" s="828"/>
      <c r="AS872" s="849"/>
      <c r="AT872" s="923">
        <f>+Tabla1[[#This Row],[VENTA TOTAL $ (IVA INC) ]]-(SUM(Tabla1[[#This Row],[PENDIENTE DE ENTREGA]:[VALORES COBRADOS]]))</f>
        <v>0</v>
      </c>
      <c r="AU872" s="850" t="e">
        <f>VLOOKUP(Tabla1[[#This Row],[FECHA OC]],'TIPO DE CAMBIO'!A:B,2,TRUE)</f>
        <v>#N/A</v>
      </c>
      <c r="AV872" s="850" t="e">
        <f>+Tabla1[[#This Row],[SUBTOTAL]]/Tabla1[[#This Row],[TIPO DE CAMBIO]]</f>
        <v>#N/A</v>
      </c>
      <c r="AW872" s="851"/>
      <c r="AX872" s="850" t="str">
        <f>IFERROR(Tabla1[[#This Row],[VENTA TOTAL USD A PLAZO EN CLIENTE  (SIN IVA)]]*(1+Tabla1[[#This Row],[% IVA ]]),"")</f>
        <v/>
      </c>
      <c r="AY872" s="866" t="e">
        <f>+Tabla1[[#This Row],[VENTA TOTAL USD A PLAZO EN CLIENTE  (SIN IVA)]]/Tabla1[[#This Row],[KGS]]*1000</f>
        <v>#N/A</v>
      </c>
      <c r="AZ872" s="850" t="e">
        <f>-Tabla1[[#This Row],[COSTO FLETE $ POR BOLSA 5O KG (SIN IVA)]]*20/Tabla1[[#This Row],[TIPO DE CAMBIO]]</f>
        <v>#N/A</v>
      </c>
      <c r="BA872" s="850" t="e">
        <f>+Tabla1[[#This Row],[GASTOS FINANCIEROS $ BOLSA 50 KG (IVA INC)]]*20/Tabla1[[#This Row],[TIPO DE CAMBIO]]</f>
        <v>#VALUE!</v>
      </c>
      <c r="BB872" s="850" t="e">
        <f>+Tabla1[[#This Row],[PRECIO POR TN USD EN CLIENTE A PLAZO (SIN IVA)]]+Tabla1[[#This Row],[COSTO USD FLETE /TN (SIN IVA)]]+Tabla1[[#This Row],[COSTO FINANCIERO USD POR BOLSA 50KG (IVA INC)]]</f>
        <v>#N/A</v>
      </c>
      <c r="BC872" s="828"/>
      <c r="BD872" s="944"/>
    </row>
    <row r="873" spans="1:56" ht="15.75" customHeight="1">
      <c r="A873" s="912">
        <v>46478</v>
      </c>
      <c r="B873" s="853"/>
      <c r="C873" s="792"/>
      <c r="D873" s="829">
        <f>+Tabla1[[#This Row],[FECHA Entrega]]</f>
        <v>0</v>
      </c>
      <c r="E873" s="830"/>
      <c r="F873" s="831"/>
      <c r="G873" s="832"/>
      <c r="H873" s="852"/>
      <c r="I873" s="834"/>
      <c r="J873" s="835"/>
      <c r="K873" s="836">
        <f t="shared" si="163"/>
        <v>0</v>
      </c>
      <c r="L873"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73" s="837">
        <f t="shared" si="165"/>
        <v>0</v>
      </c>
      <c r="N873" s="838">
        <f>+Tabla1[[#This Row],[VENTA TOTAL $ (IVA INC) ]]</f>
        <v>0</v>
      </c>
      <c r="O873" s="838">
        <v>0</v>
      </c>
      <c r="P873" s="838">
        <v>0</v>
      </c>
      <c r="Q873" s="839">
        <f>+Tabla1[[#This Row],[VENTA TOTAL $ (IVA INC) ]]</f>
        <v>0</v>
      </c>
      <c r="R873" s="840">
        <f>+Tabla1[[#This Row],[FECHA FC]]+Tabla1[[#This Row],[PLAZO ENTREGA VALORES]]</f>
        <v>0</v>
      </c>
      <c r="S873" s="840">
        <f>+Tabla1[[#This Row],[FECHA FC]]+Tabla1[[#This Row],[PLAZO PAGO (DIAS)]]</f>
        <v>0</v>
      </c>
      <c r="T873" s="834">
        <f t="shared" ca="1" si="168"/>
        <v>-46181</v>
      </c>
      <c r="U873" s="831"/>
      <c r="V873" s="831"/>
      <c r="W873" s="841">
        <f>+Tabla1[[#This Row],[FECHA VTO VALORES]]+7</f>
        <v>7</v>
      </c>
      <c r="X873" s="830"/>
      <c r="Y873" s="859"/>
      <c r="Z873" s="860">
        <f>Tabla1[[#This Row],[KGS]]/50</f>
        <v>0</v>
      </c>
      <c r="AA873"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73" s="844">
        <f>-Tabla1[[#This Row],[COSTO FLETE $ POR BOLSA 5O KG (SIN IVA)]]*1.21-Tabla1[[#This Row],[PRECIO $/ KG A PLAZO EN CLIENTE ( SIN IVA)]]*0.003*1.21*50</f>
        <v>0</v>
      </c>
      <c r="AC873" s="845" t="e">
        <f>SUM(Tabla1[[#This Row],[PRECIO $ BOLSA 50 KG (IVA INC) ]]+Tabla1[[#This Row],[COSTO FLETE $ BOLSA 50 KG (IVA INC)]])</f>
        <v>#VALUE!</v>
      </c>
      <c r="AD873" s="844" t="e">
        <f>-Tabla1[[#This Row],[PRECIO $ BOLSA 50 KG (IVA INC) ]]*(Tabla1[[#This Row],[TASA FINANCIACION MENSUAL]]/365)*Tabla1[[#This Row],[PLAZO ENTREGA VALORES]]</f>
        <v>#VALUE!</v>
      </c>
      <c r="AE873" s="845" t="e">
        <f>SUM(Tabla1[[#This Row],[PRECIO $ BOLSA50 KG  FOB TUCUMAN A PLAZO (IVA INC)]]+Tabla1[[#This Row],[GASTOS FINANCIEROS $ BOLSA 50 KG (IVA INC)]])</f>
        <v>#VALUE!</v>
      </c>
      <c r="AF873" s="828"/>
      <c r="AG873" s="828"/>
      <c r="AH873" s="828"/>
      <c r="AI873" s="828"/>
      <c r="AJ873"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73" s="846" t="e">
        <f>SUM(Tabla1[[#This Row],[PRECIO $ BOLSA 50KG  FOB CDO TUC (IVA INC)]]-Tabla1[[#This Row],[PRECIO REF $ BOLSA 50 KG CACTU (IVA INC)]])</f>
        <v>#VALUE!</v>
      </c>
      <c r="AL873" s="847" t="str">
        <f>IFERROR(Tabla1[[#This Row],[PRECIO $ BOLSA 50KG  FOB CDO TUC (IVA INC)]]/Tabla1[[#This Row],[PRECIO REF $ BOLSA 50 KG CACTU (IVA INC)]]-1,"")</f>
        <v/>
      </c>
      <c r="AM873" s="846" t="e">
        <f>+Tabla1[[#This Row],[DIF $ PRECIO NETO INDUSTRIA vs Neto TUCUMAN (IVA INC)]]*Tabla1[[#This Row],[Q Bolsas Equivalentes 50kg]]</f>
        <v>#VALUE!</v>
      </c>
      <c r="AN873" s="846" t="e">
        <f>Tabla1[[#This Row],[PRECIO REF $ BOLSA 50 KG CACTU (IVA INC)]]*Tabla1[[#This Row],[Q Bolsas Equivalentes 50kg]]</f>
        <v>#VALUE!</v>
      </c>
      <c r="AO873" s="846" t="e">
        <f>+Tabla1[[#This Row],[PRECIO $ BOLSA 50KG  FOB CDO TUC (IVA INC)]]*Tabla1[[#This Row],[Q Bolsas Equivalentes 50kg]]</f>
        <v>#VALUE!</v>
      </c>
      <c r="AP873" s="847"/>
      <c r="AQ873" s="846">
        <v>0</v>
      </c>
      <c r="AR873" s="828"/>
      <c r="AS873" s="849"/>
      <c r="AT873" s="923">
        <f>+Tabla1[[#This Row],[VENTA TOTAL $ (IVA INC) ]]-(SUM(Tabla1[[#This Row],[PENDIENTE DE ENTREGA]:[VALORES COBRADOS]]))</f>
        <v>0</v>
      </c>
      <c r="AU873" s="850" t="e">
        <f>VLOOKUP(Tabla1[[#This Row],[FECHA OC]],'TIPO DE CAMBIO'!A:B,2,TRUE)</f>
        <v>#N/A</v>
      </c>
      <c r="AV873" s="850" t="e">
        <f>+Tabla1[[#This Row],[SUBTOTAL]]/Tabla1[[#This Row],[TIPO DE CAMBIO]]</f>
        <v>#N/A</v>
      </c>
      <c r="AW873" s="851"/>
      <c r="AX873" s="850" t="str">
        <f>IFERROR(Tabla1[[#This Row],[VENTA TOTAL USD A PLAZO EN CLIENTE  (SIN IVA)]]*(1+Tabla1[[#This Row],[% IVA ]]),"")</f>
        <v/>
      </c>
      <c r="AY873" s="866" t="e">
        <f>+Tabla1[[#This Row],[VENTA TOTAL USD A PLAZO EN CLIENTE  (SIN IVA)]]/Tabla1[[#This Row],[KGS]]*1000</f>
        <v>#N/A</v>
      </c>
      <c r="AZ873" s="850" t="e">
        <f>-Tabla1[[#This Row],[COSTO FLETE $ POR BOLSA 5O KG (SIN IVA)]]*20/Tabla1[[#This Row],[TIPO DE CAMBIO]]</f>
        <v>#N/A</v>
      </c>
      <c r="BA873" s="850" t="e">
        <f>+Tabla1[[#This Row],[GASTOS FINANCIEROS $ BOLSA 50 KG (IVA INC)]]*20/Tabla1[[#This Row],[TIPO DE CAMBIO]]</f>
        <v>#VALUE!</v>
      </c>
      <c r="BB873" s="850" t="e">
        <f>+Tabla1[[#This Row],[PRECIO POR TN USD EN CLIENTE A PLAZO (SIN IVA)]]+Tabla1[[#This Row],[COSTO USD FLETE /TN (SIN IVA)]]+Tabla1[[#This Row],[COSTO FINANCIERO USD POR BOLSA 50KG (IVA INC)]]</f>
        <v>#N/A</v>
      </c>
      <c r="BC873" s="828"/>
      <c r="BD873" s="944"/>
    </row>
    <row r="874" spans="1:56" ht="15.75" customHeight="1">
      <c r="A874" s="912">
        <v>46478</v>
      </c>
      <c r="B874" s="853"/>
      <c r="C874" s="792"/>
      <c r="D874" s="829">
        <f>+Tabla1[[#This Row],[FECHA Entrega]]</f>
        <v>0</v>
      </c>
      <c r="E874" s="830"/>
      <c r="F874" s="831"/>
      <c r="G874" s="832"/>
      <c r="H874" s="852"/>
      <c r="I874" s="834"/>
      <c r="J874" s="835"/>
      <c r="K874" s="836">
        <f t="shared" si="163"/>
        <v>0</v>
      </c>
      <c r="L874"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74" s="837">
        <f t="shared" si="165"/>
        <v>0</v>
      </c>
      <c r="N874" s="838">
        <f>+Tabla1[[#This Row],[VENTA TOTAL $ (IVA INC) ]]</f>
        <v>0</v>
      </c>
      <c r="O874" s="838">
        <v>0</v>
      </c>
      <c r="P874" s="838">
        <v>0</v>
      </c>
      <c r="Q874" s="839">
        <f>+Tabla1[[#This Row],[VENTA TOTAL $ (IVA INC) ]]</f>
        <v>0</v>
      </c>
      <c r="R874" s="840">
        <f>+Tabla1[[#This Row],[FECHA FC]]+Tabla1[[#This Row],[PLAZO ENTREGA VALORES]]</f>
        <v>0</v>
      </c>
      <c r="S874" s="840">
        <f>+Tabla1[[#This Row],[FECHA FC]]+Tabla1[[#This Row],[PLAZO PAGO (DIAS)]]</f>
        <v>0</v>
      </c>
      <c r="T874" s="834">
        <f t="shared" ca="1" si="168"/>
        <v>-46181</v>
      </c>
      <c r="U874" s="831"/>
      <c r="V874" s="831"/>
      <c r="W874" s="841">
        <f>+Tabla1[[#This Row],[FECHA VTO VALORES]]+7</f>
        <v>7</v>
      </c>
      <c r="X874" s="830"/>
      <c r="Y874" s="859"/>
      <c r="Z874" s="860">
        <f>Tabla1[[#This Row],[KGS]]/50</f>
        <v>0</v>
      </c>
      <c r="AA874"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74" s="844">
        <f>-Tabla1[[#This Row],[COSTO FLETE $ POR BOLSA 5O KG (SIN IVA)]]*1.21-Tabla1[[#This Row],[PRECIO $/ KG A PLAZO EN CLIENTE ( SIN IVA)]]*0.003*1.21*50</f>
        <v>0</v>
      </c>
      <c r="AC874" s="845" t="e">
        <f>SUM(Tabla1[[#This Row],[PRECIO $ BOLSA 50 KG (IVA INC) ]]+Tabla1[[#This Row],[COSTO FLETE $ BOLSA 50 KG (IVA INC)]])</f>
        <v>#VALUE!</v>
      </c>
      <c r="AD874" s="844" t="e">
        <f>-Tabla1[[#This Row],[PRECIO $ BOLSA 50 KG (IVA INC) ]]*(Tabla1[[#This Row],[TASA FINANCIACION MENSUAL]]/365)*Tabla1[[#This Row],[PLAZO ENTREGA VALORES]]</f>
        <v>#VALUE!</v>
      </c>
      <c r="AE874" s="845" t="e">
        <f>SUM(Tabla1[[#This Row],[PRECIO $ BOLSA50 KG  FOB TUCUMAN A PLAZO (IVA INC)]]+Tabla1[[#This Row],[GASTOS FINANCIEROS $ BOLSA 50 KG (IVA INC)]])</f>
        <v>#VALUE!</v>
      </c>
      <c r="AF874" s="828"/>
      <c r="AG874" s="828"/>
      <c r="AH874" s="828"/>
      <c r="AI874" s="828"/>
      <c r="AJ874"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74" s="846" t="e">
        <f>SUM(Tabla1[[#This Row],[PRECIO $ BOLSA 50KG  FOB CDO TUC (IVA INC)]]-Tabla1[[#This Row],[PRECIO REF $ BOLSA 50 KG CACTU (IVA INC)]])</f>
        <v>#VALUE!</v>
      </c>
      <c r="AL874" s="847" t="str">
        <f>IFERROR(Tabla1[[#This Row],[PRECIO $ BOLSA 50KG  FOB CDO TUC (IVA INC)]]/Tabla1[[#This Row],[PRECIO REF $ BOLSA 50 KG CACTU (IVA INC)]]-1,"")</f>
        <v/>
      </c>
      <c r="AM874" s="846" t="e">
        <f>+Tabla1[[#This Row],[DIF $ PRECIO NETO INDUSTRIA vs Neto TUCUMAN (IVA INC)]]*Tabla1[[#This Row],[Q Bolsas Equivalentes 50kg]]</f>
        <v>#VALUE!</v>
      </c>
      <c r="AN874" s="846" t="e">
        <f>Tabla1[[#This Row],[PRECIO REF $ BOLSA 50 KG CACTU (IVA INC)]]*Tabla1[[#This Row],[Q Bolsas Equivalentes 50kg]]</f>
        <v>#VALUE!</v>
      </c>
      <c r="AO874" s="846" t="e">
        <f>+Tabla1[[#This Row],[PRECIO $ BOLSA 50KG  FOB CDO TUC (IVA INC)]]*Tabla1[[#This Row],[Q Bolsas Equivalentes 50kg]]</f>
        <v>#VALUE!</v>
      </c>
      <c r="AP874" s="847"/>
      <c r="AQ874" s="846">
        <v>0</v>
      </c>
      <c r="AR874" s="828"/>
      <c r="AS874" s="849"/>
      <c r="AT874" s="923">
        <f>+Tabla1[[#This Row],[VENTA TOTAL $ (IVA INC) ]]-(SUM(Tabla1[[#This Row],[PENDIENTE DE ENTREGA]:[VALORES COBRADOS]]))</f>
        <v>0</v>
      </c>
      <c r="AU874" s="850" t="e">
        <f>VLOOKUP(Tabla1[[#This Row],[FECHA OC]],'TIPO DE CAMBIO'!A:B,2,TRUE)</f>
        <v>#N/A</v>
      </c>
      <c r="AV874" s="850" t="e">
        <f>+Tabla1[[#This Row],[SUBTOTAL]]/Tabla1[[#This Row],[TIPO DE CAMBIO]]</f>
        <v>#N/A</v>
      </c>
      <c r="AW874" s="851"/>
      <c r="AX874" s="850" t="str">
        <f>IFERROR(Tabla1[[#This Row],[VENTA TOTAL USD A PLAZO EN CLIENTE  (SIN IVA)]]*(1+Tabla1[[#This Row],[% IVA ]]),"")</f>
        <v/>
      </c>
      <c r="AY874" s="866" t="e">
        <f>+Tabla1[[#This Row],[VENTA TOTAL USD A PLAZO EN CLIENTE  (SIN IVA)]]/Tabla1[[#This Row],[KGS]]*1000</f>
        <v>#N/A</v>
      </c>
      <c r="AZ874" s="850" t="e">
        <f>-Tabla1[[#This Row],[COSTO FLETE $ POR BOLSA 5O KG (SIN IVA)]]*20/Tabla1[[#This Row],[TIPO DE CAMBIO]]</f>
        <v>#N/A</v>
      </c>
      <c r="BA874" s="850" t="e">
        <f>+Tabla1[[#This Row],[GASTOS FINANCIEROS $ BOLSA 50 KG (IVA INC)]]*20/Tabla1[[#This Row],[TIPO DE CAMBIO]]</f>
        <v>#VALUE!</v>
      </c>
      <c r="BB874" s="850" t="e">
        <f>+Tabla1[[#This Row],[PRECIO POR TN USD EN CLIENTE A PLAZO (SIN IVA)]]+Tabla1[[#This Row],[COSTO USD FLETE /TN (SIN IVA)]]+Tabla1[[#This Row],[COSTO FINANCIERO USD POR BOLSA 50KG (IVA INC)]]</f>
        <v>#N/A</v>
      </c>
      <c r="BC874" s="828"/>
      <c r="BD874" s="944"/>
    </row>
    <row r="875" spans="1:56" ht="15.75" customHeight="1">
      <c r="A875" s="912">
        <v>46478</v>
      </c>
      <c r="B875" s="853"/>
      <c r="C875" s="792"/>
      <c r="D875" s="829">
        <f>+Tabla1[[#This Row],[FECHA Entrega]]</f>
        <v>0</v>
      </c>
      <c r="E875" s="830"/>
      <c r="F875" s="831"/>
      <c r="G875" s="832"/>
      <c r="H875" s="852"/>
      <c r="I875" s="834"/>
      <c r="J875" s="835"/>
      <c r="K875" s="836">
        <f t="shared" si="163"/>
        <v>0</v>
      </c>
      <c r="L875"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75" s="837">
        <f t="shared" si="165"/>
        <v>0</v>
      </c>
      <c r="N875" s="838">
        <f>+Tabla1[[#This Row],[VENTA TOTAL $ (IVA INC) ]]</f>
        <v>0</v>
      </c>
      <c r="O875" s="838">
        <v>0</v>
      </c>
      <c r="P875" s="838">
        <v>0</v>
      </c>
      <c r="Q875" s="839">
        <v>0</v>
      </c>
      <c r="R875" s="840">
        <f>+Tabla1[[#This Row],[FECHA FC]]+Tabla1[[#This Row],[PLAZO ENTREGA VALORES]]</f>
        <v>0</v>
      </c>
      <c r="S875" s="840">
        <f>+Tabla1[[#This Row],[FECHA FC]]+Tabla1[[#This Row],[PLAZO PAGO (DIAS)]]</f>
        <v>0</v>
      </c>
      <c r="T875" s="834">
        <f t="shared" ca="1" si="168"/>
        <v>-46181</v>
      </c>
      <c r="U875" s="831"/>
      <c r="V875" s="831"/>
      <c r="W875" s="841">
        <f>+Tabla1[[#This Row],[FECHA VTO VALORES]]+7</f>
        <v>7</v>
      </c>
      <c r="X875" s="830"/>
      <c r="Y875" s="859"/>
      <c r="Z875" s="860">
        <f>Tabla1[[#This Row],[KGS]]/50</f>
        <v>0</v>
      </c>
      <c r="AA875"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75" s="844">
        <f>-Tabla1[[#This Row],[COSTO FLETE $ POR BOLSA 5O KG (SIN IVA)]]*1.21-Tabla1[[#This Row],[PRECIO $/ KG A PLAZO EN CLIENTE ( SIN IVA)]]*0.003*1.21*50</f>
        <v>0</v>
      </c>
      <c r="AC875" s="845" t="e">
        <f>SUM(Tabla1[[#This Row],[PRECIO $ BOLSA 50 KG (IVA INC) ]]+Tabla1[[#This Row],[COSTO FLETE $ BOLSA 50 KG (IVA INC)]])</f>
        <v>#VALUE!</v>
      </c>
      <c r="AD875" s="844" t="e">
        <f>-Tabla1[[#This Row],[PRECIO $ BOLSA 50 KG (IVA INC) ]]*(Tabla1[[#This Row],[TASA FINANCIACION MENSUAL]]/365)*Tabla1[[#This Row],[PLAZO ENTREGA VALORES]]</f>
        <v>#VALUE!</v>
      </c>
      <c r="AE875" s="845" t="e">
        <f>SUM(Tabla1[[#This Row],[PRECIO $ BOLSA50 KG  FOB TUCUMAN A PLAZO (IVA INC)]]+Tabla1[[#This Row],[GASTOS FINANCIEROS $ BOLSA 50 KG (IVA INC)]])</f>
        <v>#VALUE!</v>
      </c>
      <c r="AF875" s="828"/>
      <c r="AG875" s="828"/>
      <c r="AH875" s="828"/>
      <c r="AI875" s="828"/>
      <c r="AJ875"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75" s="846" t="e">
        <f>SUM(Tabla1[[#This Row],[PRECIO $ BOLSA 50KG  FOB CDO TUC (IVA INC)]]-Tabla1[[#This Row],[PRECIO REF $ BOLSA 50 KG CACTU (IVA INC)]])</f>
        <v>#VALUE!</v>
      </c>
      <c r="AL875" s="847" t="str">
        <f>IFERROR(Tabla1[[#This Row],[PRECIO $ BOLSA 50KG  FOB CDO TUC (IVA INC)]]/Tabla1[[#This Row],[PRECIO REF $ BOLSA 50 KG CACTU (IVA INC)]]-1,"")</f>
        <v/>
      </c>
      <c r="AM875" s="846" t="e">
        <f>+Tabla1[[#This Row],[DIF $ PRECIO NETO INDUSTRIA vs Neto TUCUMAN (IVA INC)]]*Tabla1[[#This Row],[Q Bolsas Equivalentes 50kg]]</f>
        <v>#VALUE!</v>
      </c>
      <c r="AN875" s="846" t="e">
        <f>Tabla1[[#This Row],[PRECIO REF $ BOLSA 50 KG CACTU (IVA INC)]]*Tabla1[[#This Row],[Q Bolsas Equivalentes 50kg]]</f>
        <v>#VALUE!</v>
      </c>
      <c r="AO875" s="846" t="e">
        <f>+Tabla1[[#This Row],[PRECIO $ BOLSA 50KG  FOB CDO TUC (IVA INC)]]*Tabla1[[#This Row],[Q Bolsas Equivalentes 50kg]]</f>
        <v>#VALUE!</v>
      </c>
      <c r="AP875" s="847"/>
      <c r="AQ875" s="846">
        <v>0</v>
      </c>
      <c r="AR875" s="828"/>
      <c r="AS875" s="849"/>
      <c r="AT875" s="923">
        <f>+Tabla1[[#This Row],[VENTA TOTAL $ (IVA INC) ]]-(SUM(Tabla1[[#This Row],[PENDIENTE DE ENTREGA]:[VALORES COBRADOS]]))</f>
        <v>0</v>
      </c>
      <c r="AU875" s="850" t="e">
        <f>VLOOKUP(Tabla1[[#This Row],[FECHA OC]],'TIPO DE CAMBIO'!A:B,2,TRUE)</f>
        <v>#N/A</v>
      </c>
      <c r="AV875" s="850" t="e">
        <f>+Tabla1[[#This Row],[SUBTOTAL]]/Tabla1[[#This Row],[TIPO DE CAMBIO]]</f>
        <v>#N/A</v>
      </c>
      <c r="AW875" s="851"/>
      <c r="AX875" s="850" t="str">
        <f>IFERROR(Tabla1[[#This Row],[VENTA TOTAL USD A PLAZO EN CLIENTE  (SIN IVA)]]*(1+Tabla1[[#This Row],[% IVA ]]),"")</f>
        <v/>
      </c>
      <c r="AY875" s="866" t="e">
        <f>+Tabla1[[#This Row],[VENTA TOTAL USD A PLAZO EN CLIENTE  (SIN IVA)]]/Tabla1[[#This Row],[KGS]]*1000</f>
        <v>#N/A</v>
      </c>
      <c r="AZ875" s="850" t="e">
        <f>-Tabla1[[#This Row],[COSTO FLETE $ POR BOLSA 5O KG (SIN IVA)]]*20/Tabla1[[#This Row],[TIPO DE CAMBIO]]</f>
        <v>#N/A</v>
      </c>
      <c r="BA875" s="850" t="e">
        <f>+Tabla1[[#This Row],[GASTOS FINANCIEROS $ BOLSA 50 KG (IVA INC)]]*20/Tabla1[[#This Row],[TIPO DE CAMBIO]]</f>
        <v>#VALUE!</v>
      </c>
      <c r="BB875" s="850" t="e">
        <f>+Tabla1[[#This Row],[PRECIO POR TN USD EN CLIENTE A PLAZO (SIN IVA)]]+Tabla1[[#This Row],[COSTO USD FLETE /TN (SIN IVA)]]+Tabla1[[#This Row],[COSTO FINANCIERO USD POR BOLSA 50KG (IVA INC)]]</f>
        <v>#N/A</v>
      </c>
      <c r="BC875" s="828"/>
      <c r="BD875" s="944"/>
    </row>
    <row r="876" spans="1:56" ht="15.75" customHeight="1">
      <c r="A876" s="912">
        <v>46478</v>
      </c>
      <c r="B876" s="853"/>
      <c r="C876" s="792"/>
      <c r="D876" s="829">
        <f>+Tabla1[[#This Row],[FECHA Entrega]]</f>
        <v>0</v>
      </c>
      <c r="E876" s="830"/>
      <c r="F876" s="831"/>
      <c r="G876" s="832"/>
      <c r="H876" s="852"/>
      <c r="I876" s="834"/>
      <c r="J876" s="835"/>
      <c r="K876" s="836">
        <f t="shared" si="163"/>
        <v>0</v>
      </c>
      <c r="L876"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76" s="837">
        <f t="shared" si="165"/>
        <v>0</v>
      </c>
      <c r="N876" s="838">
        <f>+Tabla1[[#This Row],[VENTA TOTAL $ (IVA INC) ]]</f>
        <v>0</v>
      </c>
      <c r="O876" s="838">
        <v>0</v>
      </c>
      <c r="P876" s="838">
        <v>0</v>
      </c>
      <c r="Q876" s="839">
        <f>+Tabla1[[#This Row],[VENTA TOTAL $ (IVA INC) ]]</f>
        <v>0</v>
      </c>
      <c r="R876" s="840">
        <f>+Tabla1[[#This Row],[FECHA FC]]+Tabla1[[#This Row],[PLAZO ENTREGA VALORES]]</f>
        <v>0</v>
      </c>
      <c r="S876" s="840">
        <f>+Tabla1[[#This Row],[FECHA FC]]+Tabla1[[#This Row],[PLAZO PAGO (DIAS)]]</f>
        <v>0</v>
      </c>
      <c r="T876" s="834">
        <f t="shared" ca="1" si="168"/>
        <v>-46181</v>
      </c>
      <c r="U876" s="831"/>
      <c r="V876" s="831"/>
      <c r="W876" s="841">
        <f>+S876+7</f>
        <v>7</v>
      </c>
      <c r="X876" s="830"/>
      <c r="Y876" s="859"/>
      <c r="Z876" s="860">
        <f>Tabla1[[#This Row],[KGS]]/50</f>
        <v>0</v>
      </c>
      <c r="AA876"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76" s="844">
        <f>-Tabla1[[#This Row],[COSTO FLETE $ POR BOLSA 5O KG (SIN IVA)]]*1.21-Tabla1[[#This Row],[PRECIO $/ KG A PLAZO EN CLIENTE ( SIN IVA)]]*0.003*1.21*50</f>
        <v>0</v>
      </c>
      <c r="AC876" s="845" t="e">
        <f>SUM(Tabla1[[#This Row],[PRECIO $ BOLSA 50 KG (IVA INC) ]]+Tabla1[[#This Row],[COSTO FLETE $ BOLSA 50 KG (IVA INC)]])</f>
        <v>#VALUE!</v>
      </c>
      <c r="AD876" s="844" t="e">
        <f>-Tabla1[[#This Row],[PRECIO $ BOLSA 50 KG (IVA INC) ]]*(Tabla1[[#This Row],[TASA FINANCIACION MENSUAL]]/365)*Tabla1[[#This Row],[PLAZO ENTREGA VALORES]]</f>
        <v>#VALUE!</v>
      </c>
      <c r="AE876" s="845" t="e">
        <f>SUM(Tabla1[[#This Row],[PRECIO $ BOLSA50 KG  FOB TUCUMAN A PLAZO (IVA INC)]]+Tabla1[[#This Row],[GASTOS FINANCIEROS $ BOLSA 50 KG (IVA INC)]])</f>
        <v>#VALUE!</v>
      </c>
      <c r="AF876" s="828"/>
      <c r="AG876" s="828"/>
      <c r="AH876" s="828"/>
      <c r="AI876" s="828"/>
      <c r="AJ876"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76" s="846" t="e">
        <f>SUM(Tabla1[[#This Row],[PRECIO $ BOLSA 50KG  FOB CDO TUC (IVA INC)]]-Tabla1[[#This Row],[PRECIO REF $ BOLSA 50 KG CACTU (IVA INC)]])</f>
        <v>#VALUE!</v>
      </c>
      <c r="AL876" s="847" t="str">
        <f>IFERROR(Tabla1[[#This Row],[PRECIO $ BOLSA 50KG  FOB CDO TUC (IVA INC)]]/Tabla1[[#This Row],[PRECIO REF $ BOLSA 50 KG CACTU (IVA INC)]]-1,"")</f>
        <v/>
      </c>
      <c r="AM876" s="846" t="e">
        <f>+Tabla1[[#This Row],[DIF $ PRECIO NETO INDUSTRIA vs Neto TUCUMAN (IVA INC)]]*Tabla1[[#This Row],[Q Bolsas Equivalentes 50kg]]</f>
        <v>#VALUE!</v>
      </c>
      <c r="AN876" s="846" t="e">
        <f>Tabla1[[#This Row],[PRECIO REF $ BOLSA 50 KG CACTU (IVA INC)]]*Tabla1[[#This Row],[Q Bolsas Equivalentes 50kg]]</f>
        <v>#VALUE!</v>
      </c>
      <c r="AO876" s="846" t="e">
        <f>+Tabla1[[#This Row],[PRECIO $ BOLSA 50KG  FOB CDO TUC (IVA INC)]]*Tabla1[[#This Row],[Q Bolsas Equivalentes 50kg]]</f>
        <v>#VALUE!</v>
      </c>
      <c r="AP876" s="847"/>
      <c r="AQ876" s="846">
        <v>0</v>
      </c>
      <c r="AR876" s="828"/>
      <c r="AS876" s="849"/>
      <c r="AT876" s="923">
        <f>+Tabla1[[#This Row],[VENTA TOTAL $ (IVA INC) ]]-(SUM(Tabla1[[#This Row],[PENDIENTE DE ENTREGA]:[VALORES COBRADOS]]))</f>
        <v>0</v>
      </c>
      <c r="AU876" s="850" t="e">
        <f>VLOOKUP(Tabla1[[#This Row],[FECHA OC]],'TIPO DE CAMBIO'!A:B,2,TRUE)</f>
        <v>#N/A</v>
      </c>
      <c r="AV876" s="850" t="e">
        <f>+Tabla1[[#This Row],[SUBTOTAL]]/Tabla1[[#This Row],[TIPO DE CAMBIO]]</f>
        <v>#N/A</v>
      </c>
      <c r="AW876" s="851"/>
      <c r="AX876" s="850" t="str">
        <f>IFERROR(Tabla1[[#This Row],[VENTA TOTAL USD A PLAZO EN CLIENTE  (SIN IVA)]]*(1+Tabla1[[#This Row],[% IVA ]]),"")</f>
        <v/>
      </c>
      <c r="AY876" s="850" t="e">
        <f>+Tabla1[[#This Row],[VENTA TOTAL USD A PLAZO EN CLIENTE  (SIN IVA)]]/Tabla1[[#This Row],[KGS]]*1000</f>
        <v>#N/A</v>
      </c>
      <c r="AZ876" s="850" t="e">
        <f>-Tabla1[[#This Row],[COSTO FLETE $ POR BOLSA 5O KG (SIN IVA)]]*20/Tabla1[[#This Row],[TIPO DE CAMBIO]]</f>
        <v>#N/A</v>
      </c>
      <c r="BA876" s="850" t="e">
        <f>+Tabla1[[#This Row],[GASTOS FINANCIEROS $ BOLSA 50 KG (IVA INC)]]*20/Tabla1[[#This Row],[TIPO DE CAMBIO]]</f>
        <v>#VALUE!</v>
      </c>
      <c r="BB876" s="850" t="e">
        <f>+Tabla1[[#This Row],[PRECIO POR TN USD EN CLIENTE A PLAZO (SIN IVA)]]+Tabla1[[#This Row],[COSTO USD FLETE /TN (SIN IVA)]]+Tabla1[[#This Row],[COSTO FINANCIERO USD POR BOLSA 50KG (IVA INC)]]</f>
        <v>#N/A</v>
      </c>
      <c r="BC876" s="828"/>
      <c r="BD876" s="944"/>
    </row>
    <row r="877" spans="1:56" ht="15.75" customHeight="1">
      <c r="A877" s="912">
        <v>46478</v>
      </c>
      <c r="B877" s="853"/>
      <c r="C877" s="792"/>
      <c r="D877" s="829">
        <f>+Tabla1[[#This Row],[FECHA Entrega]]</f>
        <v>0</v>
      </c>
      <c r="E877" s="830"/>
      <c r="F877" s="831"/>
      <c r="G877" s="832"/>
      <c r="H877" s="852"/>
      <c r="I877" s="834"/>
      <c r="J877" s="835"/>
      <c r="K877" s="836">
        <f t="shared" si="163"/>
        <v>0</v>
      </c>
      <c r="L877"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77" s="837">
        <f t="shared" si="165"/>
        <v>0</v>
      </c>
      <c r="N877" s="838">
        <f>+Tabla1[[#This Row],[VENTA TOTAL $ (IVA INC) ]]</f>
        <v>0</v>
      </c>
      <c r="O877" s="838">
        <v>0</v>
      </c>
      <c r="P877" s="838">
        <v>0</v>
      </c>
      <c r="Q877" s="839">
        <f>+Tabla1[[#This Row],[VENTA TOTAL $ (IVA INC) ]]</f>
        <v>0</v>
      </c>
      <c r="R877" s="840">
        <f>+Tabla1[[#This Row],[FECHA FC]]+Tabla1[[#This Row],[PLAZO ENTREGA VALORES]]</f>
        <v>0</v>
      </c>
      <c r="S877" s="840">
        <f>+Tabla1[[#This Row],[FECHA FC]]+Tabla1[[#This Row],[PLAZO PAGO (DIAS)]]</f>
        <v>0</v>
      </c>
      <c r="T877" s="834">
        <f t="shared" ca="1" si="168"/>
        <v>-46181</v>
      </c>
      <c r="U877" s="831"/>
      <c r="V877" s="831"/>
      <c r="W877" s="841">
        <f>+S877+7</f>
        <v>7</v>
      </c>
      <c r="X877" s="830"/>
      <c r="Y877" s="859"/>
      <c r="Z877" s="860">
        <f>Tabla1[[#This Row],[KGS]]/50</f>
        <v>0</v>
      </c>
      <c r="AA877"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77" s="844">
        <f>-Tabla1[[#This Row],[COSTO FLETE $ POR BOLSA 5O KG (SIN IVA)]]*1.21-Tabla1[[#This Row],[PRECIO $/ KG A PLAZO EN CLIENTE ( SIN IVA)]]*0.003*1.21*50</f>
        <v>0</v>
      </c>
      <c r="AC877" s="845" t="e">
        <f>SUM(Tabla1[[#This Row],[PRECIO $ BOLSA 50 KG (IVA INC) ]]+Tabla1[[#This Row],[COSTO FLETE $ BOLSA 50 KG (IVA INC)]])</f>
        <v>#VALUE!</v>
      </c>
      <c r="AD877" s="844" t="e">
        <f>-Tabla1[[#This Row],[PRECIO $ BOLSA 50 KG (IVA INC) ]]*(Tabla1[[#This Row],[TASA FINANCIACION MENSUAL]]/365)*Tabla1[[#This Row],[PLAZO ENTREGA VALORES]]</f>
        <v>#VALUE!</v>
      </c>
      <c r="AE877" s="845" t="e">
        <f>SUM(Tabla1[[#This Row],[PRECIO $ BOLSA50 KG  FOB TUCUMAN A PLAZO (IVA INC)]]+Tabla1[[#This Row],[GASTOS FINANCIEROS $ BOLSA 50 KG (IVA INC)]])</f>
        <v>#VALUE!</v>
      </c>
      <c r="AF877" s="828"/>
      <c r="AG877" s="828"/>
      <c r="AH877" s="828"/>
      <c r="AI877" s="828"/>
      <c r="AJ877"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77" s="846" t="e">
        <f>SUM(Tabla1[[#This Row],[PRECIO $ BOLSA 50KG  FOB CDO TUC (IVA INC)]]-Tabla1[[#This Row],[PRECIO REF $ BOLSA 50 KG CACTU (IVA INC)]])</f>
        <v>#VALUE!</v>
      </c>
      <c r="AL877" s="847" t="str">
        <f>IFERROR(Tabla1[[#This Row],[PRECIO $ BOLSA 50KG  FOB CDO TUC (IVA INC)]]/Tabla1[[#This Row],[PRECIO REF $ BOLSA 50 KG CACTU (IVA INC)]]-1,"")</f>
        <v/>
      </c>
      <c r="AM877" s="846" t="e">
        <f>+Tabla1[[#This Row],[DIF $ PRECIO NETO INDUSTRIA vs Neto TUCUMAN (IVA INC)]]*Tabla1[[#This Row],[Q Bolsas Equivalentes 50kg]]</f>
        <v>#VALUE!</v>
      </c>
      <c r="AN877" s="846" t="e">
        <f>Tabla1[[#This Row],[PRECIO REF $ BOLSA 50 KG CACTU (IVA INC)]]*Tabla1[[#This Row],[Q Bolsas Equivalentes 50kg]]</f>
        <v>#VALUE!</v>
      </c>
      <c r="AO877" s="846" t="e">
        <f>+Tabla1[[#This Row],[PRECIO $ BOLSA 50KG  FOB CDO TUC (IVA INC)]]*Tabla1[[#This Row],[Q Bolsas Equivalentes 50kg]]</f>
        <v>#VALUE!</v>
      </c>
      <c r="AP877" s="847"/>
      <c r="AQ877" s="846">
        <v>0</v>
      </c>
      <c r="AR877" s="828"/>
      <c r="AS877" s="849"/>
      <c r="AT877" s="923">
        <f>+Tabla1[[#This Row],[VENTA TOTAL $ (IVA INC) ]]-(SUM(Tabla1[[#This Row],[PENDIENTE DE ENTREGA]:[VALORES COBRADOS]]))</f>
        <v>0</v>
      </c>
      <c r="AU877" s="850" t="e">
        <f>VLOOKUP(Tabla1[[#This Row],[FECHA OC]],'TIPO DE CAMBIO'!A:B,2,TRUE)</f>
        <v>#N/A</v>
      </c>
      <c r="AV877" s="850" t="e">
        <f>+Tabla1[[#This Row],[SUBTOTAL]]/Tabla1[[#This Row],[TIPO DE CAMBIO]]</f>
        <v>#N/A</v>
      </c>
      <c r="AW877" s="851"/>
      <c r="AX877" s="850" t="str">
        <f>IFERROR(Tabla1[[#This Row],[VENTA TOTAL USD A PLAZO EN CLIENTE  (SIN IVA)]]*(1+Tabla1[[#This Row],[% IVA ]]),"")</f>
        <v/>
      </c>
      <c r="AY877" s="850" t="e">
        <f>+Tabla1[[#This Row],[VENTA TOTAL USD A PLAZO EN CLIENTE  (SIN IVA)]]/Tabla1[[#This Row],[KGS]]*1000</f>
        <v>#N/A</v>
      </c>
      <c r="AZ877" s="850" t="e">
        <f>-Tabla1[[#This Row],[COSTO FLETE $ POR BOLSA 5O KG (SIN IVA)]]*20/Tabla1[[#This Row],[TIPO DE CAMBIO]]</f>
        <v>#N/A</v>
      </c>
      <c r="BA877" s="850" t="e">
        <f>+Tabla1[[#This Row],[GASTOS FINANCIEROS $ BOLSA 50 KG (IVA INC)]]*20/Tabla1[[#This Row],[TIPO DE CAMBIO]]</f>
        <v>#VALUE!</v>
      </c>
      <c r="BB877" s="850" t="e">
        <f>+Tabla1[[#This Row],[PRECIO POR TN USD EN CLIENTE A PLAZO (SIN IVA)]]+Tabla1[[#This Row],[COSTO USD FLETE /TN (SIN IVA)]]+Tabla1[[#This Row],[COSTO FINANCIERO USD POR BOLSA 50KG (IVA INC)]]</f>
        <v>#N/A</v>
      </c>
      <c r="BC877" s="828"/>
      <c r="BD877" s="944"/>
    </row>
    <row r="878" spans="1:56" ht="15.75" customHeight="1">
      <c r="A878" s="912">
        <v>46478</v>
      </c>
      <c r="B878" s="863"/>
      <c r="C878" s="792"/>
      <c r="D878" s="829">
        <f>+Tabla1[[#This Row],[FECHA Entrega]]</f>
        <v>0</v>
      </c>
      <c r="E878" s="830"/>
      <c r="F878" s="831"/>
      <c r="G878" s="832"/>
      <c r="H878" s="852"/>
      <c r="I878" s="834"/>
      <c r="J878" s="835"/>
      <c r="K878" s="836">
        <f t="shared" si="163"/>
        <v>0</v>
      </c>
      <c r="L878"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78" s="837">
        <f t="shared" si="165"/>
        <v>0</v>
      </c>
      <c r="N878" s="838">
        <f>+Tabla1[[#This Row],[VENTA TOTAL $ (IVA INC) ]]</f>
        <v>0</v>
      </c>
      <c r="O878" s="838">
        <v>0</v>
      </c>
      <c r="P878" s="838">
        <v>0</v>
      </c>
      <c r="Q878" s="839">
        <f>+Tabla1[[#This Row],[VENTA TOTAL $ (IVA INC) ]]-Tabla1[[#This Row],[PENDIENTE DE COBRO]]</f>
        <v>0</v>
      </c>
      <c r="R878" s="840">
        <f>+Tabla1[[#This Row],[FECHA FC]]+Tabla1[[#This Row],[PLAZO ENTREGA VALORES]]</f>
        <v>0</v>
      </c>
      <c r="S878" s="840">
        <f>+Tabla1[[#This Row],[FECHA FC]]+Tabla1[[#This Row],[PLAZO PAGO (DIAS)]]</f>
        <v>0</v>
      </c>
      <c r="T878" s="834">
        <f t="shared" ca="1" si="168"/>
        <v>-46181</v>
      </c>
      <c r="U878" s="831"/>
      <c r="V878" s="831"/>
      <c r="W878" s="841">
        <f>+Tabla1[[#This Row],[FECHA VTO VALORES]]+7</f>
        <v>7</v>
      </c>
      <c r="X878" s="830"/>
      <c r="Y878" s="859"/>
      <c r="Z878" s="860">
        <f>Tabla1[[#This Row],[KGS]]/50</f>
        <v>0</v>
      </c>
      <c r="AA878"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78" s="844">
        <f>-Tabla1[[#This Row],[COSTO FLETE $ POR BOLSA 5O KG (SIN IVA)]]*1.21-Tabla1[[#This Row],[PRECIO $/ KG A PLAZO EN CLIENTE ( SIN IVA)]]*0.003*1.21*50</f>
        <v>0</v>
      </c>
      <c r="AC878" s="845" t="e">
        <f>SUM(Tabla1[[#This Row],[PRECIO $ BOLSA 50 KG (IVA INC) ]]+Tabla1[[#This Row],[COSTO FLETE $ BOLSA 50 KG (IVA INC)]])</f>
        <v>#VALUE!</v>
      </c>
      <c r="AD878" s="844" t="e">
        <f>-Tabla1[[#This Row],[PRECIO $ BOLSA 50 KG (IVA INC) ]]*(Tabla1[[#This Row],[TASA FINANCIACION MENSUAL]]/365)*Tabla1[[#This Row],[PLAZO ENTREGA VALORES]]</f>
        <v>#VALUE!</v>
      </c>
      <c r="AE878" s="845" t="e">
        <f>SUM(Tabla1[[#This Row],[PRECIO $ BOLSA50 KG  FOB TUCUMAN A PLAZO (IVA INC)]]+Tabla1[[#This Row],[GASTOS FINANCIEROS $ BOLSA 50 KG (IVA INC)]])</f>
        <v>#VALUE!</v>
      </c>
      <c r="AF878" s="828"/>
      <c r="AG878" s="828"/>
      <c r="AH878" s="828"/>
      <c r="AI878" s="828"/>
      <c r="AJ878"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78" s="846" t="e">
        <f>SUM(Tabla1[[#This Row],[PRECIO $ BOLSA 50KG  FOB CDO TUC (IVA INC)]]-Tabla1[[#This Row],[PRECIO REF $ BOLSA 50 KG CACTU (IVA INC)]])</f>
        <v>#VALUE!</v>
      </c>
      <c r="AL878" s="847" t="str">
        <f>IFERROR(Tabla1[[#This Row],[PRECIO $ BOLSA 50KG  FOB CDO TUC (IVA INC)]]/Tabla1[[#This Row],[PRECIO REF $ BOLSA 50 KG CACTU (IVA INC)]]-1,"")</f>
        <v/>
      </c>
      <c r="AM878" s="846" t="e">
        <f>+Tabla1[[#This Row],[DIF $ PRECIO NETO INDUSTRIA vs Neto TUCUMAN (IVA INC)]]*Tabla1[[#This Row],[Q Bolsas Equivalentes 50kg]]</f>
        <v>#VALUE!</v>
      </c>
      <c r="AN878" s="846" t="e">
        <f>Tabla1[[#This Row],[PRECIO REF $ BOLSA 50 KG CACTU (IVA INC)]]*Tabla1[[#This Row],[Q Bolsas Equivalentes 50kg]]</f>
        <v>#VALUE!</v>
      </c>
      <c r="AO878" s="846" t="e">
        <f>+Tabla1[[#This Row],[PRECIO $ BOLSA 50KG  FOB CDO TUC (IVA INC)]]*Tabla1[[#This Row],[Q Bolsas Equivalentes 50kg]]</f>
        <v>#VALUE!</v>
      </c>
      <c r="AP878" s="847"/>
      <c r="AQ878" s="846">
        <v>0</v>
      </c>
      <c r="AR878" s="828"/>
      <c r="AS878" s="849"/>
      <c r="AT878" s="923">
        <f>+Tabla1[[#This Row],[VENTA TOTAL $ (IVA INC) ]]-(SUM(Tabla1[[#This Row],[PENDIENTE DE ENTREGA]:[VALORES COBRADOS]]))</f>
        <v>0</v>
      </c>
      <c r="AU878" s="850" t="e">
        <f>VLOOKUP(Tabla1[[#This Row],[FECHA OC]],'TIPO DE CAMBIO'!A:B,2,TRUE)</f>
        <v>#N/A</v>
      </c>
      <c r="AV878" s="850" t="e">
        <f>+Tabla1[[#This Row],[SUBTOTAL]]/Tabla1[[#This Row],[TIPO DE CAMBIO]]</f>
        <v>#N/A</v>
      </c>
      <c r="AW878" s="851"/>
      <c r="AX878" s="850" t="str">
        <f>IFERROR(Tabla1[[#This Row],[VENTA TOTAL USD A PLAZO EN CLIENTE  (SIN IVA)]]*(1+Tabla1[[#This Row],[% IVA ]]),"")</f>
        <v/>
      </c>
      <c r="AY878" s="850" t="e">
        <f>+Tabla1[[#This Row],[VENTA TOTAL USD A PLAZO EN CLIENTE  (SIN IVA)]]/Tabla1[[#This Row],[KGS]]*1000</f>
        <v>#N/A</v>
      </c>
      <c r="AZ878" s="850" t="e">
        <f>-Tabla1[[#This Row],[COSTO FLETE $ POR BOLSA 5O KG (SIN IVA)]]*20/Tabla1[[#This Row],[TIPO DE CAMBIO]]</f>
        <v>#N/A</v>
      </c>
      <c r="BA878" s="850" t="e">
        <f>+Tabla1[[#This Row],[GASTOS FINANCIEROS $ BOLSA 50 KG (IVA INC)]]*20/Tabla1[[#This Row],[TIPO DE CAMBIO]]</f>
        <v>#VALUE!</v>
      </c>
      <c r="BB878" s="850" t="e">
        <f>+Tabla1[[#This Row],[PRECIO POR TN USD EN CLIENTE A PLAZO (SIN IVA)]]+Tabla1[[#This Row],[COSTO USD FLETE /TN (SIN IVA)]]+Tabla1[[#This Row],[COSTO FINANCIERO USD POR BOLSA 50KG (IVA INC)]]</f>
        <v>#N/A</v>
      </c>
      <c r="BC878" s="848"/>
      <c r="BD878" s="944"/>
    </row>
    <row r="879" spans="1:56" ht="15.75" customHeight="1">
      <c r="A879" s="912">
        <v>46478</v>
      </c>
      <c r="B879" s="863"/>
      <c r="C879" s="792"/>
      <c r="D879" s="829">
        <f>+Tabla1[[#This Row],[FECHA Entrega]]</f>
        <v>0</v>
      </c>
      <c r="E879" s="830"/>
      <c r="F879" s="831"/>
      <c r="G879" s="832"/>
      <c r="H879" s="852"/>
      <c r="I879" s="834"/>
      <c r="J879" s="835"/>
      <c r="K879" s="836">
        <f t="shared" si="163"/>
        <v>0</v>
      </c>
      <c r="L879" s="836" t="str">
        <f>IF(Tabla1[[#This Row],[TIPO OPERACIÓN]]="INDUSTRIA",Tabla1[[#This Row],[SUBTOTAL]]*0.21,IF(Tabla1[[#This Row],[TIPO OPERACIÓN]]="GDES CUENTAS",Tabla1[[#This Row],[SUBTOTAL]]*0.21,IF(Tabla1[[#This Row],[TIPO OPERACIÓN]]="TUC CTADO 2","",IF(Tabla1[[#This Row],[TIPO OPERACIÓN]]="EXPO CHILE","",IF(Tabla1[[#This Row],[TIPO OPERACIÓN]]="TUC CTADO 1",Tabla1[[#This Row],[SUBTOTAL]]*0.21,"")))))</f>
        <v/>
      </c>
      <c r="M879" s="837">
        <f t="shared" si="165"/>
        <v>0</v>
      </c>
      <c r="N879" s="838">
        <f>+Tabla1[[#This Row],[VENTA TOTAL $ (IVA INC) ]]</f>
        <v>0</v>
      </c>
      <c r="O879" s="838">
        <v>0</v>
      </c>
      <c r="P879" s="838">
        <v>0</v>
      </c>
      <c r="Q879" s="839">
        <f>+Tabla1[[#This Row],[VENTA TOTAL $ (IVA INC) ]]-Tabla1[[#This Row],[PENDIENTE DE COBRO]]</f>
        <v>0</v>
      </c>
      <c r="R879" s="840">
        <f>+Tabla1[[#This Row],[FECHA FC]]+Tabla1[[#This Row],[PLAZO ENTREGA VALORES]]</f>
        <v>0</v>
      </c>
      <c r="S879" s="840">
        <f>+Tabla1[[#This Row],[FECHA FC]]+Tabla1[[#This Row],[PLAZO PAGO (DIAS)]]</f>
        <v>0</v>
      </c>
      <c r="T879" s="834">
        <f t="shared" ca="1" si="168"/>
        <v>-46181</v>
      </c>
      <c r="U879" s="831"/>
      <c r="V879" s="831"/>
      <c r="W879" s="841">
        <f>+Tabla1[[#This Row],[FECHA VTO VALORES]]+7</f>
        <v>7</v>
      </c>
      <c r="X879" s="830"/>
      <c r="Y879" s="859"/>
      <c r="Z879" s="860">
        <f>Tabla1[[#This Row],[KGS]]/50</f>
        <v>0</v>
      </c>
      <c r="AA879" s="861" t="str">
        <f>IFERROR((IF(Tabla1[[#This Row],[TIPO OPERACIÓN]]="INDUSTRIA",Tabla1[[#This Row],[PRECIO $/ KG A PLAZO EN CLIENTE ( SIN IVA)]]*50*1.21,IF(Tabla1[[#This Row],[TIPO OPERACIÓN]]="TUC CTADO 2",Tabla1[[#This Row],[PRECIO $/ KG A PLAZO EN CLIENTE ( SIN IVA)]]*50,IF(Tabla1[[#This Row],[TIPO OPERACIÓN]]="EXPO CHILE",Tabla1[[#This Row],[PRECIO $/ KG A PLAZO EN CLIENTE ( SIN IVA)]]*50*1,IF(Tabla1[[#This Row],[TIPO OPERACIÓN]]="GDES CUENTAS",Tabla1[[#This Row],[PRECIO $/ KG A PLAZO EN CLIENTE ( SIN IVA)]]*50*1.21,IF(Tabla1[[#This Row],[TIPO OPERACIÓN]]="TUC CTADO 1",Tabla1[[#This Row],[PRECIO $/ KG A PLAZO EN CLIENTE ( SIN IVA)]]*50*1.21,"")))))),"")</f>
        <v/>
      </c>
      <c r="AB879" s="844">
        <f>-Tabla1[[#This Row],[COSTO FLETE $ POR BOLSA 5O KG (SIN IVA)]]*1.21-Tabla1[[#This Row],[PRECIO $/ KG A PLAZO EN CLIENTE ( SIN IVA)]]*0.003*1.21*50</f>
        <v>0</v>
      </c>
      <c r="AC879" s="845" t="e">
        <f>SUM(Tabla1[[#This Row],[PRECIO $ BOLSA 50 KG (IVA INC) ]]+Tabla1[[#This Row],[COSTO FLETE $ BOLSA 50 KG (IVA INC)]])</f>
        <v>#VALUE!</v>
      </c>
      <c r="AD879" s="844" t="e">
        <f>-Tabla1[[#This Row],[PRECIO $ BOLSA 50 KG (IVA INC) ]]*(Tabla1[[#This Row],[TASA FINANCIACION MENSUAL]]/365)*Tabla1[[#This Row],[PLAZO ENTREGA VALORES]]</f>
        <v>#VALUE!</v>
      </c>
      <c r="AE879" s="845" t="e">
        <f>SUM(Tabla1[[#This Row],[PRECIO $ BOLSA50 KG  FOB TUCUMAN A PLAZO (IVA INC)]]+Tabla1[[#This Row],[GASTOS FINANCIEROS $ BOLSA 50 KG (IVA INC)]])</f>
        <v>#VALUE!</v>
      </c>
      <c r="AF879" s="828"/>
      <c r="AG879" s="828"/>
      <c r="AH879" s="828"/>
      <c r="AI879" s="828"/>
      <c r="AJ879" s="846" t="str">
        <f>IFERROR(IF(Tabla1[[#This Row],[TIPO OPERACIÓN]]="INDUSTRIA",VLOOKUP(Tabla1[[#This Row],[FECHA OC]],'PRECIO CACTU'!A:B,2,FALSE),IF(Tabla1[[#This Row],[TIPO OPERACIÓN]]="GDES CUENTAS",VLOOKUP(Tabla1[[#This Row],[FECHA OC]],'PRECIO CACTU'!A:B,2,FALSE),IF(Tabla1[[#This Row],[TIPO OPERACIÓN]]="EXPO CHILE",VLOOKUP(Tabla1[[#This Row],[FECHA OC]],'PRECIO CACTU'!A:B,2,FALSE)/1.21,IF(Tabla1[[#This Row],[TIPO OPERACIÓN]]="TUC CTADO 2",VLOOKUP(Tabla1[[#This Row],[FECHA OC]],'PRECIO CACTU'!A:B,2,FALSE)/1.21,IF(Tabla1[[#This Row],[TIPO OPERACIÓN]]="TUC CTADO 1",VLOOKUP(Tabla1[[#This Row],[FECHA OC]],'PRECIO CACTU'!A:B,2,FALSE),""))))),"")</f>
        <v/>
      </c>
      <c r="AK879" s="846" t="e">
        <f>SUM(Tabla1[[#This Row],[PRECIO $ BOLSA 50KG  FOB CDO TUC (IVA INC)]]-Tabla1[[#This Row],[PRECIO REF $ BOLSA 50 KG CACTU (IVA INC)]])</f>
        <v>#VALUE!</v>
      </c>
      <c r="AL879" s="847" t="str">
        <f>IFERROR(Tabla1[[#This Row],[PRECIO $ BOLSA 50KG  FOB CDO TUC (IVA INC)]]/Tabla1[[#This Row],[PRECIO REF $ BOLSA 50 KG CACTU (IVA INC)]]-1,"")</f>
        <v/>
      </c>
      <c r="AM879" s="846" t="e">
        <f>+Tabla1[[#This Row],[DIF $ PRECIO NETO INDUSTRIA vs Neto TUCUMAN (IVA INC)]]*Tabla1[[#This Row],[Q Bolsas Equivalentes 50kg]]</f>
        <v>#VALUE!</v>
      </c>
      <c r="AN879" s="846" t="e">
        <f>Tabla1[[#This Row],[PRECIO REF $ BOLSA 50 KG CACTU (IVA INC)]]*Tabla1[[#This Row],[Q Bolsas Equivalentes 50kg]]</f>
        <v>#VALUE!</v>
      </c>
      <c r="AO879" s="846" t="e">
        <f>+Tabla1[[#This Row],[PRECIO $ BOLSA 50KG  FOB CDO TUC (IVA INC)]]*Tabla1[[#This Row],[Q Bolsas Equivalentes 50kg]]</f>
        <v>#VALUE!</v>
      </c>
      <c r="AP879" s="847"/>
      <c r="AQ879" s="846">
        <v>0</v>
      </c>
      <c r="AR879" s="828"/>
      <c r="AS879" s="849"/>
      <c r="AT879" s="923">
        <f>+Tabla1[[#This Row],[VENTA TOTAL $ (IVA INC) ]]-(SUM(Tabla1[[#This Row],[PENDIENTE DE ENTREGA]:[VALORES COBRADOS]]))</f>
        <v>0</v>
      </c>
      <c r="AU879" s="850" t="e">
        <f>VLOOKUP(Tabla1[[#This Row],[FECHA OC]],'TIPO DE CAMBIO'!A:B,2,TRUE)</f>
        <v>#N/A</v>
      </c>
      <c r="AV879" s="850" t="e">
        <f>+Tabla1[[#This Row],[SUBTOTAL]]/Tabla1[[#This Row],[TIPO DE CAMBIO]]</f>
        <v>#N/A</v>
      </c>
      <c r="AW879" s="851"/>
      <c r="AX879" s="850" t="str">
        <f>IFERROR(Tabla1[[#This Row],[VENTA TOTAL USD A PLAZO EN CLIENTE  (SIN IVA)]]*(1+Tabla1[[#This Row],[% IVA ]]),"")</f>
        <v/>
      </c>
      <c r="AY879" s="850" t="e">
        <f>+Tabla1[[#This Row],[VENTA TOTAL USD A PLAZO EN CLIENTE  (SIN IVA)]]/Tabla1[[#This Row],[KGS]]*1000</f>
        <v>#N/A</v>
      </c>
      <c r="AZ879" s="850" t="e">
        <f>-Tabla1[[#This Row],[COSTO FLETE $ POR BOLSA 5O KG (SIN IVA)]]*20/Tabla1[[#This Row],[TIPO DE CAMBIO]]</f>
        <v>#N/A</v>
      </c>
      <c r="BA879" s="850" t="e">
        <f>+Tabla1[[#This Row],[GASTOS FINANCIEROS $ BOLSA 50 KG (IVA INC)]]*20/Tabla1[[#This Row],[TIPO DE CAMBIO]]</f>
        <v>#VALUE!</v>
      </c>
      <c r="BB879" s="850" t="e">
        <f>+Tabla1[[#This Row],[PRECIO POR TN USD EN CLIENTE A PLAZO (SIN IVA)]]+Tabla1[[#This Row],[COSTO USD FLETE /TN (SIN IVA)]]+Tabla1[[#This Row],[COSTO FINANCIERO USD POR BOLSA 50KG (IVA INC)]]</f>
        <v>#N/A</v>
      </c>
      <c r="BC879" s="848"/>
      <c r="BD879" s="944"/>
    </row>
    <row r="880" spans="1:56" ht="15.75" customHeight="1">
      <c r="A880" s="913"/>
      <c r="B880" s="868">
        <f>SUBTOTAL(109,Tabla1[CANTIDAD EQUIPOS])</f>
        <v>358</v>
      </c>
      <c r="C880" s="869"/>
      <c r="D880" s="870"/>
      <c r="E880" s="871"/>
      <c r="F880" s="871"/>
      <c r="G880" s="871"/>
      <c r="H880" s="872"/>
      <c r="I880" s="873">
        <f>SUBTOTAL(109,Tabla1[KGS])</f>
        <v>12235526</v>
      </c>
      <c r="J880" s="874">
        <f>SUBTOTAL(1,Tabla1[PRECIO $/ KG A PLAZO EN CLIENTE ( SIN IVA)])</f>
        <v>511.26155075908082</v>
      </c>
      <c r="K880" s="875">
        <f>SUBTOTAL(109,Tabla1[SUBTOTAL])</f>
        <v>6183065871.5224276</v>
      </c>
      <c r="L880" s="876">
        <f>SUBTOTAL(109,Tabla1[IVA])</f>
        <v>1188526340.8304999</v>
      </c>
      <c r="M880" s="877">
        <f>SUBTOTAL(9,Tabla1[VENTA TOTAL $ (IVA INC) ])</f>
        <v>7371592212.3529081</v>
      </c>
      <c r="N880" s="878">
        <f>SUBTOTAL(9,Tabla1[PENDIENTE DE ENTREGA])</f>
        <v>1039027690.2578515</v>
      </c>
      <c r="O880" s="879">
        <f>SUBTOTAL(109,Tabla1[PENDIENTE DE COBRO])</f>
        <v>142656277.5</v>
      </c>
      <c r="P880" s="880">
        <f>SUBTOTAL(9,Tabla1[VALORES EN CARTERA])</f>
        <v>0</v>
      </c>
      <c r="Q880" s="881">
        <f ca="1">SUBTOTAL(9,Tabla1[VALORES COBRADOS])</f>
        <v>0</v>
      </c>
      <c r="R880" s="882"/>
      <c r="S880" s="882"/>
      <c r="T880" s="873"/>
      <c r="U880" s="871"/>
      <c r="V880" s="871"/>
      <c r="W880" s="883"/>
      <c r="X880" s="831"/>
      <c r="Y880" s="882"/>
      <c r="Z880" s="884">
        <f>SUBTOTAL(9,Tabla1[Q Bolsas Equivalentes 50kg])</f>
        <v>244710.51999999993</v>
      </c>
      <c r="AA880" s="885">
        <f>SUBTOTAL(101,Tabla1[PRECIO $ BOLSA 50 KG (IVA INC) ])</f>
        <v>30430.500220965427</v>
      </c>
      <c r="AB880" s="886">
        <f>SUBTOTAL(101,Tabla1[COSTO FLETE $ BOLSA 50 KG (IVA INC)])</f>
        <v>-234.40421253437836</v>
      </c>
      <c r="AC880" s="885" t="e">
        <f>SUBTOTAL(101,Tabla1[PRECIO $ BOLSA50 KG  FOB TUCUMAN A PLAZO (IVA INC)])</f>
        <v>#VALUE!</v>
      </c>
      <c r="AD880" s="886" t="e">
        <f ca="1">SUBTOTAL(101,Tabla1[GASTOS FINANCIEROS $ BOLSA 50 KG (IVA INC)])</f>
        <v>#VALUE!</v>
      </c>
      <c r="AE880" s="887" t="e">
        <f ca="1">SUBTOTAL(101,Tabla1[PRECIO $ BOLSA 50KG  FOB CDO TUC (IVA INC)])</f>
        <v>#VALUE!</v>
      </c>
      <c r="AF880" s="853"/>
      <c r="AG880" s="853"/>
      <c r="AH880" s="853"/>
      <c r="AI880" s="853"/>
      <c r="AJ880" s="888"/>
      <c r="AK880" s="889"/>
      <c r="AL880" s="890">
        <f ca="1">SUBTOTAL(101,Tabla1[DIF % PRECIO NETO INDUSTRIA vs Neto TUCUMAN (IVA INC)])</f>
        <v>-0.11449395001338214</v>
      </c>
      <c r="AM880" s="891" t="e">
        <f ca="1">SUBTOTAL(9,Tabla1[TOTAL GANANCIA $ POR OPERACIÓN  VS. CACTU (IVA INC)])</f>
        <v>#VALUE!</v>
      </c>
      <c r="AN880" s="889" t="e">
        <f>SUBTOTAL(9,Tabla1[VENTA EQUIVALENTE $ CACTU (IVA INC)])</f>
        <v>#VALUE!</v>
      </c>
      <c r="AO880" s="889" t="e">
        <f ca="1">SUBTOTAL(9,Tabla1[VENTA EQU $  LA CORONA FOB TUC (IVA INC)])</f>
        <v>#VALUE!</v>
      </c>
      <c r="AP880" s="892"/>
      <c r="AQ880" s="889"/>
      <c r="AR880" s="853"/>
      <c r="AS880" s="853"/>
      <c r="AT880" s="940"/>
      <c r="AU880" s="941"/>
      <c r="AV880" s="893" t="e">
        <f>SUBTOTAL(109,Tabla1[VENTA TOTAL USD A PLAZO EN CLIENTE  (SIN IVA)])</f>
        <v>#N/A</v>
      </c>
      <c r="AW880" s="893"/>
      <c r="AX880" s="893">
        <f>SUBTOTAL(109,Tabla1[VENTA TOTAL USD A PLAZO EN CLIENTE  (IVA INC)])</f>
        <v>4370552.9855687851</v>
      </c>
      <c r="AY880" s="893" t="e">
        <f>AVERAGE(Tabla1[PRECIO POR TN USD EN CLIENTE A PLAZO (SIN IVA)])</f>
        <v>#N/A</v>
      </c>
      <c r="AZ880" s="941"/>
      <c r="BA880" s="941"/>
      <c r="BB880" s="893" t="e">
        <f ca="1">AVERAGE(Tabla1[PRECIO  USD TON FOB CORONA])</f>
        <v>#N/A</v>
      </c>
      <c r="BC880" s="853" t="s">
        <v>518</v>
      </c>
      <c r="BD880" s="946"/>
    </row>
    <row r="881" spans="3:41" ht="15.75" customHeight="1">
      <c r="F881" s="894"/>
      <c r="H881" s="894"/>
      <c r="I881" s="793" t="s">
        <v>253</v>
      </c>
      <c r="J881" s="895">
        <f>+Tabla1[[#Totals],[VENTA TOTAL $ (IVA INC) ]]/Tabla1[[#Totals],[KGS]]</f>
        <v>602.47448392107606</v>
      </c>
      <c r="L881" s="896">
        <f>+Tabla1[[#Totals],[VENTA TOTAL $ (IVA INC) ]]/Tabla1[[#Totals],[SUBTOTAL]]-1</f>
        <v>0.19222281721184942</v>
      </c>
      <c r="M881" s="897"/>
      <c r="N881" s="898"/>
      <c r="O881" s="899"/>
      <c r="R881" s="798"/>
      <c r="Z881" s="799"/>
      <c r="AD881" s="900"/>
      <c r="AK881" s="800"/>
      <c r="AO881" s="846"/>
    </row>
    <row r="882" spans="3:41" ht="15.75" customHeight="1">
      <c r="E882" s="802"/>
      <c r="F882" s="802"/>
      <c r="G882" s="802"/>
      <c r="H882" s="802"/>
      <c r="I882" s="793" t="s">
        <v>252</v>
      </c>
      <c r="J882" s="895">
        <f>+J881/(1+L881)</f>
        <v>505.33715277319732</v>
      </c>
      <c r="K882" s="901"/>
      <c r="L882" s="902"/>
      <c r="N882" s="793"/>
      <c r="O882" s="897"/>
      <c r="R882" s="798"/>
      <c r="Z882" s="799"/>
      <c r="AK882" s="800"/>
      <c r="AM882" s="903"/>
    </row>
    <row r="883" spans="3:41" ht="15.75" customHeight="1">
      <c r="C883" s="802"/>
      <c r="D883" s="917"/>
      <c r="E883" s="802"/>
      <c r="F883" s="802"/>
      <c r="G883" s="802"/>
      <c r="H883" s="802"/>
      <c r="J883" s="895"/>
      <c r="M883" s="897"/>
      <c r="N883" s="793"/>
      <c r="O883" s="897"/>
      <c r="P883" s="808"/>
      <c r="Q883" s="904"/>
      <c r="R883" s="798"/>
      <c r="Z883" s="799"/>
      <c r="AK883" s="800"/>
      <c r="AM883" s="902"/>
    </row>
    <row r="884" spans="3:41" ht="15.75" customHeight="1">
      <c r="C884" s="802"/>
      <c r="D884" s="917"/>
      <c r="E884" s="796"/>
      <c r="F884" s="796"/>
      <c r="G884" s="796"/>
      <c r="H884" s="796"/>
      <c r="L884" s="905"/>
      <c r="O884" s="808"/>
      <c r="P884" s="808"/>
      <c r="R884" s="798"/>
      <c r="V884" s="905"/>
      <c r="Z884" s="799"/>
      <c r="AK884" s="800"/>
    </row>
    <row r="885" spans="3:41" ht="15.75" customHeight="1">
      <c r="C885" s="802"/>
      <c r="D885" s="917"/>
      <c r="E885" s="796"/>
      <c r="F885" s="796"/>
      <c r="G885" s="796"/>
      <c r="H885" s="796"/>
      <c r="I885" s="796"/>
      <c r="J885" s="796"/>
      <c r="K885" s="796"/>
      <c r="L885" s="796"/>
      <c r="M885" s="796"/>
      <c r="O885" s="808"/>
      <c r="R885" s="798"/>
      <c r="Z885" s="799"/>
      <c r="AK885" s="800"/>
    </row>
    <row r="886" spans="3:41" ht="15.75" customHeight="1">
      <c r="C886" s="802"/>
      <c r="D886" s="917"/>
      <c r="E886" s="796"/>
      <c r="F886" s="796"/>
      <c r="G886" s="796"/>
      <c r="H886" s="796"/>
      <c r="I886" s="796"/>
      <c r="J886" s="796"/>
      <c r="K886" s="796"/>
      <c r="L886" s="796"/>
      <c r="M886" s="796"/>
      <c r="O886" s="808"/>
      <c r="R886" s="798"/>
      <c r="Z886" s="799"/>
      <c r="AK886" s="800"/>
    </row>
    <row r="887" spans="3:41" ht="15.75" customHeight="1">
      <c r="C887" s="802"/>
      <c r="D887" s="917"/>
      <c r="E887" s="796"/>
      <c r="F887" s="796"/>
      <c r="G887" s="796"/>
      <c r="H887" s="796"/>
      <c r="I887" s="796"/>
      <c r="J887" s="796"/>
      <c r="K887" s="796"/>
      <c r="L887" s="796"/>
      <c r="M887" s="796"/>
      <c r="O887" s="808"/>
      <c r="R887" s="798"/>
      <c r="Z887" s="799"/>
      <c r="AK887" s="800"/>
    </row>
    <row r="888" spans="3:41" ht="15.75" customHeight="1">
      <c r="C888" s="802"/>
      <c r="D888" s="917"/>
      <c r="E888" s="796"/>
      <c r="F888" s="796"/>
      <c r="G888" s="796"/>
      <c r="H888" s="796"/>
      <c r="I888" s="796"/>
      <c r="J888" s="796"/>
      <c r="K888" s="796"/>
      <c r="L888" s="796"/>
      <c r="M888" s="796"/>
      <c r="O888" s="808"/>
      <c r="R888" s="798"/>
      <c r="Z888" s="799"/>
      <c r="AK888" s="800"/>
    </row>
    <row r="889" spans="3:41" ht="15.75" customHeight="1">
      <c r="C889" s="802"/>
      <c r="D889" s="917"/>
      <c r="E889" s="796"/>
      <c r="F889" s="796"/>
      <c r="G889" s="796"/>
      <c r="H889" s="796"/>
      <c r="I889" s="796"/>
      <c r="J889" s="796"/>
      <c r="K889" s="796"/>
      <c r="L889" s="796"/>
      <c r="M889" s="796"/>
      <c r="R889" s="798"/>
      <c r="Z889" s="799"/>
      <c r="AK889" s="800"/>
    </row>
    <row r="890" spans="3:41" ht="15.75" customHeight="1">
      <c r="C890" s="802"/>
      <c r="D890" s="917"/>
      <c r="E890" s="796"/>
      <c r="F890" s="796"/>
      <c r="G890" s="796"/>
      <c r="H890" s="796"/>
      <c r="I890" s="796"/>
      <c r="J890" s="796"/>
      <c r="K890" s="796"/>
      <c r="L890" s="796"/>
      <c r="M890" s="796"/>
      <c r="R890" s="798"/>
      <c r="Z890" s="799"/>
      <c r="AK890" s="800"/>
    </row>
    <row r="891" spans="3:41" ht="15.75" customHeight="1">
      <c r="C891" s="802"/>
      <c r="D891" s="917"/>
      <c r="E891" s="796"/>
      <c r="F891" s="796"/>
      <c r="G891" s="796"/>
      <c r="H891" s="796"/>
      <c r="J891" s="793"/>
      <c r="K891" s="796"/>
      <c r="L891" s="796"/>
      <c r="M891" s="796"/>
      <c r="R891" s="798"/>
      <c r="Z891" s="799"/>
      <c r="AK891" s="800"/>
    </row>
    <row r="892" spans="3:41" ht="15.75" customHeight="1">
      <c r="C892" s="802"/>
      <c r="D892" s="917"/>
      <c r="E892" s="802"/>
      <c r="F892" s="802"/>
      <c r="G892" s="802"/>
      <c r="H892" s="906"/>
      <c r="J892" s="793"/>
      <c r="K892" s="796"/>
      <c r="L892" s="796"/>
      <c r="M892" s="796"/>
      <c r="R892" s="798"/>
      <c r="Z892" s="799"/>
      <c r="AK892" s="800"/>
    </row>
    <row r="893" spans="3:41" ht="15.75" customHeight="1">
      <c r="C893" s="802"/>
      <c r="D893" s="917"/>
      <c r="E893" s="802"/>
      <c r="F893" s="802"/>
      <c r="G893" s="802"/>
      <c r="H893" s="906"/>
      <c r="J893" s="793"/>
      <c r="K893" s="796"/>
      <c r="L893" s="796"/>
      <c r="M893" s="796"/>
      <c r="R893" s="798"/>
      <c r="Z893" s="799"/>
      <c r="AK893" s="800"/>
    </row>
    <row r="894" spans="3:41" ht="15.75" customHeight="1">
      <c r="C894" s="802"/>
      <c r="D894" s="917"/>
      <c r="E894" s="802"/>
      <c r="F894" s="802"/>
      <c r="G894" s="802"/>
      <c r="H894" s="906"/>
      <c r="J894" s="793"/>
      <c r="K894" s="796"/>
      <c r="L894" s="796"/>
      <c r="M894" s="796"/>
      <c r="R894" s="798"/>
      <c r="Z894" s="799"/>
      <c r="AK894" s="800"/>
    </row>
    <row r="895" spans="3:41" ht="15.75" customHeight="1">
      <c r="C895" s="802"/>
      <c r="D895" s="917"/>
      <c r="E895" s="802"/>
      <c r="F895" s="802"/>
      <c r="G895" s="802"/>
      <c r="J895" s="793"/>
      <c r="K895" s="796"/>
      <c r="L895" s="796"/>
      <c r="M895" s="796"/>
      <c r="R895" s="798"/>
      <c r="Z895" s="799"/>
      <c r="AK895" s="800"/>
    </row>
    <row r="896" spans="3:41" ht="15.75" customHeight="1">
      <c r="C896" s="802"/>
      <c r="D896" s="917"/>
      <c r="E896" s="802"/>
      <c r="F896" s="802"/>
      <c r="G896" s="802"/>
      <c r="J896" s="793"/>
      <c r="K896" s="796"/>
      <c r="L896" s="796"/>
      <c r="M896" s="796"/>
      <c r="R896" s="798"/>
      <c r="Z896" s="799"/>
      <c r="AK896" s="800"/>
    </row>
    <row r="897" spans="3:37" ht="15.75" customHeight="1">
      <c r="C897" s="802"/>
      <c r="D897" s="917"/>
      <c r="E897" s="802"/>
      <c r="F897" s="802"/>
      <c r="G897" s="802"/>
      <c r="J897" s="793"/>
      <c r="K897" s="796"/>
      <c r="L897" s="796"/>
      <c r="M897" s="796"/>
      <c r="R897" s="798"/>
      <c r="Z897" s="799"/>
      <c r="AK897" s="800"/>
    </row>
    <row r="898" spans="3:37" ht="15.75" customHeight="1">
      <c r="C898" s="802"/>
      <c r="D898" s="917"/>
      <c r="E898" s="802"/>
      <c r="F898" s="802"/>
      <c r="G898" s="802"/>
      <c r="J898" s="793"/>
      <c r="K898" s="796"/>
      <c r="L898" s="796"/>
      <c r="M898" s="796"/>
      <c r="R898" s="798"/>
      <c r="Z898" s="799"/>
      <c r="AK898" s="800"/>
    </row>
    <row r="899" spans="3:37" ht="15.75" customHeight="1">
      <c r="C899" s="802"/>
      <c r="D899" s="917"/>
      <c r="E899" s="802"/>
      <c r="F899" s="802"/>
      <c r="G899" s="802"/>
      <c r="J899" s="793"/>
      <c r="K899" s="796"/>
      <c r="L899" s="796"/>
      <c r="M899" s="796"/>
      <c r="R899" s="798"/>
      <c r="Z899" s="799"/>
      <c r="AK899" s="800"/>
    </row>
    <row r="900" spans="3:37" ht="15.75" customHeight="1">
      <c r="C900" s="802"/>
      <c r="D900" s="917"/>
      <c r="E900" s="802"/>
      <c r="F900" s="802"/>
      <c r="G900" s="802"/>
      <c r="J900" s="793"/>
      <c r="K900" s="796"/>
      <c r="L900" s="796"/>
      <c r="M900" s="796"/>
      <c r="R900" s="798"/>
      <c r="Z900" s="799"/>
      <c r="AK900" s="800"/>
    </row>
    <row r="901" spans="3:37" ht="15.75" customHeight="1">
      <c r="C901" s="802"/>
      <c r="D901" s="917"/>
      <c r="E901" s="802"/>
      <c r="F901" s="802"/>
      <c r="G901" s="802"/>
      <c r="J901" s="793"/>
      <c r="R901" s="798"/>
      <c r="Z901" s="799"/>
      <c r="AK901" s="800"/>
    </row>
    <row r="902" spans="3:37" ht="15.75" customHeight="1">
      <c r="C902" s="802"/>
      <c r="D902" s="917"/>
      <c r="E902" s="802"/>
      <c r="F902" s="802"/>
      <c r="G902" s="802"/>
      <c r="J902" s="793"/>
      <c r="R902" s="798"/>
      <c r="Z902" s="799"/>
      <c r="AK902" s="800"/>
    </row>
    <row r="903" spans="3:37" ht="15.75" customHeight="1">
      <c r="C903" s="802"/>
      <c r="D903" s="917"/>
      <c r="E903" s="802"/>
      <c r="F903" s="802"/>
      <c r="G903" s="802"/>
      <c r="J903" s="793"/>
      <c r="R903" s="798"/>
      <c r="Z903" s="799"/>
      <c r="AK903" s="800"/>
    </row>
    <row r="904" spans="3:37" ht="15.75" customHeight="1">
      <c r="C904" s="802"/>
      <c r="D904" s="917"/>
      <c r="E904" s="802"/>
      <c r="F904" s="802"/>
      <c r="G904" s="802"/>
      <c r="J904" s="793"/>
      <c r="R904" s="798"/>
      <c r="Z904" s="799"/>
      <c r="AK904" s="800"/>
    </row>
    <row r="905" spans="3:37" ht="15.75" customHeight="1">
      <c r="C905" s="802"/>
      <c r="D905" s="917"/>
      <c r="E905" s="802"/>
      <c r="F905" s="802"/>
      <c r="G905" s="802"/>
      <c r="J905" s="793"/>
      <c r="R905" s="798"/>
      <c r="Z905" s="799"/>
      <c r="AK905" s="800"/>
    </row>
    <row r="906" spans="3:37" ht="15.75" customHeight="1">
      <c r="C906" s="802"/>
      <c r="D906" s="917"/>
      <c r="E906" s="802"/>
      <c r="F906" s="802"/>
      <c r="G906" s="802"/>
      <c r="J906" s="793"/>
      <c r="R906" s="798"/>
      <c r="Z906" s="799"/>
      <c r="AK906" s="800"/>
    </row>
    <row r="907" spans="3:37" ht="15.75" customHeight="1">
      <c r="J907" s="793"/>
      <c r="R907" s="798"/>
      <c r="Z907" s="799"/>
      <c r="AK907" s="800"/>
    </row>
    <row r="908" spans="3:37" ht="15.75" customHeight="1">
      <c r="R908" s="798"/>
      <c r="Z908" s="799"/>
      <c r="AK908" s="800"/>
    </row>
    <row r="909" spans="3:37" ht="15.75" customHeight="1">
      <c r="R909" s="798"/>
      <c r="Z909" s="799"/>
      <c r="AK909" s="800"/>
    </row>
    <row r="910" spans="3:37" ht="15.75" customHeight="1">
      <c r="R910" s="798"/>
      <c r="Z910" s="799"/>
      <c r="AK910" s="800"/>
    </row>
    <row r="911" spans="3:37" ht="15.75" customHeight="1">
      <c r="R911" s="798"/>
      <c r="Z911" s="799"/>
      <c r="AK911" s="800"/>
    </row>
    <row r="912" spans="3:37" ht="15.75" customHeight="1">
      <c r="R912" s="798"/>
      <c r="Z912" s="799"/>
      <c r="AK912" s="800"/>
    </row>
    <row r="913" spans="18:37" ht="15.75" customHeight="1">
      <c r="R913" s="798"/>
      <c r="Z913" s="799"/>
      <c r="AK913" s="800"/>
    </row>
    <row r="914" spans="18:37" ht="15.75" customHeight="1">
      <c r="R914" s="798"/>
      <c r="Z914" s="799"/>
      <c r="AK914" s="800"/>
    </row>
    <row r="915" spans="18:37" ht="15.75" customHeight="1">
      <c r="R915" s="798"/>
      <c r="Z915" s="799"/>
      <c r="AK915" s="800"/>
    </row>
    <row r="916" spans="18:37" ht="15.75" customHeight="1">
      <c r="R916" s="798"/>
      <c r="Z916" s="799"/>
      <c r="AK916" s="800"/>
    </row>
    <row r="917" spans="18:37" ht="15.75" customHeight="1">
      <c r="R917" s="798"/>
      <c r="Z917" s="799"/>
      <c r="AK917" s="800"/>
    </row>
    <row r="918" spans="18:37" ht="15.75" customHeight="1">
      <c r="R918" s="798"/>
      <c r="Z918" s="799"/>
      <c r="AK918" s="800"/>
    </row>
    <row r="919" spans="18:37" ht="15.75" customHeight="1">
      <c r="R919" s="798"/>
      <c r="Z919" s="799"/>
      <c r="AK919" s="800"/>
    </row>
    <row r="920" spans="18:37" ht="15.75" customHeight="1">
      <c r="R920" s="798"/>
      <c r="Z920" s="799"/>
      <c r="AK920" s="800"/>
    </row>
    <row r="921" spans="18:37" ht="15.75" customHeight="1">
      <c r="R921" s="798"/>
      <c r="Z921" s="799"/>
      <c r="AK921" s="800"/>
    </row>
    <row r="922" spans="18:37" ht="15.75" customHeight="1">
      <c r="R922" s="798"/>
      <c r="Z922" s="799"/>
      <c r="AK922" s="800"/>
    </row>
    <row r="923" spans="18:37" ht="15.75" customHeight="1">
      <c r="R923" s="798"/>
      <c r="Z923" s="799"/>
      <c r="AK923" s="800"/>
    </row>
    <row r="924" spans="18:37" ht="15.75" customHeight="1">
      <c r="R924" s="798"/>
      <c r="Z924" s="799"/>
      <c r="AK924" s="800"/>
    </row>
    <row r="925" spans="18:37" ht="15.75" customHeight="1">
      <c r="R925" s="798"/>
      <c r="Z925" s="799"/>
      <c r="AK925" s="800"/>
    </row>
    <row r="926" spans="18:37" ht="15.75" customHeight="1">
      <c r="R926" s="798"/>
      <c r="Z926" s="799"/>
      <c r="AK926" s="800"/>
    </row>
    <row r="927" spans="18:37" ht="15.75" customHeight="1">
      <c r="R927" s="798"/>
      <c r="Z927" s="799"/>
      <c r="AK927" s="800"/>
    </row>
    <row r="928" spans="18:37" ht="15.75" customHeight="1">
      <c r="R928" s="798"/>
      <c r="Z928" s="799"/>
      <c r="AK928" s="800"/>
    </row>
    <row r="929" spans="18:37" ht="15.75" customHeight="1">
      <c r="R929" s="798"/>
      <c r="Z929" s="799"/>
      <c r="AK929" s="800"/>
    </row>
    <row r="930" spans="18:37" ht="15.75" customHeight="1">
      <c r="R930" s="798"/>
      <c r="Z930" s="799"/>
      <c r="AK930" s="800"/>
    </row>
    <row r="931" spans="18:37" ht="15.75" customHeight="1">
      <c r="R931" s="798"/>
      <c r="Z931" s="799"/>
      <c r="AK931" s="800"/>
    </row>
    <row r="932" spans="18:37" ht="15.75" customHeight="1">
      <c r="R932" s="798"/>
      <c r="Z932" s="799"/>
      <c r="AK932" s="800"/>
    </row>
    <row r="933" spans="18:37" ht="15.75" customHeight="1">
      <c r="R933" s="798"/>
      <c r="Z933" s="799"/>
      <c r="AK933" s="800"/>
    </row>
    <row r="934" spans="18:37" ht="15.75" customHeight="1">
      <c r="R934" s="798"/>
      <c r="Z934" s="799"/>
      <c r="AK934" s="800"/>
    </row>
    <row r="935" spans="18:37" ht="15.75" customHeight="1">
      <c r="R935" s="798"/>
      <c r="Z935" s="799"/>
      <c r="AK935" s="800"/>
    </row>
    <row r="936" spans="18:37" ht="15.75" customHeight="1">
      <c r="R936" s="798"/>
      <c r="Z936" s="799"/>
      <c r="AK936" s="800"/>
    </row>
    <row r="937" spans="18:37" ht="15.75" customHeight="1">
      <c r="R937" s="798"/>
      <c r="Z937" s="799"/>
      <c r="AK937" s="800"/>
    </row>
    <row r="938" spans="18:37" ht="15.75" customHeight="1">
      <c r="R938" s="798"/>
      <c r="Z938" s="799"/>
      <c r="AK938" s="800"/>
    </row>
    <row r="939" spans="18:37" ht="15.75" customHeight="1">
      <c r="R939" s="798"/>
      <c r="Z939" s="799"/>
      <c r="AK939" s="800"/>
    </row>
    <row r="940" spans="18:37" ht="15.75" customHeight="1">
      <c r="R940" s="798"/>
      <c r="Z940" s="799"/>
      <c r="AK940" s="800"/>
    </row>
    <row r="941" spans="18:37" ht="15.75" customHeight="1">
      <c r="R941" s="798"/>
      <c r="Z941" s="799"/>
      <c r="AK941" s="800"/>
    </row>
    <row r="942" spans="18:37" ht="15.75" customHeight="1">
      <c r="R942" s="798"/>
      <c r="Z942" s="799"/>
      <c r="AK942" s="800"/>
    </row>
    <row r="943" spans="18:37" ht="15.75" customHeight="1">
      <c r="R943" s="798"/>
      <c r="Z943" s="799"/>
      <c r="AK943" s="800"/>
    </row>
    <row r="944" spans="18:37" ht="15.75" customHeight="1">
      <c r="R944" s="798"/>
      <c r="Z944" s="799"/>
      <c r="AK944" s="800"/>
    </row>
    <row r="945" spans="18:37" ht="15.75" customHeight="1">
      <c r="R945" s="798"/>
      <c r="Z945" s="799"/>
      <c r="AK945" s="800"/>
    </row>
    <row r="946" spans="18:37" ht="15.75" customHeight="1">
      <c r="R946" s="798"/>
      <c r="Z946" s="799"/>
      <c r="AK946" s="800"/>
    </row>
    <row r="947" spans="18:37" ht="15.75" customHeight="1">
      <c r="R947" s="798"/>
      <c r="Z947" s="799"/>
      <c r="AK947" s="800"/>
    </row>
    <row r="948" spans="18:37" ht="15.75" customHeight="1">
      <c r="R948" s="798"/>
      <c r="Z948" s="799"/>
      <c r="AK948" s="800"/>
    </row>
    <row r="949" spans="18:37" ht="15.75" customHeight="1">
      <c r="R949" s="798"/>
      <c r="Z949" s="799"/>
      <c r="AK949" s="800"/>
    </row>
    <row r="950" spans="18:37" ht="15.75" customHeight="1">
      <c r="R950" s="798"/>
      <c r="Z950" s="799"/>
      <c r="AK950" s="800"/>
    </row>
    <row r="951" spans="18:37" ht="15.75" customHeight="1">
      <c r="R951" s="798"/>
      <c r="Z951" s="799"/>
      <c r="AK951" s="800"/>
    </row>
    <row r="952" spans="18:37" ht="15.75" customHeight="1">
      <c r="R952" s="798"/>
      <c r="Z952" s="799"/>
      <c r="AK952" s="800"/>
    </row>
    <row r="953" spans="18:37" ht="15.75" customHeight="1">
      <c r="R953" s="798"/>
      <c r="Z953" s="799"/>
      <c r="AK953" s="800"/>
    </row>
    <row r="954" spans="18:37" ht="15.75" customHeight="1">
      <c r="R954" s="798"/>
      <c r="Z954" s="799"/>
      <c r="AK954" s="800"/>
    </row>
    <row r="955" spans="18:37" ht="15.75" customHeight="1">
      <c r="R955" s="798"/>
      <c r="Z955" s="799"/>
      <c r="AK955" s="800"/>
    </row>
    <row r="956" spans="18:37" ht="15.75" customHeight="1">
      <c r="R956" s="798"/>
      <c r="Z956" s="799"/>
      <c r="AK956" s="800"/>
    </row>
    <row r="957" spans="18:37" ht="15.75" customHeight="1">
      <c r="R957" s="798"/>
      <c r="Z957" s="799"/>
      <c r="AK957" s="800"/>
    </row>
    <row r="958" spans="18:37" ht="15.75" customHeight="1">
      <c r="R958" s="798"/>
      <c r="Z958" s="799"/>
      <c r="AK958" s="800"/>
    </row>
    <row r="959" spans="18:37" ht="15.75" customHeight="1">
      <c r="R959" s="798"/>
      <c r="Z959" s="799"/>
      <c r="AK959" s="800"/>
    </row>
    <row r="960" spans="18:37" ht="15.75" customHeight="1">
      <c r="R960" s="798"/>
      <c r="Z960" s="799"/>
      <c r="AK960" s="800"/>
    </row>
    <row r="961" spans="18:37" ht="15.75" customHeight="1">
      <c r="R961" s="798"/>
      <c r="Z961" s="799"/>
      <c r="AK961" s="800"/>
    </row>
    <row r="962" spans="18:37" ht="15.75" customHeight="1">
      <c r="R962" s="798"/>
      <c r="Z962" s="799"/>
      <c r="AK962" s="800"/>
    </row>
    <row r="963" spans="18:37" ht="15.75" customHeight="1">
      <c r="R963" s="798"/>
      <c r="Z963" s="799"/>
      <c r="AK963" s="800"/>
    </row>
    <row r="964" spans="18:37" ht="15.75" customHeight="1">
      <c r="R964" s="798"/>
      <c r="Z964" s="799"/>
      <c r="AK964" s="800"/>
    </row>
    <row r="965" spans="18:37" ht="15.75" customHeight="1">
      <c r="R965" s="798"/>
      <c r="Z965" s="799"/>
      <c r="AK965" s="800"/>
    </row>
    <row r="966" spans="18:37" ht="15.75" customHeight="1">
      <c r="R966" s="798"/>
      <c r="Z966" s="799"/>
      <c r="AK966" s="800"/>
    </row>
    <row r="967" spans="18:37" ht="15.75" customHeight="1">
      <c r="R967" s="798"/>
      <c r="Z967" s="799"/>
      <c r="AK967" s="800"/>
    </row>
    <row r="968" spans="18:37" ht="15.75" customHeight="1">
      <c r="R968" s="798"/>
      <c r="Z968" s="799"/>
      <c r="AK968" s="800"/>
    </row>
    <row r="969" spans="18:37" ht="15.75" customHeight="1">
      <c r="R969" s="798"/>
      <c r="Z969" s="799"/>
      <c r="AK969" s="800"/>
    </row>
    <row r="970" spans="18:37" ht="15.75" customHeight="1">
      <c r="R970" s="798"/>
      <c r="Z970" s="799"/>
      <c r="AK970" s="800"/>
    </row>
    <row r="971" spans="18:37" ht="15.75" customHeight="1">
      <c r="R971" s="798"/>
      <c r="Z971" s="799"/>
      <c r="AK971" s="800"/>
    </row>
    <row r="972" spans="18:37" ht="15.75" customHeight="1">
      <c r="R972" s="798"/>
      <c r="Z972" s="799"/>
      <c r="AK972" s="800"/>
    </row>
    <row r="973" spans="18:37" ht="15.75" customHeight="1">
      <c r="R973" s="798"/>
      <c r="Z973" s="799"/>
      <c r="AK973" s="800"/>
    </row>
    <row r="974" spans="18:37" ht="15.75" customHeight="1">
      <c r="R974" s="798"/>
      <c r="Z974" s="799"/>
      <c r="AK974" s="800"/>
    </row>
    <row r="975" spans="18:37" ht="15.75" customHeight="1">
      <c r="R975" s="798"/>
      <c r="Z975" s="799"/>
      <c r="AK975" s="800"/>
    </row>
    <row r="976" spans="18:37" ht="15.75" customHeight="1">
      <c r="R976" s="798"/>
      <c r="Z976" s="799"/>
      <c r="AK976" s="800"/>
    </row>
    <row r="977" spans="18:37" ht="15.75" customHeight="1">
      <c r="R977" s="798"/>
      <c r="Z977" s="799"/>
      <c r="AK977" s="800"/>
    </row>
    <row r="978" spans="18:37" ht="15.75" customHeight="1">
      <c r="R978" s="798"/>
      <c r="Z978" s="799"/>
      <c r="AK978" s="800"/>
    </row>
    <row r="979" spans="18:37" ht="15.75" customHeight="1">
      <c r="R979" s="798"/>
      <c r="Z979" s="799"/>
      <c r="AK979" s="800"/>
    </row>
    <row r="980" spans="18:37" ht="15.75" customHeight="1">
      <c r="R980" s="798"/>
      <c r="Z980" s="799"/>
      <c r="AK980" s="800"/>
    </row>
    <row r="981" spans="18:37" ht="15.75" customHeight="1">
      <c r="R981" s="798"/>
      <c r="Z981" s="799"/>
      <c r="AK981" s="800"/>
    </row>
    <row r="982" spans="18:37" ht="15.75" customHeight="1">
      <c r="R982" s="798"/>
      <c r="Z982" s="799"/>
      <c r="AK982" s="800"/>
    </row>
    <row r="983" spans="18:37" ht="15.75" customHeight="1">
      <c r="R983" s="798"/>
      <c r="Z983" s="799"/>
      <c r="AK983" s="800"/>
    </row>
    <row r="984" spans="18:37" ht="15.75" customHeight="1">
      <c r="R984" s="798"/>
      <c r="Z984" s="799"/>
      <c r="AK984" s="800"/>
    </row>
    <row r="985" spans="18:37" ht="15.75" customHeight="1">
      <c r="R985" s="798"/>
      <c r="Z985" s="799"/>
      <c r="AK985" s="800"/>
    </row>
    <row r="986" spans="18:37" ht="15.75" customHeight="1">
      <c r="R986" s="798"/>
      <c r="Z986" s="799"/>
      <c r="AK986" s="800"/>
    </row>
    <row r="987" spans="18:37" ht="15.75" customHeight="1">
      <c r="R987" s="798"/>
      <c r="Z987" s="799"/>
      <c r="AK987" s="800"/>
    </row>
    <row r="988" spans="18:37" ht="15.75" customHeight="1">
      <c r="R988" s="798"/>
      <c r="Z988" s="799"/>
      <c r="AK988" s="800"/>
    </row>
    <row r="989" spans="18:37" ht="15.75" customHeight="1">
      <c r="R989" s="798"/>
      <c r="Z989" s="799"/>
      <c r="AK989" s="800"/>
    </row>
    <row r="990" spans="18:37" ht="15.75" customHeight="1">
      <c r="R990" s="798"/>
      <c r="Z990" s="799"/>
      <c r="AK990" s="800"/>
    </row>
    <row r="991" spans="18:37" ht="15.75" customHeight="1">
      <c r="R991" s="798"/>
      <c r="Z991" s="799"/>
      <c r="AK991" s="800"/>
    </row>
    <row r="992" spans="18:37" ht="15" customHeight="1">
      <c r="R992" s="798"/>
      <c r="Z992" s="799"/>
      <c r="AK992" s="800"/>
    </row>
    <row r="993" spans="18:37" ht="15" customHeight="1">
      <c r="R993" s="798"/>
      <c r="Z993" s="799"/>
      <c r="AK993" s="800"/>
    </row>
    <row r="994" spans="18:37" ht="15" customHeight="1">
      <c r="R994" s="798"/>
      <c r="Z994" s="799"/>
      <c r="AK994" s="800"/>
    </row>
    <row r="995" spans="18:37" ht="15" customHeight="1">
      <c r="R995" s="798"/>
      <c r="Z995" s="799"/>
      <c r="AK995" s="800"/>
    </row>
    <row r="996" spans="18:37" ht="15" customHeight="1">
      <c r="R996" s="798"/>
      <c r="Z996" s="799"/>
      <c r="AK996" s="800"/>
    </row>
    <row r="997" spans="18:37" ht="15" customHeight="1">
      <c r="R997" s="798"/>
      <c r="Z997" s="799"/>
      <c r="AK997" s="800"/>
    </row>
    <row r="998" spans="18:37" ht="15" customHeight="1">
      <c r="R998" s="798"/>
      <c r="Z998" s="799"/>
      <c r="AK998" s="800"/>
    </row>
    <row r="999" spans="18:37" ht="15" customHeight="1">
      <c r="R999" s="798"/>
      <c r="Z999" s="799"/>
      <c r="AK999" s="800"/>
    </row>
    <row r="1000" spans="18:37" ht="15" customHeight="1">
      <c r="R1000" s="798"/>
      <c r="Z1000" s="799"/>
      <c r="AK1000" s="800"/>
    </row>
    <row r="1001" spans="18:37" ht="15" customHeight="1">
      <c r="R1001" s="798"/>
      <c r="Z1001" s="799"/>
      <c r="AK1001" s="800"/>
    </row>
    <row r="1002" spans="18:37" ht="15" customHeight="1">
      <c r="R1002" s="798"/>
      <c r="Z1002" s="799"/>
      <c r="AK1002" s="800"/>
    </row>
    <row r="1003" spans="18:37" ht="15" customHeight="1">
      <c r="R1003" s="798"/>
      <c r="Z1003" s="799"/>
      <c r="AK1003" s="800"/>
    </row>
    <row r="1004" spans="18:37" ht="15" customHeight="1">
      <c r="R1004" s="798"/>
      <c r="Z1004" s="799"/>
      <c r="AK1004" s="800"/>
    </row>
    <row r="1005" spans="18:37" ht="15" customHeight="1">
      <c r="R1005" s="798"/>
      <c r="Z1005" s="799"/>
      <c r="AK1005" s="800"/>
    </row>
    <row r="1006" spans="18:37" ht="15" customHeight="1">
      <c r="R1006" s="798"/>
      <c r="Z1006" s="799"/>
      <c r="AK1006" s="800"/>
    </row>
    <row r="1007" spans="18:37" ht="15" customHeight="1">
      <c r="R1007" s="798"/>
      <c r="Z1007" s="799"/>
      <c r="AK1007" s="800"/>
    </row>
    <row r="1008" spans="18:37" ht="15" customHeight="1">
      <c r="R1008" s="798"/>
      <c r="Z1008" s="799"/>
      <c r="AK1008" s="800"/>
    </row>
  </sheetData>
  <sortState xmlns:xlrd2="http://schemas.microsoft.com/office/spreadsheetml/2017/richdata2" ref="F884:F896">
    <sortCondition ref="F884:F896"/>
  </sortState>
  <phoneticPr fontId="80" type="noConversion"/>
  <conditionalFormatting sqref="G4 G872:G879 G48:G58 G362:G865 G110:G113 G60:G63 G71:G75 G89:G91 G265 G66:G69 G80:G85 G116:G252">
    <cfRule type="containsText" dxfId="632" priority="1416" operator="containsText" text="PENDIENTE">
      <formula>NOT(ISERROR(SEARCH(("PENDIENTE"),(G4))))</formula>
    </cfRule>
  </conditionalFormatting>
  <conditionalFormatting sqref="G4 G872:G879 G48:G58 G362:G865 G110:G113 G60:G63 G71:G75 G89:G91 G265 G66:G69 G80:G85 G116:G252">
    <cfRule type="containsText" dxfId="631" priority="1417" operator="containsText" text="ENTREGADO">
      <formula>NOT(ISERROR(SEARCH(("ENTREGADO"),(G4))))</formula>
    </cfRule>
  </conditionalFormatting>
  <conditionalFormatting sqref="G4 G872:G879 G48:G58 G362:G865 G110:G113 G60:G63 G71:G75 G89:G91 G265 G66:G69 G80:G85 G116:G252">
    <cfRule type="containsText" dxfId="630" priority="1420" operator="containsText" text="EN VIAJE">
      <formula>NOT(ISERROR(SEARCH(("EN VIAJE"),(G4))))</formula>
    </cfRule>
  </conditionalFormatting>
  <conditionalFormatting sqref="G866:G871">
    <cfRule type="containsText" dxfId="629" priority="112" operator="containsText" text="PENDIENTE">
      <formula>NOT(ISERROR(SEARCH(("PENDIENTE"),(G866))))</formula>
    </cfRule>
  </conditionalFormatting>
  <conditionalFormatting sqref="G866:G871">
    <cfRule type="containsText" dxfId="628" priority="113" operator="containsText" text="ENTREGADO">
      <formula>NOT(ISERROR(SEARCH(("ENTREGADO"),(G866))))</formula>
    </cfRule>
  </conditionalFormatting>
  <conditionalFormatting sqref="G866:G871">
    <cfRule type="containsText" dxfId="627" priority="114" operator="containsText" text="EN VIAJE">
      <formula>NOT(ISERROR(SEARCH(("EN VIAJE"),(G866))))</formula>
    </cfRule>
  </conditionalFormatting>
  <conditionalFormatting sqref="G266:G348 G5:G33 G36 G38:G46">
    <cfRule type="containsText" dxfId="626" priority="91" operator="containsText" text="PENDIENTE">
      <formula>NOT(ISERROR(SEARCH(("PENDIENTE"),(G5))))</formula>
    </cfRule>
  </conditionalFormatting>
  <conditionalFormatting sqref="G266:G348 G5:G33 G36 G38:G46">
    <cfRule type="containsText" dxfId="625" priority="92" operator="containsText" text="ENTREGADO">
      <formula>NOT(ISERROR(SEARCH(("ENTREGADO"),(G5))))</formula>
    </cfRule>
  </conditionalFormatting>
  <conditionalFormatting sqref="G266:G348 G5:G33 G36 G38:G46">
    <cfRule type="containsText" dxfId="624" priority="93" operator="containsText" text="EN VIAJE">
      <formula>NOT(ISERROR(SEARCH(("EN VIAJE"),(G5))))</formula>
    </cfRule>
  </conditionalFormatting>
  <conditionalFormatting sqref="G47">
    <cfRule type="containsText" dxfId="623" priority="88" operator="containsText" text="PENDIENTE">
      <formula>NOT(ISERROR(SEARCH(("PENDIENTE"),(G47))))</formula>
    </cfRule>
  </conditionalFormatting>
  <conditionalFormatting sqref="G47">
    <cfRule type="containsText" dxfId="622" priority="89" operator="containsText" text="ENTREGADO">
      <formula>NOT(ISERROR(SEARCH(("ENTREGADO"),(G47))))</formula>
    </cfRule>
  </conditionalFormatting>
  <conditionalFormatting sqref="G47">
    <cfRule type="containsText" dxfId="621" priority="90" operator="containsText" text="EN VIAJE">
      <formula>NOT(ISERROR(SEARCH(("EN VIAJE"),(G47))))</formula>
    </cfRule>
  </conditionalFormatting>
  <conditionalFormatting sqref="G34">
    <cfRule type="containsText" dxfId="620" priority="85" operator="containsText" text="PENDIENTE">
      <formula>NOT(ISERROR(SEARCH(("PENDIENTE"),(G34))))</formula>
    </cfRule>
  </conditionalFormatting>
  <conditionalFormatting sqref="G34">
    <cfRule type="containsText" dxfId="619" priority="86" operator="containsText" text="ENTREGADO">
      <formula>NOT(ISERROR(SEARCH(("ENTREGADO"),(G34))))</formula>
    </cfRule>
  </conditionalFormatting>
  <conditionalFormatting sqref="G34">
    <cfRule type="containsText" dxfId="618" priority="87" operator="containsText" text="EN VIAJE">
      <formula>NOT(ISERROR(SEARCH(("EN VIAJE"),(G34))))</formula>
    </cfRule>
  </conditionalFormatting>
  <conditionalFormatting sqref="G76:G79">
    <cfRule type="containsText" dxfId="617" priority="82" operator="containsText" text="PENDIENTE">
      <formula>NOT(ISERROR(SEARCH(("PENDIENTE"),(G76))))</formula>
    </cfRule>
  </conditionalFormatting>
  <conditionalFormatting sqref="G76:G79">
    <cfRule type="containsText" dxfId="616" priority="83" operator="containsText" text="ENTREGADO">
      <formula>NOT(ISERROR(SEARCH(("ENTREGADO"),(G76))))</formula>
    </cfRule>
  </conditionalFormatting>
  <conditionalFormatting sqref="G76:G79">
    <cfRule type="containsText" dxfId="615" priority="84" operator="containsText" text="EN VIAJE">
      <formula>NOT(ISERROR(SEARCH(("EN VIAJE"),(G76))))</formula>
    </cfRule>
  </conditionalFormatting>
  <conditionalFormatting sqref="G92">
    <cfRule type="containsText" dxfId="614" priority="79" operator="containsText" text="PENDIENTE">
      <formula>NOT(ISERROR(SEARCH(("PENDIENTE"),(G92))))</formula>
    </cfRule>
  </conditionalFormatting>
  <conditionalFormatting sqref="G92">
    <cfRule type="containsText" dxfId="613" priority="80" operator="containsText" text="ENTREGADO">
      <formula>NOT(ISERROR(SEARCH(("ENTREGADO"),(G92))))</formula>
    </cfRule>
  </conditionalFormatting>
  <conditionalFormatting sqref="G92">
    <cfRule type="containsText" dxfId="612" priority="81" operator="containsText" text="EN VIAJE">
      <formula>NOT(ISERROR(SEARCH(("EN VIAJE"),(G92))))</formula>
    </cfRule>
  </conditionalFormatting>
  <conditionalFormatting sqref="G93:G101">
    <cfRule type="containsText" dxfId="611" priority="76" operator="containsText" text="PENDIENTE">
      <formula>NOT(ISERROR(SEARCH(("PENDIENTE"),(G93))))</formula>
    </cfRule>
  </conditionalFormatting>
  <conditionalFormatting sqref="G93:G101">
    <cfRule type="containsText" dxfId="610" priority="77" operator="containsText" text="ENTREGADO">
      <formula>NOT(ISERROR(SEARCH(("ENTREGADO"),(G93))))</formula>
    </cfRule>
  </conditionalFormatting>
  <conditionalFormatting sqref="G93:G101">
    <cfRule type="containsText" dxfId="609" priority="78" operator="containsText" text="EN VIAJE">
      <formula>NOT(ISERROR(SEARCH(("EN VIAJE"),(G93))))</formula>
    </cfRule>
  </conditionalFormatting>
  <conditionalFormatting sqref="G349:G361">
    <cfRule type="containsText" dxfId="608" priority="73" operator="containsText" text="PENDIENTE">
      <formula>NOT(ISERROR(SEARCH(("PENDIENTE"),(G349))))</formula>
    </cfRule>
  </conditionalFormatting>
  <conditionalFormatting sqref="G349:G361">
    <cfRule type="containsText" dxfId="607" priority="74" operator="containsText" text="ENTREGADO">
      <formula>NOT(ISERROR(SEARCH(("ENTREGADO"),(G349))))</formula>
    </cfRule>
  </conditionalFormatting>
  <conditionalFormatting sqref="G349:G361">
    <cfRule type="containsText" dxfId="606" priority="75" operator="containsText" text="EN VIAJE">
      <formula>NOT(ISERROR(SEARCH(("EN VIAJE"),(G349))))</formula>
    </cfRule>
  </conditionalFormatting>
  <conditionalFormatting sqref="G59">
    <cfRule type="containsText" dxfId="605" priority="70" operator="containsText" text="PENDIENTE">
      <formula>NOT(ISERROR(SEARCH(("PENDIENTE"),(G59))))</formula>
    </cfRule>
  </conditionalFormatting>
  <conditionalFormatting sqref="G59">
    <cfRule type="containsText" dxfId="604" priority="71" operator="containsText" text="ENTREGADO">
      <formula>NOT(ISERROR(SEARCH(("ENTREGADO"),(G59))))</formula>
    </cfRule>
  </conditionalFormatting>
  <conditionalFormatting sqref="G59">
    <cfRule type="containsText" dxfId="603" priority="72" operator="containsText" text="EN VIAJE">
      <formula>NOT(ISERROR(SEARCH(("EN VIAJE"),(G59))))</formula>
    </cfRule>
  </conditionalFormatting>
  <conditionalFormatting sqref="G103:G106">
    <cfRule type="containsText" dxfId="602" priority="61" operator="containsText" text="PENDIENTE">
      <formula>NOT(ISERROR(SEARCH(("PENDIENTE"),(G103))))</formula>
    </cfRule>
  </conditionalFormatting>
  <conditionalFormatting sqref="G102">
    <cfRule type="containsText" dxfId="601" priority="67" operator="containsText" text="PENDIENTE">
      <formula>NOT(ISERROR(SEARCH(("PENDIENTE"),(G102))))</formula>
    </cfRule>
  </conditionalFormatting>
  <conditionalFormatting sqref="G102">
    <cfRule type="containsText" dxfId="600" priority="68" operator="containsText" text="ENTREGADO">
      <formula>NOT(ISERROR(SEARCH(("ENTREGADO"),(G102))))</formula>
    </cfRule>
  </conditionalFormatting>
  <conditionalFormatting sqref="G102">
    <cfRule type="containsText" dxfId="599" priority="69" operator="containsText" text="EN VIAJE">
      <formula>NOT(ISERROR(SEARCH(("EN VIAJE"),(G102))))</formula>
    </cfRule>
  </conditionalFormatting>
  <conditionalFormatting sqref="G70">
    <cfRule type="containsText" dxfId="598" priority="58" operator="containsText" text="PENDIENTE">
      <formula>NOT(ISERROR(SEARCH(("PENDIENTE"),(G70))))</formula>
    </cfRule>
  </conditionalFormatting>
  <conditionalFormatting sqref="G103:G106">
    <cfRule type="containsText" dxfId="597" priority="62" operator="containsText" text="ENTREGADO">
      <formula>NOT(ISERROR(SEARCH(("ENTREGADO"),(G103))))</formula>
    </cfRule>
  </conditionalFormatting>
  <conditionalFormatting sqref="G103:G106">
    <cfRule type="containsText" dxfId="596" priority="63" operator="containsText" text="EN VIAJE">
      <formula>NOT(ISERROR(SEARCH(("EN VIAJE"),(G103))))</formula>
    </cfRule>
  </conditionalFormatting>
  <conditionalFormatting sqref="G70">
    <cfRule type="containsText" dxfId="595" priority="59" operator="containsText" text="ENTREGADO">
      <formula>NOT(ISERROR(SEARCH(("ENTREGADO"),(G70))))</formula>
    </cfRule>
  </conditionalFormatting>
  <conditionalFormatting sqref="G70">
    <cfRule type="containsText" dxfId="594" priority="60" operator="containsText" text="EN VIAJE">
      <formula>NOT(ISERROR(SEARCH(("EN VIAJE"),(G70))))</formula>
    </cfRule>
  </conditionalFormatting>
  <conditionalFormatting sqref="G114:G115">
    <cfRule type="containsText" dxfId="593" priority="55" operator="containsText" text="PENDIENTE">
      <formula>NOT(ISERROR(SEARCH(("PENDIENTE"),(G114))))</formula>
    </cfRule>
  </conditionalFormatting>
  <conditionalFormatting sqref="G114:G115">
    <cfRule type="containsText" dxfId="592" priority="56" operator="containsText" text="ENTREGADO">
      <formula>NOT(ISERROR(SEARCH(("ENTREGADO"),(G114))))</formula>
    </cfRule>
  </conditionalFormatting>
  <conditionalFormatting sqref="G114:G115">
    <cfRule type="containsText" dxfId="591" priority="57" operator="containsText" text="EN VIAJE">
      <formula>NOT(ISERROR(SEARCH(("EN VIAJE"),(G114))))</formula>
    </cfRule>
  </conditionalFormatting>
  <conditionalFormatting sqref="G64">
    <cfRule type="containsText" dxfId="590" priority="52" operator="containsText" text="PENDIENTE">
      <formula>NOT(ISERROR(SEARCH(("PENDIENTE"),(G64))))</formula>
    </cfRule>
  </conditionalFormatting>
  <conditionalFormatting sqref="G64">
    <cfRule type="containsText" dxfId="589" priority="53" operator="containsText" text="ENTREGADO">
      <formula>NOT(ISERROR(SEARCH(("ENTREGADO"),(G64))))</formula>
    </cfRule>
  </conditionalFormatting>
  <conditionalFormatting sqref="G64">
    <cfRule type="containsText" dxfId="588" priority="54" operator="containsText" text="EN VIAJE">
      <formula>NOT(ISERROR(SEARCH(("EN VIAJE"),(G64))))</formula>
    </cfRule>
  </conditionalFormatting>
  <conditionalFormatting sqref="G65">
    <cfRule type="containsText" dxfId="587" priority="49" operator="containsText" text="PENDIENTE">
      <formula>NOT(ISERROR(SEARCH(("PENDIENTE"),(G65))))</formula>
    </cfRule>
  </conditionalFormatting>
  <conditionalFormatting sqref="G65">
    <cfRule type="containsText" dxfId="586" priority="50" operator="containsText" text="ENTREGADO">
      <formula>NOT(ISERROR(SEARCH(("ENTREGADO"),(G65))))</formula>
    </cfRule>
  </conditionalFormatting>
  <conditionalFormatting sqref="G65">
    <cfRule type="containsText" dxfId="585" priority="51" operator="containsText" text="EN VIAJE">
      <formula>NOT(ISERROR(SEARCH(("EN VIAJE"),(G65))))</formula>
    </cfRule>
  </conditionalFormatting>
  <conditionalFormatting sqref="G86">
    <cfRule type="containsText" dxfId="584" priority="40" operator="containsText" text="PENDIENTE">
      <formula>NOT(ISERROR(SEARCH(("PENDIENTE"),(G86))))</formula>
    </cfRule>
  </conditionalFormatting>
  <conditionalFormatting sqref="G86">
    <cfRule type="containsText" dxfId="583" priority="41" operator="containsText" text="ENTREGADO">
      <formula>NOT(ISERROR(SEARCH(("ENTREGADO"),(G86))))</formula>
    </cfRule>
  </conditionalFormatting>
  <conditionalFormatting sqref="G86">
    <cfRule type="containsText" dxfId="582" priority="42" operator="containsText" text="EN VIAJE">
      <formula>NOT(ISERROR(SEARCH(("EN VIAJE"),(G86))))</formula>
    </cfRule>
  </conditionalFormatting>
  <conditionalFormatting sqref="G87">
    <cfRule type="containsText" dxfId="581" priority="37" operator="containsText" text="PENDIENTE">
      <formula>NOT(ISERROR(SEARCH(("PENDIENTE"),(G87))))</formula>
    </cfRule>
  </conditionalFormatting>
  <conditionalFormatting sqref="G87">
    <cfRule type="containsText" dxfId="580" priority="38" operator="containsText" text="ENTREGADO">
      <formula>NOT(ISERROR(SEARCH(("ENTREGADO"),(G87))))</formula>
    </cfRule>
  </conditionalFormatting>
  <conditionalFormatting sqref="G87">
    <cfRule type="containsText" dxfId="579" priority="39" operator="containsText" text="EN VIAJE">
      <formula>NOT(ISERROR(SEARCH(("EN VIAJE"),(G87))))</formula>
    </cfRule>
  </conditionalFormatting>
  <conditionalFormatting sqref="G88">
    <cfRule type="containsText" dxfId="578" priority="34" operator="containsText" text="PENDIENTE">
      <formula>NOT(ISERROR(SEARCH(("PENDIENTE"),(G88))))</formula>
    </cfRule>
  </conditionalFormatting>
  <conditionalFormatting sqref="G88">
    <cfRule type="containsText" dxfId="577" priority="35" operator="containsText" text="ENTREGADO">
      <formula>NOT(ISERROR(SEARCH(("ENTREGADO"),(G88))))</formula>
    </cfRule>
  </conditionalFormatting>
  <conditionalFormatting sqref="G88">
    <cfRule type="containsText" dxfId="576" priority="36" operator="containsText" text="EN VIAJE">
      <formula>NOT(ISERROR(SEARCH(("EN VIAJE"),(G88))))</formula>
    </cfRule>
  </conditionalFormatting>
  <conditionalFormatting sqref="G253:G256 G258">
    <cfRule type="containsText" dxfId="575" priority="31" operator="containsText" text="PENDIENTE">
      <formula>NOT(ISERROR(SEARCH(("PENDIENTE"),(G253))))</formula>
    </cfRule>
  </conditionalFormatting>
  <conditionalFormatting sqref="G253:G256 G258">
    <cfRule type="containsText" dxfId="574" priority="32" operator="containsText" text="ENTREGADO">
      <formula>NOT(ISERROR(SEARCH(("ENTREGADO"),(G253))))</formula>
    </cfRule>
  </conditionalFormatting>
  <conditionalFormatting sqref="G253:G256 G258">
    <cfRule type="containsText" dxfId="573" priority="33" operator="containsText" text="EN VIAJE">
      <formula>NOT(ISERROR(SEARCH(("EN VIAJE"),(G253))))</formula>
    </cfRule>
  </conditionalFormatting>
  <conditionalFormatting sqref="G262:G263">
    <cfRule type="containsText" dxfId="572" priority="28" operator="containsText" text="PENDIENTE">
      <formula>NOT(ISERROR(SEARCH(("PENDIENTE"),(G262))))</formula>
    </cfRule>
  </conditionalFormatting>
  <conditionalFormatting sqref="G262:G263">
    <cfRule type="containsText" dxfId="571" priority="29" operator="containsText" text="ENTREGADO">
      <formula>NOT(ISERROR(SEARCH(("ENTREGADO"),(G262))))</formula>
    </cfRule>
  </conditionalFormatting>
  <conditionalFormatting sqref="G262:G263">
    <cfRule type="containsText" dxfId="570" priority="30" operator="containsText" text="EN VIAJE">
      <formula>NOT(ISERROR(SEARCH(("EN VIAJE"),(G262))))</formula>
    </cfRule>
  </conditionalFormatting>
  <conditionalFormatting sqref="G257">
    <cfRule type="containsText" dxfId="569" priority="25" operator="containsText" text="PENDIENTE">
      <formula>NOT(ISERROR(SEARCH(("PENDIENTE"),(G257))))</formula>
    </cfRule>
  </conditionalFormatting>
  <conditionalFormatting sqref="G257">
    <cfRule type="containsText" dxfId="568" priority="26" operator="containsText" text="ENTREGADO">
      <formula>NOT(ISERROR(SEARCH(("ENTREGADO"),(G257))))</formula>
    </cfRule>
  </conditionalFormatting>
  <conditionalFormatting sqref="G257">
    <cfRule type="containsText" dxfId="567" priority="27" operator="containsText" text="EN VIAJE">
      <formula>NOT(ISERROR(SEARCH(("EN VIAJE"),(G257))))</formula>
    </cfRule>
  </conditionalFormatting>
  <conditionalFormatting sqref="G35">
    <cfRule type="containsText" dxfId="566" priority="22" operator="containsText" text="PENDIENTE">
      <formula>NOT(ISERROR(SEARCH(("PENDIENTE"),(G35))))</formula>
    </cfRule>
  </conditionalFormatting>
  <conditionalFormatting sqref="G35">
    <cfRule type="containsText" dxfId="565" priority="23" operator="containsText" text="ENTREGADO">
      <formula>NOT(ISERROR(SEARCH(("ENTREGADO"),(G35))))</formula>
    </cfRule>
  </conditionalFormatting>
  <conditionalFormatting sqref="G35">
    <cfRule type="containsText" dxfId="564" priority="24" operator="containsText" text="EN VIAJE">
      <formula>NOT(ISERROR(SEARCH(("EN VIAJE"),(G35))))</formula>
    </cfRule>
  </conditionalFormatting>
  <conditionalFormatting sqref="G260">
    <cfRule type="containsText" dxfId="563" priority="19" operator="containsText" text="PENDIENTE">
      <formula>NOT(ISERROR(SEARCH(("PENDIENTE"),(G260))))</formula>
    </cfRule>
  </conditionalFormatting>
  <conditionalFormatting sqref="G260">
    <cfRule type="containsText" dxfId="562" priority="20" operator="containsText" text="ENTREGADO">
      <formula>NOT(ISERROR(SEARCH(("ENTREGADO"),(G260))))</formula>
    </cfRule>
  </conditionalFormatting>
  <conditionalFormatting sqref="G260">
    <cfRule type="containsText" dxfId="561" priority="21" operator="containsText" text="EN VIAJE">
      <formula>NOT(ISERROR(SEARCH(("EN VIAJE"),(G260))))</formula>
    </cfRule>
  </conditionalFormatting>
  <conditionalFormatting sqref="G261">
    <cfRule type="containsText" dxfId="560" priority="16" operator="containsText" text="PENDIENTE">
      <formula>NOT(ISERROR(SEARCH(("PENDIENTE"),(G261))))</formula>
    </cfRule>
  </conditionalFormatting>
  <conditionalFormatting sqref="G261">
    <cfRule type="containsText" dxfId="559" priority="17" operator="containsText" text="ENTREGADO">
      <formula>NOT(ISERROR(SEARCH(("ENTREGADO"),(G261))))</formula>
    </cfRule>
  </conditionalFormatting>
  <conditionalFormatting sqref="G261">
    <cfRule type="containsText" dxfId="558" priority="18" operator="containsText" text="EN VIAJE">
      <formula>NOT(ISERROR(SEARCH(("EN VIAJE"),(G261))))</formula>
    </cfRule>
  </conditionalFormatting>
  <conditionalFormatting sqref="G107:G109">
    <cfRule type="containsText" dxfId="557" priority="7" operator="containsText" text="PENDIENTE">
      <formula>NOT(ISERROR(SEARCH(("PENDIENTE"),(G107))))</formula>
    </cfRule>
  </conditionalFormatting>
  <conditionalFormatting sqref="G107:G109">
    <cfRule type="containsText" dxfId="556" priority="8" operator="containsText" text="ENTREGADO">
      <formula>NOT(ISERROR(SEARCH(("ENTREGADO"),(G107))))</formula>
    </cfRule>
  </conditionalFormatting>
  <conditionalFormatting sqref="G107:G109">
    <cfRule type="containsText" dxfId="555" priority="9" operator="containsText" text="EN VIAJE">
      <formula>NOT(ISERROR(SEARCH(("EN VIAJE"),(G107))))</formula>
    </cfRule>
  </conditionalFormatting>
  <conditionalFormatting sqref="G37">
    <cfRule type="containsText" dxfId="554" priority="10" operator="containsText" text="PENDIENTE">
      <formula>NOT(ISERROR(SEARCH(("PENDIENTE"),(G37))))</formula>
    </cfRule>
  </conditionalFormatting>
  <conditionalFormatting sqref="G37">
    <cfRule type="containsText" dxfId="553" priority="11" operator="containsText" text="ENTREGADO">
      <formula>NOT(ISERROR(SEARCH(("ENTREGADO"),(G37))))</formula>
    </cfRule>
  </conditionalFormatting>
  <conditionalFormatting sqref="G37">
    <cfRule type="containsText" dxfId="552" priority="12" operator="containsText" text="EN VIAJE">
      <formula>NOT(ISERROR(SEARCH(("EN VIAJE"),(G37))))</formula>
    </cfRule>
  </conditionalFormatting>
  <conditionalFormatting sqref="G259">
    <cfRule type="containsText" dxfId="551" priority="4" operator="containsText" text="PENDIENTE">
      <formula>NOT(ISERROR(SEARCH(("PENDIENTE"),(G259))))</formula>
    </cfRule>
  </conditionalFormatting>
  <conditionalFormatting sqref="G259">
    <cfRule type="containsText" dxfId="550" priority="5" operator="containsText" text="ENTREGADO">
      <formula>NOT(ISERROR(SEARCH(("ENTREGADO"),(G259))))</formula>
    </cfRule>
  </conditionalFormatting>
  <conditionalFormatting sqref="G259">
    <cfRule type="containsText" dxfId="549" priority="6" operator="containsText" text="EN VIAJE">
      <formula>NOT(ISERROR(SEARCH(("EN VIAJE"),(G259))))</formula>
    </cfRule>
  </conditionalFormatting>
  <conditionalFormatting sqref="G264">
    <cfRule type="containsText" dxfId="548" priority="1" operator="containsText" text="PENDIENTE">
      <formula>NOT(ISERROR(SEARCH(("PENDIENTE"),(G264))))</formula>
    </cfRule>
  </conditionalFormatting>
  <conditionalFormatting sqref="G264">
    <cfRule type="containsText" dxfId="547" priority="2" operator="containsText" text="ENTREGADO">
      <formula>NOT(ISERROR(SEARCH(("ENTREGADO"),(G264))))</formula>
    </cfRule>
  </conditionalFormatting>
  <conditionalFormatting sqref="G264">
    <cfRule type="containsText" dxfId="546" priority="3" operator="containsText" text="EN VIAJE">
      <formula>NOT(ISERROR(SEARCH(("EN VIAJE"),(G264))))</formula>
    </cfRule>
  </conditionalFormatting>
  <pageMargins left="0" right="0.19685039370078741" top="0" bottom="0" header="0" footer="0"/>
  <pageSetup paperSize="9" scale="10" orientation="landscape" r:id="rId1"/>
  <rowBreaks count="1" manualBreakCount="1">
    <brk id="307" man="1"/>
  </rowBreaks>
  <ignoredErrors>
    <ignoredError sqref="AJ881 L3 J42:J44 N48:N51 N266:N332 N118:N210 N34 N41 N43:N44 N83:N85 N90 J54:J57 AZ118:AZ202 AZ266:AZ330 AZ4:AZ25 BB4 AB26:AB33 N60:N63 AA102:AB109 J114:J115 K349:M361 M346:M348" calculatedColumn="1"/>
    <ignoredError sqref="K38:L39 I45:I52 I81:I85 N26:T33 X4:X10 Z4:Z10 V4:V10 K265:L265 K42:L42 V42 V39 O4:T25 U11:V33 X11:Z33 Q39:T44 Q47 X42:Y42 AB45:AC46 AE38:AF39 AE42:AF42 R116:T117 AE45:AE46 X265 R51:T57 K116:L117 R89 O48:T50 O203:Q210 O331:Q332 O211:T218 O116:P117 O51:P52 O72:P75 O90:R90 O265:P265 O89:P89 O71:T71 O333:P340 O45:Q46 S45:T47 S203:T210 S331:T340 V45:V46 V47:W47 V40:Y41 V43:Y44 N362:V879 O219:P223 R219:T223 AX724:AY879 R72:T75 V71:V75 O80:R84 O224:T252 V203:V252 V331:V348 O341:T348 V116:V117 I265:I326 AB505:AB879 K362:L822 AV3 AE23:AF33 K4:L33 S34:W34 AD166:AE202 AD266:AE330 AE265 AE362:AE372 AB71:AB75 S89:U90 R76:U79 P39 O42:P42 O38:V38 N76:N79 V89:V91 P91 R91:T91 AB89:AB91 R92:R101 U92:U101 AK362:AR723 AT265:AY348 AK4:AP4 AK89:AR90 AK118:AR210 AO92:AQ101 AO91:AR91 AM266:AR330 AR4 AB42:AC42 AB40:AF41 AB43:AF44 Z47:AE47 Z45:Z46 Z40:AA44 X38:Z39 Z34:AA34 AA76:AA79 AA92:AB100 AK5:AR33 AB38:AC39 AF11:AF22 AB4:AC25 AE4:AE22 Z331:Z348 Z265 X362:Z879 AA101:AC101 AA118:AC165 AB116:AC117 Z266:AA330 AB362:AC504 AA166:AA202 AB265:AC348 AK346:AR348 AZ331:BB348 AE331:AE348 K331:L345 Z48:Z57 AB49:AB57 K45:L57 V48:V57 AK91:AN101 AB66:AB69 V66:V69 O66:T69 AB110:AC113 I110:I113 V110:V113 O110:P113 K110:L113 O63:T63 V60:V63 K60:L63 AB60:AB63 AK62:AR62 Z60:Z63 I64:J64 I60:I61 O54:P57 P53 I331:I361 R102:T113 AB80:AB85 K81:L85 S80:V85 O85:P85 R85 I86:M88 I89:I91 K89:M101 I102:M108 I65:M65 I80:J80 I71:I79 K71:M80 I70:M70 I66:I69 K66:M69 AB166:AC252 AM211:AR218 AT116:AY252 AE203:AE252 I116:I252 K203:L252 AK60:AP61 AK63:AP63 R265:V265 U266:U349 R350:W358 R349:T349 V349:W349 AM224:AR252 AK80:AR85 U258 U242:U256 D4:D34 AC27:AC34 AT4:AY34 AK34:AQ34 AK66:AQ69 AT66:AY69 AK71:AQ79 AT71:AY85 AT89:AY101 AK110:AQ113 AK116:AQ117 AT110:AY113 AM219:AQ223 AM265:AQ265 AM341:AR345 AM331:AQ340 I63 D258 W118:Z202 W92:Z101 X71:Z85 W76:W79 W64:Z65 W86:Z88 W114:Z115 X89:Z91 W253:Z254 X116:Z117 W70:Z70 X66:Z69 X102:Z113 X203:Z252 P36:V36 AB36:AC36 Y36:Z36 AK36:AR36 AE36:AF36 K36:L36 AK38:AR57 AU40:AY40 AT362:BB723 AT38:AY39 AT60:AY63 AT36:AY36 AT41:AY57 W260:Z263 W255:W257 Y255:Z257 J109:M109 D118:D256 I4:I25 I260 I262 D42:D63 W258:Z258 O60:P62 R60:T62 Q60:Q62 Q51:Q59 D65:D110 D274:D879 D265:D273 D262:D263 D259:D261 D264 D38:D41 D36 C35:D35 D37 C39:C41 I93:I101 I34:I35 I38:I41 I37 I36" unlockedFormula="1"/>
    <ignoredError sqref="C216:C218 C341:C345 C72:C79 C260:C262 C61:C66" listDataValidation="1"/>
    <ignoredError sqref="W265 W45:W46 W42 W38:W39 N265 N71:N75 N54:N56 N219:N223 W362:W879 AA4:AA33 W4:W33 N42 N38 N80:N82 N116:N117 N89 AJ265:AL345 BA266:BB330 BA118:BB202 BA5:BB25 BA4 AZ265:BB265 AZ26:BB26 AZ116:BB117 AA89:AA91 AA71:AA75 AA38:AA39 AA45:AA46 J4:J33 AA362:AA879 AA265 AA116:AA117 J45:J53 AA331:AA348 W331:W348 AA48:AA57 AZ38:BB57 W48:W57 AZ89:BB101 AZ66:BB69 AA66:AA69 N66:N69 AA110:AA113 AZ110:BB113 N111:N113 W60:W63 AA60:AA63 AZ60:BB63 J60:J63 J110:J113 J116:J218 AZ71:BB85 AA80:AA85 J81:J85 J265:J361 K346:L348 J89:J101 J66:J69 J71:J79 AA203:AA252 AZ203:BB252 AJ211:AL252 J224:J252 BA27:BB34 AZ34 W203:W252 W80:W85 W102:W113 W66:W69 W89:W91 W71:W75 W116:W117 AZ36:BB36 AA36 W36 J39:J41 J37 J34:J35 J38 J36" unlockedFormula="1" calculatedColumn="1"/>
    <ignoredError sqref="AD116:AD117 AD373:AD879 AD71:AD75 AD89:AD91 AD48:AD57 AD66:AD69 AD110:AD113 AD60:AD63 AD80:AD85" evalError="1"/>
    <ignoredError sqref="AD45:AD46 AD42 AD38:AD39 AD362:AD372 AD331:AD348 AD203:AD252 AD265 AD4:AD33 AD36" evalError="1" unlockedFormula="1"/>
    <ignoredError sqref="C36:C37 C38" unlockedFormula="1" listDataValidation="1"/>
  </ignoredErrors>
  <tableParts count="1">
    <tablePart r:id="rId2"/>
  </tableParts>
  <extLst>
    <ext xmlns:x14="http://schemas.microsoft.com/office/spreadsheetml/2009/9/main" uri="{CCE6A557-97BC-4b89-ADB6-D9C93CAAB3DF}">
      <x14:dataValidations xmlns:xm="http://schemas.microsoft.com/office/excel/2006/main" count="8">
        <x14:dataValidation type="list" allowBlank="1" showInputMessage="1" showErrorMessage="1" xr:uid="{26B12A90-F8F7-43F5-B977-26025C3E1ECB}">
          <x14:formula1>
            <xm:f>UNICOS!$D$2:$D$10</xm:f>
          </x14:formula1>
          <xm:sqref>AF3:AF25 AF118:AF202 AF266:AF330</xm:sqref>
        </x14:dataValidation>
        <x14:dataValidation type="list" allowBlank="1" showInputMessage="1" showErrorMessage="1" xr:uid="{6413FA6A-BF52-421C-9313-B95BBC6B6D88}">
          <x14:formula1>
            <xm:f>UNICOS!$D$1:$D$9</xm:f>
          </x14:formula1>
          <xm:sqref>AF331:AF879 AF26:AF117 AF203:AF265</xm:sqref>
        </x14:dataValidation>
        <x14:dataValidation type="list" allowBlank="1" showInputMessage="1" showErrorMessage="1" xr:uid="{AF18B687-7D2E-4366-9718-5F2EBDCF6CAB}">
          <x14:formula1>
            <xm:f>UNICOS!$B$2:$B$17</xm:f>
          </x14:formula1>
          <xm:sqref>F4:F879</xm:sqref>
        </x14:dataValidation>
        <x14:dataValidation type="list" allowBlank="1" showInputMessage="1" showErrorMessage="1" xr:uid="{B20E040F-91E1-41CD-9AA8-CD430E808F48}">
          <x14:formula1>
            <xm:f>UNICOS!$C$2:$C$4</xm:f>
          </x14:formula1>
          <xm:sqref>G4:G879</xm:sqref>
        </x14:dataValidation>
        <x14:dataValidation type="list" allowBlank="1" showInputMessage="1" showErrorMessage="1" xr:uid="{0E1A5305-FC21-4FED-B027-0579CDBFEEC6}">
          <x14:formula1>
            <xm:f>UNICOS!$A:$A</xm:f>
          </x14:formula1>
          <xm:sqref>C3:C879</xm:sqref>
        </x14:dataValidation>
        <x14:dataValidation type="list" allowBlank="1" showInputMessage="1" showErrorMessage="1" xr:uid="{EFBD645E-2B41-4517-89FB-419F7FADCCCF}">
          <x14:formula1>
            <xm:f>UNICOS!$E$2:$E$45</xm:f>
          </x14:formula1>
          <xm:sqref>AG4:AG879</xm:sqref>
        </x14:dataValidation>
        <x14:dataValidation type="list" allowBlank="1" showInputMessage="1" showErrorMessage="1" xr:uid="{9F2EAF7F-33BA-4651-82F2-1BDE8CFDFA50}">
          <x14:formula1>
            <xm:f>UNICOS!$F$2:$F$24</xm:f>
          </x14:formula1>
          <xm:sqref>AH4:AH879</xm:sqref>
        </x14:dataValidation>
        <x14:dataValidation type="list" allowBlank="1" showInputMessage="1" showErrorMessage="1" xr:uid="{8DA6848C-F57B-4EB2-9D7B-2B523DCC32B9}">
          <x14:formula1>
            <xm:f>UNICOS!$G$2:$G$9</xm:f>
          </x14:formula1>
          <xm:sqref>AI4:AI879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80EB-4FED-4CB2-AC3B-DD2E7D64B648}">
  <sheetPr>
    <pageSetUpPr fitToPage="1"/>
  </sheetPr>
  <dimension ref="A1:AI446"/>
  <sheetViews>
    <sheetView showGridLines="0" topLeftCell="A12" zoomScale="80" zoomScaleNormal="80" workbookViewId="0">
      <selection activeCell="A23" sqref="A4:G23"/>
    </sheetView>
  </sheetViews>
  <sheetFormatPr baseColWidth="10" defaultRowHeight="15"/>
  <cols>
    <col min="1" max="1" width="18.85546875" bestFit="1" customWidth="1"/>
    <col min="2" max="2" width="30.140625" style="477" customWidth="1"/>
    <col min="3" max="3" width="10.140625" style="479" bestFit="1" customWidth="1"/>
    <col min="4" max="4" width="11.140625" style="477" bestFit="1" customWidth="1"/>
    <col min="5" max="5" width="11.28515625" style="762" bestFit="1" customWidth="1"/>
    <col min="6" max="6" width="12" style="476" bestFit="1" customWidth="1"/>
    <col min="7" max="7" width="22.85546875" customWidth="1"/>
    <col min="8" max="8" width="12.85546875" style="676" bestFit="1" customWidth="1"/>
    <col min="9" max="9" width="13.7109375" style="240" bestFit="1" customWidth="1"/>
    <col min="10" max="10" width="16.5703125" style="759" bestFit="1" customWidth="1"/>
    <col min="11" max="11" width="15.7109375" style="759" bestFit="1" customWidth="1"/>
    <col min="12" max="12" width="12.140625" bestFit="1" customWidth="1"/>
    <col min="13" max="13" width="10.5703125" bestFit="1" customWidth="1"/>
    <col min="14" max="16" width="8.42578125" bestFit="1" customWidth="1"/>
    <col min="17" max="17" width="11.42578125" bestFit="1" customWidth="1"/>
    <col min="18" max="18" width="8.42578125" bestFit="1" customWidth="1"/>
    <col min="19" max="19" width="11.42578125" bestFit="1" customWidth="1"/>
    <col min="20" max="20" width="9.85546875" bestFit="1" customWidth="1"/>
    <col min="21" max="21" width="12.5703125" bestFit="1" customWidth="1"/>
    <col min="22" max="22" width="56.85546875" bestFit="1" customWidth="1"/>
    <col min="23" max="23" width="18.7109375" bestFit="1" customWidth="1"/>
    <col min="24" max="24" width="55.28515625" bestFit="1" customWidth="1"/>
    <col min="25" max="25" width="17.140625" bestFit="1" customWidth="1"/>
    <col min="26" max="29" width="51.140625" bestFit="1" customWidth="1"/>
    <col min="30" max="30" width="56.85546875" style="235" bestFit="1" customWidth="1"/>
    <col min="31" max="31" width="18.7109375" style="235" bestFit="1" customWidth="1"/>
    <col min="32" max="32" width="55.28515625" style="235" bestFit="1" customWidth="1"/>
    <col min="33" max="33" width="17.140625" bestFit="1" customWidth="1"/>
    <col min="34" max="34" width="14.5703125" bestFit="1" customWidth="1"/>
    <col min="35" max="35" width="10.7109375" bestFit="1" customWidth="1"/>
  </cols>
  <sheetData>
    <row r="1" spans="1:32">
      <c r="B1"/>
    </row>
    <row r="2" spans="1:32">
      <c r="A2" s="473" t="s">
        <v>154</v>
      </c>
      <c r="B2" s="235" t="s">
        <v>246</v>
      </c>
    </row>
    <row r="3" spans="1:32" s="475" customFormat="1">
      <c r="A3"/>
      <c r="B3"/>
      <c r="C3"/>
      <c r="D3"/>
      <c r="E3" s="763"/>
      <c r="F3"/>
      <c r="G3"/>
      <c r="H3" s="680"/>
      <c r="I3" s="520"/>
      <c r="J3" s="680"/>
      <c r="K3" s="680"/>
      <c r="AD3" s="650"/>
      <c r="AE3" s="650"/>
      <c r="AF3" s="650"/>
    </row>
    <row r="4" spans="1:32" s="674" customFormat="1" ht="90">
      <c r="A4" s="772" t="s">
        <v>230</v>
      </c>
      <c r="B4" s="687" t="s">
        <v>151</v>
      </c>
      <c r="C4" s="692" t="s">
        <v>304</v>
      </c>
      <c r="D4" s="692" t="s">
        <v>305</v>
      </c>
      <c r="E4" s="730" t="s">
        <v>339</v>
      </c>
      <c r="F4" s="937" t="s">
        <v>331</v>
      </c>
      <c r="G4" s="779" t="s">
        <v>342</v>
      </c>
      <c r="H4" s="779" t="s">
        <v>343</v>
      </c>
      <c r="I4" s="779" t="s">
        <v>340</v>
      </c>
      <c r="J4" s="779" t="s">
        <v>341</v>
      </c>
      <c r="K4" s="779" t="s">
        <v>519</v>
      </c>
    </row>
    <row r="5" spans="1:32">
      <c r="A5" s="938" t="s">
        <v>259</v>
      </c>
      <c r="B5" s="257" t="s">
        <v>407</v>
      </c>
      <c r="C5" s="698">
        <v>8</v>
      </c>
      <c r="D5" s="698">
        <v>4480.96</v>
      </c>
      <c r="E5" s="773">
        <v>224048</v>
      </c>
      <c r="F5" s="774">
        <v>647.26694459999999</v>
      </c>
      <c r="G5" s="774">
        <v>145018864.40374079</v>
      </c>
      <c r="H5" s="781">
        <v>439.5</v>
      </c>
      <c r="I5" s="781">
        <v>349.5</v>
      </c>
      <c r="J5" s="777">
        <v>98469.096000000005</v>
      </c>
      <c r="K5" s="933">
        <v>9.1703982208828361E-3</v>
      </c>
      <c r="L5" s="679"/>
      <c r="M5" s="679"/>
      <c r="N5" s="679"/>
      <c r="O5" s="679"/>
      <c r="P5" s="679"/>
      <c r="Q5" s="253"/>
    </row>
    <row r="6" spans="1:32">
      <c r="B6" s="257" t="s">
        <v>408</v>
      </c>
      <c r="C6" s="698">
        <v>5</v>
      </c>
      <c r="D6" s="698">
        <v>2800.6</v>
      </c>
      <c r="E6" s="773">
        <v>140030</v>
      </c>
      <c r="F6" s="774">
        <v>551.16238099999998</v>
      </c>
      <c r="G6" s="774">
        <v>77179268.211429998</v>
      </c>
      <c r="H6" s="781">
        <v>394.99999999999994</v>
      </c>
      <c r="I6" s="781">
        <v>396.40935248249298</v>
      </c>
      <c r="J6" s="777">
        <v>55311.849999999991</v>
      </c>
      <c r="K6" s="933">
        <v>-0.10066723346203699</v>
      </c>
      <c r="L6" s="679"/>
      <c r="M6" s="679"/>
      <c r="N6" s="679"/>
      <c r="O6" s="679"/>
      <c r="P6" s="679"/>
      <c r="Q6" s="253"/>
    </row>
    <row r="7" spans="1:32">
      <c r="B7" s="257" t="s">
        <v>473</v>
      </c>
      <c r="C7" s="698">
        <v>8</v>
      </c>
      <c r="D7" s="698">
        <v>4480.96</v>
      </c>
      <c r="E7" s="773">
        <v>224048</v>
      </c>
      <c r="F7" s="774">
        <v>547.67773050000005</v>
      </c>
      <c r="G7" s="774">
        <v>122706100.16306402</v>
      </c>
      <c r="H7" s="781">
        <v>395</v>
      </c>
      <c r="I7" s="781">
        <v>395.12553424657528</v>
      </c>
      <c r="J7" s="777">
        <v>88498.959999999992</v>
      </c>
      <c r="K7" s="933">
        <v>-0.10967689677941461</v>
      </c>
      <c r="L7" s="679"/>
      <c r="M7" s="679"/>
      <c r="N7" s="679"/>
      <c r="O7" s="679"/>
      <c r="P7" s="679"/>
      <c r="Q7" s="253"/>
    </row>
    <row r="8" spans="1:32">
      <c r="A8" s="938" t="s">
        <v>516</v>
      </c>
      <c r="B8" s="938"/>
      <c r="C8" s="477">
        <v>21</v>
      </c>
      <c r="D8" s="477">
        <v>11762.520000000004</v>
      </c>
      <c r="E8" s="253">
        <v>588126</v>
      </c>
      <c r="F8" s="237">
        <v>586.44615741904749</v>
      </c>
      <c r="G8" s="237">
        <v>344904232.77823484</v>
      </c>
      <c r="H8" s="759">
        <v>411.95238095238096</v>
      </c>
      <c r="I8" s="759">
        <v>378.05004935167</v>
      </c>
      <c r="J8" s="776">
        <v>242279.90599999996</v>
      </c>
      <c r="K8" s="519">
        <v>-6.2256578846592338E-2</v>
      </c>
      <c r="L8" s="679"/>
      <c r="M8" s="679"/>
      <c r="N8" s="679"/>
      <c r="O8" s="679"/>
      <c r="P8" s="679"/>
      <c r="Q8" s="253"/>
    </row>
    <row r="9" spans="1:32">
      <c r="A9" s="938" t="s">
        <v>258</v>
      </c>
      <c r="B9" s="257" t="s">
        <v>449</v>
      </c>
      <c r="C9" s="698">
        <v>2</v>
      </c>
      <c r="D9" s="698">
        <v>1100</v>
      </c>
      <c r="E9" s="773">
        <v>55000</v>
      </c>
      <c r="F9" s="774">
        <v>705</v>
      </c>
      <c r="G9" s="774">
        <v>46917750</v>
      </c>
      <c r="H9" s="781">
        <v>504.5783145982092</v>
      </c>
      <c r="I9" s="781">
        <v>462.32736192194807</v>
      </c>
      <c r="J9" s="777">
        <v>27751.80730290151</v>
      </c>
      <c r="K9" s="933">
        <v>9.9108224393296807E-2</v>
      </c>
      <c r="L9" s="679"/>
      <c r="M9" s="679"/>
      <c r="N9" s="679"/>
      <c r="O9" s="679"/>
      <c r="P9" s="679"/>
      <c r="Q9" s="253"/>
    </row>
    <row r="10" spans="1:32">
      <c r="B10" s="257" t="s">
        <v>420</v>
      </c>
      <c r="C10" s="698">
        <v>1</v>
      </c>
      <c r="D10" s="698">
        <v>550</v>
      </c>
      <c r="E10" s="773">
        <v>27500</v>
      </c>
      <c r="F10" s="774">
        <v>745</v>
      </c>
      <c r="G10" s="774">
        <v>24789875</v>
      </c>
      <c r="H10" s="781">
        <v>516.49497772762732</v>
      </c>
      <c r="I10" s="781">
        <v>458.33651783961784</v>
      </c>
      <c r="J10" s="777">
        <v>14203.611887509751</v>
      </c>
      <c r="K10" s="933">
        <v>7.3699348932141806E-2</v>
      </c>
      <c r="L10" s="679"/>
      <c r="M10" s="679"/>
      <c r="N10" s="679"/>
      <c r="O10" s="679"/>
      <c r="P10" s="679"/>
      <c r="Q10" s="253"/>
    </row>
    <row r="11" spans="1:32">
      <c r="B11" s="257" t="s">
        <v>437</v>
      </c>
      <c r="C11" s="698">
        <v>6</v>
      </c>
      <c r="D11" s="698">
        <v>3210</v>
      </c>
      <c r="E11" s="773">
        <v>160500</v>
      </c>
      <c r="F11" s="774">
        <v>743</v>
      </c>
      <c r="G11" s="774">
        <v>144267090</v>
      </c>
      <c r="H11" s="781">
        <v>532.95146368699704</v>
      </c>
      <c r="I11" s="781">
        <v>491.29700537776807</v>
      </c>
      <c r="J11" s="777">
        <v>85522.570745541001</v>
      </c>
      <c r="K11" s="933">
        <v>0.11405077967867228</v>
      </c>
      <c r="L11" s="679"/>
      <c r="M11" s="679"/>
      <c r="N11" s="679"/>
      <c r="O11" s="679"/>
      <c r="P11" s="679"/>
      <c r="Q11" s="253"/>
    </row>
    <row r="12" spans="1:32">
      <c r="B12" s="257" t="s">
        <v>452</v>
      </c>
      <c r="C12" s="698">
        <v>8</v>
      </c>
      <c r="D12" s="698">
        <v>4800</v>
      </c>
      <c r="E12" s="773">
        <v>240000</v>
      </c>
      <c r="F12" s="774">
        <v>495.86776859504141</v>
      </c>
      <c r="G12" s="774">
        <v>144000000</v>
      </c>
      <c r="H12" s="781">
        <v>351.68337297906493</v>
      </c>
      <c r="I12" s="781">
        <v>353.233413511089</v>
      </c>
      <c r="J12" s="777">
        <v>84404.009514975594</v>
      </c>
      <c r="K12" s="933">
        <v>-0.19052086238953636</v>
      </c>
      <c r="L12" s="679"/>
      <c r="M12" s="679"/>
      <c r="N12" s="679"/>
      <c r="O12" s="679"/>
      <c r="P12" s="679"/>
      <c r="Q12" s="253"/>
    </row>
    <row r="13" spans="1:32">
      <c r="B13" s="257" t="s">
        <v>422</v>
      </c>
      <c r="C13" s="698">
        <v>1</v>
      </c>
      <c r="D13" s="698">
        <v>560</v>
      </c>
      <c r="E13" s="773">
        <v>28000</v>
      </c>
      <c r="F13" s="774">
        <v>710</v>
      </c>
      <c r="G13" s="774">
        <v>24054800</v>
      </c>
      <c r="H13" s="781">
        <v>511.08283119445173</v>
      </c>
      <c r="I13" s="781">
        <v>449.55292070383035</v>
      </c>
      <c r="J13" s="777">
        <v>14310.319273444647</v>
      </c>
      <c r="K13" s="933">
        <v>1.522428787987895E-2</v>
      </c>
      <c r="L13" s="679"/>
      <c r="M13" s="679"/>
      <c r="N13" s="679"/>
      <c r="O13" s="679"/>
      <c r="P13" s="679"/>
      <c r="Q13" s="253"/>
    </row>
    <row r="14" spans="1:32">
      <c r="B14" s="257" t="s">
        <v>541</v>
      </c>
      <c r="C14" s="698">
        <v>1</v>
      </c>
      <c r="D14" s="698">
        <v>560</v>
      </c>
      <c r="E14" s="773">
        <v>28000</v>
      </c>
      <c r="F14" s="774">
        <v>740</v>
      </c>
      <c r="G14" s="774">
        <v>25071200</v>
      </c>
      <c r="H14" s="781">
        <v>514.31180319872749</v>
      </c>
      <c r="I14" s="781">
        <v>469.90300691576954</v>
      </c>
      <c r="J14" s="777">
        <v>14400.73048956437</v>
      </c>
      <c r="K14" s="933">
        <v>9.8164782174618326E-2</v>
      </c>
      <c r="L14" s="679"/>
      <c r="M14" s="679"/>
      <c r="N14" s="679"/>
      <c r="O14" s="679"/>
      <c r="P14" s="679"/>
      <c r="Q14" s="253"/>
    </row>
    <row r="15" spans="1:32">
      <c r="B15" s="257" t="s">
        <v>440</v>
      </c>
      <c r="C15" s="698">
        <v>2</v>
      </c>
      <c r="D15" s="698">
        <v>1160</v>
      </c>
      <c r="E15" s="773">
        <v>58000</v>
      </c>
      <c r="F15" s="774">
        <v>675</v>
      </c>
      <c r="G15" s="774">
        <v>47371500</v>
      </c>
      <c r="H15" s="781">
        <v>479.44110378564562</v>
      </c>
      <c r="I15" s="781">
        <v>447.8660024902</v>
      </c>
      <c r="J15" s="777">
        <v>27807.584019567446</v>
      </c>
      <c r="K15" s="933">
        <v>2.4660518307592749E-2</v>
      </c>
      <c r="L15" s="679"/>
      <c r="M15" s="679"/>
      <c r="N15" s="679"/>
      <c r="O15" s="679"/>
      <c r="P15" s="679"/>
      <c r="Q15" s="253"/>
    </row>
    <row r="16" spans="1:32" s="562" customFormat="1">
      <c r="A16"/>
      <c r="B16" s="257" t="s">
        <v>409</v>
      </c>
      <c r="C16" s="698">
        <v>5</v>
      </c>
      <c r="D16" s="698">
        <v>2800</v>
      </c>
      <c r="E16" s="773">
        <v>140000</v>
      </c>
      <c r="F16" s="774">
        <v>699</v>
      </c>
      <c r="G16" s="774">
        <v>118410600</v>
      </c>
      <c r="H16" s="781">
        <v>500.97234503649645</v>
      </c>
      <c r="I16" s="781">
        <v>466.23367681308446</v>
      </c>
      <c r="J16" s="777">
        <v>70136.128305109509</v>
      </c>
      <c r="K16" s="933">
        <v>9.2900044186667863E-2</v>
      </c>
      <c r="L16" s="679"/>
      <c r="M16" s="679"/>
      <c r="N16" s="679"/>
      <c r="O16" s="679"/>
      <c r="P16" s="679"/>
      <c r="Q16" s="253"/>
      <c r="AD16" s="235"/>
      <c r="AE16" s="235"/>
      <c r="AF16" s="235"/>
    </row>
    <row r="17" spans="1:32" s="562" customFormat="1">
      <c r="A17"/>
      <c r="B17" s="257" t="s">
        <v>411</v>
      </c>
      <c r="C17" s="698">
        <v>6</v>
      </c>
      <c r="D17" s="698">
        <v>3360</v>
      </c>
      <c r="E17" s="773">
        <v>168000</v>
      </c>
      <c r="F17" s="774">
        <v>525</v>
      </c>
      <c r="G17" s="774">
        <v>106722000</v>
      </c>
      <c r="H17" s="781">
        <v>380.95215981008408</v>
      </c>
      <c r="I17" s="781">
        <v>352.74813928005386</v>
      </c>
      <c r="J17" s="777">
        <v>63999.962848094132</v>
      </c>
      <c r="K17" s="933">
        <v>-0.1742125558856559</v>
      </c>
      <c r="L17" s="679"/>
      <c r="M17" s="679"/>
      <c r="N17" s="679"/>
      <c r="O17" s="679"/>
      <c r="P17" s="679"/>
      <c r="Q17" s="253"/>
      <c r="AD17" s="235"/>
      <c r="AE17" s="235"/>
      <c r="AF17" s="235"/>
    </row>
    <row r="18" spans="1:32" s="562" customFormat="1">
      <c r="A18"/>
      <c r="B18" s="257" t="s">
        <v>470</v>
      </c>
      <c r="C18" s="698">
        <v>8</v>
      </c>
      <c r="D18" s="698">
        <v>4480</v>
      </c>
      <c r="E18" s="773">
        <v>224000</v>
      </c>
      <c r="F18" s="774">
        <v>725.5</v>
      </c>
      <c r="G18" s="774">
        <v>196639520</v>
      </c>
      <c r="H18" s="781">
        <v>518.61584255237642</v>
      </c>
      <c r="I18" s="781">
        <v>475.57006889130639</v>
      </c>
      <c r="J18" s="777">
        <v>116169.94873173231</v>
      </c>
      <c r="K18" s="933">
        <v>8.1733585971852568E-2</v>
      </c>
      <c r="L18" s="679"/>
      <c r="M18" s="679"/>
      <c r="N18" s="679"/>
      <c r="O18" s="679"/>
      <c r="P18" s="679"/>
      <c r="Q18" s="253"/>
      <c r="AD18" s="235"/>
      <c r="AE18" s="235"/>
      <c r="AF18" s="235"/>
    </row>
    <row r="19" spans="1:32" s="562" customFormat="1">
      <c r="A19"/>
      <c r="B19" s="257" t="s">
        <v>442</v>
      </c>
      <c r="C19" s="698">
        <v>1</v>
      </c>
      <c r="D19" s="698">
        <v>560</v>
      </c>
      <c r="E19" s="773">
        <v>28000</v>
      </c>
      <c r="F19" s="774">
        <v>726</v>
      </c>
      <c r="G19" s="774">
        <v>24596880</v>
      </c>
      <c r="H19" s="781">
        <v>520.43980748028275</v>
      </c>
      <c r="I19" s="781">
        <v>478.82832814029365</v>
      </c>
      <c r="J19" s="777">
        <v>14572.314609447918</v>
      </c>
      <c r="K19" s="933">
        <v>8.584784829427039E-2</v>
      </c>
      <c r="L19" s="679"/>
      <c r="M19" s="679"/>
      <c r="N19" s="679"/>
      <c r="O19" s="679"/>
      <c r="P19" s="679"/>
      <c r="Q19" s="253"/>
      <c r="AD19" s="235"/>
      <c r="AE19" s="235"/>
      <c r="AF19" s="235"/>
    </row>
    <row r="20" spans="1:32" s="562" customFormat="1">
      <c r="A20"/>
      <c r="B20" s="257" t="s">
        <v>428</v>
      </c>
      <c r="C20" s="698">
        <v>1</v>
      </c>
      <c r="D20" s="698">
        <v>560</v>
      </c>
      <c r="E20" s="773">
        <v>28000</v>
      </c>
      <c r="F20" s="774">
        <v>699</v>
      </c>
      <c r="G20" s="774">
        <v>23682120</v>
      </c>
      <c r="H20" s="781">
        <v>499.6726036445362</v>
      </c>
      <c r="I20" s="781">
        <v>499.73265542552969</v>
      </c>
      <c r="J20" s="777">
        <v>13990.832902047014</v>
      </c>
      <c r="K20" s="933">
        <v>0.13695210795437562</v>
      </c>
      <c r="L20" s="679"/>
      <c r="M20" s="679"/>
      <c r="N20" s="679"/>
      <c r="O20" s="679"/>
      <c r="P20" s="679"/>
      <c r="Q20" s="253"/>
      <c r="AD20" s="235"/>
      <c r="AE20" s="235"/>
      <c r="AF20" s="235"/>
    </row>
    <row r="21" spans="1:32" s="562" customFormat="1">
      <c r="A21"/>
      <c r="B21" s="257" t="s">
        <v>410</v>
      </c>
      <c r="C21" s="698">
        <v>1</v>
      </c>
      <c r="D21" s="698">
        <v>560</v>
      </c>
      <c r="E21" s="773">
        <v>28000</v>
      </c>
      <c r="F21" s="774">
        <v>730</v>
      </c>
      <c r="G21" s="774">
        <v>24732400</v>
      </c>
      <c r="H21" s="781">
        <v>521.86298508772938</v>
      </c>
      <c r="I21" s="781">
        <v>475.39573299087675</v>
      </c>
      <c r="J21" s="777">
        <v>14612.163582456426</v>
      </c>
      <c r="K21" s="933">
        <v>8.060052817375829E-2</v>
      </c>
      <c r="L21" s="679"/>
      <c r="M21" s="679"/>
      <c r="N21" s="679"/>
      <c r="O21" s="679"/>
      <c r="P21" s="679"/>
      <c r="Q21" s="253"/>
      <c r="AD21" s="235"/>
      <c r="AE21" s="235"/>
      <c r="AF21" s="235"/>
    </row>
    <row r="22" spans="1:32" s="562" customFormat="1">
      <c r="A22"/>
      <c r="B22" s="257" t="s">
        <v>425</v>
      </c>
      <c r="C22" s="698">
        <v>11</v>
      </c>
      <c r="D22" s="698">
        <v>6160</v>
      </c>
      <c r="E22" s="773">
        <v>308000</v>
      </c>
      <c r="F22" s="774">
        <v>625</v>
      </c>
      <c r="G22" s="774">
        <v>232925000</v>
      </c>
      <c r="H22" s="781">
        <v>448.6010513347286</v>
      </c>
      <c r="I22" s="781">
        <v>417.32260781432547</v>
      </c>
      <c r="J22" s="777">
        <v>138169.12381109642</v>
      </c>
      <c r="K22" s="933">
        <v>-5.4568952788351062E-2</v>
      </c>
      <c r="L22" s="679"/>
      <c r="M22" s="679"/>
      <c r="N22" s="679"/>
      <c r="O22" s="679"/>
      <c r="P22" s="679"/>
      <c r="Q22" s="253"/>
      <c r="AD22" s="235"/>
      <c r="AE22" s="235"/>
      <c r="AF22" s="235"/>
    </row>
    <row r="23" spans="1:32" s="562" customFormat="1">
      <c r="A23" s="938" t="s">
        <v>514</v>
      </c>
      <c r="B23" s="938"/>
      <c r="C23" s="477">
        <v>54</v>
      </c>
      <c r="D23" s="477">
        <v>30420</v>
      </c>
      <c r="E23" s="253">
        <v>1521000</v>
      </c>
      <c r="F23" s="237">
        <v>645.53596571778382</v>
      </c>
      <c r="G23" s="237">
        <v>1184180735</v>
      </c>
      <c r="H23" s="759">
        <v>461.79986296665891</v>
      </c>
      <c r="I23" s="759">
        <v>430.89910533387626</v>
      </c>
      <c r="J23" s="776">
        <v>700051.1080234882</v>
      </c>
      <c r="K23" s="519">
        <v>-1.1648161842797624E-2</v>
      </c>
      <c r="L23" s="679"/>
      <c r="M23" s="679"/>
      <c r="N23" s="679"/>
      <c r="O23" s="679"/>
      <c r="P23" s="679"/>
      <c r="AD23" s="235"/>
      <c r="AE23" s="235"/>
      <c r="AF23" s="235"/>
    </row>
    <row r="24" spans="1:32" s="562" customFormat="1">
      <c r="A24" s="938" t="s">
        <v>260</v>
      </c>
      <c r="B24" s="257" t="s">
        <v>525</v>
      </c>
      <c r="C24" s="698">
        <v>8</v>
      </c>
      <c r="D24" s="698">
        <v>6100</v>
      </c>
      <c r="E24" s="773">
        <v>305000</v>
      </c>
      <c r="F24" s="774">
        <v>595.04132231404958</v>
      </c>
      <c r="G24" s="774">
        <v>181487603.30578512</v>
      </c>
      <c r="H24" s="781">
        <v>421.66236127141417</v>
      </c>
      <c r="I24" s="781">
        <v>422.92371737378414</v>
      </c>
      <c r="J24" s="777">
        <v>128607.02018778131</v>
      </c>
      <c r="K24" s="933">
        <v>-3.0051868516772218E-2</v>
      </c>
      <c r="AD24" s="235"/>
      <c r="AE24" s="235"/>
      <c r="AF24" s="235"/>
    </row>
    <row r="25" spans="1:32" s="562" customFormat="1">
      <c r="A25" s="938" t="s">
        <v>527</v>
      </c>
      <c r="B25" s="938"/>
      <c r="C25" s="477">
        <v>8</v>
      </c>
      <c r="D25" s="477">
        <v>6100</v>
      </c>
      <c r="E25" s="253">
        <v>305000</v>
      </c>
      <c r="F25" s="237">
        <v>595.04132231404958</v>
      </c>
      <c r="G25" s="237">
        <v>181487603.30578512</v>
      </c>
      <c r="H25" s="759">
        <v>421.66236127141417</v>
      </c>
      <c r="I25" s="759">
        <v>422.92371737378414</v>
      </c>
      <c r="J25" s="776">
        <v>128607.02018778131</v>
      </c>
      <c r="K25" s="519">
        <v>-3.0051868516772218E-2</v>
      </c>
      <c r="AD25" s="235"/>
      <c r="AE25" s="235"/>
      <c r="AF25" s="235"/>
    </row>
    <row r="26" spans="1:32" s="562" customFormat="1">
      <c r="A26" s="938" t="s">
        <v>391</v>
      </c>
      <c r="B26" s="257" t="s">
        <v>483</v>
      </c>
      <c r="C26" s="698">
        <v>1</v>
      </c>
      <c r="D26" s="698">
        <v>640</v>
      </c>
      <c r="E26" s="773">
        <v>32000</v>
      </c>
      <c r="F26" s="774">
        <v>495.86776859504135</v>
      </c>
      <c r="G26" s="774">
        <v>19200000</v>
      </c>
      <c r="H26" s="781">
        <v>355.91179172792687</v>
      </c>
      <c r="I26" s="781">
        <v>357.39184278798746</v>
      </c>
      <c r="J26" s="777">
        <v>11389.17733529366</v>
      </c>
      <c r="K26" s="933">
        <v>-0.19053433593751445</v>
      </c>
      <c r="AD26" s="235"/>
      <c r="AE26" s="235"/>
      <c r="AF26" s="235"/>
    </row>
    <row r="27" spans="1:32" s="562" customFormat="1">
      <c r="A27"/>
      <c r="B27" s="257" t="s">
        <v>417</v>
      </c>
      <c r="C27" s="698">
        <v>21</v>
      </c>
      <c r="D27" s="698">
        <v>17000</v>
      </c>
      <c r="E27" s="773">
        <v>850000</v>
      </c>
      <c r="F27" s="774">
        <v>495.8677685950413</v>
      </c>
      <c r="G27" s="774">
        <v>510000000</v>
      </c>
      <c r="H27" s="781">
        <v>359.41507956478154</v>
      </c>
      <c r="I27" s="781">
        <v>363.97981700483228</v>
      </c>
      <c r="J27" s="777">
        <v>305558.72011728596</v>
      </c>
      <c r="K27" s="933">
        <v>-0.14405535796663557</v>
      </c>
      <c r="AD27" s="235"/>
      <c r="AE27" s="235"/>
      <c r="AF27" s="235"/>
    </row>
    <row r="28" spans="1:32" s="562" customFormat="1">
      <c r="A28"/>
      <c r="B28" s="257" t="s">
        <v>450</v>
      </c>
      <c r="C28" s="698">
        <v>3</v>
      </c>
      <c r="D28" s="698">
        <v>1800</v>
      </c>
      <c r="E28" s="773">
        <v>90000</v>
      </c>
      <c r="F28" s="774">
        <v>578.51239669421489</v>
      </c>
      <c r="G28" s="774">
        <v>63000000</v>
      </c>
      <c r="H28" s="781">
        <v>415.23042368258137</v>
      </c>
      <c r="I28" s="781">
        <v>418.62668513987302</v>
      </c>
      <c r="J28" s="777">
        <v>37370.738131432321</v>
      </c>
      <c r="K28" s="933">
        <v>-5.2487828096722512E-2</v>
      </c>
      <c r="AD28" s="235"/>
      <c r="AE28" s="235"/>
      <c r="AF28" s="235"/>
    </row>
    <row r="29" spans="1:32">
      <c r="B29" s="257" t="s">
        <v>451</v>
      </c>
      <c r="C29" s="698">
        <v>3</v>
      </c>
      <c r="D29" s="698">
        <v>1800</v>
      </c>
      <c r="E29" s="773">
        <v>90000</v>
      </c>
      <c r="F29" s="774">
        <v>578.51239669421489</v>
      </c>
      <c r="G29" s="774">
        <v>63000000</v>
      </c>
      <c r="H29" s="781">
        <v>415.23042368258137</v>
      </c>
      <c r="I29" s="781">
        <v>418.76800758215433</v>
      </c>
      <c r="J29" s="777">
        <v>37370.738131432321</v>
      </c>
      <c r="K29" s="933">
        <v>-5.2222449525451298E-2</v>
      </c>
    </row>
    <row r="30" spans="1:32">
      <c r="B30" s="257" t="s">
        <v>532</v>
      </c>
      <c r="C30" s="698">
        <v>2</v>
      </c>
      <c r="D30" s="698">
        <v>1130</v>
      </c>
      <c r="E30" s="773">
        <v>56500</v>
      </c>
      <c r="F30" s="774">
        <v>495.86776859504135</v>
      </c>
      <c r="G30" s="774">
        <v>33900000</v>
      </c>
      <c r="H30" s="781">
        <v>350.27390006277767</v>
      </c>
      <c r="I30" s="781">
        <v>351.67830292083465</v>
      </c>
      <c r="J30" s="777">
        <v>19748.191166058321</v>
      </c>
      <c r="K30" s="933">
        <v>-0.19083507751588324</v>
      </c>
    </row>
    <row r="31" spans="1:32">
      <c r="B31" s="257" t="s">
        <v>529</v>
      </c>
      <c r="C31" s="698">
        <v>5</v>
      </c>
      <c r="D31" s="698">
        <v>3891</v>
      </c>
      <c r="E31" s="773">
        <v>194550</v>
      </c>
      <c r="F31" s="774">
        <v>482.64462809917359</v>
      </c>
      <c r="G31" s="774">
        <v>113634000</v>
      </c>
      <c r="H31" s="781">
        <v>339.80568439474041</v>
      </c>
      <c r="I31" s="781">
        <v>341.13272079141927</v>
      </c>
      <c r="J31" s="777">
        <v>65857.969184102083</v>
      </c>
      <c r="K31" s="933">
        <v>-0.2125184876097797</v>
      </c>
    </row>
    <row r="32" spans="1:32">
      <c r="B32" s="257" t="s">
        <v>453</v>
      </c>
      <c r="C32" s="698">
        <v>2</v>
      </c>
      <c r="D32" s="698">
        <v>1200</v>
      </c>
      <c r="E32" s="773">
        <v>60000</v>
      </c>
      <c r="F32" s="774">
        <v>578.51239669421489</v>
      </c>
      <c r="G32" s="774">
        <v>42000000</v>
      </c>
      <c r="H32" s="781">
        <v>415.23042368258132</v>
      </c>
      <c r="I32" s="781">
        <v>418.67486324519621</v>
      </c>
      <c r="J32" s="777">
        <v>24913.82542095488</v>
      </c>
      <c r="K32" s="933">
        <v>-5.2397358129243732E-2</v>
      </c>
    </row>
    <row r="33" spans="1:17">
      <c r="B33" s="257" t="s">
        <v>467</v>
      </c>
      <c r="C33" s="698">
        <v>5</v>
      </c>
      <c r="D33" s="698">
        <v>3000</v>
      </c>
      <c r="E33" s="773">
        <v>150000</v>
      </c>
      <c r="F33" s="774">
        <v>578.51239669421489</v>
      </c>
      <c r="G33" s="774">
        <v>105000000</v>
      </c>
      <c r="H33" s="781">
        <v>415.23042368258132</v>
      </c>
      <c r="I33" s="781">
        <v>418.35551123276838</v>
      </c>
      <c r="J33" s="777">
        <v>62284.563552387197</v>
      </c>
      <c r="K33" s="933">
        <v>-5.2997044770817479E-2</v>
      </c>
    </row>
    <row r="34" spans="1:17">
      <c r="B34" s="257" t="s">
        <v>471</v>
      </c>
      <c r="C34" s="698">
        <v>54</v>
      </c>
      <c r="D34" s="698">
        <v>43200</v>
      </c>
      <c r="E34" s="773">
        <v>2160000</v>
      </c>
      <c r="F34" s="774">
        <v>502.5711662075301</v>
      </c>
      <c r="G34" s="774">
        <v>1313520000</v>
      </c>
      <c r="H34" s="781">
        <v>366.77442674572768</v>
      </c>
      <c r="I34" s="781">
        <v>369.76008337038041</v>
      </c>
      <c r="J34" s="777">
        <v>792232.76177077112</v>
      </c>
      <c r="K34" s="933">
        <v>-0.14881878977815682</v>
      </c>
    </row>
    <row r="35" spans="1:17">
      <c r="B35" s="257" t="s">
        <v>472</v>
      </c>
      <c r="C35" s="698">
        <v>1</v>
      </c>
      <c r="D35" s="698">
        <v>600</v>
      </c>
      <c r="E35" s="773">
        <v>30000</v>
      </c>
      <c r="F35" s="774">
        <v>578.51239669421489</v>
      </c>
      <c r="G35" s="774">
        <v>21000000</v>
      </c>
      <c r="H35" s="781">
        <v>415.23042368258132</v>
      </c>
      <c r="I35" s="781">
        <v>417.83656421257308</v>
      </c>
      <c r="J35" s="777">
        <v>12456.91271047744</v>
      </c>
      <c r="K35" s="933">
        <v>-5.3971535563375084E-2</v>
      </c>
      <c r="L35" s="463"/>
    </row>
    <row r="36" spans="1:17">
      <c r="B36" s="257" t="s">
        <v>531</v>
      </c>
      <c r="C36" s="698">
        <v>2</v>
      </c>
      <c r="D36" s="698">
        <v>813</v>
      </c>
      <c r="E36" s="773">
        <v>40650</v>
      </c>
      <c r="F36" s="774">
        <v>495.86776859504135</v>
      </c>
      <c r="G36" s="774">
        <v>24390000</v>
      </c>
      <c r="H36" s="781">
        <v>350.27390006277767</v>
      </c>
      <c r="I36" s="781">
        <v>351.71251920788052</v>
      </c>
      <c r="J36" s="777">
        <v>14319.537782946805</v>
      </c>
      <c r="K36" s="933">
        <v>-0.1907708253757146</v>
      </c>
      <c r="L36" s="463"/>
      <c r="Q36" s="463"/>
    </row>
    <row r="37" spans="1:17">
      <c r="B37" s="257" t="s">
        <v>530</v>
      </c>
      <c r="C37" s="698">
        <v>1</v>
      </c>
      <c r="D37" s="698">
        <v>790</v>
      </c>
      <c r="E37" s="773">
        <v>39500</v>
      </c>
      <c r="F37" s="774">
        <v>495.86776859504135</v>
      </c>
      <c r="G37" s="774">
        <v>23700000</v>
      </c>
      <c r="H37" s="781">
        <v>355.91179172792687</v>
      </c>
      <c r="I37" s="781">
        <v>357.28201637238345</v>
      </c>
      <c r="J37" s="777">
        <v>14058.515773253112</v>
      </c>
      <c r="K37" s="933">
        <v>-0.19074340095440268</v>
      </c>
    </row>
    <row r="38" spans="1:17">
      <c r="A38" s="938" t="s">
        <v>515</v>
      </c>
      <c r="B38" s="938"/>
      <c r="C38" s="477">
        <v>100</v>
      </c>
      <c r="D38" s="477">
        <v>75864</v>
      </c>
      <c r="E38" s="253">
        <v>3793200</v>
      </c>
      <c r="F38" s="237">
        <v>510.39669421487531</v>
      </c>
      <c r="G38" s="237">
        <v>2332344000</v>
      </c>
      <c r="H38" s="759">
        <v>369.78709252366525</v>
      </c>
      <c r="I38" s="759">
        <v>372.96887691509801</v>
      </c>
      <c r="J38" s="776">
        <v>1397561.6510763955</v>
      </c>
      <c r="K38" s="519">
        <v>-0.14006341454586305</v>
      </c>
    </row>
    <row r="39" spans="1:17">
      <c r="A39" s="938" t="s">
        <v>261</v>
      </c>
      <c r="B39" s="257" t="s">
        <v>406</v>
      </c>
      <c r="C39" s="698">
        <v>172</v>
      </c>
      <c r="D39" s="698">
        <v>120000</v>
      </c>
      <c r="E39" s="773">
        <v>6000000</v>
      </c>
      <c r="F39" s="774">
        <v>455.58481499999959</v>
      </c>
      <c r="G39" s="774">
        <v>3307545756.8999915</v>
      </c>
      <c r="H39" s="781">
        <v>315</v>
      </c>
      <c r="I39" s="781">
        <v>319.38337699926342</v>
      </c>
      <c r="J39" s="777">
        <v>1890000</v>
      </c>
      <c r="K39" s="933">
        <v>-0.14256629892517056</v>
      </c>
    </row>
    <row r="40" spans="1:17">
      <c r="A40" s="938" t="s">
        <v>517</v>
      </c>
      <c r="B40" s="938"/>
      <c r="C40" s="477">
        <v>172</v>
      </c>
      <c r="D40" s="477">
        <v>120000</v>
      </c>
      <c r="E40" s="253">
        <v>6000000</v>
      </c>
      <c r="F40" s="237">
        <v>455.58481499999959</v>
      </c>
      <c r="G40" s="237">
        <v>3307545756.8999915</v>
      </c>
      <c r="H40" s="759">
        <v>315</v>
      </c>
      <c r="I40" s="759">
        <v>319.38337699926342</v>
      </c>
      <c r="J40" s="776">
        <v>1890000</v>
      </c>
      <c r="K40" s="519">
        <v>-0.14256629892517056</v>
      </c>
    </row>
    <row r="41" spans="1:17">
      <c r="A41" s="938" t="s">
        <v>243</v>
      </c>
      <c r="B41"/>
      <c r="C41" s="477">
        <v>355</v>
      </c>
      <c r="D41" s="477">
        <v>244146.52000000002</v>
      </c>
      <c r="E41" s="253">
        <v>12207326</v>
      </c>
      <c r="F41" s="237">
        <v>510.80253418186157</v>
      </c>
      <c r="G41" s="237">
        <v>7350462327.9839916</v>
      </c>
      <c r="H41" s="759">
        <v>360.90197392320363</v>
      </c>
      <c r="I41" s="759">
        <v>357.24456619376895</v>
      </c>
      <c r="J41" s="776">
        <v>4358499.6852876637</v>
      </c>
      <c r="K41" s="519">
        <v>-0.11466070060039255</v>
      </c>
    </row>
    <row r="42" spans="1:17">
      <c r="B42"/>
      <c r="C42"/>
      <c r="D42"/>
      <c r="E42"/>
      <c r="F42"/>
      <c r="H42"/>
      <c r="I42"/>
      <c r="J42"/>
      <c r="K42"/>
    </row>
    <row r="43" spans="1:17">
      <c r="B43"/>
      <c r="C43"/>
      <c r="D43"/>
      <c r="E43"/>
      <c r="F43"/>
      <c r="H43"/>
      <c r="I43"/>
      <c r="J43"/>
      <c r="K43"/>
    </row>
    <row r="44" spans="1:17">
      <c r="B44"/>
      <c r="C44"/>
      <c r="D44"/>
      <c r="E44"/>
      <c r="F44"/>
      <c r="H44"/>
      <c r="I44"/>
      <c r="J44"/>
      <c r="K44"/>
    </row>
    <row r="45" spans="1:17">
      <c r="B45"/>
      <c r="C45"/>
      <c r="D45"/>
      <c r="E45"/>
      <c r="F45"/>
      <c r="H45"/>
      <c r="I45"/>
      <c r="J45"/>
      <c r="K45"/>
    </row>
    <row r="46" spans="1:17">
      <c r="B46"/>
      <c r="C46"/>
      <c r="D46"/>
      <c r="E46"/>
      <c r="F46"/>
      <c r="H46"/>
      <c r="I46"/>
      <c r="J46"/>
      <c r="K46"/>
    </row>
    <row r="47" spans="1:17">
      <c r="B47"/>
      <c r="C47"/>
      <c r="D47"/>
      <c r="E47"/>
      <c r="F47"/>
      <c r="H47"/>
      <c r="I47"/>
      <c r="J47"/>
      <c r="K47"/>
    </row>
    <row r="48" spans="1:17">
      <c r="B48"/>
      <c r="C48"/>
      <c r="D48"/>
      <c r="E48" s="676"/>
      <c r="F48"/>
      <c r="H48" s="674"/>
      <c r="I48"/>
      <c r="J48" s="676"/>
      <c r="K48" s="676"/>
    </row>
    <row r="49" spans="1:15">
      <c r="B49"/>
      <c r="C49"/>
      <c r="D49"/>
      <c r="E49" s="676"/>
      <c r="F49"/>
      <c r="I49"/>
    </row>
    <row r="50" spans="1:15">
      <c r="B50"/>
      <c r="C50"/>
      <c r="D50"/>
      <c r="E50" s="676"/>
      <c r="F50"/>
      <c r="I50"/>
    </row>
    <row r="51" spans="1:15">
      <c r="B51"/>
      <c r="C51"/>
      <c r="D51"/>
      <c r="E51" s="676"/>
      <c r="F51"/>
      <c r="I51"/>
    </row>
    <row r="52" spans="1:15">
      <c r="B52"/>
      <c r="C52"/>
      <c r="D52"/>
      <c r="E52" s="676"/>
      <c r="F52"/>
      <c r="I52"/>
    </row>
    <row r="55" spans="1:15">
      <c r="B55"/>
      <c r="C55"/>
      <c r="D55"/>
      <c r="E55" s="676"/>
      <c r="F55"/>
    </row>
    <row r="56" spans="1:15">
      <c r="A56" s="473" t="s">
        <v>154</v>
      </c>
      <c r="B56" s="235" t="s">
        <v>246</v>
      </c>
      <c r="G56" s="508"/>
    </row>
    <row r="57" spans="1:15">
      <c r="A57" s="508"/>
      <c r="B57" s="508"/>
      <c r="C57" s="508"/>
      <c r="D57" s="508"/>
      <c r="E57" s="763"/>
      <c r="F57" s="508"/>
      <c r="G57" s="508"/>
    </row>
    <row r="58" spans="1:15" s="676" customFormat="1" ht="75">
      <c r="A58" s="775" t="s">
        <v>338</v>
      </c>
      <c r="B58" s="510" t="s">
        <v>327</v>
      </c>
      <c r="C58" s="510" t="s">
        <v>305</v>
      </c>
      <c r="D58" s="510" t="s">
        <v>328</v>
      </c>
      <c r="E58" s="510" t="s">
        <v>337</v>
      </c>
      <c r="F58" s="510" t="s">
        <v>331</v>
      </c>
      <c r="G58" s="510" t="s">
        <v>332</v>
      </c>
      <c r="H58" s="510" t="s">
        <v>333</v>
      </c>
      <c r="I58" s="510" t="s">
        <v>334</v>
      </c>
      <c r="J58" s="510" t="s">
        <v>330</v>
      </c>
      <c r="K58" s="510" t="s">
        <v>329</v>
      </c>
      <c r="L58" s="510" t="s">
        <v>335</v>
      </c>
      <c r="M58" s="510" t="s">
        <v>336</v>
      </c>
      <c r="N58"/>
      <c r="O58"/>
    </row>
    <row r="59" spans="1:15">
      <c r="A59" s="506" t="s">
        <v>259</v>
      </c>
      <c r="C59" s="477"/>
      <c r="D59" s="511"/>
      <c r="E59" s="253"/>
      <c r="F59" s="237"/>
      <c r="G59" s="237"/>
      <c r="H59" s="237"/>
      <c r="I59" s="511"/>
      <c r="J59" s="237"/>
      <c r="K59" s="640"/>
      <c r="L59" s="640"/>
      <c r="M59" s="640"/>
    </row>
    <row r="60" spans="1:15">
      <c r="A60" s="931">
        <v>1</v>
      </c>
      <c r="B60" s="477">
        <v>588.12599999999998</v>
      </c>
      <c r="C60" s="477">
        <v>11762.520000000004</v>
      </c>
      <c r="D60" s="511">
        <v>4.8178118615002187E-2</v>
      </c>
      <c r="E60" s="253">
        <v>980.21000000000038</v>
      </c>
      <c r="F60" s="237">
        <v>586.44615741904749</v>
      </c>
      <c r="G60" s="237">
        <v>29322.307870952372</v>
      </c>
      <c r="H60" s="237">
        <v>26766.926865700461</v>
      </c>
      <c r="I60" s="511">
        <v>-6.2256578846592338E-2</v>
      </c>
      <c r="J60" s="237">
        <v>344904232.77823478</v>
      </c>
      <c r="K60" s="640">
        <v>242279.90599999996</v>
      </c>
      <c r="L60" s="640">
        <v>411.95238095238096</v>
      </c>
      <c r="M60" s="640">
        <v>378.05004935166988</v>
      </c>
    </row>
    <row r="61" spans="1:15">
      <c r="A61" s="506" t="s">
        <v>258</v>
      </c>
      <c r="C61" s="477"/>
      <c r="D61" s="511"/>
      <c r="E61" s="253"/>
      <c r="F61" s="237"/>
      <c r="G61" s="237"/>
      <c r="H61" s="237"/>
      <c r="I61" s="511"/>
      <c r="J61" s="237"/>
      <c r="K61" s="640"/>
      <c r="L61" s="640"/>
      <c r="M61" s="640"/>
    </row>
    <row r="62" spans="1:15">
      <c r="A62" s="931">
        <v>2</v>
      </c>
      <c r="B62" s="477">
        <v>300</v>
      </c>
      <c r="C62" s="477">
        <v>6000</v>
      </c>
      <c r="D62" s="511">
        <v>2.4575406604198165E-2</v>
      </c>
      <c r="E62" s="253">
        <v>500</v>
      </c>
      <c r="F62" s="237">
        <v>736.18181818181813</v>
      </c>
      <c r="G62" s="237">
        <v>44539</v>
      </c>
      <c r="H62" s="237">
        <v>41006.858863013702</v>
      </c>
      <c r="I62" s="511">
        <v>0.10541539032738165</v>
      </c>
      <c r="J62" s="237">
        <v>267139565</v>
      </c>
      <c r="K62" s="640">
        <v>157302.22421656645</v>
      </c>
      <c r="L62" s="640">
        <v>524.59008720553504</v>
      </c>
      <c r="M62" s="640">
        <v>484.54347941624513</v>
      </c>
    </row>
    <row r="63" spans="1:15">
      <c r="A63" s="931">
        <v>3</v>
      </c>
      <c r="B63" s="477">
        <v>981</v>
      </c>
      <c r="C63" s="477">
        <v>19620</v>
      </c>
      <c r="D63" s="511">
        <v>8.0361579595727997E-2</v>
      </c>
      <c r="E63" s="253">
        <v>1635</v>
      </c>
      <c r="F63" s="237">
        <v>651.25714285714287</v>
      </c>
      <c r="G63" s="237">
        <v>39401.057142857142</v>
      </c>
      <c r="H63" s="237">
        <v>36290.683663013704</v>
      </c>
      <c r="I63" s="511">
        <v>-7.5543752570279756E-3</v>
      </c>
      <c r="J63" s="237">
        <v>773041170</v>
      </c>
      <c r="K63" s="640">
        <v>458344.8742919456</v>
      </c>
      <c r="L63" s="640">
        <v>467.23527591731903</v>
      </c>
      <c r="M63" s="640">
        <v>431.79160303891149</v>
      </c>
    </row>
    <row r="64" spans="1:15">
      <c r="A64" s="931">
        <v>4</v>
      </c>
      <c r="B64" s="477">
        <v>240</v>
      </c>
      <c r="C64" s="477">
        <v>4800</v>
      </c>
      <c r="D64" s="511">
        <v>1.9660325283358534E-2</v>
      </c>
      <c r="E64" s="253">
        <v>400</v>
      </c>
      <c r="F64" s="237">
        <v>495.86776859504141</v>
      </c>
      <c r="G64" s="237">
        <v>30000</v>
      </c>
      <c r="H64" s="237">
        <v>30034.70664383562</v>
      </c>
      <c r="I64" s="511">
        <v>-0.19052086238953636</v>
      </c>
      <c r="J64" s="237">
        <v>144000000</v>
      </c>
      <c r="K64" s="640">
        <v>84404.009514975594</v>
      </c>
      <c r="L64" s="640">
        <v>351.68337297906493</v>
      </c>
      <c r="M64" s="640">
        <v>353.233413511089</v>
      </c>
    </row>
    <row r="65" spans="1:32">
      <c r="A65" s="931" t="s">
        <v>265</v>
      </c>
      <c r="B65" s="477">
        <v>0</v>
      </c>
      <c r="C65" s="477">
        <v>0</v>
      </c>
      <c r="D65" s="511">
        <v>0</v>
      </c>
      <c r="E65" s="253">
        <v>0</v>
      </c>
      <c r="F65" s="237"/>
      <c r="G65" s="237">
        <v>0</v>
      </c>
      <c r="H65" s="237">
        <v>-3932.5</v>
      </c>
      <c r="I65" s="511">
        <v>-1.1059715971866664</v>
      </c>
      <c r="J65" s="237">
        <v>0</v>
      </c>
      <c r="K65" s="640">
        <v>0</v>
      </c>
      <c r="L65" s="640" t="e">
        <v>#DIV/0!</v>
      </c>
      <c r="M65" s="640" t="e">
        <v>#DIV/0!</v>
      </c>
    </row>
    <row r="66" spans="1:32" s="743" customFormat="1">
      <c r="A66" s="506" t="s">
        <v>391</v>
      </c>
      <c r="B66" s="477"/>
      <c r="C66" s="477"/>
      <c r="D66" s="511"/>
      <c r="E66" s="253"/>
      <c r="F66" s="237"/>
      <c r="G66" s="237"/>
      <c r="H66" s="237"/>
      <c r="I66" s="511"/>
      <c r="J66" s="237"/>
      <c r="K66" s="640"/>
      <c r="L66" s="640"/>
      <c r="M66" s="640"/>
      <c r="N66"/>
      <c r="O66"/>
      <c r="AD66" s="235"/>
      <c r="AE66" s="235"/>
      <c r="AF66" s="235"/>
    </row>
    <row r="67" spans="1:32" s="743" customFormat="1">
      <c r="A67" s="931">
        <v>4</v>
      </c>
      <c r="B67" s="477">
        <v>3793.2</v>
      </c>
      <c r="C67" s="477">
        <v>75864</v>
      </c>
      <c r="D67" s="511">
        <v>0.31073144110348161</v>
      </c>
      <c r="E67" s="253">
        <v>6322</v>
      </c>
      <c r="F67" s="237">
        <v>510.39669421487554</v>
      </c>
      <c r="G67" s="237">
        <v>30879</v>
      </c>
      <c r="H67" s="237">
        <v>31021.510470547946</v>
      </c>
      <c r="I67" s="511">
        <v>-0.14006341454586299</v>
      </c>
      <c r="J67" s="237">
        <v>2332344000</v>
      </c>
      <c r="K67" s="640">
        <v>1397561.6510763955</v>
      </c>
      <c r="L67" s="640">
        <v>369.78709252366519</v>
      </c>
      <c r="M67" s="640">
        <v>372.96887691509801</v>
      </c>
      <c r="N67"/>
      <c r="O67"/>
      <c r="AD67" s="235"/>
      <c r="AE67" s="235"/>
      <c r="AF67" s="235"/>
    </row>
    <row r="68" spans="1:32" s="743" customFormat="1">
      <c r="A68" s="506" t="s">
        <v>260</v>
      </c>
      <c r="B68" s="477"/>
      <c r="C68" s="477"/>
      <c r="D68" s="511"/>
      <c r="E68" s="253"/>
      <c r="F68" s="237"/>
      <c r="G68" s="237"/>
      <c r="H68" s="237"/>
      <c r="I68" s="511"/>
      <c r="J68" s="237"/>
      <c r="K68" s="640"/>
      <c r="L68" s="640"/>
      <c r="M68" s="640"/>
      <c r="N68"/>
      <c r="O68"/>
      <c r="AD68" s="235"/>
      <c r="AE68" s="235"/>
      <c r="AF68" s="235"/>
    </row>
    <row r="69" spans="1:32" s="743" customFormat="1">
      <c r="A69" s="931">
        <v>5</v>
      </c>
      <c r="B69" s="477">
        <v>305</v>
      </c>
      <c r="C69" s="477">
        <v>6100</v>
      </c>
      <c r="D69" s="511">
        <v>2.4984996714268137E-2</v>
      </c>
      <c r="E69" s="253">
        <v>508.33333333333331</v>
      </c>
      <c r="F69" s="237">
        <v>595.04132231404958</v>
      </c>
      <c r="G69" s="237">
        <v>29752.066115702477</v>
      </c>
      <c r="H69" s="237">
        <v>29751.756115702479</v>
      </c>
      <c r="I69" s="511">
        <v>-3.0051868516772218E-2</v>
      </c>
      <c r="J69" s="237">
        <v>181487603.30578512</v>
      </c>
      <c r="K69" s="640">
        <v>128607.02018778131</v>
      </c>
      <c r="L69" s="640">
        <v>421.66236127141417</v>
      </c>
      <c r="M69" s="640">
        <v>422.92371737378414</v>
      </c>
      <c r="N69"/>
      <c r="O69"/>
      <c r="AD69" s="235"/>
      <c r="AE69" s="235"/>
      <c r="AF69" s="235"/>
    </row>
    <row r="70" spans="1:32" s="743" customFormat="1">
      <c r="A70" s="506" t="s">
        <v>261</v>
      </c>
      <c r="B70" s="477"/>
      <c r="C70" s="477"/>
      <c r="D70" s="511"/>
      <c r="E70" s="253"/>
      <c r="F70" s="237"/>
      <c r="G70" s="237"/>
      <c r="H70" s="237"/>
      <c r="I70" s="511"/>
      <c r="J70" s="237"/>
      <c r="K70" s="640"/>
      <c r="L70" s="640"/>
      <c r="M70" s="640"/>
      <c r="N70"/>
      <c r="O70"/>
      <c r="AD70" s="235"/>
      <c r="AE70" s="235"/>
      <c r="AF70" s="235"/>
    </row>
    <row r="71" spans="1:32" s="743" customFormat="1">
      <c r="A71" s="931">
        <v>5</v>
      </c>
      <c r="B71" s="477">
        <v>6000</v>
      </c>
      <c r="C71" s="477">
        <v>120000</v>
      </c>
      <c r="D71" s="511">
        <v>0.49150813208396332</v>
      </c>
      <c r="E71" s="253">
        <v>10000</v>
      </c>
      <c r="F71" s="237">
        <v>455.58481499999959</v>
      </c>
      <c r="G71" s="237">
        <v>27562.881307500007</v>
      </c>
      <c r="H71" s="237">
        <v>27879.456790448079</v>
      </c>
      <c r="I71" s="511">
        <v>-0.14256629892517056</v>
      </c>
      <c r="J71" s="237">
        <v>3307545756.8999915</v>
      </c>
      <c r="K71" s="640">
        <v>1890000</v>
      </c>
      <c r="L71" s="640">
        <v>315</v>
      </c>
      <c r="M71" s="640">
        <v>319.38337699926342</v>
      </c>
      <c r="AD71" s="235"/>
      <c r="AE71" s="235"/>
      <c r="AF71" s="235"/>
    </row>
    <row r="72" spans="1:32" s="743" customFormat="1">
      <c r="A72" s="506" t="s">
        <v>243</v>
      </c>
      <c r="B72" s="477">
        <v>12207.325999999999</v>
      </c>
      <c r="C72" s="477">
        <v>244146.52000000002</v>
      </c>
      <c r="D72" s="511">
        <v>1</v>
      </c>
      <c r="E72" s="253">
        <v>20345.543333333335</v>
      </c>
      <c r="F72" s="237">
        <v>510.8025341818614</v>
      </c>
      <c r="G72" s="237">
        <v>30313.108368274185</v>
      </c>
      <c r="H72" s="237">
        <v>29930.145103838557</v>
      </c>
      <c r="I72" s="511">
        <v>-0.11744528177057867</v>
      </c>
      <c r="J72" s="237">
        <v>7350462327.9839907</v>
      </c>
      <c r="K72" s="640">
        <v>4358499.6852876619</v>
      </c>
      <c r="L72" s="640" t="e">
        <v>#DIV/0!</v>
      </c>
      <c r="M72" s="640" t="e">
        <v>#DIV/0!</v>
      </c>
      <c r="AD72" s="235"/>
      <c r="AE72" s="235"/>
      <c r="AF72" s="235"/>
    </row>
    <row r="73" spans="1:32" s="743" customFormat="1">
      <c r="A73"/>
      <c r="B73"/>
      <c r="C73"/>
      <c r="D73"/>
      <c r="E73" s="676"/>
      <c r="F73"/>
      <c r="G73"/>
      <c r="H73" s="674"/>
      <c r="I73"/>
      <c r="J73" s="759"/>
      <c r="K73" s="759"/>
      <c r="AD73" s="235"/>
      <c r="AE73" s="235"/>
      <c r="AF73" s="235"/>
    </row>
    <row r="74" spans="1:32" s="743" customFormat="1">
      <c r="A74"/>
      <c r="B74"/>
      <c r="C74"/>
      <c r="D74"/>
      <c r="E74" s="676"/>
      <c r="F74"/>
      <c r="G74"/>
      <c r="H74" s="674"/>
      <c r="I74"/>
      <c r="J74" s="759"/>
      <c r="K74" s="759"/>
      <c r="AD74" s="235"/>
      <c r="AE74" s="235"/>
      <c r="AF74" s="235"/>
    </row>
    <row r="75" spans="1:32" s="743" customFormat="1">
      <c r="A75"/>
      <c r="B75"/>
      <c r="C75"/>
      <c r="D75"/>
      <c r="E75" s="676"/>
      <c r="F75"/>
      <c r="G75"/>
      <c r="H75" s="674"/>
      <c r="I75"/>
      <c r="J75" s="759"/>
      <c r="K75" s="759"/>
      <c r="AD75" s="235"/>
      <c r="AE75" s="235"/>
      <c r="AF75" s="235"/>
    </row>
    <row r="76" spans="1:32" s="743" customFormat="1">
      <c r="E76" s="676"/>
      <c r="H76" s="676"/>
      <c r="I76" s="744"/>
      <c r="J76" s="759"/>
      <c r="K76" s="759"/>
      <c r="AD76" s="235"/>
      <c r="AE76" s="235"/>
      <c r="AF76" s="235"/>
    </row>
    <row r="77" spans="1:32" s="743" customFormat="1">
      <c r="E77" s="676"/>
      <c r="H77" s="676"/>
      <c r="I77" s="744"/>
      <c r="J77" s="759"/>
      <c r="K77" s="759"/>
      <c r="AD77" s="235"/>
      <c r="AE77" s="235"/>
      <c r="AF77" s="235"/>
    </row>
    <row r="78" spans="1:32" s="743" customFormat="1">
      <c r="E78" s="676"/>
      <c r="H78" s="676"/>
      <c r="I78" s="744"/>
      <c r="J78" s="759"/>
      <c r="K78" s="759"/>
      <c r="AD78" s="235"/>
      <c r="AE78" s="235"/>
      <c r="AF78" s="235"/>
    </row>
    <row r="79" spans="1:32" s="743" customFormat="1">
      <c r="E79" s="676"/>
      <c r="H79" s="676"/>
      <c r="I79" s="744"/>
      <c r="J79" s="759"/>
      <c r="K79" s="759"/>
      <c r="AD79" s="235"/>
      <c r="AE79" s="235"/>
      <c r="AF79" s="235"/>
    </row>
    <row r="80" spans="1:32" s="743" customFormat="1">
      <c r="E80" s="676"/>
      <c r="H80" s="676"/>
      <c r="I80" s="744"/>
      <c r="J80" s="759"/>
      <c r="K80" s="759"/>
      <c r="AD80" s="235"/>
      <c r="AE80" s="235"/>
      <c r="AF80" s="235"/>
    </row>
    <row r="81" spans="1:32" s="743" customFormat="1">
      <c r="E81" s="676"/>
      <c r="H81" s="676"/>
      <c r="I81" s="744"/>
      <c r="J81" s="759"/>
      <c r="K81" s="759"/>
      <c r="AD81" s="235"/>
      <c r="AE81" s="235"/>
      <c r="AF81" s="235"/>
    </row>
    <row r="82" spans="1:32" s="743" customFormat="1">
      <c r="E82" s="676"/>
      <c r="H82" s="676"/>
      <c r="I82" s="744"/>
      <c r="J82" s="759"/>
      <c r="K82" s="759"/>
      <c r="AD82" s="235"/>
      <c r="AE82" s="235"/>
      <c r="AF82" s="235"/>
    </row>
    <row r="83" spans="1:32" s="743" customFormat="1">
      <c r="A83" s="473" t="s">
        <v>154</v>
      </c>
      <c r="B83" s="235" t="s">
        <v>246</v>
      </c>
      <c r="E83" s="676"/>
      <c r="H83" s="676"/>
      <c r="I83" s="744"/>
      <c r="J83" s="759"/>
      <c r="K83" s="759"/>
      <c r="AD83" s="235"/>
      <c r="AE83" s="235"/>
      <c r="AF83" s="235"/>
    </row>
    <row r="84" spans="1:32">
      <c r="A84" s="772" t="s">
        <v>230</v>
      </c>
      <c r="B84" s="938" t="s">
        <v>246</v>
      </c>
      <c r="G84" s="518"/>
    </row>
    <row r="85" spans="1:32">
      <c r="A85" s="518"/>
      <c r="B85" s="518"/>
      <c r="C85" s="518"/>
      <c r="D85" s="518"/>
      <c r="E85" s="763"/>
      <c r="F85" s="518"/>
      <c r="G85" s="518"/>
    </row>
    <row r="86" spans="1:32" s="686" customFormat="1" ht="60">
      <c r="A86" s="687" t="s">
        <v>151</v>
      </c>
      <c r="B86" s="767" t="s">
        <v>190</v>
      </c>
      <c r="C86" s="778" t="s">
        <v>245</v>
      </c>
      <c r="D86"/>
      <c r="E86"/>
      <c r="F86" s="674"/>
      <c r="H86" s="524"/>
      <c r="I86" s="768"/>
      <c r="J86" s="680"/>
      <c r="K86" s="680"/>
      <c r="AD86" s="524"/>
      <c r="AE86" s="524"/>
      <c r="AF86" s="524"/>
    </row>
    <row r="87" spans="1:32">
      <c r="A87" s="938" t="s">
        <v>420</v>
      </c>
      <c r="B87" s="255" t="s">
        <v>216</v>
      </c>
      <c r="C87" s="477">
        <v>550</v>
      </c>
      <c r="D87"/>
      <c r="E87"/>
      <c r="F87"/>
    </row>
    <row r="88" spans="1:32">
      <c r="A88" s="938" t="s">
        <v>422</v>
      </c>
      <c r="B88" s="255" t="s">
        <v>216</v>
      </c>
      <c r="C88" s="477">
        <v>560</v>
      </c>
      <c r="D88"/>
      <c r="E88"/>
      <c r="F88"/>
    </row>
    <row r="89" spans="1:32">
      <c r="A89" s="938" t="s">
        <v>409</v>
      </c>
      <c r="B89" s="255" t="s">
        <v>357</v>
      </c>
      <c r="C89" s="477">
        <v>560</v>
      </c>
      <c r="D89"/>
      <c r="E89"/>
      <c r="F89"/>
    </row>
    <row r="90" spans="1:32">
      <c r="B90" s="255" t="s">
        <v>216</v>
      </c>
      <c r="C90" s="477">
        <v>2240</v>
      </c>
      <c r="D90"/>
      <c r="E90"/>
      <c r="F90"/>
    </row>
    <row r="91" spans="1:32">
      <c r="A91" s="938" t="s">
        <v>411</v>
      </c>
      <c r="B91" s="255" t="s">
        <v>216</v>
      </c>
      <c r="C91" s="477">
        <v>3360</v>
      </c>
      <c r="D91"/>
      <c r="E91"/>
      <c r="F91"/>
    </row>
    <row r="92" spans="1:32">
      <c r="A92" s="938" t="s">
        <v>428</v>
      </c>
      <c r="B92" s="255" t="s">
        <v>216</v>
      </c>
      <c r="C92" s="477">
        <v>560</v>
      </c>
      <c r="D92"/>
      <c r="E92"/>
      <c r="F92"/>
    </row>
    <row r="93" spans="1:32">
      <c r="A93" s="938" t="s">
        <v>410</v>
      </c>
      <c r="B93" s="255" t="s">
        <v>216</v>
      </c>
      <c r="C93" s="477">
        <v>560</v>
      </c>
      <c r="D93"/>
      <c r="E93"/>
      <c r="F93"/>
    </row>
    <row r="94" spans="1:32">
      <c r="A94" s="938" t="s">
        <v>425</v>
      </c>
      <c r="B94" s="255" t="s">
        <v>216</v>
      </c>
      <c r="C94" s="477">
        <v>6160</v>
      </c>
      <c r="D94"/>
      <c r="E94"/>
      <c r="F94"/>
    </row>
    <row r="95" spans="1:32">
      <c r="A95" s="938" t="s">
        <v>265</v>
      </c>
      <c r="B95" s="938" t="s">
        <v>216</v>
      </c>
      <c r="C95" s="477">
        <v>0</v>
      </c>
      <c r="D95"/>
      <c r="E95"/>
      <c r="F95"/>
    </row>
    <row r="96" spans="1:32">
      <c r="B96" s="938" t="s">
        <v>265</v>
      </c>
      <c r="C96" s="477">
        <v>0</v>
      </c>
      <c r="D96"/>
      <c r="E96"/>
      <c r="F96"/>
    </row>
    <row r="97" spans="1:32">
      <c r="A97" s="938" t="s">
        <v>437</v>
      </c>
      <c r="B97" s="255" t="s">
        <v>357</v>
      </c>
      <c r="C97" s="477">
        <v>1100</v>
      </c>
      <c r="D97"/>
      <c r="E97"/>
      <c r="F97"/>
    </row>
    <row r="98" spans="1:32" s="690" customFormat="1">
      <c r="A98"/>
      <c r="B98" s="255" t="s">
        <v>216</v>
      </c>
      <c r="C98" s="477">
        <v>2110</v>
      </c>
      <c r="D98"/>
      <c r="E98"/>
      <c r="F98"/>
      <c r="H98" s="676"/>
      <c r="I98" s="691"/>
      <c r="J98" s="759"/>
      <c r="K98" s="759"/>
      <c r="AD98" s="235"/>
      <c r="AE98" s="235"/>
      <c r="AF98" s="235"/>
    </row>
    <row r="99" spans="1:32" s="690" customFormat="1">
      <c r="A99" s="938" t="s">
        <v>406</v>
      </c>
      <c r="B99" s="255" t="s">
        <v>357</v>
      </c>
      <c r="C99" s="477">
        <v>8016</v>
      </c>
      <c r="D99"/>
      <c r="E99"/>
      <c r="F99"/>
      <c r="H99" s="676"/>
      <c r="I99" s="691"/>
      <c r="J99" s="759"/>
      <c r="K99" s="759"/>
      <c r="AD99" s="235"/>
      <c r="AE99" s="235"/>
      <c r="AF99" s="235"/>
    </row>
    <row r="100" spans="1:32" s="690" customFormat="1">
      <c r="A100"/>
      <c r="B100" s="255" t="s">
        <v>216</v>
      </c>
      <c r="C100" s="477">
        <v>111984</v>
      </c>
      <c r="D100"/>
      <c r="E100"/>
      <c r="F100"/>
      <c r="H100" s="676"/>
      <c r="I100" s="691"/>
      <c r="J100" s="759"/>
      <c r="K100" s="759"/>
      <c r="AD100" s="235"/>
      <c r="AE100" s="235"/>
      <c r="AF100" s="235"/>
    </row>
    <row r="101" spans="1:32" s="693" customFormat="1">
      <c r="A101" s="938" t="s">
        <v>417</v>
      </c>
      <c r="B101" s="255" t="s">
        <v>216</v>
      </c>
      <c r="C101" s="477">
        <v>17000</v>
      </c>
      <c r="D101"/>
      <c r="E101"/>
      <c r="F101"/>
      <c r="H101" s="676"/>
      <c r="I101" s="694"/>
      <c r="J101" s="759"/>
      <c r="K101" s="759"/>
      <c r="AD101" s="235"/>
      <c r="AE101" s="235"/>
      <c r="AF101" s="235"/>
    </row>
    <row r="102" spans="1:32" s="693" customFormat="1">
      <c r="A102" s="938" t="s">
        <v>440</v>
      </c>
      <c r="B102" s="255" t="s">
        <v>357</v>
      </c>
      <c r="C102" s="477">
        <v>560</v>
      </c>
      <c r="D102"/>
      <c r="E102"/>
      <c r="F102"/>
      <c r="H102" s="676"/>
      <c r="I102" s="694"/>
      <c r="J102" s="759"/>
      <c r="K102" s="759"/>
      <c r="AD102" s="235"/>
      <c r="AE102" s="235"/>
      <c r="AF102" s="235"/>
    </row>
    <row r="103" spans="1:32" s="693" customFormat="1">
      <c r="A103"/>
      <c r="B103" s="255" t="s">
        <v>216</v>
      </c>
      <c r="C103" s="477">
        <v>600</v>
      </c>
      <c r="D103"/>
      <c r="E103"/>
      <c r="F103"/>
      <c r="H103" s="676"/>
      <c r="I103" s="694"/>
      <c r="J103" s="759"/>
      <c r="K103" s="759"/>
      <c r="AD103" s="235"/>
      <c r="AE103" s="235"/>
      <c r="AF103" s="235"/>
    </row>
    <row r="104" spans="1:32" s="693" customFormat="1">
      <c r="A104" s="938" t="s">
        <v>442</v>
      </c>
      <c r="B104" s="255" t="s">
        <v>216</v>
      </c>
      <c r="C104" s="477">
        <v>560</v>
      </c>
      <c r="D104"/>
      <c r="E104"/>
      <c r="F104"/>
      <c r="H104" s="676"/>
      <c r="I104" s="694"/>
      <c r="J104" s="759"/>
      <c r="K104" s="759"/>
      <c r="AD104" s="235"/>
      <c r="AE104" s="235"/>
      <c r="AF104" s="235"/>
    </row>
    <row r="105" spans="1:32" s="693" customFormat="1">
      <c r="A105" s="938" t="s">
        <v>449</v>
      </c>
      <c r="B105" s="938" t="s">
        <v>216</v>
      </c>
      <c r="C105" s="477">
        <v>1100</v>
      </c>
      <c r="D105"/>
      <c r="E105"/>
      <c r="F105"/>
      <c r="H105" s="676"/>
      <c r="I105" s="694"/>
      <c r="J105" s="759"/>
      <c r="K105" s="759"/>
      <c r="AD105" s="235"/>
      <c r="AE105" s="235"/>
      <c r="AF105" s="235"/>
    </row>
    <row r="106" spans="1:32" s="693" customFormat="1">
      <c r="A106" s="938" t="s">
        <v>407</v>
      </c>
      <c r="B106" s="255" t="s">
        <v>216</v>
      </c>
      <c r="C106" s="477">
        <v>4480.96</v>
      </c>
      <c r="D106"/>
      <c r="E106"/>
      <c r="F106"/>
      <c r="H106" s="676"/>
      <c r="I106" s="694"/>
      <c r="J106" s="759"/>
      <c r="K106" s="759"/>
      <c r="AD106" s="235"/>
      <c r="AE106" s="235"/>
      <c r="AF106" s="235"/>
    </row>
    <row r="107" spans="1:32" s="693" customFormat="1">
      <c r="A107" s="938" t="s">
        <v>452</v>
      </c>
      <c r="B107" s="938" t="s">
        <v>357</v>
      </c>
      <c r="C107" s="477">
        <v>1800</v>
      </c>
      <c r="D107"/>
      <c r="E107"/>
      <c r="F107"/>
      <c r="H107" s="676"/>
      <c r="I107" s="694"/>
      <c r="J107" s="759"/>
      <c r="K107" s="759"/>
      <c r="AD107" s="235"/>
      <c r="AE107" s="235"/>
      <c r="AF107" s="235"/>
    </row>
    <row r="108" spans="1:32" s="693" customFormat="1">
      <c r="A108"/>
      <c r="B108" s="938" t="s">
        <v>216</v>
      </c>
      <c r="C108" s="477">
        <v>3000</v>
      </c>
      <c r="D108"/>
      <c r="E108"/>
      <c r="F108"/>
      <c r="H108" s="676"/>
      <c r="I108" s="694"/>
      <c r="J108" s="759"/>
      <c r="K108" s="759"/>
      <c r="AD108" s="235"/>
      <c r="AE108" s="235"/>
      <c r="AF108" s="235"/>
    </row>
    <row r="109" spans="1:32" s="693" customFormat="1">
      <c r="A109" s="938" t="s">
        <v>467</v>
      </c>
      <c r="B109" s="938" t="s">
        <v>216</v>
      </c>
      <c r="C109" s="477">
        <v>3000</v>
      </c>
      <c r="D109"/>
      <c r="E109"/>
      <c r="F109"/>
      <c r="H109" s="676"/>
      <c r="I109" s="694"/>
      <c r="J109" s="759"/>
      <c r="K109" s="759"/>
      <c r="AD109" s="235"/>
      <c r="AE109" s="235"/>
      <c r="AF109" s="235"/>
    </row>
    <row r="110" spans="1:32" s="693" customFormat="1">
      <c r="A110" s="938" t="s">
        <v>483</v>
      </c>
      <c r="B110" s="938" t="s">
        <v>357</v>
      </c>
      <c r="C110" s="477">
        <v>640</v>
      </c>
      <c r="D110"/>
      <c r="E110"/>
      <c r="F110"/>
      <c r="H110" s="676"/>
      <c r="I110" s="694"/>
      <c r="J110" s="759"/>
      <c r="K110" s="759"/>
      <c r="AD110" s="235"/>
      <c r="AE110" s="235"/>
      <c r="AF110" s="235"/>
    </row>
    <row r="111" spans="1:32" s="693" customFormat="1">
      <c r="A111" s="938" t="s">
        <v>470</v>
      </c>
      <c r="B111" s="938" t="s">
        <v>216</v>
      </c>
      <c r="C111" s="477">
        <v>4480</v>
      </c>
      <c r="D111"/>
      <c r="E111"/>
      <c r="F111"/>
      <c r="H111" s="676"/>
      <c r="I111" s="694"/>
      <c r="J111" s="759"/>
      <c r="K111" s="759"/>
      <c r="AD111" s="235"/>
      <c r="AE111" s="235"/>
      <c r="AF111" s="235"/>
    </row>
    <row r="112" spans="1:32" s="693" customFormat="1">
      <c r="A112" s="938" t="s">
        <v>471</v>
      </c>
      <c r="B112" s="938" t="s">
        <v>216</v>
      </c>
      <c r="C112" s="477">
        <v>43200</v>
      </c>
      <c r="D112"/>
      <c r="E112"/>
      <c r="F112"/>
      <c r="H112" s="676"/>
      <c r="I112" s="694"/>
      <c r="J112" s="759"/>
      <c r="K112" s="759"/>
      <c r="AD112" s="235"/>
      <c r="AE112" s="235"/>
      <c r="AF112" s="235"/>
    </row>
    <row r="113" spans="1:32" s="693" customFormat="1">
      <c r="A113" s="938" t="s">
        <v>472</v>
      </c>
      <c r="B113" s="938" t="s">
        <v>216</v>
      </c>
      <c r="C113" s="477">
        <v>600</v>
      </c>
      <c r="D113"/>
      <c r="E113"/>
      <c r="F113"/>
      <c r="H113" s="676"/>
      <c r="I113" s="694"/>
      <c r="J113" s="759"/>
      <c r="K113" s="759"/>
      <c r="AD113" s="235"/>
      <c r="AE113" s="235"/>
      <c r="AF113" s="235"/>
    </row>
    <row r="114" spans="1:32" s="693" customFormat="1">
      <c r="A114" s="938" t="s">
        <v>473</v>
      </c>
      <c r="B114" s="938" t="s">
        <v>216</v>
      </c>
      <c r="C114" s="477">
        <v>4480.96</v>
      </c>
      <c r="D114"/>
      <c r="E114"/>
      <c r="F114"/>
      <c r="H114" s="676"/>
      <c r="I114" s="694"/>
      <c r="J114" s="759"/>
      <c r="K114" s="759"/>
      <c r="AD114" s="235"/>
      <c r="AE114" s="235"/>
      <c r="AF114" s="235"/>
    </row>
    <row r="115" spans="1:32" s="693" customFormat="1">
      <c r="A115" s="938" t="s">
        <v>450</v>
      </c>
      <c r="B115" s="938" t="s">
        <v>216</v>
      </c>
      <c r="C115" s="477">
        <v>1800</v>
      </c>
      <c r="D115"/>
      <c r="E115"/>
      <c r="F115"/>
      <c r="H115" s="676"/>
      <c r="I115" s="694"/>
      <c r="J115" s="759"/>
      <c r="K115" s="759"/>
      <c r="AD115" s="235"/>
      <c r="AE115" s="235"/>
      <c r="AF115" s="235"/>
    </row>
    <row r="116" spans="1:32" s="693" customFormat="1">
      <c r="A116" s="938" t="s">
        <v>451</v>
      </c>
      <c r="B116" s="938" t="s">
        <v>216</v>
      </c>
      <c r="C116" s="477">
        <v>1800</v>
      </c>
      <c r="D116"/>
      <c r="E116"/>
      <c r="F116"/>
      <c r="H116" s="676"/>
      <c r="I116" s="694"/>
      <c r="J116" s="759"/>
      <c r="K116" s="759"/>
      <c r="AD116" s="235"/>
      <c r="AE116" s="235"/>
      <c r="AF116" s="235"/>
    </row>
    <row r="117" spans="1:32" s="693" customFormat="1">
      <c r="A117" s="938" t="s">
        <v>453</v>
      </c>
      <c r="B117" s="938" t="s">
        <v>216</v>
      </c>
      <c r="C117" s="477">
        <v>1200</v>
      </c>
      <c r="D117"/>
      <c r="E117"/>
      <c r="F117"/>
      <c r="H117" s="676"/>
      <c r="I117" s="694"/>
      <c r="J117" s="759"/>
      <c r="K117" s="759"/>
      <c r="AD117" s="235"/>
      <c r="AE117" s="235"/>
      <c r="AF117" s="235"/>
    </row>
    <row r="118" spans="1:32" s="693" customFormat="1">
      <c r="A118" s="938" t="s">
        <v>408</v>
      </c>
      <c r="B118" s="938" t="s">
        <v>216</v>
      </c>
      <c r="C118" s="477">
        <v>2800.6</v>
      </c>
      <c r="D118"/>
      <c r="E118"/>
      <c r="F118"/>
      <c r="H118" s="676"/>
      <c r="I118" s="694"/>
      <c r="J118" s="759"/>
      <c r="K118" s="759"/>
      <c r="AD118" s="235"/>
      <c r="AE118" s="235"/>
      <c r="AF118" s="235"/>
    </row>
    <row r="119" spans="1:32" s="693" customFormat="1">
      <c r="A119" s="938" t="s">
        <v>525</v>
      </c>
      <c r="B119" s="938" t="s">
        <v>357</v>
      </c>
      <c r="C119" s="477">
        <v>3800</v>
      </c>
      <c r="D119"/>
      <c r="E119"/>
      <c r="F119"/>
      <c r="H119" s="676"/>
      <c r="I119" s="694"/>
      <c r="J119" s="759"/>
      <c r="K119" s="759"/>
      <c r="AD119" s="235"/>
      <c r="AE119" s="235"/>
      <c r="AF119" s="235"/>
    </row>
    <row r="120" spans="1:32" s="690" customFormat="1">
      <c r="A120"/>
      <c r="B120" s="938" t="s">
        <v>216</v>
      </c>
      <c r="C120" s="477">
        <v>2300</v>
      </c>
      <c r="D120"/>
      <c r="E120"/>
      <c r="F120"/>
      <c r="H120" s="676"/>
      <c r="I120" s="691"/>
      <c r="J120" s="759"/>
      <c r="K120" s="759"/>
      <c r="AD120" s="235"/>
      <c r="AE120" s="235"/>
      <c r="AF120" s="235"/>
    </row>
    <row r="121" spans="1:32" s="690" customFormat="1">
      <c r="A121" s="938" t="s">
        <v>530</v>
      </c>
      <c r="B121" s="938" t="s">
        <v>357</v>
      </c>
      <c r="C121" s="477">
        <v>790</v>
      </c>
      <c r="D121"/>
      <c r="E121"/>
      <c r="F121"/>
      <c r="H121" s="676"/>
      <c r="I121" s="691"/>
      <c r="J121" s="759"/>
      <c r="K121" s="759"/>
      <c r="AD121" s="235"/>
      <c r="AE121" s="235"/>
      <c r="AF121" s="235"/>
    </row>
    <row r="122" spans="1:32" s="690" customFormat="1">
      <c r="A122" s="938" t="s">
        <v>529</v>
      </c>
      <c r="B122" s="938" t="s">
        <v>357</v>
      </c>
      <c r="C122" s="477">
        <v>1071</v>
      </c>
      <c r="D122"/>
      <c r="E122"/>
      <c r="F122"/>
      <c r="H122" s="676"/>
      <c r="I122" s="691"/>
      <c r="J122" s="759"/>
      <c r="K122" s="759"/>
      <c r="AD122" s="235"/>
      <c r="AE122" s="235"/>
      <c r="AF122" s="235"/>
    </row>
    <row r="123" spans="1:32" s="690" customFormat="1">
      <c r="A123"/>
      <c r="B123" s="938" t="s">
        <v>216</v>
      </c>
      <c r="C123" s="477">
        <v>2820</v>
      </c>
      <c r="D123"/>
      <c r="E123"/>
      <c r="F123"/>
      <c r="H123" s="676"/>
      <c r="I123" s="691"/>
      <c r="J123" s="759"/>
      <c r="K123" s="759"/>
      <c r="AD123" s="235"/>
      <c r="AE123" s="235"/>
      <c r="AF123" s="235"/>
    </row>
    <row r="124" spans="1:32" s="690" customFormat="1">
      <c r="A124" s="938" t="s">
        <v>531</v>
      </c>
      <c r="B124" s="938" t="s">
        <v>357</v>
      </c>
      <c r="C124" s="477">
        <v>550</v>
      </c>
      <c r="D124"/>
      <c r="E124"/>
      <c r="F124"/>
      <c r="H124" s="676"/>
      <c r="I124" s="691"/>
      <c r="J124" s="759"/>
      <c r="K124" s="759"/>
      <c r="AD124" s="235"/>
      <c r="AE124" s="235"/>
      <c r="AF124" s="235"/>
    </row>
    <row r="125" spans="1:32" s="690" customFormat="1">
      <c r="A125"/>
      <c r="B125" s="938" t="s">
        <v>216</v>
      </c>
      <c r="C125" s="477">
        <v>263</v>
      </c>
      <c r="D125"/>
      <c r="E125"/>
      <c r="F125"/>
      <c r="H125" s="676"/>
      <c r="I125" s="691"/>
      <c r="J125" s="759"/>
      <c r="K125" s="759"/>
      <c r="AD125" s="235"/>
      <c r="AE125" s="235"/>
      <c r="AF125" s="235"/>
    </row>
    <row r="126" spans="1:32" s="690" customFormat="1">
      <c r="A126" s="938" t="s">
        <v>532</v>
      </c>
      <c r="B126" s="938" t="s">
        <v>357</v>
      </c>
      <c r="C126" s="477">
        <v>490</v>
      </c>
      <c r="D126"/>
      <c r="E126"/>
      <c r="F126"/>
      <c r="H126" s="676"/>
      <c r="I126" s="691"/>
      <c r="J126" s="759"/>
      <c r="K126" s="759"/>
      <c r="AD126" s="235"/>
      <c r="AE126" s="235"/>
      <c r="AF126" s="235"/>
    </row>
    <row r="127" spans="1:32" s="690" customFormat="1">
      <c r="A127"/>
      <c r="B127" s="938" t="s">
        <v>216</v>
      </c>
      <c r="C127" s="477">
        <v>640</v>
      </c>
      <c r="D127"/>
      <c r="E127"/>
      <c r="F127"/>
      <c r="H127" s="676"/>
      <c r="I127" s="691"/>
      <c r="J127" s="759"/>
      <c r="K127" s="759"/>
      <c r="AD127" s="235"/>
      <c r="AE127" s="235"/>
      <c r="AF127" s="235"/>
    </row>
    <row r="128" spans="1:32" s="690" customFormat="1">
      <c r="A128" s="938" t="s">
        <v>541</v>
      </c>
      <c r="B128" s="938" t="s">
        <v>216</v>
      </c>
      <c r="C128" s="477">
        <v>560</v>
      </c>
      <c r="D128"/>
      <c r="E128"/>
      <c r="F128"/>
      <c r="H128" s="676"/>
      <c r="I128" s="691"/>
      <c r="J128" s="759"/>
      <c r="K128" s="759"/>
      <c r="AD128" s="235"/>
      <c r="AE128" s="235"/>
      <c r="AF128" s="235"/>
    </row>
    <row r="129" spans="1:32" s="690" customFormat="1">
      <c r="A129" s="255" t="s">
        <v>243</v>
      </c>
      <c r="B129" s="255"/>
      <c r="C129" s="477">
        <v>244146.52</v>
      </c>
      <c r="D129"/>
      <c r="E129"/>
      <c r="F129"/>
      <c r="H129" s="676"/>
      <c r="I129" s="691"/>
      <c r="J129" s="759"/>
      <c r="K129" s="759"/>
      <c r="AD129" s="235"/>
      <c r="AE129" s="235"/>
      <c r="AF129" s="235"/>
    </row>
    <row r="130" spans="1:32" s="690" customFormat="1">
      <c r="A130"/>
      <c r="B130"/>
      <c r="C130"/>
      <c r="D130"/>
      <c r="E130"/>
      <c r="F130"/>
      <c r="H130" s="676"/>
      <c r="I130" s="691"/>
      <c r="J130" s="759"/>
      <c r="K130" s="759"/>
      <c r="AD130" s="235"/>
      <c r="AE130" s="235"/>
      <c r="AF130" s="235"/>
    </row>
    <row r="131" spans="1:32" s="690" customFormat="1">
      <c r="A131"/>
      <c r="B131"/>
      <c r="C131"/>
      <c r="D131"/>
      <c r="E131"/>
      <c r="F131"/>
      <c r="H131" s="676"/>
      <c r="I131" s="691"/>
      <c r="J131" s="759"/>
      <c r="K131" s="759"/>
      <c r="AD131" s="235"/>
      <c r="AE131" s="235"/>
      <c r="AF131" s="235"/>
    </row>
    <row r="132" spans="1:32" s="690" customFormat="1">
      <c r="A132"/>
      <c r="B132"/>
      <c r="C132"/>
      <c r="D132" s="253"/>
      <c r="E132"/>
      <c r="F132"/>
      <c r="H132" s="676"/>
      <c r="I132" s="691"/>
      <c r="J132" s="759"/>
      <c r="K132" s="759"/>
      <c r="AD132" s="235"/>
      <c r="AE132" s="235"/>
      <c r="AF132" s="235"/>
    </row>
    <row r="133" spans="1:32" s="690" customFormat="1">
      <c r="A133"/>
      <c r="B133"/>
      <c r="C133"/>
      <c r="D133" s="253"/>
      <c r="E133"/>
      <c r="F133"/>
      <c r="H133" s="676"/>
      <c r="I133" s="691"/>
      <c r="J133" s="759"/>
      <c r="K133" s="759"/>
      <c r="AD133" s="235"/>
      <c r="AE133" s="235"/>
      <c r="AF133" s="235"/>
    </row>
    <row r="134" spans="1:32" s="690" customFormat="1">
      <c r="A134"/>
      <c r="B134"/>
      <c r="C134"/>
      <c r="D134"/>
      <c r="E134"/>
      <c r="F134"/>
      <c r="H134" s="676"/>
      <c r="I134" s="691"/>
      <c r="J134" s="759"/>
      <c r="K134" s="759"/>
      <c r="AD134" s="235"/>
      <c r="AE134" s="235"/>
      <c r="AF134" s="235"/>
    </row>
    <row r="135" spans="1:32" s="690" customFormat="1">
      <c r="A135"/>
      <c r="B135"/>
      <c r="C135" s="477"/>
      <c r="D135" s="253"/>
      <c r="E135" s="676"/>
      <c r="F135"/>
      <c r="H135" s="676"/>
      <c r="I135" s="691"/>
      <c r="J135" s="759"/>
      <c r="K135" s="759"/>
      <c r="AD135" s="235"/>
      <c r="AE135" s="235"/>
      <c r="AF135" s="235"/>
    </row>
    <row r="136" spans="1:32" s="690" customFormat="1">
      <c r="A136"/>
      <c r="B136"/>
      <c r="C136" s="477"/>
      <c r="D136"/>
      <c r="E136" s="676"/>
      <c r="F136"/>
      <c r="H136" s="676"/>
      <c r="I136" s="691"/>
      <c r="J136" s="759"/>
      <c r="K136" s="759"/>
      <c r="AD136" s="235"/>
      <c r="AE136" s="235"/>
      <c r="AF136" s="235"/>
    </row>
    <row r="137" spans="1:32" s="690" customFormat="1">
      <c r="A137"/>
      <c r="B137"/>
      <c r="C137" s="477"/>
      <c r="D137"/>
      <c r="E137" s="676"/>
      <c r="F137"/>
      <c r="H137" s="676"/>
      <c r="I137" s="691"/>
      <c r="J137" s="759"/>
      <c r="K137" s="759"/>
      <c r="AD137" s="235"/>
      <c r="AE137" s="235"/>
      <c r="AF137" s="235"/>
    </row>
    <row r="138" spans="1:32" s="690" customFormat="1">
      <c r="A138"/>
      <c r="B138"/>
      <c r="C138" s="477"/>
      <c r="D138"/>
      <c r="E138" s="676"/>
      <c r="F138"/>
      <c r="H138" s="676"/>
      <c r="I138" s="691"/>
      <c r="J138" s="759"/>
      <c r="K138" s="759"/>
      <c r="AD138" s="235"/>
      <c r="AE138" s="235"/>
      <c r="AF138" s="235"/>
    </row>
    <row r="139" spans="1:32" s="693" customFormat="1">
      <c r="A139"/>
      <c r="B139"/>
      <c r="C139" s="253"/>
      <c r="D139" s="253"/>
      <c r="E139" s="676"/>
      <c r="F139" s="237"/>
      <c r="H139" s="676"/>
      <c r="I139" s="694"/>
      <c r="J139" s="759"/>
      <c r="K139" s="759"/>
      <c r="AD139" s="235"/>
      <c r="AE139" s="235"/>
      <c r="AF139" s="235"/>
    </row>
    <row r="140" spans="1:32" s="748" customFormat="1">
      <c r="C140" s="477"/>
      <c r="D140" s="237"/>
      <c r="E140" s="755"/>
      <c r="F140" s="237"/>
      <c r="H140" s="676"/>
      <c r="I140" s="749"/>
      <c r="J140" s="759"/>
      <c r="K140" s="759"/>
      <c r="AD140" s="235"/>
      <c r="AE140" s="235"/>
      <c r="AF140" s="235"/>
    </row>
    <row r="141" spans="1:32" s="748" customFormat="1">
      <c r="C141" s="477"/>
      <c r="D141" s="237"/>
      <c r="E141" s="755"/>
      <c r="F141" s="237"/>
      <c r="H141" s="676"/>
      <c r="I141" s="749"/>
      <c r="J141" s="759"/>
      <c r="K141" s="759"/>
      <c r="AD141" s="235"/>
      <c r="AE141" s="235"/>
      <c r="AF141" s="235"/>
    </row>
    <row r="142" spans="1:32">
      <c r="A142" s="473" t="s">
        <v>154</v>
      </c>
      <c r="B142" s="235" t="s">
        <v>246</v>
      </c>
      <c r="E142" s="763"/>
      <c r="F142"/>
    </row>
    <row r="143" spans="1:32">
      <c r="A143" s="534"/>
      <c r="B143" s="534"/>
      <c r="C143" s="534"/>
      <c r="D143" s="534"/>
      <c r="E143" s="763"/>
      <c r="F143"/>
    </row>
    <row r="144" spans="1:32" s="676" customFormat="1" ht="60">
      <c r="A144" s="760" t="s">
        <v>230</v>
      </c>
      <c r="B144" s="473" t="s">
        <v>152</v>
      </c>
      <c r="C144" s="510" t="s">
        <v>244</v>
      </c>
      <c r="D144" s="524" t="s">
        <v>263</v>
      </c>
      <c r="E144" s="510" t="s">
        <v>245</v>
      </c>
      <c r="F144"/>
      <c r="I144" s="761"/>
      <c r="J144" s="759"/>
      <c r="K144" s="759"/>
    </row>
    <row r="145" spans="1:32">
      <c r="A145" s="938" t="s">
        <v>265</v>
      </c>
      <c r="B145" s="938" t="s">
        <v>265</v>
      </c>
      <c r="C145" s="477"/>
      <c r="D145" s="519">
        <v>0</v>
      </c>
      <c r="E145" s="477">
        <v>0</v>
      </c>
      <c r="F145"/>
    </row>
    <row r="146" spans="1:32">
      <c r="A146" s="938" t="s">
        <v>258</v>
      </c>
      <c r="B146" s="938" t="s">
        <v>368</v>
      </c>
      <c r="C146" s="477">
        <v>1</v>
      </c>
      <c r="D146" s="519">
        <v>2.8089887640449437E-3</v>
      </c>
      <c r="E146" s="477">
        <v>550</v>
      </c>
      <c r="F146"/>
    </row>
    <row r="147" spans="1:32">
      <c r="B147" s="938" t="s">
        <v>361</v>
      </c>
      <c r="C147" s="477">
        <v>18</v>
      </c>
      <c r="D147" s="519">
        <v>5.0561797752808987E-2</v>
      </c>
      <c r="E147" s="477">
        <v>10120</v>
      </c>
      <c r="F147"/>
    </row>
    <row r="148" spans="1:32">
      <c r="B148" s="938" t="s">
        <v>380</v>
      </c>
      <c r="C148" s="477">
        <v>6</v>
      </c>
      <c r="D148" s="519">
        <v>1.6853932584269662E-2</v>
      </c>
      <c r="E148" s="477">
        <v>3210</v>
      </c>
      <c r="F148"/>
    </row>
    <row r="149" spans="1:32">
      <c r="B149" s="938" t="s">
        <v>367</v>
      </c>
      <c r="C149" s="477">
        <v>4</v>
      </c>
      <c r="D149" s="519">
        <v>1.1235955056179775E-2</v>
      </c>
      <c r="E149" s="477">
        <v>2240</v>
      </c>
      <c r="F149"/>
    </row>
    <row r="150" spans="1:32" hidden="1">
      <c r="B150" s="938" t="s">
        <v>370</v>
      </c>
      <c r="C150" s="477">
        <v>1</v>
      </c>
      <c r="D150" s="519">
        <v>2.8089887640449437E-3</v>
      </c>
      <c r="E150" s="477">
        <v>560</v>
      </c>
      <c r="F150"/>
    </row>
    <row r="151" spans="1:32">
      <c r="B151" s="938" t="s">
        <v>376</v>
      </c>
      <c r="C151" s="477">
        <v>1</v>
      </c>
      <c r="D151" s="519">
        <v>2.8089887640449437E-3</v>
      </c>
      <c r="E151" s="477">
        <v>560</v>
      </c>
      <c r="F151"/>
    </row>
    <row r="152" spans="1:32" hidden="1">
      <c r="B152" s="938" t="s">
        <v>366</v>
      </c>
      <c r="C152" s="477">
        <v>4</v>
      </c>
      <c r="D152" s="519">
        <v>1.1235955056179775E-2</v>
      </c>
      <c r="E152" s="477">
        <v>2240</v>
      </c>
      <c r="F152"/>
    </row>
    <row r="153" spans="1:32">
      <c r="B153" s="938" t="s">
        <v>364</v>
      </c>
      <c r="C153" s="477">
        <v>2</v>
      </c>
      <c r="D153" s="519">
        <v>5.6179775280898875E-3</v>
      </c>
      <c r="E153" s="477">
        <v>1100</v>
      </c>
      <c r="F153"/>
    </row>
    <row r="154" spans="1:32" hidden="1">
      <c r="B154" s="938" t="s">
        <v>365</v>
      </c>
      <c r="C154" s="477">
        <v>9</v>
      </c>
      <c r="D154" s="519">
        <v>2.5280898876404494E-2</v>
      </c>
      <c r="E154" s="477">
        <v>5360</v>
      </c>
      <c r="F154"/>
    </row>
    <row r="155" spans="1:32" s="753" customFormat="1">
      <c r="A155"/>
      <c r="B155" s="938" t="s">
        <v>369</v>
      </c>
      <c r="C155" s="477">
        <v>6</v>
      </c>
      <c r="D155" s="519">
        <v>1.6853932584269662E-2</v>
      </c>
      <c r="E155" s="477">
        <v>3360</v>
      </c>
      <c r="F155"/>
      <c r="H155" s="676"/>
      <c r="I155" s="754"/>
      <c r="J155" s="759"/>
      <c r="K155" s="759"/>
      <c r="AD155" s="235"/>
      <c r="AE155" s="235"/>
      <c r="AF155" s="235"/>
    </row>
    <row r="156" spans="1:32" s="753" customFormat="1">
      <c r="A156"/>
      <c r="B156" s="938" t="s">
        <v>362</v>
      </c>
      <c r="C156" s="477">
        <v>1</v>
      </c>
      <c r="D156" s="519">
        <v>2.8089887640449437E-3</v>
      </c>
      <c r="E156" s="477">
        <v>560</v>
      </c>
      <c r="F156"/>
      <c r="H156" s="676"/>
      <c r="I156" s="754"/>
      <c r="J156" s="759"/>
      <c r="K156" s="759"/>
      <c r="AD156" s="235"/>
      <c r="AE156" s="235"/>
      <c r="AF156" s="235"/>
    </row>
    <row r="157" spans="1:32" s="753" customFormat="1">
      <c r="A157"/>
      <c r="B157" s="938" t="s">
        <v>265</v>
      </c>
      <c r="C157" s="477">
        <v>1</v>
      </c>
      <c r="D157" s="519">
        <v>2.8089887640449437E-3</v>
      </c>
      <c r="E157" s="477">
        <v>0</v>
      </c>
      <c r="F157"/>
      <c r="H157" s="676"/>
      <c r="I157" s="754"/>
      <c r="J157" s="759"/>
      <c r="K157" s="759"/>
      <c r="AD157" s="235"/>
      <c r="AE157" s="235"/>
      <c r="AF157" s="235"/>
    </row>
    <row r="158" spans="1:32" s="753" customFormat="1">
      <c r="A158"/>
      <c r="B158" s="938" t="s">
        <v>542</v>
      </c>
      <c r="C158" s="477">
        <v>1</v>
      </c>
      <c r="D158" s="519">
        <v>2.8089887640449437E-3</v>
      </c>
      <c r="E158" s="477">
        <v>560</v>
      </c>
      <c r="F158"/>
      <c r="H158" s="676"/>
      <c r="I158" s="754"/>
      <c r="J158" s="759"/>
      <c r="K158" s="759"/>
      <c r="AD158" s="235"/>
      <c r="AE158" s="235"/>
      <c r="AF158" s="235"/>
    </row>
    <row r="159" spans="1:32" s="753" customFormat="1">
      <c r="A159" s="938" t="s">
        <v>260</v>
      </c>
      <c r="B159" s="938" t="s">
        <v>365</v>
      </c>
      <c r="C159" s="477">
        <v>8</v>
      </c>
      <c r="D159" s="519">
        <v>2.247191011235955E-2</v>
      </c>
      <c r="E159" s="477">
        <v>6100</v>
      </c>
      <c r="F159"/>
      <c r="H159" s="676"/>
      <c r="I159" s="754"/>
      <c r="J159" s="759"/>
      <c r="K159" s="759"/>
      <c r="AD159" s="235"/>
      <c r="AE159" s="235"/>
      <c r="AF159" s="235"/>
    </row>
    <row r="160" spans="1:32" s="753" customFormat="1">
      <c r="A160" s="938" t="s">
        <v>391</v>
      </c>
      <c r="B160" s="938" t="s">
        <v>365</v>
      </c>
      <c r="C160" s="477">
        <v>100</v>
      </c>
      <c r="D160" s="519">
        <v>0.2808988764044944</v>
      </c>
      <c r="E160" s="477">
        <v>75864</v>
      </c>
      <c r="F160"/>
      <c r="H160" s="676"/>
      <c r="I160" s="754"/>
      <c r="J160" s="759"/>
      <c r="K160" s="759"/>
      <c r="AD160" s="235"/>
      <c r="AE160" s="235"/>
      <c r="AF160" s="235"/>
    </row>
    <row r="161" spans="1:32" s="753" customFormat="1">
      <c r="A161" s="938" t="s">
        <v>259</v>
      </c>
      <c r="B161" s="938" t="s">
        <v>365</v>
      </c>
      <c r="C161" s="477">
        <v>13</v>
      </c>
      <c r="D161" s="519">
        <v>3.6516853932584269E-2</v>
      </c>
      <c r="E161" s="477">
        <v>7281.5599999999995</v>
      </c>
      <c r="F161"/>
      <c r="H161" s="676"/>
      <c r="I161" s="754"/>
      <c r="J161" s="759"/>
      <c r="K161" s="759"/>
      <c r="AD161" s="235"/>
      <c r="AE161" s="235"/>
      <c r="AF161" s="235"/>
    </row>
    <row r="162" spans="1:32" s="753" customFormat="1">
      <c r="A162"/>
      <c r="B162" s="938" t="s">
        <v>477</v>
      </c>
      <c r="C162" s="477">
        <v>8</v>
      </c>
      <c r="D162" s="519">
        <v>2.247191011235955E-2</v>
      </c>
      <c r="E162" s="477">
        <v>4480.96</v>
      </c>
      <c r="F162"/>
      <c r="H162" s="676"/>
      <c r="I162" s="754"/>
      <c r="J162" s="759"/>
      <c r="K162" s="759"/>
      <c r="AD162" s="235"/>
      <c r="AE162" s="235"/>
      <c r="AF162" s="235"/>
    </row>
    <row r="163" spans="1:32" s="753" customFormat="1">
      <c r="A163" s="938" t="s">
        <v>261</v>
      </c>
      <c r="B163" s="938" t="s">
        <v>365</v>
      </c>
      <c r="C163" s="477">
        <v>172</v>
      </c>
      <c r="D163" s="519">
        <v>0.48314606741573035</v>
      </c>
      <c r="E163" s="477">
        <v>120000</v>
      </c>
      <c r="F163"/>
      <c r="H163" s="676"/>
      <c r="I163" s="754"/>
      <c r="J163" s="759"/>
      <c r="K163" s="759"/>
      <c r="AD163" s="235"/>
      <c r="AE163" s="235"/>
      <c r="AF163" s="235"/>
    </row>
    <row r="164" spans="1:32" s="753" customFormat="1">
      <c r="A164" s="938" t="s">
        <v>243</v>
      </c>
      <c r="B164"/>
      <c r="C164" s="477">
        <v>356</v>
      </c>
      <c r="D164" s="519">
        <v>1</v>
      </c>
      <c r="E164" s="477">
        <v>244146.52000000002</v>
      </c>
      <c r="F164"/>
      <c r="H164" s="676"/>
      <c r="I164" s="754"/>
      <c r="J164" s="759"/>
      <c r="K164" s="759"/>
      <c r="AD164" s="235"/>
      <c r="AE164" s="235"/>
      <c r="AF164" s="235"/>
    </row>
    <row r="165" spans="1:32" s="753" customFormat="1">
      <c r="A165"/>
      <c r="B165"/>
      <c r="C165"/>
      <c r="D165"/>
      <c r="E165"/>
      <c r="F165"/>
      <c r="H165" s="676"/>
      <c r="I165" s="754"/>
      <c r="J165" s="759"/>
      <c r="K165" s="759"/>
      <c r="AD165" s="235"/>
      <c r="AE165" s="235"/>
      <c r="AF165" s="235"/>
    </row>
    <row r="166" spans="1:32" s="753" customFormat="1">
      <c r="A166"/>
      <c r="B166"/>
      <c r="C166"/>
      <c r="D166"/>
      <c r="E166"/>
      <c r="F166"/>
      <c r="H166" s="676"/>
      <c r="I166" s="754"/>
      <c r="J166" s="759"/>
      <c r="K166" s="759"/>
      <c r="AD166" s="235"/>
      <c r="AE166" s="235"/>
      <c r="AF166" s="235"/>
    </row>
    <row r="167" spans="1:32" s="753" customFormat="1">
      <c r="A167"/>
      <c r="B167"/>
      <c r="C167"/>
      <c r="D167"/>
      <c r="E167"/>
      <c r="F167"/>
      <c r="H167" s="676"/>
      <c r="I167" s="754"/>
      <c r="J167" s="759"/>
      <c r="K167" s="759"/>
      <c r="AD167" s="235"/>
      <c r="AE167" s="235"/>
      <c r="AF167" s="235"/>
    </row>
    <row r="168" spans="1:32" s="753" customFormat="1">
      <c r="A168"/>
      <c r="B168"/>
      <c r="C168"/>
      <c r="D168"/>
      <c r="E168"/>
      <c r="F168"/>
      <c r="H168" s="676"/>
      <c r="I168" s="754"/>
      <c r="J168" s="759"/>
      <c r="K168" s="759"/>
      <c r="AD168" s="235"/>
      <c r="AE168" s="235"/>
      <c r="AF168" s="235"/>
    </row>
    <row r="169" spans="1:32" s="753" customFormat="1">
      <c r="A169"/>
      <c r="B169"/>
      <c r="C169"/>
      <c r="D169"/>
      <c r="E169"/>
      <c r="F169"/>
      <c r="H169" s="676"/>
      <c r="I169" s="754"/>
      <c r="J169" s="759"/>
      <c r="K169" s="759"/>
      <c r="AD169" s="235"/>
      <c r="AE169" s="235"/>
      <c r="AF169" s="235"/>
    </row>
    <row r="170" spans="1:32" s="753" customFormat="1">
      <c r="A170"/>
      <c r="B170"/>
      <c r="C170"/>
      <c r="D170"/>
      <c r="E170"/>
      <c r="F170"/>
      <c r="H170" s="676"/>
      <c r="I170" s="754"/>
      <c r="J170" s="759"/>
      <c r="K170" s="759"/>
      <c r="AD170" s="235"/>
      <c r="AE170" s="235"/>
      <c r="AF170" s="235"/>
    </row>
    <row r="171" spans="1:32" s="753" customFormat="1">
      <c r="A171"/>
      <c r="B171"/>
      <c r="C171"/>
      <c r="D171"/>
      <c r="E171"/>
      <c r="F171"/>
      <c r="H171" s="676"/>
      <c r="I171" s="754"/>
      <c r="J171" s="759"/>
      <c r="K171" s="759"/>
      <c r="AD171" s="235"/>
      <c r="AE171" s="235"/>
      <c r="AF171" s="235"/>
    </row>
    <row r="172" spans="1:32" s="753" customFormat="1">
      <c r="A172"/>
      <c r="B172"/>
      <c r="C172"/>
      <c r="D172"/>
      <c r="E172"/>
      <c r="F172"/>
      <c r="H172" s="676"/>
      <c r="I172" s="754"/>
      <c r="J172" s="759"/>
      <c r="K172" s="759"/>
      <c r="AD172" s="235"/>
      <c r="AE172" s="235"/>
      <c r="AF172" s="235"/>
    </row>
    <row r="173" spans="1:32" s="753" customFormat="1">
      <c r="A173"/>
      <c r="B173"/>
      <c r="C173"/>
      <c r="D173"/>
      <c r="E173"/>
      <c r="F173"/>
      <c r="H173" s="676"/>
      <c r="I173" s="754"/>
      <c r="J173" s="759"/>
      <c r="K173" s="759"/>
      <c r="AD173" s="235"/>
      <c r="AE173" s="235"/>
      <c r="AF173" s="235"/>
    </row>
    <row r="174" spans="1:32" s="753" customFormat="1">
      <c r="A174"/>
      <c r="B174"/>
      <c r="C174"/>
      <c r="D174"/>
      <c r="E174"/>
      <c r="F174"/>
      <c r="H174" s="676"/>
      <c r="I174" s="754"/>
      <c r="J174" s="759"/>
      <c r="K174" s="759"/>
      <c r="AD174" s="235"/>
      <c r="AE174" s="235"/>
      <c r="AF174" s="235"/>
    </row>
    <row r="175" spans="1:32" s="753" customFormat="1">
      <c r="A175"/>
      <c r="B175"/>
      <c r="C175"/>
      <c r="D175"/>
      <c r="E175"/>
      <c r="F175"/>
      <c r="H175" s="676"/>
      <c r="I175" s="754"/>
      <c r="J175" s="759"/>
      <c r="K175" s="759"/>
      <c r="AD175" s="235"/>
      <c r="AE175" s="235"/>
      <c r="AF175" s="235"/>
    </row>
    <row r="176" spans="1:32" s="753" customFormat="1">
      <c r="A176"/>
      <c r="B176"/>
      <c r="C176"/>
      <c r="D176"/>
      <c r="E176"/>
      <c r="F176"/>
      <c r="H176" s="676"/>
      <c r="I176" s="754"/>
      <c r="J176" s="759"/>
      <c r="K176" s="759"/>
      <c r="AD176" s="235"/>
      <c r="AE176" s="235"/>
      <c r="AF176" s="235"/>
    </row>
    <row r="177" spans="1:35" s="753" customFormat="1">
      <c r="A177"/>
      <c r="B177"/>
      <c r="C177"/>
      <c r="D177"/>
      <c r="E177"/>
      <c r="F177"/>
      <c r="H177" s="676"/>
      <c r="I177" s="754"/>
      <c r="J177" s="759"/>
      <c r="K177" s="759"/>
      <c r="AD177" s="235"/>
      <c r="AE177" s="235"/>
      <c r="AF177" s="235"/>
    </row>
    <row r="178" spans="1:35" s="753" customFormat="1">
      <c r="A178"/>
      <c r="B178"/>
      <c r="C178"/>
      <c r="D178"/>
      <c r="E178"/>
      <c r="F178"/>
      <c r="H178" s="676"/>
      <c r="I178" s="754"/>
      <c r="J178" s="759"/>
      <c r="K178" s="759"/>
      <c r="AD178" s="235"/>
      <c r="AE178" s="235"/>
      <c r="AF178" s="235"/>
    </row>
    <row r="179" spans="1:35" s="753" customFormat="1">
      <c r="A179"/>
      <c r="B179"/>
      <c r="C179"/>
      <c r="D179"/>
      <c r="E179"/>
      <c r="F179"/>
      <c r="H179" s="676"/>
      <c r="I179" s="754"/>
      <c r="J179" s="759"/>
      <c r="K179" s="759"/>
      <c r="AD179" s="235"/>
      <c r="AE179" s="235"/>
      <c r="AF179" s="235"/>
    </row>
    <row r="180" spans="1:35">
      <c r="B180"/>
      <c r="C180"/>
      <c r="D180"/>
      <c r="E180"/>
      <c r="F180"/>
    </row>
    <row r="181" spans="1:35">
      <c r="B181"/>
      <c r="C181"/>
      <c r="D181"/>
      <c r="E181"/>
      <c r="F181"/>
    </row>
    <row r="182" spans="1:35">
      <c r="B182"/>
      <c r="C182"/>
      <c r="D182"/>
      <c r="E182"/>
      <c r="F182"/>
    </row>
    <row r="183" spans="1:35">
      <c r="B183"/>
      <c r="C183"/>
      <c r="D183"/>
      <c r="E183"/>
      <c r="F183"/>
    </row>
    <row r="184" spans="1:35">
      <c r="B184"/>
      <c r="C184"/>
      <c r="D184"/>
      <c r="E184"/>
      <c r="F184"/>
    </row>
    <row r="185" spans="1:35">
      <c r="B185"/>
      <c r="C185"/>
      <c r="D185"/>
      <c r="E185" s="676"/>
    </row>
    <row r="186" spans="1:35">
      <c r="B186"/>
      <c r="C186"/>
      <c r="D186"/>
      <c r="E186" s="676"/>
    </row>
    <row r="188" spans="1:35">
      <c r="B188"/>
      <c r="G188" s="589"/>
      <c r="I188" s="590"/>
    </row>
    <row r="189" spans="1:35" ht="18.75">
      <c r="A189" s="647" t="s">
        <v>271</v>
      </c>
      <c r="B189" s="589"/>
      <c r="C189" s="589"/>
      <c r="D189" s="589"/>
      <c r="E189" s="763"/>
      <c r="F189" s="589"/>
      <c r="G189" s="589"/>
      <c r="I189" s="590"/>
    </row>
    <row r="190" spans="1:35" s="674" customFormat="1" ht="27" customHeight="1">
      <c r="A190" s="681" t="s">
        <v>275</v>
      </c>
      <c r="B190" s="473" t="s">
        <v>291</v>
      </c>
      <c r="C190" s="473" t="s">
        <v>292</v>
      </c>
      <c r="D190" s="681" t="s">
        <v>154</v>
      </c>
      <c r="E190" s="930"/>
      <c r="F190" s="930"/>
      <c r="G190" s="930"/>
      <c r="H190" s="930"/>
      <c r="I190"/>
      <c r="J190"/>
      <c r="K190"/>
      <c r="L190"/>
      <c r="M190"/>
      <c r="N190"/>
      <c r="O190"/>
      <c r="P190"/>
      <c r="Q190"/>
      <c r="R190"/>
      <c r="S190"/>
      <c r="T190"/>
      <c r="U190"/>
      <c r="V190"/>
      <c r="W190"/>
      <c r="X190"/>
      <c r="Y190"/>
      <c r="Z190"/>
      <c r="AA190"/>
      <c r="AB190"/>
      <c r="AC190"/>
      <c r="AD190"/>
      <c r="AE190"/>
      <c r="AF190"/>
      <c r="AG190"/>
      <c r="AH190"/>
      <c r="AI190"/>
    </row>
    <row r="191" spans="1:35">
      <c r="A191" s="682"/>
      <c r="B191" s="938" t="s">
        <v>282</v>
      </c>
      <c r="C191"/>
      <c r="D191"/>
      <c r="E191"/>
      <c r="F191"/>
      <c r="G191" s="938" t="s">
        <v>283</v>
      </c>
      <c r="H191" s="524" t="s">
        <v>243</v>
      </c>
      <c r="I191"/>
      <c r="J191"/>
      <c r="K191"/>
      <c r="AD191"/>
      <c r="AE191"/>
      <c r="AF191"/>
    </row>
    <row r="192" spans="1:35">
      <c r="A192" s="674"/>
      <c r="B192" s="938" t="s">
        <v>284</v>
      </c>
      <c r="C192"/>
      <c r="D192" s="938" t="s">
        <v>285</v>
      </c>
      <c r="E192" s="938" t="s">
        <v>286</v>
      </c>
      <c r="F192" s="938" t="s">
        <v>287</v>
      </c>
      <c r="H192" s="524"/>
      <c r="I192"/>
      <c r="J192"/>
      <c r="K192"/>
      <c r="AD192"/>
      <c r="AE192"/>
      <c r="AF192"/>
    </row>
    <row r="193" spans="1:35">
      <c r="A193" s="681" t="s">
        <v>230</v>
      </c>
      <c r="B193" s="545" t="s">
        <v>288</v>
      </c>
      <c r="C193" s="545" t="s">
        <v>289</v>
      </c>
      <c r="D193"/>
      <c r="E193" s="545" t="s">
        <v>290</v>
      </c>
      <c r="F193"/>
      <c r="H193" s="524"/>
      <c r="I193"/>
      <c r="J193"/>
      <c r="K193"/>
      <c r="AD193"/>
      <c r="AE193"/>
      <c r="AF193"/>
    </row>
    <row r="194" spans="1:35">
      <c r="A194" s="938" t="s">
        <v>258</v>
      </c>
      <c r="B194" s="669">
        <v>1347500</v>
      </c>
      <c r="C194" s="669">
        <v>173500</v>
      </c>
      <c r="D194" s="669">
        <v>1521000</v>
      </c>
      <c r="E194" s="669"/>
      <c r="F194" s="669"/>
      <c r="G194" s="669">
        <v>1521000</v>
      </c>
      <c r="H194" s="929">
        <v>1521000</v>
      </c>
      <c r="I194"/>
      <c r="J194"/>
      <c r="K194"/>
      <c r="AD194"/>
      <c r="AE194"/>
      <c r="AF194"/>
    </row>
    <row r="195" spans="1:35">
      <c r="A195" s="938" t="s">
        <v>260</v>
      </c>
      <c r="B195" s="669">
        <v>305000</v>
      </c>
      <c r="C195" s="669"/>
      <c r="D195" s="669">
        <v>305000</v>
      </c>
      <c r="E195" s="669"/>
      <c r="F195" s="669"/>
      <c r="G195" s="669">
        <v>305000</v>
      </c>
      <c r="H195" s="929">
        <v>305000</v>
      </c>
      <c r="I195"/>
      <c r="J195"/>
      <c r="K195"/>
      <c r="AD195"/>
      <c r="AE195"/>
      <c r="AF195"/>
    </row>
    <row r="196" spans="1:35">
      <c r="A196" s="938" t="s">
        <v>391</v>
      </c>
      <c r="B196" s="669">
        <v>687050</v>
      </c>
      <c r="C196" s="669">
        <v>1906150</v>
      </c>
      <c r="D196" s="669">
        <v>2593200</v>
      </c>
      <c r="E196" s="669">
        <v>1200000</v>
      </c>
      <c r="F196" s="669">
        <v>1200000</v>
      </c>
      <c r="G196" s="669">
        <v>3793200</v>
      </c>
      <c r="H196" s="929">
        <v>3793200</v>
      </c>
      <c r="I196"/>
      <c r="J196"/>
      <c r="K196"/>
      <c r="AD196"/>
      <c r="AE196"/>
      <c r="AF196"/>
    </row>
    <row r="197" spans="1:35">
      <c r="A197" s="938" t="s">
        <v>259</v>
      </c>
      <c r="B197" s="669">
        <v>448096</v>
      </c>
      <c r="C197" s="669">
        <v>140030</v>
      </c>
      <c r="D197" s="669">
        <v>588126</v>
      </c>
      <c r="E197" s="669"/>
      <c r="F197" s="669"/>
      <c r="G197" s="669">
        <v>588126</v>
      </c>
      <c r="H197" s="929">
        <v>588126</v>
      </c>
      <c r="I197"/>
      <c r="J197"/>
      <c r="K197"/>
      <c r="AD197"/>
      <c r="AE197"/>
      <c r="AF197"/>
    </row>
    <row r="198" spans="1:35" ht="15.75" thickBot="1">
      <c r="A198" s="938" t="s">
        <v>261</v>
      </c>
      <c r="B198" s="669">
        <v>710800</v>
      </c>
      <c r="C198" s="669">
        <v>2975000</v>
      </c>
      <c r="D198" s="669">
        <v>3685800</v>
      </c>
      <c r="E198" s="669">
        <v>2314200</v>
      </c>
      <c r="F198" s="669">
        <v>2314200</v>
      </c>
      <c r="G198" s="669">
        <v>6000000</v>
      </c>
      <c r="H198" s="929">
        <v>6000000</v>
      </c>
      <c r="I198"/>
      <c r="J198"/>
      <c r="K198"/>
      <c r="AD198"/>
      <c r="AE198"/>
      <c r="AF198"/>
    </row>
    <row r="199" spans="1:35" s="648" customFormat="1">
      <c r="A199" s="938" t="s">
        <v>243</v>
      </c>
      <c r="B199" s="669">
        <v>3498446</v>
      </c>
      <c r="C199" s="669">
        <v>5194680</v>
      </c>
      <c r="D199" s="669">
        <v>8693126</v>
      </c>
      <c r="E199" s="669">
        <v>3514200</v>
      </c>
      <c r="F199" s="669">
        <v>3514200</v>
      </c>
      <c r="G199" s="669">
        <v>12207326</v>
      </c>
      <c r="H199" s="669">
        <v>12207326</v>
      </c>
      <c r="I199"/>
      <c r="J199"/>
      <c r="K199"/>
      <c r="L199"/>
      <c r="M199"/>
      <c r="N199"/>
      <c r="O199"/>
      <c r="P199"/>
      <c r="Q199"/>
      <c r="R199"/>
      <c r="S199"/>
      <c r="T199"/>
      <c r="U199"/>
      <c r="V199"/>
      <c r="W199"/>
      <c r="X199"/>
      <c r="Y199"/>
      <c r="Z199"/>
      <c r="AA199"/>
      <c r="AB199"/>
      <c r="AC199"/>
      <c r="AD199"/>
      <c r="AE199"/>
      <c r="AF199"/>
      <c r="AG199"/>
      <c r="AH199"/>
      <c r="AI199"/>
    </row>
    <row r="200" spans="1:35" s="648" customFormat="1" hidden="1">
      <c r="A200"/>
      <c r="B200"/>
      <c r="C200"/>
      <c r="D200"/>
      <c r="E200" s="676"/>
      <c r="F200"/>
      <c r="G200"/>
      <c r="H200" s="674"/>
      <c r="I200"/>
      <c r="J200" s="676"/>
      <c r="K200" s="676"/>
      <c r="L200"/>
      <c r="M200"/>
      <c r="N200"/>
      <c r="O200"/>
      <c r="P200"/>
      <c r="Q200"/>
      <c r="R200"/>
      <c r="S200"/>
      <c r="T200"/>
      <c r="U200"/>
      <c r="V200"/>
      <c r="W200"/>
      <c r="X200"/>
      <c r="Y200"/>
      <c r="Z200"/>
      <c r="AA200"/>
      <c r="AB200"/>
      <c r="AC200"/>
      <c r="AD200"/>
      <c r="AE200"/>
      <c r="AF200"/>
      <c r="AG200"/>
      <c r="AH200"/>
      <c r="AI200"/>
    </row>
    <row r="201" spans="1:35" s="648" customFormat="1" hidden="1">
      <c r="B201" s="477"/>
      <c r="C201" s="479"/>
      <c r="D201" s="477"/>
      <c r="E201" s="762"/>
      <c r="F201" s="476"/>
      <c r="H201" s="676"/>
      <c r="I201" s="649"/>
      <c r="J201" s="759"/>
      <c r="K201" s="759"/>
      <c r="AD201" s="235"/>
      <c r="AE201" s="235"/>
      <c r="AF201" s="235"/>
    </row>
    <row r="202" spans="1:35" s="648" customFormat="1" hidden="1">
      <c r="B202" s="477"/>
      <c r="C202" s="479"/>
      <c r="D202" s="477"/>
      <c r="E202" s="762"/>
      <c r="F202" s="476"/>
      <c r="H202" s="676"/>
      <c r="I202" s="649"/>
      <c r="J202" s="759"/>
      <c r="K202" s="759"/>
      <c r="AD202" s="235"/>
      <c r="AE202" s="235"/>
      <c r="AF202" s="235"/>
    </row>
    <row r="203" spans="1:35" s="648" customFormat="1" hidden="1">
      <c r="B203" s="477"/>
      <c r="C203" s="479"/>
      <c r="D203" s="477"/>
      <c r="E203" s="762"/>
      <c r="F203" s="476"/>
      <c r="H203" s="676"/>
      <c r="I203" s="649"/>
      <c r="J203" s="759"/>
      <c r="K203" s="759"/>
      <c r="AD203" s="235"/>
      <c r="AE203" s="235"/>
      <c r="AF203" s="235"/>
    </row>
    <row r="204" spans="1:35" s="648" customFormat="1" hidden="1">
      <c r="B204" s="477"/>
      <c r="C204" s="479"/>
      <c r="D204" s="477"/>
      <c r="E204" s="762"/>
      <c r="F204" s="476"/>
      <c r="H204" s="676"/>
      <c r="I204" s="649"/>
      <c r="J204" s="759"/>
      <c r="K204" s="759"/>
      <c r="AD204" s="235"/>
      <c r="AE204" s="235"/>
      <c r="AF204" s="235"/>
    </row>
    <row r="205" spans="1:35" s="648" customFormat="1" hidden="1">
      <c r="B205" s="477"/>
      <c r="C205" s="479"/>
      <c r="D205" s="477"/>
      <c r="E205" s="762"/>
      <c r="F205" s="476"/>
      <c r="H205" s="676"/>
      <c r="I205" s="649"/>
      <c r="J205" s="759"/>
      <c r="K205" s="759"/>
      <c r="AD205" s="235"/>
      <c r="AE205" s="235"/>
      <c r="AF205" s="235"/>
    </row>
    <row r="206" spans="1:35" s="648" customFormat="1" hidden="1">
      <c r="B206" s="477"/>
      <c r="C206" s="479"/>
      <c r="D206" s="477"/>
      <c r="E206" s="762"/>
      <c r="F206" s="476"/>
      <c r="H206" s="676"/>
      <c r="I206" s="649"/>
      <c r="J206" s="759"/>
      <c r="K206" s="759"/>
      <c r="AD206" s="235"/>
      <c r="AE206" s="235"/>
      <c r="AF206" s="235"/>
    </row>
    <row r="207" spans="1:35" s="648" customFormat="1">
      <c r="B207" s="477"/>
      <c r="C207" s="479"/>
      <c r="D207" s="477"/>
      <c r="E207" s="762"/>
      <c r="F207" s="476"/>
      <c r="H207" s="676"/>
      <c r="I207" s="649"/>
      <c r="J207" s="759"/>
      <c r="K207" s="759"/>
      <c r="AD207" s="235"/>
      <c r="AE207" s="235"/>
      <c r="AF207" s="235"/>
    </row>
    <row r="208" spans="1:35" ht="18.75">
      <c r="A208" s="647" t="s">
        <v>272</v>
      </c>
    </row>
    <row r="209" spans="1:34" s="674" customFormat="1" ht="22.5" customHeight="1">
      <c r="A209" s="642"/>
      <c r="B209" s="642" t="s">
        <v>154</v>
      </c>
      <c r="C209" s="642"/>
      <c r="D209" s="678"/>
      <c r="E209" s="727"/>
      <c r="F209" s="678"/>
      <c r="G209" s="678"/>
      <c r="H209" s="727"/>
      <c r="I209" s="678"/>
      <c r="J209" s="727"/>
      <c r="K209" s="727"/>
      <c r="L209" s="678"/>
      <c r="M209" s="678"/>
      <c r="N209" s="678"/>
      <c r="O209" s="678"/>
      <c r="P209" s="678"/>
      <c r="Q209" s="678"/>
      <c r="R209" s="678"/>
      <c r="S209" s="678"/>
      <c r="T209" s="678"/>
      <c r="U209" s="678"/>
      <c r="V209" s="678"/>
      <c r="W209" s="678"/>
      <c r="X209" s="678"/>
      <c r="Y209" s="678"/>
      <c r="Z209" s="678"/>
      <c r="AA209" s="678"/>
      <c r="AB209" s="678"/>
      <c r="AC209" s="678"/>
      <c r="AD209" s="678"/>
      <c r="AE209" s="675"/>
      <c r="AF209" s="675"/>
      <c r="AG209" s="675"/>
      <c r="AH209" s="675"/>
    </row>
    <row r="210" spans="1:34" ht="63.75" customHeight="1">
      <c r="A210" s="652"/>
      <c r="B210" s="666">
        <v>45413</v>
      </c>
      <c r="C210" s="665"/>
      <c r="D210" s="666">
        <v>45444</v>
      </c>
      <c r="E210" s="665"/>
      <c r="F210" s="666">
        <v>45474</v>
      </c>
      <c r="G210" s="665"/>
      <c r="H210" s="666">
        <v>45505</v>
      </c>
      <c r="I210" s="665"/>
      <c r="J210" s="666">
        <v>45536</v>
      </c>
      <c r="K210" s="666"/>
      <c r="L210" s="666">
        <v>45566</v>
      </c>
      <c r="M210" s="665"/>
      <c r="N210" s="666">
        <v>45597</v>
      </c>
      <c r="O210" s="665"/>
      <c r="P210" s="667">
        <v>45627</v>
      </c>
      <c r="Q210" s="668"/>
      <c r="R210" s="667">
        <v>45658</v>
      </c>
      <c r="S210" s="668"/>
      <c r="T210" s="667">
        <v>45689</v>
      </c>
      <c r="U210" s="668"/>
      <c r="V210" s="667">
        <v>45717</v>
      </c>
      <c r="W210" s="668"/>
      <c r="X210" s="667">
        <v>45748</v>
      </c>
      <c r="Y210" s="668"/>
      <c r="Z210" s="667">
        <v>45778</v>
      </c>
      <c r="AA210" s="668"/>
      <c r="AB210" s="667">
        <v>45383</v>
      </c>
      <c r="AC210" s="668"/>
      <c r="AD210" s="653" t="s">
        <v>273</v>
      </c>
      <c r="AE210" s="672" t="s">
        <v>274</v>
      </c>
      <c r="AF210" s="672" t="s">
        <v>2</v>
      </c>
      <c r="AG210" s="670" t="s">
        <v>276</v>
      </c>
      <c r="AH210" s="670" t="s">
        <v>277</v>
      </c>
    </row>
    <row r="211" spans="1:34" ht="120">
      <c r="A211" s="642" t="s">
        <v>230</v>
      </c>
      <c r="B211" s="651" t="s">
        <v>270</v>
      </c>
      <c r="C211" s="651" t="s">
        <v>275</v>
      </c>
      <c r="D211" s="651" t="s">
        <v>270</v>
      </c>
      <c r="E211" s="651" t="s">
        <v>275</v>
      </c>
      <c r="F211" s="651" t="s">
        <v>270</v>
      </c>
      <c r="G211" s="651" t="s">
        <v>275</v>
      </c>
      <c r="H211" s="651" t="s">
        <v>270</v>
      </c>
      <c r="I211" s="651" t="s">
        <v>275</v>
      </c>
      <c r="J211" s="651" t="s">
        <v>270</v>
      </c>
      <c r="K211" s="651" t="s">
        <v>275</v>
      </c>
      <c r="L211" s="651" t="s">
        <v>270</v>
      </c>
      <c r="M211" s="651" t="s">
        <v>275</v>
      </c>
      <c r="N211" s="651" t="s">
        <v>270</v>
      </c>
      <c r="O211" s="651" t="s">
        <v>275</v>
      </c>
      <c r="P211" s="651" t="s">
        <v>270</v>
      </c>
      <c r="Q211" s="651" t="s">
        <v>275</v>
      </c>
      <c r="R211" s="651" t="s">
        <v>270</v>
      </c>
      <c r="S211" s="651" t="s">
        <v>275</v>
      </c>
      <c r="T211" s="651" t="s">
        <v>270</v>
      </c>
      <c r="U211" s="651" t="s">
        <v>275</v>
      </c>
      <c r="V211" s="651" t="s">
        <v>270</v>
      </c>
      <c r="W211" s="651" t="s">
        <v>275</v>
      </c>
      <c r="X211" s="651" t="s">
        <v>270</v>
      </c>
      <c r="Y211" s="651" t="s">
        <v>275</v>
      </c>
      <c r="Z211" s="651" t="s">
        <v>270</v>
      </c>
      <c r="AA211" s="651" t="s">
        <v>275</v>
      </c>
      <c r="AB211" s="651" t="s">
        <v>270</v>
      </c>
      <c r="AC211" s="651" t="s">
        <v>275</v>
      </c>
      <c r="AD211" s="664"/>
      <c r="AE211" s="670"/>
      <c r="AF211" s="671"/>
      <c r="AG211" s="671"/>
      <c r="AH211" s="671"/>
    </row>
    <row r="212" spans="1:34">
      <c r="A212" s="643" t="s">
        <v>259</v>
      </c>
      <c r="B212" s="645"/>
      <c r="C212" s="661"/>
      <c r="D212" s="645"/>
      <c r="E212" s="764"/>
      <c r="F212" s="645"/>
      <c r="G212" s="661"/>
      <c r="H212" s="756">
        <v>452.10136452738527</v>
      </c>
      <c r="I212" s="661">
        <v>28000</v>
      </c>
      <c r="J212" s="756"/>
      <c r="K212" s="756"/>
      <c r="L212" s="645"/>
      <c r="M212" s="661"/>
      <c r="N212" s="645"/>
      <c r="O212" s="661"/>
      <c r="P212" s="645"/>
      <c r="Q212" s="661"/>
      <c r="R212" s="645"/>
      <c r="S212" s="661"/>
      <c r="T212" s="645"/>
      <c r="U212" s="661"/>
      <c r="V212" s="645">
        <v>508.67590543845347</v>
      </c>
      <c r="W212" s="661">
        <v>27500</v>
      </c>
      <c r="X212" s="645"/>
      <c r="Y212" s="661"/>
      <c r="Z212" s="645"/>
      <c r="AA212" s="661"/>
      <c r="AB212" s="645"/>
      <c r="AC212" s="661"/>
      <c r="AD212" s="654">
        <v>480.38863498291937</v>
      </c>
      <c r="AE212" s="655">
        <v>55500</v>
      </c>
      <c r="AF212" s="655">
        <f>+GETPIVOTDATA("Suma de KGS",$A$209,"TIPO OPERACIÓN","EXPO CHILE")/1000</f>
        <v>55.5</v>
      </c>
      <c r="AG212" s="677">
        <f>+AF212/AF$216</f>
        <v>1.9456688518724337E-3</v>
      </c>
      <c r="AH212" s="673">
        <f>+AG212*GETPIVOTDATA("Promedio de PRECIO POR TN en CLIENTE Sin IVA a Plazo",$A$209,"TIPO OPERACIÓN","EXPO CHILE")</f>
        <v>0.93467720387978237</v>
      </c>
    </row>
    <row r="213" spans="1:34">
      <c r="A213" s="644" t="s">
        <v>258</v>
      </c>
      <c r="B213" s="646">
        <v>458.45102148997648</v>
      </c>
      <c r="C213" s="662">
        <v>542500</v>
      </c>
      <c r="D213" s="646">
        <v>502.63618552115065</v>
      </c>
      <c r="E213" s="765">
        <v>247700</v>
      </c>
      <c r="F213" s="646">
        <v>422.05288915006668</v>
      </c>
      <c r="G213" s="662">
        <v>985930</v>
      </c>
      <c r="H213" s="757">
        <v>479.18694494870579</v>
      </c>
      <c r="I213" s="662">
        <v>1396655.4169620001</v>
      </c>
      <c r="J213" s="757">
        <v>489.74123446720421</v>
      </c>
      <c r="K213" s="757">
        <v>1686150.4009665218</v>
      </c>
      <c r="L213" s="646">
        <v>456.36620550087491</v>
      </c>
      <c r="M213" s="662">
        <v>856600</v>
      </c>
      <c r="N213" s="646">
        <v>474.97100078346011</v>
      </c>
      <c r="O213" s="662">
        <v>1452900</v>
      </c>
      <c r="P213" s="646">
        <v>459.39935385752602</v>
      </c>
      <c r="Q213" s="662">
        <v>1163849.9991444657</v>
      </c>
      <c r="R213" s="646">
        <v>421.96613817253279</v>
      </c>
      <c r="S213" s="662">
        <v>1745597.7777777778</v>
      </c>
      <c r="T213" s="646">
        <v>418.75430104057193</v>
      </c>
      <c r="U213" s="662">
        <v>1854774.2745638201</v>
      </c>
      <c r="V213" s="646">
        <v>422.90964891299279</v>
      </c>
      <c r="W213" s="662">
        <v>1231000</v>
      </c>
      <c r="X213" s="646">
        <v>417.79341933106559</v>
      </c>
      <c r="Y213" s="662">
        <v>673347.28249630088</v>
      </c>
      <c r="Z213" s="646">
        <v>408.71287798449964</v>
      </c>
      <c r="AA213" s="662">
        <v>143500</v>
      </c>
      <c r="AB213" s="646">
        <v>503.34311059069472</v>
      </c>
      <c r="AC213" s="662">
        <v>83500</v>
      </c>
      <c r="AD213" s="656">
        <v>449.55509084017518</v>
      </c>
      <c r="AE213" s="657">
        <v>14064005.151910886</v>
      </c>
      <c r="AF213" s="657">
        <f>+GETPIVOTDATA("Suma de KGS",$A$209,"TIPO OPERACIÓN","INDUSTRIA")/1000</f>
        <v>14064.005151910886</v>
      </c>
      <c r="AG213" s="677">
        <f>+AF213/AF$216</f>
        <v>0.49304318480444043</v>
      </c>
      <c r="AH213" s="673">
        <f>+AG213*GETPIVOTDATA("Promedio de PRECIO POR TN en CLIENTE Sin IVA a Plazo",$A$209,"TIPO OPERACIÓN","INDUSTRIA")</f>
        <v>221.6500737328895</v>
      </c>
    </row>
    <row r="214" spans="1:34">
      <c r="A214" s="644" t="s">
        <v>260</v>
      </c>
      <c r="B214" s="646"/>
      <c r="C214" s="662"/>
      <c r="D214" s="646"/>
      <c r="E214" s="765"/>
      <c r="F214" s="646">
        <v>403.44377483041353</v>
      </c>
      <c r="G214" s="662">
        <v>600000</v>
      </c>
      <c r="H214" s="757">
        <v>484.37252470017091</v>
      </c>
      <c r="I214" s="662">
        <v>160000</v>
      </c>
      <c r="J214" s="757">
        <v>423.87262810604091</v>
      </c>
      <c r="K214" s="757">
        <v>290000</v>
      </c>
      <c r="L214" s="646"/>
      <c r="M214" s="662"/>
      <c r="N214" s="646"/>
      <c r="O214" s="662"/>
      <c r="P214" s="646"/>
      <c r="Q214" s="662"/>
      <c r="R214" s="646">
        <v>418.90172047545138</v>
      </c>
      <c r="S214" s="662">
        <v>400000</v>
      </c>
      <c r="T214" s="646">
        <v>427.16149671513057</v>
      </c>
      <c r="U214" s="662">
        <v>560000</v>
      </c>
      <c r="V214" s="646">
        <v>419.86082935673301</v>
      </c>
      <c r="W214" s="662">
        <v>320000</v>
      </c>
      <c r="X214" s="646">
        <v>420.64004990800885</v>
      </c>
      <c r="Y214" s="662">
        <v>280000</v>
      </c>
      <c r="Z214" s="646"/>
      <c r="AA214" s="662"/>
      <c r="AB214" s="646"/>
      <c r="AC214" s="662"/>
      <c r="AD214" s="656">
        <v>421.92309531370393</v>
      </c>
      <c r="AE214" s="657">
        <v>2610000</v>
      </c>
      <c r="AF214" s="657">
        <f>+GETPIVOTDATA("Suma de KGS",$A$209,"TIPO OPERACIÓN","TUC CTADO 2")/1000</f>
        <v>2610</v>
      </c>
      <c r="AG214" s="677">
        <f>+AF214/AF$216</f>
        <v>9.1499021682649576E-2</v>
      </c>
      <c r="AH214" s="673">
        <f>+AG214*GETPIVOTDATA("Promedio de PRECIO POR TN en CLIENTE Sin IVA a Plazo",$A$209,"TIPO OPERACIÓN","TUC CTADO 2")</f>
        <v>38.605550446519217</v>
      </c>
    </row>
    <row r="215" spans="1:34">
      <c r="A215" s="644" t="s">
        <v>261</v>
      </c>
      <c r="B215" s="646">
        <v>433.95119353421813</v>
      </c>
      <c r="C215" s="662">
        <v>3780930</v>
      </c>
      <c r="D215" s="646">
        <v>426.86361283985434</v>
      </c>
      <c r="E215" s="765">
        <v>1735890</v>
      </c>
      <c r="F215" s="646">
        <v>432.7812473962955</v>
      </c>
      <c r="G215" s="662">
        <v>1598910</v>
      </c>
      <c r="H215" s="757">
        <v>413.67366780048707</v>
      </c>
      <c r="I215" s="662">
        <v>1250000</v>
      </c>
      <c r="J215" s="757">
        <v>409.49080245267822</v>
      </c>
      <c r="K215" s="757">
        <v>500000</v>
      </c>
      <c r="L215" s="646">
        <v>398.96685639512305</v>
      </c>
      <c r="M215" s="662">
        <v>2929660</v>
      </c>
      <c r="N215" s="646"/>
      <c r="O215" s="662"/>
      <c r="P215" s="646"/>
      <c r="Q215" s="662"/>
      <c r="R215" s="646"/>
      <c r="S215" s="662"/>
      <c r="T215" s="646"/>
      <c r="U215" s="662"/>
      <c r="V215" s="646"/>
      <c r="W215" s="662"/>
      <c r="X215" s="646"/>
      <c r="Y215" s="662"/>
      <c r="Z215" s="646"/>
      <c r="AA215" s="662"/>
      <c r="AB215" s="646"/>
      <c r="AC215" s="662"/>
      <c r="AD215" s="656">
        <v>419.37080149080163</v>
      </c>
      <c r="AE215" s="657">
        <v>11795390</v>
      </c>
      <c r="AF215" s="657">
        <f>+GETPIVOTDATA("Suma de KGS",$A$209,"TIPO OPERACIÓN","GDES CUENTAS")/1000</f>
        <v>11795.39</v>
      </c>
      <c r="AG215" s="677">
        <f>+AF215/AF$216</f>
        <v>0.41351212466103754</v>
      </c>
      <c r="AH215" s="673">
        <f>+AG215*GETPIVOTDATA("Promedio de PRECIO POR TN en CLIENTE Sin IVA a Plazo",$A$209,"TIPO OPERACIÓN","GDES CUENTAS")</f>
        <v>173.4149111452636</v>
      </c>
    </row>
    <row r="216" spans="1:34" ht="15.75" thickBot="1">
      <c r="A216" s="660" t="s">
        <v>243</v>
      </c>
      <c r="B216" s="641">
        <v>453.00661527758569</v>
      </c>
      <c r="C216" s="663">
        <v>4323430</v>
      </c>
      <c r="D216" s="641">
        <v>480.98687904078025</v>
      </c>
      <c r="E216" s="766">
        <v>1983590</v>
      </c>
      <c r="F216" s="641">
        <v>417.95298144890927</v>
      </c>
      <c r="G216" s="663">
        <v>3184840</v>
      </c>
      <c r="H216" s="758">
        <v>476.81849985022484</v>
      </c>
      <c r="I216" s="663">
        <v>2834655.4169620001</v>
      </c>
      <c r="J216" s="758">
        <v>483.88989926977081</v>
      </c>
      <c r="K216" s="758">
        <v>2476150.4009665218</v>
      </c>
      <c r="L216" s="641">
        <v>444.59198004328482</v>
      </c>
      <c r="M216" s="663">
        <v>3786260</v>
      </c>
      <c r="N216" s="641">
        <v>474.97100078346011</v>
      </c>
      <c r="O216" s="663">
        <v>1452900</v>
      </c>
      <c r="P216" s="641">
        <v>459.39935385752602</v>
      </c>
      <c r="Q216" s="663">
        <v>1163849.9991444657</v>
      </c>
      <c r="R216" s="641">
        <v>421.54052460349362</v>
      </c>
      <c r="S216" s="663">
        <v>2145597.777777778</v>
      </c>
      <c r="T216" s="641">
        <v>420.22556028361953</v>
      </c>
      <c r="U216" s="663">
        <v>2414774.2745638201</v>
      </c>
      <c r="V216" s="641">
        <v>424.06768098988681</v>
      </c>
      <c r="W216" s="663">
        <v>1578500</v>
      </c>
      <c r="X216" s="641">
        <v>418.39725005950794</v>
      </c>
      <c r="Y216" s="663">
        <v>953347.28249630088</v>
      </c>
      <c r="Z216" s="641">
        <v>408.71287798449964</v>
      </c>
      <c r="AA216" s="663">
        <v>143500</v>
      </c>
      <c r="AB216" s="641">
        <v>503.34311059069472</v>
      </c>
      <c r="AC216" s="663">
        <v>83500</v>
      </c>
      <c r="AD216" s="658">
        <v>445.46895459976741</v>
      </c>
      <c r="AE216" s="659">
        <v>28524895.151910886</v>
      </c>
      <c r="AF216" s="659">
        <f>SUM(AF212:AF215)</f>
        <v>28524.895151910885</v>
      </c>
      <c r="AG216" s="385">
        <f>+AF216/AF$216</f>
        <v>1</v>
      </c>
      <c r="AH216" s="641">
        <f>SUM(AH212:AH215)</f>
        <v>434.6052125285521</v>
      </c>
    </row>
    <row r="217" spans="1:34">
      <c r="B217"/>
      <c r="C217"/>
      <c r="D217"/>
      <c r="E217" s="676"/>
      <c r="F217"/>
      <c r="I217"/>
    </row>
    <row r="218" spans="1:34">
      <c r="B218"/>
      <c r="C218"/>
      <c r="D218"/>
      <c r="E218" s="676"/>
      <c r="F218"/>
      <c r="I218"/>
    </row>
    <row r="219" spans="1:34">
      <c r="B219"/>
      <c r="C219"/>
      <c r="D219"/>
      <c r="E219" s="676"/>
      <c r="F219"/>
      <c r="I219"/>
    </row>
    <row r="220" spans="1:34">
      <c r="B220"/>
      <c r="C220"/>
      <c r="D220"/>
      <c r="E220" s="676"/>
      <c r="F220"/>
      <c r="I220"/>
    </row>
    <row r="221" spans="1:34">
      <c r="B221"/>
      <c r="C221"/>
      <c r="D221"/>
      <c r="E221" s="676"/>
      <c r="F221"/>
      <c r="I221"/>
    </row>
    <row r="222" spans="1:34">
      <c r="B222"/>
      <c r="C222"/>
      <c r="D222"/>
      <c r="E222" s="676"/>
      <c r="F222"/>
      <c r="I222"/>
    </row>
    <row r="223" spans="1:34">
      <c r="B223"/>
      <c r="C223"/>
      <c r="D223"/>
      <c r="E223" s="676"/>
      <c r="F223"/>
      <c r="I223"/>
    </row>
    <row r="224" spans="1:34">
      <c r="B224"/>
      <c r="C224"/>
      <c r="D224"/>
      <c r="E224" s="676"/>
      <c r="F224"/>
      <c r="I224"/>
    </row>
    <row r="225" spans="2:9">
      <c r="B225"/>
      <c r="C225"/>
      <c r="D225"/>
      <c r="E225" s="676"/>
      <c r="F225"/>
      <c r="I225"/>
    </row>
    <row r="226" spans="2:9">
      <c r="B226"/>
      <c r="C226"/>
      <c r="D226"/>
      <c r="E226" s="676"/>
      <c r="F226"/>
      <c r="I226"/>
    </row>
    <row r="227" spans="2:9">
      <c r="B227"/>
      <c r="C227"/>
      <c r="D227"/>
      <c r="E227" s="676"/>
      <c r="F227"/>
      <c r="I227"/>
    </row>
    <row r="228" spans="2:9">
      <c r="B228"/>
      <c r="C228"/>
      <c r="D228"/>
      <c r="E228" s="676"/>
      <c r="F228"/>
      <c r="I228"/>
    </row>
    <row r="229" spans="2:9">
      <c r="B229"/>
      <c r="C229"/>
      <c r="D229"/>
      <c r="E229" s="676"/>
      <c r="F229"/>
      <c r="I229"/>
    </row>
    <row r="230" spans="2:9">
      <c r="B230"/>
      <c r="C230"/>
      <c r="D230"/>
      <c r="E230" s="676"/>
      <c r="F230"/>
      <c r="I230"/>
    </row>
    <row r="231" spans="2:9">
      <c r="B231"/>
      <c r="C231"/>
      <c r="D231"/>
      <c r="E231" s="676"/>
      <c r="F231"/>
      <c r="I231"/>
    </row>
    <row r="232" spans="2:9">
      <c r="B232"/>
      <c r="C232"/>
      <c r="D232"/>
      <c r="E232" s="676"/>
      <c r="F232"/>
      <c r="I232"/>
    </row>
    <row r="233" spans="2:9">
      <c r="B233"/>
      <c r="C233"/>
      <c r="D233"/>
      <c r="E233" s="676"/>
      <c r="F233"/>
      <c r="I233"/>
    </row>
    <row r="234" spans="2:9">
      <c r="B234"/>
      <c r="C234"/>
      <c r="D234"/>
      <c r="E234" s="676"/>
      <c r="F234"/>
      <c r="I234"/>
    </row>
    <row r="235" spans="2:9">
      <c r="B235"/>
      <c r="C235"/>
      <c r="D235"/>
      <c r="E235" s="676"/>
      <c r="F235"/>
      <c r="I235"/>
    </row>
    <row r="236" spans="2:9">
      <c r="B236"/>
      <c r="C236"/>
      <c r="D236"/>
      <c r="E236" s="676"/>
      <c r="F236"/>
      <c r="I236"/>
    </row>
    <row r="237" spans="2:9">
      <c r="B237"/>
      <c r="C237"/>
      <c r="D237"/>
      <c r="E237" s="676"/>
      <c r="F237"/>
      <c r="I237"/>
    </row>
    <row r="238" spans="2:9">
      <c r="B238"/>
      <c r="C238"/>
      <c r="D238"/>
      <c r="E238" s="676"/>
      <c r="F238"/>
      <c r="I238"/>
    </row>
    <row r="239" spans="2:9">
      <c r="B239"/>
      <c r="C239"/>
      <c r="D239"/>
      <c r="E239" s="676"/>
      <c r="F239"/>
      <c r="I239"/>
    </row>
    <row r="240" spans="2:9">
      <c r="B240"/>
      <c r="C240"/>
      <c r="D240"/>
      <c r="E240" s="676"/>
      <c r="F240"/>
      <c r="I240"/>
    </row>
    <row r="241" spans="2:9">
      <c r="B241"/>
      <c r="C241"/>
      <c r="D241"/>
      <c r="E241" s="676"/>
      <c r="F241"/>
      <c r="I241"/>
    </row>
    <row r="242" spans="2:9">
      <c r="B242"/>
      <c r="C242"/>
      <c r="D242"/>
      <c r="E242" s="676"/>
      <c r="F242"/>
      <c r="I242"/>
    </row>
    <row r="243" spans="2:9">
      <c r="B243"/>
      <c r="C243"/>
      <c r="D243"/>
      <c r="E243" s="676"/>
      <c r="F243"/>
      <c r="I243"/>
    </row>
    <row r="244" spans="2:9">
      <c r="B244"/>
      <c r="C244"/>
      <c r="D244"/>
      <c r="E244" s="676"/>
      <c r="F244"/>
      <c r="I244"/>
    </row>
    <row r="245" spans="2:9">
      <c r="B245"/>
      <c r="C245"/>
      <c r="D245"/>
      <c r="E245" s="676"/>
      <c r="F245"/>
      <c r="I245"/>
    </row>
    <row r="246" spans="2:9">
      <c r="B246"/>
      <c r="C246"/>
      <c r="D246"/>
      <c r="E246" s="676"/>
      <c r="F246"/>
      <c r="I246"/>
    </row>
    <row r="247" spans="2:9">
      <c r="B247"/>
      <c r="C247"/>
      <c r="D247"/>
      <c r="E247" s="676"/>
      <c r="F247"/>
      <c r="I247"/>
    </row>
    <row r="248" spans="2:9">
      <c r="B248"/>
      <c r="C248"/>
      <c r="D248"/>
      <c r="E248" s="676"/>
      <c r="F248"/>
      <c r="I248"/>
    </row>
    <row r="249" spans="2:9">
      <c r="B249"/>
      <c r="C249"/>
      <c r="D249"/>
      <c r="E249" s="676"/>
      <c r="F249"/>
      <c r="I249"/>
    </row>
    <row r="250" spans="2:9">
      <c r="B250"/>
      <c r="C250"/>
      <c r="D250"/>
      <c r="E250" s="676"/>
      <c r="F250"/>
      <c r="I250"/>
    </row>
    <row r="251" spans="2:9">
      <c r="B251"/>
      <c r="C251"/>
      <c r="D251"/>
      <c r="E251" s="676"/>
      <c r="F251"/>
      <c r="I251"/>
    </row>
    <row r="252" spans="2:9">
      <c r="B252"/>
      <c r="C252"/>
      <c r="D252"/>
      <c r="E252" s="676"/>
      <c r="F252"/>
      <c r="I252"/>
    </row>
    <row r="253" spans="2:9">
      <c r="B253"/>
      <c r="C253"/>
      <c r="D253"/>
      <c r="E253" s="676"/>
      <c r="F253"/>
      <c r="I253"/>
    </row>
    <row r="254" spans="2:9">
      <c r="B254"/>
      <c r="C254"/>
      <c r="D254"/>
      <c r="E254" s="676"/>
      <c r="F254"/>
      <c r="I254"/>
    </row>
    <row r="255" spans="2:9">
      <c r="B255"/>
      <c r="C255"/>
      <c r="D255"/>
      <c r="E255" s="676"/>
      <c r="F255"/>
      <c r="I255"/>
    </row>
    <row r="256" spans="2:9">
      <c r="B256"/>
      <c r="C256"/>
      <c r="D256"/>
      <c r="E256" s="676"/>
      <c r="F256"/>
      <c r="I256"/>
    </row>
    <row r="257" spans="2:9">
      <c r="B257"/>
      <c r="C257"/>
      <c r="D257"/>
      <c r="E257" s="676"/>
      <c r="F257"/>
      <c r="I257"/>
    </row>
    <row r="258" spans="2:9">
      <c r="B258"/>
      <c r="C258"/>
      <c r="D258"/>
      <c r="E258" s="676"/>
      <c r="F258"/>
      <c r="I258"/>
    </row>
    <row r="259" spans="2:9">
      <c r="B259"/>
      <c r="C259"/>
      <c r="D259"/>
      <c r="E259" s="676"/>
      <c r="F259"/>
      <c r="I259"/>
    </row>
    <row r="260" spans="2:9">
      <c r="B260"/>
      <c r="C260"/>
      <c r="D260"/>
      <c r="E260" s="676"/>
      <c r="F260"/>
      <c r="I260"/>
    </row>
    <row r="261" spans="2:9">
      <c r="B261"/>
      <c r="C261"/>
      <c r="D261"/>
      <c r="E261" s="676"/>
      <c r="F261"/>
      <c r="I261"/>
    </row>
    <row r="262" spans="2:9">
      <c r="B262"/>
      <c r="C262"/>
      <c r="D262"/>
      <c r="E262" s="676"/>
      <c r="F262"/>
      <c r="I262"/>
    </row>
    <row r="263" spans="2:9">
      <c r="B263"/>
      <c r="C263"/>
      <c r="D263"/>
      <c r="E263" s="676"/>
      <c r="F263"/>
      <c r="I263"/>
    </row>
    <row r="264" spans="2:9">
      <c r="B264"/>
      <c r="C264"/>
      <c r="D264"/>
      <c r="E264" s="676"/>
      <c r="F264"/>
      <c r="I264"/>
    </row>
    <row r="265" spans="2:9">
      <c r="B265"/>
      <c r="C265"/>
      <c r="D265"/>
      <c r="E265" s="676"/>
      <c r="F265"/>
      <c r="I265"/>
    </row>
    <row r="266" spans="2:9">
      <c r="B266"/>
      <c r="C266"/>
      <c r="D266"/>
      <c r="E266" s="676"/>
      <c r="F266"/>
      <c r="I266"/>
    </row>
    <row r="267" spans="2:9">
      <c r="B267"/>
      <c r="C267"/>
      <c r="D267"/>
      <c r="E267" s="676"/>
      <c r="F267"/>
      <c r="I267"/>
    </row>
    <row r="268" spans="2:9">
      <c r="B268"/>
      <c r="C268"/>
      <c r="D268"/>
      <c r="E268" s="676"/>
      <c r="F268"/>
      <c r="I268"/>
    </row>
    <row r="269" spans="2:9">
      <c r="B269"/>
      <c r="C269"/>
      <c r="D269"/>
      <c r="E269" s="676"/>
      <c r="F269"/>
      <c r="I269"/>
    </row>
    <row r="270" spans="2:9">
      <c r="B270"/>
      <c r="C270"/>
      <c r="D270"/>
      <c r="E270" s="676"/>
      <c r="F270"/>
      <c r="I270"/>
    </row>
    <row r="271" spans="2:9">
      <c r="B271"/>
      <c r="C271"/>
      <c r="D271"/>
      <c r="E271" s="676"/>
      <c r="F271"/>
      <c r="I271"/>
    </row>
    <row r="272" spans="2:9">
      <c r="B272"/>
      <c r="C272"/>
      <c r="D272"/>
      <c r="E272" s="676"/>
      <c r="F272"/>
      <c r="I272"/>
    </row>
    <row r="273" spans="2:9">
      <c r="B273"/>
      <c r="C273"/>
      <c r="D273"/>
      <c r="E273" s="676"/>
      <c r="F273"/>
      <c r="I273"/>
    </row>
    <row r="274" spans="2:9">
      <c r="B274"/>
      <c r="C274"/>
      <c r="D274"/>
      <c r="E274" s="676"/>
      <c r="F274"/>
      <c r="I274"/>
    </row>
    <row r="275" spans="2:9">
      <c r="B275"/>
      <c r="C275"/>
      <c r="D275"/>
      <c r="E275" s="676"/>
      <c r="F275"/>
      <c r="I275"/>
    </row>
    <row r="276" spans="2:9">
      <c r="B276"/>
      <c r="C276"/>
      <c r="D276"/>
      <c r="E276" s="676"/>
      <c r="F276"/>
      <c r="I276"/>
    </row>
    <row r="277" spans="2:9">
      <c r="B277"/>
      <c r="C277"/>
      <c r="D277"/>
      <c r="E277" s="676"/>
      <c r="F277"/>
      <c r="I277"/>
    </row>
    <row r="278" spans="2:9">
      <c r="B278"/>
      <c r="C278"/>
      <c r="D278"/>
      <c r="E278" s="676"/>
      <c r="F278"/>
      <c r="I278"/>
    </row>
    <row r="279" spans="2:9">
      <c r="B279"/>
      <c r="C279"/>
      <c r="D279"/>
      <c r="E279" s="676"/>
      <c r="F279"/>
      <c r="I279"/>
    </row>
    <row r="280" spans="2:9">
      <c r="B280"/>
      <c r="C280"/>
      <c r="D280"/>
      <c r="E280" s="676"/>
      <c r="F280"/>
      <c r="I280"/>
    </row>
    <row r="281" spans="2:9">
      <c r="B281"/>
      <c r="C281"/>
      <c r="D281"/>
      <c r="E281" s="676"/>
      <c r="F281"/>
      <c r="I281"/>
    </row>
    <row r="282" spans="2:9">
      <c r="B282"/>
      <c r="C282"/>
      <c r="D282"/>
      <c r="E282" s="676"/>
      <c r="F282"/>
      <c r="I282"/>
    </row>
    <row r="283" spans="2:9">
      <c r="B283"/>
      <c r="C283"/>
      <c r="D283"/>
      <c r="E283" s="676"/>
      <c r="F283"/>
      <c r="I283"/>
    </row>
    <row r="284" spans="2:9">
      <c r="B284"/>
      <c r="C284"/>
      <c r="D284"/>
      <c r="E284" s="676"/>
      <c r="F284"/>
      <c r="I284"/>
    </row>
    <row r="285" spans="2:9">
      <c r="B285"/>
      <c r="C285"/>
      <c r="D285"/>
      <c r="E285" s="676"/>
      <c r="F285"/>
      <c r="I285"/>
    </row>
    <row r="286" spans="2:9">
      <c r="B286"/>
      <c r="C286"/>
      <c r="D286"/>
      <c r="E286" s="676"/>
      <c r="F286"/>
      <c r="I286"/>
    </row>
    <row r="287" spans="2:9">
      <c r="B287"/>
      <c r="C287"/>
      <c r="D287"/>
      <c r="E287" s="676"/>
      <c r="F287"/>
      <c r="I287"/>
    </row>
    <row r="288" spans="2:9">
      <c r="B288"/>
      <c r="C288"/>
      <c r="D288"/>
      <c r="E288" s="676"/>
      <c r="F288"/>
      <c r="I288"/>
    </row>
    <row r="289" spans="2:9">
      <c r="B289"/>
      <c r="C289"/>
      <c r="D289"/>
      <c r="E289" s="676"/>
      <c r="F289"/>
      <c r="I289"/>
    </row>
    <row r="290" spans="2:9">
      <c r="B290"/>
      <c r="C290"/>
      <c r="D290"/>
      <c r="E290" s="676"/>
      <c r="F290"/>
      <c r="I290"/>
    </row>
    <row r="291" spans="2:9">
      <c r="B291"/>
      <c r="C291"/>
      <c r="D291"/>
      <c r="E291" s="676"/>
      <c r="F291"/>
      <c r="I291"/>
    </row>
    <row r="292" spans="2:9">
      <c r="B292"/>
      <c r="C292"/>
      <c r="D292"/>
      <c r="E292" s="676"/>
      <c r="F292"/>
      <c r="I292"/>
    </row>
    <row r="293" spans="2:9">
      <c r="B293"/>
      <c r="C293"/>
      <c r="D293"/>
      <c r="E293" s="676"/>
      <c r="F293"/>
      <c r="I293"/>
    </row>
    <row r="294" spans="2:9">
      <c r="B294"/>
      <c r="C294"/>
      <c r="D294"/>
      <c r="E294" s="676"/>
      <c r="F294"/>
      <c r="I294"/>
    </row>
    <row r="295" spans="2:9">
      <c r="B295"/>
      <c r="C295"/>
      <c r="D295"/>
      <c r="E295" s="676"/>
      <c r="F295"/>
      <c r="I295"/>
    </row>
    <row r="296" spans="2:9">
      <c r="B296"/>
      <c r="C296"/>
      <c r="D296"/>
      <c r="E296" s="676"/>
      <c r="F296"/>
      <c r="I296"/>
    </row>
    <row r="297" spans="2:9">
      <c r="B297"/>
      <c r="C297"/>
      <c r="D297"/>
      <c r="E297" s="676"/>
      <c r="F297"/>
      <c r="I297"/>
    </row>
    <row r="298" spans="2:9">
      <c r="B298"/>
      <c r="C298"/>
      <c r="D298"/>
      <c r="E298" s="676"/>
      <c r="F298"/>
      <c r="I298"/>
    </row>
    <row r="299" spans="2:9">
      <c r="B299"/>
      <c r="C299"/>
      <c r="D299"/>
      <c r="E299" s="676"/>
      <c r="F299"/>
      <c r="I299"/>
    </row>
    <row r="300" spans="2:9">
      <c r="B300"/>
      <c r="C300"/>
      <c r="D300"/>
      <c r="E300" s="676"/>
      <c r="F300"/>
      <c r="I300"/>
    </row>
    <row r="301" spans="2:9">
      <c r="B301"/>
      <c r="C301"/>
      <c r="D301"/>
      <c r="E301" s="676"/>
      <c r="F301"/>
      <c r="I301"/>
    </row>
    <row r="302" spans="2:9">
      <c r="B302"/>
      <c r="C302"/>
      <c r="D302"/>
      <c r="E302" s="676"/>
      <c r="F302"/>
      <c r="I302"/>
    </row>
    <row r="303" spans="2:9">
      <c r="B303"/>
      <c r="C303"/>
      <c r="D303"/>
      <c r="E303" s="676"/>
      <c r="F303"/>
      <c r="I303"/>
    </row>
    <row r="304" spans="2:9">
      <c r="B304"/>
      <c r="C304"/>
      <c r="D304"/>
      <c r="E304" s="676"/>
      <c r="F304"/>
      <c r="I304"/>
    </row>
    <row r="305" spans="2:9">
      <c r="B305"/>
      <c r="C305"/>
      <c r="D305"/>
      <c r="E305" s="676"/>
      <c r="F305"/>
      <c r="I305"/>
    </row>
    <row r="306" spans="2:9">
      <c r="B306"/>
      <c r="C306"/>
      <c r="D306"/>
      <c r="E306" s="676"/>
      <c r="F306"/>
      <c r="I306"/>
    </row>
    <row r="307" spans="2:9">
      <c r="B307"/>
      <c r="C307"/>
      <c r="D307"/>
      <c r="E307" s="676"/>
      <c r="F307"/>
      <c r="I307"/>
    </row>
    <row r="308" spans="2:9">
      <c r="B308"/>
      <c r="C308"/>
      <c r="D308"/>
      <c r="E308" s="676"/>
      <c r="F308"/>
      <c r="I308"/>
    </row>
    <row r="309" spans="2:9">
      <c r="B309"/>
      <c r="C309"/>
      <c r="D309"/>
      <c r="E309" s="676"/>
      <c r="F309"/>
      <c r="I309"/>
    </row>
    <row r="310" spans="2:9">
      <c r="B310"/>
      <c r="C310"/>
      <c r="D310"/>
      <c r="E310" s="676"/>
      <c r="F310"/>
      <c r="I310"/>
    </row>
    <row r="311" spans="2:9">
      <c r="B311"/>
      <c r="C311"/>
      <c r="D311"/>
      <c r="E311" s="676"/>
      <c r="F311"/>
      <c r="I311"/>
    </row>
    <row r="312" spans="2:9">
      <c r="B312"/>
      <c r="C312"/>
      <c r="D312"/>
      <c r="E312" s="676"/>
      <c r="F312"/>
      <c r="I312"/>
    </row>
    <row r="313" spans="2:9">
      <c r="B313"/>
      <c r="C313"/>
      <c r="D313"/>
      <c r="E313" s="676"/>
      <c r="F313"/>
      <c r="I313"/>
    </row>
    <row r="314" spans="2:9">
      <c r="B314"/>
      <c r="C314"/>
      <c r="D314"/>
      <c r="E314" s="676"/>
      <c r="F314"/>
      <c r="I314"/>
    </row>
    <row r="315" spans="2:9">
      <c r="B315"/>
      <c r="C315"/>
      <c r="D315"/>
      <c r="E315" s="676"/>
      <c r="F315"/>
      <c r="I315"/>
    </row>
    <row r="316" spans="2:9">
      <c r="B316"/>
      <c r="C316"/>
      <c r="D316"/>
      <c r="E316" s="676"/>
      <c r="F316"/>
      <c r="I316"/>
    </row>
    <row r="317" spans="2:9">
      <c r="B317"/>
      <c r="C317"/>
      <c r="D317"/>
      <c r="E317" s="676"/>
      <c r="F317"/>
      <c r="I317"/>
    </row>
    <row r="318" spans="2:9">
      <c r="B318"/>
      <c r="C318"/>
      <c r="D318"/>
      <c r="E318" s="676"/>
      <c r="F318"/>
      <c r="I318"/>
    </row>
    <row r="351" spans="2:9">
      <c r="B351"/>
      <c r="C351"/>
      <c r="D351"/>
      <c r="E351" s="676"/>
      <c r="F351"/>
      <c r="I351"/>
    </row>
    <row r="352" spans="2:9">
      <c r="B352"/>
      <c r="C352"/>
      <c r="D352"/>
      <c r="E352" s="676"/>
      <c r="F352"/>
      <c r="I352"/>
    </row>
    <row r="353" spans="2:9">
      <c r="B353"/>
      <c r="C353"/>
      <c r="D353"/>
      <c r="E353" s="676"/>
      <c r="F353"/>
      <c r="I353"/>
    </row>
    <row r="354" spans="2:9">
      <c r="B354"/>
      <c r="C354"/>
      <c r="D354"/>
      <c r="E354" s="676"/>
      <c r="F354"/>
      <c r="I354"/>
    </row>
    <row r="355" spans="2:9">
      <c r="B355"/>
      <c r="C355"/>
      <c r="D355"/>
      <c r="E355" s="676"/>
      <c r="F355"/>
      <c r="I355"/>
    </row>
    <row r="356" spans="2:9">
      <c r="B356"/>
      <c r="C356"/>
      <c r="D356"/>
      <c r="E356" s="676"/>
      <c r="F356"/>
      <c r="I356"/>
    </row>
    <row r="357" spans="2:9">
      <c r="B357"/>
      <c r="C357"/>
      <c r="D357"/>
      <c r="E357" s="676"/>
      <c r="F357"/>
      <c r="I357"/>
    </row>
    <row r="358" spans="2:9">
      <c r="B358"/>
      <c r="C358"/>
      <c r="D358"/>
      <c r="E358" s="676"/>
      <c r="F358"/>
      <c r="I358"/>
    </row>
    <row r="359" spans="2:9">
      <c r="B359"/>
      <c r="C359"/>
      <c r="D359"/>
      <c r="E359" s="676"/>
      <c r="F359"/>
      <c r="I359"/>
    </row>
    <row r="360" spans="2:9">
      <c r="B360"/>
      <c r="C360"/>
      <c r="D360"/>
      <c r="E360" s="676"/>
      <c r="F360"/>
      <c r="I360"/>
    </row>
    <row r="361" spans="2:9">
      <c r="B361"/>
      <c r="C361"/>
      <c r="D361"/>
      <c r="E361" s="676"/>
      <c r="F361"/>
      <c r="I361"/>
    </row>
    <row r="362" spans="2:9">
      <c r="B362"/>
      <c r="C362"/>
      <c r="D362"/>
      <c r="E362" s="676"/>
      <c r="F362"/>
      <c r="I362"/>
    </row>
    <row r="363" spans="2:9">
      <c r="B363"/>
      <c r="C363"/>
      <c r="D363"/>
      <c r="E363" s="676"/>
      <c r="F363"/>
      <c r="I363"/>
    </row>
    <row r="364" spans="2:9">
      <c r="B364"/>
      <c r="C364"/>
      <c r="D364"/>
      <c r="E364" s="676"/>
      <c r="F364"/>
      <c r="I364"/>
    </row>
    <row r="365" spans="2:9">
      <c r="B365"/>
      <c r="C365"/>
      <c r="D365"/>
      <c r="E365" s="676"/>
      <c r="F365"/>
      <c r="I365"/>
    </row>
    <row r="366" spans="2:9">
      <c r="B366"/>
      <c r="C366"/>
      <c r="D366"/>
      <c r="E366" s="676"/>
      <c r="F366"/>
      <c r="I366"/>
    </row>
    <row r="367" spans="2:9">
      <c r="B367"/>
      <c r="C367"/>
      <c r="D367"/>
      <c r="E367" s="676"/>
      <c r="F367"/>
      <c r="I367"/>
    </row>
    <row r="368" spans="2:9">
      <c r="B368"/>
      <c r="C368"/>
      <c r="D368"/>
      <c r="E368" s="676"/>
      <c r="F368"/>
      <c r="I368"/>
    </row>
    <row r="369" spans="2:9">
      <c r="B369"/>
      <c r="C369"/>
      <c r="D369"/>
      <c r="E369" s="676"/>
      <c r="F369"/>
      <c r="I369"/>
    </row>
    <row r="370" spans="2:9">
      <c r="B370"/>
      <c r="C370"/>
      <c r="D370"/>
      <c r="E370" s="676"/>
      <c r="F370"/>
      <c r="I370"/>
    </row>
    <row r="371" spans="2:9">
      <c r="B371"/>
      <c r="C371"/>
      <c r="D371"/>
      <c r="E371" s="676"/>
      <c r="F371"/>
      <c r="I371"/>
    </row>
    <row r="372" spans="2:9">
      <c r="B372"/>
      <c r="C372"/>
      <c r="D372"/>
      <c r="E372" s="676"/>
      <c r="F372"/>
      <c r="I372"/>
    </row>
    <row r="373" spans="2:9">
      <c r="B373"/>
      <c r="C373"/>
      <c r="D373"/>
      <c r="E373" s="676"/>
      <c r="F373"/>
      <c r="I373"/>
    </row>
    <row r="374" spans="2:9">
      <c r="B374"/>
      <c r="C374"/>
      <c r="D374"/>
      <c r="E374" s="676"/>
      <c r="F374"/>
      <c r="I374"/>
    </row>
    <row r="375" spans="2:9">
      <c r="B375"/>
      <c r="C375"/>
      <c r="D375"/>
      <c r="E375" s="676"/>
      <c r="F375"/>
      <c r="I375"/>
    </row>
    <row r="376" spans="2:9">
      <c r="B376"/>
      <c r="C376"/>
      <c r="D376"/>
      <c r="E376" s="676"/>
      <c r="F376"/>
      <c r="I376"/>
    </row>
    <row r="377" spans="2:9">
      <c r="B377"/>
      <c r="C377"/>
      <c r="D377"/>
      <c r="E377" s="676"/>
      <c r="F377"/>
      <c r="I377"/>
    </row>
    <row r="378" spans="2:9">
      <c r="B378"/>
      <c r="C378"/>
      <c r="D378"/>
      <c r="E378" s="676"/>
      <c r="F378"/>
      <c r="I378"/>
    </row>
    <row r="379" spans="2:9">
      <c r="B379"/>
      <c r="C379"/>
      <c r="D379"/>
      <c r="E379" s="676"/>
      <c r="F379"/>
      <c r="I379"/>
    </row>
    <row r="380" spans="2:9">
      <c r="B380"/>
      <c r="C380"/>
      <c r="D380"/>
      <c r="E380" s="676"/>
      <c r="F380"/>
      <c r="I380"/>
    </row>
    <row r="381" spans="2:9">
      <c r="B381"/>
      <c r="C381"/>
      <c r="D381"/>
      <c r="E381" s="676"/>
      <c r="F381"/>
      <c r="I381"/>
    </row>
    <row r="382" spans="2:9">
      <c r="B382"/>
      <c r="C382"/>
      <c r="D382"/>
      <c r="E382" s="676"/>
      <c r="F382"/>
      <c r="I382"/>
    </row>
    <row r="383" spans="2:9">
      <c r="B383"/>
      <c r="C383"/>
      <c r="D383"/>
      <c r="E383" s="676"/>
      <c r="F383"/>
      <c r="I383"/>
    </row>
    <row r="384" spans="2:9">
      <c r="B384"/>
      <c r="C384"/>
      <c r="D384"/>
      <c r="E384" s="676"/>
      <c r="F384"/>
      <c r="I384"/>
    </row>
    <row r="385" spans="2:9">
      <c r="B385"/>
      <c r="C385"/>
      <c r="D385"/>
      <c r="E385" s="676"/>
      <c r="F385"/>
      <c r="I385"/>
    </row>
    <row r="386" spans="2:9">
      <c r="B386"/>
      <c r="C386"/>
      <c r="D386"/>
      <c r="E386" s="676"/>
      <c r="F386"/>
      <c r="I386"/>
    </row>
    <row r="387" spans="2:9">
      <c r="B387"/>
      <c r="C387"/>
      <c r="D387"/>
      <c r="E387" s="676"/>
      <c r="F387"/>
      <c r="I387"/>
    </row>
    <row r="388" spans="2:9">
      <c r="B388"/>
      <c r="C388"/>
      <c r="D388"/>
      <c r="E388" s="676"/>
      <c r="F388"/>
      <c r="I388"/>
    </row>
    <row r="389" spans="2:9">
      <c r="B389"/>
      <c r="C389"/>
      <c r="D389"/>
      <c r="E389" s="676"/>
      <c r="F389"/>
      <c r="I389"/>
    </row>
    <row r="390" spans="2:9">
      <c r="B390"/>
      <c r="C390"/>
      <c r="D390"/>
      <c r="E390" s="676"/>
      <c r="F390"/>
      <c r="I390"/>
    </row>
    <row r="391" spans="2:9">
      <c r="B391"/>
      <c r="C391"/>
      <c r="D391"/>
      <c r="E391" s="676"/>
      <c r="F391"/>
      <c r="I391"/>
    </row>
    <row r="392" spans="2:9">
      <c r="B392"/>
      <c r="C392"/>
      <c r="D392"/>
      <c r="E392" s="676"/>
      <c r="F392"/>
      <c r="I392"/>
    </row>
    <row r="393" spans="2:9">
      <c r="B393"/>
      <c r="C393"/>
      <c r="D393"/>
      <c r="E393" s="676"/>
      <c r="F393"/>
      <c r="I393"/>
    </row>
    <row r="394" spans="2:9">
      <c r="B394"/>
      <c r="C394"/>
      <c r="D394"/>
      <c r="E394" s="676"/>
      <c r="F394"/>
      <c r="I394"/>
    </row>
    <row r="395" spans="2:9">
      <c r="B395"/>
      <c r="C395"/>
      <c r="D395"/>
      <c r="E395" s="676"/>
      <c r="F395"/>
      <c r="I395"/>
    </row>
    <row r="396" spans="2:9">
      <c r="B396"/>
      <c r="C396"/>
      <c r="D396"/>
      <c r="E396" s="676"/>
      <c r="F396"/>
      <c r="I396"/>
    </row>
    <row r="397" spans="2:9">
      <c r="B397"/>
      <c r="C397"/>
      <c r="D397"/>
      <c r="E397" s="676"/>
      <c r="F397"/>
      <c r="I397"/>
    </row>
    <row r="398" spans="2:9">
      <c r="B398"/>
      <c r="C398"/>
      <c r="D398"/>
      <c r="E398" s="676"/>
      <c r="F398"/>
      <c r="I398"/>
    </row>
    <row r="399" spans="2:9">
      <c r="B399"/>
      <c r="C399"/>
      <c r="D399"/>
      <c r="E399" s="676"/>
      <c r="F399"/>
      <c r="I399"/>
    </row>
    <row r="400" spans="2:9">
      <c r="B400"/>
      <c r="C400"/>
      <c r="D400"/>
      <c r="E400" s="676"/>
      <c r="F400"/>
      <c r="I400"/>
    </row>
    <row r="401" spans="2:9">
      <c r="B401"/>
      <c r="C401"/>
      <c r="D401"/>
      <c r="E401" s="676"/>
      <c r="F401"/>
      <c r="I401"/>
    </row>
    <row r="402" spans="2:9">
      <c r="B402"/>
      <c r="C402"/>
      <c r="D402"/>
      <c r="E402" s="676"/>
      <c r="F402"/>
      <c r="I402"/>
    </row>
    <row r="403" spans="2:9">
      <c r="B403"/>
      <c r="C403"/>
      <c r="D403"/>
      <c r="E403" s="676"/>
      <c r="F403"/>
      <c r="I403"/>
    </row>
    <row r="404" spans="2:9">
      <c r="B404"/>
      <c r="C404"/>
      <c r="D404"/>
      <c r="E404" s="676"/>
      <c r="F404"/>
      <c r="I404"/>
    </row>
    <row r="405" spans="2:9">
      <c r="B405"/>
      <c r="C405"/>
      <c r="D405"/>
      <c r="E405" s="676"/>
      <c r="F405"/>
      <c r="I405"/>
    </row>
    <row r="406" spans="2:9">
      <c r="B406"/>
      <c r="C406"/>
      <c r="D406"/>
      <c r="E406" s="676"/>
      <c r="F406"/>
      <c r="I406"/>
    </row>
    <row r="407" spans="2:9">
      <c r="B407"/>
      <c r="C407"/>
      <c r="D407"/>
      <c r="E407" s="676"/>
      <c r="F407"/>
      <c r="I407"/>
    </row>
    <row r="408" spans="2:9">
      <c r="B408"/>
      <c r="C408"/>
      <c r="D408"/>
      <c r="E408" s="676"/>
      <c r="F408"/>
      <c r="I408"/>
    </row>
    <row r="409" spans="2:9">
      <c r="B409"/>
      <c r="C409"/>
      <c r="D409"/>
      <c r="E409" s="676"/>
      <c r="F409"/>
      <c r="I409"/>
    </row>
    <row r="410" spans="2:9">
      <c r="B410"/>
      <c r="C410"/>
      <c r="D410"/>
      <c r="E410" s="676"/>
      <c r="F410"/>
      <c r="I410"/>
    </row>
    <row r="411" spans="2:9">
      <c r="B411"/>
      <c r="C411"/>
      <c r="D411"/>
      <c r="E411" s="676"/>
      <c r="F411"/>
      <c r="I411"/>
    </row>
    <row r="412" spans="2:9">
      <c r="B412"/>
      <c r="C412"/>
      <c r="D412"/>
      <c r="E412" s="676"/>
      <c r="F412"/>
      <c r="I412"/>
    </row>
    <row r="413" spans="2:9">
      <c r="B413"/>
      <c r="C413"/>
      <c r="D413"/>
      <c r="E413" s="676"/>
      <c r="F413"/>
      <c r="I413"/>
    </row>
    <row r="414" spans="2:9">
      <c r="B414"/>
      <c r="C414"/>
      <c r="D414"/>
      <c r="E414" s="676"/>
      <c r="F414"/>
      <c r="I414"/>
    </row>
    <row r="415" spans="2:9">
      <c r="B415"/>
      <c r="C415"/>
      <c r="D415"/>
      <c r="E415" s="676"/>
      <c r="F415"/>
      <c r="I415"/>
    </row>
    <row r="416" spans="2:9">
      <c r="B416"/>
      <c r="C416"/>
      <c r="D416"/>
      <c r="E416" s="676"/>
      <c r="F416"/>
      <c r="I416"/>
    </row>
    <row r="417" spans="2:9">
      <c r="B417"/>
      <c r="C417"/>
      <c r="D417"/>
      <c r="E417" s="676"/>
      <c r="F417"/>
      <c r="I417"/>
    </row>
    <row r="418" spans="2:9">
      <c r="B418"/>
      <c r="C418"/>
      <c r="D418"/>
      <c r="E418" s="676"/>
      <c r="F418"/>
      <c r="I418"/>
    </row>
    <row r="419" spans="2:9">
      <c r="B419"/>
      <c r="C419"/>
      <c r="D419"/>
      <c r="E419" s="676"/>
      <c r="F419"/>
      <c r="I419"/>
    </row>
    <row r="420" spans="2:9">
      <c r="B420"/>
      <c r="C420"/>
      <c r="D420"/>
      <c r="E420" s="676"/>
      <c r="F420"/>
      <c r="I420"/>
    </row>
    <row r="421" spans="2:9">
      <c r="B421"/>
      <c r="C421"/>
      <c r="D421"/>
      <c r="E421" s="676"/>
      <c r="F421"/>
      <c r="I421"/>
    </row>
    <row r="422" spans="2:9">
      <c r="B422"/>
      <c r="C422"/>
      <c r="D422"/>
      <c r="E422" s="676"/>
      <c r="F422"/>
      <c r="I422"/>
    </row>
    <row r="423" spans="2:9">
      <c r="B423"/>
      <c r="C423"/>
      <c r="D423"/>
      <c r="E423" s="676"/>
      <c r="F423"/>
      <c r="I423"/>
    </row>
    <row r="424" spans="2:9">
      <c r="B424"/>
      <c r="C424"/>
      <c r="D424"/>
      <c r="E424" s="676"/>
      <c r="F424"/>
      <c r="I424"/>
    </row>
    <row r="425" spans="2:9">
      <c r="B425"/>
      <c r="C425"/>
      <c r="D425"/>
      <c r="E425" s="676"/>
      <c r="F425"/>
      <c r="I425"/>
    </row>
    <row r="426" spans="2:9">
      <c r="B426"/>
      <c r="C426"/>
      <c r="D426"/>
      <c r="E426" s="676"/>
      <c r="F426"/>
      <c r="I426"/>
    </row>
    <row r="427" spans="2:9">
      <c r="B427"/>
      <c r="C427"/>
      <c r="D427"/>
      <c r="E427" s="676"/>
      <c r="F427"/>
      <c r="I427"/>
    </row>
    <row r="428" spans="2:9">
      <c r="B428"/>
      <c r="C428"/>
      <c r="D428"/>
      <c r="E428" s="676"/>
      <c r="F428"/>
      <c r="I428"/>
    </row>
    <row r="429" spans="2:9">
      <c r="B429"/>
      <c r="C429"/>
      <c r="D429"/>
      <c r="E429" s="676"/>
      <c r="F429"/>
      <c r="I429"/>
    </row>
    <row r="430" spans="2:9">
      <c r="B430"/>
      <c r="C430"/>
      <c r="D430"/>
      <c r="E430" s="676"/>
      <c r="F430"/>
      <c r="I430"/>
    </row>
    <row r="431" spans="2:9">
      <c r="B431"/>
      <c r="C431"/>
      <c r="D431"/>
      <c r="E431" s="676"/>
      <c r="F431"/>
      <c r="I431"/>
    </row>
    <row r="432" spans="2:9">
      <c r="B432"/>
      <c r="C432"/>
      <c r="D432"/>
      <c r="E432" s="676"/>
      <c r="F432"/>
      <c r="I432"/>
    </row>
    <row r="433" spans="2:9">
      <c r="B433"/>
      <c r="C433"/>
      <c r="D433"/>
      <c r="E433" s="676"/>
      <c r="F433"/>
      <c r="I433"/>
    </row>
    <row r="434" spans="2:9">
      <c r="B434"/>
      <c r="C434"/>
      <c r="D434"/>
      <c r="E434" s="676"/>
      <c r="F434"/>
      <c r="I434"/>
    </row>
    <row r="435" spans="2:9">
      <c r="B435"/>
      <c r="C435"/>
      <c r="D435"/>
      <c r="E435" s="676"/>
      <c r="F435"/>
      <c r="I435"/>
    </row>
    <row r="436" spans="2:9">
      <c r="B436"/>
      <c r="C436"/>
      <c r="D436"/>
      <c r="E436" s="676"/>
      <c r="F436"/>
      <c r="I436"/>
    </row>
    <row r="437" spans="2:9">
      <c r="B437"/>
      <c r="C437"/>
      <c r="D437"/>
      <c r="E437" s="676"/>
      <c r="F437"/>
      <c r="I437"/>
    </row>
    <row r="438" spans="2:9">
      <c r="B438"/>
      <c r="C438"/>
      <c r="D438"/>
      <c r="E438" s="676"/>
      <c r="F438"/>
      <c r="I438"/>
    </row>
    <row r="439" spans="2:9">
      <c r="B439"/>
      <c r="C439"/>
      <c r="D439"/>
      <c r="E439" s="676"/>
      <c r="F439"/>
      <c r="I439"/>
    </row>
    <row r="440" spans="2:9">
      <c r="B440"/>
      <c r="C440"/>
      <c r="D440"/>
      <c r="E440" s="676"/>
      <c r="F440"/>
      <c r="I440"/>
    </row>
    <row r="441" spans="2:9">
      <c r="B441"/>
      <c r="C441"/>
      <c r="D441"/>
      <c r="E441" s="676"/>
      <c r="F441"/>
      <c r="I441"/>
    </row>
    <row r="442" spans="2:9">
      <c r="B442"/>
      <c r="C442"/>
      <c r="D442"/>
      <c r="E442" s="676"/>
      <c r="F442"/>
      <c r="I442"/>
    </row>
    <row r="443" spans="2:9">
      <c r="B443"/>
      <c r="C443"/>
      <c r="D443"/>
      <c r="E443" s="676"/>
      <c r="F443"/>
      <c r="I443"/>
    </row>
    <row r="444" spans="2:9">
      <c r="B444"/>
      <c r="C444"/>
      <c r="D444"/>
      <c r="E444" s="676"/>
      <c r="F444"/>
      <c r="I444"/>
    </row>
    <row r="445" spans="2:9">
      <c r="B445"/>
      <c r="C445"/>
      <c r="D445"/>
      <c r="E445" s="676"/>
      <c r="F445"/>
      <c r="I445"/>
    </row>
    <row r="446" spans="2:9">
      <c r="B446"/>
      <c r="C446"/>
      <c r="D446"/>
      <c r="E446" s="676"/>
      <c r="F446"/>
      <c r="I446"/>
    </row>
  </sheetData>
  <pageMargins left="0.70866141732283472" right="0.70866141732283472" top="0.74803149606299213" bottom="0.74803149606299213" header="0.31496062992125984" footer="0.31496062992125984"/>
  <pageSetup paperSize="9" scale="21" orientation="landscape" horizontalDpi="300" verticalDpi="300" r:id="rId7"/>
  <ignoredErrors>
    <ignoredError sqref="AG216"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0FDC2-CF75-4A12-88E1-5B57E0D14382}">
  <dimension ref="A1:AS39"/>
  <sheetViews>
    <sheetView showGridLines="0" zoomScaleNormal="100" workbookViewId="0">
      <pane xSplit="2" ySplit="1" topLeftCell="C26" activePane="bottomRight" state="frozen"/>
      <selection activeCell="A95" sqref="A95"/>
      <selection pane="topRight" activeCell="A95" sqref="A95"/>
      <selection pane="bottomLeft" activeCell="A95" sqref="A95"/>
      <selection pane="bottomRight" activeCell="A95" sqref="A95"/>
    </sheetView>
  </sheetViews>
  <sheetFormatPr baseColWidth="10" defaultRowHeight="15"/>
  <cols>
    <col min="1" max="1" width="11.42578125" style="398"/>
    <col min="2" max="5" width="11.42578125" style="393"/>
    <col min="6" max="6" width="18.140625" style="393" customWidth="1"/>
    <col min="7" max="8" width="11.42578125" style="393" hidden="1" customWidth="1"/>
    <col min="9" max="10" width="11.42578125" style="393" customWidth="1"/>
    <col min="11" max="14" width="20.140625" style="393" customWidth="1"/>
    <col min="15" max="15" width="18.7109375" style="393" customWidth="1"/>
    <col min="16" max="16" width="20.42578125" style="393" customWidth="1"/>
    <col min="17" max="17" width="17.28515625" style="393" customWidth="1"/>
    <col min="18" max="20" width="0" style="393" hidden="1" customWidth="1"/>
    <col min="21" max="21" width="11.42578125" style="393"/>
    <col min="22" max="25" width="0" style="393" hidden="1" customWidth="1"/>
    <col min="26" max="26" width="13" style="393" bestFit="1" customWidth="1"/>
    <col min="27" max="31" width="11.42578125" style="393"/>
    <col min="32" max="32" width="16.85546875" style="393" hidden="1" customWidth="1"/>
    <col min="33" max="33" width="31" style="393" hidden="1" customWidth="1"/>
    <col min="34" max="34" width="16.85546875" style="393" hidden="1" customWidth="1"/>
    <col min="35" max="35" width="0" style="393" hidden="1" customWidth="1"/>
    <col min="36" max="36" width="22.85546875" style="462" customWidth="1"/>
    <col min="37" max="37" width="17.85546875" style="393" customWidth="1"/>
    <col min="38" max="38" width="11.42578125" style="393"/>
    <col min="39" max="39" width="29.42578125" style="393" customWidth="1"/>
    <col min="40" max="40" width="22.28515625" style="444" customWidth="1"/>
    <col min="41" max="41" width="22.28515625" style="393" customWidth="1"/>
    <col min="42" max="16384" width="11.42578125" style="393"/>
  </cols>
  <sheetData>
    <row r="1" spans="1:45" ht="75">
      <c r="A1" s="386" t="s">
        <v>154</v>
      </c>
      <c r="B1" s="386" t="s">
        <v>186</v>
      </c>
      <c r="C1" s="386" t="s">
        <v>151</v>
      </c>
      <c r="D1" s="386" t="s">
        <v>187</v>
      </c>
      <c r="E1" s="386" t="s">
        <v>188</v>
      </c>
      <c r="F1" s="386" t="s">
        <v>189</v>
      </c>
      <c r="G1" s="386" t="s">
        <v>190</v>
      </c>
      <c r="H1" s="386" t="s">
        <v>191</v>
      </c>
      <c r="I1" s="388" t="s">
        <v>192</v>
      </c>
      <c r="J1" s="389" t="s">
        <v>14</v>
      </c>
      <c r="K1" s="386" t="s">
        <v>193</v>
      </c>
      <c r="L1" s="388" t="s">
        <v>194</v>
      </c>
      <c r="M1" s="389" t="s">
        <v>47</v>
      </c>
      <c r="N1" s="389" t="s">
        <v>75</v>
      </c>
      <c r="O1" s="389" t="s">
        <v>76</v>
      </c>
      <c r="P1" s="389" t="s">
        <v>77</v>
      </c>
      <c r="Q1" s="389" t="s">
        <v>78</v>
      </c>
      <c r="R1" s="386" t="s">
        <v>195</v>
      </c>
      <c r="S1" s="389" t="s">
        <v>196</v>
      </c>
      <c r="T1" s="389" t="s">
        <v>197</v>
      </c>
      <c r="U1" s="388" t="s">
        <v>198</v>
      </c>
      <c r="V1" s="388" t="s">
        <v>199</v>
      </c>
      <c r="W1" s="388" t="s">
        <v>183</v>
      </c>
      <c r="X1" s="388" t="s">
        <v>200</v>
      </c>
      <c r="Y1" s="388" t="s">
        <v>201</v>
      </c>
      <c r="Z1" s="390" t="s">
        <v>202</v>
      </c>
      <c r="AA1" s="388" t="s">
        <v>203</v>
      </c>
      <c r="AB1" s="388" t="s">
        <v>204</v>
      </c>
      <c r="AC1" s="388" t="s">
        <v>205</v>
      </c>
      <c r="AD1" s="386" t="s">
        <v>206</v>
      </c>
      <c r="AE1" s="388" t="s">
        <v>207</v>
      </c>
      <c r="AF1" s="386" t="s">
        <v>208</v>
      </c>
      <c r="AG1" s="386" t="s">
        <v>152</v>
      </c>
      <c r="AH1" s="386" t="s">
        <v>153</v>
      </c>
      <c r="AI1" s="391" t="s">
        <v>209</v>
      </c>
      <c r="AJ1" s="386" t="s">
        <v>144</v>
      </c>
      <c r="AK1" s="392" t="s">
        <v>210</v>
      </c>
      <c r="AL1" s="388" t="s">
        <v>211</v>
      </c>
      <c r="AM1" s="388" t="s">
        <v>212</v>
      </c>
      <c r="AN1" s="388" t="s">
        <v>213</v>
      </c>
      <c r="AO1" s="388" t="s">
        <v>214</v>
      </c>
    </row>
    <row r="2" spans="1:45" s="395" customFormat="1">
      <c r="A2" s="425">
        <v>45778</v>
      </c>
      <c r="B2" s="426">
        <f>SUM('CONSOLIDADO VTAS'!B4:B117)</f>
        <v>114</v>
      </c>
      <c r="C2" s="427" t="s">
        <v>138</v>
      </c>
      <c r="D2" s="428"/>
      <c r="E2" s="428"/>
      <c r="F2" s="428"/>
      <c r="G2" s="427"/>
      <c r="H2" s="427"/>
      <c r="I2" s="429">
        <f>SUM('CONSOLIDADO VTAS'!I4:I117)</f>
        <v>3509346</v>
      </c>
      <c r="J2" s="430"/>
      <c r="K2" s="431">
        <f>SUM('CONSOLIDADO VTAS'!K4:K117)</f>
        <v>2010221056.8378005</v>
      </c>
      <c r="L2" s="431">
        <f>SUM('CONSOLIDADO VTAS'!L4:L117)</f>
        <v>328436576.07112396</v>
      </c>
      <c r="M2" s="431">
        <f>SUM('CONSOLIDADO VTAS'!M4:M117)</f>
        <v>2338657632.9089236</v>
      </c>
      <c r="N2" s="431">
        <f>SUM('CONSOLIDADO VTAS'!N4:N117)</f>
        <v>887254947.04642177</v>
      </c>
      <c r="O2" s="431">
        <f>SUM('CONSOLIDADO VTAS'!O4:O117)</f>
        <v>142656277.5</v>
      </c>
      <c r="P2" s="431">
        <f>SUM('CONSOLIDADO VTAS'!P4:P117)</f>
        <v>0</v>
      </c>
      <c r="Q2" s="431" t="e">
        <f ca="1">SUM('CONSOLIDADO VTAS'!Q4:Q117)</f>
        <v>#VALUE!</v>
      </c>
      <c r="R2" s="432"/>
      <c r="S2" s="433"/>
      <c r="T2" s="433"/>
      <c r="U2" s="427"/>
      <c r="V2" s="428"/>
      <c r="W2" s="428"/>
      <c r="X2" s="428"/>
      <c r="Y2" s="434"/>
      <c r="Z2" s="435">
        <f>SUM('CONSOLIDADO VTAS'!Z4:Z117)</f>
        <v>70186.919999999955</v>
      </c>
      <c r="AA2" s="436"/>
      <c r="AB2" s="436"/>
      <c r="AC2" s="437"/>
      <c r="AD2" s="436"/>
      <c r="AE2" s="437"/>
      <c r="AF2" s="428"/>
      <c r="AG2" s="428"/>
      <c r="AH2" s="428"/>
      <c r="AI2" s="428"/>
      <c r="AJ2" s="438"/>
      <c r="AK2" s="439"/>
      <c r="AL2" s="427"/>
      <c r="AM2" s="427"/>
      <c r="AN2" s="442">
        <f>SUBTOTAL(9,'CONSOLIDADO VTAS'!AN4:AN117)</f>
        <v>2396283349.4049592</v>
      </c>
      <c r="AO2" s="439">
        <f ca="1">SUBTOTAL(9,'CONSOLIDADO VTAS'!AO4:AO117)</f>
        <v>2237300900.8208728</v>
      </c>
    </row>
    <row r="3" spans="1:45" s="395" customFormat="1" ht="15.75" customHeight="1">
      <c r="A3" s="412"/>
      <c r="B3" s="413"/>
      <c r="C3" s="413" t="s">
        <v>215</v>
      </c>
      <c r="D3" s="413"/>
      <c r="E3" s="413"/>
      <c r="F3" s="413"/>
      <c r="G3" s="413"/>
      <c r="H3" s="414"/>
      <c r="I3" s="415">
        <f>AVERAGE('CONSOLIDADO VTAS'!I4:I117)</f>
        <v>30783.736842105263</v>
      </c>
      <c r="J3" s="416">
        <f>AVERAGE('CONSOLIDADO VTAS'!J4:J117)</f>
        <v>579.27325090813383</v>
      </c>
      <c r="K3" s="413"/>
      <c r="L3" s="413"/>
      <c r="M3" s="417"/>
      <c r="N3" s="417">
        <f>+N2/M2</f>
        <v>0.37938642003909551</v>
      </c>
      <c r="O3" s="417">
        <f>+O2/M2</f>
        <v>6.0999214033119482E-2</v>
      </c>
      <c r="P3" s="417">
        <f>+P2/M2</f>
        <v>0</v>
      </c>
      <c r="Q3" s="417" t="e">
        <f ca="1">+Q2/M2</f>
        <v>#VALUE!</v>
      </c>
      <c r="R3" s="418"/>
      <c r="S3" s="414"/>
      <c r="T3" s="419"/>
      <c r="U3" s="419">
        <f ca="1">AVERAGE('CONSOLIDADO VTAS'!U4:U117)</f>
        <v>-29.69894615009763</v>
      </c>
      <c r="V3" s="413"/>
      <c r="W3" s="413"/>
      <c r="X3" s="413"/>
      <c r="Y3" s="414"/>
      <c r="Z3" s="415"/>
      <c r="AA3" s="420">
        <f>AVERAGE('CONSOLIDADO VTAS'!AA4:AA117)</f>
        <v>33727.094629215957</v>
      </c>
      <c r="AB3" s="420">
        <f>AVERAGE('CONSOLIDADO VTAS'!AB4:AB117)</f>
        <v>-1683.1814143068516</v>
      </c>
      <c r="AC3" s="420">
        <f>AVERAGE('CONSOLIDADO VTAS'!AC4:AC117)</f>
        <v>32043.913214909109</v>
      </c>
      <c r="AD3" s="420">
        <f ca="1">AVERAGE('CONSOLIDADO VTAS'!AD4:AD117)</f>
        <v>63.001234493126496</v>
      </c>
      <c r="AE3" s="420">
        <f ca="1">AVERAGE('CONSOLIDADO VTAS'!AE4:AE117)</f>
        <v>32106.914449402222</v>
      </c>
      <c r="AF3" s="413"/>
      <c r="AG3" s="413"/>
      <c r="AH3" s="413"/>
      <c r="AI3" s="421"/>
      <c r="AJ3" s="461">
        <f>AVERAGE('CONSOLIDADO VTAS'!AJ4:AJ117)</f>
        <v>34174.431926924743</v>
      </c>
      <c r="AK3" s="422">
        <f ca="1">AVERAGE('CONSOLIDADO VTAS'!AK4:AK117)</f>
        <v>-2067.51747752251</v>
      </c>
      <c r="AL3" s="423">
        <f ca="1">+(AE3/AJ3)-1</f>
        <v>-6.0498956703757267E-2</v>
      </c>
      <c r="AM3" s="420">
        <f>SUM(AM2:AM2)</f>
        <v>0</v>
      </c>
      <c r="AN3" s="443" t="s">
        <v>10</v>
      </c>
      <c r="AO3" s="424">
        <f ca="1">+AO2/AN2-1</f>
        <v>-6.6345429735412798E-2</v>
      </c>
      <c r="AR3" s="397"/>
      <c r="AS3" s="396"/>
    </row>
    <row r="4" spans="1:45" s="395" customFormat="1">
      <c r="A4" s="425">
        <f>+A2+31</f>
        <v>45809</v>
      </c>
      <c r="B4" s="426">
        <f>SUM('CONSOLIDADO VTAS'!B118:B265)</f>
        <v>148</v>
      </c>
      <c r="C4" s="427" t="s">
        <v>138</v>
      </c>
      <c r="D4" s="428"/>
      <c r="E4" s="428"/>
      <c r="F4" s="428"/>
      <c r="G4" s="427"/>
      <c r="H4" s="427"/>
      <c r="I4" s="429">
        <f>SUM('CONSOLIDADO VTAS'!I118:I265)</f>
        <v>5211980</v>
      </c>
      <c r="J4" s="430"/>
      <c r="K4" s="431">
        <f>SUM('CONSOLIDADO VTAS'!K118:K265)</f>
        <v>2511092419.2827101</v>
      </c>
      <c r="L4" s="431">
        <f>SUM('CONSOLIDADO VTAS'!L118:L265)</f>
        <v>511121761.72496879</v>
      </c>
      <c r="M4" s="431">
        <f>SUM('CONSOLIDADO VTAS'!M118:M265)</f>
        <v>3022214181.0076809</v>
      </c>
      <c r="N4" s="431">
        <f>SUM('CONSOLIDADO VTAS'!N118:N265)</f>
        <v>151772743.21143001</v>
      </c>
      <c r="O4" s="431">
        <f>SUM('CONSOLIDADO VTAS'!O118:O265)</f>
        <v>0</v>
      </c>
      <c r="P4" s="431">
        <f>SUM('CONSOLIDADO VTAS'!P118:P265)</f>
        <v>0</v>
      </c>
      <c r="Q4" s="431" t="e">
        <f ca="1">SUM('CONSOLIDADO VTAS'!Q118:Q265)</f>
        <v>#N/A</v>
      </c>
      <c r="R4" s="432"/>
      <c r="S4" s="433"/>
      <c r="T4" s="433"/>
      <c r="U4" s="427"/>
      <c r="V4" s="428"/>
      <c r="W4" s="428"/>
      <c r="X4" s="428"/>
      <c r="Y4" s="434"/>
      <c r="Z4" s="435">
        <f>SUM('CONSOLIDADO VTAS'!Z118:Z265)</f>
        <v>104239.59999999998</v>
      </c>
      <c r="AA4" s="436"/>
      <c r="AB4" s="436"/>
      <c r="AC4" s="437"/>
      <c r="AD4" s="436"/>
      <c r="AE4" s="437"/>
      <c r="AF4" s="428"/>
      <c r="AG4" s="428"/>
      <c r="AH4" s="428"/>
      <c r="AI4" s="428"/>
      <c r="AJ4" s="438"/>
      <c r="AK4" s="439"/>
      <c r="AL4" s="427"/>
      <c r="AM4" s="427"/>
      <c r="AN4" s="442">
        <f>SUBTOTAL(9,'CONSOLIDADO VTAS'!AN118:AN265)</f>
        <v>3524627646.8181825</v>
      </c>
      <c r="AO4" s="439">
        <f>SUBTOTAL(9,'CONSOLIDADO VTAS'!AO118:AO265)</f>
        <v>3038332789.8811245</v>
      </c>
    </row>
    <row r="5" spans="1:45" s="395" customFormat="1" ht="15.75" customHeight="1">
      <c r="A5" s="412"/>
      <c r="B5" s="413"/>
      <c r="C5" s="413" t="s">
        <v>215</v>
      </c>
      <c r="D5" s="413"/>
      <c r="E5" s="413"/>
      <c r="F5" s="413"/>
      <c r="G5" s="413"/>
      <c r="H5" s="414"/>
      <c r="I5" s="415">
        <f>AVERAGE('CONSOLIDADO VTAS'!I118:I265)</f>
        <v>35216.08108108108</v>
      </c>
      <c r="J5" s="416">
        <f>AVERAGE('CONSOLIDADO VTAS'!J118:J265)</f>
        <v>483.75910558297863</v>
      </c>
      <c r="K5" s="413"/>
      <c r="L5" s="413"/>
      <c r="M5" s="417"/>
      <c r="N5" s="417">
        <f>+N4/M4</f>
        <v>5.0219056003775756E-2</v>
      </c>
      <c r="O5" s="417">
        <f>+O4/M4</f>
        <v>0</v>
      </c>
      <c r="P5" s="417">
        <f>+P4/M4</f>
        <v>0</v>
      </c>
      <c r="Q5" s="417" t="e">
        <f ca="1">+Q4/M4</f>
        <v>#N/A</v>
      </c>
      <c r="R5" s="418"/>
      <c r="S5" s="414"/>
      <c r="T5" s="419"/>
      <c r="U5" s="419">
        <f>AVERAGE('CONSOLIDADO VTAS'!U118:U265)</f>
        <v>-100.27891156462584</v>
      </c>
      <c r="V5" s="413"/>
      <c r="W5" s="413"/>
      <c r="X5" s="413"/>
      <c r="Y5" s="414"/>
      <c r="Z5" s="415"/>
      <c r="AA5" s="420">
        <f>AVERAGE('CONSOLIDADO VTAS'!AA118:AA265)</f>
        <v>29071.912205320921</v>
      </c>
      <c r="AB5" s="420">
        <f>AVERAGE('CONSOLIDADO VTAS'!AB118:AB265)</f>
        <v>-90.770047933581054</v>
      </c>
      <c r="AC5" s="420">
        <f>AVERAGE('CONSOLIDADO VTAS'!AC118:AC265)</f>
        <v>28981.142157387367</v>
      </c>
      <c r="AD5" s="420">
        <f>AVERAGE('CONSOLIDADO VTAS'!AD118:AD265)</f>
        <v>223.32968959522083</v>
      </c>
      <c r="AE5" s="420">
        <f>AVERAGE('CONSOLIDADO VTAS'!AE118:AE265)</f>
        <v>29204.471846982593</v>
      </c>
      <c r="AF5" s="413"/>
      <c r="AG5" s="413"/>
      <c r="AH5" s="413"/>
      <c r="AI5" s="421"/>
      <c r="AJ5" s="461">
        <f>AVERAGE('CONSOLIDADO VTAS'!AJ118:AJ265)</f>
        <v>33811.815222247045</v>
      </c>
      <c r="AK5" s="422">
        <f>AVERAGE('CONSOLIDADO VTAS'!AK118:AK265)</f>
        <v>-4607.3433752644532</v>
      </c>
      <c r="AL5" s="423">
        <f>+(AE5/AJ5)-1</f>
        <v>-0.13626430125032074</v>
      </c>
      <c r="AM5" s="420">
        <f>SUM(AM4:AM4)</f>
        <v>0</v>
      </c>
      <c r="AN5" s="443" t="s">
        <v>10</v>
      </c>
      <c r="AO5" s="424">
        <f>+AO4/AN4-1</f>
        <v>-0.1379705619049022</v>
      </c>
      <c r="AR5" s="397"/>
      <c r="AS5" s="396"/>
    </row>
    <row r="6" spans="1:45">
      <c r="B6" s="314"/>
      <c r="C6" s="387" t="s">
        <v>395</v>
      </c>
      <c r="D6" s="308"/>
      <c r="E6" s="308"/>
      <c r="F6" s="308"/>
      <c r="G6" s="308"/>
      <c r="H6" s="308"/>
      <c r="I6" s="309">
        <f>+I4+ACUMULADOS!I2</f>
        <v>8721326</v>
      </c>
      <c r="J6" s="399"/>
      <c r="K6" s="400"/>
      <c r="L6" s="401"/>
      <c r="M6" s="310">
        <f>+M4+ACUMULADOS!M2</f>
        <v>5360871813.916605</v>
      </c>
      <c r="N6" s="311">
        <f>+N4+ACUMULADOS!N2</f>
        <v>1039027690.2578518</v>
      </c>
      <c r="O6" s="310">
        <f>+O4+ACUMULADOS!O2</f>
        <v>142656277.5</v>
      </c>
      <c r="P6" s="312">
        <f>+P4+ACUMULADOS!P2</f>
        <v>0</v>
      </c>
      <c r="Q6" s="312">
        <f ca="1">+Q4+ACUMULADOS!Q2</f>
        <v>2083847309.9317503</v>
      </c>
      <c r="R6" s="402"/>
      <c r="S6" s="314"/>
      <c r="T6" s="314"/>
      <c r="U6" s="314"/>
      <c r="V6" s="314"/>
      <c r="W6" s="314"/>
      <c r="X6" s="314"/>
      <c r="Y6" s="314"/>
      <c r="Z6" s="309">
        <f>+Z4+ACUMULADOS!Z2</f>
        <v>174426.51999999993</v>
      </c>
      <c r="AA6" s="314"/>
      <c r="AB6" s="314"/>
      <c r="AC6" s="314"/>
      <c r="AD6" s="314"/>
      <c r="AE6" s="403"/>
      <c r="AF6" s="404"/>
      <c r="AG6" s="314"/>
      <c r="AH6" s="314"/>
      <c r="AI6" s="405"/>
      <c r="AJ6" s="408"/>
      <c r="AK6" s="394"/>
      <c r="AL6" s="314"/>
      <c r="AM6" s="314"/>
      <c r="AN6" s="406"/>
      <c r="AO6" s="407"/>
    </row>
    <row r="7" spans="1:45" s="395" customFormat="1">
      <c r="A7" s="425">
        <f>+A4+31</f>
        <v>45840</v>
      </c>
      <c r="B7" s="426">
        <f>SUM('CONSOLIDADO VTAS'!B266:B362)</f>
        <v>96</v>
      </c>
      <c r="C7" s="427" t="s">
        <v>138</v>
      </c>
      <c r="D7" s="428"/>
      <c r="E7" s="428"/>
      <c r="F7" s="428"/>
      <c r="G7" s="427"/>
      <c r="H7" s="427"/>
      <c r="I7" s="429">
        <f>SUM('CONSOLIDADO VTAS'!I266:I362)</f>
        <v>3514200</v>
      </c>
      <c r="J7" s="430"/>
      <c r="K7" s="431">
        <f>SUM('CONSOLIDADO VTAS'!K266:K362)</f>
        <v>1661752395.4019232</v>
      </c>
      <c r="L7" s="431">
        <f>SUM('CONSOLIDADO VTAS'!L266:L362)</f>
        <v>348968003.03440428</v>
      </c>
      <c r="M7" s="431">
        <f>SUM('CONSOLIDADO VTAS'!M266:M362)</f>
        <v>2010720398.4363291</v>
      </c>
      <c r="N7" s="431">
        <f>SUM('CONSOLIDADO VTAS'!N266:N362)</f>
        <v>0</v>
      </c>
      <c r="O7" s="431">
        <f>SUM('CONSOLIDADO VTAS'!O266:O362)</f>
        <v>0</v>
      </c>
      <c r="P7" s="431">
        <f>SUM('CONSOLIDADO VTAS'!P266:P362)</f>
        <v>0</v>
      </c>
      <c r="Q7" s="431">
        <f>SUM('CONSOLIDADO VTAS'!Q266:Q362)</f>
        <v>2010720398.4363291</v>
      </c>
      <c r="R7" s="432"/>
      <c r="S7" s="433"/>
      <c r="T7" s="433"/>
      <c r="U7" s="427"/>
      <c r="V7" s="428"/>
      <c r="W7" s="428"/>
      <c r="X7" s="428"/>
      <c r="Y7" s="434"/>
      <c r="Z7" s="435">
        <f>SUM('CONSOLIDADO VTAS'!Z266:Z362)</f>
        <v>70284</v>
      </c>
      <c r="AA7" s="436"/>
      <c r="AB7" s="436"/>
      <c r="AC7" s="437"/>
      <c r="AD7" s="436"/>
      <c r="AE7" s="437"/>
      <c r="AF7" s="428"/>
      <c r="AG7" s="428"/>
      <c r="AH7" s="428"/>
      <c r="AI7" s="428"/>
      <c r="AJ7" s="438"/>
      <c r="AK7" s="439"/>
      <c r="AL7" s="427"/>
      <c r="AM7" s="427"/>
      <c r="AN7" s="442" t="e">
        <f>SUBTOTAL(9,'CONSOLIDADO VTAS'!AN266:AN362)</f>
        <v>#VALUE!</v>
      </c>
      <c r="AO7" s="439" t="e">
        <f>SUM('CONSOLIDADO VTAS'!AO266:AO362)</f>
        <v>#VALUE!</v>
      </c>
    </row>
    <row r="8" spans="1:45" s="395" customFormat="1" ht="15.75" customHeight="1">
      <c r="A8" s="412"/>
      <c r="B8" s="413"/>
      <c r="C8" s="413" t="s">
        <v>215</v>
      </c>
      <c r="D8" s="413"/>
      <c r="E8" s="413"/>
      <c r="F8" s="413"/>
      <c r="G8" s="413"/>
      <c r="H8" s="414"/>
      <c r="I8" s="415">
        <f>AVERAGE('CONSOLIDADO VTAS'!I266:I362)</f>
        <v>36606.25</v>
      </c>
      <c r="J8" s="416">
        <f>AVERAGE('CONSOLIDADO VTAS'!J266:J362)</f>
        <v>472.89725981189628</v>
      </c>
      <c r="K8" s="413"/>
      <c r="L8" s="413"/>
      <c r="M8" s="417"/>
      <c r="N8" s="417">
        <f>+N7/M7</f>
        <v>0</v>
      </c>
      <c r="O8" s="417">
        <f>+O7/M7</f>
        <v>0</v>
      </c>
      <c r="P8" s="417">
        <f>+P7/M7</f>
        <v>0</v>
      </c>
      <c r="Q8" s="417">
        <f>+Q7/M7</f>
        <v>1</v>
      </c>
      <c r="R8" s="418"/>
      <c r="S8" s="414"/>
      <c r="T8" s="419"/>
      <c r="U8" s="419">
        <f>AVERAGE('CONSOLIDADO VTAS'!U266:U362)</f>
        <v>-135.34375</v>
      </c>
      <c r="V8" s="413"/>
      <c r="W8" s="413"/>
      <c r="X8" s="413"/>
      <c r="Y8" s="414"/>
      <c r="Z8" s="415"/>
      <c r="AA8" s="420">
        <f>AVERAGE('CONSOLIDADO VTAS'!AA266:AA362)</f>
        <v>28610.28421861977</v>
      </c>
      <c r="AB8" s="420">
        <f>AVERAGE('CONSOLIDADO VTAS'!AB266:AB362)</f>
        <v>-0.22105005115978885</v>
      </c>
      <c r="AC8" s="420" t="e">
        <f>AVERAGE('CONSOLIDADO VTAS'!AC266:AC362)</f>
        <v>#VALUE!</v>
      </c>
      <c r="AD8" s="420" t="e">
        <f>AVERAGE('CONSOLIDADO VTAS'!AD266:AD362)</f>
        <v>#VALUE!</v>
      </c>
      <c r="AE8" s="420" t="e">
        <f>AVERAGE('CONSOLIDADO VTAS'!AE266:AE362)</f>
        <v>#VALUE!</v>
      </c>
      <c r="AF8" s="413"/>
      <c r="AG8" s="413"/>
      <c r="AH8" s="413"/>
      <c r="AI8" s="421"/>
      <c r="AJ8" s="461">
        <f>AVERAGE('CONSOLIDADO VTAS'!AJ266:AJ362)</f>
        <v>33759.479166666664</v>
      </c>
      <c r="AK8" s="422" t="e">
        <f>AVERAGE('CONSOLIDADO VTAS'!AK266:AK362)</f>
        <v>#VALUE!</v>
      </c>
      <c r="AL8" s="423" t="e">
        <f>+(AE8/AJ8)-1</f>
        <v>#VALUE!</v>
      </c>
      <c r="AM8" s="420">
        <f>SUM(AM7:AM7)</f>
        <v>0</v>
      </c>
      <c r="AN8" s="443" t="s">
        <v>10</v>
      </c>
      <c r="AO8" s="424" t="e">
        <f>+AO7/AN7-1</f>
        <v>#VALUE!</v>
      </c>
      <c r="AR8" s="397"/>
      <c r="AS8" s="396"/>
    </row>
    <row r="9" spans="1:45">
      <c r="B9" s="314"/>
      <c r="C9" s="387" t="s">
        <v>396</v>
      </c>
      <c r="D9" s="308"/>
      <c r="E9" s="308"/>
      <c r="F9" s="308"/>
      <c r="G9" s="308"/>
      <c r="H9" s="308"/>
      <c r="I9" s="309">
        <f>+I7+ACUMULADOS!I6</f>
        <v>12235526</v>
      </c>
      <c r="J9" s="399"/>
      <c r="K9" s="400"/>
      <c r="L9" s="401"/>
      <c r="M9" s="310">
        <f>+M7+ACUMULADOS!M6</f>
        <v>7371592212.3529339</v>
      </c>
      <c r="N9" s="311">
        <f>+N7+ACUMULADOS!N6</f>
        <v>1039027690.2578518</v>
      </c>
      <c r="O9" s="310">
        <f>+O7+ACUMULADOS!O6</f>
        <v>142656277.5</v>
      </c>
      <c r="P9" s="312">
        <f>+P7+ACUMULADOS!P6</f>
        <v>0</v>
      </c>
      <c r="Q9" s="312">
        <f ca="1">+Q7+ACUMULADOS!Q6</f>
        <v>3326933256.8999987</v>
      </c>
      <c r="R9" s="402"/>
      <c r="S9" s="314"/>
      <c r="T9" s="314"/>
      <c r="U9" s="314"/>
      <c r="V9" s="314"/>
      <c r="W9" s="314"/>
      <c r="X9" s="314"/>
      <c r="Y9" s="314"/>
      <c r="Z9" s="309">
        <f>+Z7+ACUMULADOS!Z6</f>
        <v>244710.51999999993</v>
      </c>
      <c r="AA9" s="314"/>
      <c r="AB9" s="314"/>
      <c r="AC9" s="314"/>
      <c r="AD9" s="314"/>
      <c r="AE9" s="403"/>
      <c r="AF9" s="404"/>
      <c r="AG9" s="314"/>
      <c r="AH9" s="314"/>
      <c r="AI9" s="405"/>
      <c r="AJ9" s="408"/>
      <c r="AK9" s="394"/>
      <c r="AL9" s="314"/>
      <c r="AM9" s="314"/>
      <c r="AN9" s="406"/>
      <c r="AO9" s="407"/>
    </row>
    <row r="10" spans="1:45" s="395" customFormat="1">
      <c r="A10" s="425">
        <f>+A7+31</f>
        <v>45871</v>
      </c>
      <c r="B10" s="426">
        <f>SUM('CONSOLIDADO VTAS'!B363:B457)</f>
        <v>0</v>
      </c>
      <c r="C10" s="427" t="s">
        <v>138</v>
      </c>
      <c r="D10" s="428"/>
      <c r="E10" s="428"/>
      <c r="F10" s="428"/>
      <c r="G10" s="427"/>
      <c r="H10" s="427"/>
      <c r="I10" s="429">
        <f>SUM('CONSOLIDADO VTAS'!I363:I457)</f>
        <v>0</v>
      </c>
      <c r="J10" s="430"/>
      <c r="K10" s="431">
        <f>SUM('CONSOLIDADO VTAS'!K363:K457)</f>
        <v>0</v>
      </c>
      <c r="L10" s="431">
        <f>SUM('CONSOLIDADO VTAS'!L363:L457)</f>
        <v>0</v>
      </c>
      <c r="M10" s="431">
        <f>SUM('CONSOLIDADO VTAS'!M363:M457)</f>
        <v>0</v>
      </c>
      <c r="N10" s="431">
        <f>SUM('CONSOLIDADO VTAS'!N363:N457)</f>
        <v>0</v>
      </c>
      <c r="O10" s="431">
        <f>SUM('CONSOLIDADO VTAS'!O363:O457)</f>
        <v>0</v>
      </c>
      <c r="P10" s="431">
        <f>SUM('CONSOLIDADO VTAS'!P363:P457)</f>
        <v>0</v>
      </c>
      <c r="Q10" s="431">
        <f>SUM('CONSOLIDADO VTAS'!Q363:Q457)</f>
        <v>0</v>
      </c>
      <c r="R10" s="432"/>
      <c r="S10" s="433"/>
      <c r="T10" s="433"/>
      <c r="U10" s="427"/>
      <c r="V10" s="428"/>
      <c r="W10" s="428"/>
      <c r="X10" s="428"/>
      <c r="Y10" s="434"/>
      <c r="Z10" s="435">
        <f>SUM('CONSOLIDADO VTAS'!Z363:Z457)</f>
        <v>0</v>
      </c>
      <c r="AA10" s="436"/>
      <c r="AB10" s="436"/>
      <c r="AC10" s="437"/>
      <c r="AD10" s="436"/>
      <c r="AE10" s="437"/>
      <c r="AF10" s="428"/>
      <c r="AG10" s="428"/>
      <c r="AH10" s="428"/>
      <c r="AI10" s="428"/>
      <c r="AJ10" s="438"/>
      <c r="AK10" s="439"/>
      <c r="AL10" s="427"/>
      <c r="AM10" s="427"/>
      <c r="AN10" s="442" t="e">
        <f>SUBTOTAL(9,'CONSOLIDADO VTAS'!AN363:AN457)</f>
        <v>#VALUE!</v>
      </c>
      <c r="AO10" s="439" t="e">
        <f>SUM('CONSOLIDADO VTAS'!AO363:AO457)</f>
        <v>#VALUE!</v>
      </c>
    </row>
    <row r="11" spans="1:45" s="395" customFormat="1" ht="15.75" customHeight="1">
      <c r="A11" s="412"/>
      <c r="B11" s="413"/>
      <c r="C11" s="413" t="s">
        <v>215</v>
      </c>
      <c r="D11" s="413"/>
      <c r="E11" s="413"/>
      <c r="F11" s="413"/>
      <c r="G11" s="413"/>
      <c r="H11" s="414"/>
      <c r="I11" s="415" t="e">
        <f>AVERAGE('CONSOLIDADO VTAS'!I363:I457)</f>
        <v>#DIV/0!</v>
      </c>
      <c r="J11" s="416" t="e">
        <f>AVERAGE('CONSOLIDADO VTAS'!J363:J457)</f>
        <v>#DIV/0!</v>
      </c>
      <c r="K11" s="413"/>
      <c r="L11" s="413"/>
      <c r="M11" s="417"/>
      <c r="N11" s="417" t="e">
        <f>+N10/M10</f>
        <v>#DIV/0!</v>
      </c>
      <c r="O11" s="417" t="e">
        <f>+O10/M10</f>
        <v>#DIV/0!</v>
      </c>
      <c r="P11" s="417" t="e">
        <f>+P10/M10</f>
        <v>#DIV/0!</v>
      </c>
      <c r="Q11" s="417" t="e">
        <f>+Q10/M10</f>
        <v>#DIV/0!</v>
      </c>
      <c r="R11" s="418"/>
      <c r="S11" s="414"/>
      <c r="T11" s="419"/>
      <c r="U11" s="419" t="e">
        <f>AVERAGE('CONSOLIDADO VTAS'!U363:U457)</f>
        <v>#DIV/0!</v>
      </c>
      <c r="V11" s="413"/>
      <c r="W11" s="413"/>
      <c r="X11" s="413"/>
      <c r="Y11" s="414"/>
      <c r="Z11" s="415"/>
      <c r="AA11" s="420" t="e">
        <f>AVERAGE('CONSOLIDADO VTAS'!AA363:AA457)</f>
        <v>#DIV/0!</v>
      </c>
      <c r="AB11" s="420">
        <f>AVERAGE('CONSOLIDADO VTAS'!AB363:AB457)</f>
        <v>0</v>
      </c>
      <c r="AC11" s="420" t="e">
        <f>AVERAGE('CONSOLIDADO VTAS'!AC363:AC457)</f>
        <v>#VALUE!</v>
      </c>
      <c r="AD11" s="420" t="e">
        <f>AVERAGE('CONSOLIDADO VTAS'!AD363:AD457)</f>
        <v>#VALUE!</v>
      </c>
      <c r="AE11" s="420" t="e">
        <f>AVERAGE('CONSOLIDADO VTAS'!AE363:AE457)</f>
        <v>#VALUE!</v>
      </c>
      <c r="AF11" s="413"/>
      <c r="AG11" s="413"/>
      <c r="AH11" s="413"/>
      <c r="AI11" s="421"/>
      <c r="AJ11" s="461" t="e">
        <f>AVERAGE('CONSOLIDADO VTAS'!AJ363:AJ457)</f>
        <v>#DIV/0!</v>
      </c>
      <c r="AK11" s="422" t="e">
        <f>AVERAGE('CONSOLIDADO VTAS'!AK363:AK457)</f>
        <v>#VALUE!</v>
      </c>
      <c r="AL11" s="423" t="e">
        <f>AVERAGE('CONSOLIDADO VTAS'!AL363:AL457)</f>
        <v>#DIV/0!</v>
      </c>
      <c r="AM11" s="420">
        <f>SUM(AM10:AM10)</f>
        <v>0</v>
      </c>
      <c r="AN11" s="443" t="s">
        <v>10</v>
      </c>
      <c r="AO11" s="424" t="e">
        <f>+AO10/AN10-1</f>
        <v>#VALUE!</v>
      </c>
      <c r="AR11" s="397"/>
      <c r="AS11" s="396"/>
    </row>
    <row r="12" spans="1:45">
      <c r="B12" s="314"/>
      <c r="C12" s="387" t="s">
        <v>397</v>
      </c>
      <c r="D12" s="308"/>
      <c r="E12" s="308"/>
      <c r="F12" s="308"/>
      <c r="G12" s="308"/>
      <c r="H12" s="308"/>
      <c r="I12" s="309">
        <f>+ACUMULADOS!I9+I10</f>
        <v>12235526</v>
      </c>
      <c r="J12" s="399"/>
      <c r="K12" s="400"/>
      <c r="L12" s="401"/>
      <c r="M12" s="310">
        <f>+ACUMULADOS!M9+M10</f>
        <v>7371592212.3529339</v>
      </c>
      <c r="N12" s="311">
        <f>+ACUMULADOS!N9+N10</f>
        <v>1039027690.2578518</v>
      </c>
      <c r="O12" s="310">
        <f>+ACUMULADOS!O9+O10</f>
        <v>142656277.5</v>
      </c>
      <c r="P12" s="312">
        <f>+ACUMULADOS!P9+P10</f>
        <v>0</v>
      </c>
      <c r="Q12" s="312">
        <f ca="1">+ACUMULADOS!Q9+Q10</f>
        <v>3326933256.8999987</v>
      </c>
      <c r="R12" s="402"/>
      <c r="S12" s="314"/>
      <c r="T12" s="314"/>
      <c r="U12" s="314"/>
      <c r="V12" s="314"/>
      <c r="W12" s="314"/>
      <c r="X12" s="314"/>
      <c r="Y12" s="314"/>
      <c r="Z12" s="309">
        <f>+ACUMULADOS!Z9+Z10</f>
        <v>244710.51999999993</v>
      </c>
      <c r="AA12" s="314"/>
      <c r="AB12" s="314"/>
      <c r="AC12" s="314"/>
      <c r="AD12" s="314"/>
      <c r="AE12" s="403"/>
      <c r="AF12" s="404"/>
      <c r="AG12" s="314"/>
      <c r="AH12" s="314"/>
      <c r="AI12" s="405"/>
      <c r="AJ12" s="408"/>
      <c r="AK12" s="394"/>
      <c r="AL12" s="314"/>
      <c r="AM12" s="314"/>
      <c r="AN12" s="406"/>
      <c r="AO12" s="407"/>
    </row>
    <row r="13" spans="1:45">
      <c r="A13" s="425">
        <f>+A10+31</f>
        <v>45902</v>
      </c>
      <c r="B13" s="426">
        <f>SUM('CONSOLIDADO VTAS'!B458:B596)</f>
        <v>0</v>
      </c>
      <c r="C13" s="427" t="s">
        <v>138</v>
      </c>
      <c r="D13" s="428"/>
      <c r="E13" s="428"/>
      <c r="F13" s="428"/>
      <c r="G13" s="427"/>
      <c r="H13" s="427"/>
      <c r="I13" s="429">
        <f>SUM('CONSOLIDADO VTAS'!I458:I596)</f>
        <v>0</v>
      </c>
      <c r="J13" s="430"/>
      <c r="K13" s="431">
        <f>SUM('CONSOLIDADO VTAS'!K458:K596)</f>
        <v>0</v>
      </c>
      <c r="L13" s="431">
        <f>SUM('CONSOLIDADO VTAS'!L458:L596)</f>
        <v>0</v>
      </c>
      <c r="M13" s="431">
        <f>SUM('CONSOLIDADO VTAS'!M458:M596)</f>
        <v>0</v>
      </c>
      <c r="N13" s="431">
        <f>SUM('CONSOLIDADO VTAS'!N458:N596)</f>
        <v>0</v>
      </c>
      <c r="O13" s="431">
        <f>SUM('CONSOLIDADO VTAS'!O458:O596)</f>
        <v>0</v>
      </c>
      <c r="P13" s="431">
        <f>SUM('CONSOLIDADO VTAS'!P458:P596)</f>
        <v>0</v>
      </c>
      <c r="Q13" s="431">
        <f>SUM('CONSOLIDADO VTAS'!Q458:Q596)</f>
        <v>0</v>
      </c>
      <c r="R13" s="432"/>
      <c r="S13" s="433"/>
      <c r="T13" s="433"/>
      <c r="U13" s="427"/>
      <c r="V13" s="428"/>
      <c r="W13" s="428"/>
      <c r="X13" s="428"/>
      <c r="Y13" s="434"/>
      <c r="Z13" s="435">
        <f>SUM('CONSOLIDADO VTAS'!Z458:Z596)</f>
        <v>0</v>
      </c>
      <c r="AA13" s="436"/>
      <c r="AB13" s="436"/>
      <c r="AC13" s="437"/>
      <c r="AD13" s="436"/>
      <c r="AE13" s="437"/>
      <c r="AF13" s="428"/>
      <c r="AG13" s="428"/>
      <c r="AH13" s="428"/>
      <c r="AI13" s="428"/>
      <c r="AJ13" s="438"/>
      <c r="AK13" s="439"/>
      <c r="AL13" s="427"/>
      <c r="AM13" s="427"/>
      <c r="AN13" s="442" t="e">
        <f>SUBTOTAL(9,'CONSOLIDADO VTAS'!AN458:AN596)</f>
        <v>#VALUE!</v>
      </c>
      <c r="AO13" s="439" t="e">
        <f>SUM('CONSOLIDADO VTAS'!AO458:AO596)</f>
        <v>#VALUE!</v>
      </c>
    </row>
    <row r="14" spans="1:45" s="395" customFormat="1" ht="15.75" customHeight="1">
      <c r="A14" s="412"/>
      <c r="B14" s="413"/>
      <c r="C14" s="413" t="s">
        <v>215</v>
      </c>
      <c r="D14" s="413"/>
      <c r="E14" s="413"/>
      <c r="F14" s="413"/>
      <c r="G14" s="413"/>
      <c r="H14" s="414"/>
      <c r="I14" s="415" t="e">
        <f>AVERAGE('CONSOLIDADO VTAS'!I458:I596)</f>
        <v>#DIV/0!</v>
      </c>
      <c r="J14" s="416" t="e">
        <f>AVERAGE('CONSOLIDADO VTAS'!J458:J596)</f>
        <v>#DIV/0!</v>
      </c>
      <c r="K14" s="413"/>
      <c r="L14" s="413"/>
      <c r="M14" s="417"/>
      <c r="N14" s="417" t="e">
        <f>+N13/M13</f>
        <v>#DIV/0!</v>
      </c>
      <c r="O14" s="417" t="e">
        <f>+O13/M13</f>
        <v>#DIV/0!</v>
      </c>
      <c r="P14" s="417" t="e">
        <f>+P13/M13</f>
        <v>#DIV/0!</v>
      </c>
      <c r="Q14" s="417" t="e">
        <f>+Q13/M13</f>
        <v>#DIV/0!</v>
      </c>
      <c r="R14" s="418"/>
      <c r="S14" s="414"/>
      <c r="T14" s="419"/>
      <c r="U14" s="419" t="e">
        <f>AVERAGE('CONSOLIDADO VTAS'!U458:U596)</f>
        <v>#DIV/0!</v>
      </c>
      <c r="V14" s="413"/>
      <c r="W14" s="413"/>
      <c r="X14" s="413"/>
      <c r="Y14" s="414"/>
      <c r="Z14" s="415"/>
      <c r="AA14" s="420" t="e">
        <f>AVERAGE('CONSOLIDADO VTAS'!AA458:AA596)</f>
        <v>#DIV/0!</v>
      </c>
      <c r="AB14" s="420">
        <f>AVERAGE('CONSOLIDADO VTAS'!AB458:AB596)</f>
        <v>0</v>
      </c>
      <c r="AC14" s="420" t="e">
        <f>AVERAGE('CONSOLIDADO VTAS'!AC458:AC596)</f>
        <v>#VALUE!</v>
      </c>
      <c r="AD14" s="420" t="e">
        <f>AVERAGE('CONSOLIDADO VTAS'!AD458:AD596)</f>
        <v>#VALUE!</v>
      </c>
      <c r="AE14" s="420" t="e">
        <f>AVERAGE('CONSOLIDADO VTAS'!AE458:AE596)</f>
        <v>#VALUE!</v>
      </c>
      <c r="AF14" s="413"/>
      <c r="AG14" s="413"/>
      <c r="AH14" s="413"/>
      <c r="AI14" s="421"/>
      <c r="AJ14" s="461" t="e">
        <f>AVERAGE('CONSOLIDADO VTAS'!AJ458:AJ596)</f>
        <v>#DIV/0!</v>
      </c>
      <c r="AK14" s="422" t="e">
        <f>AVERAGE('CONSOLIDADO VTAS'!AK458:AK596)</f>
        <v>#VALUE!</v>
      </c>
      <c r="AL14" s="423" t="e">
        <f>AVERAGE('CONSOLIDADO VTAS'!AL458:AL596)</f>
        <v>#DIV/0!</v>
      </c>
      <c r="AM14" s="420">
        <f>SUM(AM13:AM13)</f>
        <v>0</v>
      </c>
      <c r="AN14" s="443" t="s">
        <v>10</v>
      </c>
      <c r="AO14" s="424" t="e">
        <f>+AO13/AN13-1</f>
        <v>#VALUE!</v>
      </c>
      <c r="AR14" s="397"/>
      <c r="AS14" s="396"/>
    </row>
    <row r="15" spans="1:45">
      <c r="B15" s="314"/>
      <c r="C15" s="387" t="s">
        <v>398</v>
      </c>
      <c r="D15" s="308"/>
      <c r="E15" s="308"/>
      <c r="F15" s="308"/>
      <c r="G15" s="308"/>
      <c r="H15" s="308"/>
      <c r="I15" s="309">
        <f>+I13+ACUMULADOS!I12</f>
        <v>12235526</v>
      </c>
      <c r="J15" s="399"/>
      <c r="K15" s="400"/>
      <c r="L15" s="401"/>
      <c r="M15" s="310">
        <f>+M13+ACUMULADOS!M12</f>
        <v>7371592212.3529339</v>
      </c>
      <c r="N15" s="311">
        <f>+N13+ACUMULADOS!N12</f>
        <v>1039027690.2578518</v>
      </c>
      <c r="O15" s="310">
        <f>+O13+ACUMULADOS!O12</f>
        <v>142656277.5</v>
      </c>
      <c r="P15" s="312">
        <f>+P13+ACUMULADOS!P12</f>
        <v>0</v>
      </c>
      <c r="Q15" s="312">
        <f ca="1">+Q13+ACUMULADOS!Q12</f>
        <v>3326933256.8999987</v>
      </c>
      <c r="R15" s="402"/>
      <c r="S15" s="314"/>
      <c r="T15" s="314"/>
      <c r="U15" s="314"/>
      <c r="V15" s="314"/>
      <c r="W15" s="314"/>
      <c r="X15" s="314"/>
      <c r="Y15" s="314"/>
      <c r="Z15" s="309">
        <f>+Z13+ACUMULADOS!Z12</f>
        <v>244710.51999999993</v>
      </c>
      <c r="AA15" s="314"/>
      <c r="AB15" s="314"/>
      <c r="AC15" s="314"/>
      <c r="AD15" s="314"/>
      <c r="AE15" s="403"/>
      <c r="AF15" s="404"/>
      <c r="AG15" s="314"/>
      <c r="AH15" s="314"/>
      <c r="AI15" s="405"/>
      <c r="AJ15" s="408"/>
      <c r="AK15" s="394"/>
      <c r="AL15" s="314"/>
      <c r="AM15" s="314"/>
      <c r="AN15" s="406"/>
      <c r="AO15" s="407"/>
    </row>
    <row r="16" spans="1:45" s="395" customFormat="1">
      <c r="A16" s="425">
        <f>+A13+31</f>
        <v>45933</v>
      </c>
      <c r="B16" s="426">
        <f>SUM('CONSOLIDADO VTAS'!B597:B670)</f>
        <v>0</v>
      </c>
      <c r="C16" s="427" t="s">
        <v>138</v>
      </c>
      <c r="D16" s="428"/>
      <c r="E16" s="428"/>
      <c r="F16" s="428"/>
      <c r="G16" s="427"/>
      <c r="H16" s="427"/>
      <c r="I16" s="429">
        <f>SUM('CONSOLIDADO VTAS'!I597:I670)</f>
        <v>0</v>
      </c>
      <c r="J16" s="430"/>
      <c r="K16" s="431">
        <f>SUM('CONSOLIDADO VTAS'!K597:K670)</f>
        <v>0</v>
      </c>
      <c r="L16" s="431">
        <f>SUM('CONSOLIDADO VTAS'!L597:L670)</f>
        <v>0</v>
      </c>
      <c r="M16" s="431">
        <f>SUM('CONSOLIDADO VTAS'!M597:M670)</f>
        <v>0</v>
      </c>
      <c r="N16" s="431">
        <f>SUM('CONSOLIDADO VTAS'!N597:N670)</f>
        <v>0</v>
      </c>
      <c r="O16" s="431">
        <f>SUM('CONSOLIDADO VTAS'!O597:O670)</f>
        <v>0</v>
      </c>
      <c r="P16" s="431">
        <f>SUM('CONSOLIDADO VTAS'!P597:P670)</f>
        <v>0</v>
      </c>
      <c r="Q16" s="431">
        <f>SUM('CONSOLIDADO VTAS'!Q597:Q670)</f>
        <v>0</v>
      </c>
      <c r="R16" s="432"/>
      <c r="S16" s="433"/>
      <c r="T16" s="433"/>
      <c r="U16" s="427"/>
      <c r="V16" s="428"/>
      <c r="W16" s="428"/>
      <c r="X16" s="428"/>
      <c r="Y16" s="434"/>
      <c r="Z16" s="435">
        <f>SUM('CONSOLIDADO VTAS'!Z597:Z670)</f>
        <v>0</v>
      </c>
      <c r="AA16" s="436"/>
      <c r="AB16" s="436"/>
      <c r="AC16" s="437"/>
      <c r="AD16" s="436"/>
      <c r="AE16" s="437"/>
      <c r="AF16" s="428"/>
      <c r="AG16" s="428"/>
      <c r="AH16" s="428"/>
      <c r="AI16" s="428"/>
      <c r="AJ16" s="438"/>
      <c r="AK16" s="439"/>
      <c r="AL16" s="427"/>
      <c r="AM16" s="427"/>
      <c r="AN16" s="442" t="e">
        <f>SUBTOTAL(9,'CONSOLIDADO VTAS'!AN597:AN670)</f>
        <v>#VALUE!</v>
      </c>
      <c r="AO16" s="439" t="e">
        <f>SUM('CONSOLIDADO VTAS'!AO597:AO670)</f>
        <v>#VALUE!</v>
      </c>
    </row>
    <row r="17" spans="1:45" s="395" customFormat="1" ht="15.75" customHeight="1">
      <c r="A17" s="412"/>
      <c r="B17" s="413"/>
      <c r="C17" s="413" t="s">
        <v>215</v>
      </c>
      <c r="D17" s="413"/>
      <c r="E17" s="413"/>
      <c r="F17" s="413"/>
      <c r="G17" s="413"/>
      <c r="H17" s="414"/>
      <c r="I17" s="415" t="e">
        <f>AVERAGE('CONSOLIDADO VTAS'!I597:I670)</f>
        <v>#DIV/0!</v>
      </c>
      <c r="J17" s="416" t="e">
        <f>AVERAGE('CONSOLIDADO VTAS'!J597:J670)</f>
        <v>#DIV/0!</v>
      </c>
      <c r="K17" s="413"/>
      <c r="L17" s="413"/>
      <c r="M17" s="417"/>
      <c r="N17" s="417" t="e">
        <f>+N16/M16</f>
        <v>#DIV/0!</v>
      </c>
      <c r="O17" s="417" t="e">
        <f>+O16/M16</f>
        <v>#DIV/0!</v>
      </c>
      <c r="P17" s="417" t="e">
        <f>+P16/M16</f>
        <v>#DIV/0!</v>
      </c>
      <c r="Q17" s="417" t="e">
        <f>+Q16/M16</f>
        <v>#DIV/0!</v>
      </c>
      <c r="R17" s="418"/>
      <c r="S17" s="414"/>
      <c r="T17" s="419"/>
      <c r="U17" s="419" t="e">
        <f>AVERAGE('CONSOLIDADO VTAS'!U597:U670)</f>
        <v>#DIV/0!</v>
      </c>
      <c r="V17" s="413"/>
      <c r="W17" s="413"/>
      <c r="X17" s="413"/>
      <c r="Y17" s="414"/>
      <c r="Z17" s="415"/>
      <c r="AA17" s="420" t="e">
        <f>AVERAGE('CONSOLIDADO VTAS'!AA597:AA670)</f>
        <v>#DIV/0!</v>
      </c>
      <c r="AB17" s="420">
        <f>AVERAGE('CONSOLIDADO VTAS'!AB597:AB670)</f>
        <v>0</v>
      </c>
      <c r="AC17" s="420" t="e">
        <f>AVERAGE('CONSOLIDADO VTAS'!AC597:AC670)</f>
        <v>#VALUE!</v>
      </c>
      <c r="AD17" s="420" t="e">
        <f>AVERAGE('CONSOLIDADO VTAS'!AD597:AD670)</f>
        <v>#VALUE!</v>
      </c>
      <c r="AE17" s="420" t="e">
        <f>AVERAGE('CONSOLIDADO VTAS'!AE597:AE670)</f>
        <v>#VALUE!</v>
      </c>
      <c r="AF17" s="413"/>
      <c r="AG17" s="413"/>
      <c r="AH17" s="413"/>
      <c r="AI17" s="421"/>
      <c r="AJ17" s="461" t="e">
        <f>AVERAGE('CONSOLIDADO VTAS'!AJ597:AJ670)</f>
        <v>#DIV/0!</v>
      </c>
      <c r="AK17" s="422" t="e">
        <f>AVERAGE('CONSOLIDADO VTAS'!AK597:AK670)</f>
        <v>#VALUE!</v>
      </c>
      <c r="AL17" s="423" t="e">
        <f>AVERAGE('CONSOLIDADO VTAS'!AL597:AL670)</f>
        <v>#DIV/0!</v>
      </c>
      <c r="AM17" s="420">
        <f>SUM(AM16:AM16)</f>
        <v>0</v>
      </c>
      <c r="AN17" s="443" t="s">
        <v>10</v>
      </c>
      <c r="AO17" s="424" t="e">
        <f>+AO16/AN16-1</f>
        <v>#VALUE!</v>
      </c>
      <c r="AR17" s="397"/>
      <c r="AS17" s="396"/>
    </row>
    <row r="18" spans="1:45">
      <c r="B18" s="314"/>
      <c r="C18" s="387" t="s">
        <v>399</v>
      </c>
      <c r="D18" s="308"/>
      <c r="E18" s="308"/>
      <c r="F18" s="308"/>
      <c r="G18" s="308"/>
      <c r="H18" s="308"/>
      <c r="I18" s="309">
        <f>+I16+ACUMULADOS!I15</f>
        <v>12235526</v>
      </c>
      <c r="J18" s="399"/>
      <c r="K18" s="400"/>
      <c r="L18" s="401"/>
      <c r="M18" s="310">
        <f>+M16+ACUMULADOS!M15</f>
        <v>7371592212.3529339</v>
      </c>
      <c r="N18" s="311">
        <f>+N16+ACUMULADOS!N15</f>
        <v>1039027690.2578518</v>
      </c>
      <c r="O18" s="310">
        <f>+O16+ACUMULADOS!O15</f>
        <v>142656277.5</v>
      </c>
      <c r="P18" s="312">
        <f>+P16+ACUMULADOS!P15</f>
        <v>0</v>
      </c>
      <c r="Q18" s="312">
        <f ca="1">+Q16+ACUMULADOS!Q15</f>
        <v>3326933256.8999987</v>
      </c>
      <c r="R18" s="402"/>
      <c r="S18" s="314"/>
      <c r="T18" s="314"/>
      <c r="U18" s="314"/>
      <c r="V18" s="314"/>
      <c r="W18" s="314"/>
      <c r="X18" s="314"/>
      <c r="Y18" s="314"/>
      <c r="Z18" s="309">
        <f>+Z16+ACUMULADOS!Z15</f>
        <v>244710.51999999993</v>
      </c>
      <c r="AA18" s="314"/>
      <c r="AB18" s="314"/>
      <c r="AC18" s="314"/>
      <c r="AD18" s="314"/>
      <c r="AE18" s="403"/>
      <c r="AF18" s="404"/>
      <c r="AG18" s="314"/>
      <c r="AH18" s="314"/>
      <c r="AI18" s="405"/>
      <c r="AJ18" s="408"/>
      <c r="AK18" s="394"/>
      <c r="AL18" s="314"/>
      <c r="AM18" s="314"/>
      <c r="AN18" s="406"/>
      <c r="AO18" s="407"/>
    </row>
    <row r="19" spans="1:45" s="395" customFormat="1">
      <c r="A19" s="425">
        <f>+A16+31</f>
        <v>45964</v>
      </c>
      <c r="B19" s="426">
        <f>SUM('CONSOLIDADO VTAS'!B671:B780)</f>
        <v>0</v>
      </c>
      <c r="C19" s="427" t="s">
        <v>138</v>
      </c>
      <c r="D19" s="428"/>
      <c r="E19" s="428"/>
      <c r="F19" s="428"/>
      <c r="G19" s="427"/>
      <c r="H19" s="427"/>
      <c r="I19" s="429">
        <f>SUM('CONSOLIDADO VTAS'!I671:I780)</f>
        <v>0</v>
      </c>
      <c r="J19" s="430"/>
      <c r="K19" s="431">
        <f>SUM('CONSOLIDADO VTAS'!K671:K780)</f>
        <v>0</v>
      </c>
      <c r="L19" s="431">
        <f>SUM('CONSOLIDADO VTAS'!L671:L780)</f>
        <v>0</v>
      </c>
      <c r="M19" s="431">
        <f>SUM('CONSOLIDADO VTAS'!M671:M780)</f>
        <v>0</v>
      </c>
      <c r="N19" s="431">
        <f>SUM('CONSOLIDADO VTAS'!N671:N780)</f>
        <v>0</v>
      </c>
      <c r="O19" s="431">
        <f>SUM('CONSOLIDADO VTAS'!O671:O780)</f>
        <v>0</v>
      </c>
      <c r="P19" s="431">
        <f>SUM('CONSOLIDADO VTAS'!P671:P780)</f>
        <v>0</v>
      </c>
      <c r="Q19" s="431">
        <f>SUM('CONSOLIDADO VTAS'!Q671:Q780)</f>
        <v>0</v>
      </c>
      <c r="R19" s="432"/>
      <c r="S19" s="433"/>
      <c r="T19" s="433"/>
      <c r="U19" s="427"/>
      <c r="V19" s="428"/>
      <c r="W19" s="428"/>
      <c r="X19" s="428"/>
      <c r="Y19" s="434"/>
      <c r="Z19" s="435">
        <f>SUM('CONSOLIDADO VTAS'!Z671:Z780)</f>
        <v>0</v>
      </c>
      <c r="AA19" s="436"/>
      <c r="AB19" s="436"/>
      <c r="AC19" s="437"/>
      <c r="AD19" s="436"/>
      <c r="AE19" s="437"/>
      <c r="AF19" s="428"/>
      <c r="AG19" s="428"/>
      <c r="AH19" s="428"/>
      <c r="AI19" s="428"/>
      <c r="AJ19" s="438"/>
      <c r="AK19" s="439"/>
      <c r="AL19" s="427"/>
      <c r="AM19" s="427"/>
      <c r="AN19" s="442" t="e">
        <f>SUBTOTAL(9,'CONSOLIDADO VTAS'!AN671:AN780)</f>
        <v>#VALUE!</v>
      </c>
      <c r="AO19" s="439" t="e">
        <f>SUM('CONSOLIDADO VTAS'!AO671:AO780)</f>
        <v>#VALUE!</v>
      </c>
    </row>
    <row r="20" spans="1:45" s="395" customFormat="1" ht="15.75" customHeight="1">
      <c r="A20" s="412"/>
      <c r="B20" s="413"/>
      <c r="C20" s="413" t="s">
        <v>215</v>
      </c>
      <c r="D20" s="413"/>
      <c r="E20" s="413"/>
      <c r="F20" s="413"/>
      <c r="G20" s="413"/>
      <c r="H20" s="414"/>
      <c r="I20" s="415" t="e">
        <f>AVERAGE('CONSOLIDADO VTAS'!I671:I780)</f>
        <v>#DIV/0!</v>
      </c>
      <c r="J20" s="416" t="e">
        <f>AVERAGE('CONSOLIDADO VTAS'!J671:J780)</f>
        <v>#DIV/0!</v>
      </c>
      <c r="K20" s="413"/>
      <c r="L20" s="413"/>
      <c r="M20" s="417"/>
      <c r="N20" s="417" t="e">
        <f>+N19/M19</f>
        <v>#DIV/0!</v>
      </c>
      <c r="O20" s="417" t="e">
        <f>+O19/M19</f>
        <v>#DIV/0!</v>
      </c>
      <c r="P20" s="417" t="e">
        <f>+P19/M19</f>
        <v>#DIV/0!</v>
      </c>
      <c r="Q20" s="417" t="e">
        <f>+Q19/M19</f>
        <v>#DIV/0!</v>
      </c>
      <c r="R20" s="418"/>
      <c r="S20" s="414"/>
      <c r="T20" s="419"/>
      <c r="U20" s="419" t="e">
        <f>AVERAGE('CONSOLIDADO VTAS'!U671:U780)</f>
        <v>#DIV/0!</v>
      </c>
      <c r="V20" s="413"/>
      <c r="W20" s="413"/>
      <c r="X20" s="413"/>
      <c r="Y20" s="414"/>
      <c r="Z20" s="415"/>
      <c r="AA20" s="420" t="e">
        <f>AVERAGE('CONSOLIDADO VTAS'!AA671:AA780)</f>
        <v>#DIV/0!</v>
      </c>
      <c r="AB20" s="420">
        <f>AVERAGE('CONSOLIDADO VTAS'!AB671:AB780)</f>
        <v>0</v>
      </c>
      <c r="AC20" s="420" t="e">
        <f>AVERAGE('CONSOLIDADO VTAS'!AC671:AC780)</f>
        <v>#VALUE!</v>
      </c>
      <c r="AD20" s="420" t="e">
        <f>AVERAGE('CONSOLIDADO VTAS'!AD671:AD780)</f>
        <v>#VALUE!</v>
      </c>
      <c r="AE20" s="420" t="e">
        <f>AVERAGE('CONSOLIDADO VTAS'!AE671:AE780)</f>
        <v>#VALUE!</v>
      </c>
      <c r="AF20" s="413"/>
      <c r="AG20" s="413"/>
      <c r="AH20" s="413"/>
      <c r="AI20" s="421"/>
      <c r="AJ20" s="461" t="e">
        <f>AVERAGE('CONSOLIDADO VTAS'!AJ671:AJ780)</f>
        <v>#DIV/0!</v>
      </c>
      <c r="AK20" s="422" t="e">
        <f>AVERAGE('CONSOLIDADO VTAS'!AK671:AK780)</f>
        <v>#VALUE!</v>
      </c>
      <c r="AL20" s="423" t="e">
        <f>AVERAGE('CONSOLIDADO VTAS'!AL671:AL780)</f>
        <v>#DIV/0!</v>
      </c>
      <c r="AM20" s="420">
        <f>SUM(AM19:AM19)</f>
        <v>0</v>
      </c>
      <c r="AN20" s="443" t="s">
        <v>10</v>
      </c>
      <c r="AO20" s="424" t="e">
        <f>+AO19/AN19-1</f>
        <v>#VALUE!</v>
      </c>
      <c r="AR20" s="397"/>
      <c r="AS20" s="396"/>
    </row>
    <row r="21" spans="1:45">
      <c r="B21" s="314"/>
      <c r="C21" s="387" t="s">
        <v>400</v>
      </c>
      <c r="D21" s="308"/>
      <c r="E21" s="308"/>
      <c r="F21" s="308"/>
      <c r="G21" s="308"/>
      <c r="H21" s="308"/>
      <c r="I21" s="309">
        <f>+I19+ACUMULADOS!I18</f>
        <v>12235526</v>
      </c>
      <c r="J21" s="399"/>
      <c r="K21" s="400"/>
      <c r="L21" s="401"/>
      <c r="M21" s="310">
        <f>+M19+ACUMULADOS!M18</f>
        <v>7371592212.3529339</v>
      </c>
      <c r="N21" s="311">
        <f>+N19+ACUMULADOS!N18</f>
        <v>1039027690.2578518</v>
      </c>
      <c r="O21" s="310">
        <f>+O19+ACUMULADOS!O18</f>
        <v>142656277.5</v>
      </c>
      <c r="P21" s="312">
        <f>+P19+ACUMULADOS!P18</f>
        <v>0</v>
      </c>
      <c r="Q21" s="312">
        <f ca="1">+Q19+ACUMULADOS!Q18</f>
        <v>3326933256.8999987</v>
      </c>
      <c r="R21" s="402"/>
      <c r="S21" s="314"/>
      <c r="T21" s="314"/>
      <c r="U21" s="314"/>
      <c r="V21" s="314"/>
      <c r="W21" s="314"/>
      <c r="X21" s="314"/>
      <c r="Y21" s="314"/>
      <c r="Z21" s="309">
        <f>+Z19+ACUMULADOS!Z18</f>
        <v>244710.51999999993</v>
      </c>
      <c r="AA21" s="314"/>
      <c r="AB21" s="314"/>
      <c r="AC21" s="314"/>
      <c r="AD21" s="314"/>
      <c r="AE21" s="403"/>
      <c r="AF21" s="404"/>
      <c r="AG21" s="314"/>
      <c r="AH21" s="314"/>
      <c r="AI21" s="405"/>
      <c r="AJ21" s="408"/>
      <c r="AK21" s="394"/>
      <c r="AL21" s="314"/>
      <c r="AM21" s="314"/>
      <c r="AN21" s="406"/>
      <c r="AO21" s="407"/>
    </row>
    <row r="22" spans="1:45" s="395" customFormat="1">
      <c r="A22" s="425">
        <f>+A19+31</f>
        <v>45995</v>
      </c>
      <c r="B22" s="426">
        <f>SUM('CONSOLIDADO VTAS'!B781:B813)</f>
        <v>0</v>
      </c>
      <c r="C22" s="427" t="s">
        <v>138</v>
      </c>
      <c r="D22" s="428"/>
      <c r="E22" s="428"/>
      <c r="F22" s="428"/>
      <c r="G22" s="427"/>
      <c r="H22" s="427"/>
      <c r="I22" s="429">
        <f>SUM('CONSOLIDADO VTAS'!I781:I813)</f>
        <v>0</v>
      </c>
      <c r="J22" s="430"/>
      <c r="K22" s="431">
        <f>SUM('CONSOLIDADO VTAS'!K781:K813)</f>
        <v>0</v>
      </c>
      <c r="L22" s="431">
        <f>SUM('CONSOLIDADO VTAS'!L781:L813)</f>
        <v>0</v>
      </c>
      <c r="M22" s="431">
        <f>SUM('CONSOLIDADO VTAS'!M781:M813)</f>
        <v>0</v>
      </c>
      <c r="N22" s="431">
        <f>SUM('CONSOLIDADO VTAS'!N781:N813)</f>
        <v>0</v>
      </c>
      <c r="O22" s="431">
        <f>SUM('CONSOLIDADO VTAS'!O781:O813)</f>
        <v>0</v>
      </c>
      <c r="P22" s="431">
        <f>SUM('CONSOLIDADO VTAS'!P781:P813)</f>
        <v>0</v>
      </c>
      <c r="Q22" s="431">
        <f>SUM('CONSOLIDADO VTAS'!Q781:Q813)</f>
        <v>0</v>
      </c>
      <c r="R22" s="432"/>
      <c r="S22" s="433"/>
      <c r="T22" s="433"/>
      <c r="U22" s="427"/>
      <c r="V22" s="428"/>
      <c r="W22" s="428"/>
      <c r="X22" s="428"/>
      <c r="Y22" s="434"/>
      <c r="Z22" s="435">
        <f>SUM('CONSOLIDADO VTAS'!Z781:Z813)</f>
        <v>0</v>
      </c>
      <c r="AA22" s="436"/>
      <c r="AB22" s="436"/>
      <c r="AC22" s="437"/>
      <c r="AD22" s="436"/>
      <c r="AE22" s="437"/>
      <c r="AF22" s="428"/>
      <c r="AG22" s="428"/>
      <c r="AH22" s="428"/>
      <c r="AI22" s="428"/>
      <c r="AJ22" s="438"/>
      <c r="AK22" s="439"/>
      <c r="AL22" s="427"/>
      <c r="AM22" s="427"/>
      <c r="AN22" s="442" t="e">
        <f>SUBTOTAL(9,'CONSOLIDADO VTAS'!AN781:AN813)</f>
        <v>#VALUE!</v>
      </c>
      <c r="AO22" s="439" t="e">
        <f>SUM('CONSOLIDADO VTAS'!AO781:AO813)</f>
        <v>#VALUE!</v>
      </c>
    </row>
    <row r="23" spans="1:45" s="395" customFormat="1" ht="15.75" customHeight="1">
      <c r="A23" s="412"/>
      <c r="B23" s="413"/>
      <c r="C23" s="413" t="s">
        <v>215</v>
      </c>
      <c r="D23" s="413"/>
      <c r="E23" s="413"/>
      <c r="F23" s="413"/>
      <c r="G23" s="413"/>
      <c r="H23" s="414"/>
      <c r="I23" s="415" t="e">
        <f>AVERAGE('CONSOLIDADO VTAS'!I781:I813)</f>
        <v>#DIV/0!</v>
      </c>
      <c r="J23" s="416" t="e">
        <f>AVERAGE('CONSOLIDADO VTAS'!J781:J813)</f>
        <v>#DIV/0!</v>
      </c>
      <c r="K23" s="413"/>
      <c r="L23" s="413"/>
      <c r="M23" s="417"/>
      <c r="N23" s="417" t="e">
        <f>+N22/M22</f>
        <v>#DIV/0!</v>
      </c>
      <c r="O23" s="417" t="e">
        <f>+O22/M22</f>
        <v>#DIV/0!</v>
      </c>
      <c r="P23" s="417" t="e">
        <f>+P22/M22</f>
        <v>#DIV/0!</v>
      </c>
      <c r="Q23" s="417" t="e">
        <f>+Q22/M22</f>
        <v>#DIV/0!</v>
      </c>
      <c r="R23" s="418"/>
      <c r="S23" s="414"/>
      <c r="T23" s="419"/>
      <c r="U23" s="419" t="e">
        <f>AVERAGE('CONSOLIDADO VTAS'!U781:U813)</f>
        <v>#DIV/0!</v>
      </c>
      <c r="V23" s="413"/>
      <c r="W23" s="413"/>
      <c r="X23" s="413"/>
      <c r="Y23" s="414"/>
      <c r="Z23" s="415"/>
      <c r="AA23" s="420" t="e">
        <f>AVERAGE('CONSOLIDADO VTAS'!AA781:AA813)</f>
        <v>#DIV/0!</v>
      </c>
      <c r="AB23" s="420">
        <f>AVERAGE('CONSOLIDADO VTAS'!AB781:AB813)</f>
        <v>0</v>
      </c>
      <c r="AC23" s="420" t="e">
        <f>AVERAGE('CONSOLIDADO VTAS'!AC781:AC813)</f>
        <v>#VALUE!</v>
      </c>
      <c r="AD23" s="420" t="e">
        <f>AVERAGE('CONSOLIDADO VTAS'!AD781:AD813)</f>
        <v>#VALUE!</v>
      </c>
      <c r="AE23" s="420" t="e">
        <f>AVERAGE('CONSOLIDADO VTAS'!AE781:AE813)</f>
        <v>#VALUE!</v>
      </c>
      <c r="AF23" s="413"/>
      <c r="AG23" s="413"/>
      <c r="AH23" s="413"/>
      <c r="AI23" s="421"/>
      <c r="AJ23" s="461" t="e">
        <f>AVERAGE('CONSOLIDADO VTAS'!AJ781:AJ813)</f>
        <v>#DIV/0!</v>
      </c>
      <c r="AK23" s="422" t="e">
        <f>AVERAGE('CONSOLIDADO VTAS'!AK781:AK813)</f>
        <v>#VALUE!</v>
      </c>
      <c r="AL23" s="423" t="e">
        <f>AVERAGE('CONSOLIDADO VTAS'!AL781:AL813)</f>
        <v>#DIV/0!</v>
      </c>
      <c r="AM23" s="420">
        <f>SUM(AM22:AM22)</f>
        <v>0</v>
      </c>
      <c r="AN23" s="443" t="s">
        <v>10</v>
      </c>
      <c r="AO23" s="424" t="e">
        <f>+AO22/AN22-1</f>
        <v>#VALUE!</v>
      </c>
      <c r="AR23" s="397"/>
      <c r="AS23" s="396"/>
    </row>
    <row r="24" spans="1:45">
      <c r="B24" s="314"/>
      <c r="C24" s="387" t="s">
        <v>401</v>
      </c>
      <c r="D24" s="308"/>
      <c r="E24" s="308"/>
      <c r="F24" s="308"/>
      <c r="G24" s="308"/>
      <c r="H24" s="308"/>
      <c r="I24" s="309">
        <f>+I22+ACUMULADOS!I21</f>
        <v>12235526</v>
      </c>
      <c r="J24" s="399"/>
      <c r="K24" s="400"/>
      <c r="L24" s="401"/>
      <c r="M24" s="310">
        <f>+M22+ACUMULADOS!M21</f>
        <v>7371592212.3529339</v>
      </c>
      <c r="N24" s="311">
        <f>+N22+ACUMULADOS!N21</f>
        <v>1039027690.2578518</v>
      </c>
      <c r="O24" s="310">
        <f>+O22+ACUMULADOS!O21</f>
        <v>142656277.5</v>
      </c>
      <c r="P24" s="312">
        <f>+P22+ACUMULADOS!P21</f>
        <v>0</v>
      </c>
      <c r="Q24" s="312">
        <f ca="1">+Q22+ACUMULADOS!Q21</f>
        <v>3326933256.8999987</v>
      </c>
      <c r="R24" s="402"/>
      <c r="S24" s="314"/>
      <c r="T24" s="314"/>
      <c r="U24" s="314"/>
      <c r="V24" s="314"/>
      <c r="W24" s="314"/>
      <c r="X24" s="314"/>
      <c r="Y24" s="314"/>
      <c r="Z24" s="309">
        <f>+Z22+ACUMULADOS!Z21</f>
        <v>244710.51999999993</v>
      </c>
      <c r="AA24" s="314"/>
      <c r="AB24" s="314"/>
      <c r="AC24" s="314"/>
      <c r="AD24" s="314"/>
      <c r="AE24" s="403"/>
      <c r="AF24" s="404"/>
      <c r="AG24" s="314"/>
      <c r="AH24" s="314"/>
      <c r="AI24" s="405"/>
      <c r="AJ24" s="408"/>
      <c r="AK24" s="394"/>
      <c r="AL24" s="314"/>
      <c r="AM24" s="314"/>
      <c r="AN24" s="406"/>
      <c r="AO24" s="407"/>
    </row>
    <row r="25" spans="1:45">
      <c r="A25" s="425">
        <f>+A22+31</f>
        <v>46026</v>
      </c>
      <c r="B25" s="426">
        <f>SUM('CONSOLIDADO VTAS'!B814:B829)</f>
        <v>0</v>
      </c>
      <c r="C25" s="427" t="s">
        <v>138</v>
      </c>
      <c r="D25" s="428"/>
      <c r="E25" s="428"/>
      <c r="F25" s="428"/>
      <c r="G25" s="427"/>
      <c r="H25" s="427"/>
      <c r="I25" s="429">
        <f>SUM('CONSOLIDADO VTAS'!I814:I829)</f>
        <v>0</v>
      </c>
      <c r="J25" s="430"/>
      <c r="K25" s="431">
        <f>SUM('CONSOLIDADO VTAS'!K814:K829)</f>
        <v>0</v>
      </c>
      <c r="L25" s="431">
        <f>SUM('CONSOLIDADO VTAS'!L814:L829)</f>
        <v>0</v>
      </c>
      <c r="M25" s="431">
        <f>SUM('CONSOLIDADO VTAS'!M814:M829)</f>
        <v>0</v>
      </c>
      <c r="N25" s="431">
        <f>SUM('CONSOLIDADO VTAS'!N814:N829)</f>
        <v>0</v>
      </c>
      <c r="O25" s="431">
        <f>SUM('CONSOLIDADO VTAS'!O814:O829)</f>
        <v>0</v>
      </c>
      <c r="P25" s="431">
        <f>SUM('CONSOLIDADO VTAS'!P814:P829)</f>
        <v>0</v>
      </c>
      <c r="Q25" s="431">
        <f>SUM('CONSOLIDADO VTAS'!Q814:Q829)</f>
        <v>0</v>
      </c>
      <c r="R25" s="432"/>
      <c r="S25" s="433"/>
      <c r="T25" s="433"/>
      <c r="U25" s="427"/>
      <c r="V25" s="428"/>
      <c r="W25" s="428"/>
      <c r="X25" s="428"/>
      <c r="Y25" s="434"/>
      <c r="Z25" s="435">
        <f>SUM('CONSOLIDADO VTAS'!Z814:Z829)</f>
        <v>0</v>
      </c>
      <c r="AA25" s="436"/>
      <c r="AB25" s="436"/>
      <c r="AC25" s="437"/>
      <c r="AD25" s="436"/>
      <c r="AE25" s="437"/>
      <c r="AF25" s="428"/>
      <c r="AG25" s="428"/>
      <c r="AH25" s="428"/>
      <c r="AI25" s="428"/>
      <c r="AJ25" s="438"/>
      <c r="AK25" s="439"/>
      <c r="AL25" s="427"/>
      <c r="AM25" s="427"/>
      <c r="AN25" s="442" t="e">
        <f>SUBTOTAL(9,'CONSOLIDADO VTAS'!AN814:AN829)</f>
        <v>#VALUE!</v>
      </c>
      <c r="AO25" s="439" t="e">
        <f>SUM('CONSOLIDADO VTAS'!AO814:AO829)</f>
        <v>#VALUE!</v>
      </c>
    </row>
    <row r="26" spans="1:45" s="395" customFormat="1" ht="15.75" customHeight="1">
      <c r="A26" s="412"/>
      <c r="B26" s="413"/>
      <c r="C26" s="413" t="s">
        <v>215</v>
      </c>
      <c r="D26" s="413"/>
      <c r="E26" s="413"/>
      <c r="F26" s="413"/>
      <c r="G26" s="413"/>
      <c r="H26" s="414"/>
      <c r="I26" s="415" t="e">
        <f>AVERAGE('CONSOLIDADO VTAS'!I814:I829)</f>
        <v>#DIV/0!</v>
      </c>
      <c r="J26" s="416" t="e">
        <f>AVERAGE('CONSOLIDADO VTAS'!J814:J829)</f>
        <v>#DIV/0!</v>
      </c>
      <c r="K26" s="413"/>
      <c r="L26" s="413"/>
      <c r="M26" s="417"/>
      <c r="N26" s="417" t="e">
        <f>+N25/M25</f>
        <v>#DIV/0!</v>
      </c>
      <c r="O26" s="417" t="e">
        <f>+O25/M25</f>
        <v>#DIV/0!</v>
      </c>
      <c r="P26" s="417" t="e">
        <f>+P25/M25</f>
        <v>#DIV/0!</v>
      </c>
      <c r="Q26" s="417" t="e">
        <f>+Q25/M25</f>
        <v>#DIV/0!</v>
      </c>
      <c r="R26" s="418"/>
      <c r="S26" s="414"/>
      <c r="T26" s="419"/>
      <c r="U26" s="419" t="e">
        <f>AVERAGE('CONSOLIDADO VTAS'!U814:U829)</f>
        <v>#DIV/0!</v>
      </c>
      <c r="V26" s="413"/>
      <c r="W26" s="413"/>
      <c r="X26" s="413"/>
      <c r="Y26" s="414"/>
      <c r="Z26" s="415"/>
      <c r="AA26" s="420" t="e">
        <f>AVERAGE('CONSOLIDADO VTAS'!AA814:AA829)</f>
        <v>#DIV/0!</v>
      </c>
      <c r="AB26" s="420">
        <f>AVERAGE('CONSOLIDADO VTAS'!AB814:AB829)</f>
        <v>0</v>
      </c>
      <c r="AC26" s="420" t="e">
        <f>AVERAGE('CONSOLIDADO VTAS'!AC814:AC829)</f>
        <v>#VALUE!</v>
      </c>
      <c r="AD26" s="420" t="e">
        <f>AVERAGE('CONSOLIDADO VTAS'!AD814:AD829)</f>
        <v>#VALUE!</v>
      </c>
      <c r="AE26" s="420" t="e">
        <f>AVERAGE('CONSOLIDADO VTAS'!AE814:AE829)</f>
        <v>#VALUE!</v>
      </c>
      <c r="AF26" s="413"/>
      <c r="AG26" s="413"/>
      <c r="AH26" s="413"/>
      <c r="AI26" s="421"/>
      <c r="AJ26" s="461" t="e">
        <f>AVERAGE('CONSOLIDADO VTAS'!AJ814:AJ829)</f>
        <v>#DIV/0!</v>
      </c>
      <c r="AK26" s="422" t="e">
        <f>AVERAGE('CONSOLIDADO VTAS'!AK814:AK829)</f>
        <v>#VALUE!</v>
      </c>
      <c r="AL26" s="423" t="e">
        <f>AVERAGE('CONSOLIDADO VTAS'!AL814:AL829)</f>
        <v>#DIV/0!</v>
      </c>
      <c r="AM26" s="420">
        <f>SUM(AM25:AM25)</f>
        <v>0</v>
      </c>
      <c r="AN26" s="443" t="s">
        <v>10</v>
      </c>
      <c r="AO26" s="424" t="e">
        <f>+AO25/AN25-1</f>
        <v>#VALUE!</v>
      </c>
      <c r="AR26" s="397"/>
      <c r="AS26" s="396"/>
    </row>
    <row r="27" spans="1:45">
      <c r="B27" s="314"/>
      <c r="C27" s="387" t="s">
        <v>402</v>
      </c>
      <c r="D27" s="308"/>
      <c r="E27" s="308"/>
      <c r="F27" s="308"/>
      <c r="G27" s="308"/>
      <c r="H27" s="308"/>
      <c r="I27" s="309" t="e">
        <f>+ACUMULADOS!I24+I26</f>
        <v>#DIV/0!</v>
      </c>
      <c r="J27" s="399"/>
      <c r="K27" s="400"/>
      <c r="L27" s="401"/>
      <c r="M27" s="310">
        <f>+ACUMULADOS!M24+M25</f>
        <v>7371592212.3529339</v>
      </c>
      <c r="N27" s="311">
        <f>+ACUMULADOS!N24+N25</f>
        <v>1039027690.2578518</v>
      </c>
      <c r="O27" s="310">
        <f>+ACUMULADOS!O24+O25</f>
        <v>142656277.5</v>
      </c>
      <c r="P27" s="312">
        <f>+ACUMULADOS!P24+P25</f>
        <v>0</v>
      </c>
      <c r="Q27" s="312">
        <f ca="1">+ACUMULADOS!Q24+Q25</f>
        <v>3326933256.8999987</v>
      </c>
      <c r="R27" s="402"/>
      <c r="S27" s="314"/>
      <c r="T27" s="314"/>
      <c r="U27" s="314"/>
      <c r="V27" s="314"/>
      <c r="W27" s="314"/>
      <c r="X27" s="314"/>
      <c r="Y27" s="314"/>
      <c r="Z27" s="309">
        <f>+Z25+ACUMULADOS!Z24</f>
        <v>244710.51999999993</v>
      </c>
      <c r="AA27" s="314"/>
      <c r="AB27" s="314"/>
      <c r="AC27" s="314"/>
      <c r="AD27" s="314"/>
      <c r="AE27" s="403"/>
      <c r="AF27" s="404"/>
      <c r="AG27" s="314"/>
      <c r="AH27" s="314"/>
      <c r="AI27" s="405"/>
      <c r="AJ27" s="408"/>
      <c r="AK27" s="394"/>
      <c r="AL27" s="314"/>
      <c r="AM27" s="314"/>
      <c r="AN27" s="406"/>
      <c r="AO27" s="407"/>
    </row>
    <row r="28" spans="1:45">
      <c r="A28" s="425">
        <f>+A25+31</f>
        <v>46057</v>
      </c>
      <c r="B28" s="426">
        <f>SUM('CONSOLIDADO VTAS'!B830:B844)</f>
        <v>0</v>
      </c>
      <c r="C28" s="427" t="s">
        <v>138</v>
      </c>
      <c r="D28" s="428"/>
      <c r="E28" s="428"/>
      <c r="F28" s="428"/>
      <c r="G28" s="427"/>
      <c r="H28" s="427"/>
      <c r="I28" s="429">
        <f>SUM('CONSOLIDADO VTAS'!I830:I853)</f>
        <v>0</v>
      </c>
      <c r="J28" s="430"/>
      <c r="K28" s="431">
        <f>SUM('CONSOLIDADO VTAS'!K830:K853)</f>
        <v>0</v>
      </c>
      <c r="L28" s="431">
        <f>SUM('CONSOLIDADO VTAS'!L830:L853)</f>
        <v>0</v>
      </c>
      <c r="M28" s="431">
        <f>SUM('CONSOLIDADO VTAS'!M830:M853)</f>
        <v>0</v>
      </c>
      <c r="N28" s="431">
        <f>SUM('CONSOLIDADO VTAS'!N830:N853)</f>
        <v>0</v>
      </c>
      <c r="O28" s="431">
        <f>SUM('CONSOLIDADO VTAS'!O830:O853)</f>
        <v>0</v>
      </c>
      <c r="P28" s="431">
        <f>SUM('CONSOLIDADO VTAS'!P830:P853)</f>
        <v>0</v>
      </c>
      <c r="Q28" s="431">
        <f>SUM('CONSOLIDADO VTAS'!Q830:Q853)</f>
        <v>0</v>
      </c>
      <c r="R28" s="432"/>
      <c r="S28" s="433"/>
      <c r="T28" s="433"/>
      <c r="U28" s="427"/>
      <c r="V28" s="428"/>
      <c r="W28" s="428"/>
      <c r="X28" s="428"/>
      <c r="Y28" s="434"/>
      <c r="Z28" s="435">
        <f>SUM('CONSOLIDADO VTAS'!Z830:Z853)</f>
        <v>0</v>
      </c>
      <c r="AA28" s="436"/>
      <c r="AB28" s="436"/>
      <c r="AC28" s="437"/>
      <c r="AD28" s="436"/>
      <c r="AE28" s="437"/>
      <c r="AF28" s="428"/>
      <c r="AG28" s="428"/>
      <c r="AH28" s="428"/>
      <c r="AI28" s="428"/>
      <c r="AJ28" s="438"/>
      <c r="AK28" s="439"/>
      <c r="AL28" s="427"/>
      <c r="AM28" s="427"/>
      <c r="AN28" s="442" t="e">
        <f>SUBTOTAL(109,'CONSOLIDADO VTAS'!AN830:AN853)</f>
        <v>#VALUE!</v>
      </c>
      <c r="AO28" s="439" t="e">
        <f>SUM('CONSOLIDADO VTAS'!AO830:AO853)</f>
        <v>#VALUE!</v>
      </c>
    </row>
    <row r="29" spans="1:45" s="395" customFormat="1" ht="15.75" customHeight="1">
      <c r="A29" s="412"/>
      <c r="B29" s="413"/>
      <c r="C29" s="413" t="s">
        <v>215</v>
      </c>
      <c r="D29" s="413"/>
      <c r="E29" s="413"/>
      <c r="F29" s="413"/>
      <c r="G29" s="413"/>
      <c r="H29" s="414"/>
      <c r="I29" s="415" t="e">
        <f>AVERAGE('CONSOLIDADO VTAS'!I830:I853)</f>
        <v>#DIV/0!</v>
      </c>
      <c r="J29" s="416" t="e">
        <f>AVERAGE('CONSOLIDADO VTAS'!J830:J853)</f>
        <v>#DIV/0!</v>
      </c>
      <c r="K29" s="413"/>
      <c r="L29" s="413"/>
      <c r="M29" s="417"/>
      <c r="N29" s="417" t="e">
        <f>+N28/M28</f>
        <v>#DIV/0!</v>
      </c>
      <c r="O29" s="417" t="e">
        <f>+O28/M28</f>
        <v>#DIV/0!</v>
      </c>
      <c r="P29" s="417" t="e">
        <f>+P28/M28</f>
        <v>#DIV/0!</v>
      </c>
      <c r="Q29" s="417" t="e">
        <f>+Q28/M28</f>
        <v>#DIV/0!</v>
      </c>
      <c r="R29" s="418"/>
      <c r="S29" s="414"/>
      <c r="T29" s="419"/>
      <c r="U29" s="419" t="e">
        <f>AVERAGE('CONSOLIDADO VTAS'!U830:U844)</f>
        <v>#DIV/0!</v>
      </c>
      <c r="V29" s="413"/>
      <c r="W29" s="413"/>
      <c r="X29" s="413"/>
      <c r="Y29" s="414"/>
      <c r="Z29" s="415"/>
      <c r="AA29" s="420" t="e">
        <f>AVERAGE('CONSOLIDADO VTAS'!AA830:AA853)</f>
        <v>#DIV/0!</v>
      </c>
      <c r="AB29" s="420">
        <f>AVERAGE('CONSOLIDADO VTAS'!AB830:AB853)</f>
        <v>0</v>
      </c>
      <c r="AC29" s="420" t="e">
        <f>AVERAGE('CONSOLIDADO VTAS'!AC830:AC853)</f>
        <v>#VALUE!</v>
      </c>
      <c r="AD29" s="420" t="e">
        <f>AVERAGE('CONSOLIDADO VTAS'!AD830:AD853)</f>
        <v>#VALUE!</v>
      </c>
      <c r="AE29" s="420" t="e">
        <f>AVERAGE('CONSOLIDADO VTAS'!AE830:AE853)</f>
        <v>#VALUE!</v>
      </c>
      <c r="AF29" s="413"/>
      <c r="AG29" s="413"/>
      <c r="AH29" s="413"/>
      <c r="AI29" s="421"/>
      <c r="AJ29" s="461" t="e">
        <f>AVERAGE('CONSOLIDADO VTAS'!AJ830:AJ853)</f>
        <v>#DIV/0!</v>
      </c>
      <c r="AK29" s="422" t="e">
        <f>AVERAGE('CONSOLIDADO VTAS'!AK830:AK853)</f>
        <v>#VALUE!</v>
      </c>
      <c r="AL29" s="423" t="e">
        <f>AVERAGE('CONSOLIDADO VTAS'!AL830:AL853)</f>
        <v>#DIV/0!</v>
      </c>
      <c r="AM29" s="420">
        <f>SUM(AM28:AM28)</f>
        <v>0</v>
      </c>
      <c r="AN29" s="443" t="s">
        <v>10</v>
      </c>
      <c r="AO29" s="424" t="e">
        <f>+AO28/AN28-1</f>
        <v>#VALUE!</v>
      </c>
      <c r="AR29" s="397"/>
      <c r="AS29" s="396"/>
    </row>
    <row r="30" spans="1:45">
      <c r="B30" s="314"/>
      <c r="C30" s="387" t="s">
        <v>403</v>
      </c>
      <c r="D30" s="308"/>
      <c r="E30" s="308"/>
      <c r="F30" s="308"/>
      <c r="G30" s="308"/>
      <c r="H30" s="308"/>
      <c r="I30" s="309" t="e">
        <f>+I28+ACUMULADOS!I27</f>
        <v>#DIV/0!</v>
      </c>
      <c r="J30" s="399"/>
      <c r="K30" s="400"/>
      <c r="L30" s="401"/>
      <c r="M30" s="310">
        <f>+M28+ACUMULADOS!M27</f>
        <v>7371592212.3529339</v>
      </c>
      <c r="N30" s="311">
        <f>+N28+ACUMULADOS!N27</f>
        <v>1039027690.2578518</v>
      </c>
      <c r="O30" s="310">
        <f>+O28+ACUMULADOS!O27</f>
        <v>142656277.5</v>
      </c>
      <c r="P30" s="312">
        <f>+P28+ACUMULADOS!P27</f>
        <v>0</v>
      </c>
      <c r="Q30" s="312">
        <f ca="1">+Q28+ACUMULADOS!Q27</f>
        <v>3326933256.8999987</v>
      </c>
      <c r="R30" s="402"/>
      <c r="S30" s="314"/>
      <c r="T30" s="314"/>
      <c r="U30" s="314"/>
      <c r="V30" s="314"/>
      <c r="W30" s="314"/>
      <c r="X30" s="314"/>
      <c r="Y30" s="314"/>
      <c r="Z30" s="309">
        <f>+Z28+ACUMULADOS!Z27</f>
        <v>244710.51999999993</v>
      </c>
      <c r="AA30" s="314"/>
      <c r="AB30" s="314"/>
      <c r="AC30" s="314"/>
      <c r="AD30" s="314"/>
      <c r="AE30" s="403"/>
      <c r="AF30" s="404"/>
      <c r="AG30" s="314"/>
      <c r="AH30" s="314"/>
      <c r="AI30" s="405"/>
      <c r="AJ30" s="408"/>
      <c r="AK30" s="394"/>
      <c r="AL30" s="314"/>
      <c r="AM30" s="314"/>
      <c r="AN30" s="406"/>
      <c r="AO30" s="407"/>
    </row>
    <row r="31" spans="1:45" s="395" customFormat="1">
      <c r="A31" s="425">
        <f>+A28+31</f>
        <v>46088</v>
      </c>
      <c r="B31" s="426">
        <f>SUM('CONSOLIDADO VTAS'!B845:B864)</f>
        <v>0</v>
      </c>
      <c r="C31" s="427" t="s">
        <v>138</v>
      </c>
      <c r="D31" s="428"/>
      <c r="E31" s="428"/>
      <c r="F31" s="428"/>
      <c r="G31" s="427"/>
      <c r="H31" s="427"/>
      <c r="I31" s="429">
        <f>SUM('CONSOLIDADO VTAS'!I854:I864)</f>
        <v>0</v>
      </c>
      <c r="J31" s="430"/>
      <c r="K31" s="431">
        <f>SUM('CONSOLIDADO VTAS'!K854:K864)</f>
        <v>0</v>
      </c>
      <c r="L31" s="431">
        <f>SUM('CONSOLIDADO VTAS'!L854:L864)</f>
        <v>0</v>
      </c>
      <c r="M31" s="431">
        <f>SUM('CONSOLIDADO VTAS'!M854:M864)</f>
        <v>0</v>
      </c>
      <c r="N31" s="431">
        <f>SUM('CONSOLIDADO VTAS'!N854:N864)</f>
        <v>0</v>
      </c>
      <c r="O31" s="431">
        <f>SUM('CONSOLIDADO VTAS'!O854:O864)</f>
        <v>0</v>
      </c>
      <c r="P31" s="431">
        <f>SUM('CONSOLIDADO VTAS'!P854:P864)</f>
        <v>0</v>
      </c>
      <c r="Q31" s="431">
        <f>SUM('CONSOLIDADO VTAS'!Q854:Q864)</f>
        <v>0</v>
      </c>
      <c r="R31" s="432"/>
      <c r="S31" s="433"/>
      <c r="T31" s="433"/>
      <c r="U31" s="427"/>
      <c r="V31" s="428"/>
      <c r="W31" s="428"/>
      <c r="X31" s="428"/>
      <c r="Y31" s="434"/>
      <c r="Z31" s="435">
        <f>SUM('CONSOLIDADO VTAS'!Z854:Z864)</f>
        <v>0</v>
      </c>
      <c r="AA31" s="436"/>
      <c r="AB31" s="436"/>
      <c r="AC31" s="437"/>
      <c r="AD31" s="436"/>
      <c r="AE31" s="437"/>
      <c r="AF31" s="428"/>
      <c r="AG31" s="428"/>
      <c r="AH31" s="428"/>
      <c r="AI31" s="428"/>
      <c r="AJ31" s="438"/>
      <c r="AK31" s="439"/>
      <c r="AL31" s="427"/>
      <c r="AM31" s="427"/>
      <c r="AN31" s="442" t="e">
        <f>SUBTOTAL(109,'CONSOLIDADO VTAS'!AN854:AN864)</f>
        <v>#VALUE!</v>
      </c>
      <c r="AO31" s="439" t="e">
        <f>SUBTOTAL(109,'CONSOLIDADO VTAS'!AO854:AO864)</f>
        <v>#VALUE!</v>
      </c>
    </row>
    <row r="32" spans="1:45" s="395" customFormat="1" ht="15.75" customHeight="1">
      <c r="A32" s="412"/>
      <c r="B32" s="413"/>
      <c r="C32" s="413" t="s">
        <v>215</v>
      </c>
      <c r="D32" s="413"/>
      <c r="E32" s="413"/>
      <c r="F32" s="413"/>
      <c r="G32" s="413"/>
      <c r="H32" s="414"/>
      <c r="I32" s="415" t="e">
        <f>AVERAGE('CONSOLIDADO VTAS'!I854:I864)</f>
        <v>#DIV/0!</v>
      </c>
      <c r="J32" s="416" t="e">
        <f>AVERAGE('CONSOLIDADO VTAS'!J854:J864)</f>
        <v>#DIV/0!</v>
      </c>
      <c r="K32" s="413"/>
      <c r="L32" s="413"/>
      <c r="M32" s="417"/>
      <c r="N32" s="417" t="e">
        <f>+N31/M31</f>
        <v>#DIV/0!</v>
      </c>
      <c r="O32" s="417" t="e">
        <f>+O31/M31</f>
        <v>#DIV/0!</v>
      </c>
      <c r="P32" s="417" t="e">
        <f>+P31/M31</f>
        <v>#DIV/0!</v>
      </c>
      <c r="Q32" s="417" t="e">
        <f>+Q31/M31</f>
        <v>#DIV/0!</v>
      </c>
      <c r="R32" s="418"/>
      <c r="S32" s="414"/>
      <c r="T32" s="419"/>
      <c r="U32" s="419" t="e">
        <f>AVERAGE('CONSOLIDADO VTAS'!U854:U864)</f>
        <v>#DIV/0!</v>
      </c>
      <c r="V32" s="413"/>
      <c r="W32" s="413"/>
      <c r="X32" s="413"/>
      <c r="Y32" s="414"/>
      <c r="Z32" s="415"/>
      <c r="AA32" s="420" t="e">
        <f>AVERAGE('CONSOLIDADO VTAS'!AA854:AA864)</f>
        <v>#DIV/0!</v>
      </c>
      <c r="AB32" s="420">
        <f>AVERAGE('CONSOLIDADO VTAS'!AB854:AB864)</f>
        <v>0</v>
      </c>
      <c r="AC32" s="420" t="e">
        <f>AVERAGE('CONSOLIDADO VTAS'!AC854:AC864)</f>
        <v>#VALUE!</v>
      </c>
      <c r="AD32" s="420" t="e">
        <f>AVERAGE('CONSOLIDADO VTAS'!AD854:AD864)</f>
        <v>#VALUE!</v>
      </c>
      <c r="AE32" s="420" t="e">
        <f>AVERAGE('CONSOLIDADO VTAS'!AE854:AE864)</f>
        <v>#VALUE!</v>
      </c>
      <c r="AF32" s="413"/>
      <c r="AG32" s="413"/>
      <c r="AH32" s="413"/>
      <c r="AI32" s="421"/>
      <c r="AJ32" s="461" t="e">
        <f>AVERAGE('CONSOLIDADO VTAS'!AJ854:AJ864)</f>
        <v>#DIV/0!</v>
      </c>
      <c r="AK32" s="422" t="e">
        <f>AVERAGE('CONSOLIDADO VTAS'!AK854:AK864)</f>
        <v>#VALUE!</v>
      </c>
      <c r="AL32" s="423" t="e">
        <f>AVERAGE('CONSOLIDADO VTAS'!AL854:AL864)</f>
        <v>#DIV/0!</v>
      </c>
      <c r="AM32" s="420">
        <f>SUM(AM31:AM31)</f>
        <v>0</v>
      </c>
      <c r="AN32" s="443" t="s">
        <v>10</v>
      </c>
      <c r="AO32" s="424" t="e">
        <f>+AO31/AN31-1</f>
        <v>#VALUE!</v>
      </c>
      <c r="AR32" s="397"/>
      <c r="AS32" s="396"/>
    </row>
    <row r="33" spans="1:45">
      <c r="B33" s="314"/>
      <c r="C33" s="387" t="s">
        <v>404</v>
      </c>
      <c r="D33" s="308"/>
      <c r="E33" s="308"/>
      <c r="F33" s="308"/>
      <c r="G33" s="308"/>
      <c r="H33" s="308"/>
      <c r="I33" s="309" t="e">
        <f>+ACUMULADOS!I30+I31</f>
        <v>#DIV/0!</v>
      </c>
      <c r="J33" s="399"/>
      <c r="K33" s="400"/>
      <c r="L33" s="401"/>
      <c r="M33" s="310">
        <f>+ACUMULADOS!M30+M31</f>
        <v>7371592212.3529339</v>
      </c>
      <c r="N33" s="311">
        <f>+ACUMULADOS!N30+N31</f>
        <v>1039027690.2578518</v>
      </c>
      <c r="O33" s="310">
        <f>+ACUMULADOS!O30+O31</f>
        <v>142656277.5</v>
      </c>
      <c r="P33" s="312">
        <f>+ACUMULADOS!P30+P31</f>
        <v>0</v>
      </c>
      <c r="Q33" s="312">
        <f ca="1">+ACUMULADOS!Q30+Q31</f>
        <v>3326933256.8999987</v>
      </c>
      <c r="R33" s="402"/>
      <c r="S33" s="314"/>
      <c r="T33" s="314"/>
      <c r="U33" s="314"/>
      <c r="V33" s="314"/>
      <c r="W33" s="314"/>
      <c r="X33" s="314"/>
      <c r="Y33" s="314"/>
      <c r="Z33" s="309">
        <f>+ACUMULADOS!Z30+Z31</f>
        <v>244710.51999999993</v>
      </c>
      <c r="AA33" s="314"/>
      <c r="AB33" s="314"/>
      <c r="AC33" s="314"/>
      <c r="AD33" s="314"/>
      <c r="AE33" s="403"/>
      <c r="AF33" s="404"/>
      <c r="AG33" s="314"/>
      <c r="AH33" s="314"/>
      <c r="AI33" s="405"/>
      <c r="AJ33" s="408"/>
      <c r="AK33" s="394"/>
      <c r="AL33" s="314"/>
      <c r="AM33" s="314"/>
      <c r="AN33" s="406"/>
      <c r="AO33" s="407"/>
    </row>
    <row r="34" spans="1:45" s="395" customFormat="1">
      <c r="A34" s="425">
        <f>+A31+31</f>
        <v>46119</v>
      </c>
      <c r="B34" s="426">
        <f>SUM('CONSOLIDADO VTAS'!B865:B879)</f>
        <v>0</v>
      </c>
      <c r="C34" s="427" t="s">
        <v>138</v>
      </c>
      <c r="D34" s="428"/>
      <c r="E34" s="428"/>
      <c r="F34" s="428"/>
      <c r="G34" s="427"/>
      <c r="H34" s="427"/>
      <c r="I34" s="429">
        <f>SUM('CONSOLIDADO VTAS'!I865:I879)</f>
        <v>0</v>
      </c>
      <c r="J34" s="430"/>
      <c r="K34" s="431">
        <f>SUM('CONSOLIDADO VTAS'!K865:K879)</f>
        <v>0</v>
      </c>
      <c r="L34" s="431">
        <f>SUM('CONSOLIDADO VTAS'!L865:L879)</f>
        <v>0</v>
      </c>
      <c r="M34" s="431">
        <f>SUM('CONSOLIDADO VTAS'!M865:M879)</f>
        <v>0</v>
      </c>
      <c r="N34" s="431">
        <f>SUM('CONSOLIDADO VTAS'!N865:N879)</f>
        <v>0</v>
      </c>
      <c r="O34" s="431">
        <f>SUM('CONSOLIDADO VTAS'!O865:O879)</f>
        <v>0</v>
      </c>
      <c r="P34" s="431">
        <f>SUM('CONSOLIDADO VTAS'!P865:P879)</f>
        <v>0</v>
      </c>
      <c r="Q34" s="431">
        <f>SUM('CONSOLIDADO VTAS'!Q865:Q879)</f>
        <v>0</v>
      </c>
      <c r="R34" s="432"/>
      <c r="S34" s="433"/>
      <c r="T34" s="433"/>
      <c r="U34" s="427"/>
      <c r="V34" s="428"/>
      <c r="W34" s="428"/>
      <c r="X34" s="428"/>
      <c r="Y34" s="434"/>
      <c r="Z34" s="435">
        <f>SUM('CONSOLIDADO VTAS'!Z865:Z879)</f>
        <v>0</v>
      </c>
      <c r="AA34" s="436"/>
      <c r="AB34" s="436"/>
      <c r="AC34" s="437"/>
      <c r="AD34" s="436"/>
      <c r="AE34" s="437"/>
      <c r="AF34" s="428"/>
      <c r="AG34" s="428"/>
      <c r="AH34" s="428"/>
      <c r="AI34" s="428"/>
      <c r="AJ34" s="438"/>
      <c r="AK34" s="439"/>
      <c r="AL34" s="427"/>
      <c r="AM34" s="427"/>
      <c r="AN34" s="442" t="e">
        <f>SUBTOTAL(109,'CONSOLIDADO VTAS'!AN865:AN879)</f>
        <v>#VALUE!</v>
      </c>
      <c r="AO34" s="439" t="e">
        <f>SUBTOTAL(109,'CONSOLIDADO VTAS'!AO865:AO879)</f>
        <v>#VALUE!</v>
      </c>
    </row>
    <row r="35" spans="1:45" s="395" customFormat="1" ht="15.75" customHeight="1">
      <c r="A35" s="412"/>
      <c r="B35" s="413"/>
      <c r="C35" s="413" t="s">
        <v>215</v>
      </c>
      <c r="D35" s="413"/>
      <c r="E35" s="413"/>
      <c r="F35" s="413"/>
      <c r="G35" s="413"/>
      <c r="H35" s="414"/>
      <c r="I35" s="415" t="e">
        <f>AVERAGE('CONSOLIDADO VTAS'!I865:I879)</f>
        <v>#DIV/0!</v>
      </c>
      <c r="J35" s="416" t="e">
        <f>AVERAGE('CONSOLIDADO VTAS'!J865:J879)</f>
        <v>#DIV/0!</v>
      </c>
      <c r="K35" s="413"/>
      <c r="L35" s="413"/>
      <c r="M35" s="417"/>
      <c r="N35" s="417" t="e">
        <f>+N34/M34</f>
        <v>#DIV/0!</v>
      </c>
      <c r="O35" s="417" t="e">
        <f>+O34/M34</f>
        <v>#DIV/0!</v>
      </c>
      <c r="P35" s="417" t="e">
        <f>+P34/M34</f>
        <v>#DIV/0!</v>
      </c>
      <c r="Q35" s="417" t="e">
        <f>+Q34/M34</f>
        <v>#DIV/0!</v>
      </c>
      <c r="R35" s="418"/>
      <c r="S35" s="414"/>
      <c r="T35" s="419"/>
      <c r="U35" s="419" t="e">
        <f>AVERAGE('CONSOLIDADO VTAS'!U865:U879)</f>
        <v>#DIV/0!</v>
      </c>
      <c r="V35" s="413"/>
      <c r="W35" s="413"/>
      <c r="X35" s="413"/>
      <c r="Y35" s="414"/>
      <c r="Z35" s="415"/>
      <c r="AA35" s="420" t="e">
        <f>AVERAGE('CONSOLIDADO VTAS'!AA865:AA879)</f>
        <v>#DIV/0!</v>
      </c>
      <c r="AB35" s="420">
        <f>AVERAGE('CONSOLIDADO VTAS'!AB865:AB879)</f>
        <v>0</v>
      </c>
      <c r="AC35" s="420" t="e">
        <f>AVERAGE('CONSOLIDADO VTAS'!AC865:AC879)</f>
        <v>#VALUE!</v>
      </c>
      <c r="AD35" s="420" t="e">
        <f>AVERAGE('CONSOLIDADO VTAS'!AD865:AD879)</f>
        <v>#VALUE!</v>
      </c>
      <c r="AE35" s="420" t="e">
        <f>AVERAGE('CONSOLIDADO VTAS'!AE865:AE879)</f>
        <v>#VALUE!</v>
      </c>
      <c r="AF35" s="413"/>
      <c r="AG35" s="413"/>
      <c r="AH35" s="413"/>
      <c r="AI35" s="421"/>
      <c r="AJ35" s="461" t="e">
        <f>AVERAGE('CONSOLIDADO VTAS'!AJ865:AJ879)</f>
        <v>#DIV/0!</v>
      </c>
      <c r="AK35" s="422" t="e">
        <f>AVERAGE('CONSOLIDADO VTAS'!AK865:AK879)</f>
        <v>#VALUE!</v>
      </c>
      <c r="AL35" s="423" t="e">
        <f>AVERAGE('CONSOLIDADO VTAS'!AL865:AL879)</f>
        <v>#DIV/0!</v>
      </c>
      <c r="AM35" s="420">
        <f>SUM(AM34:AM34)</f>
        <v>0</v>
      </c>
      <c r="AN35" s="443" t="s">
        <v>10</v>
      </c>
      <c r="AO35" s="424" t="e">
        <f>+AO34/AN34-1</f>
        <v>#VALUE!</v>
      </c>
      <c r="AR35" s="397"/>
      <c r="AS35" s="396"/>
    </row>
    <row r="36" spans="1:45" s="411" customFormat="1" ht="15.75">
      <c r="A36" s="398"/>
      <c r="B36" s="314"/>
      <c r="C36" s="410" t="s">
        <v>405</v>
      </c>
      <c r="D36" s="308"/>
      <c r="E36" s="308"/>
      <c r="F36" s="308"/>
      <c r="G36" s="308"/>
      <c r="H36" s="308"/>
      <c r="I36" s="309" t="e">
        <f>+I34+ACUMULADOS!I33</f>
        <v>#DIV/0!</v>
      </c>
      <c r="J36" s="441" t="e">
        <f>AVERAGE(J2:J35)</f>
        <v>#DIV/0!</v>
      </c>
      <c r="K36" s="440">
        <f>SUM(K2:K35)</f>
        <v>6183065871.5224333</v>
      </c>
      <c r="L36" s="440">
        <f>SUM(L2:L35)</f>
        <v>1188526340.830497</v>
      </c>
      <c r="M36" s="310">
        <f>+M34+ACUMULADOS!M33</f>
        <v>7371592212.3529339</v>
      </c>
      <c r="N36" s="311">
        <f>+N34+ACUMULADOS!N33</f>
        <v>1039027690.2578518</v>
      </c>
      <c r="O36" s="310">
        <f>+O34+ACUMULADOS!O33</f>
        <v>142656277.5</v>
      </c>
      <c r="P36" s="312">
        <f>+P34+ACUMULADOS!P33</f>
        <v>0</v>
      </c>
      <c r="Q36" s="312">
        <f ca="1">+Q34+ACUMULADOS!Q33</f>
        <v>3326933256.8999987</v>
      </c>
      <c r="R36" s="402"/>
      <c r="S36" s="314"/>
      <c r="T36" s="314"/>
      <c r="U36" s="314"/>
      <c r="V36" s="314"/>
      <c r="W36" s="314"/>
      <c r="X36" s="314"/>
      <c r="Y36" s="314"/>
      <c r="Z36" s="309">
        <f>+Z34+ACUMULADOS!Z33</f>
        <v>244710.51999999993</v>
      </c>
      <c r="AA36" s="314"/>
      <c r="AB36" s="314"/>
      <c r="AC36" s="314"/>
      <c r="AD36" s="314"/>
      <c r="AE36" s="403"/>
      <c r="AF36" s="404"/>
      <c r="AG36" s="314"/>
      <c r="AH36" s="314"/>
      <c r="AI36" s="405"/>
      <c r="AJ36" s="408"/>
      <c r="AK36" s="394"/>
      <c r="AL36" s="314"/>
      <c r="AM36" s="314"/>
      <c r="AN36" s="406"/>
      <c r="AO36" s="407"/>
    </row>
    <row r="37" spans="1:45">
      <c r="M37" s="409"/>
    </row>
    <row r="38" spans="1:45">
      <c r="M38" s="409"/>
      <c r="P38" s="409"/>
      <c r="Q38" s="409"/>
    </row>
    <row r="39" spans="1:45">
      <c r="M39" s="409"/>
      <c r="Q39" s="409"/>
    </row>
  </sheetData>
  <pageMargins left="0.7" right="0.7" top="0.75" bottom="0.75" header="0.3" footer="0.3"/>
  <ignoredErrors>
    <ignoredError sqref="J3:J11 B2:B11 J12:J14 B12:B14 J15 B15:B17 B21:B23 B24:B26 B27:B29 B30:B32 B33:B35 B18:B20 I18:I19 I15:I17 I12:I14 I3:I11 I2 I20:I27 N37:P39 U37:U40 U3:U7 Q2 N2:P2 B36 J17:J28 O36:P36 AB3:AB7 AD6:AD7 AJ37 J30:J31 I32:I35 J33:J35 Q36 AJ36" formulaRange="1"/>
    <ignoredError sqref="Q32:Q35 N32:P35 Q29:Q30 N29:P30 N3:P3 Q3 N5:P27 Q5:Q27 AD33:AD36 AB33:AB36 U33:U36 AD30:AD31 AB30:AB31 AD8:AD28 AB8:AB28 U8:U31 AJ33:AJ35 AJ30:AJ31 AJ5:AJ28 AD3:AD5" evalError="1" formulaRange="1"/>
    <ignoredError sqref="N28:Q28 N31:Q31 U32:AD32 V29:AD29 V8:AA28 AC8:AC28 V30:AA31 AC30:AC31 V33:AA36 AC33:AC36 AE2:AN4 AE29:AN29 AE5:AI28 AK5:AN28 AE32:AN32 AE30:AI31 AK30:AN31 AE33:AI35 AK33:AN35 AC3:AC5" evalError="1"/>
    <ignoredError sqref="Q4 N4:P4" evalError="1" formula="1"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F04F-A7EB-4BD7-B167-63463137A2DF}">
  <dimension ref="A1:H57"/>
  <sheetViews>
    <sheetView topLeftCell="A40" workbookViewId="0">
      <selection activeCell="A53" sqref="A53"/>
    </sheetView>
  </sheetViews>
  <sheetFormatPr baseColWidth="10" defaultRowHeight="15"/>
  <cols>
    <col min="1" max="1" width="42" customWidth="1"/>
    <col min="2" max="8" width="24.42578125" customWidth="1"/>
  </cols>
  <sheetData>
    <row r="1" spans="1:8">
      <c r="A1" s="384" t="s">
        <v>151</v>
      </c>
      <c r="B1" s="384" t="s">
        <v>189</v>
      </c>
      <c r="C1" s="384" t="s">
        <v>190</v>
      </c>
      <c r="D1" s="384" t="s">
        <v>208</v>
      </c>
      <c r="E1" s="384" t="s">
        <v>152</v>
      </c>
      <c r="F1" s="914" t="s">
        <v>478</v>
      </c>
      <c r="G1" s="384" t="s">
        <v>230</v>
      </c>
      <c r="H1" s="908" t="s">
        <v>300</v>
      </c>
    </row>
    <row r="2" spans="1:8">
      <c r="A2" s="384" t="s">
        <v>407</v>
      </c>
      <c r="B2" s="914" t="s">
        <v>469</v>
      </c>
      <c r="C2" s="384" t="s">
        <v>357</v>
      </c>
      <c r="D2" s="907" t="s">
        <v>392</v>
      </c>
      <c r="E2" s="384" t="s">
        <v>368</v>
      </c>
      <c r="F2" s="384" t="s">
        <v>386</v>
      </c>
      <c r="G2" s="384" t="s">
        <v>259</v>
      </c>
      <c r="H2" s="384">
        <v>1</v>
      </c>
    </row>
    <row r="3" spans="1:8">
      <c r="A3" s="384" t="s">
        <v>447</v>
      </c>
      <c r="B3" s="915" t="s">
        <v>468</v>
      </c>
      <c r="C3" s="384" t="s">
        <v>216</v>
      </c>
      <c r="D3" s="907" t="s">
        <v>393</v>
      </c>
      <c r="E3" s="384" t="s">
        <v>361</v>
      </c>
      <c r="F3" s="384" t="s">
        <v>388</v>
      </c>
      <c r="G3" s="384" t="s">
        <v>261</v>
      </c>
      <c r="H3" s="384">
        <v>2</v>
      </c>
    </row>
    <row r="4" spans="1:8">
      <c r="A4" s="384" t="s">
        <v>436</v>
      </c>
      <c r="B4" s="384" t="s">
        <v>448</v>
      </c>
      <c r="C4" s="384"/>
      <c r="D4" s="909" t="s">
        <v>394</v>
      </c>
      <c r="E4" s="384" t="s">
        <v>383</v>
      </c>
      <c r="F4" s="384" t="s">
        <v>361</v>
      </c>
      <c r="G4" s="384" t="s">
        <v>258</v>
      </c>
      <c r="H4" s="384">
        <v>3</v>
      </c>
    </row>
    <row r="5" spans="1:8">
      <c r="A5" s="384" t="s">
        <v>432</v>
      </c>
      <c r="B5" s="384" t="s">
        <v>358</v>
      </c>
      <c r="C5" s="384"/>
      <c r="D5" s="384" t="s">
        <v>360</v>
      </c>
      <c r="E5" s="384" t="s">
        <v>378</v>
      </c>
      <c r="F5" s="384" t="s">
        <v>389</v>
      </c>
      <c r="G5" s="384" t="s">
        <v>391</v>
      </c>
      <c r="H5" s="384">
        <v>4</v>
      </c>
    </row>
    <row r="6" spans="1:8">
      <c r="A6" s="384" t="s">
        <v>414</v>
      </c>
      <c r="B6" s="384" t="s">
        <v>356</v>
      </c>
      <c r="C6" s="384"/>
      <c r="D6" s="384" t="s">
        <v>359</v>
      </c>
      <c r="E6" s="384" t="s">
        <v>371</v>
      </c>
      <c r="F6" s="384" t="s">
        <v>390</v>
      </c>
      <c r="G6" s="384" t="s">
        <v>260</v>
      </c>
      <c r="H6" s="384">
        <v>5</v>
      </c>
    </row>
    <row r="7" spans="1:8">
      <c r="A7" s="384" t="s">
        <v>417</v>
      </c>
      <c r="B7" s="384"/>
      <c r="C7" s="384"/>
      <c r="D7" s="790" t="s">
        <v>476</v>
      </c>
      <c r="E7" s="384" t="s">
        <v>372</v>
      </c>
      <c r="F7" s="384" t="s">
        <v>387</v>
      </c>
      <c r="G7" s="384"/>
      <c r="H7" s="384"/>
    </row>
    <row r="8" spans="1:8">
      <c r="A8" s="384" t="s">
        <v>420</v>
      </c>
      <c r="B8" s="384"/>
      <c r="C8" s="384"/>
      <c r="E8" s="384" t="s">
        <v>374</v>
      </c>
      <c r="F8" s="384"/>
      <c r="G8" s="384"/>
      <c r="H8" s="384"/>
    </row>
    <row r="9" spans="1:8">
      <c r="A9" s="790" t="s">
        <v>450</v>
      </c>
      <c r="B9" s="384"/>
      <c r="C9" s="384"/>
      <c r="E9" s="384" t="s">
        <v>373</v>
      </c>
      <c r="F9" s="384"/>
      <c r="G9" s="384"/>
      <c r="H9" s="384"/>
    </row>
    <row r="10" spans="1:8">
      <c r="A10" s="384" t="s">
        <v>437</v>
      </c>
      <c r="B10" s="384"/>
      <c r="C10" s="384"/>
      <c r="D10" s="384"/>
      <c r="E10" s="384" t="s">
        <v>380</v>
      </c>
      <c r="F10" s="384"/>
      <c r="G10" s="384"/>
      <c r="H10" s="384"/>
    </row>
    <row r="11" spans="1:8">
      <c r="A11" s="384" t="s">
        <v>438</v>
      </c>
      <c r="B11" s="384"/>
      <c r="C11" s="384"/>
      <c r="D11" s="384"/>
      <c r="E11" s="384" t="s">
        <v>367</v>
      </c>
      <c r="F11" s="384"/>
      <c r="G11" s="384"/>
      <c r="H11" s="384"/>
    </row>
    <row r="12" spans="1:8">
      <c r="A12" s="790" t="s">
        <v>451</v>
      </c>
      <c r="B12" s="384"/>
      <c r="C12" s="384"/>
      <c r="D12" s="384"/>
      <c r="E12" s="384" t="s">
        <v>370</v>
      </c>
      <c r="F12" s="384"/>
      <c r="G12" s="384"/>
      <c r="H12" s="384"/>
    </row>
    <row r="13" spans="1:8">
      <c r="A13" s="790" t="s">
        <v>559</v>
      </c>
      <c r="B13" s="384"/>
      <c r="C13" s="384"/>
      <c r="D13" s="384"/>
      <c r="E13" s="384" t="s">
        <v>376</v>
      </c>
      <c r="F13" s="384"/>
      <c r="G13" s="384"/>
      <c r="H13" s="384"/>
    </row>
    <row r="14" spans="1:8">
      <c r="A14" s="384" t="s">
        <v>416</v>
      </c>
      <c r="B14" s="384"/>
      <c r="C14" s="384"/>
      <c r="D14" s="384"/>
      <c r="E14" s="384" t="s">
        <v>379</v>
      </c>
      <c r="F14" s="384"/>
      <c r="G14" s="384"/>
      <c r="H14" s="384"/>
    </row>
    <row r="15" spans="1:8">
      <c r="A15" s="384" t="s">
        <v>439</v>
      </c>
      <c r="B15" s="384"/>
      <c r="C15" s="384"/>
      <c r="D15" s="384"/>
      <c r="E15" s="384" t="s">
        <v>384</v>
      </c>
      <c r="F15" s="384"/>
      <c r="G15" s="384"/>
      <c r="H15" s="384"/>
    </row>
    <row r="16" spans="1:8">
      <c r="A16" s="384" t="s">
        <v>418</v>
      </c>
      <c r="B16" s="384"/>
      <c r="C16" s="384"/>
      <c r="D16" s="384"/>
      <c r="E16" s="384" t="s">
        <v>366</v>
      </c>
      <c r="F16" s="384"/>
      <c r="G16" s="384"/>
      <c r="H16" s="384"/>
    </row>
    <row r="17" spans="1:8">
      <c r="A17" s="384" t="s">
        <v>445</v>
      </c>
      <c r="B17" s="384"/>
      <c r="C17" s="384"/>
      <c r="D17" s="384"/>
      <c r="E17" s="384" t="s">
        <v>364</v>
      </c>
      <c r="F17" s="384"/>
      <c r="G17" s="384"/>
      <c r="H17" s="384"/>
    </row>
    <row r="18" spans="1:8">
      <c r="A18" s="384" t="s">
        <v>422</v>
      </c>
      <c r="B18" s="384"/>
      <c r="C18" s="384"/>
      <c r="D18" s="384"/>
      <c r="E18" s="384" t="s">
        <v>365</v>
      </c>
      <c r="F18" s="384"/>
      <c r="G18" s="384"/>
      <c r="H18" s="384"/>
    </row>
    <row r="19" spans="1:8">
      <c r="A19" s="384" t="s">
        <v>441</v>
      </c>
      <c r="B19" s="384"/>
      <c r="C19" s="384"/>
      <c r="D19" s="384"/>
      <c r="E19" s="384" t="s">
        <v>369</v>
      </c>
      <c r="F19" s="384"/>
      <c r="G19" s="384"/>
      <c r="H19" s="384"/>
    </row>
    <row r="20" spans="1:8">
      <c r="A20" s="384" t="s">
        <v>440</v>
      </c>
      <c r="B20" s="384"/>
      <c r="C20" s="384"/>
      <c r="D20" s="384"/>
      <c r="E20" s="384" t="s">
        <v>375</v>
      </c>
      <c r="F20" s="384"/>
      <c r="G20" s="384"/>
      <c r="H20" s="384"/>
    </row>
    <row r="21" spans="1:8">
      <c r="A21" s="790" t="s">
        <v>453</v>
      </c>
      <c r="B21" s="384"/>
      <c r="C21" s="384"/>
      <c r="D21" s="384"/>
      <c r="E21" s="384" t="s">
        <v>377</v>
      </c>
      <c r="F21" s="384"/>
      <c r="G21" s="384"/>
      <c r="H21" s="384"/>
    </row>
    <row r="22" spans="1:8">
      <c r="A22" s="384" t="s">
        <v>435</v>
      </c>
      <c r="B22" s="384"/>
      <c r="C22" s="384"/>
      <c r="D22" s="384"/>
      <c r="E22" s="384" t="s">
        <v>381</v>
      </c>
      <c r="F22" s="384"/>
      <c r="G22" s="384"/>
      <c r="H22" s="384"/>
    </row>
    <row r="23" spans="1:8">
      <c r="A23" s="384" t="s">
        <v>409</v>
      </c>
      <c r="B23" s="384"/>
      <c r="C23" s="384"/>
      <c r="D23" s="384"/>
      <c r="E23" s="384" t="s">
        <v>385</v>
      </c>
      <c r="F23" s="384"/>
      <c r="G23" s="384"/>
      <c r="H23" s="384"/>
    </row>
    <row r="24" spans="1:8">
      <c r="A24" s="384" t="s">
        <v>426</v>
      </c>
      <c r="B24" s="384"/>
      <c r="C24" s="384"/>
      <c r="D24" s="384"/>
      <c r="E24" s="384" t="s">
        <v>382</v>
      </c>
      <c r="F24" s="384"/>
      <c r="G24" s="384"/>
      <c r="H24" s="384"/>
    </row>
    <row r="25" spans="1:8">
      <c r="A25" s="384" t="s">
        <v>415</v>
      </c>
      <c r="B25" s="384"/>
      <c r="C25" s="384"/>
      <c r="D25" s="384"/>
      <c r="E25" s="384" t="s">
        <v>363</v>
      </c>
      <c r="F25" s="384"/>
      <c r="G25" s="384"/>
      <c r="H25" s="384"/>
    </row>
    <row r="26" spans="1:8">
      <c r="A26" s="384" t="s">
        <v>427</v>
      </c>
      <c r="B26" s="384"/>
      <c r="C26" s="384"/>
      <c r="D26" s="384"/>
      <c r="E26" s="384" t="s">
        <v>362</v>
      </c>
      <c r="F26" s="384"/>
      <c r="G26" s="384"/>
      <c r="H26" s="384"/>
    </row>
    <row r="27" spans="1:8">
      <c r="A27" s="910" t="s">
        <v>408</v>
      </c>
      <c r="B27" s="384"/>
      <c r="C27" s="384"/>
      <c r="D27" s="384"/>
      <c r="E27" s="915" t="s">
        <v>475</v>
      </c>
      <c r="F27" s="384"/>
      <c r="G27" s="384"/>
      <c r="H27" s="384"/>
    </row>
    <row r="28" spans="1:8">
      <c r="A28" s="384" t="s">
        <v>411</v>
      </c>
      <c r="B28" s="384"/>
      <c r="C28" s="384"/>
      <c r="D28" s="384"/>
      <c r="E28" s="915" t="s">
        <v>477</v>
      </c>
      <c r="F28" s="384"/>
      <c r="G28" s="384"/>
      <c r="H28" s="384"/>
    </row>
    <row r="29" spans="1:8">
      <c r="A29" s="384" t="s">
        <v>419</v>
      </c>
      <c r="B29" s="384"/>
      <c r="C29" s="384"/>
      <c r="D29" s="384"/>
      <c r="E29" s="915" t="s">
        <v>542</v>
      </c>
      <c r="F29" s="384"/>
      <c r="G29" s="384"/>
      <c r="H29" s="384"/>
    </row>
    <row r="30" spans="1:8">
      <c r="A30" s="384" t="s">
        <v>429</v>
      </c>
      <c r="B30" s="384"/>
      <c r="C30" s="384"/>
      <c r="D30" s="384"/>
      <c r="E30" s="384"/>
      <c r="F30" s="384"/>
      <c r="G30" s="384"/>
      <c r="H30" s="384"/>
    </row>
    <row r="31" spans="1:8">
      <c r="A31" s="384" t="s">
        <v>406</v>
      </c>
      <c r="B31" s="384"/>
      <c r="C31" s="384"/>
      <c r="D31" s="384"/>
      <c r="E31" s="384"/>
      <c r="F31" s="384"/>
      <c r="G31" s="384"/>
      <c r="H31" s="384"/>
    </row>
    <row r="32" spans="1:8">
      <c r="A32" s="384" t="s">
        <v>423</v>
      </c>
      <c r="B32" s="384"/>
      <c r="C32" s="384"/>
      <c r="D32" s="384"/>
      <c r="E32" s="384"/>
      <c r="F32" s="384"/>
      <c r="G32" s="384"/>
      <c r="H32" s="384"/>
    </row>
    <row r="33" spans="1:8">
      <c r="A33" s="910" t="s">
        <v>471</v>
      </c>
      <c r="B33" s="384"/>
      <c r="C33" s="384"/>
      <c r="D33" s="384"/>
      <c r="E33" s="384"/>
      <c r="F33" s="384"/>
      <c r="G33" s="384"/>
      <c r="H33" s="384"/>
    </row>
    <row r="34" spans="1:8">
      <c r="A34" s="384" t="s">
        <v>434</v>
      </c>
      <c r="B34" s="384"/>
      <c r="C34" s="384"/>
      <c r="D34" s="384"/>
      <c r="E34" s="384"/>
      <c r="F34" s="384"/>
      <c r="G34" s="384"/>
      <c r="H34" s="384"/>
    </row>
    <row r="35" spans="1:8">
      <c r="A35" s="384" t="s">
        <v>412</v>
      </c>
      <c r="B35" s="384"/>
      <c r="C35" s="384"/>
      <c r="D35" s="384"/>
      <c r="E35" s="384"/>
      <c r="F35" s="384"/>
      <c r="G35" s="384"/>
      <c r="H35" s="384"/>
    </row>
    <row r="36" spans="1:8">
      <c r="A36" s="384" t="s">
        <v>442</v>
      </c>
      <c r="B36" s="384"/>
      <c r="C36" s="384"/>
      <c r="D36" s="384"/>
      <c r="E36" s="384"/>
      <c r="F36" s="384"/>
      <c r="G36" s="384"/>
      <c r="H36" s="384"/>
    </row>
    <row r="37" spans="1:8">
      <c r="A37" s="790" t="s">
        <v>472</v>
      </c>
      <c r="B37" s="384"/>
      <c r="C37" s="384"/>
      <c r="D37" s="384"/>
      <c r="E37" s="384"/>
      <c r="F37" s="384"/>
      <c r="G37" s="384"/>
      <c r="H37" s="384"/>
    </row>
    <row r="38" spans="1:8">
      <c r="A38" s="384" t="s">
        <v>413</v>
      </c>
      <c r="B38" s="384"/>
      <c r="C38" s="384"/>
      <c r="D38" s="384"/>
      <c r="E38" s="384"/>
      <c r="F38" s="384"/>
      <c r="G38" s="384"/>
      <c r="H38" s="384"/>
    </row>
    <row r="39" spans="1:8">
      <c r="A39" s="384" t="s">
        <v>444</v>
      </c>
      <c r="B39" s="384"/>
      <c r="C39" s="384"/>
      <c r="D39" s="384"/>
      <c r="E39" s="384"/>
      <c r="F39" s="384"/>
      <c r="G39" s="384"/>
      <c r="H39" s="384"/>
    </row>
    <row r="40" spans="1:8">
      <c r="A40" s="384" t="s">
        <v>421</v>
      </c>
      <c r="B40" s="384"/>
      <c r="C40" s="384"/>
      <c r="D40" s="384"/>
      <c r="E40" s="384"/>
      <c r="F40" s="384"/>
      <c r="G40" s="384"/>
      <c r="H40" s="384"/>
    </row>
    <row r="41" spans="1:8">
      <c r="A41" s="384" t="s">
        <v>430</v>
      </c>
      <c r="B41" s="384"/>
      <c r="C41" s="384"/>
      <c r="D41" s="384"/>
      <c r="E41" s="384"/>
      <c r="F41" s="384"/>
      <c r="G41" s="384"/>
      <c r="H41" s="384"/>
    </row>
    <row r="42" spans="1:8">
      <c r="A42" s="384" t="s">
        <v>428</v>
      </c>
      <c r="B42" s="384"/>
      <c r="C42" s="384"/>
      <c r="D42" s="384"/>
      <c r="E42" s="384"/>
      <c r="F42" s="384"/>
      <c r="G42" s="384"/>
      <c r="H42" s="384"/>
    </row>
    <row r="43" spans="1:8">
      <c r="A43" s="384" t="s">
        <v>424</v>
      </c>
      <c r="B43" s="384"/>
      <c r="C43" s="384"/>
      <c r="D43" s="384"/>
      <c r="E43" s="384"/>
      <c r="F43" s="384"/>
      <c r="G43" s="384"/>
      <c r="H43" s="384"/>
    </row>
    <row r="44" spans="1:8">
      <c r="A44" s="384" t="s">
        <v>446</v>
      </c>
    </row>
    <row r="45" spans="1:8">
      <c r="A45" s="384" t="s">
        <v>431</v>
      </c>
    </row>
    <row r="46" spans="1:8">
      <c r="A46" s="384" t="s">
        <v>433</v>
      </c>
    </row>
    <row r="47" spans="1:8">
      <c r="A47" s="914" t="s">
        <v>473</v>
      </c>
    </row>
    <row r="48" spans="1:8">
      <c r="A48" s="384" t="s">
        <v>410</v>
      </c>
    </row>
    <row r="49" spans="1:1">
      <c r="A49" s="384" t="s">
        <v>443</v>
      </c>
    </row>
    <row r="50" spans="1:1">
      <c r="A50" s="384" t="s">
        <v>425</v>
      </c>
    </row>
    <row r="51" spans="1:1">
      <c r="A51" t="s">
        <v>483</v>
      </c>
    </row>
    <row r="52" spans="1:1">
      <c r="A52" t="s">
        <v>525</v>
      </c>
    </row>
    <row r="53" spans="1:1">
      <c r="A53" t="s">
        <v>529</v>
      </c>
    </row>
    <row r="54" spans="1:1">
      <c r="A54" s="384" t="s">
        <v>530</v>
      </c>
    </row>
    <row r="55" spans="1:1">
      <c r="A55" s="384" t="s">
        <v>531</v>
      </c>
    </row>
    <row r="56" spans="1:1">
      <c r="A56" s="384" t="s">
        <v>566</v>
      </c>
    </row>
    <row r="57" spans="1:1">
      <c r="A57" s="942" t="s">
        <v>541</v>
      </c>
    </row>
  </sheetData>
  <sortState xmlns:xlrd2="http://schemas.microsoft.com/office/spreadsheetml/2017/richdata2" ref="G2:G8">
    <sortCondition ref="G2:G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D387-FD6A-4F81-99DC-95EA1FE82A3D}">
  <dimension ref="A1:U68"/>
  <sheetViews>
    <sheetView topLeftCell="A36" workbookViewId="0">
      <selection activeCell="A2" sqref="A2"/>
    </sheetView>
  </sheetViews>
  <sheetFormatPr baseColWidth="10" defaultRowHeight="15"/>
  <cols>
    <col min="1" max="1" width="44.42578125" bestFit="1" customWidth="1"/>
    <col min="2" max="2" width="20.140625" style="729" bestFit="1" customWidth="1"/>
    <col min="3" max="3" width="7.5703125" style="729" bestFit="1" customWidth="1"/>
    <col min="4" max="4" width="6.5703125" style="729" bestFit="1" customWidth="1"/>
    <col min="5" max="5" width="12.5703125" style="729" bestFit="1" customWidth="1"/>
    <col min="6" max="8" width="6.5703125" style="729" bestFit="1" customWidth="1"/>
    <col min="9" max="9" width="4.140625" style="729" bestFit="1" customWidth="1"/>
    <col min="10" max="10" width="4.85546875" style="729" bestFit="1" customWidth="1"/>
    <col min="11" max="11" width="3.7109375" style="729" bestFit="1" customWidth="1"/>
    <col min="12" max="12" width="4.28515625" style="729" bestFit="1" customWidth="1"/>
    <col min="13" max="13" width="3.5703125" style="729" bestFit="1" customWidth="1"/>
    <col min="14" max="14" width="12.5703125" style="729" bestFit="1" customWidth="1"/>
    <col min="15" max="15" width="9.85546875" style="729" bestFit="1" customWidth="1"/>
    <col min="16" max="16" width="12.5703125" style="729" bestFit="1" customWidth="1"/>
    <col min="17" max="17" width="11.42578125" style="729" bestFit="1" customWidth="1"/>
    <col min="18" max="18" width="8.42578125" style="729" bestFit="1" customWidth="1"/>
    <col min="19" max="19" width="11.42578125" style="729" bestFit="1" customWidth="1"/>
    <col min="20" max="20" width="9.85546875" style="729" bestFit="1" customWidth="1"/>
    <col min="21" max="21" width="12.5703125" style="729" bestFit="1" customWidth="1"/>
  </cols>
  <sheetData>
    <row r="1" spans="1:21">
      <c r="A1" s="473" t="s">
        <v>245</v>
      </c>
      <c r="B1" s="728" t="s">
        <v>281</v>
      </c>
      <c r="F1"/>
      <c r="G1"/>
      <c r="H1"/>
      <c r="I1"/>
      <c r="J1"/>
      <c r="K1"/>
      <c r="L1"/>
      <c r="M1"/>
      <c r="N1"/>
      <c r="O1"/>
      <c r="P1"/>
      <c r="Q1"/>
      <c r="R1"/>
      <c r="S1"/>
      <c r="T1"/>
      <c r="U1"/>
    </row>
    <row r="2" spans="1:21">
      <c r="A2" s="473" t="s">
        <v>279</v>
      </c>
      <c r="B2" s="318" t="s">
        <v>288</v>
      </c>
      <c r="C2" s="318" t="s">
        <v>289</v>
      </c>
      <c r="D2" s="318" t="s">
        <v>290</v>
      </c>
      <c r="E2" s="934" t="s">
        <v>243</v>
      </c>
      <c r="F2"/>
      <c r="G2"/>
      <c r="H2"/>
      <c r="I2"/>
      <c r="J2"/>
      <c r="K2"/>
      <c r="L2"/>
      <c r="M2"/>
      <c r="N2"/>
      <c r="O2"/>
      <c r="P2"/>
      <c r="Q2"/>
      <c r="R2"/>
      <c r="S2"/>
      <c r="T2"/>
      <c r="U2"/>
    </row>
    <row r="3" spans="1:21">
      <c r="A3" s="506" t="s">
        <v>259</v>
      </c>
      <c r="B3" s="730">
        <v>8961.92</v>
      </c>
      <c r="C3" s="730">
        <v>2800.6</v>
      </c>
      <c r="D3" s="730"/>
      <c r="E3" s="730">
        <v>11762.52</v>
      </c>
      <c r="F3"/>
      <c r="G3"/>
      <c r="H3"/>
      <c r="I3"/>
      <c r="J3"/>
      <c r="K3"/>
      <c r="L3"/>
      <c r="M3"/>
      <c r="N3"/>
      <c r="O3"/>
      <c r="P3"/>
      <c r="Q3"/>
      <c r="R3"/>
      <c r="S3"/>
      <c r="T3"/>
      <c r="U3"/>
    </row>
    <row r="4" spans="1:21">
      <c r="A4" s="931" t="s">
        <v>407</v>
      </c>
      <c r="B4" s="730">
        <v>4480.96</v>
      </c>
      <c r="C4" s="730"/>
      <c r="D4" s="730"/>
      <c r="E4" s="730">
        <v>4480.96</v>
      </c>
      <c r="F4"/>
      <c r="G4"/>
      <c r="H4"/>
      <c r="I4"/>
      <c r="J4"/>
      <c r="K4"/>
      <c r="L4"/>
      <c r="M4"/>
      <c r="N4"/>
      <c r="O4"/>
      <c r="P4"/>
      <c r="Q4"/>
      <c r="R4"/>
      <c r="S4"/>
      <c r="T4"/>
      <c r="U4"/>
    </row>
    <row r="5" spans="1:21">
      <c r="A5" s="931" t="s">
        <v>473</v>
      </c>
      <c r="B5" s="730">
        <v>4480.96</v>
      </c>
      <c r="C5" s="730"/>
      <c r="D5" s="730"/>
      <c r="E5" s="730">
        <v>4480.96</v>
      </c>
      <c r="F5"/>
      <c r="G5"/>
      <c r="H5"/>
      <c r="I5"/>
      <c r="J5"/>
      <c r="K5"/>
      <c r="L5"/>
      <c r="M5"/>
      <c r="N5"/>
      <c r="O5"/>
      <c r="P5"/>
      <c r="Q5"/>
      <c r="R5"/>
      <c r="S5"/>
      <c r="T5"/>
      <c r="U5"/>
    </row>
    <row r="6" spans="1:21">
      <c r="A6" s="931" t="s">
        <v>408</v>
      </c>
      <c r="B6" s="730"/>
      <c r="C6" s="730">
        <v>2800.6</v>
      </c>
      <c r="D6" s="730"/>
      <c r="E6" s="730">
        <v>2800.6</v>
      </c>
      <c r="F6"/>
      <c r="G6"/>
      <c r="H6"/>
      <c r="I6"/>
      <c r="J6"/>
      <c r="K6"/>
      <c r="L6"/>
      <c r="M6"/>
      <c r="N6"/>
      <c r="O6"/>
      <c r="P6"/>
      <c r="Q6"/>
      <c r="R6"/>
      <c r="S6"/>
      <c r="T6"/>
      <c r="U6"/>
    </row>
    <row r="7" spans="1:21">
      <c r="A7" s="506" t="s">
        <v>258</v>
      </c>
      <c r="B7" s="730">
        <v>26950</v>
      </c>
      <c r="C7" s="730">
        <v>3470</v>
      </c>
      <c r="D7" s="730"/>
      <c r="E7" s="730">
        <v>30420</v>
      </c>
      <c r="F7"/>
      <c r="G7"/>
      <c r="H7"/>
      <c r="I7"/>
      <c r="J7"/>
      <c r="K7"/>
      <c r="L7"/>
      <c r="M7"/>
      <c r="N7"/>
      <c r="O7"/>
      <c r="P7"/>
      <c r="Q7"/>
      <c r="R7"/>
      <c r="S7"/>
      <c r="T7"/>
      <c r="U7"/>
    </row>
    <row r="8" spans="1:21">
      <c r="A8" s="931" t="s">
        <v>449</v>
      </c>
      <c r="B8" s="730">
        <v>1100</v>
      </c>
      <c r="C8" s="730"/>
      <c r="D8" s="730"/>
      <c r="E8" s="730">
        <v>1100</v>
      </c>
      <c r="F8"/>
      <c r="G8"/>
      <c r="H8"/>
      <c r="I8"/>
      <c r="J8"/>
      <c r="K8"/>
      <c r="L8"/>
      <c r="M8"/>
      <c r="N8"/>
      <c r="O8"/>
      <c r="P8"/>
      <c r="Q8"/>
      <c r="R8"/>
      <c r="S8"/>
      <c r="T8"/>
      <c r="U8"/>
    </row>
    <row r="9" spans="1:21">
      <c r="A9" s="931" t="s">
        <v>420</v>
      </c>
      <c r="B9" s="730"/>
      <c r="C9" s="730">
        <v>550</v>
      </c>
      <c r="D9" s="730"/>
      <c r="E9" s="730">
        <v>550</v>
      </c>
      <c r="F9"/>
      <c r="G9"/>
      <c r="H9"/>
      <c r="I9"/>
      <c r="J9"/>
      <c r="K9"/>
      <c r="L9"/>
      <c r="M9"/>
      <c r="N9"/>
      <c r="O9"/>
      <c r="P9"/>
      <c r="Q9"/>
      <c r="R9"/>
      <c r="S9"/>
      <c r="T9"/>
      <c r="U9"/>
    </row>
    <row r="10" spans="1:21">
      <c r="A10" s="931" t="s">
        <v>437</v>
      </c>
      <c r="B10" s="730">
        <v>3210</v>
      </c>
      <c r="C10" s="730"/>
      <c r="D10" s="730"/>
      <c r="E10" s="730">
        <v>3210</v>
      </c>
      <c r="F10"/>
      <c r="G10"/>
      <c r="H10"/>
      <c r="I10"/>
      <c r="J10"/>
      <c r="K10"/>
      <c r="L10"/>
      <c r="M10"/>
      <c r="N10"/>
      <c r="O10"/>
      <c r="P10"/>
      <c r="Q10"/>
      <c r="R10"/>
      <c r="S10"/>
      <c r="T10"/>
      <c r="U10"/>
    </row>
    <row r="11" spans="1:21">
      <c r="A11" s="931" t="s">
        <v>422</v>
      </c>
      <c r="B11" s="730">
        <v>560</v>
      </c>
      <c r="C11" s="730"/>
      <c r="D11" s="730"/>
      <c r="E11" s="730">
        <v>560</v>
      </c>
      <c r="F11"/>
      <c r="G11"/>
      <c r="H11"/>
      <c r="I11"/>
      <c r="J11"/>
      <c r="K11"/>
      <c r="L11"/>
      <c r="M11"/>
      <c r="N11"/>
      <c r="O11"/>
      <c r="P11"/>
      <c r="Q11"/>
      <c r="R11"/>
      <c r="S11"/>
      <c r="T11"/>
      <c r="U11"/>
    </row>
    <row r="12" spans="1:21">
      <c r="A12" s="931" t="s">
        <v>440</v>
      </c>
      <c r="B12" s="730">
        <v>1160</v>
      </c>
      <c r="C12" s="730"/>
      <c r="D12" s="730"/>
      <c r="E12" s="730">
        <v>1160</v>
      </c>
      <c r="F12"/>
      <c r="G12"/>
      <c r="H12"/>
      <c r="I12"/>
      <c r="J12"/>
      <c r="K12"/>
      <c r="L12"/>
      <c r="M12"/>
      <c r="N12"/>
      <c r="O12"/>
      <c r="P12"/>
      <c r="Q12"/>
      <c r="R12"/>
      <c r="S12"/>
      <c r="T12"/>
      <c r="U12"/>
    </row>
    <row r="13" spans="1:21">
      <c r="A13" s="931" t="s">
        <v>409</v>
      </c>
      <c r="B13" s="730">
        <v>2800</v>
      </c>
      <c r="C13" s="730"/>
      <c r="D13" s="730"/>
      <c r="E13" s="730">
        <v>2800</v>
      </c>
      <c r="F13"/>
      <c r="G13"/>
      <c r="H13"/>
      <c r="I13"/>
      <c r="J13"/>
      <c r="K13"/>
      <c r="L13"/>
      <c r="M13"/>
      <c r="N13"/>
      <c r="O13"/>
      <c r="P13"/>
      <c r="Q13"/>
      <c r="R13"/>
      <c r="S13"/>
      <c r="T13"/>
      <c r="U13"/>
    </row>
    <row r="14" spans="1:21">
      <c r="A14" s="931" t="s">
        <v>411</v>
      </c>
      <c r="B14" s="730">
        <v>3360</v>
      </c>
      <c r="C14" s="730"/>
      <c r="D14" s="730"/>
      <c r="E14" s="730">
        <v>3360</v>
      </c>
      <c r="F14"/>
      <c r="G14"/>
      <c r="H14"/>
      <c r="I14"/>
      <c r="J14"/>
      <c r="K14"/>
      <c r="L14"/>
      <c r="M14"/>
      <c r="N14"/>
      <c r="O14"/>
      <c r="P14"/>
      <c r="Q14"/>
      <c r="R14"/>
      <c r="S14"/>
      <c r="T14"/>
      <c r="U14"/>
    </row>
    <row r="15" spans="1:21">
      <c r="A15" s="931" t="s">
        <v>442</v>
      </c>
      <c r="B15" s="730">
        <v>560</v>
      </c>
      <c r="C15" s="730"/>
      <c r="D15" s="730"/>
      <c r="E15" s="730">
        <v>560</v>
      </c>
      <c r="F15"/>
      <c r="G15"/>
      <c r="H15"/>
      <c r="I15"/>
      <c r="J15"/>
      <c r="K15"/>
      <c r="L15"/>
      <c r="M15"/>
      <c r="N15"/>
      <c r="O15"/>
      <c r="P15"/>
      <c r="Q15"/>
      <c r="R15"/>
      <c r="S15"/>
      <c r="T15"/>
      <c r="U15"/>
    </row>
    <row r="16" spans="1:21">
      <c r="A16" s="931" t="s">
        <v>428</v>
      </c>
      <c r="B16" s="730">
        <v>560</v>
      </c>
      <c r="C16" s="730"/>
      <c r="D16" s="730"/>
      <c r="E16" s="730">
        <v>560</v>
      </c>
      <c r="F16"/>
      <c r="G16"/>
      <c r="H16"/>
      <c r="I16"/>
      <c r="J16"/>
      <c r="K16"/>
      <c r="L16"/>
      <c r="M16"/>
      <c r="N16"/>
      <c r="O16"/>
      <c r="P16"/>
      <c r="Q16"/>
      <c r="R16"/>
      <c r="S16"/>
      <c r="T16"/>
      <c r="U16"/>
    </row>
    <row r="17" spans="1:21">
      <c r="A17" s="931" t="s">
        <v>410</v>
      </c>
      <c r="B17" s="730"/>
      <c r="C17" s="730">
        <v>560</v>
      </c>
      <c r="D17" s="730"/>
      <c r="E17" s="730">
        <v>560</v>
      </c>
      <c r="F17"/>
      <c r="G17"/>
      <c r="H17"/>
      <c r="I17"/>
      <c r="J17"/>
      <c r="K17"/>
      <c r="L17"/>
      <c r="M17"/>
      <c r="N17"/>
      <c r="O17"/>
      <c r="P17"/>
      <c r="Q17"/>
      <c r="R17"/>
      <c r="S17"/>
      <c r="T17"/>
      <c r="U17"/>
    </row>
    <row r="18" spans="1:21">
      <c r="A18" s="931" t="s">
        <v>425</v>
      </c>
      <c r="B18" s="730">
        <v>6160</v>
      </c>
      <c r="C18" s="730"/>
      <c r="D18" s="730"/>
      <c r="E18" s="730">
        <v>6160</v>
      </c>
      <c r="F18"/>
      <c r="G18"/>
      <c r="H18"/>
      <c r="I18"/>
      <c r="J18"/>
      <c r="K18"/>
      <c r="L18"/>
      <c r="M18"/>
      <c r="N18"/>
      <c r="O18"/>
      <c r="P18"/>
      <c r="Q18"/>
      <c r="R18"/>
      <c r="S18"/>
      <c r="T18"/>
      <c r="U18"/>
    </row>
    <row r="19" spans="1:21">
      <c r="A19" s="931" t="s">
        <v>265</v>
      </c>
      <c r="B19" s="730"/>
      <c r="C19" s="730">
        <v>0</v>
      </c>
      <c r="D19" s="730"/>
      <c r="E19" s="730">
        <v>0</v>
      </c>
      <c r="F19"/>
      <c r="G19"/>
      <c r="H19"/>
      <c r="I19"/>
      <c r="J19"/>
      <c r="K19"/>
      <c r="L19"/>
      <c r="M19"/>
      <c r="N19"/>
      <c r="O19"/>
      <c r="P19"/>
      <c r="Q19"/>
      <c r="R19"/>
      <c r="S19"/>
      <c r="T19"/>
      <c r="U19"/>
    </row>
    <row r="20" spans="1:21">
      <c r="A20" s="931" t="s">
        <v>452</v>
      </c>
      <c r="B20" s="730">
        <v>3000</v>
      </c>
      <c r="C20" s="730">
        <v>1800</v>
      </c>
      <c r="D20" s="730"/>
      <c r="E20" s="730">
        <v>4800</v>
      </c>
      <c r="F20"/>
      <c r="G20"/>
      <c r="H20"/>
      <c r="I20"/>
      <c r="J20"/>
      <c r="K20"/>
      <c r="L20"/>
      <c r="M20"/>
      <c r="N20"/>
      <c r="O20"/>
      <c r="P20"/>
      <c r="Q20"/>
      <c r="R20"/>
      <c r="S20"/>
      <c r="T20"/>
      <c r="U20"/>
    </row>
    <row r="21" spans="1:21">
      <c r="A21" s="931" t="s">
        <v>470</v>
      </c>
      <c r="B21" s="730">
        <v>4480</v>
      </c>
      <c r="C21" s="730"/>
      <c r="D21" s="730"/>
      <c r="E21" s="730">
        <v>4480</v>
      </c>
      <c r="F21"/>
      <c r="G21"/>
      <c r="H21"/>
      <c r="I21"/>
      <c r="J21"/>
      <c r="K21"/>
      <c r="L21"/>
      <c r="M21"/>
      <c r="N21"/>
      <c r="O21"/>
      <c r="P21"/>
      <c r="Q21"/>
      <c r="R21"/>
      <c r="S21"/>
      <c r="T21"/>
      <c r="U21"/>
    </row>
    <row r="22" spans="1:21">
      <c r="A22" s="931" t="s">
        <v>541</v>
      </c>
      <c r="B22" s="730"/>
      <c r="C22" s="730">
        <v>560</v>
      </c>
      <c r="D22" s="730"/>
      <c r="E22" s="730">
        <v>560</v>
      </c>
      <c r="F22"/>
      <c r="G22"/>
      <c r="H22"/>
      <c r="I22"/>
      <c r="J22"/>
      <c r="K22"/>
      <c r="L22"/>
      <c r="M22"/>
      <c r="N22"/>
      <c r="O22"/>
      <c r="P22"/>
      <c r="Q22"/>
      <c r="R22"/>
      <c r="S22"/>
      <c r="T22"/>
      <c r="U22"/>
    </row>
    <row r="23" spans="1:21">
      <c r="A23" s="506" t="s">
        <v>391</v>
      </c>
      <c r="B23" s="730">
        <v>13741</v>
      </c>
      <c r="C23" s="730">
        <v>38123</v>
      </c>
      <c r="D23" s="730">
        <v>24000</v>
      </c>
      <c r="E23" s="730">
        <v>75864</v>
      </c>
      <c r="F23"/>
      <c r="G23"/>
      <c r="H23"/>
      <c r="I23"/>
      <c r="J23"/>
      <c r="K23"/>
      <c r="L23"/>
      <c r="M23"/>
      <c r="N23"/>
      <c r="O23"/>
      <c r="P23"/>
      <c r="Q23"/>
      <c r="R23"/>
      <c r="S23"/>
      <c r="T23"/>
      <c r="U23"/>
    </row>
    <row r="24" spans="1:21">
      <c r="A24" s="931" t="s">
        <v>417</v>
      </c>
      <c r="B24" s="730">
        <v>2400</v>
      </c>
      <c r="C24" s="730">
        <v>6400</v>
      </c>
      <c r="D24" s="730">
        <v>8200</v>
      </c>
      <c r="E24" s="730">
        <v>17000</v>
      </c>
      <c r="F24"/>
      <c r="G24"/>
      <c r="H24"/>
      <c r="I24"/>
      <c r="J24"/>
      <c r="K24"/>
      <c r="L24"/>
      <c r="M24"/>
      <c r="N24"/>
      <c r="O24"/>
      <c r="P24"/>
      <c r="Q24"/>
      <c r="R24"/>
      <c r="S24"/>
      <c r="T24"/>
      <c r="U24"/>
    </row>
    <row r="25" spans="1:21">
      <c r="A25" s="931" t="s">
        <v>467</v>
      </c>
      <c r="B25" s="730"/>
      <c r="C25" s="730">
        <v>1800</v>
      </c>
      <c r="D25" s="730">
        <v>1200</v>
      </c>
      <c r="E25" s="730">
        <v>3000</v>
      </c>
      <c r="F25"/>
      <c r="G25"/>
      <c r="H25"/>
      <c r="I25"/>
      <c r="J25"/>
      <c r="K25"/>
      <c r="L25"/>
      <c r="M25"/>
      <c r="N25"/>
      <c r="O25"/>
      <c r="P25"/>
      <c r="Q25"/>
      <c r="R25"/>
      <c r="S25"/>
      <c r="T25"/>
      <c r="U25"/>
    </row>
    <row r="26" spans="1:21">
      <c r="A26" s="931" t="s">
        <v>483</v>
      </c>
      <c r="B26" s="730">
        <v>640</v>
      </c>
      <c r="C26" s="730"/>
      <c r="D26" s="730"/>
      <c r="E26" s="730">
        <v>640</v>
      </c>
      <c r="F26"/>
      <c r="G26"/>
      <c r="H26"/>
      <c r="I26"/>
      <c r="J26"/>
      <c r="K26"/>
      <c r="L26"/>
      <c r="M26"/>
      <c r="N26"/>
      <c r="O26"/>
      <c r="P26"/>
      <c r="Q26"/>
      <c r="R26"/>
      <c r="S26"/>
      <c r="T26"/>
      <c r="U26"/>
    </row>
    <row r="27" spans="1:21">
      <c r="A27" s="931" t="s">
        <v>471</v>
      </c>
      <c r="B27" s="730">
        <v>7200</v>
      </c>
      <c r="C27" s="730">
        <v>23200</v>
      </c>
      <c r="D27" s="730">
        <v>12800</v>
      </c>
      <c r="E27" s="730">
        <v>43200</v>
      </c>
      <c r="F27"/>
      <c r="G27"/>
      <c r="H27"/>
      <c r="I27"/>
      <c r="J27"/>
      <c r="K27"/>
      <c r="L27"/>
      <c r="M27"/>
      <c r="N27"/>
      <c r="O27"/>
      <c r="P27"/>
      <c r="Q27"/>
      <c r="R27"/>
      <c r="S27"/>
      <c r="T27"/>
      <c r="U27"/>
    </row>
    <row r="28" spans="1:21">
      <c r="A28" s="931" t="s">
        <v>472</v>
      </c>
      <c r="B28" s="730">
        <v>600</v>
      </c>
      <c r="C28" s="730"/>
      <c r="D28" s="730"/>
      <c r="E28" s="730">
        <v>600</v>
      </c>
      <c r="F28"/>
      <c r="G28"/>
      <c r="H28"/>
      <c r="I28"/>
      <c r="J28"/>
      <c r="K28"/>
      <c r="L28"/>
      <c r="M28"/>
      <c r="N28"/>
      <c r="O28"/>
      <c r="P28"/>
      <c r="Q28"/>
      <c r="R28"/>
      <c r="S28"/>
      <c r="T28"/>
      <c r="U28"/>
    </row>
    <row r="29" spans="1:21">
      <c r="A29" s="931" t="s">
        <v>450</v>
      </c>
      <c r="B29" s="730"/>
      <c r="C29" s="730">
        <v>1200</v>
      </c>
      <c r="D29" s="730">
        <v>600</v>
      </c>
      <c r="E29" s="730">
        <v>1800</v>
      </c>
      <c r="F29"/>
      <c r="G29"/>
      <c r="H29"/>
      <c r="I29"/>
      <c r="J29"/>
      <c r="K29"/>
      <c r="L29"/>
      <c r="M29"/>
      <c r="N29"/>
      <c r="O29"/>
      <c r="P29"/>
      <c r="Q29"/>
      <c r="R29"/>
      <c r="S29"/>
      <c r="T29"/>
      <c r="U29"/>
    </row>
    <row r="30" spans="1:21">
      <c r="A30" s="931" t="s">
        <v>451</v>
      </c>
      <c r="B30" s="730"/>
      <c r="C30" s="730">
        <v>1200</v>
      </c>
      <c r="D30" s="730">
        <v>600</v>
      </c>
      <c r="E30" s="730">
        <v>1800</v>
      </c>
      <c r="F30"/>
      <c r="G30"/>
      <c r="H30"/>
      <c r="I30"/>
      <c r="J30"/>
      <c r="K30"/>
      <c r="L30"/>
      <c r="M30"/>
      <c r="N30"/>
      <c r="O30"/>
      <c r="P30"/>
      <c r="Q30"/>
      <c r="R30"/>
      <c r="S30"/>
      <c r="T30"/>
      <c r="U30"/>
    </row>
    <row r="31" spans="1:21">
      <c r="A31" s="931" t="s">
        <v>453</v>
      </c>
      <c r="B31" s="730"/>
      <c r="C31" s="730">
        <v>600</v>
      </c>
      <c r="D31" s="730">
        <v>600</v>
      </c>
      <c r="E31" s="730">
        <v>1200</v>
      </c>
      <c r="F31"/>
      <c r="G31"/>
      <c r="H31"/>
      <c r="I31"/>
      <c r="J31"/>
      <c r="K31"/>
      <c r="L31"/>
      <c r="M31"/>
      <c r="N31"/>
      <c r="O31"/>
      <c r="P31"/>
      <c r="Q31"/>
      <c r="R31"/>
      <c r="S31"/>
      <c r="T31"/>
      <c r="U31"/>
    </row>
    <row r="32" spans="1:21">
      <c r="A32" s="931" t="s">
        <v>530</v>
      </c>
      <c r="B32" s="730">
        <v>790</v>
      </c>
      <c r="C32" s="730"/>
      <c r="D32" s="730"/>
      <c r="E32" s="730">
        <v>790</v>
      </c>
      <c r="F32"/>
      <c r="G32"/>
      <c r="H32"/>
      <c r="I32"/>
      <c r="J32"/>
      <c r="K32"/>
      <c r="L32"/>
      <c r="M32"/>
      <c r="N32"/>
      <c r="O32"/>
      <c r="P32"/>
      <c r="Q32"/>
      <c r="R32"/>
      <c r="S32"/>
      <c r="T32"/>
      <c r="U32"/>
    </row>
    <row r="33" spans="1:5" customFormat="1">
      <c r="A33" s="931" t="s">
        <v>529</v>
      </c>
      <c r="B33" s="730">
        <v>1071</v>
      </c>
      <c r="C33" s="730">
        <v>2820</v>
      </c>
      <c r="D33" s="730"/>
      <c r="E33" s="730">
        <v>3891</v>
      </c>
    </row>
    <row r="34" spans="1:5" customFormat="1">
      <c r="A34" s="931" t="s">
        <v>531</v>
      </c>
      <c r="B34" s="730">
        <v>550</v>
      </c>
      <c r="C34" s="730">
        <v>263</v>
      </c>
      <c r="D34" s="730"/>
      <c r="E34" s="730">
        <v>813</v>
      </c>
    </row>
    <row r="35" spans="1:5" customFormat="1">
      <c r="A35" s="931" t="s">
        <v>532</v>
      </c>
      <c r="B35" s="730">
        <v>490</v>
      </c>
      <c r="C35" s="730">
        <v>640</v>
      </c>
      <c r="D35" s="730"/>
      <c r="E35" s="730">
        <v>1130</v>
      </c>
    </row>
    <row r="36" spans="1:5" customFormat="1">
      <c r="A36" s="506" t="s">
        <v>260</v>
      </c>
      <c r="B36" s="730">
        <v>6100</v>
      </c>
      <c r="C36" s="730"/>
      <c r="D36" s="730"/>
      <c r="E36" s="730">
        <v>6100</v>
      </c>
    </row>
    <row r="37" spans="1:5" customFormat="1">
      <c r="A37" s="931" t="s">
        <v>525</v>
      </c>
      <c r="B37" s="730">
        <v>6100</v>
      </c>
      <c r="C37" s="730"/>
      <c r="D37" s="730"/>
      <c r="E37" s="730">
        <v>6100</v>
      </c>
    </row>
    <row r="38" spans="1:5" customFormat="1">
      <c r="A38" s="506" t="s">
        <v>261</v>
      </c>
      <c r="B38" s="730">
        <v>14216</v>
      </c>
      <c r="C38" s="730">
        <v>59500</v>
      </c>
      <c r="D38" s="730">
        <v>46284</v>
      </c>
      <c r="E38" s="730">
        <v>120000</v>
      </c>
    </row>
    <row r="39" spans="1:5" customFormat="1">
      <c r="A39" s="931" t="s">
        <v>406</v>
      </c>
      <c r="B39" s="730">
        <v>14216</v>
      </c>
      <c r="C39" s="730">
        <v>59500</v>
      </c>
      <c r="D39" s="730">
        <v>46284</v>
      </c>
      <c r="E39" s="730">
        <v>120000</v>
      </c>
    </row>
    <row r="40" spans="1:5" customFormat="1">
      <c r="A40" s="506" t="s">
        <v>243</v>
      </c>
      <c r="B40" s="730">
        <v>69968.92</v>
      </c>
      <c r="C40" s="730">
        <v>103893.6</v>
      </c>
      <c r="D40" s="730">
        <v>70284</v>
      </c>
      <c r="E40" s="730">
        <v>244146.52000000002</v>
      </c>
    </row>
    <row r="41" spans="1:5" customFormat="1"/>
    <row r="42" spans="1:5" customFormat="1"/>
    <row r="43" spans="1:5" customFormat="1">
      <c r="B43" s="255"/>
      <c r="C43" s="255"/>
      <c r="D43" s="255"/>
      <c r="E43" s="255"/>
    </row>
    <row r="44" spans="1:5" customFormat="1">
      <c r="B44" s="255"/>
      <c r="C44" s="255"/>
      <c r="D44" s="255"/>
      <c r="E44" s="255"/>
    </row>
    <row r="45" spans="1:5" customFormat="1">
      <c r="B45" s="255"/>
      <c r="C45" s="255"/>
      <c r="D45" s="255"/>
      <c r="E45" s="255"/>
    </row>
    <row r="46" spans="1:5" customFormat="1">
      <c r="B46" s="255"/>
      <c r="C46" s="255"/>
      <c r="D46" s="255"/>
      <c r="E46" s="255"/>
    </row>
    <row r="47" spans="1:5" customFormat="1">
      <c r="B47" s="255"/>
      <c r="C47" s="255"/>
      <c r="D47" s="255"/>
      <c r="E47" s="255"/>
    </row>
    <row r="48" spans="1:5" customFormat="1">
      <c r="B48" s="255"/>
      <c r="C48" s="255"/>
      <c r="D48" s="255"/>
      <c r="E48" s="255"/>
    </row>
    <row r="51" spans="1:5" ht="105">
      <c r="A51" s="473" t="s">
        <v>279</v>
      </c>
      <c r="B51" s="778" t="s">
        <v>244</v>
      </c>
      <c r="C51" s="778" t="s">
        <v>294</v>
      </c>
      <c r="D51" s="778" t="s">
        <v>245</v>
      </c>
      <c r="E51" s="778" t="s">
        <v>293</v>
      </c>
    </row>
    <row r="52" spans="1:5">
      <c r="A52" s="506" t="s">
        <v>360</v>
      </c>
      <c r="B52" s="669">
        <v>5</v>
      </c>
      <c r="C52" s="932">
        <v>3.1847133757961783E-2</v>
      </c>
      <c r="D52" s="669">
        <v>2120</v>
      </c>
      <c r="E52" s="935">
        <v>1.9434564189065306E-2</v>
      </c>
    </row>
    <row r="53" spans="1:5">
      <c r="A53" s="506" t="s">
        <v>359</v>
      </c>
      <c r="B53" s="669">
        <v>152</v>
      </c>
      <c r="C53" s="932">
        <v>0.96815286624203822</v>
      </c>
      <c r="D53" s="669">
        <v>106964</v>
      </c>
      <c r="E53" s="935">
        <v>0.98056543581093469</v>
      </c>
    </row>
    <row r="54" spans="1:5">
      <c r="A54" s="506" t="s">
        <v>243</v>
      </c>
      <c r="B54" s="669">
        <v>157</v>
      </c>
      <c r="C54" s="935">
        <v>1</v>
      </c>
      <c r="D54" s="669">
        <v>109084</v>
      </c>
      <c r="E54" s="935">
        <v>1</v>
      </c>
    </row>
    <row r="55" spans="1:5">
      <c r="B55" s="255"/>
      <c r="C55" s="255"/>
      <c r="D55" s="255"/>
      <c r="E55" s="255"/>
    </row>
    <row r="56" spans="1:5">
      <c r="B56" s="255"/>
      <c r="C56" s="255"/>
    </row>
    <row r="57" spans="1:5">
      <c r="B57" s="255"/>
      <c r="C57" s="255"/>
    </row>
    <row r="58" spans="1:5">
      <c r="B58" s="255"/>
      <c r="C58" s="255"/>
    </row>
    <row r="59" spans="1:5">
      <c r="B59" s="255"/>
      <c r="C59" s="255"/>
    </row>
    <row r="60" spans="1:5">
      <c r="B60" s="255"/>
      <c r="C60" s="255"/>
    </row>
    <row r="61" spans="1:5">
      <c r="B61" s="255"/>
      <c r="C61" s="255"/>
    </row>
    <row r="62" spans="1:5">
      <c r="B62" s="255"/>
      <c r="C62" s="255"/>
    </row>
    <row r="63" spans="1:5">
      <c r="B63" s="255"/>
      <c r="C63" s="255"/>
    </row>
    <row r="64" spans="1:5">
      <c r="B64" s="255"/>
      <c r="C64" s="255"/>
    </row>
    <row r="65" spans="2:3">
      <c r="B65" s="255"/>
      <c r="C65" s="255"/>
    </row>
    <row r="66" spans="2:3">
      <c r="B66" s="255"/>
      <c r="C66" s="255"/>
    </row>
    <row r="67" spans="2:3">
      <c r="B67" s="255"/>
      <c r="C67" s="255"/>
    </row>
    <row r="68" spans="2:3">
      <c r="B68" s="255"/>
      <c r="C68" s="255"/>
    </row>
  </sheetData>
  <pageMargins left="0.7" right="0.7" top="0.75" bottom="0.75" header="0.3" footer="0.3"/>
  <pageSetup paperSize="9" orientation="portrait" horizontalDpi="0" verticalDpi="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28109-438B-4FC8-B0F9-ED26992E2E58}">
  <dimension ref="A1:I254"/>
  <sheetViews>
    <sheetView workbookViewId="0">
      <selection activeCell="A3" sqref="A3"/>
    </sheetView>
  </sheetViews>
  <sheetFormatPr baseColWidth="10" defaultRowHeight="15"/>
  <cols>
    <col min="1" max="1" width="44" customWidth="1"/>
    <col min="2" max="2" width="21.7109375" bestFit="1" customWidth="1"/>
    <col min="3" max="3" width="16.7109375" bestFit="1" customWidth="1"/>
    <col min="4" max="4" width="15.5703125" bestFit="1" customWidth="1"/>
    <col min="5" max="9" width="12.42578125" bestFit="1" customWidth="1"/>
    <col min="10" max="10" width="18.28515625" bestFit="1" customWidth="1"/>
    <col min="11" max="11" width="15.5703125" customWidth="1"/>
  </cols>
  <sheetData>
    <row r="1" spans="1:9">
      <c r="A1" s="473" t="s">
        <v>154</v>
      </c>
      <c r="B1" s="235" t="s">
        <v>246</v>
      </c>
      <c r="F1" s="476"/>
      <c r="I1" s="240"/>
    </row>
    <row r="2" spans="1:9">
      <c r="A2" s="473" t="s">
        <v>230</v>
      </c>
      <c r="B2" s="938" t="s">
        <v>246</v>
      </c>
      <c r="C2" s="479"/>
      <c r="D2" s="477"/>
      <c r="E2" s="484"/>
      <c r="F2" s="476"/>
      <c r="G2" s="539"/>
      <c r="H2" s="539"/>
      <c r="I2" s="240"/>
    </row>
    <row r="3" spans="1:9">
      <c r="A3" s="473" t="s">
        <v>190</v>
      </c>
      <c r="B3" s="938" t="s">
        <v>246</v>
      </c>
      <c r="C3" s="479"/>
      <c r="D3" s="477"/>
      <c r="E3" s="484"/>
      <c r="F3" s="476"/>
      <c r="G3" s="539"/>
      <c r="H3" s="539"/>
      <c r="I3" s="240"/>
    </row>
    <row r="4" spans="1:9">
      <c r="A4" s="539"/>
      <c r="B4" s="539"/>
      <c r="C4" s="539"/>
      <c r="D4" s="539"/>
      <c r="E4" s="485"/>
      <c r="F4" s="539"/>
      <c r="G4" s="539"/>
      <c r="H4" s="475"/>
      <c r="I4" s="520"/>
    </row>
    <row r="5" spans="1:9">
      <c r="A5" s="474" t="s">
        <v>151</v>
      </c>
      <c r="B5" s="473" t="s">
        <v>196</v>
      </c>
    </row>
    <row r="6" spans="1:9">
      <c r="A6" s="938" t="s">
        <v>420</v>
      </c>
      <c r="B6" s="375">
        <v>46215</v>
      </c>
    </row>
    <row r="7" spans="1:9">
      <c r="A7" s="938" t="s">
        <v>544</v>
      </c>
      <c r="B7" s="938"/>
    </row>
    <row r="8" spans="1:9">
      <c r="A8" s="938" t="s">
        <v>422</v>
      </c>
      <c r="B8" s="375">
        <v>46195</v>
      </c>
    </row>
    <row r="9" spans="1:9">
      <c r="A9" s="938" t="s">
        <v>550</v>
      </c>
      <c r="B9" s="938"/>
    </row>
    <row r="10" spans="1:9">
      <c r="A10" s="938" t="s">
        <v>409</v>
      </c>
      <c r="B10" s="375">
        <v>46211</v>
      </c>
    </row>
    <row r="11" spans="1:9">
      <c r="B11" s="375">
        <v>46207</v>
      </c>
    </row>
    <row r="12" spans="1:9">
      <c r="B12" s="375">
        <v>46204</v>
      </c>
    </row>
    <row r="13" spans="1:9">
      <c r="B13" s="375">
        <v>46210</v>
      </c>
    </row>
    <row r="14" spans="1:9">
      <c r="B14" s="375">
        <v>46212</v>
      </c>
    </row>
    <row r="15" spans="1:9">
      <c r="A15" s="938" t="s">
        <v>492</v>
      </c>
      <c r="B15" s="938"/>
    </row>
    <row r="16" spans="1:9">
      <c r="A16" s="938" t="s">
        <v>411</v>
      </c>
      <c r="B16" s="375">
        <v>46239</v>
      </c>
    </row>
    <row r="17" spans="1:2">
      <c r="B17" s="375">
        <v>46231</v>
      </c>
    </row>
    <row r="18" spans="1:2">
      <c r="B18" s="375">
        <v>46232</v>
      </c>
    </row>
    <row r="19" spans="1:2">
      <c r="B19" s="375">
        <v>46236</v>
      </c>
    </row>
    <row r="20" spans="1:2">
      <c r="B20" s="375">
        <v>46238</v>
      </c>
    </row>
    <row r="21" spans="1:2">
      <c r="A21" s="938" t="s">
        <v>493</v>
      </c>
      <c r="B21" s="938"/>
    </row>
    <row r="22" spans="1:2">
      <c r="A22" s="938" t="s">
        <v>428</v>
      </c>
      <c r="B22" s="375">
        <v>46199</v>
      </c>
    </row>
    <row r="23" spans="1:2">
      <c r="A23" s="938" t="s">
        <v>494</v>
      </c>
      <c r="B23" s="938"/>
    </row>
    <row r="24" spans="1:2">
      <c r="A24" s="938" t="s">
        <v>410</v>
      </c>
      <c r="B24" s="375">
        <v>46230</v>
      </c>
    </row>
    <row r="25" spans="1:2">
      <c r="A25" s="938" t="s">
        <v>495</v>
      </c>
      <c r="B25" s="938"/>
    </row>
    <row r="26" spans="1:2">
      <c r="A26" s="938" t="s">
        <v>425</v>
      </c>
      <c r="B26" s="375">
        <v>46208</v>
      </c>
    </row>
    <row r="27" spans="1:2">
      <c r="B27" s="375">
        <v>46203</v>
      </c>
    </row>
    <row r="28" spans="1:2">
      <c r="B28" s="375">
        <v>46204</v>
      </c>
    </row>
    <row r="29" spans="1:2">
      <c r="B29" s="375">
        <v>46206</v>
      </c>
    </row>
    <row r="30" spans="1:2">
      <c r="B30" s="375">
        <v>46214</v>
      </c>
    </row>
    <row r="31" spans="1:2">
      <c r="B31" s="375">
        <v>46219</v>
      </c>
    </row>
    <row r="32" spans="1:2">
      <c r="B32" s="375">
        <v>46221</v>
      </c>
    </row>
    <row r="33" spans="1:2">
      <c r="B33" s="375">
        <v>46225</v>
      </c>
    </row>
    <row r="34" spans="1:2">
      <c r="B34" s="375">
        <v>46232</v>
      </c>
    </row>
    <row r="35" spans="1:2">
      <c r="B35" s="375">
        <v>46212</v>
      </c>
    </row>
    <row r="36" spans="1:2">
      <c r="B36" s="375">
        <v>46227</v>
      </c>
    </row>
    <row r="37" spans="1:2">
      <c r="A37" s="938" t="s">
        <v>521</v>
      </c>
      <c r="B37" s="938"/>
    </row>
    <row r="38" spans="1:2">
      <c r="A38" s="938" t="s">
        <v>265</v>
      </c>
      <c r="B38" s="375">
        <v>0</v>
      </c>
    </row>
    <row r="39" spans="1:2">
      <c r="A39" s="938" t="s">
        <v>347</v>
      </c>
      <c r="B39" s="938"/>
    </row>
    <row r="40" spans="1:2">
      <c r="A40" s="938" t="s">
        <v>437</v>
      </c>
      <c r="B40" s="375">
        <v>46235</v>
      </c>
    </row>
    <row r="41" spans="1:2">
      <c r="B41" s="375">
        <v>46231</v>
      </c>
    </row>
    <row r="42" spans="1:2">
      <c r="B42" s="375">
        <v>46237</v>
      </c>
    </row>
    <row r="43" spans="1:2">
      <c r="B43" s="375">
        <v>46207</v>
      </c>
    </row>
    <row r="44" spans="1:2">
      <c r="B44" s="375">
        <v>46234</v>
      </c>
    </row>
    <row r="45" spans="1:2">
      <c r="B45" s="375">
        <v>46236</v>
      </c>
    </row>
    <row r="46" spans="1:2">
      <c r="A46" s="938" t="s">
        <v>533</v>
      </c>
      <c r="B46" s="938"/>
    </row>
    <row r="47" spans="1:2">
      <c r="A47" s="257" t="s">
        <v>406</v>
      </c>
      <c r="B47" s="375">
        <v>46059</v>
      </c>
    </row>
    <row r="48" spans="1:2">
      <c r="A48" s="257"/>
      <c r="B48" s="375">
        <v>46211</v>
      </c>
    </row>
    <row r="49" spans="1:2">
      <c r="A49" s="257"/>
      <c r="B49" s="375">
        <v>46178</v>
      </c>
    </row>
    <row r="50" spans="1:2">
      <c r="A50" s="257"/>
      <c r="B50" s="375">
        <v>46181</v>
      </c>
    </row>
    <row r="51" spans="1:2">
      <c r="A51" s="257"/>
      <c r="B51" s="375">
        <v>46185</v>
      </c>
    </row>
    <row r="52" spans="1:2">
      <c r="A52" s="257"/>
      <c r="B52" s="375">
        <v>46205</v>
      </c>
    </row>
    <row r="53" spans="1:2">
      <c r="A53" s="257"/>
      <c r="B53" s="375">
        <v>46208</v>
      </c>
    </row>
    <row r="54" spans="1:2">
      <c r="A54" s="257"/>
      <c r="B54" s="375">
        <v>46231</v>
      </c>
    </row>
    <row r="55" spans="1:2">
      <c r="A55" s="257"/>
      <c r="B55" s="375">
        <v>46207</v>
      </c>
    </row>
    <row r="56" spans="1:2">
      <c r="A56" s="257"/>
      <c r="B56" s="375">
        <v>46184</v>
      </c>
    </row>
    <row r="57" spans="1:2">
      <c r="A57" s="257"/>
      <c r="B57" s="375">
        <v>46201</v>
      </c>
    </row>
    <row r="58" spans="1:2">
      <c r="A58" s="257"/>
      <c r="B58" s="375">
        <v>46202</v>
      </c>
    </row>
    <row r="59" spans="1:2">
      <c r="A59" s="257"/>
      <c r="B59" s="375">
        <v>46197</v>
      </c>
    </row>
    <row r="60" spans="1:2">
      <c r="A60" s="257"/>
      <c r="B60" s="375">
        <v>46198</v>
      </c>
    </row>
    <row r="61" spans="1:2">
      <c r="A61" s="257"/>
      <c r="B61" s="375">
        <v>46199</v>
      </c>
    </row>
    <row r="62" spans="1:2">
      <c r="A62" s="257"/>
      <c r="B62" s="375">
        <v>46200</v>
      </c>
    </row>
    <row r="63" spans="1:2">
      <c r="A63" s="257"/>
      <c r="B63" s="375">
        <v>46203</v>
      </c>
    </row>
    <row r="64" spans="1:2">
      <c r="A64" s="257"/>
      <c r="B64" s="375">
        <v>46176</v>
      </c>
    </row>
    <row r="65" spans="1:2">
      <c r="A65" s="257"/>
      <c r="B65" s="375">
        <v>46179</v>
      </c>
    </row>
    <row r="66" spans="1:2">
      <c r="A66" s="257"/>
      <c r="B66" s="375">
        <v>46190</v>
      </c>
    </row>
    <row r="67" spans="1:2">
      <c r="A67" s="257"/>
      <c r="B67" s="375">
        <v>46183</v>
      </c>
    </row>
    <row r="68" spans="1:2">
      <c r="A68" s="257"/>
      <c r="B68" s="375">
        <v>46175</v>
      </c>
    </row>
    <row r="69" spans="1:2">
      <c r="A69" s="257"/>
      <c r="B69" s="375">
        <v>46177</v>
      </c>
    </row>
    <row r="70" spans="1:2">
      <c r="A70" s="257"/>
      <c r="B70" s="375">
        <v>46180</v>
      </c>
    </row>
    <row r="71" spans="1:2">
      <c r="A71" s="257"/>
      <c r="B71" s="375">
        <v>46182</v>
      </c>
    </row>
    <row r="72" spans="1:2">
      <c r="A72" s="257"/>
      <c r="B72" s="375">
        <v>46186</v>
      </c>
    </row>
    <row r="73" spans="1:2">
      <c r="A73" s="257"/>
      <c r="B73" s="375">
        <v>46189</v>
      </c>
    </row>
    <row r="74" spans="1:2">
      <c r="A74" s="257"/>
      <c r="B74" s="375">
        <v>46191</v>
      </c>
    </row>
    <row r="75" spans="1:2">
      <c r="A75" s="257"/>
      <c r="B75" s="375">
        <v>46192</v>
      </c>
    </row>
    <row r="76" spans="1:2">
      <c r="A76" s="257"/>
      <c r="B76" s="375">
        <v>46194</v>
      </c>
    </row>
    <row r="77" spans="1:2">
      <c r="A77" s="257"/>
      <c r="B77" s="375">
        <v>46195</v>
      </c>
    </row>
    <row r="78" spans="1:2">
      <c r="A78" s="257"/>
      <c r="B78" s="375">
        <v>46196</v>
      </c>
    </row>
    <row r="79" spans="1:2">
      <c r="A79" s="257"/>
      <c r="B79" s="375">
        <v>46218</v>
      </c>
    </row>
    <row r="80" spans="1:2">
      <c r="A80" s="257"/>
      <c r="B80" s="375">
        <v>46204</v>
      </c>
    </row>
    <row r="81" spans="1:2">
      <c r="A81" s="257"/>
      <c r="B81" s="375">
        <v>46206</v>
      </c>
    </row>
    <row r="82" spans="1:2">
      <c r="A82" s="257"/>
      <c r="B82" s="375">
        <v>46209</v>
      </c>
    </row>
    <row r="83" spans="1:2">
      <c r="A83" s="257"/>
      <c r="B83" s="375">
        <v>46210</v>
      </c>
    </row>
    <row r="84" spans="1:2">
      <c r="A84" s="257"/>
      <c r="B84" s="375">
        <v>46213</v>
      </c>
    </row>
    <row r="85" spans="1:2">
      <c r="A85" s="257"/>
      <c r="B85" s="375">
        <v>46214</v>
      </c>
    </row>
    <row r="86" spans="1:2">
      <c r="A86" s="257"/>
      <c r="B86" s="375">
        <v>46215</v>
      </c>
    </row>
    <row r="87" spans="1:2">
      <c r="A87" s="257"/>
      <c r="B87" s="375">
        <v>46216</v>
      </c>
    </row>
    <row r="88" spans="1:2">
      <c r="A88" s="257"/>
      <c r="B88" s="375">
        <v>46217</v>
      </c>
    </row>
    <row r="89" spans="1:2">
      <c r="A89" s="257"/>
      <c r="B89" s="375">
        <v>46219</v>
      </c>
    </row>
    <row r="90" spans="1:2">
      <c r="A90" s="257"/>
      <c r="B90" s="375">
        <v>46220</v>
      </c>
    </row>
    <row r="91" spans="1:2">
      <c r="A91" s="257"/>
      <c r="B91" s="375">
        <v>46221</v>
      </c>
    </row>
    <row r="92" spans="1:2">
      <c r="A92" s="257"/>
      <c r="B92" s="375">
        <v>46222</v>
      </c>
    </row>
    <row r="93" spans="1:2">
      <c r="A93" s="257"/>
      <c r="B93" s="375">
        <v>46223</v>
      </c>
    </row>
    <row r="94" spans="1:2">
      <c r="A94" s="257"/>
      <c r="B94" s="375">
        <v>46224</v>
      </c>
    </row>
    <row r="95" spans="1:2">
      <c r="A95" s="257"/>
      <c r="B95" s="375">
        <v>46225</v>
      </c>
    </row>
    <row r="96" spans="1:2">
      <c r="A96" s="257"/>
      <c r="B96" s="375">
        <v>46232</v>
      </c>
    </row>
    <row r="97" spans="1:2">
      <c r="A97" s="257"/>
      <c r="B97" s="375">
        <v>46168.793055555558</v>
      </c>
    </row>
    <row r="98" spans="1:2">
      <c r="A98" s="257"/>
      <c r="B98" s="375">
        <v>46168.938194444447</v>
      </c>
    </row>
    <row r="99" spans="1:2">
      <c r="A99" s="257"/>
      <c r="B99" s="375">
        <v>46168.950694444444</v>
      </c>
    </row>
    <row r="100" spans="1:2">
      <c r="A100" s="257"/>
      <c r="B100" s="375">
        <v>46170.651388888888</v>
      </c>
    </row>
    <row r="101" spans="1:2">
      <c r="A101" s="257"/>
      <c r="B101" s="375">
        <v>46170.654861111114</v>
      </c>
    </row>
    <row r="102" spans="1:2">
      <c r="A102" s="257"/>
      <c r="B102" s="375">
        <v>46170.757638888892</v>
      </c>
    </row>
    <row r="103" spans="1:2">
      <c r="A103" s="257"/>
      <c r="B103" s="375">
        <v>46170.808333333334</v>
      </c>
    </row>
    <row r="104" spans="1:2">
      <c r="A104" s="257"/>
      <c r="B104" s="375">
        <v>46172.361111111109</v>
      </c>
    </row>
    <row r="105" spans="1:2">
      <c r="A105" s="257"/>
      <c r="B105" s="375">
        <v>46172.393750000003</v>
      </c>
    </row>
    <row r="106" spans="1:2">
      <c r="A106" s="257"/>
      <c r="B106" s="375">
        <v>46173.388194444444</v>
      </c>
    </row>
    <row r="107" spans="1:2">
      <c r="A107" s="257"/>
      <c r="B107" s="375">
        <v>46173.84652777778</v>
      </c>
    </row>
    <row r="108" spans="1:2">
      <c r="A108" s="257"/>
      <c r="B108" s="375">
        <v>46173.909722222219</v>
      </c>
    </row>
    <row r="109" spans="1:2">
      <c r="A109" s="257"/>
      <c r="B109" s="375">
        <v>46173.927083333336</v>
      </c>
    </row>
    <row r="110" spans="1:2">
      <c r="A110" s="938" t="s">
        <v>496</v>
      </c>
      <c r="B110" s="938"/>
    </row>
    <row r="111" spans="1:2">
      <c r="A111" s="938" t="s">
        <v>417</v>
      </c>
      <c r="B111" s="375">
        <v>46211</v>
      </c>
    </row>
    <row r="112" spans="1:2">
      <c r="B112" s="375">
        <v>46171</v>
      </c>
    </row>
    <row r="113" spans="1:2">
      <c r="B113" s="375">
        <v>46172</v>
      </c>
    </row>
    <row r="114" spans="1:2">
      <c r="B114" s="375">
        <v>46181</v>
      </c>
    </row>
    <row r="115" spans="1:2">
      <c r="B115" s="375">
        <v>46185</v>
      </c>
    </row>
    <row r="116" spans="1:2">
      <c r="B116" s="375">
        <v>46205</v>
      </c>
    </row>
    <row r="117" spans="1:2">
      <c r="B117" s="375">
        <v>46207</v>
      </c>
    </row>
    <row r="118" spans="1:2">
      <c r="B118" s="375">
        <v>46203</v>
      </c>
    </row>
    <row r="119" spans="1:2">
      <c r="B119" s="375">
        <v>46176</v>
      </c>
    </row>
    <row r="120" spans="1:2">
      <c r="B120" s="375">
        <v>46183</v>
      </c>
    </row>
    <row r="121" spans="1:2">
      <c r="B121" s="375">
        <v>46188</v>
      </c>
    </row>
    <row r="122" spans="1:2">
      <c r="B122" s="375">
        <v>46204</v>
      </c>
    </row>
    <row r="123" spans="1:2">
      <c r="B123" s="375">
        <v>46206</v>
      </c>
    </row>
    <row r="124" spans="1:2">
      <c r="B124" s="375">
        <v>46209</v>
      </c>
    </row>
    <row r="125" spans="1:2">
      <c r="A125" s="938" t="s">
        <v>497</v>
      </c>
      <c r="B125" s="938"/>
    </row>
    <row r="126" spans="1:2">
      <c r="A126" s="938" t="s">
        <v>440</v>
      </c>
      <c r="B126" s="375">
        <v>46211</v>
      </c>
    </row>
    <row r="127" spans="1:2">
      <c r="B127" s="375">
        <v>46206</v>
      </c>
    </row>
    <row r="128" spans="1:2">
      <c r="A128" s="938" t="s">
        <v>524</v>
      </c>
      <c r="B128" s="938"/>
    </row>
    <row r="129" spans="1:2">
      <c r="A129" s="938" t="s">
        <v>442</v>
      </c>
      <c r="B129" s="375">
        <v>46199</v>
      </c>
    </row>
    <row r="130" spans="1:2">
      <c r="A130" s="938" t="s">
        <v>498</v>
      </c>
      <c r="B130" s="938"/>
    </row>
    <row r="131" spans="1:2">
      <c r="A131" s="938" t="s">
        <v>449</v>
      </c>
      <c r="B131" s="375">
        <v>46205</v>
      </c>
    </row>
    <row r="132" spans="1:2">
      <c r="B132" s="375">
        <v>46208</v>
      </c>
    </row>
    <row r="133" spans="1:2">
      <c r="A133" s="938" t="s">
        <v>499</v>
      </c>
      <c r="B133" s="938"/>
    </row>
    <row r="134" spans="1:2">
      <c r="A134" s="938" t="s">
        <v>407</v>
      </c>
      <c r="B134" s="375">
        <v>46174</v>
      </c>
    </row>
    <row r="135" spans="1:2">
      <c r="B135" s="375">
        <v>46178</v>
      </c>
    </row>
    <row r="136" spans="1:2">
      <c r="B136" s="375">
        <v>46181</v>
      </c>
    </row>
    <row r="137" spans="1:2">
      <c r="B137" s="375">
        <v>46185</v>
      </c>
    </row>
    <row r="138" spans="1:2">
      <c r="A138" s="938" t="s">
        <v>500</v>
      </c>
      <c r="B138" s="938"/>
    </row>
    <row r="139" spans="1:2">
      <c r="A139" s="938" t="s">
        <v>452</v>
      </c>
      <c r="B139" s="375">
        <v>46208</v>
      </c>
    </row>
    <row r="140" spans="1:2">
      <c r="B140" s="375">
        <v>46184</v>
      </c>
    </row>
    <row r="141" spans="1:2">
      <c r="B141" s="375">
        <v>46190</v>
      </c>
    </row>
    <row r="142" spans="1:2">
      <c r="B142" s="375">
        <v>46189</v>
      </c>
    </row>
    <row r="143" spans="1:2">
      <c r="B143" s="375">
        <v>46188</v>
      </c>
    </row>
    <row r="144" spans="1:2">
      <c r="B144" s="375">
        <v>46187</v>
      </c>
    </row>
    <row r="145" spans="1:2">
      <c r="B145" s="375">
        <v>46206</v>
      </c>
    </row>
    <row r="146" spans="1:2">
      <c r="B146" s="375">
        <v>46209</v>
      </c>
    </row>
    <row r="147" spans="1:2">
      <c r="A147" s="938" t="s">
        <v>501</v>
      </c>
      <c r="B147" s="938"/>
    </row>
    <row r="148" spans="1:2">
      <c r="A148" s="938" t="s">
        <v>467</v>
      </c>
      <c r="B148" s="375">
        <v>46203</v>
      </c>
    </row>
    <row r="149" spans="1:2">
      <c r="B149" s="375">
        <v>46188</v>
      </c>
    </row>
    <row r="150" spans="1:2">
      <c r="B150" s="375">
        <v>46218</v>
      </c>
    </row>
    <row r="151" spans="1:2">
      <c r="A151" s="938" t="s">
        <v>502</v>
      </c>
      <c r="B151" s="938"/>
    </row>
    <row r="152" spans="1:2">
      <c r="A152" s="938" t="s">
        <v>483</v>
      </c>
      <c r="B152" s="375">
        <v>46183</v>
      </c>
    </row>
    <row r="153" spans="1:2">
      <c r="A153" s="938" t="s">
        <v>503</v>
      </c>
      <c r="B153" s="938"/>
    </row>
    <row r="154" spans="1:2">
      <c r="A154" s="938" t="s">
        <v>470</v>
      </c>
      <c r="B154" s="375">
        <v>46208</v>
      </c>
    </row>
    <row r="155" spans="1:2">
      <c r="B155" s="375">
        <v>46207</v>
      </c>
    </row>
    <row r="156" spans="1:2">
      <c r="B156" s="375">
        <v>46201</v>
      </c>
    </row>
    <row r="157" spans="1:2">
      <c r="B157" s="375">
        <v>46199</v>
      </c>
    </row>
    <row r="158" spans="1:2">
      <c r="B158" s="375">
        <v>46206</v>
      </c>
    </row>
    <row r="159" spans="1:2">
      <c r="A159" s="938" t="s">
        <v>504</v>
      </c>
      <c r="B159" s="938"/>
    </row>
    <row r="160" spans="1:2">
      <c r="A160" s="938" t="s">
        <v>471</v>
      </c>
      <c r="B160" s="375">
        <v>46211</v>
      </c>
    </row>
    <row r="161" spans="2:2">
      <c r="B161" s="375">
        <v>46168</v>
      </c>
    </row>
    <row r="162" spans="2:2">
      <c r="B162" s="375">
        <v>46169</v>
      </c>
    </row>
    <row r="163" spans="2:2">
      <c r="B163" s="375">
        <v>46170</v>
      </c>
    </row>
    <row r="164" spans="2:2">
      <c r="B164" s="375">
        <v>46171</v>
      </c>
    </row>
    <row r="165" spans="2:2">
      <c r="B165" s="375">
        <v>46172</v>
      </c>
    </row>
    <row r="166" spans="2:2">
      <c r="B166" s="375">
        <v>46173</v>
      </c>
    </row>
    <row r="167" spans="2:2">
      <c r="B167" s="375">
        <v>46174</v>
      </c>
    </row>
    <row r="168" spans="2:2">
      <c r="B168" s="375">
        <v>46178</v>
      </c>
    </row>
    <row r="169" spans="2:2">
      <c r="B169" s="375">
        <v>46181</v>
      </c>
    </row>
    <row r="170" spans="2:2">
      <c r="B170" s="375">
        <v>46185</v>
      </c>
    </row>
    <row r="171" spans="2:2">
      <c r="B171" s="375">
        <v>46205</v>
      </c>
    </row>
    <row r="172" spans="2:2">
      <c r="B172" s="375">
        <v>46208</v>
      </c>
    </row>
    <row r="173" spans="2:2">
      <c r="B173" s="375">
        <v>46207</v>
      </c>
    </row>
    <row r="174" spans="2:2">
      <c r="B174" s="375">
        <v>46184</v>
      </c>
    </row>
    <row r="175" spans="2:2">
      <c r="B175" s="375">
        <v>46201</v>
      </c>
    </row>
    <row r="176" spans="2:2">
      <c r="B176" s="375">
        <v>46197</v>
      </c>
    </row>
    <row r="177" spans="2:2">
      <c r="B177" s="375">
        <v>46198</v>
      </c>
    </row>
    <row r="178" spans="2:2">
      <c r="B178" s="375">
        <v>46199</v>
      </c>
    </row>
    <row r="179" spans="2:2">
      <c r="B179" s="375">
        <v>46200</v>
      </c>
    </row>
    <row r="180" spans="2:2">
      <c r="B180" s="375">
        <v>46176</v>
      </c>
    </row>
    <row r="181" spans="2:2">
      <c r="B181" s="375">
        <v>46179</v>
      </c>
    </row>
    <row r="182" spans="2:2">
      <c r="B182" s="375">
        <v>46190</v>
      </c>
    </row>
    <row r="183" spans="2:2">
      <c r="B183" s="375">
        <v>46183</v>
      </c>
    </row>
    <row r="184" spans="2:2">
      <c r="B184" s="375">
        <v>46175</v>
      </c>
    </row>
    <row r="185" spans="2:2">
      <c r="B185" s="375">
        <v>46177</v>
      </c>
    </row>
    <row r="186" spans="2:2">
      <c r="B186" s="375">
        <v>46180</v>
      </c>
    </row>
    <row r="187" spans="2:2">
      <c r="B187" s="375">
        <v>46182</v>
      </c>
    </row>
    <row r="188" spans="2:2">
      <c r="B188" s="375">
        <v>46186</v>
      </c>
    </row>
    <row r="189" spans="2:2">
      <c r="B189" s="375">
        <v>46189</v>
      </c>
    </row>
    <row r="190" spans="2:2">
      <c r="B190" s="375">
        <v>46191</v>
      </c>
    </row>
    <row r="191" spans="2:2">
      <c r="B191" s="375">
        <v>46192</v>
      </c>
    </row>
    <row r="192" spans="2:2">
      <c r="B192" s="375">
        <v>46194</v>
      </c>
    </row>
    <row r="193" spans="2:2">
      <c r="B193" s="375">
        <v>46195</v>
      </c>
    </row>
    <row r="194" spans="2:2">
      <c r="B194" s="375">
        <v>46196</v>
      </c>
    </row>
    <row r="195" spans="2:2">
      <c r="B195" s="375">
        <v>46188</v>
      </c>
    </row>
    <row r="196" spans="2:2">
      <c r="B196" s="375">
        <v>46218</v>
      </c>
    </row>
    <row r="197" spans="2:2">
      <c r="B197" s="375">
        <v>46187</v>
      </c>
    </row>
    <row r="198" spans="2:2">
      <c r="B198" s="375">
        <v>46193</v>
      </c>
    </row>
    <row r="199" spans="2:2">
      <c r="B199" s="375">
        <v>46204</v>
      </c>
    </row>
    <row r="200" spans="2:2">
      <c r="B200" s="375">
        <v>46206</v>
      </c>
    </row>
    <row r="201" spans="2:2">
      <c r="B201" s="375">
        <v>46209</v>
      </c>
    </row>
    <row r="202" spans="2:2">
      <c r="B202" s="375">
        <v>46213</v>
      </c>
    </row>
    <row r="203" spans="2:2">
      <c r="B203" s="375">
        <v>46214</v>
      </c>
    </row>
    <row r="204" spans="2:2">
      <c r="B204" s="375">
        <v>46215</v>
      </c>
    </row>
    <row r="205" spans="2:2">
      <c r="B205" s="375">
        <v>46216</v>
      </c>
    </row>
    <row r="206" spans="2:2">
      <c r="B206" s="375">
        <v>46217</v>
      </c>
    </row>
    <row r="207" spans="2:2">
      <c r="B207" s="375">
        <v>46219</v>
      </c>
    </row>
    <row r="208" spans="2:2">
      <c r="B208" s="375">
        <v>46212</v>
      </c>
    </row>
    <row r="209" spans="1:2">
      <c r="A209" s="938" t="s">
        <v>505</v>
      </c>
      <c r="B209" s="938"/>
    </row>
    <row r="210" spans="1:2">
      <c r="A210" s="938" t="s">
        <v>472</v>
      </c>
      <c r="B210" s="375">
        <v>46190</v>
      </c>
    </row>
    <row r="211" spans="1:2">
      <c r="A211" s="938" t="s">
        <v>506</v>
      </c>
      <c r="B211" s="938"/>
    </row>
    <row r="212" spans="1:2">
      <c r="A212" s="938" t="s">
        <v>473</v>
      </c>
      <c r="B212" s="375">
        <v>46166</v>
      </c>
    </row>
    <row r="213" spans="1:2">
      <c r="B213" s="375">
        <v>46172</v>
      </c>
    </row>
    <row r="214" spans="1:2">
      <c r="B214" s="375">
        <v>46179</v>
      </c>
    </row>
    <row r="215" spans="1:2">
      <c r="B215" s="375">
        <v>46175</v>
      </c>
    </row>
    <row r="216" spans="1:2">
      <c r="A216" s="938" t="s">
        <v>507</v>
      </c>
      <c r="B216" s="938"/>
    </row>
    <row r="217" spans="1:2">
      <c r="A217" s="938" t="s">
        <v>450</v>
      </c>
      <c r="B217" s="375">
        <v>46203</v>
      </c>
    </row>
    <row r="218" spans="1:2">
      <c r="B218" s="375">
        <v>46218</v>
      </c>
    </row>
    <row r="219" spans="1:2">
      <c r="A219" s="938" t="s">
        <v>508</v>
      </c>
      <c r="B219" s="938"/>
    </row>
    <row r="220" spans="1:2">
      <c r="A220" s="938" t="s">
        <v>451</v>
      </c>
      <c r="B220" s="375">
        <v>46203</v>
      </c>
    </row>
    <row r="221" spans="1:2">
      <c r="B221" s="375">
        <v>46218</v>
      </c>
    </row>
    <row r="222" spans="1:2">
      <c r="B222" s="375">
        <v>46219</v>
      </c>
    </row>
    <row r="223" spans="1:2">
      <c r="A223" s="938" t="s">
        <v>509</v>
      </c>
      <c r="B223" s="938"/>
    </row>
    <row r="224" spans="1:2">
      <c r="A224" s="938" t="s">
        <v>453</v>
      </c>
      <c r="B224" s="375">
        <v>46203</v>
      </c>
    </row>
    <row r="225" spans="1:2">
      <c r="B225" s="375">
        <v>46219</v>
      </c>
    </row>
    <row r="226" spans="1:2">
      <c r="A226" s="938" t="s">
        <v>510</v>
      </c>
      <c r="B226" s="938"/>
    </row>
    <row r="227" spans="1:2">
      <c r="A227" s="938" t="s">
        <v>408</v>
      </c>
      <c r="B227" s="375">
        <v>46168</v>
      </c>
    </row>
    <row r="228" spans="1:2">
      <c r="B228" s="375">
        <v>46183</v>
      </c>
    </row>
    <row r="229" spans="1:2">
      <c r="B229" s="375">
        <v>46175</v>
      </c>
    </row>
    <row r="230" spans="1:2">
      <c r="A230" s="938" t="s">
        <v>511</v>
      </c>
      <c r="B230" s="938"/>
    </row>
    <row r="231" spans="1:2">
      <c r="A231" s="938" t="s">
        <v>525</v>
      </c>
      <c r="B231" s="375">
        <v>46170</v>
      </c>
    </row>
    <row r="232" spans="1:2">
      <c r="B232" s="375">
        <v>46171</v>
      </c>
    </row>
    <row r="233" spans="1:2">
      <c r="B233" s="375">
        <v>46172</v>
      </c>
    </row>
    <row r="234" spans="1:2">
      <c r="B234" s="375">
        <v>46174</v>
      </c>
    </row>
    <row r="235" spans="1:2">
      <c r="B235" s="375">
        <v>46178</v>
      </c>
    </row>
    <row r="236" spans="1:2">
      <c r="B236" s="375">
        <v>46175</v>
      </c>
    </row>
    <row r="237" spans="1:2">
      <c r="B237" s="375">
        <v>46177</v>
      </c>
    </row>
    <row r="238" spans="1:2">
      <c r="A238" s="938" t="s">
        <v>528</v>
      </c>
      <c r="B238" s="938"/>
    </row>
    <row r="239" spans="1:2">
      <c r="A239" s="938" t="s">
        <v>530</v>
      </c>
      <c r="B239" s="375">
        <v>46165</v>
      </c>
    </row>
    <row r="240" spans="1:2">
      <c r="A240" s="938" t="s">
        <v>534</v>
      </c>
      <c r="B240" s="938"/>
    </row>
    <row r="241" spans="1:2">
      <c r="A241" s="938" t="s">
        <v>529</v>
      </c>
      <c r="B241" s="375">
        <v>46197</v>
      </c>
    </row>
    <row r="242" spans="1:2">
      <c r="B242" s="375">
        <v>46175</v>
      </c>
    </row>
    <row r="243" spans="1:2">
      <c r="B243" s="375">
        <v>46177</v>
      </c>
    </row>
    <row r="244" spans="1:2">
      <c r="B244" s="375">
        <v>46193</v>
      </c>
    </row>
    <row r="245" spans="1:2">
      <c r="A245" s="938" t="s">
        <v>535</v>
      </c>
      <c r="B245" s="938"/>
    </row>
    <row r="246" spans="1:2">
      <c r="A246" s="938" t="s">
        <v>531</v>
      </c>
      <c r="B246" s="375">
        <v>46172</v>
      </c>
    </row>
    <row r="247" spans="1:2">
      <c r="B247" s="375">
        <v>46197</v>
      </c>
    </row>
    <row r="248" spans="1:2">
      <c r="A248" s="938" t="s">
        <v>536</v>
      </c>
      <c r="B248" s="938"/>
    </row>
    <row r="249" spans="1:2">
      <c r="A249" s="938" t="s">
        <v>532</v>
      </c>
      <c r="B249" s="375">
        <v>46170</v>
      </c>
    </row>
    <row r="250" spans="1:2">
      <c r="B250" s="375">
        <v>46193</v>
      </c>
    </row>
    <row r="251" spans="1:2">
      <c r="A251" s="938" t="s">
        <v>537</v>
      </c>
      <c r="B251" s="938"/>
    </row>
    <row r="252" spans="1:2">
      <c r="A252" s="938" t="s">
        <v>541</v>
      </c>
      <c r="B252" s="375">
        <v>46222</v>
      </c>
    </row>
    <row r="253" spans="1:2">
      <c r="A253" s="938" t="s">
        <v>545</v>
      </c>
      <c r="B253" s="938"/>
    </row>
    <row r="254" spans="1:2">
      <c r="A254" s="938" t="s">
        <v>243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K1339"/>
  <sheetViews>
    <sheetView showGridLines="0" zoomScale="91" zoomScaleNormal="90" workbookViewId="0">
      <selection activeCell="DK120" sqref="DK119:DK120"/>
    </sheetView>
  </sheetViews>
  <sheetFormatPr baseColWidth="10" defaultColWidth="14.42578125" defaultRowHeight="15" customHeight="1"/>
  <cols>
    <col min="1" max="1" width="16.85546875" customWidth="1"/>
    <col min="2" max="2" width="15.85546875" customWidth="1"/>
    <col min="3" max="3" width="14.5703125" customWidth="1"/>
    <col min="4" max="4" width="20.7109375" style="235" customWidth="1"/>
    <col min="5" max="7" width="20.7109375" customWidth="1"/>
    <col min="8" max="8" width="15.7109375" style="374" customWidth="1"/>
    <col min="9" max="9" width="48.7109375" style="374" customWidth="1"/>
    <col min="10" max="13" width="14.7109375" style="374" hidden="1" customWidth="1"/>
    <col min="14" max="19" width="14.7109375" hidden="1" customWidth="1"/>
    <col min="20" max="20" width="14.7109375" hidden="1" customWidth="1" collapsed="1"/>
    <col min="21" max="32" width="14.7109375" hidden="1" customWidth="1"/>
    <col min="33" max="33" width="14.7109375" hidden="1" customWidth="1" collapsed="1"/>
    <col min="34" max="36" width="14.7109375" hidden="1" customWidth="1"/>
    <col min="37" max="37" width="14.7109375" hidden="1" customWidth="1" collapsed="1"/>
    <col min="38" max="41" width="14.7109375" hidden="1" customWidth="1"/>
    <col min="42" max="42" width="14.7109375" hidden="1" customWidth="1" collapsed="1"/>
    <col min="43" max="45" width="14.7109375" hidden="1" customWidth="1"/>
    <col min="46" max="46" width="14.7109375" hidden="1" customWidth="1" collapsed="1"/>
    <col min="47" max="47" width="14.7109375" hidden="1" customWidth="1"/>
    <col min="48" max="49" width="14.7109375" style="235" hidden="1" customWidth="1"/>
    <col min="50" max="50" width="14.7109375" style="235" hidden="1" customWidth="1" collapsed="1"/>
    <col min="51" max="58" width="14.7109375" style="235" hidden="1" customWidth="1"/>
    <col min="59" max="59" width="14.7109375" style="235" hidden="1" customWidth="1" collapsed="1"/>
    <col min="60" max="69" width="14.7109375" style="235" hidden="1" customWidth="1"/>
    <col min="70" max="70" width="14.7109375" hidden="1" customWidth="1"/>
    <col min="71" max="71" width="14.7109375" style="374" hidden="1" customWidth="1"/>
    <col min="72" max="73" width="14.7109375" hidden="1" customWidth="1"/>
    <col min="74" max="74" width="14.7109375" style="481" hidden="1" customWidth="1"/>
    <col min="75" max="77" width="14.7109375" style="489" hidden="1" customWidth="1"/>
    <col min="78" max="80" width="14.7109375" style="492" hidden="1" customWidth="1"/>
    <col min="81" max="85" width="14.7109375" style="497" hidden="1" customWidth="1"/>
    <col min="86" max="87" width="14.7109375" style="518" hidden="1" customWidth="1"/>
    <col min="88" max="91" width="14.7109375" style="521" hidden="1" customWidth="1"/>
    <col min="92" max="96" width="14.7109375" style="542" hidden="1" customWidth="1"/>
    <col min="97" max="98" width="14.7109375" style="699" hidden="1" customWidth="1"/>
    <col min="99" max="104" width="14.7109375" style="725" hidden="1" customWidth="1"/>
    <col min="105" max="112" width="14.7109375" style="780" hidden="1" customWidth="1"/>
    <col min="113" max="164" width="14.7109375" style="780" customWidth="1"/>
    <col min="165" max="165" width="18.7109375" customWidth="1"/>
  </cols>
  <sheetData>
    <row r="1" spans="1:167" ht="15.75">
      <c r="A1" s="236" t="s">
        <v>354</v>
      </c>
      <c r="H1" s="248"/>
      <c r="I1" s="248"/>
      <c r="J1" s="248"/>
      <c r="K1" s="248"/>
      <c r="L1" s="248"/>
      <c r="M1" s="248"/>
      <c r="N1" s="248"/>
      <c r="O1" s="249">
        <v>45444</v>
      </c>
      <c r="P1" s="248"/>
      <c r="Q1" s="248"/>
      <c r="R1" s="248"/>
      <c r="S1" s="248"/>
      <c r="T1" s="249">
        <v>45474</v>
      </c>
      <c r="U1" s="248"/>
      <c r="V1" s="248"/>
      <c r="W1" s="248"/>
      <c r="X1" s="249">
        <v>45505</v>
      </c>
      <c r="Y1" s="248"/>
      <c r="Z1" s="248"/>
      <c r="AA1" s="248"/>
      <c r="AB1" s="248"/>
      <c r="AC1" s="249">
        <v>45536</v>
      </c>
      <c r="AD1" s="248"/>
      <c r="AE1" s="248"/>
      <c r="AF1" s="248"/>
      <c r="AG1" s="249">
        <v>45566</v>
      </c>
      <c r="AH1" s="248"/>
      <c r="AI1" s="248"/>
      <c r="AJ1" s="248"/>
      <c r="AK1" s="249">
        <v>45597</v>
      </c>
      <c r="AL1" s="248"/>
      <c r="AM1" s="248"/>
      <c r="AN1" s="248"/>
      <c r="AO1" s="248"/>
      <c r="AP1" s="249">
        <v>45627</v>
      </c>
      <c r="AQ1" s="248"/>
      <c r="AR1" s="248"/>
      <c r="AS1" s="248"/>
      <c r="AT1" s="249">
        <v>45658</v>
      </c>
      <c r="AU1" s="248"/>
      <c r="AV1" s="248"/>
      <c r="AW1" s="250"/>
      <c r="AX1" s="251">
        <v>45689</v>
      </c>
      <c r="AY1" s="250"/>
      <c r="AZ1" s="250"/>
      <c r="BA1" s="250"/>
      <c r="BB1" s="251">
        <v>45717</v>
      </c>
      <c r="BD1" s="250"/>
      <c r="BE1" s="250"/>
      <c r="BF1" s="250"/>
      <c r="BG1" s="251">
        <v>45748</v>
      </c>
      <c r="BH1" s="250"/>
      <c r="BI1" s="250"/>
      <c r="BJ1" s="250"/>
      <c r="BK1" s="250"/>
      <c r="BL1" s="250"/>
      <c r="BM1" s="250"/>
      <c r="BN1" s="250"/>
      <c r="BO1" s="250"/>
      <c r="BP1" s="250"/>
      <c r="BQ1" s="250"/>
      <c r="BR1" s="250"/>
      <c r="BS1" s="250"/>
    </row>
    <row r="2" spans="1:167" s="469" customFormat="1" ht="15.75">
      <c r="A2" s="236"/>
      <c r="D2" s="235"/>
      <c r="H2" s="248"/>
      <c r="I2" s="244" t="s">
        <v>242</v>
      </c>
      <c r="J2" s="245">
        <f t="shared" ref="J2:AO2" si="0">WEEKNUM(J3)</f>
        <v>19</v>
      </c>
      <c r="K2" s="245">
        <f t="shared" si="0"/>
        <v>20</v>
      </c>
      <c r="L2" s="245">
        <f t="shared" si="0"/>
        <v>21</v>
      </c>
      <c r="M2" s="245">
        <f t="shared" si="0"/>
        <v>22</v>
      </c>
      <c r="N2" s="245">
        <f t="shared" si="0"/>
        <v>23</v>
      </c>
      <c r="O2" s="245">
        <f t="shared" si="0"/>
        <v>24</v>
      </c>
      <c r="P2" s="245">
        <f t="shared" si="0"/>
        <v>25</v>
      </c>
      <c r="Q2" s="245">
        <f t="shared" si="0"/>
        <v>26</v>
      </c>
      <c r="R2" s="245">
        <f t="shared" si="0"/>
        <v>27</v>
      </c>
      <c r="S2" s="245">
        <f t="shared" si="0"/>
        <v>28</v>
      </c>
      <c r="T2" s="245">
        <f t="shared" si="0"/>
        <v>29</v>
      </c>
      <c r="U2" s="245">
        <f t="shared" si="0"/>
        <v>30</v>
      </c>
      <c r="V2" s="245">
        <f t="shared" si="0"/>
        <v>31</v>
      </c>
      <c r="W2" s="245">
        <f t="shared" si="0"/>
        <v>32</v>
      </c>
      <c r="X2" s="245">
        <f t="shared" si="0"/>
        <v>33</v>
      </c>
      <c r="Y2" s="245">
        <f t="shared" si="0"/>
        <v>34</v>
      </c>
      <c r="Z2" s="245">
        <f t="shared" si="0"/>
        <v>35</v>
      </c>
      <c r="AA2" s="245">
        <f t="shared" si="0"/>
        <v>36</v>
      </c>
      <c r="AB2" s="245">
        <f t="shared" si="0"/>
        <v>37</v>
      </c>
      <c r="AC2" s="245">
        <f t="shared" si="0"/>
        <v>38</v>
      </c>
      <c r="AD2" s="245">
        <f t="shared" si="0"/>
        <v>39</v>
      </c>
      <c r="AE2" s="245">
        <f t="shared" si="0"/>
        <v>40</v>
      </c>
      <c r="AF2" s="245">
        <f t="shared" si="0"/>
        <v>41</v>
      </c>
      <c r="AG2" s="245">
        <f t="shared" si="0"/>
        <v>42</v>
      </c>
      <c r="AH2" s="245">
        <f t="shared" si="0"/>
        <v>43</v>
      </c>
      <c r="AI2" s="245">
        <f t="shared" si="0"/>
        <v>44</v>
      </c>
      <c r="AJ2" s="245">
        <f t="shared" si="0"/>
        <v>45</v>
      </c>
      <c r="AK2" s="245">
        <f t="shared" si="0"/>
        <v>46</v>
      </c>
      <c r="AL2" s="245">
        <f t="shared" si="0"/>
        <v>47</v>
      </c>
      <c r="AM2" s="245">
        <f t="shared" si="0"/>
        <v>48</v>
      </c>
      <c r="AN2" s="245">
        <f t="shared" si="0"/>
        <v>49</v>
      </c>
      <c r="AO2" s="245">
        <f t="shared" si="0"/>
        <v>50</v>
      </c>
      <c r="AP2" s="245">
        <f t="shared" ref="AP2:DA2" si="1">WEEKNUM(AP3)</f>
        <v>51</v>
      </c>
      <c r="AQ2" s="245">
        <f t="shared" si="1"/>
        <v>52</v>
      </c>
      <c r="AR2" s="245">
        <f t="shared" si="1"/>
        <v>53</v>
      </c>
      <c r="AS2" s="245">
        <f t="shared" si="1"/>
        <v>2</v>
      </c>
      <c r="AT2" s="245">
        <f t="shared" si="1"/>
        <v>3</v>
      </c>
      <c r="AU2" s="245">
        <f t="shared" si="1"/>
        <v>4</v>
      </c>
      <c r="AV2" s="245">
        <f t="shared" si="1"/>
        <v>5</v>
      </c>
      <c r="AW2" s="245">
        <f t="shared" si="1"/>
        <v>6</v>
      </c>
      <c r="AX2" s="245">
        <f t="shared" si="1"/>
        <v>7</v>
      </c>
      <c r="AY2" s="246">
        <f t="shared" si="1"/>
        <v>8</v>
      </c>
      <c r="AZ2" s="246">
        <f t="shared" si="1"/>
        <v>9</v>
      </c>
      <c r="BA2" s="246">
        <f t="shared" si="1"/>
        <v>10</v>
      </c>
      <c r="BB2" s="246">
        <f t="shared" si="1"/>
        <v>11</v>
      </c>
      <c r="BC2" s="246">
        <f t="shared" si="1"/>
        <v>12</v>
      </c>
      <c r="BD2" s="246">
        <f t="shared" si="1"/>
        <v>13</v>
      </c>
      <c r="BE2" s="246">
        <f t="shared" si="1"/>
        <v>14</v>
      </c>
      <c r="BF2" s="246">
        <f t="shared" si="1"/>
        <v>15</v>
      </c>
      <c r="BG2" s="246">
        <f t="shared" si="1"/>
        <v>16</v>
      </c>
      <c r="BH2" s="246">
        <f t="shared" si="1"/>
        <v>17</v>
      </c>
      <c r="BI2" s="246">
        <f t="shared" si="1"/>
        <v>18</v>
      </c>
      <c r="BJ2" s="246">
        <f t="shared" si="1"/>
        <v>19</v>
      </c>
      <c r="BK2" s="246">
        <f t="shared" si="1"/>
        <v>20</v>
      </c>
      <c r="BL2" s="246">
        <f t="shared" si="1"/>
        <v>21</v>
      </c>
      <c r="BM2" s="246">
        <f t="shared" si="1"/>
        <v>22</v>
      </c>
      <c r="BN2" s="246">
        <f t="shared" si="1"/>
        <v>23</v>
      </c>
      <c r="BO2" s="246">
        <f t="shared" si="1"/>
        <v>24</v>
      </c>
      <c r="BP2" s="246">
        <f t="shared" si="1"/>
        <v>25</v>
      </c>
      <c r="BQ2" s="246">
        <f t="shared" si="1"/>
        <v>26</v>
      </c>
      <c r="BR2" s="246">
        <f t="shared" si="1"/>
        <v>27</v>
      </c>
      <c r="BS2" s="246">
        <f t="shared" si="1"/>
        <v>28</v>
      </c>
      <c r="BT2" s="246">
        <f t="shared" si="1"/>
        <v>29</v>
      </c>
      <c r="BU2" s="246">
        <f t="shared" si="1"/>
        <v>30</v>
      </c>
      <c r="BV2" s="246">
        <f t="shared" si="1"/>
        <v>31</v>
      </c>
      <c r="BW2" s="246">
        <f t="shared" si="1"/>
        <v>32</v>
      </c>
      <c r="BX2" s="246">
        <f t="shared" si="1"/>
        <v>33</v>
      </c>
      <c r="BY2" s="246">
        <f t="shared" si="1"/>
        <v>34</v>
      </c>
      <c r="BZ2" s="246">
        <f t="shared" si="1"/>
        <v>35</v>
      </c>
      <c r="CA2" s="246">
        <f t="shared" si="1"/>
        <v>36</v>
      </c>
      <c r="CB2" s="246">
        <f t="shared" si="1"/>
        <v>37</v>
      </c>
      <c r="CC2" s="246">
        <f t="shared" si="1"/>
        <v>38</v>
      </c>
      <c r="CD2" s="246">
        <f t="shared" si="1"/>
        <v>39</v>
      </c>
      <c r="CE2" s="246">
        <f t="shared" si="1"/>
        <v>40</v>
      </c>
      <c r="CF2" s="246">
        <f t="shared" si="1"/>
        <v>41</v>
      </c>
      <c r="CG2" s="246">
        <f t="shared" si="1"/>
        <v>42</v>
      </c>
      <c r="CH2" s="246">
        <f t="shared" si="1"/>
        <v>43</v>
      </c>
      <c r="CI2" s="246">
        <f t="shared" si="1"/>
        <v>44</v>
      </c>
      <c r="CJ2" s="246">
        <f t="shared" si="1"/>
        <v>45</v>
      </c>
      <c r="CK2" s="246">
        <f t="shared" si="1"/>
        <v>46</v>
      </c>
      <c r="CL2" s="246">
        <f t="shared" si="1"/>
        <v>47</v>
      </c>
      <c r="CM2" s="246">
        <f t="shared" si="1"/>
        <v>48</v>
      </c>
      <c r="CN2" s="246">
        <f t="shared" si="1"/>
        <v>49</v>
      </c>
      <c r="CO2" s="246">
        <f t="shared" si="1"/>
        <v>50</v>
      </c>
      <c r="CP2" s="246">
        <f t="shared" si="1"/>
        <v>51</v>
      </c>
      <c r="CQ2" s="246">
        <f t="shared" si="1"/>
        <v>52</v>
      </c>
      <c r="CR2" s="246">
        <f t="shared" si="1"/>
        <v>53</v>
      </c>
      <c r="CS2" s="246">
        <f t="shared" si="1"/>
        <v>2</v>
      </c>
      <c r="CT2" s="246">
        <f t="shared" si="1"/>
        <v>3</v>
      </c>
      <c r="CU2" s="246">
        <f t="shared" si="1"/>
        <v>4</v>
      </c>
      <c r="CV2" s="246">
        <f t="shared" si="1"/>
        <v>5</v>
      </c>
      <c r="CW2" s="246">
        <f t="shared" si="1"/>
        <v>6</v>
      </c>
      <c r="CX2" s="246">
        <f t="shared" si="1"/>
        <v>7</v>
      </c>
      <c r="CY2" s="246">
        <f t="shared" si="1"/>
        <v>8</v>
      </c>
      <c r="CZ2" s="246">
        <f t="shared" si="1"/>
        <v>9</v>
      </c>
      <c r="DA2" s="246">
        <f t="shared" si="1"/>
        <v>10</v>
      </c>
      <c r="DB2" s="246">
        <f t="shared" ref="DB2:FH2" si="2">WEEKNUM(DB3)</f>
        <v>11</v>
      </c>
      <c r="DC2" s="246">
        <f t="shared" si="2"/>
        <v>12</v>
      </c>
      <c r="DD2" s="246">
        <f t="shared" si="2"/>
        <v>13</v>
      </c>
      <c r="DE2" s="246">
        <f t="shared" si="2"/>
        <v>14</v>
      </c>
      <c r="DF2" s="246">
        <f t="shared" si="2"/>
        <v>15</v>
      </c>
      <c r="DG2" s="246">
        <f t="shared" si="2"/>
        <v>16</v>
      </c>
      <c r="DH2" s="246">
        <f t="shared" si="2"/>
        <v>17</v>
      </c>
      <c r="DI2" s="246">
        <f t="shared" si="2"/>
        <v>18</v>
      </c>
      <c r="DJ2" s="246">
        <f t="shared" si="2"/>
        <v>19</v>
      </c>
      <c r="DK2" s="246">
        <f t="shared" si="2"/>
        <v>20</v>
      </c>
      <c r="DL2" s="246">
        <f t="shared" si="2"/>
        <v>21</v>
      </c>
      <c r="DM2" s="246">
        <f t="shared" si="2"/>
        <v>22</v>
      </c>
      <c r="DN2" s="246">
        <f t="shared" si="2"/>
        <v>23</v>
      </c>
      <c r="DO2" s="246">
        <f t="shared" si="2"/>
        <v>24</v>
      </c>
      <c r="DP2" s="246">
        <f t="shared" si="2"/>
        <v>25</v>
      </c>
      <c r="DQ2" s="246">
        <f t="shared" si="2"/>
        <v>26</v>
      </c>
      <c r="DR2" s="246">
        <f t="shared" si="2"/>
        <v>27</v>
      </c>
      <c r="DS2" s="246">
        <f t="shared" si="2"/>
        <v>28</v>
      </c>
      <c r="DT2" s="246">
        <f t="shared" si="2"/>
        <v>29</v>
      </c>
      <c r="DU2" s="246">
        <f t="shared" si="2"/>
        <v>30</v>
      </c>
      <c r="DV2" s="246">
        <f t="shared" si="2"/>
        <v>31</v>
      </c>
      <c r="DW2" s="246">
        <f t="shared" si="2"/>
        <v>32</v>
      </c>
      <c r="DX2" s="246">
        <f t="shared" si="2"/>
        <v>33</v>
      </c>
      <c r="DY2" s="246">
        <f t="shared" si="2"/>
        <v>34</v>
      </c>
      <c r="DZ2" s="246">
        <f t="shared" si="2"/>
        <v>35</v>
      </c>
      <c r="EA2" s="246">
        <f t="shared" si="2"/>
        <v>36</v>
      </c>
      <c r="EB2" s="246">
        <f t="shared" si="2"/>
        <v>37</v>
      </c>
      <c r="EC2" s="246">
        <f t="shared" si="2"/>
        <v>38</v>
      </c>
      <c r="ED2" s="246">
        <f t="shared" si="2"/>
        <v>39</v>
      </c>
      <c r="EE2" s="246">
        <f t="shared" si="2"/>
        <v>40</v>
      </c>
      <c r="EF2" s="246">
        <f t="shared" si="2"/>
        <v>41</v>
      </c>
      <c r="EG2" s="246">
        <f t="shared" si="2"/>
        <v>42</v>
      </c>
      <c r="EH2" s="246">
        <f t="shared" si="2"/>
        <v>43</v>
      </c>
      <c r="EI2" s="246">
        <f t="shared" si="2"/>
        <v>44</v>
      </c>
      <c r="EJ2" s="246">
        <f t="shared" si="2"/>
        <v>45</v>
      </c>
      <c r="EK2" s="246">
        <f t="shared" si="2"/>
        <v>46</v>
      </c>
      <c r="EL2" s="246">
        <f t="shared" si="2"/>
        <v>47</v>
      </c>
      <c r="EM2" s="246">
        <f t="shared" si="2"/>
        <v>48</v>
      </c>
      <c r="EN2" s="246">
        <f t="shared" si="2"/>
        <v>49</v>
      </c>
      <c r="EO2" s="246">
        <f t="shared" si="2"/>
        <v>50</v>
      </c>
      <c r="EP2" s="246">
        <f t="shared" si="2"/>
        <v>51</v>
      </c>
      <c r="EQ2" s="246">
        <f t="shared" si="2"/>
        <v>52</v>
      </c>
      <c r="ER2" s="246">
        <f t="shared" si="2"/>
        <v>53</v>
      </c>
      <c r="ES2" s="246">
        <f t="shared" si="2"/>
        <v>2</v>
      </c>
      <c r="ET2" s="246">
        <f t="shared" si="2"/>
        <v>3</v>
      </c>
      <c r="EU2" s="246">
        <f t="shared" si="2"/>
        <v>4</v>
      </c>
      <c r="EV2" s="246">
        <f t="shared" si="2"/>
        <v>5</v>
      </c>
      <c r="EW2" s="246">
        <f t="shared" si="2"/>
        <v>6</v>
      </c>
      <c r="EX2" s="246">
        <f t="shared" si="2"/>
        <v>7</v>
      </c>
      <c r="EY2" s="246">
        <f t="shared" si="2"/>
        <v>8</v>
      </c>
      <c r="EZ2" s="246">
        <f t="shared" si="2"/>
        <v>9</v>
      </c>
      <c r="FA2" s="246">
        <f t="shared" si="2"/>
        <v>10</v>
      </c>
      <c r="FB2" s="246">
        <f t="shared" si="2"/>
        <v>11</v>
      </c>
      <c r="FC2" s="246">
        <f t="shared" si="2"/>
        <v>12</v>
      </c>
      <c r="FD2" s="246">
        <f t="shared" si="2"/>
        <v>13</v>
      </c>
      <c r="FE2" s="246">
        <f t="shared" si="2"/>
        <v>14</v>
      </c>
      <c r="FF2" s="246">
        <f t="shared" si="2"/>
        <v>15</v>
      </c>
      <c r="FG2" s="246">
        <f t="shared" si="2"/>
        <v>16</v>
      </c>
      <c r="FH2" s="246">
        <f t="shared" si="2"/>
        <v>17</v>
      </c>
      <c r="FI2" s="299" t="s">
        <v>355</v>
      </c>
    </row>
    <row r="3" spans="1:167" s="469" customFormat="1" ht="15.75">
      <c r="A3" s="236"/>
      <c r="D3" s="235"/>
      <c r="H3" s="248"/>
      <c r="I3" s="241" t="s">
        <v>63</v>
      </c>
      <c r="J3" s="382">
        <f t="shared" ref="J3:O3" si="3">+K3-7</f>
        <v>45418</v>
      </c>
      <c r="K3" s="382">
        <f t="shared" si="3"/>
        <v>45425</v>
      </c>
      <c r="L3" s="382">
        <f t="shared" si="3"/>
        <v>45432</v>
      </c>
      <c r="M3" s="382">
        <f t="shared" si="3"/>
        <v>45439</v>
      </c>
      <c r="N3" s="382">
        <f t="shared" si="3"/>
        <v>45446</v>
      </c>
      <c r="O3" s="382">
        <f t="shared" si="3"/>
        <v>45453</v>
      </c>
      <c r="P3" s="242">
        <v>45460</v>
      </c>
      <c r="Q3" s="242">
        <f t="shared" ref="Q3:AV3" si="4">+P3+7</f>
        <v>45467</v>
      </c>
      <c r="R3" s="242">
        <f t="shared" si="4"/>
        <v>45474</v>
      </c>
      <c r="S3" s="242">
        <f t="shared" si="4"/>
        <v>45481</v>
      </c>
      <c r="T3" s="242">
        <f t="shared" si="4"/>
        <v>45488</v>
      </c>
      <c r="U3" s="242">
        <f t="shared" si="4"/>
        <v>45495</v>
      </c>
      <c r="V3" s="242">
        <f t="shared" si="4"/>
        <v>45502</v>
      </c>
      <c r="W3" s="242">
        <f t="shared" si="4"/>
        <v>45509</v>
      </c>
      <c r="X3" s="242">
        <f t="shared" si="4"/>
        <v>45516</v>
      </c>
      <c r="Y3" s="242">
        <f t="shared" si="4"/>
        <v>45523</v>
      </c>
      <c r="Z3" s="242">
        <f t="shared" si="4"/>
        <v>45530</v>
      </c>
      <c r="AA3" s="242">
        <f t="shared" si="4"/>
        <v>45537</v>
      </c>
      <c r="AB3" s="242">
        <f t="shared" si="4"/>
        <v>45544</v>
      </c>
      <c r="AC3" s="242">
        <f t="shared" si="4"/>
        <v>45551</v>
      </c>
      <c r="AD3" s="242">
        <f t="shared" si="4"/>
        <v>45558</v>
      </c>
      <c r="AE3" s="242">
        <f t="shared" si="4"/>
        <v>45565</v>
      </c>
      <c r="AF3" s="242">
        <f t="shared" si="4"/>
        <v>45572</v>
      </c>
      <c r="AG3" s="242">
        <f t="shared" si="4"/>
        <v>45579</v>
      </c>
      <c r="AH3" s="242">
        <f t="shared" si="4"/>
        <v>45586</v>
      </c>
      <c r="AI3" s="242">
        <f t="shared" si="4"/>
        <v>45593</v>
      </c>
      <c r="AJ3" s="242">
        <f t="shared" si="4"/>
        <v>45600</v>
      </c>
      <c r="AK3" s="242">
        <f t="shared" si="4"/>
        <v>45607</v>
      </c>
      <c r="AL3" s="242">
        <f t="shared" si="4"/>
        <v>45614</v>
      </c>
      <c r="AM3" s="242">
        <f t="shared" si="4"/>
        <v>45621</v>
      </c>
      <c r="AN3" s="242">
        <f t="shared" si="4"/>
        <v>45628</v>
      </c>
      <c r="AO3" s="242">
        <f t="shared" si="4"/>
        <v>45635</v>
      </c>
      <c r="AP3" s="242">
        <f t="shared" si="4"/>
        <v>45642</v>
      </c>
      <c r="AQ3" s="242">
        <f t="shared" si="4"/>
        <v>45649</v>
      </c>
      <c r="AR3" s="242">
        <f t="shared" si="4"/>
        <v>45656</v>
      </c>
      <c r="AS3" s="242">
        <f t="shared" si="4"/>
        <v>45663</v>
      </c>
      <c r="AT3" s="242">
        <f t="shared" si="4"/>
        <v>45670</v>
      </c>
      <c r="AU3" s="242">
        <f t="shared" si="4"/>
        <v>45677</v>
      </c>
      <c r="AV3" s="242">
        <f t="shared" si="4"/>
        <v>45684</v>
      </c>
      <c r="AW3" s="242">
        <f t="shared" ref="AW3:BV3" si="5">+AV3+7</f>
        <v>45691</v>
      </c>
      <c r="AX3" s="242">
        <f t="shared" si="5"/>
        <v>45698</v>
      </c>
      <c r="AY3" s="247">
        <f t="shared" si="5"/>
        <v>45705</v>
      </c>
      <c r="AZ3" s="247">
        <f t="shared" si="5"/>
        <v>45712</v>
      </c>
      <c r="BA3" s="247">
        <f t="shared" si="5"/>
        <v>45719</v>
      </c>
      <c r="BB3" s="247">
        <f t="shared" si="5"/>
        <v>45726</v>
      </c>
      <c r="BC3" s="247">
        <f t="shared" si="5"/>
        <v>45733</v>
      </c>
      <c r="BD3" s="247">
        <f t="shared" si="5"/>
        <v>45740</v>
      </c>
      <c r="BE3" s="247">
        <f t="shared" si="5"/>
        <v>45747</v>
      </c>
      <c r="BF3" s="247">
        <f t="shared" si="5"/>
        <v>45754</v>
      </c>
      <c r="BG3" s="247">
        <f t="shared" si="5"/>
        <v>45761</v>
      </c>
      <c r="BH3" s="247">
        <f t="shared" si="5"/>
        <v>45768</v>
      </c>
      <c r="BI3" s="247">
        <f t="shared" si="5"/>
        <v>45775</v>
      </c>
      <c r="BJ3" s="247">
        <f t="shared" si="5"/>
        <v>45782</v>
      </c>
      <c r="BK3" s="247">
        <f t="shared" si="5"/>
        <v>45789</v>
      </c>
      <c r="BL3" s="247">
        <f t="shared" si="5"/>
        <v>45796</v>
      </c>
      <c r="BM3" s="247">
        <f t="shared" si="5"/>
        <v>45803</v>
      </c>
      <c r="BN3" s="247">
        <f t="shared" si="5"/>
        <v>45810</v>
      </c>
      <c r="BO3" s="247">
        <f t="shared" si="5"/>
        <v>45817</v>
      </c>
      <c r="BP3" s="247">
        <f t="shared" si="5"/>
        <v>45824</v>
      </c>
      <c r="BQ3" s="247">
        <f t="shared" si="5"/>
        <v>45831</v>
      </c>
      <c r="BR3" s="247">
        <f t="shared" si="5"/>
        <v>45838</v>
      </c>
      <c r="BS3" s="247">
        <f t="shared" si="5"/>
        <v>45845</v>
      </c>
      <c r="BT3" s="247">
        <f t="shared" si="5"/>
        <v>45852</v>
      </c>
      <c r="BU3" s="247">
        <f t="shared" si="5"/>
        <v>45859</v>
      </c>
      <c r="BV3" s="247">
        <f t="shared" si="5"/>
        <v>45866</v>
      </c>
      <c r="BW3" s="247">
        <f t="shared" ref="BW3:CB3" si="6">+BV3+7</f>
        <v>45873</v>
      </c>
      <c r="BX3" s="247">
        <f t="shared" si="6"/>
        <v>45880</v>
      </c>
      <c r="BY3" s="247">
        <f t="shared" si="6"/>
        <v>45887</v>
      </c>
      <c r="BZ3" s="247">
        <f t="shared" si="6"/>
        <v>45894</v>
      </c>
      <c r="CA3" s="247">
        <f t="shared" si="6"/>
        <v>45901</v>
      </c>
      <c r="CB3" s="247">
        <f t="shared" si="6"/>
        <v>45908</v>
      </c>
      <c r="CC3" s="247">
        <f t="shared" ref="CC3:CP3" si="7">+CB3+7</f>
        <v>45915</v>
      </c>
      <c r="CD3" s="247">
        <f t="shared" si="7"/>
        <v>45922</v>
      </c>
      <c r="CE3" s="247">
        <f t="shared" si="7"/>
        <v>45929</v>
      </c>
      <c r="CF3" s="247">
        <f t="shared" si="7"/>
        <v>45936</v>
      </c>
      <c r="CG3" s="247">
        <f t="shared" si="7"/>
        <v>45943</v>
      </c>
      <c r="CH3" s="247">
        <f t="shared" si="7"/>
        <v>45950</v>
      </c>
      <c r="CI3" s="247">
        <f t="shared" si="7"/>
        <v>45957</v>
      </c>
      <c r="CJ3" s="247">
        <f t="shared" si="7"/>
        <v>45964</v>
      </c>
      <c r="CK3" s="247">
        <f t="shared" si="7"/>
        <v>45971</v>
      </c>
      <c r="CL3" s="247">
        <f t="shared" si="7"/>
        <v>45978</v>
      </c>
      <c r="CM3" s="247">
        <f t="shared" si="7"/>
        <v>45985</v>
      </c>
      <c r="CN3" s="247">
        <f t="shared" si="7"/>
        <v>45992</v>
      </c>
      <c r="CO3" s="247">
        <f t="shared" si="7"/>
        <v>45999</v>
      </c>
      <c r="CP3" s="247">
        <f t="shared" si="7"/>
        <v>46006</v>
      </c>
      <c r="CQ3" s="247">
        <f t="shared" ref="CQ3:CZ3" si="8">+CP3+7</f>
        <v>46013</v>
      </c>
      <c r="CR3" s="247">
        <f t="shared" si="8"/>
        <v>46020</v>
      </c>
      <c r="CS3" s="247">
        <f t="shared" si="8"/>
        <v>46027</v>
      </c>
      <c r="CT3" s="247">
        <f t="shared" si="8"/>
        <v>46034</v>
      </c>
      <c r="CU3" s="247">
        <f t="shared" si="8"/>
        <v>46041</v>
      </c>
      <c r="CV3" s="247">
        <f t="shared" si="8"/>
        <v>46048</v>
      </c>
      <c r="CW3" s="247">
        <f t="shared" si="8"/>
        <v>46055</v>
      </c>
      <c r="CX3" s="247">
        <f t="shared" si="8"/>
        <v>46062</v>
      </c>
      <c r="CY3" s="247">
        <f t="shared" si="8"/>
        <v>46069</v>
      </c>
      <c r="CZ3" s="247">
        <f t="shared" si="8"/>
        <v>46076</v>
      </c>
      <c r="DA3" s="247">
        <f t="shared" ref="DA3" si="9">+CZ3+7</f>
        <v>46083</v>
      </c>
      <c r="DB3" s="247">
        <f t="shared" ref="DB3" si="10">+DA3+7</f>
        <v>46090</v>
      </c>
      <c r="DC3" s="247">
        <f t="shared" ref="DC3" si="11">+DB3+7</f>
        <v>46097</v>
      </c>
      <c r="DD3" s="247">
        <f t="shared" ref="DD3" si="12">+DC3+7</f>
        <v>46104</v>
      </c>
      <c r="DE3" s="247">
        <f t="shared" ref="DE3" si="13">+DD3+7</f>
        <v>46111</v>
      </c>
      <c r="DF3" s="247">
        <f t="shared" ref="DF3" si="14">+DE3+7</f>
        <v>46118</v>
      </c>
      <c r="DG3" s="247">
        <f t="shared" ref="DG3" si="15">+DF3+7</f>
        <v>46125</v>
      </c>
      <c r="DH3" s="247">
        <f t="shared" ref="DH3" si="16">+DG3+7</f>
        <v>46132</v>
      </c>
      <c r="DI3" s="247">
        <f t="shared" ref="DI3" si="17">+DH3+7</f>
        <v>46139</v>
      </c>
      <c r="DJ3" s="247">
        <f t="shared" ref="DJ3" si="18">+DI3+7</f>
        <v>46146</v>
      </c>
      <c r="DK3" s="247">
        <f t="shared" ref="DK3" si="19">+DJ3+7</f>
        <v>46153</v>
      </c>
      <c r="DL3" s="247">
        <f t="shared" ref="DL3" si="20">+DK3+7</f>
        <v>46160</v>
      </c>
      <c r="DM3" s="247">
        <f t="shared" ref="DM3" si="21">+DL3+7</f>
        <v>46167</v>
      </c>
      <c r="DN3" s="247">
        <f t="shared" ref="DN3" si="22">+DM3+7</f>
        <v>46174</v>
      </c>
      <c r="DO3" s="247">
        <f t="shared" ref="DO3" si="23">+DN3+7</f>
        <v>46181</v>
      </c>
      <c r="DP3" s="247">
        <f t="shared" ref="DP3" si="24">+DO3+7</f>
        <v>46188</v>
      </c>
      <c r="DQ3" s="247">
        <f t="shared" ref="DQ3" si="25">+DP3+7</f>
        <v>46195</v>
      </c>
      <c r="DR3" s="247">
        <f t="shared" ref="DR3" si="26">+DQ3+7</f>
        <v>46202</v>
      </c>
      <c r="DS3" s="247">
        <f t="shared" ref="DS3" si="27">+DR3+7</f>
        <v>46209</v>
      </c>
      <c r="DT3" s="247">
        <f t="shared" ref="DT3" si="28">+DS3+7</f>
        <v>46216</v>
      </c>
      <c r="DU3" s="247">
        <f t="shared" ref="DU3" si="29">+DT3+7</f>
        <v>46223</v>
      </c>
      <c r="DV3" s="247">
        <f t="shared" ref="DV3" si="30">+DU3+7</f>
        <v>46230</v>
      </c>
      <c r="DW3" s="247">
        <f t="shared" ref="DW3" si="31">+DV3+7</f>
        <v>46237</v>
      </c>
      <c r="DX3" s="247">
        <f t="shared" ref="DX3" si="32">+DW3+7</f>
        <v>46244</v>
      </c>
      <c r="DY3" s="247">
        <f t="shared" ref="DY3" si="33">+DX3+7</f>
        <v>46251</v>
      </c>
      <c r="DZ3" s="247">
        <f t="shared" ref="DZ3" si="34">+DY3+7</f>
        <v>46258</v>
      </c>
      <c r="EA3" s="247">
        <f t="shared" ref="EA3" si="35">+DZ3+7</f>
        <v>46265</v>
      </c>
      <c r="EB3" s="247">
        <f t="shared" ref="EB3" si="36">+EA3+7</f>
        <v>46272</v>
      </c>
      <c r="EC3" s="247">
        <f t="shared" ref="EC3" si="37">+EB3+7</f>
        <v>46279</v>
      </c>
      <c r="ED3" s="247">
        <f t="shared" ref="ED3" si="38">+EC3+7</f>
        <v>46286</v>
      </c>
      <c r="EE3" s="247">
        <f t="shared" ref="EE3" si="39">+ED3+7</f>
        <v>46293</v>
      </c>
      <c r="EF3" s="247">
        <f t="shared" ref="EF3" si="40">+EE3+7</f>
        <v>46300</v>
      </c>
      <c r="EG3" s="247">
        <f t="shared" ref="EG3" si="41">+EF3+7</f>
        <v>46307</v>
      </c>
      <c r="EH3" s="247">
        <f t="shared" ref="EH3" si="42">+EG3+7</f>
        <v>46314</v>
      </c>
      <c r="EI3" s="247">
        <f t="shared" ref="EI3" si="43">+EH3+7</f>
        <v>46321</v>
      </c>
      <c r="EJ3" s="247">
        <f t="shared" ref="EJ3" si="44">+EI3+7</f>
        <v>46328</v>
      </c>
      <c r="EK3" s="247">
        <f t="shared" ref="EK3" si="45">+EJ3+7</f>
        <v>46335</v>
      </c>
      <c r="EL3" s="247">
        <f t="shared" ref="EL3" si="46">+EK3+7</f>
        <v>46342</v>
      </c>
      <c r="EM3" s="247">
        <f t="shared" ref="EM3" si="47">+EL3+7</f>
        <v>46349</v>
      </c>
      <c r="EN3" s="247">
        <f t="shared" ref="EN3" si="48">+EM3+7</f>
        <v>46356</v>
      </c>
      <c r="EO3" s="247">
        <f t="shared" ref="EO3" si="49">+EN3+7</f>
        <v>46363</v>
      </c>
      <c r="EP3" s="247">
        <f t="shared" ref="EP3" si="50">+EO3+7</f>
        <v>46370</v>
      </c>
      <c r="EQ3" s="247">
        <f t="shared" ref="EQ3" si="51">+EP3+7</f>
        <v>46377</v>
      </c>
      <c r="ER3" s="247">
        <f t="shared" ref="ER3" si="52">+EQ3+7</f>
        <v>46384</v>
      </c>
      <c r="ES3" s="247">
        <f t="shared" ref="ES3" si="53">+ER3+7</f>
        <v>46391</v>
      </c>
      <c r="ET3" s="247">
        <f t="shared" ref="ET3" si="54">+ES3+7</f>
        <v>46398</v>
      </c>
      <c r="EU3" s="247">
        <f t="shared" ref="EU3" si="55">+ET3+7</f>
        <v>46405</v>
      </c>
      <c r="EV3" s="247">
        <f t="shared" ref="EV3" si="56">+EU3+7</f>
        <v>46412</v>
      </c>
      <c r="EW3" s="247">
        <f t="shared" ref="EW3" si="57">+EV3+7</f>
        <v>46419</v>
      </c>
      <c r="EX3" s="247">
        <f t="shared" ref="EX3" si="58">+EW3+7</f>
        <v>46426</v>
      </c>
      <c r="EY3" s="247">
        <f t="shared" ref="EY3" si="59">+EX3+7</f>
        <v>46433</v>
      </c>
      <c r="EZ3" s="247">
        <f t="shared" ref="EZ3" si="60">+EY3+7</f>
        <v>46440</v>
      </c>
      <c r="FA3" s="247">
        <f t="shared" ref="FA3" si="61">+EZ3+7</f>
        <v>46447</v>
      </c>
      <c r="FB3" s="247">
        <f t="shared" ref="FB3" si="62">+FA3+7</f>
        <v>46454</v>
      </c>
      <c r="FC3" s="247">
        <f t="shared" ref="FC3" si="63">+FB3+7</f>
        <v>46461</v>
      </c>
      <c r="FD3" s="247">
        <f t="shared" ref="FD3" si="64">+FC3+7</f>
        <v>46468</v>
      </c>
      <c r="FE3" s="247">
        <f t="shared" ref="FE3" si="65">+FD3+7</f>
        <v>46475</v>
      </c>
      <c r="FF3" s="247">
        <f t="shared" ref="FF3" si="66">+FE3+7</f>
        <v>46482</v>
      </c>
      <c r="FG3" s="247">
        <f t="shared" ref="FG3" si="67">+FF3+7</f>
        <v>46489</v>
      </c>
      <c r="FH3" s="247">
        <f t="shared" ref="FH3" si="68">+FG3+7</f>
        <v>46496</v>
      </c>
    </row>
    <row r="4" spans="1:167" s="469" customFormat="1" ht="15.75">
      <c r="A4" s="236"/>
      <c r="D4" s="235"/>
      <c r="H4" s="248"/>
      <c r="I4" s="241" t="s">
        <v>219</v>
      </c>
      <c r="J4" s="242">
        <f t="shared" ref="J4:AO4" si="69">+J3+6</f>
        <v>45424</v>
      </c>
      <c r="K4" s="242">
        <f t="shared" si="69"/>
        <v>45431</v>
      </c>
      <c r="L4" s="242">
        <f t="shared" si="69"/>
        <v>45438</v>
      </c>
      <c r="M4" s="242">
        <f t="shared" si="69"/>
        <v>45445</v>
      </c>
      <c r="N4" s="242">
        <f t="shared" si="69"/>
        <v>45452</v>
      </c>
      <c r="O4" s="242">
        <f t="shared" si="69"/>
        <v>45459</v>
      </c>
      <c r="P4" s="242">
        <f t="shared" si="69"/>
        <v>45466</v>
      </c>
      <c r="Q4" s="242">
        <f t="shared" si="69"/>
        <v>45473</v>
      </c>
      <c r="R4" s="242">
        <f t="shared" si="69"/>
        <v>45480</v>
      </c>
      <c r="S4" s="242">
        <f t="shared" si="69"/>
        <v>45487</v>
      </c>
      <c r="T4" s="242">
        <f t="shared" si="69"/>
        <v>45494</v>
      </c>
      <c r="U4" s="242">
        <f t="shared" si="69"/>
        <v>45501</v>
      </c>
      <c r="V4" s="242">
        <f t="shared" si="69"/>
        <v>45508</v>
      </c>
      <c r="W4" s="242">
        <f t="shared" si="69"/>
        <v>45515</v>
      </c>
      <c r="X4" s="242">
        <f t="shared" si="69"/>
        <v>45522</v>
      </c>
      <c r="Y4" s="242">
        <f t="shared" si="69"/>
        <v>45529</v>
      </c>
      <c r="Z4" s="242">
        <f t="shared" si="69"/>
        <v>45536</v>
      </c>
      <c r="AA4" s="242">
        <f t="shared" si="69"/>
        <v>45543</v>
      </c>
      <c r="AB4" s="242">
        <f t="shared" si="69"/>
        <v>45550</v>
      </c>
      <c r="AC4" s="242">
        <f t="shared" si="69"/>
        <v>45557</v>
      </c>
      <c r="AD4" s="242">
        <f t="shared" si="69"/>
        <v>45564</v>
      </c>
      <c r="AE4" s="242">
        <f t="shared" si="69"/>
        <v>45571</v>
      </c>
      <c r="AF4" s="242">
        <f t="shared" si="69"/>
        <v>45578</v>
      </c>
      <c r="AG4" s="242">
        <f t="shared" si="69"/>
        <v>45585</v>
      </c>
      <c r="AH4" s="242">
        <f t="shared" si="69"/>
        <v>45592</v>
      </c>
      <c r="AI4" s="242">
        <f t="shared" si="69"/>
        <v>45599</v>
      </c>
      <c r="AJ4" s="242">
        <f t="shared" si="69"/>
        <v>45606</v>
      </c>
      <c r="AK4" s="242">
        <f t="shared" si="69"/>
        <v>45613</v>
      </c>
      <c r="AL4" s="242">
        <f t="shared" si="69"/>
        <v>45620</v>
      </c>
      <c r="AM4" s="242">
        <f t="shared" si="69"/>
        <v>45627</v>
      </c>
      <c r="AN4" s="242">
        <f t="shared" si="69"/>
        <v>45634</v>
      </c>
      <c r="AO4" s="242">
        <f t="shared" si="69"/>
        <v>45641</v>
      </c>
      <c r="AP4" s="242">
        <f t="shared" ref="AP4:BU4" si="70">+AP3+6</f>
        <v>45648</v>
      </c>
      <c r="AQ4" s="242">
        <f t="shared" si="70"/>
        <v>45655</v>
      </c>
      <c r="AR4" s="242">
        <f t="shared" si="70"/>
        <v>45662</v>
      </c>
      <c r="AS4" s="242">
        <f t="shared" si="70"/>
        <v>45669</v>
      </c>
      <c r="AT4" s="242">
        <f t="shared" si="70"/>
        <v>45676</v>
      </c>
      <c r="AU4" s="242">
        <f t="shared" si="70"/>
        <v>45683</v>
      </c>
      <c r="AV4" s="242">
        <f t="shared" si="70"/>
        <v>45690</v>
      </c>
      <c r="AW4" s="242">
        <f t="shared" si="70"/>
        <v>45697</v>
      </c>
      <c r="AX4" s="242">
        <f t="shared" si="70"/>
        <v>45704</v>
      </c>
      <c r="AY4" s="247">
        <f t="shared" si="70"/>
        <v>45711</v>
      </c>
      <c r="AZ4" s="247">
        <f t="shared" si="70"/>
        <v>45718</v>
      </c>
      <c r="BA4" s="247">
        <f t="shared" si="70"/>
        <v>45725</v>
      </c>
      <c r="BB4" s="247">
        <f t="shared" si="70"/>
        <v>45732</v>
      </c>
      <c r="BC4" s="247">
        <f t="shared" si="70"/>
        <v>45739</v>
      </c>
      <c r="BD4" s="247">
        <f t="shared" si="70"/>
        <v>45746</v>
      </c>
      <c r="BE4" s="247">
        <f t="shared" si="70"/>
        <v>45753</v>
      </c>
      <c r="BF4" s="247">
        <f t="shared" si="70"/>
        <v>45760</v>
      </c>
      <c r="BG4" s="247">
        <f t="shared" si="70"/>
        <v>45767</v>
      </c>
      <c r="BH4" s="247">
        <f t="shared" si="70"/>
        <v>45774</v>
      </c>
      <c r="BI4" s="247">
        <f t="shared" si="70"/>
        <v>45781</v>
      </c>
      <c r="BJ4" s="247">
        <f t="shared" si="70"/>
        <v>45788</v>
      </c>
      <c r="BK4" s="247">
        <f t="shared" si="70"/>
        <v>45795</v>
      </c>
      <c r="BL4" s="247">
        <f t="shared" si="70"/>
        <v>45802</v>
      </c>
      <c r="BM4" s="247">
        <f t="shared" si="70"/>
        <v>45809</v>
      </c>
      <c r="BN4" s="247">
        <f t="shared" si="70"/>
        <v>45816</v>
      </c>
      <c r="BO4" s="247">
        <f t="shared" si="70"/>
        <v>45823</v>
      </c>
      <c r="BP4" s="247">
        <f t="shared" si="70"/>
        <v>45830</v>
      </c>
      <c r="BQ4" s="247">
        <f t="shared" si="70"/>
        <v>45837</v>
      </c>
      <c r="BR4" s="247">
        <f t="shared" si="70"/>
        <v>45844</v>
      </c>
      <c r="BS4" s="247">
        <f t="shared" si="70"/>
        <v>45851</v>
      </c>
      <c r="BT4" s="247">
        <f t="shared" si="70"/>
        <v>45858</v>
      </c>
      <c r="BU4" s="247">
        <f t="shared" si="70"/>
        <v>45865</v>
      </c>
      <c r="BV4" s="247">
        <f t="shared" ref="BV4:CB4" si="71">+BV3+6</f>
        <v>45872</v>
      </c>
      <c r="BW4" s="247">
        <f t="shared" si="71"/>
        <v>45879</v>
      </c>
      <c r="BX4" s="247">
        <f t="shared" si="71"/>
        <v>45886</v>
      </c>
      <c r="BY4" s="247">
        <f t="shared" si="71"/>
        <v>45893</v>
      </c>
      <c r="BZ4" s="247">
        <f t="shared" si="71"/>
        <v>45900</v>
      </c>
      <c r="CA4" s="247">
        <f t="shared" si="71"/>
        <v>45907</v>
      </c>
      <c r="CB4" s="247">
        <f t="shared" si="71"/>
        <v>45914</v>
      </c>
      <c r="CC4" s="247">
        <f t="shared" ref="CC4:CM4" si="72">+CC3+6</f>
        <v>45921</v>
      </c>
      <c r="CD4" s="247">
        <f t="shared" si="72"/>
        <v>45928</v>
      </c>
      <c r="CE4" s="247">
        <f t="shared" si="72"/>
        <v>45935</v>
      </c>
      <c r="CF4" s="247">
        <f t="shared" si="72"/>
        <v>45942</v>
      </c>
      <c r="CG4" s="247">
        <f t="shared" si="72"/>
        <v>45949</v>
      </c>
      <c r="CH4" s="247">
        <f t="shared" si="72"/>
        <v>45956</v>
      </c>
      <c r="CI4" s="247">
        <f t="shared" si="72"/>
        <v>45963</v>
      </c>
      <c r="CJ4" s="247">
        <f t="shared" si="72"/>
        <v>45970</v>
      </c>
      <c r="CK4" s="247">
        <f t="shared" si="72"/>
        <v>45977</v>
      </c>
      <c r="CL4" s="247">
        <f t="shared" si="72"/>
        <v>45984</v>
      </c>
      <c r="CM4" s="247">
        <f t="shared" si="72"/>
        <v>45991</v>
      </c>
      <c r="CN4" s="247">
        <f t="shared" ref="CN4:CZ4" si="73">+CN3+6</f>
        <v>45998</v>
      </c>
      <c r="CO4" s="247">
        <f t="shared" si="73"/>
        <v>46005</v>
      </c>
      <c r="CP4" s="247">
        <f t="shared" si="73"/>
        <v>46012</v>
      </c>
      <c r="CQ4" s="247">
        <f t="shared" si="73"/>
        <v>46019</v>
      </c>
      <c r="CR4" s="247">
        <f t="shared" si="73"/>
        <v>46026</v>
      </c>
      <c r="CS4" s="247">
        <f t="shared" si="73"/>
        <v>46033</v>
      </c>
      <c r="CT4" s="247">
        <f t="shared" si="73"/>
        <v>46040</v>
      </c>
      <c r="CU4" s="247">
        <f t="shared" si="73"/>
        <v>46047</v>
      </c>
      <c r="CV4" s="247">
        <f t="shared" si="73"/>
        <v>46054</v>
      </c>
      <c r="CW4" s="247">
        <f t="shared" si="73"/>
        <v>46061</v>
      </c>
      <c r="CX4" s="247">
        <f t="shared" si="73"/>
        <v>46068</v>
      </c>
      <c r="CY4" s="247">
        <f t="shared" si="73"/>
        <v>46075</v>
      </c>
      <c r="CZ4" s="247">
        <f t="shared" si="73"/>
        <v>46082</v>
      </c>
      <c r="DA4" s="247">
        <f t="shared" ref="DA4:EI4" si="74">+DA3+6</f>
        <v>46089</v>
      </c>
      <c r="DB4" s="247">
        <f t="shared" si="74"/>
        <v>46096</v>
      </c>
      <c r="DC4" s="247">
        <f t="shared" si="74"/>
        <v>46103</v>
      </c>
      <c r="DD4" s="247">
        <f t="shared" si="74"/>
        <v>46110</v>
      </c>
      <c r="DE4" s="247">
        <f t="shared" si="74"/>
        <v>46117</v>
      </c>
      <c r="DF4" s="247">
        <f t="shared" si="74"/>
        <v>46124</v>
      </c>
      <c r="DG4" s="247">
        <f t="shared" si="74"/>
        <v>46131</v>
      </c>
      <c r="DH4" s="247">
        <f t="shared" si="74"/>
        <v>46138</v>
      </c>
      <c r="DI4" s="247">
        <f t="shared" si="74"/>
        <v>46145</v>
      </c>
      <c r="DJ4" s="247">
        <f t="shared" si="74"/>
        <v>46152</v>
      </c>
      <c r="DK4" s="247">
        <f t="shared" si="74"/>
        <v>46159</v>
      </c>
      <c r="DL4" s="247">
        <f t="shared" si="74"/>
        <v>46166</v>
      </c>
      <c r="DM4" s="247">
        <f t="shared" si="74"/>
        <v>46173</v>
      </c>
      <c r="DN4" s="247">
        <f t="shared" si="74"/>
        <v>46180</v>
      </c>
      <c r="DO4" s="247">
        <f t="shared" si="74"/>
        <v>46187</v>
      </c>
      <c r="DP4" s="247">
        <f t="shared" si="74"/>
        <v>46194</v>
      </c>
      <c r="DQ4" s="247">
        <f t="shared" si="74"/>
        <v>46201</v>
      </c>
      <c r="DR4" s="247">
        <f t="shared" si="74"/>
        <v>46208</v>
      </c>
      <c r="DS4" s="247">
        <f t="shared" si="74"/>
        <v>46215</v>
      </c>
      <c r="DT4" s="247">
        <f t="shared" si="74"/>
        <v>46222</v>
      </c>
      <c r="DU4" s="247">
        <f t="shared" si="74"/>
        <v>46229</v>
      </c>
      <c r="DV4" s="247">
        <f t="shared" si="74"/>
        <v>46236</v>
      </c>
      <c r="DW4" s="247">
        <f t="shared" si="74"/>
        <v>46243</v>
      </c>
      <c r="DX4" s="247">
        <f t="shared" si="74"/>
        <v>46250</v>
      </c>
      <c r="DY4" s="247">
        <f t="shared" si="74"/>
        <v>46257</v>
      </c>
      <c r="DZ4" s="247">
        <f t="shared" si="74"/>
        <v>46264</v>
      </c>
      <c r="EA4" s="247">
        <f t="shared" si="74"/>
        <v>46271</v>
      </c>
      <c r="EB4" s="247">
        <f t="shared" si="74"/>
        <v>46278</v>
      </c>
      <c r="EC4" s="247">
        <f t="shared" si="74"/>
        <v>46285</v>
      </c>
      <c r="ED4" s="247">
        <f t="shared" si="74"/>
        <v>46292</v>
      </c>
      <c r="EE4" s="247">
        <f t="shared" si="74"/>
        <v>46299</v>
      </c>
      <c r="EF4" s="247">
        <f t="shared" si="74"/>
        <v>46306</v>
      </c>
      <c r="EG4" s="247">
        <f t="shared" si="74"/>
        <v>46313</v>
      </c>
      <c r="EH4" s="247">
        <f t="shared" si="74"/>
        <v>46320</v>
      </c>
      <c r="EI4" s="247">
        <f t="shared" si="74"/>
        <v>46327</v>
      </c>
      <c r="EJ4" s="247">
        <f t="shared" ref="EJ4:FH4" si="75">+EJ3+6</f>
        <v>46334</v>
      </c>
      <c r="EK4" s="247">
        <f t="shared" si="75"/>
        <v>46341</v>
      </c>
      <c r="EL4" s="247">
        <f t="shared" si="75"/>
        <v>46348</v>
      </c>
      <c r="EM4" s="247">
        <f t="shared" si="75"/>
        <v>46355</v>
      </c>
      <c r="EN4" s="247">
        <f t="shared" si="75"/>
        <v>46362</v>
      </c>
      <c r="EO4" s="247">
        <f t="shared" si="75"/>
        <v>46369</v>
      </c>
      <c r="EP4" s="247">
        <f t="shared" si="75"/>
        <v>46376</v>
      </c>
      <c r="EQ4" s="247">
        <f t="shared" si="75"/>
        <v>46383</v>
      </c>
      <c r="ER4" s="247">
        <f t="shared" si="75"/>
        <v>46390</v>
      </c>
      <c r="ES4" s="247">
        <f t="shared" si="75"/>
        <v>46397</v>
      </c>
      <c r="ET4" s="247">
        <f t="shared" si="75"/>
        <v>46404</v>
      </c>
      <c r="EU4" s="247">
        <f t="shared" si="75"/>
        <v>46411</v>
      </c>
      <c r="EV4" s="247">
        <f t="shared" si="75"/>
        <v>46418</v>
      </c>
      <c r="EW4" s="247">
        <f t="shared" si="75"/>
        <v>46425</v>
      </c>
      <c r="EX4" s="247">
        <f t="shared" si="75"/>
        <v>46432</v>
      </c>
      <c r="EY4" s="247">
        <f t="shared" si="75"/>
        <v>46439</v>
      </c>
      <c r="EZ4" s="247">
        <f t="shared" si="75"/>
        <v>46446</v>
      </c>
      <c r="FA4" s="247">
        <f t="shared" si="75"/>
        <v>46453</v>
      </c>
      <c r="FB4" s="247">
        <f t="shared" si="75"/>
        <v>46460</v>
      </c>
      <c r="FC4" s="247">
        <f t="shared" si="75"/>
        <v>46467</v>
      </c>
      <c r="FD4" s="247">
        <f t="shared" si="75"/>
        <v>46474</v>
      </c>
      <c r="FE4" s="247">
        <f t="shared" si="75"/>
        <v>46481</v>
      </c>
      <c r="FF4" s="247">
        <f t="shared" si="75"/>
        <v>46488</v>
      </c>
      <c r="FG4" s="247">
        <f t="shared" si="75"/>
        <v>46495</v>
      </c>
      <c r="FH4" s="247">
        <f t="shared" si="75"/>
        <v>46502</v>
      </c>
    </row>
    <row r="5" spans="1:167" s="469" customFormat="1" ht="15.75">
      <c r="A5" s="236"/>
      <c r="D5" s="235"/>
      <c r="H5" s="248"/>
      <c r="I5" s="254" t="s">
        <v>228</v>
      </c>
      <c r="J5" s="239">
        <f t="shared" ref="J5:AO5" ca="1" si="76">SUMIFS(TOTAL,FECHA_RETIRO_VALORES,"&gt;="&amp;J3,FECHA_RETIRO_VALORES,"&lt;="&amp;J4)</f>
        <v>0</v>
      </c>
      <c r="K5" s="239">
        <f t="shared" ca="1" si="76"/>
        <v>0</v>
      </c>
      <c r="L5" s="239">
        <f t="shared" ca="1" si="76"/>
        <v>0</v>
      </c>
      <c r="M5" s="239">
        <f t="shared" ca="1" si="76"/>
        <v>0</v>
      </c>
      <c r="N5" s="239">
        <f t="shared" ca="1" si="76"/>
        <v>0</v>
      </c>
      <c r="O5" s="239">
        <f t="shared" ca="1" si="76"/>
        <v>0</v>
      </c>
      <c r="P5" s="239">
        <f t="shared" ca="1" si="76"/>
        <v>0</v>
      </c>
      <c r="Q5" s="239">
        <f t="shared" ca="1" si="76"/>
        <v>0</v>
      </c>
      <c r="R5" s="239">
        <f t="shared" ca="1" si="76"/>
        <v>0</v>
      </c>
      <c r="S5" s="239">
        <f t="shared" ca="1" si="76"/>
        <v>0</v>
      </c>
      <c r="T5" s="239">
        <f t="shared" ca="1" si="76"/>
        <v>0</v>
      </c>
      <c r="U5" s="239">
        <f t="shared" ca="1" si="76"/>
        <v>0</v>
      </c>
      <c r="V5" s="239">
        <f t="shared" ca="1" si="76"/>
        <v>0</v>
      </c>
      <c r="W5" s="239">
        <f t="shared" ca="1" si="76"/>
        <v>0</v>
      </c>
      <c r="X5" s="239">
        <f t="shared" ca="1" si="76"/>
        <v>0</v>
      </c>
      <c r="Y5" s="239">
        <f t="shared" ca="1" si="76"/>
        <v>0</v>
      </c>
      <c r="Z5" s="239">
        <f t="shared" ca="1" si="76"/>
        <v>0</v>
      </c>
      <c r="AA5" s="239">
        <f t="shared" ca="1" si="76"/>
        <v>0</v>
      </c>
      <c r="AB5" s="239">
        <f t="shared" ca="1" si="76"/>
        <v>0</v>
      </c>
      <c r="AC5" s="239">
        <f t="shared" ca="1" si="76"/>
        <v>0</v>
      </c>
      <c r="AD5" s="239">
        <f t="shared" ca="1" si="76"/>
        <v>0</v>
      </c>
      <c r="AE5" s="239">
        <f t="shared" ca="1" si="76"/>
        <v>0</v>
      </c>
      <c r="AF5" s="239">
        <f t="shared" ca="1" si="76"/>
        <v>0</v>
      </c>
      <c r="AG5" s="239">
        <f t="shared" ca="1" si="76"/>
        <v>0</v>
      </c>
      <c r="AH5" s="239">
        <f t="shared" ca="1" si="76"/>
        <v>0</v>
      </c>
      <c r="AI5" s="239">
        <f t="shared" ca="1" si="76"/>
        <v>0</v>
      </c>
      <c r="AJ5" s="239">
        <f t="shared" ca="1" si="76"/>
        <v>0</v>
      </c>
      <c r="AK5" s="239">
        <f t="shared" ca="1" si="76"/>
        <v>0</v>
      </c>
      <c r="AL5" s="239">
        <f t="shared" ca="1" si="76"/>
        <v>0</v>
      </c>
      <c r="AM5" s="239">
        <f t="shared" ca="1" si="76"/>
        <v>0</v>
      </c>
      <c r="AN5" s="239">
        <f t="shared" ca="1" si="76"/>
        <v>0</v>
      </c>
      <c r="AO5" s="239">
        <f t="shared" ca="1" si="76"/>
        <v>0</v>
      </c>
      <c r="AP5" s="239">
        <f t="shared" ref="AP5:BU5" ca="1" si="77">SUMIFS(TOTAL,FECHA_RETIRO_VALORES,"&gt;="&amp;AP3,FECHA_RETIRO_VALORES,"&lt;="&amp;AP4)</f>
        <v>0</v>
      </c>
      <c r="AQ5" s="239">
        <f t="shared" ca="1" si="77"/>
        <v>0</v>
      </c>
      <c r="AR5" s="239">
        <f t="shared" ca="1" si="77"/>
        <v>0</v>
      </c>
      <c r="AS5" s="239">
        <f t="shared" ca="1" si="77"/>
        <v>0</v>
      </c>
      <c r="AT5" s="239">
        <f t="shared" ca="1" si="77"/>
        <v>0</v>
      </c>
      <c r="AU5" s="239">
        <f t="shared" ca="1" si="77"/>
        <v>0</v>
      </c>
      <c r="AV5" s="239">
        <f t="shared" ca="1" si="77"/>
        <v>0</v>
      </c>
      <c r="AW5" s="239">
        <f t="shared" ca="1" si="77"/>
        <v>0</v>
      </c>
      <c r="AX5" s="239">
        <f t="shared" ca="1" si="77"/>
        <v>0</v>
      </c>
      <c r="AY5" s="239">
        <f t="shared" ca="1" si="77"/>
        <v>0</v>
      </c>
      <c r="AZ5" s="239">
        <f t="shared" ca="1" si="77"/>
        <v>0</v>
      </c>
      <c r="BA5" s="239">
        <f t="shared" ca="1" si="77"/>
        <v>0</v>
      </c>
      <c r="BB5" s="239">
        <f t="shared" ca="1" si="77"/>
        <v>0</v>
      </c>
      <c r="BC5" s="239">
        <f t="shared" ca="1" si="77"/>
        <v>0</v>
      </c>
      <c r="BD5" s="239">
        <f t="shared" ca="1" si="77"/>
        <v>0</v>
      </c>
      <c r="BE5" s="239">
        <f t="shared" ca="1" si="77"/>
        <v>0</v>
      </c>
      <c r="BF5" s="239">
        <f t="shared" ca="1" si="77"/>
        <v>0</v>
      </c>
      <c r="BG5" s="239">
        <f t="shared" ca="1" si="77"/>
        <v>0</v>
      </c>
      <c r="BH5" s="239">
        <f t="shared" ca="1" si="77"/>
        <v>0</v>
      </c>
      <c r="BI5" s="239">
        <f t="shared" ca="1" si="77"/>
        <v>0</v>
      </c>
      <c r="BJ5" s="239">
        <f t="shared" ca="1" si="77"/>
        <v>0</v>
      </c>
      <c r="BK5" s="239">
        <f t="shared" ca="1" si="77"/>
        <v>0</v>
      </c>
      <c r="BL5" s="239">
        <f t="shared" ca="1" si="77"/>
        <v>0</v>
      </c>
      <c r="BM5" s="239">
        <f t="shared" ca="1" si="77"/>
        <v>0</v>
      </c>
      <c r="BN5" s="239">
        <f t="shared" ca="1" si="77"/>
        <v>0</v>
      </c>
      <c r="BO5" s="239">
        <f t="shared" ca="1" si="77"/>
        <v>0</v>
      </c>
      <c r="BP5" s="239">
        <f t="shared" ca="1" si="77"/>
        <v>0</v>
      </c>
      <c r="BQ5" s="239">
        <f t="shared" ca="1" si="77"/>
        <v>0</v>
      </c>
      <c r="BR5" s="239">
        <f t="shared" ca="1" si="77"/>
        <v>0</v>
      </c>
      <c r="BS5" s="239">
        <f t="shared" ca="1" si="77"/>
        <v>0</v>
      </c>
      <c r="BT5" s="239">
        <f t="shared" ca="1" si="77"/>
        <v>0</v>
      </c>
      <c r="BU5" s="239">
        <f t="shared" ca="1" si="77"/>
        <v>0</v>
      </c>
      <c r="BV5" s="239">
        <f ca="1">SUMIFS(TOTAL,FECHA_RETIRO_VALORES,"&gt;="&amp;BV3,FECHA_RETIRO_VALORES,"&lt;="&amp;BV4)</f>
        <v>0</v>
      </c>
      <c r="BW5" s="490"/>
      <c r="BX5" s="490"/>
      <c r="BY5" s="490"/>
      <c r="BZ5" s="490"/>
      <c r="CA5" s="490"/>
      <c r="CB5" s="490"/>
      <c r="CC5" s="490"/>
      <c r="CD5" s="490"/>
      <c r="CE5" s="490"/>
      <c r="CF5" s="490"/>
      <c r="CG5" s="490"/>
      <c r="CH5" s="490"/>
      <c r="CI5" s="490"/>
      <c r="CJ5" s="490"/>
      <c r="CK5" s="490"/>
      <c r="CL5" s="490"/>
      <c r="CM5" s="490"/>
      <c r="CN5" s="490"/>
      <c r="CO5" s="490"/>
      <c r="CP5" s="490"/>
      <c r="CQ5" s="490"/>
      <c r="CR5" s="490"/>
      <c r="CS5" s="490"/>
      <c r="CT5" s="490"/>
      <c r="CU5" s="490"/>
      <c r="CV5" s="490"/>
      <c r="CW5" s="490"/>
      <c r="CX5" s="490"/>
      <c r="CY5" s="490"/>
      <c r="CZ5" s="490"/>
      <c r="DA5" s="490"/>
      <c r="DB5" s="490"/>
      <c r="DC5" s="490"/>
      <c r="DD5" s="490"/>
      <c r="DE5" s="490"/>
      <c r="DF5" s="490"/>
      <c r="DG5" s="490"/>
      <c r="DH5" s="490"/>
      <c r="DI5" s="490"/>
      <c r="DJ5" s="490"/>
      <c r="DK5" s="490"/>
      <c r="DL5" s="490"/>
      <c r="DM5" s="490"/>
      <c r="DN5" s="490"/>
      <c r="DO5" s="490"/>
      <c r="DP5" s="490"/>
      <c r="DQ5" s="490"/>
      <c r="DR5" s="490"/>
      <c r="DS5" s="490"/>
      <c r="DT5" s="490"/>
      <c r="DU5" s="490"/>
      <c r="DV5" s="490"/>
      <c r="DW5" s="490"/>
      <c r="DX5" s="490"/>
      <c r="DY5" s="490"/>
      <c r="DZ5" s="490"/>
      <c r="EA5" s="490"/>
      <c r="EB5" s="490"/>
      <c r="EC5" s="490"/>
      <c r="ED5" s="490"/>
      <c r="EE5" s="490"/>
      <c r="EF5" s="490"/>
      <c r="EG5" s="490"/>
      <c r="EH5" s="490"/>
      <c r="EI5" s="490"/>
      <c r="EJ5" s="490"/>
      <c r="EK5" s="490"/>
      <c r="EL5" s="490"/>
      <c r="EM5" s="490"/>
      <c r="EN5" s="490"/>
      <c r="EO5" s="490"/>
      <c r="EP5" s="490"/>
      <c r="EQ5" s="490"/>
      <c r="ER5" s="490"/>
      <c r="ES5" s="490"/>
      <c r="ET5" s="490"/>
      <c r="EU5" s="490"/>
      <c r="EV5" s="490"/>
      <c r="EW5" s="490"/>
      <c r="EX5" s="490"/>
      <c r="EY5" s="490"/>
      <c r="EZ5" s="490"/>
      <c r="FA5" s="490"/>
      <c r="FB5" s="490"/>
      <c r="FC5" s="490"/>
      <c r="FD5" s="490"/>
      <c r="FE5" s="490"/>
      <c r="FF5" s="490"/>
      <c r="FG5" s="490"/>
      <c r="FH5" s="490"/>
      <c r="FI5" s="380">
        <f ca="1">SUM(J5:FH5)</f>
        <v>0</v>
      </c>
      <c r="FK5" s="237">
        <f ca="1">+FI5-SUM(FI6:FI8)</f>
        <v>-1181683967.7578518</v>
      </c>
    </row>
    <row r="6" spans="1:167" s="469" customFormat="1" ht="15.75">
      <c r="A6" s="236"/>
      <c r="D6" s="235"/>
      <c r="H6" s="248"/>
      <c r="I6" s="254" t="s">
        <v>238</v>
      </c>
      <c r="J6" s="239">
        <f t="shared" ref="J6:AO6" ca="1" si="78">SUMIFS(VALORES_COBRADOS,FECHA_RETIRO_VALORES,"&gt;="&amp;J3,FECHA_RETIRO_VALORES,"&lt;="&amp;J4)+SUMIFS(VALORES_EN_CARTERA,FECHA_RETIRO_VALORES,"&gt;="&amp;J3,FECHA_RETIRO_VALORES,"&lt;="&amp;J4)</f>
        <v>0</v>
      </c>
      <c r="K6" s="239">
        <f t="shared" ca="1" si="78"/>
        <v>0</v>
      </c>
      <c r="L6" s="239">
        <f t="shared" ca="1" si="78"/>
        <v>0</v>
      </c>
      <c r="M6" s="239">
        <f t="shared" ca="1" si="78"/>
        <v>0</v>
      </c>
      <c r="N6" s="239">
        <f t="shared" ca="1" si="78"/>
        <v>0</v>
      </c>
      <c r="O6" s="239">
        <f t="shared" ca="1" si="78"/>
        <v>0</v>
      </c>
      <c r="P6" s="239">
        <f t="shared" ca="1" si="78"/>
        <v>0</v>
      </c>
      <c r="Q6" s="239">
        <f t="shared" ca="1" si="78"/>
        <v>0</v>
      </c>
      <c r="R6" s="239">
        <f t="shared" ca="1" si="78"/>
        <v>0</v>
      </c>
      <c r="S6" s="239">
        <f t="shared" ca="1" si="78"/>
        <v>0</v>
      </c>
      <c r="T6" s="239">
        <f t="shared" ca="1" si="78"/>
        <v>0</v>
      </c>
      <c r="U6" s="239">
        <f t="shared" ca="1" si="78"/>
        <v>0</v>
      </c>
      <c r="V6" s="239">
        <f t="shared" ca="1" si="78"/>
        <v>0</v>
      </c>
      <c r="W6" s="239">
        <f t="shared" ca="1" si="78"/>
        <v>0</v>
      </c>
      <c r="X6" s="239">
        <f t="shared" ca="1" si="78"/>
        <v>0</v>
      </c>
      <c r="Y6" s="239">
        <f t="shared" ca="1" si="78"/>
        <v>0</v>
      </c>
      <c r="Z6" s="239">
        <f t="shared" ca="1" si="78"/>
        <v>0</v>
      </c>
      <c r="AA6" s="239">
        <f t="shared" ca="1" si="78"/>
        <v>0</v>
      </c>
      <c r="AB6" s="239">
        <f t="shared" ca="1" si="78"/>
        <v>0</v>
      </c>
      <c r="AC6" s="239">
        <f t="shared" ca="1" si="78"/>
        <v>0</v>
      </c>
      <c r="AD6" s="239">
        <f t="shared" ca="1" si="78"/>
        <v>0</v>
      </c>
      <c r="AE6" s="239">
        <f t="shared" ca="1" si="78"/>
        <v>0</v>
      </c>
      <c r="AF6" s="239">
        <f t="shared" ca="1" si="78"/>
        <v>0</v>
      </c>
      <c r="AG6" s="239">
        <f t="shared" ca="1" si="78"/>
        <v>0</v>
      </c>
      <c r="AH6" s="239">
        <f t="shared" ca="1" si="78"/>
        <v>0</v>
      </c>
      <c r="AI6" s="239">
        <f t="shared" ca="1" si="78"/>
        <v>0</v>
      </c>
      <c r="AJ6" s="239">
        <f t="shared" ca="1" si="78"/>
        <v>0</v>
      </c>
      <c r="AK6" s="239">
        <f t="shared" ca="1" si="78"/>
        <v>0</v>
      </c>
      <c r="AL6" s="239">
        <f t="shared" ca="1" si="78"/>
        <v>0</v>
      </c>
      <c r="AM6" s="239">
        <f t="shared" ca="1" si="78"/>
        <v>0</v>
      </c>
      <c r="AN6" s="239">
        <f t="shared" ca="1" si="78"/>
        <v>0</v>
      </c>
      <c r="AO6" s="239">
        <f t="shared" ca="1" si="78"/>
        <v>0</v>
      </c>
      <c r="AP6" s="239">
        <f t="shared" ref="AP6:BU6" ca="1" si="79">SUMIFS(VALORES_COBRADOS,FECHA_RETIRO_VALORES,"&gt;="&amp;AP3,FECHA_RETIRO_VALORES,"&lt;="&amp;AP4)+SUMIFS(VALORES_EN_CARTERA,FECHA_RETIRO_VALORES,"&gt;="&amp;AP3,FECHA_RETIRO_VALORES,"&lt;="&amp;AP4)</f>
        <v>0</v>
      </c>
      <c r="AQ6" s="239">
        <f t="shared" ca="1" si="79"/>
        <v>0</v>
      </c>
      <c r="AR6" s="239">
        <f t="shared" ca="1" si="79"/>
        <v>0</v>
      </c>
      <c r="AS6" s="239">
        <f t="shared" ca="1" si="79"/>
        <v>0</v>
      </c>
      <c r="AT6" s="239">
        <f t="shared" ca="1" si="79"/>
        <v>0</v>
      </c>
      <c r="AU6" s="239">
        <f t="shared" ca="1" si="79"/>
        <v>0</v>
      </c>
      <c r="AV6" s="239">
        <f t="shared" ca="1" si="79"/>
        <v>0</v>
      </c>
      <c r="AW6" s="239">
        <f t="shared" ca="1" si="79"/>
        <v>0</v>
      </c>
      <c r="AX6" s="239">
        <f t="shared" ca="1" si="79"/>
        <v>0</v>
      </c>
      <c r="AY6" s="239">
        <f t="shared" ca="1" si="79"/>
        <v>0</v>
      </c>
      <c r="AZ6" s="239">
        <f t="shared" ca="1" si="79"/>
        <v>0</v>
      </c>
      <c r="BA6" s="239">
        <f t="shared" ca="1" si="79"/>
        <v>0</v>
      </c>
      <c r="BB6" s="239">
        <f t="shared" ca="1" si="79"/>
        <v>0</v>
      </c>
      <c r="BC6" s="239">
        <f t="shared" ca="1" si="79"/>
        <v>0</v>
      </c>
      <c r="BD6" s="239">
        <f t="shared" ca="1" si="79"/>
        <v>0</v>
      </c>
      <c r="BE6" s="239">
        <f t="shared" ca="1" si="79"/>
        <v>0</v>
      </c>
      <c r="BF6" s="239">
        <f t="shared" ca="1" si="79"/>
        <v>0</v>
      </c>
      <c r="BG6" s="239">
        <f t="shared" ca="1" si="79"/>
        <v>0</v>
      </c>
      <c r="BH6" s="239">
        <f t="shared" ca="1" si="79"/>
        <v>0</v>
      </c>
      <c r="BI6" s="239">
        <f t="shared" ca="1" si="79"/>
        <v>0</v>
      </c>
      <c r="BJ6" s="239">
        <f t="shared" ca="1" si="79"/>
        <v>0</v>
      </c>
      <c r="BK6" s="239">
        <f t="shared" ca="1" si="79"/>
        <v>0</v>
      </c>
      <c r="BL6" s="239">
        <f t="shared" ca="1" si="79"/>
        <v>0</v>
      </c>
      <c r="BM6" s="239">
        <f t="shared" ca="1" si="79"/>
        <v>0</v>
      </c>
      <c r="BN6" s="239">
        <f t="shared" ca="1" si="79"/>
        <v>0</v>
      </c>
      <c r="BO6" s="239">
        <f t="shared" ca="1" si="79"/>
        <v>0</v>
      </c>
      <c r="BP6" s="239">
        <f t="shared" ca="1" si="79"/>
        <v>0</v>
      </c>
      <c r="BQ6" s="239">
        <f t="shared" ca="1" si="79"/>
        <v>0</v>
      </c>
      <c r="BR6" s="239">
        <f t="shared" ca="1" si="79"/>
        <v>0</v>
      </c>
      <c r="BS6" s="239">
        <f t="shared" ca="1" si="79"/>
        <v>0</v>
      </c>
      <c r="BT6" s="239">
        <f t="shared" ca="1" si="79"/>
        <v>0</v>
      </c>
      <c r="BU6" s="239">
        <f t="shared" ca="1" si="79"/>
        <v>0</v>
      </c>
      <c r="BV6" s="239">
        <f ca="1">SUMIFS(VALORES_COBRADOS,FECHA_RETIRO_VALORES,"&gt;="&amp;BV3,FECHA_RETIRO_VALORES,"&lt;="&amp;BV4)+SUMIFS(VALORES_EN_CARTERA,FECHA_RETIRO_VALORES,"&gt;="&amp;BV3,FECHA_RETIRO_VALORES,"&lt;="&amp;BV4)</f>
        <v>0</v>
      </c>
      <c r="BW6" s="490"/>
      <c r="BX6" s="490"/>
      <c r="BY6" s="490"/>
      <c r="BZ6" s="490"/>
      <c r="CA6" s="490"/>
      <c r="CB6" s="490"/>
      <c r="CC6" s="490"/>
      <c r="CD6" s="490"/>
      <c r="CE6" s="490"/>
      <c r="CF6" s="490"/>
      <c r="CG6" s="490"/>
      <c r="CH6" s="490"/>
      <c r="CI6" s="490"/>
      <c r="CJ6" s="490"/>
      <c r="CK6" s="490"/>
      <c r="CL6" s="490"/>
      <c r="CM6" s="490"/>
      <c r="CN6" s="490"/>
      <c r="CO6" s="490"/>
      <c r="CP6" s="490"/>
      <c r="CQ6" s="490"/>
      <c r="CR6" s="490"/>
      <c r="CS6" s="490"/>
      <c r="CT6" s="490"/>
      <c r="CU6" s="490"/>
      <c r="CV6" s="490"/>
      <c r="CW6" s="490"/>
      <c r="CX6" s="490"/>
      <c r="CY6" s="490"/>
      <c r="CZ6" s="490"/>
      <c r="DA6" s="490"/>
      <c r="DB6" s="490"/>
      <c r="DC6" s="490"/>
      <c r="DD6" s="490"/>
      <c r="DE6" s="490"/>
      <c r="DF6" s="490"/>
      <c r="DG6" s="490"/>
      <c r="DH6" s="490"/>
      <c r="DI6" s="490"/>
      <c r="DJ6" s="490"/>
      <c r="DK6" s="490"/>
      <c r="DL6" s="490"/>
      <c r="DM6" s="490"/>
      <c r="DN6" s="490"/>
      <c r="DO6" s="490"/>
      <c r="DP6" s="490"/>
      <c r="DQ6" s="490"/>
      <c r="DR6" s="490"/>
      <c r="DS6" s="490"/>
      <c r="DT6" s="490"/>
      <c r="DU6" s="490"/>
      <c r="DV6" s="490"/>
      <c r="DW6" s="490"/>
      <c r="DX6" s="490"/>
      <c r="DY6" s="490"/>
      <c r="DZ6" s="490"/>
      <c r="EA6" s="490"/>
      <c r="EB6" s="490"/>
      <c r="EC6" s="490"/>
      <c r="ED6" s="490"/>
      <c r="EE6" s="490"/>
      <c r="EF6" s="490"/>
      <c r="EG6" s="490"/>
      <c r="EH6" s="490"/>
      <c r="EI6" s="490"/>
      <c r="EJ6" s="490"/>
      <c r="EK6" s="490"/>
      <c r="EL6" s="490"/>
      <c r="EM6" s="490"/>
      <c r="EN6" s="490"/>
      <c r="EO6" s="490"/>
      <c r="EP6" s="490"/>
      <c r="EQ6" s="490"/>
      <c r="ER6" s="490"/>
      <c r="ES6" s="490"/>
      <c r="ET6" s="490"/>
      <c r="EU6" s="490"/>
      <c r="EV6" s="490"/>
      <c r="EW6" s="490"/>
      <c r="EX6" s="490"/>
      <c r="EY6" s="490"/>
      <c r="EZ6" s="490"/>
      <c r="FA6" s="490"/>
      <c r="FB6" s="490"/>
      <c r="FC6" s="490"/>
      <c r="FD6" s="490"/>
      <c r="FE6" s="490"/>
      <c r="FF6" s="490"/>
      <c r="FG6" s="490"/>
      <c r="FH6" s="490"/>
      <c r="FI6" s="380">
        <f t="shared" ref="FI6:FI10" ca="1" si="80">SUM(J6:FH6)</f>
        <v>0</v>
      </c>
    </row>
    <row r="7" spans="1:167" s="469" customFormat="1" ht="15.75">
      <c r="A7" s="236"/>
      <c r="D7" s="235"/>
      <c r="H7" s="248"/>
      <c r="I7" s="254" t="s">
        <v>236</v>
      </c>
      <c r="J7" s="239">
        <f t="shared" ref="J7:AO7" ca="1" si="81">SUMIFS(PENDIENTE_DE_ENTREGA,FECHA_RETIRO_VALORES,"&gt;="&amp;J3,FECHA_RETIRO_VALORES,"&lt;="&amp;J4,ESTADO_ENTREGA,"PENDIENTE")</f>
        <v>0</v>
      </c>
      <c r="K7" s="239">
        <f t="shared" ca="1" si="81"/>
        <v>0</v>
      </c>
      <c r="L7" s="239">
        <f t="shared" ca="1" si="81"/>
        <v>0</v>
      </c>
      <c r="M7" s="239">
        <f t="shared" ca="1" si="81"/>
        <v>0</v>
      </c>
      <c r="N7" s="239">
        <f t="shared" ca="1" si="81"/>
        <v>0</v>
      </c>
      <c r="O7" s="239">
        <f t="shared" ca="1" si="81"/>
        <v>0</v>
      </c>
      <c r="P7" s="239">
        <f t="shared" ca="1" si="81"/>
        <v>0</v>
      </c>
      <c r="Q7" s="239">
        <f t="shared" ca="1" si="81"/>
        <v>0</v>
      </c>
      <c r="R7" s="239">
        <f t="shared" ca="1" si="81"/>
        <v>0</v>
      </c>
      <c r="S7" s="239">
        <f t="shared" ca="1" si="81"/>
        <v>0</v>
      </c>
      <c r="T7" s="239">
        <f t="shared" ca="1" si="81"/>
        <v>0</v>
      </c>
      <c r="U7" s="239">
        <f t="shared" ca="1" si="81"/>
        <v>0</v>
      </c>
      <c r="V7" s="239">
        <f t="shared" ca="1" si="81"/>
        <v>0</v>
      </c>
      <c r="W7" s="239">
        <f t="shared" ca="1" si="81"/>
        <v>0</v>
      </c>
      <c r="X7" s="239">
        <f t="shared" ca="1" si="81"/>
        <v>0</v>
      </c>
      <c r="Y7" s="239">
        <f t="shared" ca="1" si="81"/>
        <v>0</v>
      </c>
      <c r="Z7" s="239">
        <f t="shared" ca="1" si="81"/>
        <v>0</v>
      </c>
      <c r="AA7" s="239">
        <f t="shared" ca="1" si="81"/>
        <v>0</v>
      </c>
      <c r="AB7" s="239">
        <f t="shared" ca="1" si="81"/>
        <v>0</v>
      </c>
      <c r="AC7" s="239">
        <f t="shared" ca="1" si="81"/>
        <v>0</v>
      </c>
      <c r="AD7" s="239">
        <f t="shared" ca="1" si="81"/>
        <v>0</v>
      </c>
      <c r="AE7" s="239">
        <f t="shared" ca="1" si="81"/>
        <v>0</v>
      </c>
      <c r="AF7" s="239">
        <f t="shared" ca="1" si="81"/>
        <v>0</v>
      </c>
      <c r="AG7" s="239">
        <f t="shared" ca="1" si="81"/>
        <v>0</v>
      </c>
      <c r="AH7" s="239">
        <f t="shared" ca="1" si="81"/>
        <v>0</v>
      </c>
      <c r="AI7" s="239">
        <f t="shared" ca="1" si="81"/>
        <v>0</v>
      </c>
      <c r="AJ7" s="239">
        <f t="shared" ca="1" si="81"/>
        <v>0</v>
      </c>
      <c r="AK7" s="239">
        <f t="shared" ca="1" si="81"/>
        <v>0</v>
      </c>
      <c r="AL7" s="239">
        <f t="shared" ca="1" si="81"/>
        <v>0</v>
      </c>
      <c r="AM7" s="239">
        <f t="shared" ca="1" si="81"/>
        <v>0</v>
      </c>
      <c r="AN7" s="239">
        <f t="shared" ca="1" si="81"/>
        <v>0</v>
      </c>
      <c r="AO7" s="239">
        <f t="shared" ca="1" si="81"/>
        <v>0</v>
      </c>
      <c r="AP7" s="239">
        <f t="shared" ref="AP7:BU7" ca="1" si="82">SUMIFS(PENDIENTE_DE_ENTREGA,FECHA_RETIRO_VALORES,"&gt;="&amp;AP3,FECHA_RETIRO_VALORES,"&lt;="&amp;AP4,ESTADO_ENTREGA,"PENDIENTE")</f>
        <v>0</v>
      </c>
      <c r="AQ7" s="239">
        <f t="shared" ca="1" si="82"/>
        <v>0</v>
      </c>
      <c r="AR7" s="239">
        <f t="shared" ca="1" si="82"/>
        <v>0</v>
      </c>
      <c r="AS7" s="239">
        <f t="shared" ca="1" si="82"/>
        <v>0</v>
      </c>
      <c r="AT7" s="239">
        <f t="shared" ca="1" si="82"/>
        <v>0</v>
      </c>
      <c r="AU7" s="239">
        <f t="shared" ca="1" si="82"/>
        <v>0</v>
      </c>
      <c r="AV7" s="239">
        <f t="shared" ca="1" si="82"/>
        <v>0</v>
      </c>
      <c r="AW7" s="239">
        <f t="shared" ca="1" si="82"/>
        <v>0</v>
      </c>
      <c r="AX7" s="239">
        <f t="shared" ca="1" si="82"/>
        <v>0</v>
      </c>
      <c r="AY7" s="239">
        <f t="shared" ca="1" si="82"/>
        <v>0</v>
      </c>
      <c r="AZ7" s="239">
        <f t="shared" ca="1" si="82"/>
        <v>0</v>
      </c>
      <c r="BA7" s="239">
        <f t="shared" ca="1" si="82"/>
        <v>0</v>
      </c>
      <c r="BB7" s="239">
        <f t="shared" ca="1" si="82"/>
        <v>0</v>
      </c>
      <c r="BC7" s="239">
        <f t="shared" ca="1" si="82"/>
        <v>0</v>
      </c>
      <c r="BD7" s="239">
        <f t="shared" ca="1" si="82"/>
        <v>0</v>
      </c>
      <c r="BE7" s="239">
        <f t="shared" ca="1" si="82"/>
        <v>0</v>
      </c>
      <c r="BF7" s="239">
        <f t="shared" ca="1" si="82"/>
        <v>0</v>
      </c>
      <c r="BG7" s="239">
        <f t="shared" ca="1" si="82"/>
        <v>0</v>
      </c>
      <c r="BH7" s="239">
        <f t="shared" ca="1" si="82"/>
        <v>0</v>
      </c>
      <c r="BI7" s="239">
        <f t="shared" ca="1" si="82"/>
        <v>0</v>
      </c>
      <c r="BJ7" s="239">
        <f t="shared" ca="1" si="82"/>
        <v>0</v>
      </c>
      <c r="BK7" s="239">
        <f t="shared" ca="1" si="82"/>
        <v>0</v>
      </c>
      <c r="BL7" s="239">
        <f t="shared" ca="1" si="82"/>
        <v>0</v>
      </c>
      <c r="BM7" s="239">
        <f t="shared" ca="1" si="82"/>
        <v>0</v>
      </c>
      <c r="BN7" s="239">
        <f t="shared" ca="1" si="82"/>
        <v>0</v>
      </c>
      <c r="BO7" s="239">
        <f t="shared" ca="1" si="82"/>
        <v>0</v>
      </c>
      <c r="BP7" s="239">
        <f t="shared" ca="1" si="82"/>
        <v>0</v>
      </c>
      <c r="BQ7" s="239">
        <f t="shared" ca="1" si="82"/>
        <v>0</v>
      </c>
      <c r="BR7" s="239">
        <f t="shared" ca="1" si="82"/>
        <v>0</v>
      </c>
      <c r="BS7" s="239">
        <f t="shared" ca="1" si="82"/>
        <v>0</v>
      </c>
      <c r="BT7" s="239">
        <f t="shared" ca="1" si="82"/>
        <v>0</v>
      </c>
      <c r="BU7" s="239">
        <f t="shared" ca="1" si="82"/>
        <v>0</v>
      </c>
      <c r="BV7" s="239">
        <f t="shared" ref="BV7:CM7" ca="1" si="83">SUMIFS(PENDIENTE_DE_ENTREGA,FECHA_RETIRO_VALORES,"&gt;="&amp;BV3,FECHA_RETIRO_VALORES,"&lt;="&amp;BV4,ESTADO_ENTREGA,"PENDIENTE")</f>
        <v>0</v>
      </c>
      <c r="BW7" s="239">
        <f t="shared" ca="1" si="83"/>
        <v>0</v>
      </c>
      <c r="BX7" s="239">
        <f t="shared" ca="1" si="83"/>
        <v>0</v>
      </c>
      <c r="BY7" s="239">
        <f t="shared" ca="1" si="83"/>
        <v>0</v>
      </c>
      <c r="BZ7" s="239">
        <f t="shared" ca="1" si="83"/>
        <v>0</v>
      </c>
      <c r="CA7" s="239">
        <f t="shared" ca="1" si="83"/>
        <v>0</v>
      </c>
      <c r="CB7" s="239">
        <f t="shared" ca="1" si="83"/>
        <v>0</v>
      </c>
      <c r="CC7" s="239">
        <f t="shared" ca="1" si="83"/>
        <v>0</v>
      </c>
      <c r="CD7" s="239">
        <f t="shared" ca="1" si="83"/>
        <v>0</v>
      </c>
      <c r="CE7" s="239">
        <f t="shared" ca="1" si="83"/>
        <v>0</v>
      </c>
      <c r="CF7" s="239">
        <f t="shared" ca="1" si="83"/>
        <v>0</v>
      </c>
      <c r="CG7" s="239">
        <f t="shared" ca="1" si="83"/>
        <v>0</v>
      </c>
      <c r="CH7" s="239">
        <f t="shared" ca="1" si="83"/>
        <v>0</v>
      </c>
      <c r="CI7" s="239">
        <f t="shared" ca="1" si="83"/>
        <v>0</v>
      </c>
      <c r="CJ7" s="239">
        <f t="shared" ca="1" si="83"/>
        <v>0</v>
      </c>
      <c r="CK7" s="239">
        <f t="shared" ca="1" si="83"/>
        <v>0</v>
      </c>
      <c r="CL7" s="239">
        <f t="shared" ca="1" si="83"/>
        <v>0</v>
      </c>
      <c r="CM7" s="239">
        <f t="shared" ca="1" si="83"/>
        <v>0</v>
      </c>
      <c r="CN7" s="239">
        <f t="shared" ref="CN7:CT7" ca="1" si="84">SUMIFS(PENDIENTE_DE_ENTREGA,FECHA_RETIRO_VALORES,"&gt;="&amp;CN3,FECHA_RETIRO_VALORES,"&lt;="&amp;CN4,ESTADO_ENTREGA,"PENDIENTE")</f>
        <v>0</v>
      </c>
      <c r="CO7" s="239">
        <f t="shared" ca="1" si="84"/>
        <v>0</v>
      </c>
      <c r="CP7" s="239">
        <f t="shared" ca="1" si="84"/>
        <v>0</v>
      </c>
      <c r="CQ7" s="239">
        <f t="shared" ca="1" si="84"/>
        <v>0</v>
      </c>
      <c r="CR7" s="239">
        <f t="shared" ca="1" si="84"/>
        <v>0</v>
      </c>
      <c r="CS7" s="239">
        <f t="shared" ca="1" si="84"/>
        <v>0</v>
      </c>
      <c r="CT7" s="239">
        <f t="shared" ca="1" si="84"/>
        <v>0</v>
      </c>
      <c r="CU7" s="239">
        <f t="shared" ref="CU7:CZ7" ca="1" si="85">SUMIFS(PENDIENTE_DE_ENTREGA,FECHA_RETIRO_VALORES,"&gt;="&amp;CU3,FECHA_RETIRO_VALORES,"&lt;="&amp;CU4,ESTADO_ENTREGA,"PENDIENTE")</f>
        <v>0</v>
      </c>
      <c r="CV7" s="239">
        <f t="shared" ca="1" si="85"/>
        <v>0</v>
      </c>
      <c r="CW7" s="239">
        <f t="shared" ca="1" si="85"/>
        <v>0</v>
      </c>
      <c r="CX7" s="239">
        <f t="shared" ca="1" si="85"/>
        <v>0</v>
      </c>
      <c r="CY7" s="239">
        <f t="shared" ca="1" si="85"/>
        <v>106722000</v>
      </c>
      <c r="CZ7" s="239">
        <f t="shared" ca="1" si="85"/>
        <v>0</v>
      </c>
      <c r="DA7" s="239">
        <f t="shared" ref="DA7:EI7" ca="1" si="86">SUMIFS(PENDIENTE_DE_ENTREGA,FECHA_RETIRO_VALORES,"&gt;="&amp;DA3,FECHA_RETIRO_VALORES,"&lt;="&amp;DA4,ESTADO_ENTREGA,"PENDIENTE")</f>
        <v>0</v>
      </c>
      <c r="DB7" s="239">
        <f t="shared" ca="1" si="86"/>
        <v>0</v>
      </c>
      <c r="DC7" s="239">
        <f t="shared" ca="1" si="86"/>
        <v>0</v>
      </c>
      <c r="DD7" s="239">
        <f t="shared" ca="1" si="86"/>
        <v>0</v>
      </c>
      <c r="DE7" s="239">
        <f t="shared" ca="1" si="86"/>
        <v>0</v>
      </c>
      <c r="DF7" s="239">
        <f t="shared" ca="1" si="86"/>
        <v>0</v>
      </c>
      <c r="DG7" s="239">
        <f t="shared" ca="1" si="86"/>
        <v>0</v>
      </c>
      <c r="DH7" s="239">
        <f t="shared" ca="1" si="86"/>
        <v>0</v>
      </c>
      <c r="DI7" s="239">
        <f t="shared" ca="1" si="86"/>
        <v>0</v>
      </c>
      <c r="DJ7" s="239">
        <f t="shared" ca="1" si="86"/>
        <v>0</v>
      </c>
      <c r="DK7" s="239">
        <f t="shared" ca="1" si="86"/>
        <v>0</v>
      </c>
      <c r="DL7" s="239">
        <f t="shared" ca="1" si="86"/>
        <v>23532080</v>
      </c>
      <c r="DM7" s="239">
        <f t="shared" ca="1" si="86"/>
        <v>73788940.335039601</v>
      </c>
      <c r="DN7" s="239">
        <f t="shared" ca="1" si="86"/>
        <v>143790602.00682539</v>
      </c>
      <c r="DO7" s="239">
        <f t="shared" ca="1" si="86"/>
        <v>320463377.87522084</v>
      </c>
      <c r="DP7" s="239">
        <f t="shared" ca="1" si="86"/>
        <v>150632295.040766</v>
      </c>
      <c r="DQ7" s="239">
        <f t="shared" ca="1" si="86"/>
        <v>73621240</v>
      </c>
      <c r="DR7" s="239">
        <f t="shared" ca="1" si="86"/>
        <v>146477155</v>
      </c>
      <c r="DS7" s="239">
        <f t="shared" ca="1" si="86"/>
        <v>0</v>
      </c>
      <c r="DT7" s="239">
        <f t="shared" ca="1" si="86"/>
        <v>0</v>
      </c>
      <c r="DU7" s="239">
        <f t="shared" ca="1" si="86"/>
        <v>0</v>
      </c>
      <c r="DV7" s="239">
        <f t="shared" ca="1" si="86"/>
        <v>0</v>
      </c>
      <c r="DW7" s="239">
        <f t="shared" ca="1" si="86"/>
        <v>0</v>
      </c>
      <c r="DX7" s="239">
        <f t="shared" ca="1" si="86"/>
        <v>0</v>
      </c>
      <c r="DY7" s="239">
        <f t="shared" ca="1" si="86"/>
        <v>0</v>
      </c>
      <c r="DZ7" s="239">
        <f t="shared" ca="1" si="86"/>
        <v>0</v>
      </c>
      <c r="EA7" s="239">
        <f t="shared" ca="1" si="86"/>
        <v>0</v>
      </c>
      <c r="EB7" s="239">
        <f t="shared" ca="1" si="86"/>
        <v>0</v>
      </c>
      <c r="EC7" s="239">
        <f t="shared" ca="1" si="86"/>
        <v>0</v>
      </c>
      <c r="ED7" s="239">
        <f t="shared" ca="1" si="86"/>
        <v>0</v>
      </c>
      <c r="EE7" s="239">
        <f t="shared" ca="1" si="86"/>
        <v>0</v>
      </c>
      <c r="EF7" s="239">
        <f t="shared" ca="1" si="86"/>
        <v>0</v>
      </c>
      <c r="EG7" s="239">
        <f t="shared" ca="1" si="86"/>
        <v>0</v>
      </c>
      <c r="EH7" s="239">
        <f t="shared" ca="1" si="86"/>
        <v>0</v>
      </c>
      <c r="EI7" s="239">
        <f t="shared" ca="1" si="86"/>
        <v>0</v>
      </c>
      <c r="EJ7" s="239">
        <f t="shared" ref="EJ7:FH7" ca="1" si="87">SUMIFS(PENDIENTE_DE_ENTREGA,FECHA_RETIRO_VALORES,"&gt;="&amp;EJ3,FECHA_RETIRO_VALORES,"&lt;="&amp;EJ4,ESTADO_ENTREGA,"PENDIENTE")</f>
        <v>0</v>
      </c>
      <c r="EK7" s="239">
        <f t="shared" ca="1" si="87"/>
        <v>0</v>
      </c>
      <c r="EL7" s="239">
        <f t="shared" ca="1" si="87"/>
        <v>0</v>
      </c>
      <c r="EM7" s="239">
        <f t="shared" ca="1" si="87"/>
        <v>0</v>
      </c>
      <c r="EN7" s="239">
        <f t="shared" ca="1" si="87"/>
        <v>0</v>
      </c>
      <c r="EO7" s="239">
        <f t="shared" ca="1" si="87"/>
        <v>0</v>
      </c>
      <c r="EP7" s="239">
        <f t="shared" ca="1" si="87"/>
        <v>0</v>
      </c>
      <c r="EQ7" s="239">
        <f t="shared" ca="1" si="87"/>
        <v>0</v>
      </c>
      <c r="ER7" s="239">
        <f t="shared" ca="1" si="87"/>
        <v>0</v>
      </c>
      <c r="ES7" s="239">
        <f t="shared" ca="1" si="87"/>
        <v>0</v>
      </c>
      <c r="ET7" s="239">
        <f t="shared" ca="1" si="87"/>
        <v>0</v>
      </c>
      <c r="EU7" s="239">
        <f t="shared" ca="1" si="87"/>
        <v>0</v>
      </c>
      <c r="EV7" s="239">
        <f t="shared" ca="1" si="87"/>
        <v>0</v>
      </c>
      <c r="EW7" s="239">
        <f t="shared" ca="1" si="87"/>
        <v>0</v>
      </c>
      <c r="EX7" s="239">
        <f t="shared" ca="1" si="87"/>
        <v>0</v>
      </c>
      <c r="EY7" s="239">
        <f t="shared" ca="1" si="87"/>
        <v>0</v>
      </c>
      <c r="EZ7" s="239">
        <f t="shared" ca="1" si="87"/>
        <v>0</v>
      </c>
      <c r="FA7" s="239">
        <f t="shared" ca="1" si="87"/>
        <v>0</v>
      </c>
      <c r="FB7" s="239">
        <f t="shared" ca="1" si="87"/>
        <v>0</v>
      </c>
      <c r="FC7" s="239">
        <f t="shared" ca="1" si="87"/>
        <v>0</v>
      </c>
      <c r="FD7" s="239">
        <f t="shared" ca="1" si="87"/>
        <v>0</v>
      </c>
      <c r="FE7" s="239">
        <f t="shared" ca="1" si="87"/>
        <v>0</v>
      </c>
      <c r="FF7" s="239">
        <f t="shared" ca="1" si="87"/>
        <v>0</v>
      </c>
      <c r="FG7" s="239">
        <f t="shared" ca="1" si="87"/>
        <v>0</v>
      </c>
      <c r="FH7" s="239">
        <f t="shared" ca="1" si="87"/>
        <v>0</v>
      </c>
      <c r="FI7" s="380">
        <f t="shared" ca="1" si="80"/>
        <v>1039027690.2578518</v>
      </c>
    </row>
    <row r="8" spans="1:167" s="469" customFormat="1" ht="15.75">
      <c r="A8" s="236"/>
      <c r="D8" s="235"/>
      <c r="H8" s="248"/>
      <c r="I8" s="254" t="s">
        <v>239</v>
      </c>
      <c r="J8" s="239">
        <f t="shared" ref="J8:AO8" ca="1" si="88">SUMIFS(PENDIENTE_DE_COBRO,FECHA_RETIRO_VALORES,"&gt;="&amp;J3,FECHA_RETIRO_VALORES,"&lt;="&amp;J4,ESTADO_ENTREGA,"ENTREGADO")</f>
        <v>0</v>
      </c>
      <c r="K8" s="239">
        <f t="shared" ca="1" si="88"/>
        <v>0</v>
      </c>
      <c r="L8" s="239">
        <f t="shared" ca="1" si="88"/>
        <v>0</v>
      </c>
      <c r="M8" s="239">
        <f t="shared" ca="1" si="88"/>
        <v>0</v>
      </c>
      <c r="N8" s="239">
        <f t="shared" ca="1" si="88"/>
        <v>0</v>
      </c>
      <c r="O8" s="239">
        <f t="shared" ca="1" si="88"/>
        <v>0</v>
      </c>
      <c r="P8" s="239">
        <f t="shared" ca="1" si="88"/>
        <v>0</v>
      </c>
      <c r="Q8" s="239">
        <f t="shared" ca="1" si="88"/>
        <v>0</v>
      </c>
      <c r="R8" s="239">
        <f t="shared" ca="1" si="88"/>
        <v>0</v>
      </c>
      <c r="S8" s="239">
        <f t="shared" ca="1" si="88"/>
        <v>0</v>
      </c>
      <c r="T8" s="239">
        <f t="shared" ca="1" si="88"/>
        <v>0</v>
      </c>
      <c r="U8" s="239">
        <f t="shared" ca="1" si="88"/>
        <v>0</v>
      </c>
      <c r="V8" s="239">
        <f t="shared" ca="1" si="88"/>
        <v>0</v>
      </c>
      <c r="W8" s="239">
        <f t="shared" ca="1" si="88"/>
        <v>0</v>
      </c>
      <c r="X8" s="239">
        <f t="shared" ca="1" si="88"/>
        <v>0</v>
      </c>
      <c r="Y8" s="239">
        <f t="shared" ca="1" si="88"/>
        <v>0</v>
      </c>
      <c r="Z8" s="239">
        <f t="shared" ca="1" si="88"/>
        <v>0</v>
      </c>
      <c r="AA8" s="239">
        <f t="shared" ca="1" si="88"/>
        <v>0</v>
      </c>
      <c r="AB8" s="239">
        <f t="shared" ca="1" si="88"/>
        <v>0</v>
      </c>
      <c r="AC8" s="239">
        <f t="shared" ca="1" si="88"/>
        <v>0</v>
      </c>
      <c r="AD8" s="239">
        <f t="shared" ca="1" si="88"/>
        <v>0</v>
      </c>
      <c r="AE8" s="239">
        <f t="shared" ca="1" si="88"/>
        <v>0</v>
      </c>
      <c r="AF8" s="239">
        <f t="shared" ca="1" si="88"/>
        <v>0</v>
      </c>
      <c r="AG8" s="239">
        <f t="shared" ca="1" si="88"/>
        <v>0</v>
      </c>
      <c r="AH8" s="239">
        <f t="shared" ca="1" si="88"/>
        <v>0</v>
      </c>
      <c r="AI8" s="239">
        <f t="shared" ca="1" si="88"/>
        <v>0</v>
      </c>
      <c r="AJ8" s="239">
        <f t="shared" ca="1" si="88"/>
        <v>0</v>
      </c>
      <c r="AK8" s="239">
        <f t="shared" ca="1" si="88"/>
        <v>0</v>
      </c>
      <c r="AL8" s="239">
        <f t="shared" ca="1" si="88"/>
        <v>0</v>
      </c>
      <c r="AM8" s="239">
        <f t="shared" ca="1" si="88"/>
        <v>0</v>
      </c>
      <c r="AN8" s="239">
        <f t="shared" ca="1" si="88"/>
        <v>0</v>
      </c>
      <c r="AO8" s="239">
        <f t="shared" ca="1" si="88"/>
        <v>0</v>
      </c>
      <c r="AP8" s="239">
        <f t="shared" ref="AP8:BU8" ca="1" si="89">SUMIFS(PENDIENTE_DE_COBRO,FECHA_RETIRO_VALORES,"&gt;="&amp;AP3,FECHA_RETIRO_VALORES,"&lt;="&amp;AP4,ESTADO_ENTREGA,"ENTREGADO")</f>
        <v>0</v>
      </c>
      <c r="AQ8" s="239">
        <f t="shared" ca="1" si="89"/>
        <v>0</v>
      </c>
      <c r="AR8" s="239">
        <f t="shared" ca="1" si="89"/>
        <v>0</v>
      </c>
      <c r="AS8" s="239">
        <f t="shared" ca="1" si="89"/>
        <v>0</v>
      </c>
      <c r="AT8" s="239">
        <f t="shared" ca="1" si="89"/>
        <v>0</v>
      </c>
      <c r="AU8" s="239">
        <f t="shared" ca="1" si="89"/>
        <v>0</v>
      </c>
      <c r="AV8" s="239">
        <f t="shared" ca="1" si="89"/>
        <v>0</v>
      </c>
      <c r="AW8" s="239">
        <f t="shared" ca="1" si="89"/>
        <v>0</v>
      </c>
      <c r="AX8" s="239">
        <f t="shared" ca="1" si="89"/>
        <v>0</v>
      </c>
      <c r="AY8" s="239">
        <f t="shared" ca="1" si="89"/>
        <v>0</v>
      </c>
      <c r="AZ8" s="239">
        <f t="shared" ca="1" si="89"/>
        <v>0</v>
      </c>
      <c r="BA8" s="239">
        <f t="shared" ca="1" si="89"/>
        <v>0</v>
      </c>
      <c r="BB8" s="239">
        <f t="shared" ca="1" si="89"/>
        <v>0</v>
      </c>
      <c r="BC8" s="239">
        <f t="shared" ca="1" si="89"/>
        <v>0</v>
      </c>
      <c r="BD8" s="239">
        <f t="shared" ca="1" si="89"/>
        <v>0</v>
      </c>
      <c r="BE8" s="239">
        <f t="shared" ca="1" si="89"/>
        <v>0</v>
      </c>
      <c r="BF8" s="239">
        <f t="shared" ca="1" si="89"/>
        <v>0</v>
      </c>
      <c r="BG8" s="239">
        <f t="shared" ca="1" si="89"/>
        <v>0</v>
      </c>
      <c r="BH8" s="239">
        <f t="shared" ca="1" si="89"/>
        <v>0</v>
      </c>
      <c r="BI8" s="239">
        <f t="shared" ca="1" si="89"/>
        <v>0</v>
      </c>
      <c r="BJ8" s="239">
        <f t="shared" ca="1" si="89"/>
        <v>0</v>
      </c>
      <c r="BK8" s="239">
        <f t="shared" ca="1" si="89"/>
        <v>0</v>
      </c>
      <c r="BL8" s="239">
        <f t="shared" ca="1" si="89"/>
        <v>0</v>
      </c>
      <c r="BM8" s="239">
        <f t="shared" ca="1" si="89"/>
        <v>0</v>
      </c>
      <c r="BN8" s="239">
        <f t="shared" ca="1" si="89"/>
        <v>0</v>
      </c>
      <c r="BO8" s="239">
        <f t="shared" ca="1" si="89"/>
        <v>0</v>
      </c>
      <c r="BP8" s="239">
        <f t="shared" ca="1" si="89"/>
        <v>0</v>
      </c>
      <c r="BQ8" s="239">
        <f t="shared" ca="1" si="89"/>
        <v>0</v>
      </c>
      <c r="BR8" s="239">
        <f t="shared" ca="1" si="89"/>
        <v>0</v>
      </c>
      <c r="BS8" s="239">
        <f t="shared" ca="1" si="89"/>
        <v>0</v>
      </c>
      <c r="BT8" s="239">
        <f t="shared" ca="1" si="89"/>
        <v>0</v>
      </c>
      <c r="BU8" s="239">
        <f t="shared" ca="1" si="89"/>
        <v>0</v>
      </c>
      <c r="BV8" s="239">
        <f t="shared" ref="BV8:CM8" ca="1" si="90">SUMIFS(PENDIENTE_DE_COBRO,FECHA_RETIRO_VALORES,"&gt;="&amp;BV3,FECHA_RETIRO_VALORES,"&lt;="&amp;BV4,ESTADO_ENTREGA,"ENTREGADO")</f>
        <v>0</v>
      </c>
      <c r="BW8" s="239">
        <f t="shared" ca="1" si="90"/>
        <v>0</v>
      </c>
      <c r="BX8" s="239">
        <f t="shared" ca="1" si="90"/>
        <v>0</v>
      </c>
      <c r="BY8" s="239">
        <f t="shared" ca="1" si="90"/>
        <v>0</v>
      </c>
      <c r="BZ8" s="239">
        <f t="shared" ca="1" si="90"/>
        <v>0</v>
      </c>
      <c r="CA8" s="239">
        <f t="shared" ca="1" si="90"/>
        <v>0</v>
      </c>
      <c r="CB8" s="239">
        <f t="shared" ca="1" si="90"/>
        <v>0</v>
      </c>
      <c r="CC8" s="239">
        <f t="shared" ca="1" si="90"/>
        <v>0</v>
      </c>
      <c r="CD8" s="239">
        <f t="shared" ca="1" si="90"/>
        <v>0</v>
      </c>
      <c r="CE8" s="239">
        <f t="shared" ca="1" si="90"/>
        <v>0</v>
      </c>
      <c r="CF8" s="239">
        <f t="shared" ca="1" si="90"/>
        <v>0</v>
      </c>
      <c r="CG8" s="239">
        <f t="shared" ca="1" si="90"/>
        <v>0</v>
      </c>
      <c r="CH8" s="239">
        <f t="shared" ca="1" si="90"/>
        <v>0</v>
      </c>
      <c r="CI8" s="239">
        <f t="shared" ca="1" si="90"/>
        <v>0</v>
      </c>
      <c r="CJ8" s="239">
        <f t="shared" ca="1" si="90"/>
        <v>0</v>
      </c>
      <c r="CK8" s="239">
        <f t="shared" ca="1" si="90"/>
        <v>0</v>
      </c>
      <c r="CL8" s="239">
        <f t="shared" ca="1" si="90"/>
        <v>0</v>
      </c>
      <c r="CM8" s="239">
        <f t="shared" ca="1" si="90"/>
        <v>0</v>
      </c>
      <c r="CN8" s="239">
        <f t="shared" ref="CN8:CT8" ca="1" si="91">SUMIFS(PENDIENTE_DE_COBRO,FECHA_RETIRO_VALORES,"&gt;="&amp;CN3,FECHA_RETIRO_VALORES,"&lt;="&amp;CN4,ESTADO_ENTREGA,"ENTREGADO")</f>
        <v>0</v>
      </c>
      <c r="CO8" s="239">
        <f t="shared" ca="1" si="91"/>
        <v>0</v>
      </c>
      <c r="CP8" s="239">
        <f t="shared" ca="1" si="91"/>
        <v>0</v>
      </c>
      <c r="CQ8" s="239">
        <f t="shared" ca="1" si="91"/>
        <v>0</v>
      </c>
      <c r="CR8" s="239">
        <f t="shared" ca="1" si="91"/>
        <v>0</v>
      </c>
      <c r="CS8" s="239">
        <f t="shared" ca="1" si="91"/>
        <v>0</v>
      </c>
      <c r="CT8" s="239">
        <f t="shared" ca="1" si="91"/>
        <v>0</v>
      </c>
      <c r="CU8" s="239">
        <f t="shared" ref="CU8:CZ8" ca="1" si="92">SUMIFS(PENDIENTE_DE_COBRO,FECHA_RETIRO_VALORES,"&gt;="&amp;CU3,FECHA_RETIRO_VALORES,"&lt;="&amp;CU4,ESTADO_ENTREGA,"ENTREGADO")</f>
        <v>0</v>
      </c>
      <c r="CV8" s="239">
        <f t="shared" ca="1" si="92"/>
        <v>0</v>
      </c>
      <c r="CW8" s="239">
        <f t="shared" ca="1" si="92"/>
        <v>0</v>
      </c>
      <c r="CX8" s="239">
        <f t="shared" ca="1" si="92"/>
        <v>0</v>
      </c>
      <c r="CY8" s="239">
        <f t="shared" ca="1" si="92"/>
        <v>0</v>
      </c>
      <c r="CZ8" s="239">
        <f t="shared" ca="1" si="92"/>
        <v>0</v>
      </c>
      <c r="DA8" s="239">
        <f t="shared" ref="DA8:EI8" ca="1" si="93">SUMIFS(PENDIENTE_DE_COBRO,FECHA_RETIRO_VALORES,"&gt;="&amp;DA3,FECHA_RETIRO_VALORES,"&lt;="&amp;DA4,ESTADO_ENTREGA,"ENTREGADO")</f>
        <v>0</v>
      </c>
      <c r="DB8" s="239">
        <f t="shared" ca="1" si="93"/>
        <v>0</v>
      </c>
      <c r="DC8" s="239">
        <f t="shared" ca="1" si="93"/>
        <v>0</v>
      </c>
      <c r="DD8" s="239">
        <f t="shared" ca="1" si="93"/>
        <v>0</v>
      </c>
      <c r="DE8" s="239">
        <f t="shared" ca="1" si="93"/>
        <v>0</v>
      </c>
      <c r="DF8" s="239">
        <f t="shared" ca="1" si="93"/>
        <v>0</v>
      </c>
      <c r="DG8" s="239">
        <f t="shared" ca="1" si="93"/>
        <v>0</v>
      </c>
      <c r="DH8" s="239">
        <f t="shared" ca="1" si="93"/>
        <v>0</v>
      </c>
      <c r="DI8" s="239">
        <f t="shared" ca="1" si="93"/>
        <v>0</v>
      </c>
      <c r="DJ8" s="239">
        <f t="shared" ca="1" si="93"/>
        <v>0</v>
      </c>
      <c r="DK8" s="239">
        <f t="shared" ca="1" si="93"/>
        <v>0</v>
      </c>
      <c r="DL8" s="239">
        <f t="shared" ca="1" si="93"/>
        <v>0</v>
      </c>
      <c r="DM8" s="239">
        <f t="shared" ca="1" si="93"/>
        <v>0</v>
      </c>
      <c r="DN8" s="239">
        <f t="shared" ca="1" si="93"/>
        <v>0</v>
      </c>
      <c r="DO8" s="239">
        <f t="shared" ca="1" si="93"/>
        <v>46551120</v>
      </c>
      <c r="DP8" s="239">
        <f t="shared" ca="1" si="93"/>
        <v>45765225</v>
      </c>
      <c r="DQ8" s="239">
        <f t="shared" ca="1" si="93"/>
        <v>23682120</v>
      </c>
      <c r="DR8" s="239">
        <f t="shared" ca="1" si="93"/>
        <v>26657812.5</v>
      </c>
      <c r="DS8" s="239">
        <f t="shared" ca="1" si="93"/>
        <v>0</v>
      </c>
      <c r="DT8" s="239">
        <f t="shared" ca="1" si="93"/>
        <v>0</v>
      </c>
      <c r="DU8" s="239">
        <f t="shared" ca="1" si="93"/>
        <v>0</v>
      </c>
      <c r="DV8" s="239">
        <f t="shared" ca="1" si="93"/>
        <v>0</v>
      </c>
      <c r="DW8" s="239">
        <f t="shared" ca="1" si="93"/>
        <v>0</v>
      </c>
      <c r="DX8" s="239">
        <f t="shared" ca="1" si="93"/>
        <v>0</v>
      </c>
      <c r="DY8" s="239">
        <f t="shared" ca="1" si="93"/>
        <v>0</v>
      </c>
      <c r="DZ8" s="239">
        <f t="shared" ca="1" si="93"/>
        <v>0</v>
      </c>
      <c r="EA8" s="239">
        <f t="shared" ca="1" si="93"/>
        <v>0</v>
      </c>
      <c r="EB8" s="239">
        <f t="shared" ca="1" si="93"/>
        <v>0</v>
      </c>
      <c r="EC8" s="239">
        <f t="shared" ca="1" si="93"/>
        <v>0</v>
      </c>
      <c r="ED8" s="239">
        <f t="shared" ca="1" si="93"/>
        <v>0</v>
      </c>
      <c r="EE8" s="239">
        <f t="shared" ca="1" si="93"/>
        <v>0</v>
      </c>
      <c r="EF8" s="239">
        <f t="shared" ca="1" si="93"/>
        <v>0</v>
      </c>
      <c r="EG8" s="239">
        <f t="shared" ca="1" si="93"/>
        <v>0</v>
      </c>
      <c r="EH8" s="239">
        <f t="shared" ca="1" si="93"/>
        <v>0</v>
      </c>
      <c r="EI8" s="239">
        <f t="shared" ca="1" si="93"/>
        <v>0</v>
      </c>
      <c r="EJ8" s="239">
        <f t="shared" ref="EJ8:FH8" ca="1" si="94">SUMIFS(PENDIENTE_DE_COBRO,FECHA_RETIRO_VALORES,"&gt;="&amp;EJ3,FECHA_RETIRO_VALORES,"&lt;="&amp;EJ4,ESTADO_ENTREGA,"ENTREGADO")</f>
        <v>0</v>
      </c>
      <c r="EK8" s="239">
        <f t="shared" ca="1" si="94"/>
        <v>0</v>
      </c>
      <c r="EL8" s="239">
        <f t="shared" ca="1" si="94"/>
        <v>0</v>
      </c>
      <c r="EM8" s="239">
        <f t="shared" ca="1" si="94"/>
        <v>0</v>
      </c>
      <c r="EN8" s="239">
        <f t="shared" ca="1" si="94"/>
        <v>0</v>
      </c>
      <c r="EO8" s="239">
        <f t="shared" ca="1" si="94"/>
        <v>0</v>
      </c>
      <c r="EP8" s="239">
        <f t="shared" ca="1" si="94"/>
        <v>0</v>
      </c>
      <c r="EQ8" s="239">
        <f t="shared" ca="1" si="94"/>
        <v>0</v>
      </c>
      <c r="ER8" s="239">
        <f t="shared" ca="1" si="94"/>
        <v>0</v>
      </c>
      <c r="ES8" s="239">
        <f t="shared" ca="1" si="94"/>
        <v>0</v>
      </c>
      <c r="ET8" s="239">
        <f t="shared" ca="1" si="94"/>
        <v>0</v>
      </c>
      <c r="EU8" s="239">
        <f t="shared" ca="1" si="94"/>
        <v>0</v>
      </c>
      <c r="EV8" s="239">
        <f t="shared" ca="1" si="94"/>
        <v>0</v>
      </c>
      <c r="EW8" s="239">
        <f t="shared" ca="1" si="94"/>
        <v>0</v>
      </c>
      <c r="EX8" s="239">
        <f t="shared" ca="1" si="94"/>
        <v>0</v>
      </c>
      <c r="EY8" s="239">
        <f t="shared" ca="1" si="94"/>
        <v>0</v>
      </c>
      <c r="EZ8" s="239">
        <f t="shared" ca="1" si="94"/>
        <v>0</v>
      </c>
      <c r="FA8" s="239">
        <f t="shared" ca="1" si="94"/>
        <v>0</v>
      </c>
      <c r="FB8" s="239">
        <f t="shared" ca="1" si="94"/>
        <v>0</v>
      </c>
      <c r="FC8" s="239">
        <f t="shared" ca="1" si="94"/>
        <v>0</v>
      </c>
      <c r="FD8" s="239">
        <f t="shared" ca="1" si="94"/>
        <v>0</v>
      </c>
      <c r="FE8" s="239">
        <f t="shared" ca="1" si="94"/>
        <v>0</v>
      </c>
      <c r="FF8" s="239">
        <f t="shared" ca="1" si="94"/>
        <v>0</v>
      </c>
      <c r="FG8" s="239">
        <f t="shared" ca="1" si="94"/>
        <v>0</v>
      </c>
      <c r="FH8" s="239">
        <f t="shared" ca="1" si="94"/>
        <v>0</v>
      </c>
      <c r="FI8" s="380">
        <f t="shared" ca="1" si="80"/>
        <v>142656277.5</v>
      </c>
    </row>
    <row r="9" spans="1:167" s="469" customFormat="1" ht="16.5" thickBot="1">
      <c r="A9" s="236"/>
      <c r="D9" s="235"/>
      <c r="H9" s="248"/>
      <c r="I9" s="248"/>
      <c r="J9" s="248"/>
      <c r="K9" s="248"/>
      <c r="L9" s="248"/>
      <c r="M9" s="248"/>
      <c r="N9" s="248"/>
      <c r="O9" s="249"/>
      <c r="P9" s="248"/>
      <c r="Q9" s="248"/>
      <c r="R9" s="248"/>
      <c r="S9" s="248"/>
      <c r="T9" s="249"/>
      <c r="U9" s="248"/>
      <c r="V9" s="248"/>
      <c r="W9" s="248"/>
      <c r="X9" s="249"/>
      <c r="Y9" s="248"/>
      <c r="Z9" s="248"/>
      <c r="AA9" s="248"/>
      <c r="AB9" s="248"/>
      <c r="AC9" s="249"/>
      <c r="AD9" s="248"/>
      <c r="AE9" s="248"/>
      <c r="AF9" s="248"/>
      <c r="AG9" s="249"/>
      <c r="AH9" s="248"/>
      <c r="AI9" s="248"/>
      <c r="AJ9" s="248"/>
      <c r="AK9" s="249"/>
      <c r="AL9" s="248"/>
      <c r="AM9" s="248"/>
      <c r="AN9" s="248"/>
      <c r="AO9" s="248"/>
      <c r="AP9" s="249"/>
      <c r="AQ9" s="248"/>
      <c r="AR9" s="248"/>
      <c r="AS9" s="248"/>
      <c r="AT9" s="249"/>
      <c r="AU9" s="248"/>
      <c r="AV9" s="248"/>
      <c r="AW9" s="250"/>
      <c r="AX9" s="251"/>
      <c r="AY9" s="250"/>
      <c r="AZ9" s="250"/>
      <c r="BA9" s="250"/>
      <c r="BB9" s="251"/>
      <c r="BC9" s="235"/>
      <c r="BD9" s="250"/>
      <c r="BE9" s="250"/>
      <c r="BF9" s="250"/>
      <c r="BG9" s="251"/>
      <c r="BH9" s="250"/>
      <c r="BI9" s="250"/>
      <c r="BJ9" s="250"/>
      <c r="BK9" s="250"/>
      <c r="BL9" s="250"/>
      <c r="BM9" s="250"/>
      <c r="BN9" s="250"/>
      <c r="BO9" s="250"/>
      <c r="BP9" s="250"/>
      <c r="BQ9" s="250"/>
      <c r="BR9" s="250"/>
      <c r="BS9" s="250"/>
      <c r="BV9" s="481"/>
      <c r="BW9" s="489"/>
      <c r="BX9" s="489"/>
      <c r="BY9" s="489"/>
      <c r="BZ9" s="492"/>
      <c r="CA9" s="492"/>
      <c r="CB9" s="492"/>
      <c r="CC9" s="497"/>
      <c r="CD9" s="497"/>
      <c r="CE9" s="497"/>
      <c r="CF9" s="497"/>
      <c r="CG9" s="497"/>
      <c r="CH9" s="518"/>
      <c r="CI9" s="518"/>
      <c r="CJ9" s="521"/>
      <c r="CK9" s="521"/>
      <c r="CL9" s="521"/>
      <c r="CM9" s="521"/>
      <c r="CN9" s="542"/>
      <c r="CO9" s="542"/>
      <c r="CP9" s="542"/>
      <c r="CQ9" s="542"/>
      <c r="CR9" s="542"/>
      <c r="CS9" s="699"/>
      <c r="CT9" s="699"/>
      <c r="CU9" s="725"/>
      <c r="CV9" s="725"/>
      <c r="CW9" s="725"/>
      <c r="CX9" s="725"/>
      <c r="CY9" s="725"/>
      <c r="CZ9" s="725"/>
      <c r="DA9" s="780"/>
      <c r="DB9" s="780"/>
      <c r="DC9" s="780"/>
      <c r="DD9" s="780"/>
      <c r="DE9" s="780"/>
      <c r="DF9" s="780"/>
      <c r="DG9" s="780"/>
      <c r="DH9" s="780"/>
      <c r="DI9" s="780"/>
      <c r="DJ9" s="780"/>
      <c r="DK9" s="780"/>
      <c r="DL9" s="780"/>
      <c r="DM9" s="780"/>
      <c r="DN9" s="780"/>
      <c r="DO9" s="780"/>
      <c r="DP9" s="780"/>
      <c r="DQ9" s="780"/>
      <c r="DR9" s="780"/>
      <c r="DS9" s="780"/>
      <c r="DT9" s="780"/>
      <c r="DU9" s="780"/>
      <c r="DV9" s="780"/>
      <c r="DW9" s="780"/>
      <c r="DX9" s="780"/>
      <c r="DY9" s="780"/>
      <c r="DZ9" s="780"/>
      <c r="EA9" s="780"/>
      <c r="EB9" s="780"/>
      <c r="EC9" s="780"/>
      <c r="ED9" s="780"/>
      <c r="EE9" s="780"/>
      <c r="EF9" s="780"/>
      <c r="EG9" s="780"/>
      <c r="EH9" s="780"/>
      <c r="EI9" s="780"/>
      <c r="EJ9" s="780"/>
      <c r="EK9" s="780"/>
      <c r="EL9" s="780"/>
      <c r="EM9" s="780"/>
      <c r="EN9" s="780"/>
      <c r="EO9" s="780"/>
      <c r="EP9" s="780"/>
      <c r="EQ9" s="780"/>
      <c r="ER9" s="780"/>
      <c r="ES9" s="780"/>
      <c r="ET9" s="780"/>
      <c r="EU9" s="780"/>
      <c r="EV9" s="780"/>
      <c r="EW9" s="780"/>
      <c r="EX9" s="780"/>
      <c r="EY9" s="780"/>
      <c r="EZ9" s="780"/>
      <c r="FA9" s="780"/>
      <c r="FB9" s="780"/>
      <c r="FC9" s="780"/>
      <c r="FD9" s="780"/>
      <c r="FE9" s="780"/>
      <c r="FF9" s="780"/>
      <c r="FG9" s="780"/>
      <c r="FH9" s="780"/>
    </row>
    <row r="10" spans="1:167" s="252" customFormat="1" ht="16.5" thickBot="1">
      <c r="A10" s="236"/>
      <c r="D10" s="235"/>
      <c r="I10" s="243" t="s">
        <v>220</v>
      </c>
      <c r="J10" s="262">
        <f ca="1">+J7+J8</f>
        <v>0</v>
      </c>
      <c r="K10" s="262">
        <f t="shared" ref="K10:BU10" ca="1" si="95">+K7+K8</f>
        <v>0</v>
      </c>
      <c r="L10" s="262">
        <f t="shared" ca="1" si="95"/>
        <v>0</v>
      </c>
      <c r="M10" s="262">
        <f t="shared" ca="1" si="95"/>
        <v>0</v>
      </c>
      <c r="N10" s="262">
        <f t="shared" ca="1" si="95"/>
        <v>0</v>
      </c>
      <c r="O10" s="262">
        <f t="shared" ca="1" si="95"/>
        <v>0</v>
      </c>
      <c r="P10" s="262">
        <f t="shared" ca="1" si="95"/>
        <v>0</v>
      </c>
      <c r="Q10" s="262">
        <f t="shared" ca="1" si="95"/>
        <v>0</v>
      </c>
      <c r="R10" s="262">
        <f t="shared" ca="1" si="95"/>
        <v>0</v>
      </c>
      <c r="S10" s="262">
        <f t="shared" ca="1" si="95"/>
        <v>0</v>
      </c>
      <c r="T10" s="262">
        <f t="shared" ca="1" si="95"/>
        <v>0</v>
      </c>
      <c r="U10" s="262">
        <f t="shared" ca="1" si="95"/>
        <v>0</v>
      </c>
      <c r="V10" s="262">
        <f t="shared" ca="1" si="95"/>
        <v>0</v>
      </c>
      <c r="W10" s="262">
        <f t="shared" ca="1" si="95"/>
        <v>0</v>
      </c>
      <c r="X10" s="262">
        <f t="shared" ca="1" si="95"/>
        <v>0</v>
      </c>
      <c r="Y10" s="262">
        <f t="shared" ca="1" si="95"/>
        <v>0</v>
      </c>
      <c r="Z10" s="262">
        <f t="shared" ca="1" si="95"/>
        <v>0</v>
      </c>
      <c r="AA10" s="262">
        <f t="shared" ca="1" si="95"/>
        <v>0</v>
      </c>
      <c r="AB10" s="262">
        <f t="shared" ca="1" si="95"/>
        <v>0</v>
      </c>
      <c r="AC10" s="262">
        <f t="shared" ca="1" si="95"/>
        <v>0</v>
      </c>
      <c r="AD10" s="262">
        <f t="shared" ca="1" si="95"/>
        <v>0</v>
      </c>
      <c r="AE10" s="262">
        <f t="shared" ca="1" si="95"/>
        <v>0</v>
      </c>
      <c r="AF10" s="262">
        <f t="shared" ca="1" si="95"/>
        <v>0</v>
      </c>
      <c r="AG10" s="262">
        <f t="shared" ca="1" si="95"/>
        <v>0</v>
      </c>
      <c r="AH10" s="262">
        <f t="shared" ca="1" si="95"/>
        <v>0</v>
      </c>
      <c r="AI10" s="262">
        <f t="shared" ca="1" si="95"/>
        <v>0</v>
      </c>
      <c r="AJ10" s="262">
        <f t="shared" ca="1" si="95"/>
        <v>0</v>
      </c>
      <c r="AK10" s="262">
        <f t="shared" ca="1" si="95"/>
        <v>0</v>
      </c>
      <c r="AL10" s="262">
        <f t="shared" ca="1" si="95"/>
        <v>0</v>
      </c>
      <c r="AM10" s="262">
        <f t="shared" ca="1" si="95"/>
        <v>0</v>
      </c>
      <c r="AN10" s="262">
        <f t="shared" ca="1" si="95"/>
        <v>0</v>
      </c>
      <c r="AO10" s="262">
        <f t="shared" ca="1" si="95"/>
        <v>0</v>
      </c>
      <c r="AP10" s="262">
        <f t="shared" ca="1" si="95"/>
        <v>0</v>
      </c>
      <c r="AQ10" s="262">
        <f t="shared" ca="1" si="95"/>
        <v>0</v>
      </c>
      <c r="AR10" s="262">
        <f t="shared" ca="1" si="95"/>
        <v>0</v>
      </c>
      <c r="AS10" s="262">
        <f t="shared" ca="1" si="95"/>
        <v>0</v>
      </c>
      <c r="AT10" s="262">
        <f t="shared" ca="1" si="95"/>
        <v>0</v>
      </c>
      <c r="AU10" s="262">
        <f t="shared" ca="1" si="95"/>
        <v>0</v>
      </c>
      <c r="AV10" s="262">
        <f t="shared" ca="1" si="95"/>
        <v>0</v>
      </c>
      <c r="AW10" s="262">
        <f t="shared" ca="1" si="95"/>
        <v>0</v>
      </c>
      <c r="AX10" s="262">
        <f t="shared" ca="1" si="95"/>
        <v>0</v>
      </c>
      <c r="AY10" s="262">
        <f t="shared" ca="1" si="95"/>
        <v>0</v>
      </c>
      <c r="AZ10" s="262">
        <f t="shared" ca="1" si="95"/>
        <v>0</v>
      </c>
      <c r="BA10" s="262">
        <f t="shared" ca="1" si="95"/>
        <v>0</v>
      </c>
      <c r="BB10" s="262">
        <f t="shared" ca="1" si="95"/>
        <v>0</v>
      </c>
      <c r="BC10" s="262">
        <f t="shared" ca="1" si="95"/>
        <v>0</v>
      </c>
      <c r="BD10" s="262">
        <f t="shared" ca="1" si="95"/>
        <v>0</v>
      </c>
      <c r="BE10" s="262">
        <f t="shared" ca="1" si="95"/>
        <v>0</v>
      </c>
      <c r="BF10" s="262">
        <f t="shared" ca="1" si="95"/>
        <v>0</v>
      </c>
      <c r="BG10" s="262">
        <f t="shared" ca="1" si="95"/>
        <v>0</v>
      </c>
      <c r="BH10" s="262">
        <f t="shared" ca="1" si="95"/>
        <v>0</v>
      </c>
      <c r="BI10" s="262">
        <f t="shared" ca="1" si="95"/>
        <v>0</v>
      </c>
      <c r="BJ10" s="262">
        <f t="shared" ca="1" si="95"/>
        <v>0</v>
      </c>
      <c r="BK10" s="262">
        <f t="shared" ca="1" si="95"/>
        <v>0</v>
      </c>
      <c r="BL10" s="262">
        <f t="shared" ca="1" si="95"/>
        <v>0</v>
      </c>
      <c r="BM10" s="262">
        <f t="shared" ca="1" si="95"/>
        <v>0</v>
      </c>
      <c r="BN10" s="262">
        <f t="shared" ca="1" si="95"/>
        <v>0</v>
      </c>
      <c r="BO10" s="262">
        <f t="shared" ca="1" si="95"/>
        <v>0</v>
      </c>
      <c r="BP10" s="262">
        <f ca="1">+BP7+BP8</f>
        <v>0</v>
      </c>
      <c r="BQ10" s="262">
        <f t="shared" ca="1" si="95"/>
        <v>0</v>
      </c>
      <c r="BR10" s="262">
        <f t="shared" ca="1" si="95"/>
        <v>0</v>
      </c>
      <c r="BS10" s="262">
        <f ca="1">+BS7+BS8</f>
        <v>0</v>
      </c>
      <c r="BT10" s="262">
        <f t="shared" ca="1" si="95"/>
        <v>0</v>
      </c>
      <c r="BU10" s="262">
        <f t="shared" ca="1" si="95"/>
        <v>0</v>
      </c>
      <c r="BV10" s="262">
        <f t="shared" ref="BV10:CG10" ca="1" si="96">+BV7+BV8</f>
        <v>0</v>
      </c>
      <c r="BW10" s="262">
        <f t="shared" ca="1" si="96"/>
        <v>0</v>
      </c>
      <c r="BX10" s="262">
        <f t="shared" ca="1" si="96"/>
        <v>0</v>
      </c>
      <c r="BY10" s="262">
        <f t="shared" ca="1" si="96"/>
        <v>0</v>
      </c>
      <c r="BZ10" s="262">
        <f t="shared" ca="1" si="96"/>
        <v>0</v>
      </c>
      <c r="CA10" s="262">
        <f t="shared" ca="1" si="96"/>
        <v>0</v>
      </c>
      <c r="CB10" s="262">
        <f t="shared" ca="1" si="96"/>
        <v>0</v>
      </c>
      <c r="CC10" s="262">
        <f t="shared" ca="1" si="96"/>
        <v>0</v>
      </c>
      <c r="CD10" s="262">
        <f ca="1">+CD7+CD8</f>
        <v>0</v>
      </c>
      <c r="CE10" s="262">
        <f t="shared" ca="1" si="96"/>
        <v>0</v>
      </c>
      <c r="CF10" s="262">
        <f t="shared" ca="1" si="96"/>
        <v>0</v>
      </c>
      <c r="CG10" s="262">
        <f t="shared" ca="1" si="96"/>
        <v>0</v>
      </c>
      <c r="CH10" s="262">
        <f t="shared" ref="CH10:CP10" ca="1" si="97">+CH7+CH8</f>
        <v>0</v>
      </c>
      <c r="CI10" s="262">
        <f t="shared" ca="1" si="97"/>
        <v>0</v>
      </c>
      <c r="CJ10" s="262">
        <f t="shared" ca="1" si="97"/>
        <v>0</v>
      </c>
      <c r="CK10" s="262">
        <f t="shared" ca="1" si="97"/>
        <v>0</v>
      </c>
      <c r="CL10" s="262">
        <f t="shared" ca="1" si="97"/>
        <v>0</v>
      </c>
      <c r="CM10" s="262">
        <f t="shared" ca="1" si="97"/>
        <v>0</v>
      </c>
      <c r="CN10" s="262">
        <f t="shared" ca="1" si="97"/>
        <v>0</v>
      </c>
      <c r="CO10" s="262">
        <f t="shared" ca="1" si="97"/>
        <v>0</v>
      </c>
      <c r="CP10" s="262">
        <f t="shared" ca="1" si="97"/>
        <v>0</v>
      </c>
      <c r="CQ10" s="262">
        <f t="shared" ref="CQ10:CZ10" ca="1" si="98">+CQ7+CQ8</f>
        <v>0</v>
      </c>
      <c r="CR10" s="262">
        <f t="shared" ca="1" si="98"/>
        <v>0</v>
      </c>
      <c r="CS10" s="262">
        <f t="shared" ca="1" si="98"/>
        <v>0</v>
      </c>
      <c r="CT10" s="262">
        <f t="shared" ca="1" si="98"/>
        <v>0</v>
      </c>
      <c r="CU10" s="262">
        <f t="shared" ca="1" si="98"/>
        <v>0</v>
      </c>
      <c r="CV10" s="262">
        <f t="shared" ca="1" si="98"/>
        <v>0</v>
      </c>
      <c r="CW10" s="262">
        <f t="shared" ca="1" si="98"/>
        <v>0</v>
      </c>
      <c r="CX10" s="262">
        <f t="shared" ca="1" si="98"/>
        <v>0</v>
      </c>
      <c r="CY10" s="262">
        <f t="shared" ca="1" si="98"/>
        <v>106722000</v>
      </c>
      <c r="CZ10" s="262">
        <f t="shared" ca="1" si="98"/>
        <v>0</v>
      </c>
      <c r="DA10" s="262">
        <f t="shared" ref="DA10:EI10" ca="1" si="99">+DA7+DA8</f>
        <v>0</v>
      </c>
      <c r="DB10" s="262">
        <f t="shared" ca="1" si="99"/>
        <v>0</v>
      </c>
      <c r="DC10" s="262">
        <f t="shared" ca="1" si="99"/>
        <v>0</v>
      </c>
      <c r="DD10" s="262">
        <f t="shared" ca="1" si="99"/>
        <v>0</v>
      </c>
      <c r="DE10" s="262">
        <f t="shared" ca="1" si="99"/>
        <v>0</v>
      </c>
      <c r="DF10" s="262">
        <f t="shared" ca="1" si="99"/>
        <v>0</v>
      </c>
      <c r="DG10" s="262">
        <f t="shared" ca="1" si="99"/>
        <v>0</v>
      </c>
      <c r="DH10" s="262">
        <f t="shared" ca="1" si="99"/>
        <v>0</v>
      </c>
      <c r="DI10" s="262">
        <f t="shared" ca="1" si="99"/>
        <v>0</v>
      </c>
      <c r="DJ10" s="262">
        <f t="shared" ca="1" si="99"/>
        <v>0</v>
      </c>
      <c r="DK10" s="262">
        <f t="shared" ca="1" si="99"/>
        <v>0</v>
      </c>
      <c r="DL10" s="262">
        <f t="shared" ca="1" si="99"/>
        <v>23532080</v>
      </c>
      <c r="DM10" s="262">
        <f t="shared" ca="1" si="99"/>
        <v>73788940.335039601</v>
      </c>
      <c r="DN10" s="262">
        <f t="shared" ca="1" si="99"/>
        <v>143790602.00682539</v>
      </c>
      <c r="DO10" s="262">
        <f t="shared" ca="1" si="99"/>
        <v>367014497.87522084</v>
      </c>
      <c r="DP10" s="262">
        <f t="shared" ca="1" si="99"/>
        <v>196397520.040766</v>
      </c>
      <c r="DQ10" s="262">
        <f t="shared" ca="1" si="99"/>
        <v>97303360</v>
      </c>
      <c r="DR10" s="262">
        <f t="shared" ca="1" si="99"/>
        <v>173134967.5</v>
      </c>
      <c r="DS10" s="262">
        <f t="shared" ca="1" si="99"/>
        <v>0</v>
      </c>
      <c r="DT10" s="262">
        <f t="shared" ca="1" si="99"/>
        <v>0</v>
      </c>
      <c r="DU10" s="262">
        <f t="shared" ca="1" si="99"/>
        <v>0</v>
      </c>
      <c r="DV10" s="262">
        <f t="shared" ca="1" si="99"/>
        <v>0</v>
      </c>
      <c r="DW10" s="262">
        <f t="shared" ca="1" si="99"/>
        <v>0</v>
      </c>
      <c r="DX10" s="262">
        <f t="shared" ca="1" si="99"/>
        <v>0</v>
      </c>
      <c r="DY10" s="262">
        <f t="shared" ca="1" si="99"/>
        <v>0</v>
      </c>
      <c r="DZ10" s="262">
        <f t="shared" ca="1" si="99"/>
        <v>0</v>
      </c>
      <c r="EA10" s="262">
        <f t="shared" ca="1" si="99"/>
        <v>0</v>
      </c>
      <c r="EB10" s="262">
        <f t="shared" ca="1" si="99"/>
        <v>0</v>
      </c>
      <c r="EC10" s="262">
        <f t="shared" ca="1" si="99"/>
        <v>0</v>
      </c>
      <c r="ED10" s="262">
        <f t="shared" ca="1" si="99"/>
        <v>0</v>
      </c>
      <c r="EE10" s="262">
        <f t="shared" ca="1" si="99"/>
        <v>0</v>
      </c>
      <c r="EF10" s="262">
        <f t="shared" ca="1" si="99"/>
        <v>0</v>
      </c>
      <c r="EG10" s="262">
        <f t="shared" ca="1" si="99"/>
        <v>0</v>
      </c>
      <c r="EH10" s="262">
        <f t="shared" ca="1" si="99"/>
        <v>0</v>
      </c>
      <c r="EI10" s="262">
        <f t="shared" ca="1" si="99"/>
        <v>0</v>
      </c>
      <c r="EJ10" s="262">
        <f t="shared" ref="EJ10:FH10" ca="1" si="100">+EJ7+EJ8</f>
        <v>0</v>
      </c>
      <c r="EK10" s="262">
        <f t="shared" ca="1" si="100"/>
        <v>0</v>
      </c>
      <c r="EL10" s="262">
        <f t="shared" ca="1" si="100"/>
        <v>0</v>
      </c>
      <c r="EM10" s="262">
        <f t="shared" ca="1" si="100"/>
        <v>0</v>
      </c>
      <c r="EN10" s="262">
        <f t="shared" ca="1" si="100"/>
        <v>0</v>
      </c>
      <c r="EO10" s="262">
        <f t="shared" ca="1" si="100"/>
        <v>0</v>
      </c>
      <c r="EP10" s="262">
        <f t="shared" ca="1" si="100"/>
        <v>0</v>
      </c>
      <c r="EQ10" s="262">
        <f t="shared" ca="1" si="100"/>
        <v>0</v>
      </c>
      <c r="ER10" s="262">
        <f t="shared" ca="1" si="100"/>
        <v>0</v>
      </c>
      <c r="ES10" s="262">
        <f t="shared" ca="1" si="100"/>
        <v>0</v>
      </c>
      <c r="ET10" s="262">
        <f t="shared" ca="1" si="100"/>
        <v>0</v>
      </c>
      <c r="EU10" s="262">
        <f t="shared" ca="1" si="100"/>
        <v>0</v>
      </c>
      <c r="EV10" s="262">
        <f t="shared" ca="1" si="100"/>
        <v>0</v>
      </c>
      <c r="EW10" s="262">
        <f t="shared" ca="1" si="100"/>
        <v>0</v>
      </c>
      <c r="EX10" s="262">
        <f t="shared" ca="1" si="100"/>
        <v>0</v>
      </c>
      <c r="EY10" s="262">
        <f t="shared" ca="1" si="100"/>
        <v>0</v>
      </c>
      <c r="EZ10" s="262">
        <f t="shared" ca="1" si="100"/>
        <v>0</v>
      </c>
      <c r="FA10" s="262">
        <f t="shared" ca="1" si="100"/>
        <v>0</v>
      </c>
      <c r="FB10" s="262">
        <f t="shared" ca="1" si="100"/>
        <v>0</v>
      </c>
      <c r="FC10" s="262">
        <f t="shared" ca="1" si="100"/>
        <v>0</v>
      </c>
      <c r="FD10" s="262">
        <f t="shared" ca="1" si="100"/>
        <v>0</v>
      </c>
      <c r="FE10" s="262">
        <f t="shared" ca="1" si="100"/>
        <v>0</v>
      </c>
      <c r="FF10" s="262">
        <f t="shared" ca="1" si="100"/>
        <v>0</v>
      </c>
      <c r="FG10" s="262">
        <f t="shared" ca="1" si="100"/>
        <v>0</v>
      </c>
      <c r="FH10" s="262">
        <f t="shared" ca="1" si="100"/>
        <v>0</v>
      </c>
      <c r="FI10" s="380">
        <f t="shared" ca="1" si="80"/>
        <v>1181683967.7578518</v>
      </c>
    </row>
    <row r="11" spans="1:167" s="257" customFormat="1" ht="15.75">
      <c r="A11" s="256"/>
      <c r="D11" s="258"/>
      <c r="I11" s="259"/>
      <c r="J11" s="259"/>
      <c r="K11" s="259"/>
      <c r="L11" s="259"/>
      <c r="M11" s="259"/>
      <c r="N11" s="259"/>
      <c r="O11" s="259"/>
      <c r="P11" s="260"/>
      <c r="Q11" s="260"/>
      <c r="R11" s="260"/>
      <c r="S11" s="260"/>
      <c r="T11" s="260"/>
      <c r="U11" s="260"/>
      <c r="V11" s="260"/>
      <c r="W11" s="260"/>
      <c r="X11" s="260"/>
      <c r="Y11" s="260"/>
      <c r="Z11" s="260"/>
      <c r="AA11" s="260"/>
      <c r="AB11" s="260"/>
      <c r="AC11" s="260"/>
      <c r="AD11" s="260"/>
      <c r="AE11" s="260"/>
      <c r="AF11" s="260"/>
      <c r="AG11" s="260"/>
      <c r="AH11" s="260"/>
      <c r="AI11" s="260"/>
      <c r="AJ11" s="260"/>
      <c r="AK11" s="260"/>
      <c r="AL11" s="260"/>
      <c r="AM11" s="260"/>
      <c r="AN11" s="260"/>
      <c r="AO11" s="260"/>
      <c r="AP11" s="260"/>
      <c r="AQ11" s="260"/>
      <c r="AR11" s="260"/>
      <c r="AS11" s="260"/>
      <c r="AT11" s="260"/>
      <c r="AU11" s="260"/>
      <c r="AV11" s="260"/>
      <c r="AW11" s="260"/>
      <c r="AX11" s="260"/>
      <c r="AY11" s="260"/>
      <c r="AZ11" s="260"/>
      <c r="BA11" s="260"/>
      <c r="BB11" s="260"/>
      <c r="BC11" s="260"/>
      <c r="BD11" s="260"/>
      <c r="BE11" s="260"/>
      <c r="BF11" s="260"/>
      <c r="BG11" s="260"/>
      <c r="BH11" s="260"/>
      <c r="BI11" s="260"/>
      <c r="BJ11" s="260"/>
      <c r="BK11" s="260"/>
      <c r="BL11" s="260"/>
      <c r="BM11" s="260"/>
      <c r="BN11" s="260"/>
      <c r="BO11" s="260"/>
      <c r="BP11" s="260"/>
      <c r="BQ11" s="260"/>
      <c r="BR11" s="260"/>
      <c r="BS11" s="260"/>
      <c r="BT11" s="260"/>
      <c r="BU11" s="260"/>
      <c r="BV11" s="260"/>
      <c r="BW11" s="260"/>
      <c r="BX11" s="260"/>
      <c r="BY11" s="260"/>
      <c r="BZ11" s="260"/>
      <c r="CA11" s="260"/>
      <c r="CB11" s="260"/>
      <c r="CC11" s="260"/>
      <c r="CD11" s="260"/>
      <c r="CE11" s="260"/>
      <c r="CF11" s="260"/>
      <c r="CG11" s="260"/>
      <c r="CH11" s="260"/>
      <c r="CI11" s="260"/>
      <c r="CJ11" s="260"/>
      <c r="CK11" s="260"/>
      <c r="CL11" s="260"/>
      <c r="CM11" s="260"/>
      <c r="CN11" s="260"/>
      <c r="CO11" s="260"/>
      <c r="CP11" s="260"/>
      <c r="CQ11" s="260"/>
      <c r="CR11" s="260"/>
      <c r="CS11" s="260"/>
      <c r="CT11" s="260"/>
      <c r="CU11" s="260"/>
      <c r="CV11" s="260"/>
      <c r="CW11" s="260"/>
      <c r="CX11" s="260"/>
      <c r="CY11" s="260"/>
      <c r="CZ11" s="260"/>
      <c r="DA11" s="260"/>
      <c r="DB11" s="260"/>
      <c r="DC11" s="260"/>
      <c r="DD11" s="260"/>
      <c r="DE11" s="260"/>
      <c r="DF11" s="260"/>
      <c r="DG11" s="260"/>
      <c r="DH11" s="260"/>
      <c r="DI11" s="260"/>
      <c r="DJ11" s="260"/>
      <c r="DK11" s="260"/>
      <c r="DL11" s="260"/>
      <c r="DM11" s="260"/>
      <c r="DN11" s="260"/>
      <c r="DO11" s="260"/>
      <c r="DP11" s="260"/>
      <c r="DQ11" s="260"/>
      <c r="DR11" s="260"/>
      <c r="DS11" s="260"/>
      <c r="DT11" s="260"/>
      <c r="DU11" s="260"/>
      <c r="DV11" s="260"/>
      <c r="DW11" s="260"/>
      <c r="DX11" s="260"/>
      <c r="DY11" s="260"/>
      <c r="DZ11" s="260"/>
      <c r="EA11" s="260"/>
      <c r="EB11" s="260"/>
      <c r="EC11" s="260"/>
      <c r="ED11" s="260"/>
      <c r="EE11" s="260"/>
      <c r="EF11" s="260"/>
      <c r="EG11" s="260"/>
      <c r="EH11" s="260"/>
      <c r="EI11" s="260"/>
      <c r="EJ11" s="260"/>
      <c r="EK11" s="260"/>
      <c r="EL11" s="260"/>
      <c r="EM11" s="260"/>
      <c r="EN11" s="260"/>
      <c r="EO11" s="260"/>
      <c r="EP11" s="260"/>
      <c r="EQ11" s="260"/>
      <c r="ER11" s="260"/>
      <c r="ES11" s="260"/>
      <c r="ET11" s="260"/>
      <c r="EU11" s="260"/>
      <c r="EV11" s="260"/>
      <c r="EW11" s="260"/>
      <c r="EX11" s="260"/>
      <c r="EY11" s="260"/>
      <c r="EZ11" s="260"/>
      <c r="FA11" s="260"/>
      <c r="FB11" s="260"/>
      <c r="FC11" s="260"/>
      <c r="FD11" s="260"/>
      <c r="FE11" s="260"/>
      <c r="FF11" s="260"/>
      <c r="FG11" s="260"/>
      <c r="FH11" s="260"/>
    </row>
    <row r="12" spans="1:167" ht="45">
      <c r="A12" s="470" t="s">
        <v>62</v>
      </c>
      <c r="B12" s="471" t="s">
        <v>63</v>
      </c>
      <c r="C12" s="472" t="s">
        <v>219</v>
      </c>
      <c r="D12" s="238" t="s">
        <v>228</v>
      </c>
      <c r="E12" s="238" t="s">
        <v>238</v>
      </c>
      <c r="F12" s="238" t="s">
        <v>236</v>
      </c>
      <c r="G12" s="238" t="s">
        <v>239</v>
      </c>
      <c r="BR12" s="237"/>
      <c r="BS12" s="237"/>
    </row>
    <row r="13" spans="1:167" s="289" customFormat="1" hidden="1">
      <c r="A13" s="62">
        <f t="shared" ref="A13:A18" si="101">WEEKNUM(B13)</f>
        <v>19</v>
      </c>
      <c r="B13" s="63">
        <f t="shared" ref="B13:B18" si="102">+B14-7</f>
        <v>45418</v>
      </c>
      <c r="C13" s="63">
        <f t="shared" ref="C13:C18" si="103">+B13+6</f>
        <v>45424</v>
      </c>
      <c r="D13" s="239">
        <f t="shared" ref="D13:D44" ca="1" si="104">SUMIFS(TOTAL,FECHA_RETIRO_VALORES,"&gt;="&amp;B13,FECHA_RETIRO_VALORES,"&lt;="&amp;C13)</f>
        <v>0</v>
      </c>
      <c r="E13" s="239">
        <f t="shared" ref="E13:E44" ca="1" si="105">SUMIFS(VALORES_COBRADOS,FECHA_RETIRO_VALORES,"&gt;="&amp;B13,FECHA_RETIRO_VALORES,"&lt;="&amp;C13)+SUMIFS(VALORES_EN_CARTERA,FECHA_RETIRO_VALORES,"&gt;="&amp;B13,FECHA_RETIRO_VALORES,"&lt;="&amp;C13)</f>
        <v>0</v>
      </c>
      <c r="F13" s="239">
        <f t="shared" ref="F13:F44" ca="1" si="106">SUMIFS(PENDIENTE_DE_ENTREGA,FECHA_RETIRO_VALORES,"&gt;="&amp;B13,FECHA_RETIRO_VALORES,"&lt;="&amp;C13,ESTADO_ENTREGA,"PENDIENTE")</f>
        <v>0</v>
      </c>
      <c r="G13" s="239">
        <f ca="1">SUMIFS(PENDIENTE_DE_COBRO,FECHA_RETIRO_VALORES,"&gt;="&amp;B13,FECHA_RETIRO_VALORES,"&lt;="&amp;C13,ESTADO_ENTREGA,"ENTREGADO")</f>
        <v>0</v>
      </c>
      <c r="I13" s="374"/>
      <c r="J13" s="374"/>
      <c r="K13" s="374"/>
      <c r="L13" s="374"/>
      <c r="M13" s="374"/>
      <c r="AV13" s="235"/>
      <c r="AW13" s="235"/>
      <c r="AX13" s="235"/>
      <c r="AY13" s="235"/>
      <c r="AZ13" s="235"/>
      <c r="BA13" s="235"/>
      <c r="BB13" s="235"/>
      <c r="BC13" s="235"/>
      <c r="BD13" s="235"/>
      <c r="BE13" s="235"/>
      <c r="BF13" s="235"/>
      <c r="BG13" s="235"/>
      <c r="BH13" s="235"/>
      <c r="BI13" s="235"/>
      <c r="BJ13" s="235"/>
      <c r="BK13" s="235"/>
      <c r="BL13" s="235"/>
      <c r="BM13" s="235"/>
      <c r="BN13" s="235"/>
      <c r="BO13" s="235"/>
      <c r="BP13" s="235"/>
      <c r="BQ13" s="235"/>
      <c r="BS13" s="374"/>
      <c r="BV13" s="481"/>
      <c r="BW13" s="489"/>
      <c r="BX13" s="489"/>
      <c r="BY13" s="489"/>
      <c r="BZ13" s="492"/>
      <c r="CA13" s="492"/>
      <c r="CB13" s="492"/>
      <c r="CC13" s="497"/>
      <c r="CD13" s="497"/>
      <c r="CE13" s="497"/>
      <c r="CF13" s="497"/>
      <c r="CG13" s="497"/>
      <c r="CH13" s="518"/>
      <c r="CI13" s="518"/>
      <c r="CJ13" s="521"/>
      <c r="CK13" s="521"/>
      <c r="CL13" s="521"/>
      <c r="CM13" s="521"/>
      <c r="CN13" s="542"/>
      <c r="CO13" s="542"/>
      <c r="CP13" s="542"/>
      <c r="CQ13" s="542"/>
      <c r="CR13" s="542"/>
      <c r="CS13" s="699"/>
      <c r="CT13" s="699"/>
      <c r="CU13" s="725"/>
      <c r="CV13" s="725"/>
      <c r="CW13" s="725"/>
      <c r="CX13" s="725"/>
      <c r="CY13" s="725"/>
      <c r="CZ13" s="725"/>
      <c r="DA13" s="780"/>
      <c r="DB13" s="780"/>
      <c r="DC13" s="780"/>
      <c r="DD13" s="780"/>
      <c r="DE13" s="780"/>
      <c r="DF13" s="780"/>
      <c r="DG13" s="780"/>
      <c r="DH13" s="780"/>
      <c r="DI13" s="780"/>
      <c r="DJ13" s="780"/>
      <c r="DK13" s="780"/>
      <c r="DL13" s="780"/>
      <c r="DM13" s="780"/>
      <c r="DN13" s="780"/>
      <c r="DO13" s="780"/>
      <c r="DP13" s="780"/>
      <c r="DQ13" s="780"/>
      <c r="DR13" s="780"/>
      <c r="DS13" s="780"/>
      <c r="DT13" s="780"/>
      <c r="DU13" s="780"/>
      <c r="DV13" s="780"/>
      <c r="DW13" s="780"/>
      <c r="DX13" s="780"/>
      <c r="DY13" s="780"/>
      <c r="DZ13" s="780"/>
      <c r="EA13" s="780"/>
      <c r="EB13" s="780"/>
      <c r="EC13" s="780"/>
      <c r="ED13" s="780"/>
      <c r="EE13" s="780"/>
      <c r="EF13" s="780"/>
      <c r="EG13" s="780"/>
      <c r="EH13" s="780"/>
      <c r="EI13" s="780"/>
      <c r="EJ13" s="780"/>
      <c r="EK13" s="780"/>
      <c r="EL13" s="780"/>
      <c r="EM13" s="780"/>
      <c r="EN13" s="780"/>
      <c r="EO13" s="780"/>
      <c r="EP13" s="780"/>
      <c r="EQ13" s="780"/>
      <c r="ER13" s="780"/>
      <c r="ES13" s="780"/>
      <c r="ET13" s="780"/>
      <c r="EU13" s="780"/>
      <c r="EV13" s="780"/>
      <c r="EW13" s="780"/>
      <c r="EX13" s="780"/>
      <c r="EY13" s="780"/>
      <c r="EZ13" s="780"/>
      <c r="FA13" s="780"/>
      <c r="FB13" s="780"/>
      <c r="FC13" s="780"/>
      <c r="FD13" s="780"/>
      <c r="FE13" s="780"/>
      <c r="FF13" s="780"/>
      <c r="FG13" s="780"/>
      <c r="FH13" s="780"/>
    </row>
    <row r="14" spans="1:167" s="289" customFormat="1" hidden="1">
      <c r="A14" s="62">
        <f t="shared" si="101"/>
        <v>20</v>
      </c>
      <c r="B14" s="63">
        <f t="shared" si="102"/>
        <v>45425</v>
      </c>
      <c r="C14" s="63">
        <f t="shared" si="103"/>
        <v>45431</v>
      </c>
      <c r="D14" s="239">
        <f t="shared" ca="1" si="104"/>
        <v>0</v>
      </c>
      <c r="E14" s="239">
        <f t="shared" ca="1" si="105"/>
        <v>0</v>
      </c>
      <c r="F14" s="239">
        <f t="shared" ca="1" si="106"/>
        <v>0</v>
      </c>
      <c r="G14" s="239">
        <f t="shared" ref="G14:G44" ca="1" si="107">SUMIFS(PENDIENTE_DE_COBRO,FECHA_RETIRO_VALORES,"&gt;="&amp;B14,FECHA_RETIRO_VALORES,"&lt;="&amp;C14,ESTADO_ENTREGA,"ENTREGADO")</f>
        <v>0</v>
      </c>
      <c r="I14" s="374"/>
      <c r="J14" s="374"/>
      <c r="K14" s="374"/>
      <c r="L14" s="374"/>
      <c r="M14" s="374"/>
      <c r="AV14" s="235"/>
      <c r="AW14" s="235"/>
      <c r="AX14" s="235"/>
      <c r="AY14" s="235"/>
      <c r="AZ14" s="235"/>
      <c r="BA14" s="235"/>
      <c r="BB14" s="235"/>
      <c r="BC14" s="235"/>
      <c r="BD14" s="235"/>
      <c r="BE14" s="235"/>
      <c r="BF14" s="235"/>
      <c r="BG14" s="235"/>
      <c r="BH14" s="235"/>
      <c r="BI14" s="235"/>
      <c r="BJ14" s="235"/>
      <c r="BK14" s="235"/>
      <c r="BL14" s="235"/>
      <c r="BM14" s="235"/>
      <c r="BN14" s="235"/>
      <c r="BO14" s="235"/>
      <c r="BP14" s="235"/>
      <c r="BQ14" s="235"/>
      <c r="BS14" s="374"/>
      <c r="BV14" s="481"/>
      <c r="BW14" s="489"/>
      <c r="BX14" s="489"/>
      <c r="BY14" s="489"/>
      <c r="BZ14" s="492"/>
      <c r="CA14" s="492"/>
      <c r="CB14" s="492"/>
      <c r="CC14" s="497"/>
      <c r="CD14" s="497"/>
      <c r="CE14" s="497"/>
      <c r="CF14" s="497"/>
      <c r="CG14" s="497"/>
      <c r="CH14" s="518"/>
      <c r="CI14" s="518"/>
      <c r="CJ14" s="521"/>
      <c r="CK14" s="521"/>
      <c r="CL14" s="521"/>
      <c r="CM14" s="521"/>
      <c r="CN14" s="542"/>
      <c r="CO14" s="542"/>
      <c r="CP14" s="542"/>
      <c r="CQ14" s="542"/>
      <c r="CR14" s="542"/>
      <c r="CS14" s="699"/>
      <c r="CT14" s="699"/>
      <c r="CU14" s="725"/>
      <c r="CV14" s="725"/>
      <c r="CW14" s="725"/>
      <c r="CX14" s="725"/>
      <c r="CY14" s="725"/>
      <c r="CZ14" s="725"/>
      <c r="DA14" s="780"/>
      <c r="DB14" s="780"/>
      <c r="DC14" s="780"/>
      <c r="DD14" s="780"/>
      <c r="DE14" s="780"/>
      <c r="DF14" s="780"/>
      <c r="DG14" s="780"/>
      <c r="DH14" s="780"/>
      <c r="DI14" s="780"/>
      <c r="DJ14" s="780"/>
      <c r="DK14" s="780"/>
      <c r="DL14" s="780"/>
      <c r="DM14" s="780"/>
      <c r="DN14" s="780"/>
      <c r="DO14" s="780"/>
      <c r="DP14" s="780"/>
      <c r="DQ14" s="780"/>
      <c r="DR14" s="780"/>
      <c r="DS14" s="780"/>
      <c r="DT14" s="780"/>
      <c r="DU14" s="780"/>
      <c r="DV14" s="780"/>
      <c r="DW14" s="780"/>
      <c r="DX14" s="780"/>
      <c r="DY14" s="780"/>
      <c r="DZ14" s="780"/>
      <c r="EA14" s="780"/>
      <c r="EB14" s="780"/>
      <c r="EC14" s="780"/>
      <c r="ED14" s="780"/>
      <c r="EE14" s="780"/>
      <c r="EF14" s="780"/>
      <c r="EG14" s="780"/>
      <c r="EH14" s="780"/>
      <c r="EI14" s="780"/>
      <c r="EJ14" s="780"/>
      <c r="EK14" s="780"/>
      <c r="EL14" s="780"/>
      <c r="EM14" s="780"/>
      <c r="EN14" s="780"/>
      <c r="EO14" s="780"/>
      <c r="EP14" s="780"/>
      <c r="EQ14" s="780"/>
      <c r="ER14" s="780"/>
      <c r="ES14" s="780"/>
      <c r="ET14" s="780"/>
      <c r="EU14" s="780"/>
      <c r="EV14" s="780"/>
      <c r="EW14" s="780"/>
      <c r="EX14" s="780"/>
      <c r="EY14" s="780"/>
      <c r="EZ14" s="780"/>
      <c r="FA14" s="780"/>
      <c r="FB14" s="780"/>
      <c r="FC14" s="780"/>
      <c r="FD14" s="780"/>
      <c r="FE14" s="780"/>
      <c r="FF14" s="780"/>
      <c r="FG14" s="780"/>
      <c r="FH14" s="780"/>
    </row>
    <row r="15" spans="1:167" s="289" customFormat="1" hidden="1">
      <c r="A15" s="62">
        <f t="shared" si="101"/>
        <v>21</v>
      </c>
      <c r="B15" s="63">
        <f t="shared" si="102"/>
        <v>45432</v>
      </c>
      <c r="C15" s="63">
        <f t="shared" si="103"/>
        <v>45438</v>
      </c>
      <c r="D15" s="239">
        <f t="shared" ca="1" si="104"/>
        <v>0</v>
      </c>
      <c r="E15" s="239">
        <f t="shared" ca="1" si="105"/>
        <v>0</v>
      </c>
      <c r="F15" s="239">
        <f t="shared" ca="1" si="106"/>
        <v>0</v>
      </c>
      <c r="G15" s="239">
        <f t="shared" ca="1" si="107"/>
        <v>0</v>
      </c>
      <c r="I15" s="374"/>
      <c r="J15" s="374"/>
      <c r="K15" s="374"/>
      <c r="L15" s="374"/>
      <c r="M15" s="374"/>
      <c r="AV15" s="235"/>
      <c r="AW15" s="235"/>
      <c r="AX15" s="235"/>
      <c r="AY15" s="235"/>
      <c r="AZ15" s="235"/>
      <c r="BA15" s="235"/>
      <c r="BB15" s="235"/>
      <c r="BC15" s="235"/>
      <c r="BD15" s="235"/>
      <c r="BE15" s="235"/>
      <c r="BF15" s="235"/>
      <c r="BG15" s="235"/>
      <c r="BH15" s="235"/>
      <c r="BI15" s="235"/>
      <c r="BJ15" s="235"/>
      <c r="BK15" s="235"/>
      <c r="BL15" s="235"/>
      <c r="BM15" s="235"/>
      <c r="BN15" s="235"/>
      <c r="BO15" s="235"/>
      <c r="BP15" s="235"/>
      <c r="BQ15" s="235"/>
      <c r="BS15" s="374"/>
      <c r="BV15" s="481"/>
      <c r="BW15" s="489"/>
      <c r="BX15" s="489"/>
      <c r="BY15" s="489"/>
      <c r="BZ15" s="492"/>
      <c r="CA15" s="492"/>
      <c r="CB15" s="492"/>
      <c r="CC15" s="497"/>
      <c r="CD15" s="497"/>
      <c r="CE15" s="497"/>
      <c r="CF15" s="497"/>
      <c r="CG15" s="497"/>
      <c r="CH15" s="518"/>
      <c r="CI15" s="518"/>
      <c r="CJ15" s="521"/>
      <c r="CK15" s="521"/>
      <c r="CL15" s="521"/>
      <c r="CM15" s="521"/>
      <c r="CN15" s="542"/>
      <c r="CO15" s="542"/>
      <c r="CP15" s="542"/>
      <c r="CQ15" s="542"/>
      <c r="CR15" s="542"/>
      <c r="CS15" s="699"/>
      <c r="CT15" s="699"/>
      <c r="CU15" s="725"/>
      <c r="CV15" s="725"/>
      <c r="CW15" s="725"/>
      <c r="CX15" s="725"/>
      <c r="CY15" s="725"/>
      <c r="CZ15" s="725"/>
      <c r="DA15" s="780"/>
      <c r="DB15" s="780"/>
      <c r="DC15" s="780"/>
      <c r="DD15" s="780"/>
      <c r="DE15" s="780"/>
      <c r="DF15" s="780"/>
      <c r="DG15" s="780"/>
      <c r="DH15" s="780"/>
      <c r="DI15" s="780"/>
      <c r="DJ15" s="780"/>
      <c r="DK15" s="780"/>
      <c r="DL15" s="780"/>
      <c r="DM15" s="780"/>
      <c r="DN15" s="780"/>
      <c r="DO15" s="780"/>
      <c r="DP15" s="780"/>
      <c r="DQ15" s="780"/>
      <c r="DR15" s="780"/>
      <c r="DS15" s="780"/>
      <c r="DT15" s="780"/>
      <c r="DU15" s="780"/>
      <c r="DV15" s="780"/>
      <c r="DW15" s="780"/>
      <c r="DX15" s="780"/>
      <c r="DY15" s="780"/>
      <c r="DZ15" s="780"/>
      <c r="EA15" s="780"/>
      <c r="EB15" s="780"/>
      <c r="EC15" s="780"/>
      <c r="ED15" s="780"/>
      <c r="EE15" s="780"/>
      <c r="EF15" s="780"/>
      <c r="EG15" s="780"/>
      <c r="EH15" s="780"/>
      <c r="EI15" s="780"/>
      <c r="EJ15" s="780"/>
      <c r="EK15" s="780"/>
      <c r="EL15" s="780"/>
      <c r="EM15" s="780"/>
      <c r="EN15" s="780"/>
      <c r="EO15" s="780"/>
      <c r="EP15" s="780"/>
      <c r="EQ15" s="780"/>
      <c r="ER15" s="780"/>
      <c r="ES15" s="780"/>
      <c r="ET15" s="780"/>
      <c r="EU15" s="780"/>
      <c r="EV15" s="780"/>
      <c r="EW15" s="780"/>
      <c r="EX15" s="780"/>
      <c r="EY15" s="780"/>
      <c r="EZ15" s="780"/>
      <c r="FA15" s="780"/>
      <c r="FB15" s="780"/>
      <c r="FC15" s="780"/>
      <c r="FD15" s="780"/>
      <c r="FE15" s="780"/>
      <c r="FF15" s="780"/>
      <c r="FG15" s="780"/>
      <c r="FH15" s="780"/>
    </row>
    <row r="16" spans="1:167" s="289" customFormat="1" hidden="1">
      <c r="A16" s="62">
        <f t="shared" si="101"/>
        <v>22</v>
      </c>
      <c r="B16" s="63">
        <f t="shared" si="102"/>
        <v>45439</v>
      </c>
      <c r="C16" s="63">
        <f t="shared" si="103"/>
        <v>45445</v>
      </c>
      <c r="D16" s="239">
        <f t="shared" ca="1" si="104"/>
        <v>0</v>
      </c>
      <c r="E16" s="239">
        <f t="shared" ca="1" si="105"/>
        <v>0</v>
      </c>
      <c r="F16" s="239">
        <f t="shared" ca="1" si="106"/>
        <v>0</v>
      </c>
      <c r="G16" s="239">
        <f t="shared" ca="1" si="107"/>
        <v>0</v>
      </c>
      <c r="I16" s="374"/>
      <c r="J16" s="374"/>
      <c r="K16" s="374"/>
      <c r="L16" s="374"/>
      <c r="M16" s="374"/>
      <c r="AV16" s="235"/>
      <c r="AW16" s="235"/>
      <c r="AX16" s="235"/>
      <c r="AY16" s="235"/>
      <c r="AZ16" s="235"/>
      <c r="BA16" s="235"/>
      <c r="BB16" s="235"/>
      <c r="BC16" s="235"/>
      <c r="BD16" s="235"/>
      <c r="BE16" s="235"/>
      <c r="BF16" s="235"/>
      <c r="BG16" s="235"/>
      <c r="BH16" s="235"/>
      <c r="BI16" s="235"/>
      <c r="BJ16" s="235"/>
      <c r="BK16" s="235"/>
      <c r="BL16" s="235"/>
      <c r="BM16" s="235"/>
      <c r="BN16" s="235"/>
      <c r="BO16" s="235"/>
      <c r="BP16" s="235"/>
      <c r="BQ16" s="235"/>
      <c r="BS16" s="374"/>
      <c r="BV16" s="481"/>
      <c r="BW16" s="489"/>
      <c r="BX16" s="489"/>
      <c r="BY16" s="489"/>
      <c r="BZ16" s="492"/>
      <c r="CA16" s="492"/>
      <c r="CB16" s="492"/>
      <c r="CC16" s="497"/>
      <c r="CD16" s="497"/>
      <c r="CE16" s="497"/>
      <c r="CF16" s="497"/>
      <c r="CG16" s="497"/>
      <c r="CH16" s="518"/>
      <c r="CI16" s="518"/>
      <c r="CJ16" s="521"/>
      <c r="CK16" s="521"/>
      <c r="CL16" s="521"/>
      <c r="CM16" s="521"/>
      <c r="CN16" s="542"/>
      <c r="CO16" s="542"/>
      <c r="CP16" s="542"/>
      <c r="CQ16" s="542"/>
      <c r="CR16" s="542"/>
      <c r="CS16" s="699"/>
      <c r="CT16" s="699"/>
      <c r="CU16" s="725"/>
      <c r="CV16" s="725"/>
      <c r="CW16" s="725"/>
      <c r="CX16" s="725"/>
      <c r="CY16" s="725"/>
      <c r="CZ16" s="725"/>
      <c r="DA16" s="780"/>
      <c r="DB16" s="780"/>
      <c r="DC16" s="780"/>
      <c r="DD16" s="780"/>
      <c r="DE16" s="780"/>
      <c r="DF16" s="780"/>
      <c r="DG16" s="780"/>
      <c r="DH16" s="780"/>
      <c r="DI16" s="780"/>
      <c r="DJ16" s="780"/>
      <c r="DK16" s="780"/>
      <c r="DL16" s="780"/>
      <c r="DM16" s="780"/>
      <c r="DN16" s="780"/>
      <c r="DO16" s="780"/>
      <c r="DP16" s="780"/>
      <c r="DQ16" s="780"/>
      <c r="DR16" s="780"/>
      <c r="DS16" s="780"/>
      <c r="DT16" s="780"/>
      <c r="DU16" s="780"/>
      <c r="DV16" s="780"/>
      <c r="DW16" s="780"/>
      <c r="DX16" s="780"/>
      <c r="DY16" s="780"/>
      <c r="DZ16" s="780"/>
      <c r="EA16" s="780"/>
      <c r="EB16" s="780"/>
      <c r="EC16" s="780"/>
      <c r="ED16" s="780"/>
      <c r="EE16" s="780"/>
      <c r="EF16" s="780"/>
      <c r="EG16" s="780"/>
      <c r="EH16" s="780"/>
      <c r="EI16" s="780"/>
      <c r="EJ16" s="780"/>
      <c r="EK16" s="780"/>
      <c r="EL16" s="780"/>
      <c r="EM16" s="780"/>
      <c r="EN16" s="780"/>
      <c r="EO16" s="780"/>
      <c r="EP16" s="780"/>
      <c r="EQ16" s="780"/>
      <c r="ER16" s="780"/>
      <c r="ES16" s="780"/>
      <c r="ET16" s="780"/>
      <c r="EU16" s="780"/>
      <c r="EV16" s="780"/>
      <c r="EW16" s="780"/>
      <c r="EX16" s="780"/>
      <c r="EY16" s="780"/>
      <c r="EZ16" s="780"/>
      <c r="FA16" s="780"/>
      <c r="FB16" s="780"/>
      <c r="FC16" s="780"/>
      <c r="FD16" s="780"/>
      <c r="FE16" s="780"/>
      <c r="FF16" s="780"/>
      <c r="FG16" s="780"/>
      <c r="FH16" s="780"/>
    </row>
    <row r="17" spans="1:164" s="289" customFormat="1" hidden="1">
      <c r="A17" s="62">
        <f t="shared" si="101"/>
        <v>23</v>
      </c>
      <c r="B17" s="63">
        <f t="shared" si="102"/>
        <v>45446</v>
      </c>
      <c r="C17" s="63">
        <f t="shared" si="103"/>
        <v>45452</v>
      </c>
      <c r="D17" s="239">
        <f t="shared" ca="1" si="104"/>
        <v>0</v>
      </c>
      <c r="E17" s="239">
        <f t="shared" ca="1" si="105"/>
        <v>0</v>
      </c>
      <c r="F17" s="239">
        <f t="shared" ca="1" si="106"/>
        <v>0</v>
      </c>
      <c r="G17" s="239">
        <f t="shared" ca="1" si="107"/>
        <v>0</v>
      </c>
      <c r="I17" s="374"/>
      <c r="J17" s="374"/>
      <c r="K17" s="374"/>
      <c r="L17" s="374"/>
      <c r="M17" s="374"/>
      <c r="AV17" s="235"/>
      <c r="AW17" s="235"/>
      <c r="AX17" s="235"/>
      <c r="AY17" s="235"/>
      <c r="AZ17" s="235"/>
      <c r="BA17" s="235"/>
      <c r="BB17" s="235"/>
      <c r="BC17" s="235"/>
      <c r="BD17" s="235"/>
      <c r="BE17" s="235"/>
      <c r="BF17" s="235"/>
      <c r="BG17" s="235"/>
      <c r="BH17" s="235"/>
      <c r="BI17" s="235"/>
      <c r="BJ17" s="235"/>
      <c r="BK17" s="235"/>
      <c r="BL17" s="235"/>
      <c r="BM17" s="235"/>
      <c r="BN17" s="235"/>
      <c r="BO17" s="235"/>
      <c r="BP17" s="235"/>
      <c r="BQ17" s="235"/>
      <c r="BS17" s="374"/>
      <c r="BV17" s="481"/>
      <c r="BW17" s="489"/>
      <c r="BX17" s="489"/>
      <c r="BY17" s="489"/>
      <c r="BZ17" s="492"/>
      <c r="CA17" s="492"/>
      <c r="CB17" s="492"/>
      <c r="CC17" s="497"/>
      <c r="CD17" s="497"/>
      <c r="CE17" s="497"/>
      <c r="CF17" s="497"/>
      <c r="CG17" s="497"/>
      <c r="CH17" s="518"/>
      <c r="CI17" s="518"/>
      <c r="CJ17" s="521"/>
      <c r="CK17" s="521"/>
      <c r="CL17" s="521"/>
      <c r="CM17" s="521"/>
      <c r="CN17" s="542"/>
      <c r="CO17" s="542"/>
      <c r="CP17" s="542"/>
      <c r="CQ17" s="542"/>
      <c r="CR17" s="542"/>
      <c r="CS17" s="699"/>
      <c r="CT17" s="699"/>
      <c r="CU17" s="725"/>
      <c r="CV17" s="725"/>
      <c r="CW17" s="725"/>
      <c r="CX17" s="725"/>
      <c r="CY17" s="725"/>
      <c r="CZ17" s="725"/>
      <c r="DA17" s="780"/>
      <c r="DB17" s="780"/>
      <c r="DC17" s="780"/>
      <c r="DD17" s="780"/>
      <c r="DE17" s="780"/>
      <c r="DF17" s="780"/>
      <c r="DG17" s="780"/>
      <c r="DH17" s="780"/>
      <c r="DI17" s="780"/>
      <c r="DJ17" s="780"/>
      <c r="DK17" s="780"/>
      <c r="DL17" s="780"/>
      <c r="DM17" s="780"/>
      <c r="DN17" s="780"/>
      <c r="DO17" s="780"/>
      <c r="DP17" s="780"/>
      <c r="DQ17" s="780"/>
      <c r="DR17" s="780"/>
      <c r="DS17" s="780"/>
      <c r="DT17" s="780"/>
      <c r="DU17" s="780"/>
      <c r="DV17" s="780"/>
      <c r="DW17" s="780"/>
      <c r="DX17" s="780"/>
      <c r="DY17" s="780"/>
      <c r="DZ17" s="780"/>
      <c r="EA17" s="780"/>
      <c r="EB17" s="780"/>
      <c r="EC17" s="780"/>
      <c r="ED17" s="780"/>
      <c r="EE17" s="780"/>
      <c r="EF17" s="780"/>
      <c r="EG17" s="780"/>
      <c r="EH17" s="780"/>
      <c r="EI17" s="780"/>
      <c r="EJ17" s="780"/>
      <c r="EK17" s="780"/>
      <c r="EL17" s="780"/>
      <c r="EM17" s="780"/>
      <c r="EN17" s="780"/>
      <c r="EO17" s="780"/>
      <c r="EP17" s="780"/>
      <c r="EQ17" s="780"/>
      <c r="ER17" s="780"/>
      <c r="ES17" s="780"/>
      <c r="ET17" s="780"/>
      <c r="EU17" s="780"/>
      <c r="EV17" s="780"/>
      <c r="EW17" s="780"/>
      <c r="EX17" s="780"/>
      <c r="EY17" s="780"/>
      <c r="EZ17" s="780"/>
      <c r="FA17" s="780"/>
      <c r="FB17" s="780"/>
      <c r="FC17" s="780"/>
      <c r="FD17" s="780"/>
      <c r="FE17" s="780"/>
      <c r="FF17" s="780"/>
      <c r="FG17" s="780"/>
      <c r="FH17" s="780"/>
    </row>
    <row r="18" spans="1:164" s="289" customFormat="1" hidden="1">
      <c r="A18" s="62">
        <f t="shared" si="101"/>
        <v>24</v>
      </c>
      <c r="B18" s="63">
        <f t="shared" si="102"/>
        <v>45453</v>
      </c>
      <c r="C18" s="63">
        <f t="shared" si="103"/>
        <v>45459</v>
      </c>
      <c r="D18" s="239">
        <f t="shared" ca="1" si="104"/>
        <v>0</v>
      </c>
      <c r="E18" s="239">
        <f t="shared" ca="1" si="105"/>
        <v>0</v>
      </c>
      <c r="F18" s="239">
        <f t="shared" ca="1" si="106"/>
        <v>0</v>
      </c>
      <c r="G18" s="239">
        <f t="shared" ca="1" si="107"/>
        <v>0</v>
      </c>
      <c r="I18" s="374"/>
      <c r="J18" s="374"/>
      <c r="K18" s="374"/>
      <c r="L18" s="374"/>
      <c r="M18" s="374"/>
      <c r="AV18" s="235"/>
      <c r="AW18" s="235"/>
      <c r="AX18" s="235"/>
      <c r="AY18" s="235"/>
      <c r="AZ18" s="235"/>
      <c r="BA18" s="235"/>
      <c r="BB18" s="235"/>
      <c r="BC18" s="235"/>
      <c r="BD18" s="235"/>
      <c r="BE18" s="235"/>
      <c r="BF18" s="235"/>
      <c r="BG18" s="235"/>
      <c r="BH18" s="235"/>
      <c r="BI18" s="235"/>
      <c r="BJ18" s="235"/>
      <c r="BK18" s="235"/>
      <c r="BL18" s="235"/>
      <c r="BM18" s="235"/>
      <c r="BN18" s="235"/>
      <c r="BO18" s="235"/>
      <c r="BP18" s="235"/>
      <c r="BQ18" s="235"/>
      <c r="BS18" s="374"/>
      <c r="BV18" s="481"/>
      <c r="BW18" s="489"/>
      <c r="BX18" s="489"/>
      <c r="BY18" s="489"/>
      <c r="BZ18" s="492"/>
      <c r="CA18" s="492"/>
      <c r="CB18" s="492"/>
      <c r="CC18" s="497"/>
      <c r="CD18" s="497"/>
      <c r="CE18" s="497"/>
      <c r="CF18" s="497"/>
      <c r="CG18" s="497"/>
      <c r="CH18" s="518"/>
      <c r="CI18" s="518"/>
      <c r="CJ18" s="521"/>
      <c r="CK18" s="521"/>
      <c r="CL18" s="521"/>
      <c r="CM18" s="521"/>
      <c r="CN18" s="542"/>
      <c r="CO18" s="542"/>
      <c r="CP18" s="542"/>
      <c r="CQ18" s="542"/>
      <c r="CR18" s="542"/>
      <c r="CS18" s="699"/>
      <c r="CT18" s="699"/>
      <c r="CU18" s="725"/>
      <c r="CV18" s="725"/>
      <c r="CW18" s="725"/>
      <c r="CX18" s="725"/>
      <c r="CY18" s="725"/>
      <c r="CZ18" s="725"/>
      <c r="DA18" s="780"/>
      <c r="DB18" s="780"/>
      <c r="DC18" s="780"/>
      <c r="DD18" s="780"/>
      <c r="DE18" s="780"/>
      <c r="DF18" s="780"/>
      <c r="DG18" s="780"/>
      <c r="DH18" s="780"/>
      <c r="DI18" s="780"/>
      <c r="DJ18" s="780"/>
      <c r="DK18" s="780"/>
      <c r="DL18" s="780"/>
      <c r="DM18" s="780"/>
      <c r="DN18" s="780"/>
      <c r="DO18" s="780"/>
      <c r="DP18" s="780"/>
      <c r="DQ18" s="780"/>
      <c r="DR18" s="780"/>
      <c r="DS18" s="780"/>
      <c r="DT18" s="780"/>
      <c r="DU18" s="780"/>
      <c r="DV18" s="780"/>
      <c r="DW18" s="780"/>
      <c r="DX18" s="780"/>
      <c r="DY18" s="780"/>
      <c r="DZ18" s="780"/>
      <c r="EA18" s="780"/>
      <c r="EB18" s="780"/>
      <c r="EC18" s="780"/>
      <c r="ED18" s="780"/>
      <c r="EE18" s="780"/>
      <c r="EF18" s="780"/>
      <c r="EG18" s="780"/>
      <c r="EH18" s="780"/>
      <c r="EI18" s="780"/>
      <c r="EJ18" s="780"/>
      <c r="EK18" s="780"/>
      <c r="EL18" s="780"/>
      <c r="EM18" s="780"/>
      <c r="EN18" s="780"/>
      <c r="EO18" s="780"/>
      <c r="EP18" s="780"/>
      <c r="EQ18" s="780"/>
      <c r="ER18" s="780"/>
      <c r="ES18" s="780"/>
      <c r="ET18" s="780"/>
      <c r="EU18" s="780"/>
      <c r="EV18" s="780"/>
      <c r="EW18" s="780"/>
      <c r="EX18" s="780"/>
      <c r="EY18" s="780"/>
      <c r="EZ18" s="780"/>
      <c r="FA18" s="780"/>
      <c r="FB18" s="780"/>
      <c r="FC18" s="780"/>
      <c r="FD18" s="780"/>
      <c r="FE18" s="780"/>
      <c r="FF18" s="780"/>
      <c r="FG18" s="780"/>
      <c r="FH18" s="780"/>
    </row>
    <row r="19" spans="1:164" hidden="1">
      <c r="A19" s="62">
        <f>WEEKNUM(B19)</f>
        <v>25</v>
      </c>
      <c r="B19" s="63">
        <v>45460</v>
      </c>
      <c r="C19" s="63">
        <f t="shared" ref="C19:C65" si="108">+B19+6</f>
        <v>45466</v>
      </c>
      <c r="D19" s="239">
        <f t="shared" ca="1" si="104"/>
        <v>0</v>
      </c>
      <c r="E19" s="239">
        <f t="shared" ca="1" si="105"/>
        <v>0</v>
      </c>
      <c r="F19" s="239">
        <f t="shared" ca="1" si="106"/>
        <v>0</v>
      </c>
      <c r="G19" s="239">
        <f t="shared" ca="1" si="107"/>
        <v>0</v>
      </c>
      <c r="BR19" s="252"/>
    </row>
    <row r="20" spans="1:164" hidden="1">
      <c r="A20" s="62">
        <f t="shared" ref="A20:A65" si="109">WEEKNUM(B20)</f>
        <v>26</v>
      </c>
      <c r="B20" s="63">
        <f t="shared" ref="B20:B83" si="110">+B19+7</f>
        <v>45467</v>
      </c>
      <c r="C20" s="63">
        <f t="shared" si="108"/>
        <v>45473</v>
      </c>
      <c r="D20" s="239">
        <f t="shared" ca="1" si="104"/>
        <v>0</v>
      </c>
      <c r="E20" s="239">
        <f t="shared" ca="1" si="105"/>
        <v>0</v>
      </c>
      <c r="F20" s="239">
        <f t="shared" ca="1" si="106"/>
        <v>0</v>
      </c>
      <c r="G20" s="239">
        <f t="shared" ca="1" si="107"/>
        <v>0</v>
      </c>
      <c r="BR20" s="237"/>
      <c r="BS20" s="237"/>
    </row>
    <row r="21" spans="1:164" hidden="1">
      <c r="A21" s="62">
        <f t="shared" si="109"/>
        <v>27</v>
      </c>
      <c r="B21" s="63">
        <f t="shared" si="110"/>
        <v>45474</v>
      </c>
      <c r="C21" s="63">
        <f t="shared" si="108"/>
        <v>45480</v>
      </c>
      <c r="D21" s="239">
        <f t="shared" ca="1" si="104"/>
        <v>0</v>
      </c>
      <c r="E21" s="239">
        <f t="shared" ca="1" si="105"/>
        <v>0</v>
      </c>
      <c r="F21" s="239">
        <f t="shared" ca="1" si="106"/>
        <v>0</v>
      </c>
      <c r="G21" s="239">
        <f t="shared" ca="1" si="107"/>
        <v>0</v>
      </c>
      <c r="BR21" s="237"/>
      <c r="BS21" s="237"/>
    </row>
    <row r="22" spans="1:164" hidden="1">
      <c r="A22" s="62">
        <f t="shared" si="109"/>
        <v>28</v>
      </c>
      <c r="B22" s="63">
        <f t="shared" si="110"/>
        <v>45481</v>
      </c>
      <c r="C22" s="63">
        <f t="shared" si="108"/>
        <v>45487</v>
      </c>
      <c r="D22" s="239">
        <f t="shared" ca="1" si="104"/>
        <v>0</v>
      </c>
      <c r="E22" s="239">
        <f t="shared" ca="1" si="105"/>
        <v>0</v>
      </c>
      <c r="F22" s="239">
        <f t="shared" ca="1" si="106"/>
        <v>0</v>
      </c>
      <c r="G22" s="239">
        <f t="shared" ca="1" si="107"/>
        <v>0</v>
      </c>
    </row>
    <row r="23" spans="1:164" hidden="1">
      <c r="A23" s="62">
        <f t="shared" si="109"/>
        <v>29</v>
      </c>
      <c r="B23" s="63">
        <f t="shared" si="110"/>
        <v>45488</v>
      </c>
      <c r="C23" s="63">
        <f t="shared" si="108"/>
        <v>45494</v>
      </c>
      <c r="D23" s="239">
        <f t="shared" ca="1" si="104"/>
        <v>0</v>
      </c>
      <c r="E23" s="239">
        <f t="shared" ca="1" si="105"/>
        <v>0</v>
      </c>
      <c r="F23" s="239">
        <f t="shared" ca="1" si="106"/>
        <v>0</v>
      </c>
      <c r="G23" s="239">
        <f t="shared" ca="1" si="107"/>
        <v>0</v>
      </c>
    </row>
    <row r="24" spans="1:164" hidden="1">
      <c r="A24" s="62">
        <f t="shared" si="109"/>
        <v>30</v>
      </c>
      <c r="B24" s="63">
        <f t="shared" si="110"/>
        <v>45495</v>
      </c>
      <c r="C24" s="63">
        <f t="shared" si="108"/>
        <v>45501</v>
      </c>
      <c r="D24" s="239">
        <f t="shared" ca="1" si="104"/>
        <v>0</v>
      </c>
      <c r="E24" s="239">
        <f t="shared" ca="1" si="105"/>
        <v>0</v>
      </c>
      <c r="F24" s="239">
        <f t="shared" ca="1" si="106"/>
        <v>0</v>
      </c>
      <c r="G24" s="239">
        <f t="shared" ca="1" si="107"/>
        <v>0</v>
      </c>
    </row>
    <row r="25" spans="1:164" ht="15.75" hidden="1" customHeight="1">
      <c r="A25" s="62">
        <f t="shared" si="109"/>
        <v>31</v>
      </c>
      <c r="B25" s="63">
        <f t="shared" si="110"/>
        <v>45502</v>
      </c>
      <c r="C25" s="63">
        <f t="shared" si="108"/>
        <v>45508</v>
      </c>
      <c r="D25" s="239">
        <f t="shared" ca="1" si="104"/>
        <v>0</v>
      </c>
      <c r="E25" s="239">
        <f t="shared" ca="1" si="105"/>
        <v>0</v>
      </c>
      <c r="F25" s="239">
        <f t="shared" ca="1" si="106"/>
        <v>0</v>
      </c>
      <c r="G25" s="239">
        <f t="shared" ca="1" si="107"/>
        <v>0</v>
      </c>
    </row>
    <row r="26" spans="1:164" ht="15.75" hidden="1" customHeight="1">
      <c r="A26" s="62">
        <f t="shared" si="109"/>
        <v>32</v>
      </c>
      <c r="B26" s="63">
        <f t="shared" si="110"/>
        <v>45509</v>
      </c>
      <c r="C26" s="63">
        <f t="shared" si="108"/>
        <v>45515</v>
      </c>
      <c r="D26" s="239">
        <f t="shared" ca="1" si="104"/>
        <v>0</v>
      </c>
      <c r="E26" s="239">
        <f t="shared" ca="1" si="105"/>
        <v>0</v>
      </c>
      <c r="F26" s="239">
        <f t="shared" ca="1" si="106"/>
        <v>0</v>
      </c>
      <c r="G26" s="239">
        <f t="shared" ca="1" si="107"/>
        <v>0</v>
      </c>
    </row>
    <row r="27" spans="1:164" ht="15.75" hidden="1" customHeight="1">
      <c r="A27" s="62">
        <f t="shared" si="109"/>
        <v>33</v>
      </c>
      <c r="B27" s="63">
        <f t="shared" si="110"/>
        <v>45516</v>
      </c>
      <c r="C27" s="63">
        <f t="shared" si="108"/>
        <v>45522</v>
      </c>
      <c r="D27" s="239">
        <f t="shared" ca="1" si="104"/>
        <v>0</v>
      </c>
      <c r="E27" s="239">
        <f t="shared" ca="1" si="105"/>
        <v>0</v>
      </c>
      <c r="F27" s="239">
        <f t="shared" ca="1" si="106"/>
        <v>0</v>
      </c>
      <c r="G27" s="239">
        <f t="shared" ca="1" si="107"/>
        <v>0</v>
      </c>
    </row>
    <row r="28" spans="1:164" ht="15.75" hidden="1" customHeight="1">
      <c r="A28" s="62">
        <f t="shared" si="109"/>
        <v>34</v>
      </c>
      <c r="B28" s="63">
        <f t="shared" si="110"/>
        <v>45523</v>
      </c>
      <c r="C28" s="63">
        <f t="shared" si="108"/>
        <v>45529</v>
      </c>
      <c r="D28" s="239">
        <f t="shared" ca="1" si="104"/>
        <v>0</v>
      </c>
      <c r="E28" s="239">
        <f t="shared" ca="1" si="105"/>
        <v>0</v>
      </c>
      <c r="F28" s="239">
        <f t="shared" ca="1" si="106"/>
        <v>0</v>
      </c>
      <c r="G28" s="239">
        <f t="shared" ca="1" si="107"/>
        <v>0</v>
      </c>
    </row>
    <row r="29" spans="1:164" ht="15.75" hidden="1" customHeight="1">
      <c r="A29" s="62">
        <f t="shared" si="109"/>
        <v>35</v>
      </c>
      <c r="B29" s="63">
        <f t="shared" si="110"/>
        <v>45530</v>
      </c>
      <c r="C29" s="63">
        <f t="shared" si="108"/>
        <v>45536</v>
      </c>
      <c r="D29" s="239">
        <f t="shared" ca="1" si="104"/>
        <v>0</v>
      </c>
      <c r="E29" s="239">
        <f t="shared" ca="1" si="105"/>
        <v>0</v>
      </c>
      <c r="F29" s="239">
        <f t="shared" ca="1" si="106"/>
        <v>0</v>
      </c>
      <c r="G29" s="239">
        <f t="shared" ca="1" si="107"/>
        <v>0</v>
      </c>
    </row>
    <row r="30" spans="1:164" ht="15.75" hidden="1" customHeight="1">
      <c r="A30" s="62">
        <f t="shared" si="109"/>
        <v>36</v>
      </c>
      <c r="B30" s="63">
        <f t="shared" si="110"/>
        <v>45537</v>
      </c>
      <c r="C30" s="63">
        <f t="shared" si="108"/>
        <v>45543</v>
      </c>
      <c r="D30" s="239">
        <f t="shared" ca="1" si="104"/>
        <v>0</v>
      </c>
      <c r="E30" s="239">
        <f t="shared" ca="1" si="105"/>
        <v>0</v>
      </c>
      <c r="F30" s="239">
        <f t="shared" ca="1" si="106"/>
        <v>0</v>
      </c>
      <c r="G30" s="239">
        <f t="shared" ca="1" si="107"/>
        <v>0</v>
      </c>
    </row>
    <row r="31" spans="1:164" ht="15.75" hidden="1" customHeight="1">
      <c r="A31" s="62">
        <f t="shared" si="109"/>
        <v>37</v>
      </c>
      <c r="B31" s="63">
        <f t="shared" si="110"/>
        <v>45544</v>
      </c>
      <c r="C31" s="63">
        <f t="shared" si="108"/>
        <v>45550</v>
      </c>
      <c r="D31" s="239">
        <f t="shared" ca="1" si="104"/>
        <v>0</v>
      </c>
      <c r="E31" s="239">
        <f t="shared" ca="1" si="105"/>
        <v>0</v>
      </c>
      <c r="F31" s="239">
        <f t="shared" ca="1" si="106"/>
        <v>0</v>
      </c>
      <c r="G31" s="239">
        <f t="shared" ca="1" si="107"/>
        <v>0</v>
      </c>
      <c r="AZ31" s="255"/>
    </row>
    <row r="32" spans="1:164" ht="15.75" hidden="1" customHeight="1">
      <c r="A32" s="62">
        <f t="shared" si="109"/>
        <v>38</v>
      </c>
      <c r="B32" s="63">
        <f t="shared" si="110"/>
        <v>45551</v>
      </c>
      <c r="C32" s="63">
        <f t="shared" si="108"/>
        <v>45557</v>
      </c>
      <c r="D32" s="239">
        <f t="shared" ca="1" si="104"/>
        <v>0</v>
      </c>
      <c r="E32" s="239">
        <f t="shared" ca="1" si="105"/>
        <v>0</v>
      </c>
      <c r="F32" s="239">
        <f t="shared" ca="1" si="106"/>
        <v>0</v>
      </c>
      <c r="G32" s="239">
        <f t="shared" ca="1" si="107"/>
        <v>0</v>
      </c>
    </row>
    <row r="33" spans="1:7" ht="15.75" hidden="1" customHeight="1">
      <c r="A33" s="62">
        <f t="shared" si="109"/>
        <v>39</v>
      </c>
      <c r="B33" s="63">
        <f t="shared" si="110"/>
        <v>45558</v>
      </c>
      <c r="C33" s="63">
        <f t="shared" si="108"/>
        <v>45564</v>
      </c>
      <c r="D33" s="239">
        <f t="shared" ca="1" si="104"/>
        <v>0</v>
      </c>
      <c r="E33" s="239">
        <f t="shared" ca="1" si="105"/>
        <v>0</v>
      </c>
      <c r="F33" s="239">
        <f t="shared" ca="1" si="106"/>
        <v>0</v>
      </c>
      <c r="G33" s="239">
        <f t="shared" ca="1" si="107"/>
        <v>0</v>
      </c>
    </row>
    <row r="34" spans="1:7" ht="15.75" hidden="1" customHeight="1">
      <c r="A34" s="62">
        <f t="shared" si="109"/>
        <v>40</v>
      </c>
      <c r="B34" s="63">
        <f t="shared" si="110"/>
        <v>45565</v>
      </c>
      <c r="C34" s="63">
        <f t="shared" si="108"/>
        <v>45571</v>
      </c>
      <c r="D34" s="239">
        <f t="shared" ca="1" si="104"/>
        <v>0</v>
      </c>
      <c r="E34" s="239">
        <f t="shared" ca="1" si="105"/>
        <v>0</v>
      </c>
      <c r="F34" s="239">
        <f t="shared" ca="1" si="106"/>
        <v>0</v>
      </c>
      <c r="G34" s="239">
        <f t="shared" ca="1" si="107"/>
        <v>0</v>
      </c>
    </row>
    <row r="35" spans="1:7" ht="15.75" hidden="1" customHeight="1">
      <c r="A35" s="62">
        <f t="shared" si="109"/>
        <v>41</v>
      </c>
      <c r="B35" s="63">
        <f t="shared" si="110"/>
        <v>45572</v>
      </c>
      <c r="C35" s="63">
        <f t="shared" si="108"/>
        <v>45578</v>
      </c>
      <c r="D35" s="239">
        <f t="shared" ca="1" si="104"/>
        <v>0</v>
      </c>
      <c r="E35" s="239">
        <f t="shared" ca="1" si="105"/>
        <v>0</v>
      </c>
      <c r="F35" s="239">
        <f t="shared" ca="1" si="106"/>
        <v>0</v>
      </c>
      <c r="G35" s="239">
        <f t="shared" ca="1" si="107"/>
        <v>0</v>
      </c>
    </row>
    <row r="36" spans="1:7" ht="15.75" hidden="1" customHeight="1">
      <c r="A36" s="62">
        <f t="shared" si="109"/>
        <v>42</v>
      </c>
      <c r="B36" s="63">
        <f t="shared" si="110"/>
        <v>45579</v>
      </c>
      <c r="C36" s="63">
        <f t="shared" si="108"/>
        <v>45585</v>
      </c>
      <c r="D36" s="239">
        <f t="shared" ca="1" si="104"/>
        <v>0</v>
      </c>
      <c r="E36" s="239">
        <f t="shared" ca="1" si="105"/>
        <v>0</v>
      </c>
      <c r="F36" s="239">
        <f t="shared" ca="1" si="106"/>
        <v>0</v>
      </c>
      <c r="G36" s="239">
        <f t="shared" ca="1" si="107"/>
        <v>0</v>
      </c>
    </row>
    <row r="37" spans="1:7" ht="15.75" hidden="1" customHeight="1">
      <c r="A37" s="62">
        <f t="shared" si="109"/>
        <v>43</v>
      </c>
      <c r="B37" s="63">
        <f t="shared" si="110"/>
        <v>45586</v>
      </c>
      <c r="C37" s="63">
        <f t="shared" si="108"/>
        <v>45592</v>
      </c>
      <c r="D37" s="239">
        <f t="shared" ca="1" si="104"/>
        <v>0</v>
      </c>
      <c r="E37" s="239">
        <f t="shared" ca="1" si="105"/>
        <v>0</v>
      </c>
      <c r="F37" s="239">
        <f t="shared" ca="1" si="106"/>
        <v>0</v>
      </c>
      <c r="G37" s="239">
        <f t="shared" ca="1" si="107"/>
        <v>0</v>
      </c>
    </row>
    <row r="38" spans="1:7" ht="15.75" hidden="1" customHeight="1">
      <c r="A38" s="62">
        <f t="shared" si="109"/>
        <v>44</v>
      </c>
      <c r="B38" s="63">
        <f t="shared" si="110"/>
        <v>45593</v>
      </c>
      <c r="C38" s="63">
        <f t="shared" si="108"/>
        <v>45599</v>
      </c>
      <c r="D38" s="239">
        <f t="shared" ca="1" si="104"/>
        <v>0</v>
      </c>
      <c r="E38" s="239">
        <f t="shared" ca="1" si="105"/>
        <v>0</v>
      </c>
      <c r="F38" s="239">
        <f t="shared" ca="1" si="106"/>
        <v>0</v>
      </c>
      <c r="G38" s="239">
        <f t="shared" ca="1" si="107"/>
        <v>0</v>
      </c>
    </row>
    <row r="39" spans="1:7" ht="15.75" hidden="1" customHeight="1">
      <c r="A39" s="62">
        <f t="shared" si="109"/>
        <v>45</v>
      </c>
      <c r="B39" s="63">
        <f t="shared" si="110"/>
        <v>45600</v>
      </c>
      <c r="C39" s="63">
        <f t="shared" si="108"/>
        <v>45606</v>
      </c>
      <c r="D39" s="239">
        <f t="shared" ca="1" si="104"/>
        <v>0</v>
      </c>
      <c r="E39" s="239">
        <f t="shared" ca="1" si="105"/>
        <v>0</v>
      </c>
      <c r="F39" s="239">
        <f t="shared" ca="1" si="106"/>
        <v>0</v>
      </c>
      <c r="G39" s="239">
        <f t="shared" ca="1" si="107"/>
        <v>0</v>
      </c>
    </row>
    <row r="40" spans="1:7" ht="15.75" hidden="1" customHeight="1">
      <c r="A40" s="62">
        <f t="shared" si="109"/>
        <v>46</v>
      </c>
      <c r="B40" s="63">
        <f t="shared" si="110"/>
        <v>45607</v>
      </c>
      <c r="C40" s="63">
        <f t="shared" si="108"/>
        <v>45613</v>
      </c>
      <c r="D40" s="239">
        <f t="shared" ca="1" si="104"/>
        <v>0</v>
      </c>
      <c r="E40" s="239">
        <f t="shared" ca="1" si="105"/>
        <v>0</v>
      </c>
      <c r="F40" s="239">
        <f t="shared" ca="1" si="106"/>
        <v>0</v>
      </c>
      <c r="G40" s="239">
        <f t="shared" ca="1" si="107"/>
        <v>0</v>
      </c>
    </row>
    <row r="41" spans="1:7" ht="15.75" hidden="1" customHeight="1">
      <c r="A41" s="62">
        <f t="shared" si="109"/>
        <v>47</v>
      </c>
      <c r="B41" s="63">
        <f t="shared" si="110"/>
        <v>45614</v>
      </c>
      <c r="C41" s="63">
        <f t="shared" si="108"/>
        <v>45620</v>
      </c>
      <c r="D41" s="239">
        <f t="shared" ca="1" si="104"/>
        <v>0</v>
      </c>
      <c r="E41" s="239">
        <f t="shared" ca="1" si="105"/>
        <v>0</v>
      </c>
      <c r="F41" s="239">
        <f t="shared" ca="1" si="106"/>
        <v>0</v>
      </c>
      <c r="G41" s="239">
        <f t="shared" ca="1" si="107"/>
        <v>0</v>
      </c>
    </row>
    <row r="42" spans="1:7" ht="15.75" hidden="1" customHeight="1">
      <c r="A42" s="62">
        <f t="shared" si="109"/>
        <v>48</v>
      </c>
      <c r="B42" s="63">
        <f t="shared" si="110"/>
        <v>45621</v>
      </c>
      <c r="C42" s="63">
        <f t="shared" si="108"/>
        <v>45627</v>
      </c>
      <c r="D42" s="239">
        <f t="shared" ca="1" si="104"/>
        <v>0</v>
      </c>
      <c r="E42" s="239">
        <f t="shared" ca="1" si="105"/>
        <v>0</v>
      </c>
      <c r="F42" s="239">
        <f t="shared" ca="1" si="106"/>
        <v>0</v>
      </c>
      <c r="G42" s="239">
        <f t="shared" ca="1" si="107"/>
        <v>0</v>
      </c>
    </row>
    <row r="43" spans="1:7" ht="15.75" hidden="1" customHeight="1">
      <c r="A43" s="62">
        <f t="shared" si="109"/>
        <v>49</v>
      </c>
      <c r="B43" s="63">
        <f t="shared" si="110"/>
        <v>45628</v>
      </c>
      <c r="C43" s="63">
        <f t="shared" si="108"/>
        <v>45634</v>
      </c>
      <c r="D43" s="239">
        <f t="shared" ca="1" si="104"/>
        <v>0</v>
      </c>
      <c r="E43" s="239">
        <f t="shared" ca="1" si="105"/>
        <v>0</v>
      </c>
      <c r="F43" s="239">
        <f t="shared" ca="1" si="106"/>
        <v>0</v>
      </c>
      <c r="G43" s="239">
        <f t="shared" ca="1" si="107"/>
        <v>0</v>
      </c>
    </row>
    <row r="44" spans="1:7" ht="15.75" hidden="1" customHeight="1">
      <c r="A44" s="62">
        <f t="shared" si="109"/>
        <v>50</v>
      </c>
      <c r="B44" s="63">
        <f t="shared" si="110"/>
        <v>45635</v>
      </c>
      <c r="C44" s="63">
        <f t="shared" si="108"/>
        <v>45641</v>
      </c>
      <c r="D44" s="239">
        <f t="shared" ca="1" si="104"/>
        <v>0</v>
      </c>
      <c r="E44" s="239">
        <f t="shared" ca="1" si="105"/>
        <v>0</v>
      </c>
      <c r="F44" s="239">
        <f t="shared" ca="1" si="106"/>
        <v>0</v>
      </c>
      <c r="G44" s="239">
        <f t="shared" ca="1" si="107"/>
        <v>0</v>
      </c>
    </row>
    <row r="45" spans="1:7" ht="15.75" hidden="1" customHeight="1">
      <c r="A45" s="62">
        <f t="shared" si="109"/>
        <v>51</v>
      </c>
      <c r="B45" s="63">
        <f t="shared" si="110"/>
        <v>45642</v>
      </c>
      <c r="C45" s="63">
        <f t="shared" si="108"/>
        <v>45648</v>
      </c>
      <c r="D45" s="239">
        <f t="shared" ref="D45:D92" ca="1" si="111">SUMIFS(TOTAL,FECHA_RETIRO_VALORES,"&gt;="&amp;B45,FECHA_RETIRO_VALORES,"&lt;="&amp;C45)</f>
        <v>0</v>
      </c>
      <c r="E45" s="239">
        <f t="shared" ref="E45:E92" ca="1" si="112">SUMIFS(VALORES_COBRADOS,FECHA_RETIRO_VALORES,"&gt;="&amp;B45,FECHA_RETIRO_VALORES,"&lt;="&amp;C45)+SUMIFS(VALORES_EN_CARTERA,FECHA_RETIRO_VALORES,"&gt;="&amp;B45,FECHA_RETIRO_VALORES,"&lt;="&amp;C45)</f>
        <v>0</v>
      </c>
      <c r="F45" s="239">
        <f t="shared" ref="F45:F76" ca="1" si="113">SUMIFS(PENDIENTE_DE_ENTREGA,FECHA_RETIRO_VALORES,"&gt;="&amp;B45,FECHA_RETIRO_VALORES,"&lt;="&amp;C45,ESTADO_ENTREGA,"PENDIENTE")</f>
        <v>0</v>
      </c>
      <c r="G45" s="239">
        <f t="shared" ref="G45:G75" ca="1" si="114">SUMIFS(PENDIENTE_DE_COBRO,FECHA_RETIRO_VALORES,"&gt;="&amp;B45,FECHA_RETIRO_VALORES,"&lt;="&amp;C45,ESTADO_ENTREGA,"ENTREGADO")</f>
        <v>0</v>
      </c>
    </row>
    <row r="46" spans="1:7" ht="15.75" hidden="1" customHeight="1">
      <c r="A46" s="62">
        <f t="shared" si="109"/>
        <v>52</v>
      </c>
      <c r="B46" s="63">
        <f t="shared" si="110"/>
        <v>45649</v>
      </c>
      <c r="C46" s="63">
        <f t="shared" si="108"/>
        <v>45655</v>
      </c>
      <c r="D46" s="239">
        <f t="shared" ca="1" si="111"/>
        <v>0</v>
      </c>
      <c r="E46" s="239">
        <f t="shared" ca="1" si="112"/>
        <v>0</v>
      </c>
      <c r="F46" s="239">
        <f t="shared" ca="1" si="113"/>
        <v>0</v>
      </c>
      <c r="G46" s="239">
        <f t="shared" ca="1" si="114"/>
        <v>0</v>
      </c>
    </row>
    <row r="47" spans="1:7" ht="15.75" hidden="1" customHeight="1">
      <c r="A47" s="62">
        <f t="shared" si="109"/>
        <v>53</v>
      </c>
      <c r="B47" s="63">
        <f t="shared" si="110"/>
        <v>45656</v>
      </c>
      <c r="C47" s="63">
        <f t="shared" si="108"/>
        <v>45662</v>
      </c>
      <c r="D47" s="239">
        <f t="shared" ca="1" si="111"/>
        <v>0</v>
      </c>
      <c r="E47" s="239">
        <f t="shared" ca="1" si="112"/>
        <v>0</v>
      </c>
      <c r="F47" s="239">
        <f t="shared" ca="1" si="113"/>
        <v>0</v>
      </c>
      <c r="G47" s="239">
        <f t="shared" ca="1" si="114"/>
        <v>0</v>
      </c>
    </row>
    <row r="48" spans="1:7" ht="15.75" hidden="1" customHeight="1">
      <c r="A48" s="62">
        <f t="shared" si="109"/>
        <v>2</v>
      </c>
      <c r="B48" s="63">
        <f t="shared" si="110"/>
        <v>45663</v>
      </c>
      <c r="C48" s="63">
        <f t="shared" si="108"/>
        <v>45669</v>
      </c>
      <c r="D48" s="239">
        <f t="shared" ca="1" si="111"/>
        <v>0</v>
      </c>
      <c r="E48" s="239">
        <f t="shared" ca="1" si="112"/>
        <v>0</v>
      </c>
      <c r="F48" s="239">
        <f t="shared" ca="1" si="113"/>
        <v>0</v>
      </c>
      <c r="G48" s="239">
        <f t="shared" ca="1" si="114"/>
        <v>0</v>
      </c>
    </row>
    <row r="49" spans="1:7" ht="15.75" hidden="1" customHeight="1">
      <c r="A49" s="62">
        <f t="shared" si="109"/>
        <v>3</v>
      </c>
      <c r="B49" s="63">
        <f t="shared" si="110"/>
        <v>45670</v>
      </c>
      <c r="C49" s="63">
        <f t="shared" si="108"/>
        <v>45676</v>
      </c>
      <c r="D49" s="239">
        <f t="shared" ca="1" si="111"/>
        <v>0</v>
      </c>
      <c r="E49" s="239">
        <f t="shared" ca="1" si="112"/>
        <v>0</v>
      </c>
      <c r="F49" s="239">
        <f t="shared" ca="1" si="113"/>
        <v>0</v>
      </c>
      <c r="G49" s="239">
        <f t="shared" ca="1" si="114"/>
        <v>0</v>
      </c>
    </row>
    <row r="50" spans="1:7" ht="15.75" hidden="1" customHeight="1">
      <c r="A50" s="62">
        <f t="shared" si="109"/>
        <v>4</v>
      </c>
      <c r="B50" s="63">
        <f t="shared" si="110"/>
        <v>45677</v>
      </c>
      <c r="C50" s="63">
        <f t="shared" si="108"/>
        <v>45683</v>
      </c>
      <c r="D50" s="239">
        <f t="shared" ca="1" si="111"/>
        <v>0</v>
      </c>
      <c r="E50" s="239">
        <f t="shared" ca="1" si="112"/>
        <v>0</v>
      </c>
      <c r="F50" s="239">
        <f t="shared" ca="1" si="113"/>
        <v>0</v>
      </c>
      <c r="G50" s="239">
        <f t="shared" ca="1" si="114"/>
        <v>0</v>
      </c>
    </row>
    <row r="51" spans="1:7" ht="15.75" hidden="1" customHeight="1">
      <c r="A51" s="62">
        <f t="shared" si="109"/>
        <v>5</v>
      </c>
      <c r="B51" s="63">
        <f t="shared" si="110"/>
        <v>45684</v>
      </c>
      <c r="C51" s="63">
        <f t="shared" si="108"/>
        <v>45690</v>
      </c>
      <c r="D51" s="239">
        <f t="shared" ca="1" si="111"/>
        <v>0</v>
      </c>
      <c r="E51" s="239">
        <f t="shared" ca="1" si="112"/>
        <v>0</v>
      </c>
      <c r="F51" s="239">
        <f t="shared" ca="1" si="113"/>
        <v>0</v>
      </c>
      <c r="G51" s="239">
        <f t="shared" ca="1" si="114"/>
        <v>0</v>
      </c>
    </row>
    <row r="52" spans="1:7" ht="15.75" hidden="1" customHeight="1">
      <c r="A52" s="62">
        <f t="shared" si="109"/>
        <v>6</v>
      </c>
      <c r="B52" s="63">
        <f t="shared" si="110"/>
        <v>45691</v>
      </c>
      <c r="C52" s="63">
        <f t="shared" si="108"/>
        <v>45697</v>
      </c>
      <c r="D52" s="239">
        <f t="shared" ca="1" si="111"/>
        <v>0</v>
      </c>
      <c r="E52" s="239">
        <f t="shared" ca="1" si="112"/>
        <v>0</v>
      </c>
      <c r="F52" s="239">
        <f t="shared" ca="1" si="113"/>
        <v>0</v>
      </c>
      <c r="G52" s="239">
        <f t="shared" ca="1" si="114"/>
        <v>0</v>
      </c>
    </row>
    <row r="53" spans="1:7" ht="15.75" hidden="1" customHeight="1">
      <c r="A53" s="62">
        <f t="shared" si="109"/>
        <v>7</v>
      </c>
      <c r="B53" s="63">
        <f t="shared" si="110"/>
        <v>45698</v>
      </c>
      <c r="C53" s="63">
        <f t="shared" si="108"/>
        <v>45704</v>
      </c>
      <c r="D53" s="239">
        <f t="shared" ca="1" si="111"/>
        <v>0</v>
      </c>
      <c r="E53" s="239">
        <f t="shared" ca="1" si="112"/>
        <v>0</v>
      </c>
      <c r="F53" s="239">
        <f t="shared" ca="1" si="113"/>
        <v>0</v>
      </c>
      <c r="G53" s="239">
        <f t="shared" ca="1" si="114"/>
        <v>0</v>
      </c>
    </row>
    <row r="54" spans="1:7" ht="15.75" hidden="1" customHeight="1">
      <c r="A54" s="62">
        <f t="shared" si="109"/>
        <v>8</v>
      </c>
      <c r="B54" s="63">
        <f t="shared" si="110"/>
        <v>45705</v>
      </c>
      <c r="C54" s="63">
        <f t="shared" si="108"/>
        <v>45711</v>
      </c>
      <c r="D54" s="239">
        <f t="shared" ca="1" si="111"/>
        <v>0</v>
      </c>
      <c r="E54" s="239">
        <f t="shared" ca="1" si="112"/>
        <v>0</v>
      </c>
      <c r="F54" s="239">
        <f t="shared" ca="1" si="113"/>
        <v>0</v>
      </c>
      <c r="G54" s="239">
        <f t="shared" ca="1" si="114"/>
        <v>0</v>
      </c>
    </row>
    <row r="55" spans="1:7" ht="15.75" hidden="1" customHeight="1">
      <c r="A55" s="62">
        <f t="shared" si="109"/>
        <v>9</v>
      </c>
      <c r="B55" s="63">
        <f t="shared" si="110"/>
        <v>45712</v>
      </c>
      <c r="C55" s="63">
        <f t="shared" si="108"/>
        <v>45718</v>
      </c>
      <c r="D55" s="239">
        <f t="shared" ca="1" si="111"/>
        <v>0</v>
      </c>
      <c r="E55" s="239">
        <f t="shared" ca="1" si="112"/>
        <v>0</v>
      </c>
      <c r="F55" s="239">
        <f t="shared" ca="1" si="113"/>
        <v>0</v>
      </c>
      <c r="G55" s="239">
        <f t="shared" ca="1" si="114"/>
        <v>0</v>
      </c>
    </row>
    <row r="56" spans="1:7" ht="15.75" hidden="1" customHeight="1">
      <c r="A56" s="62">
        <f t="shared" si="109"/>
        <v>10</v>
      </c>
      <c r="B56" s="63">
        <f t="shared" si="110"/>
        <v>45719</v>
      </c>
      <c r="C56" s="63">
        <f t="shared" si="108"/>
        <v>45725</v>
      </c>
      <c r="D56" s="239">
        <f t="shared" ca="1" si="111"/>
        <v>0</v>
      </c>
      <c r="E56" s="239">
        <f t="shared" ca="1" si="112"/>
        <v>0</v>
      </c>
      <c r="F56" s="239">
        <f t="shared" ca="1" si="113"/>
        <v>0</v>
      </c>
      <c r="G56" s="239">
        <f t="shared" ca="1" si="114"/>
        <v>0</v>
      </c>
    </row>
    <row r="57" spans="1:7" ht="15.75" hidden="1" customHeight="1">
      <c r="A57" s="62">
        <f t="shared" si="109"/>
        <v>11</v>
      </c>
      <c r="B57" s="63">
        <f t="shared" si="110"/>
        <v>45726</v>
      </c>
      <c r="C57" s="63">
        <f t="shared" si="108"/>
        <v>45732</v>
      </c>
      <c r="D57" s="239">
        <f t="shared" ca="1" si="111"/>
        <v>0</v>
      </c>
      <c r="E57" s="239">
        <f t="shared" ca="1" si="112"/>
        <v>0</v>
      </c>
      <c r="F57" s="239">
        <f t="shared" ca="1" si="113"/>
        <v>0</v>
      </c>
      <c r="G57" s="239">
        <f t="shared" ca="1" si="114"/>
        <v>0</v>
      </c>
    </row>
    <row r="58" spans="1:7" ht="15.75" hidden="1" customHeight="1">
      <c r="A58" s="62">
        <f t="shared" si="109"/>
        <v>12</v>
      </c>
      <c r="B58" s="63">
        <f t="shared" si="110"/>
        <v>45733</v>
      </c>
      <c r="C58" s="63">
        <f t="shared" si="108"/>
        <v>45739</v>
      </c>
      <c r="D58" s="239">
        <f t="shared" ca="1" si="111"/>
        <v>0</v>
      </c>
      <c r="E58" s="239">
        <f t="shared" ca="1" si="112"/>
        <v>0</v>
      </c>
      <c r="F58" s="239">
        <f t="shared" ca="1" si="113"/>
        <v>0</v>
      </c>
      <c r="G58" s="239">
        <f t="shared" ca="1" si="114"/>
        <v>0</v>
      </c>
    </row>
    <row r="59" spans="1:7" ht="15.75" hidden="1" customHeight="1">
      <c r="A59" s="62">
        <f t="shared" si="109"/>
        <v>13</v>
      </c>
      <c r="B59" s="63">
        <f t="shared" si="110"/>
        <v>45740</v>
      </c>
      <c r="C59" s="63">
        <f t="shared" si="108"/>
        <v>45746</v>
      </c>
      <c r="D59" s="239">
        <f t="shared" ca="1" si="111"/>
        <v>0</v>
      </c>
      <c r="E59" s="239">
        <f t="shared" ca="1" si="112"/>
        <v>0</v>
      </c>
      <c r="F59" s="239">
        <f t="shared" ca="1" si="113"/>
        <v>0</v>
      </c>
      <c r="G59" s="239">
        <f t="shared" ca="1" si="114"/>
        <v>0</v>
      </c>
    </row>
    <row r="60" spans="1:7" ht="15.75" hidden="1" customHeight="1">
      <c r="A60" s="62">
        <f t="shared" si="109"/>
        <v>14</v>
      </c>
      <c r="B60" s="63">
        <f t="shared" si="110"/>
        <v>45747</v>
      </c>
      <c r="C60" s="63">
        <f t="shared" si="108"/>
        <v>45753</v>
      </c>
      <c r="D60" s="239">
        <f t="shared" ca="1" si="111"/>
        <v>0</v>
      </c>
      <c r="E60" s="239">
        <f t="shared" ca="1" si="112"/>
        <v>0</v>
      </c>
      <c r="F60" s="239">
        <f t="shared" ca="1" si="113"/>
        <v>0</v>
      </c>
      <c r="G60" s="239">
        <f t="shared" ca="1" si="114"/>
        <v>0</v>
      </c>
    </row>
    <row r="61" spans="1:7" ht="15.75" hidden="1" customHeight="1">
      <c r="A61" s="62">
        <f t="shared" si="109"/>
        <v>15</v>
      </c>
      <c r="B61" s="63">
        <f t="shared" si="110"/>
        <v>45754</v>
      </c>
      <c r="C61" s="63">
        <f t="shared" si="108"/>
        <v>45760</v>
      </c>
      <c r="D61" s="239">
        <f t="shared" ca="1" si="111"/>
        <v>0</v>
      </c>
      <c r="E61" s="239">
        <f t="shared" ca="1" si="112"/>
        <v>0</v>
      </c>
      <c r="F61" s="239">
        <f t="shared" ca="1" si="113"/>
        <v>0</v>
      </c>
      <c r="G61" s="239">
        <f t="shared" ca="1" si="114"/>
        <v>0</v>
      </c>
    </row>
    <row r="62" spans="1:7" ht="15.75" hidden="1" customHeight="1">
      <c r="A62" s="62">
        <f t="shared" si="109"/>
        <v>16</v>
      </c>
      <c r="B62" s="63">
        <f t="shared" si="110"/>
        <v>45761</v>
      </c>
      <c r="C62" s="63">
        <f t="shared" si="108"/>
        <v>45767</v>
      </c>
      <c r="D62" s="239">
        <f t="shared" ca="1" si="111"/>
        <v>0</v>
      </c>
      <c r="E62" s="239">
        <f t="shared" ca="1" si="112"/>
        <v>0</v>
      </c>
      <c r="F62" s="239">
        <f t="shared" ca="1" si="113"/>
        <v>0</v>
      </c>
      <c r="G62" s="239">
        <f t="shared" ca="1" si="114"/>
        <v>0</v>
      </c>
    </row>
    <row r="63" spans="1:7" ht="15.75" hidden="1" customHeight="1">
      <c r="A63" s="62">
        <f t="shared" si="109"/>
        <v>17</v>
      </c>
      <c r="B63" s="63">
        <f t="shared" si="110"/>
        <v>45768</v>
      </c>
      <c r="C63" s="63">
        <f t="shared" si="108"/>
        <v>45774</v>
      </c>
      <c r="D63" s="239">
        <f t="shared" ca="1" si="111"/>
        <v>0</v>
      </c>
      <c r="E63" s="239">
        <f t="shared" ca="1" si="112"/>
        <v>0</v>
      </c>
      <c r="F63" s="239">
        <f t="shared" ca="1" si="113"/>
        <v>0</v>
      </c>
      <c r="G63" s="239">
        <f t="shared" ca="1" si="114"/>
        <v>0</v>
      </c>
    </row>
    <row r="64" spans="1:7" ht="15.75" hidden="1" customHeight="1">
      <c r="A64" s="62">
        <f t="shared" si="109"/>
        <v>18</v>
      </c>
      <c r="B64" s="63">
        <f t="shared" si="110"/>
        <v>45775</v>
      </c>
      <c r="C64" s="63">
        <f t="shared" si="108"/>
        <v>45781</v>
      </c>
      <c r="D64" s="239">
        <f t="shared" ca="1" si="111"/>
        <v>0</v>
      </c>
      <c r="E64" s="239">
        <f t="shared" ca="1" si="112"/>
        <v>0</v>
      </c>
      <c r="F64" s="239">
        <f t="shared" ca="1" si="113"/>
        <v>0</v>
      </c>
      <c r="G64" s="239">
        <f t="shared" ca="1" si="114"/>
        <v>0</v>
      </c>
    </row>
    <row r="65" spans="1:164" ht="15.75" hidden="1" customHeight="1">
      <c r="A65" s="62">
        <f t="shared" si="109"/>
        <v>19</v>
      </c>
      <c r="B65" s="63">
        <f t="shared" si="110"/>
        <v>45782</v>
      </c>
      <c r="C65" s="63">
        <f t="shared" si="108"/>
        <v>45788</v>
      </c>
      <c r="D65" s="239">
        <f t="shared" ca="1" si="111"/>
        <v>0</v>
      </c>
      <c r="E65" s="239">
        <f t="shared" ca="1" si="112"/>
        <v>0</v>
      </c>
      <c r="F65" s="239">
        <f t="shared" ca="1" si="113"/>
        <v>0</v>
      </c>
      <c r="G65" s="239">
        <f t="shared" ca="1" si="114"/>
        <v>0</v>
      </c>
    </row>
    <row r="66" spans="1:164" s="288" customFormat="1" ht="15.75" hidden="1" customHeight="1">
      <c r="A66" s="62">
        <f t="shared" ref="A66:A76" si="115">WEEKNUM(B66)</f>
        <v>20</v>
      </c>
      <c r="B66" s="63">
        <f t="shared" si="110"/>
        <v>45789</v>
      </c>
      <c r="C66" s="63">
        <f>+B66+6</f>
        <v>45795</v>
      </c>
      <c r="D66" s="239">
        <f t="shared" ca="1" si="111"/>
        <v>0</v>
      </c>
      <c r="E66" s="239">
        <f t="shared" ca="1" si="112"/>
        <v>0</v>
      </c>
      <c r="F66" s="239">
        <f t="shared" ca="1" si="113"/>
        <v>0</v>
      </c>
      <c r="G66" s="239">
        <f t="shared" ca="1" si="114"/>
        <v>0</v>
      </c>
      <c r="I66" s="237"/>
      <c r="J66" s="374"/>
      <c r="K66" s="374"/>
      <c r="L66" s="374"/>
      <c r="M66" s="374"/>
      <c r="AV66" s="235"/>
      <c r="AW66" s="235"/>
      <c r="AX66" s="235"/>
      <c r="AY66" s="235"/>
      <c r="AZ66" s="235"/>
      <c r="BA66" s="235"/>
      <c r="BB66" s="235"/>
      <c r="BC66" s="235"/>
      <c r="BD66" s="235"/>
      <c r="BE66" s="235"/>
      <c r="BF66" s="235"/>
      <c r="BG66" s="235"/>
      <c r="BH66" s="235"/>
      <c r="BI66" s="235"/>
      <c r="BJ66" s="235"/>
      <c r="BK66" s="235"/>
      <c r="BL66" s="235"/>
      <c r="BM66" s="235"/>
      <c r="BN66" s="235"/>
      <c r="BO66" s="235"/>
      <c r="BP66" s="235"/>
      <c r="BQ66" s="235"/>
      <c r="BS66" s="374"/>
      <c r="BV66" s="481"/>
      <c r="BW66" s="489"/>
      <c r="BX66" s="489"/>
      <c r="BY66" s="489"/>
      <c r="BZ66" s="492"/>
      <c r="CA66" s="492"/>
      <c r="CB66" s="492"/>
      <c r="CC66" s="497"/>
      <c r="CD66" s="497"/>
      <c r="CE66" s="497"/>
      <c r="CF66" s="497"/>
      <c r="CG66" s="497"/>
      <c r="CH66" s="518"/>
      <c r="CI66" s="518"/>
      <c r="CJ66" s="521"/>
      <c r="CK66" s="521"/>
      <c r="CL66" s="521"/>
      <c r="CM66" s="521"/>
      <c r="CN66" s="542"/>
      <c r="CO66" s="542"/>
      <c r="CP66" s="542"/>
      <c r="CQ66" s="542"/>
      <c r="CR66" s="542"/>
      <c r="CS66" s="699"/>
      <c r="CT66" s="699"/>
      <c r="CU66" s="725"/>
      <c r="CV66" s="725"/>
      <c r="CW66" s="725"/>
      <c r="CX66" s="725"/>
      <c r="CY66" s="725"/>
      <c r="CZ66" s="725"/>
      <c r="DA66" s="780"/>
      <c r="DB66" s="780"/>
      <c r="DC66" s="780"/>
      <c r="DD66" s="780"/>
      <c r="DE66" s="780"/>
      <c r="DF66" s="780"/>
      <c r="DG66" s="780"/>
      <c r="DH66" s="780"/>
      <c r="DI66" s="780"/>
      <c r="DJ66" s="780"/>
      <c r="DK66" s="780"/>
      <c r="DL66" s="780"/>
      <c r="DM66" s="780"/>
      <c r="DN66" s="780"/>
      <c r="DO66" s="780"/>
      <c r="DP66" s="780"/>
      <c r="DQ66" s="780"/>
      <c r="DR66" s="780"/>
      <c r="DS66" s="780"/>
      <c r="DT66" s="780"/>
      <c r="DU66" s="780"/>
      <c r="DV66" s="780"/>
      <c r="DW66" s="780"/>
      <c r="DX66" s="780"/>
      <c r="DY66" s="780"/>
      <c r="DZ66" s="780"/>
      <c r="EA66" s="780"/>
      <c r="EB66" s="780"/>
      <c r="EC66" s="780"/>
      <c r="ED66" s="780"/>
      <c r="EE66" s="780"/>
      <c r="EF66" s="780"/>
      <c r="EG66" s="780"/>
      <c r="EH66" s="780"/>
      <c r="EI66" s="780"/>
      <c r="EJ66" s="780"/>
      <c r="EK66" s="780"/>
      <c r="EL66" s="780"/>
      <c r="EM66" s="780"/>
      <c r="EN66" s="780"/>
      <c r="EO66" s="780"/>
      <c r="EP66" s="780"/>
      <c r="EQ66" s="780"/>
      <c r="ER66" s="780"/>
      <c r="ES66" s="780"/>
      <c r="ET66" s="780"/>
      <c r="EU66" s="780"/>
      <c r="EV66" s="780"/>
      <c r="EW66" s="780"/>
      <c r="EX66" s="780"/>
      <c r="EY66" s="780"/>
      <c r="EZ66" s="780"/>
      <c r="FA66" s="780"/>
      <c r="FB66" s="780"/>
      <c r="FC66" s="780"/>
      <c r="FD66" s="780"/>
      <c r="FE66" s="780"/>
      <c r="FF66" s="780"/>
      <c r="FG66" s="780"/>
      <c r="FH66" s="780"/>
    </row>
    <row r="67" spans="1:164" s="288" customFormat="1" ht="15.75" hidden="1" customHeight="1">
      <c r="A67" s="62">
        <f t="shared" si="115"/>
        <v>21</v>
      </c>
      <c r="B67" s="63">
        <f t="shared" si="110"/>
        <v>45796</v>
      </c>
      <c r="C67" s="63">
        <f t="shared" ref="C67:C94" si="116">+B67+6</f>
        <v>45802</v>
      </c>
      <c r="D67" s="239">
        <f t="shared" ca="1" si="111"/>
        <v>0</v>
      </c>
      <c r="E67" s="239">
        <f t="shared" ca="1" si="112"/>
        <v>0</v>
      </c>
      <c r="F67" s="239">
        <f t="shared" ca="1" si="113"/>
        <v>0</v>
      </c>
      <c r="G67" s="239">
        <f t="shared" ca="1" si="114"/>
        <v>0</v>
      </c>
      <c r="I67" s="237"/>
      <c r="J67" s="374"/>
      <c r="K67" s="374"/>
      <c r="L67" s="374"/>
      <c r="M67" s="374"/>
      <c r="AV67" s="235"/>
      <c r="AW67" s="235"/>
      <c r="AX67" s="235"/>
      <c r="AY67" s="235"/>
      <c r="AZ67" s="235"/>
      <c r="BA67" s="235"/>
      <c r="BB67" s="235"/>
      <c r="BC67" s="235"/>
      <c r="BD67" s="235"/>
      <c r="BE67" s="235"/>
      <c r="BF67" s="235"/>
      <c r="BG67" s="235"/>
      <c r="BH67" s="235"/>
      <c r="BI67" s="235"/>
      <c r="BJ67" s="235"/>
      <c r="BK67" s="235"/>
      <c r="BL67" s="235"/>
      <c r="BM67" s="235"/>
      <c r="BN67" s="235"/>
      <c r="BO67" s="235"/>
      <c r="BP67" s="235"/>
      <c r="BQ67" s="235"/>
      <c r="BS67" s="374"/>
      <c r="BV67" s="481"/>
      <c r="BW67" s="489"/>
      <c r="BX67" s="489"/>
      <c r="BY67" s="489"/>
      <c r="BZ67" s="492"/>
      <c r="CA67" s="492"/>
      <c r="CB67" s="492"/>
      <c r="CC67" s="497"/>
      <c r="CD67" s="497"/>
      <c r="CE67" s="497"/>
      <c r="CF67" s="497"/>
      <c r="CG67" s="497"/>
      <c r="CH67" s="518"/>
      <c r="CI67" s="518"/>
      <c r="CJ67" s="521"/>
      <c r="CK67" s="521"/>
      <c r="CL67" s="521"/>
      <c r="CM67" s="521"/>
      <c r="CN67" s="542"/>
      <c r="CO67" s="542"/>
      <c r="CP67" s="542"/>
      <c r="CQ67" s="542"/>
      <c r="CR67" s="542"/>
      <c r="CS67" s="699"/>
      <c r="CT67" s="699"/>
      <c r="CU67" s="725"/>
      <c r="CV67" s="725"/>
      <c r="CW67" s="725"/>
      <c r="CX67" s="725"/>
      <c r="CY67" s="725"/>
      <c r="CZ67" s="725"/>
      <c r="DA67" s="780"/>
      <c r="DB67" s="780"/>
      <c r="DC67" s="780"/>
      <c r="DD67" s="780"/>
      <c r="DE67" s="780"/>
      <c r="DF67" s="780"/>
      <c r="DG67" s="780"/>
      <c r="DH67" s="780"/>
      <c r="DI67" s="780"/>
      <c r="DJ67" s="780"/>
      <c r="DK67" s="780"/>
      <c r="DL67" s="780"/>
      <c r="DM67" s="780"/>
      <c r="DN67" s="780"/>
      <c r="DO67" s="780"/>
      <c r="DP67" s="780"/>
      <c r="DQ67" s="780"/>
      <c r="DR67" s="780"/>
      <c r="DS67" s="780"/>
      <c r="DT67" s="780"/>
      <c r="DU67" s="780"/>
      <c r="DV67" s="780"/>
      <c r="DW67" s="780"/>
      <c r="DX67" s="780"/>
      <c r="DY67" s="780"/>
      <c r="DZ67" s="780"/>
      <c r="EA67" s="780"/>
      <c r="EB67" s="780"/>
      <c r="EC67" s="780"/>
      <c r="ED67" s="780"/>
      <c r="EE67" s="780"/>
      <c r="EF67" s="780"/>
      <c r="EG67" s="780"/>
      <c r="EH67" s="780"/>
      <c r="EI67" s="780"/>
      <c r="EJ67" s="780"/>
      <c r="EK67" s="780"/>
      <c r="EL67" s="780"/>
      <c r="EM67" s="780"/>
      <c r="EN67" s="780"/>
      <c r="EO67" s="780"/>
      <c r="EP67" s="780"/>
      <c r="EQ67" s="780"/>
      <c r="ER67" s="780"/>
      <c r="ES67" s="780"/>
      <c r="ET67" s="780"/>
      <c r="EU67" s="780"/>
      <c r="EV67" s="780"/>
      <c r="EW67" s="780"/>
      <c r="EX67" s="780"/>
      <c r="EY67" s="780"/>
      <c r="EZ67" s="780"/>
      <c r="FA67" s="780"/>
      <c r="FB67" s="780"/>
      <c r="FC67" s="780"/>
      <c r="FD67" s="780"/>
      <c r="FE67" s="780"/>
      <c r="FF67" s="780"/>
      <c r="FG67" s="780"/>
      <c r="FH67" s="780"/>
    </row>
    <row r="68" spans="1:164" s="288" customFormat="1" ht="15.75" hidden="1" customHeight="1">
      <c r="A68" s="62">
        <f t="shared" si="115"/>
        <v>22</v>
      </c>
      <c r="B68" s="63">
        <f t="shared" si="110"/>
        <v>45803</v>
      </c>
      <c r="C68" s="63">
        <f t="shared" si="116"/>
        <v>45809</v>
      </c>
      <c r="D68" s="239">
        <f t="shared" ca="1" si="111"/>
        <v>0</v>
      </c>
      <c r="E68" s="239">
        <f t="shared" ca="1" si="112"/>
        <v>0</v>
      </c>
      <c r="F68" s="239">
        <f t="shared" ca="1" si="113"/>
        <v>0</v>
      </c>
      <c r="G68" s="239">
        <f t="shared" ca="1" si="114"/>
        <v>0</v>
      </c>
      <c r="I68" s="237"/>
      <c r="J68" s="374"/>
      <c r="K68" s="374"/>
      <c r="L68" s="374"/>
      <c r="M68" s="374"/>
      <c r="AV68" s="235"/>
      <c r="AW68" s="235"/>
      <c r="AX68" s="235"/>
      <c r="AY68" s="235"/>
      <c r="AZ68" s="235"/>
      <c r="BA68" s="235"/>
      <c r="BB68" s="235"/>
      <c r="BC68" s="235"/>
      <c r="BD68" s="235"/>
      <c r="BE68" s="235"/>
      <c r="BF68" s="235"/>
      <c r="BG68" s="235"/>
      <c r="BH68" s="235"/>
      <c r="BI68" s="235"/>
      <c r="BJ68" s="235"/>
      <c r="BK68" s="235"/>
      <c r="BL68" s="235"/>
      <c r="BM68" s="235"/>
      <c r="BN68" s="235"/>
      <c r="BO68" s="235"/>
      <c r="BP68" s="235"/>
      <c r="BQ68" s="235"/>
      <c r="BS68" s="374"/>
      <c r="BV68" s="481"/>
      <c r="BW68" s="489"/>
      <c r="BX68" s="489"/>
      <c r="BY68" s="489"/>
      <c r="BZ68" s="492"/>
      <c r="CA68" s="492"/>
      <c r="CB68" s="492"/>
      <c r="CC68" s="497"/>
      <c r="CD68" s="497"/>
      <c r="CE68" s="497"/>
      <c r="CF68" s="497"/>
      <c r="CG68" s="497"/>
      <c r="CH68" s="518"/>
      <c r="CI68" s="518"/>
      <c r="CJ68" s="521"/>
      <c r="CK68" s="521"/>
      <c r="CL68" s="521"/>
      <c r="CM68" s="521"/>
      <c r="CN68" s="542"/>
      <c r="CO68" s="542"/>
      <c r="CP68" s="542"/>
      <c r="CQ68" s="542"/>
      <c r="CR68" s="542"/>
      <c r="CS68" s="699"/>
      <c r="CT68" s="699"/>
      <c r="CU68" s="725"/>
      <c r="CV68" s="725"/>
      <c r="CW68" s="725"/>
      <c r="CX68" s="725"/>
      <c r="CY68" s="725"/>
      <c r="CZ68" s="725"/>
      <c r="DA68" s="780"/>
      <c r="DB68" s="780"/>
      <c r="DC68" s="780"/>
      <c r="DD68" s="780"/>
      <c r="DE68" s="780"/>
      <c r="DF68" s="780"/>
      <c r="DG68" s="780"/>
      <c r="DH68" s="780"/>
      <c r="DI68" s="780"/>
      <c r="DJ68" s="780"/>
      <c r="DK68" s="780"/>
      <c r="DL68" s="780"/>
      <c r="DM68" s="780"/>
      <c r="DN68" s="780"/>
      <c r="DO68" s="780"/>
      <c r="DP68" s="780"/>
      <c r="DQ68" s="780"/>
      <c r="DR68" s="780"/>
      <c r="DS68" s="780"/>
      <c r="DT68" s="780"/>
      <c r="DU68" s="780"/>
      <c r="DV68" s="780"/>
      <c r="DW68" s="780"/>
      <c r="DX68" s="780"/>
      <c r="DY68" s="780"/>
      <c r="DZ68" s="780"/>
      <c r="EA68" s="780"/>
      <c r="EB68" s="780"/>
      <c r="EC68" s="780"/>
      <c r="ED68" s="780"/>
      <c r="EE68" s="780"/>
      <c r="EF68" s="780"/>
      <c r="EG68" s="780"/>
      <c r="EH68" s="780"/>
      <c r="EI68" s="780"/>
      <c r="EJ68" s="780"/>
      <c r="EK68" s="780"/>
      <c r="EL68" s="780"/>
      <c r="EM68" s="780"/>
      <c r="EN68" s="780"/>
      <c r="EO68" s="780"/>
      <c r="EP68" s="780"/>
      <c r="EQ68" s="780"/>
      <c r="ER68" s="780"/>
      <c r="ES68" s="780"/>
      <c r="ET68" s="780"/>
      <c r="EU68" s="780"/>
      <c r="EV68" s="780"/>
      <c r="EW68" s="780"/>
      <c r="EX68" s="780"/>
      <c r="EY68" s="780"/>
      <c r="EZ68" s="780"/>
      <c r="FA68" s="780"/>
      <c r="FB68" s="780"/>
      <c r="FC68" s="780"/>
      <c r="FD68" s="780"/>
      <c r="FE68" s="780"/>
      <c r="FF68" s="780"/>
      <c r="FG68" s="780"/>
      <c r="FH68" s="780"/>
    </row>
    <row r="69" spans="1:164" s="288" customFormat="1" ht="15.75" hidden="1" customHeight="1">
      <c r="A69" s="62">
        <f t="shared" si="115"/>
        <v>23</v>
      </c>
      <c r="B69" s="63">
        <f t="shared" si="110"/>
        <v>45810</v>
      </c>
      <c r="C69" s="63">
        <f t="shared" si="116"/>
        <v>45816</v>
      </c>
      <c r="D69" s="239">
        <f t="shared" ca="1" si="111"/>
        <v>0</v>
      </c>
      <c r="E69" s="239">
        <f t="shared" ca="1" si="112"/>
        <v>0</v>
      </c>
      <c r="F69" s="239">
        <f t="shared" ca="1" si="113"/>
        <v>0</v>
      </c>
      <c r="G69" s="239">
        <f t="shared" ca="1" si="114"/>
        <v>0</v>
      </c>
      <c r="I69" s="237"/>
      <c r="J69" s="374"/>
      <c r="K69" s="374"/>
      <c r="L69" s="374"/>
      <c r="M69" s="374"/>
      <c r="AV69" s="235"/>
      <c r="AW69" s="235"/>
      <c r="AX69" s="235"/>
      <c r="AY69" s="235"/>
      <c r="AZ69" s="235"/>
      <c r="BA69" s="235"/>
      <c r="BB69" s="235"/>
      <c r="BC69" s="235"/>
      <c r="BD69" s="235"/>
      <c r="BE69" s="235"/>
      <c r="BF69" s="235"/>
      <c r="BG69" s="235"/>
      <c r="BH69" s="235"/>
      <c r="BI69" s="235"/>
      <c r="BJ69" s="235"/>
      <c r="BK69" s="235"/>
      <c r="BL69" s="235"/>
      <c r="BM69" s="235"/>
      <c r="BN69" s="235"/>
      <c r="BO69" s="235"/>
      <c r="BP69" s="235"/>
      <c r="BQ69" s="235"/>
      <c r="BS69" s="374"/>
      <c r="BV69" s="481"/>
      <c r="BW69" s="489"/>
      <c r="BX69" s="489"/>
      <c r="BY69" s="489"/>
      <c r="BZ69" s="492"/>
      <c r="CA69" s="492"/>
      <c r="CB69" s="492"/>
      <c r="CC69" s="497"/>
      <c r="CD69" s="497"/>
      <c r="CE69" s="497"/>
      <c r="CF69" s="497"/>
      <c r="CG69" s="497"/>
      <c r="CH69" s="518"/>
      <c r="CI69" s="518"/>
      <c r="CJ69" s="521"/>
      <c r="CK69" s="521"/>
      <c r="CL69" s="521"/>
      <c r="CM69" s="521"/>
      <c r="CN69" s="542"/>
      <c r="CO69" s="542"/>
      <c r="CP69" s="542"/>
      <c r="CQ69" s="542"/>
      <c r="CR69" s="542"/>
      <c r="CS69" s="699"/>
      <c r="CT69" s="699"/>
      <c r="CU69" s="725"/>
      <c r="CV69" s="725"/>
      <c r="CW69" s="725"/>
      <c r="CX69" s="725"/>
      <c r="CY69" s="725"/>
      <c r="CZ69" s="725"/>
      <c r="DA69" s="780"/>
      <c r="DB69" s="780"/>
      <c r="DC69" s="780"/>
      <c r="DD69" s="780"/>
      <c r="DE69" s="780"/>
      <c r="DF69" s="780"/>
      <c r="DG69" s="780"/>
      <c r="DH69" s="780"/>
      <c r="DI69" s="780"/>
      <c r="DJ69" s="780"/>
      <c r="DK69" s="780"/>
      <c r="DL69" s="780"/>
      <c r="DM69" s="780"/>
      <c r="DN69" s="780"/>
      <c r="DO69" s="780"/>
      <c r="DP69" s="780"/>
      <c r="DQ69" s="780"/>
      <c r="DR69" s="780"/>
      <c r="DS69" s="780"/>
      <c r="DT69" s="780"/>
      <c r="DU69" s="780"/>
      <c r="DV69" s="780"/>
      <c r="DW69" s="780"/>
      <c r="DX69" s="780"/>
      <c r="DY69" s="780"/>
      <c r="DZ69" s="780"/>
      <c r="EA69" s="780"/>
      <c r="EB69" s="780"/>
      <c r="EC69" s="780"/>
      <c r="ED69" s="780"/>
      <c r="EE69" s="780"/>
      <c r="EF69" s="780"/>
      <c r="EG69" s="780"/>
      <c r="EH69" s="780"/>
      <c r="EI69" s="780"/>
      <c r="EJ69" s="780"/>
      <c r="EK69" s="780"/>
      <c r="EL69" s="780"/>
      <c r="EM69" s="780"/>
      <c r="EN69" s="780"/>
      <c r="EO69" s="780"/>
      <c r="EP69" s="780"/>
      <c r="EQ69" s="780"/>
      <c r="ER69" s="780"/>
      <c r="ES69" s="780"/>
      <c r="ET69" s="780"/>
      <c r="EU69" s="780"/>
      <c r="EV69" s="780"/>
      <c r="EW69" s="780"/>
      <c r="EX69" s="780"/>
      <c r="EY69" s="780"/>
      <c r="EZ69" s="780"/>
      <c r="FA69" s="780"/>
      <c r="FB69" s="780"/>
      <c r="FC69" s="780"/>
      <c r="FD69" s="780"/>
      <c r="FE69" s="780"/>
      <c r="FF69" s="780"/>
      <c r="FG69" s="780"/>
      <c r="FH69" s="780"/>
    </row>
    <row r="70" spans="1:164" s="288" customFormat="1" ht="15.75" hidden="1" customHeight="1">
      <c r="A70" s="62">
        <f t="shared" si="115"/>
        <v>24</v>
      </c>
      <c r="B70" s="63">
        <f t="shared" si="110"/>
        <v>45817</v>
      </c>
      <c r="C70" s="63">
        <f t="shared" si="116"/>
        <v>45823</v>
      </c>
      <c r="D70" s="239">
        <f t="shared" ca="1" si="111"/>
        <v>0</v>
      </c>
      <c r="E70" s="239">
        <f t="shared" ca="1" si="112"/>
        <v>0</v>
      </c>
      <c r="F70" s="239">
        <f t="shared" ca="1" si="113"/>
        <v>0</v>
      </c>
      <c r="G70" s="239">
        <f t="shared" ca="1" si="114"/>
        <v>0</v>
      </c>
      <c r="I70" s="237"/>
      <c r="J70" s="374"/>
      <c r="K70" s="374"/>
      <c r="L70" s="374"/>
      <c r="M70" s="374"/>
      <c r="AV70" s="235"/>
      <c r="AW70" s="235"/>
      <c r="AX70" s="235"/>
      <c r="AY70" s="235"/>
      <c r="AZ70" s="235"/>
      <c r="BA70" s="235"/>
      <c r="BB70" s="235"/>
      <c r="BC70" s="235"/>
      <c r="BD70" s="235"/>
      <c r="BE70" s="235"/>
      <c r="BF70" s="235"/>
      <c r="BG70" s="235"/>
      <c r="BH70" s="235"/>
      <c r="BI70" s="235"/>
      <c r="BJ70" s="235"/>
      <c r="BK70" s="235"/>
      <c r="BL70" s="235"/>
      <c r="BM70" s="235"/>
      <c r="BN70" s="235"/>
      <c r="BO70" s="235"/>
      <c r="BP70" s="235"/>
      <c r="BQ70" s="235"/>
      <c r="BS70" s="374"/>
      <c r="BV70" s="481"/>
      <c r="BW70" s="489"/>
      <c r="BX70" s="489"/>
      <c r="BY70" s="489"/>
      <c r="BZ70" s="492"/>
      <c r="CA70" s="492"/>
      <c r="CB70" s="492"/>
      <c r="CC70" s="497"/>
      <c r="CD70" s="497"/>
      <c r="CE70" s="497"/>
      <c r="CF70" s="497"/>
      <c r="CG70" s="497"/>
      <c r="CH70" s="518"/>
      <c r="CI70" s="518"/>
      <c r="CJ70" s="521"/>
      <c r="CK70" s="521"/>
      <c r="CL70" s="521"/>
      <c r="CM70" s="521"/>
      <c r="CN70" s="542"/>
      <c r="CO70" s="542"/>
      <c r="CP70" s="542"/>
      <c r="CQ70" s="542"/>
      <c r="CR70" s="542"/>
      <c r="CS70" s="699"/>
      <c r="CT70" s="699"/>
      <c r="CU70" s="725"/>
      <c r="CV70" s="725"/>
      <c r="CW70" s="725"/>
      <c r="CX70" s="725"/>
      <c r="CY70" s="725"/>
      <c r="CZ70" s="725"/>
      <c r="DA70" s="780"/>
      <c r="DB70" s="780"/>
      <c r="DC70" s="780"/>
      <c r="DD70" s="780"/>
      <c r="DE70" s="780"/>
      <c r="DF70" s="780"/>
      <c r="DG70" s="780"/>
      <c r="DH70" s="780"/>
      <c r="DI70" s="780"/>
      <c r="DJ70" s="780"/>
      <c r="DK70" s="780"/>
      <c r="DL70" s="780"/>
      <c r="DM70" s="780"/>
      <c r="DN70" s="780"/>
      <c r="DO70" s="780"/>
      <c r="DP70" s="780"/>
      <c r="DQ70" s="780"/>
      <c r="DR70" s="780"/>
      <c r="DS70" s="780"/>
      <c r="DT70" s="780"/>
      <c r="DU70" s="780"/>
      <c r="DV70" s="780"/>
      <c r="DW70" s="780"/>
      <c r="DX70" s="780"/>
      <c r="DY70" s="780"/>
      <c r="DZ70" s="780"/>
      <c r="EA70" s="780"/>
      <c r="EB70" s="780"/>
      <c r="EC70" s="780"/>
      <c r="ED70" s="780"/>
      <c r="EE70" s="780"/>
      <c r="EF70" s="780"/>
      <c r="EG70" s="780"/>
      <c r="EH70" s="780"/>
      <c r="EI70" s="780"/>
      <c r="EJ70" s="780"/>
      <c r="EK70" s="780"/>
      <c r="EL70" s="780"/>
      <c r="EM70" s="780"/>
      <c r="EN70" s="780"/>
      <c r="EO70" s="780"/>
      <c r="EP70" s="780"/>
      <c r="EQ70" s="780"/>
      <c r="ER70" s="780"/>
      <c r="ES70" s="780"/>
      <c r="ET70" s="780"/>
      <c r="EU70" s="780"/>
      <c r="EV70" s="780"/>
      <c r="EW70" s="780"/>
      <c r="EX70" s="780"/>
      <c r="EY70" s="780"/>
      <c r="EZ70" s="780"/>
      <c r="FA70" s="780"/>
      <c r="FB70" s="780"/>
      <c r="FC70" s="780"/>
      <c r="FD70" s="780"/>
      <c r="FE70" s="780"/>
      <c r="FF70" s="780"/>
      <c r="FG70" s="780"/>
      <c r="FH70" s="780"/>
    </row>
    <row r="71" spans="1:164" s="288" customFormat="1" ht="15.75" hidden="1" customHeight="1">
      <c r="A71" s="62">
        <f t="shared" si="115"/>
        <v>25</v>
      </c>
      <c r="B71" s="63">
        <f t="shared" si="110"/>
        <v>45824</v>
      </c>
      <c r="C71" s="63">
        <f t="shared" si="116"/>
        <v>45830</v>
      </c>
      <c r="D71" s="239">
        <f t="shared" ca="1" si="111"/>
        <v>0</v>
      </c>
      <c r="E71" s="239">
        <f t="shared" ca="1" si="112"/>
        <v>0</v>
      </c>
      <c r="F71" s="239">
        <f t="shared" ca="1" si="113"/>
        <v>0</v>
      </c>
      <c r="G71" s="239">
        <f t="shared" ca="1" si="114"/>
        <v>0</v>
      </c>
      <c r="I71" s="237"/>
      <c r="J71" s="374"/>
      <c r="K71" s="374"/>
      <c r="L71" s="374"/>
      <c r="M71" s="374"/>
      <c r="AV71" s="235"/>
      <c r="AW71" s="235"/>
      <c r="AX71" s="235"/>
      <c r="AY71" s="235"/>
      <c r="AZ71" s="235"/>
      <c r="BA71" s="235"/>
      <c r="BB71" s="235"/>
      <c r="BC71" s="235"/>
      <c r="BD71" s="235"/>
      <c r="BE71" s="235"/>
      <c r="BF71" s="235"/>
      <c r="BG71" s="235"/>
      <c r="BH71" s="235"/>
      <c r="BI71" s="235"/>
      <c r="BJ71" s="235"/>
      <c r="BK71" s="235"/>
      <c r="BL71" s="235"/>
      <c r="BM71" s="235"/>
      <c r="BN71" s="235"/>
      <c r="BO71" s="235"/>
      <c r="BP71" s="235"/>
      <c r="BQ71" s="235"/>
      <c r="BS71" s="374"/>
      <c r="BV71" s="481"/>
      <c r="BW71" s="489"/>
      <c r="BX71" s="489"/>
      <c r="BY71" s="489"/>
      <c r="BZ71" s="492"/>
      <c r="CA71" s="492"/>
      <c r="CB71" s="492"/>
      <c r="CC71" s="497"/>
      <c r="CD71" s="497"/>
      <c r="CE71" s="497"/>
      <c r="CF71" s="497"/>
      <c r="CG71" s="497"/>
      <c r="CH71" s="518"/>
      <c r="CI71" s="518"/>
      <c r="CJ71" s="521"/>
      <c r="CK71" s="521"/>
      <c r="CL71" s="521"/>
      <c r="CM71" s="521"/>
      <c r="CN71" s="542"/>
      <c r="CO71" s="542"/>
      <c r="CP71" s="542"/>
      <c r="CQ71" s="542"/>
      <c r="CR71" s="542"/>
      <c r="CS71" s="699"/>
      <c r="CT71" s="699"/>
      <c r="CU71" s="725"/>
      <c r="CV71" s="725"/>
      <c r="CW71" s="725"/>
      <c r="CX71" s="725"/>
      <c r="CY71" s="725"/>
      <c r="CZ71" s="725"/>
      <c r="DA71" s="780"/>
      <c r="DB71" s="780"/>
      <c r="DC71" s="780"/>
      <c r="DD71" s="780"/>
      <c r="DE71" s="780"/>
      <c r="DF71" s="780"/>
      <c r="DG71" s="780"/>
      <c r="DH71" s="780"/>
      <c r="DI71" s="780"/>
      <c r="DJ71" s="780"/>
      <c r="DK71" s="780"/>
      <c r="DL71" s="780"/>
      <c r="DM71" s="780"/>
      <c r="DN71" s="780"/>
      <c r="DO71" s="780"/>
      <c r="DP71" s="780"/>
      <c r="DQ71" s="780"/>
      <c r="DR71" s="780"/>
      <c r="DS71" s="780"/>
      <c r="DT71" s="780"/>
      <c r="DU71" s="780"/>
      <c r="DV71" s="780"/>
      <c r="DW71" s="780"/>
      <c r="DX71" s="780"/>
      <c r="DY71" s="780"/>
      <c r="DZ71" s="780"/>
      <c r="EA71" s="780"/>
      <c r="EB71" s="780"/>
      <c r="EC71" s="780"/>
      <c r="ED71" s="780"/>
      <c r="EE71" s="780"/>
      <c r="EF71" s="780"/>
      <c r="EG71" s="780"/>
      <c r="EH71" s="780"/>
      <c r="EI71" s="780"/>
      <c r="EJ71" s="780"/>
      <c r="EK71" s="780"/>
      <c r="EL71" s="780"/>
      <c r="EM71" s="780"/>
      <c r="EN71" s="780"/>
      <c r="EO71" s="780"/>
      <c r="EP71" s="780"/>
      <c r="EQ71" s="780"/>
      <c r="ER71" s="780"/>
      <c r="ES71" s="780"/>
      <c r="ET71" s="780"/>
      <c r="EU71" s="780"/>
      <c r="EV71" s="780"/>
      <c r="EW71" s="780"/>
      <c r="EX71" s="780"/>
      <c r="EY71" s="780"/>
      <c r="EZ71" s="780"/>
      <c r="FA71" s="780"/>
      <c r="FB71" s="780"/>
      <c r="FC71" s="780"/>
      <c r="FD71" s="780"/>
      <c r="FE71" s="780"/>
      <c r="FF71" s="780"/>
      <c r="FG71" s="780"/>
      <c r="FH71" s="780"/>
    </row>
    <row r="72" spans="1:164" s="288" customFormat="1" ht="15.75" hidden="1" customHeight="1">
      <c r="A72" s="62">
        <f t="shared" si="115"/>
        <v>26</v>
      </c>
      <c r="B72" s="63">
        <f t="shared" si="110"/>
        <v>45831</v>
      </c>
      <c r="C72" s="63">
        <f t="shared" si="116"/>
        <v>45837</v>
      </c>
      <c r="D72" s="239">
        <f t="shared" ca="1" si="111"/>
        <v>0</v>
      </c>
      <c r="E72" s="239">
        <f t="shared" ca="1" si="112"/>
        <v>0</v>
      </c>
      <c r="F72" s="239">
        <f t="shared" ca="1" si="113"/>
        <v>0</v>
      </c>
      <c r="G72" s="239">
        <f t="shared" ca="1" si="114"/>
        <v>0</v>
      </c>
      <c r="I72" s="237"/>
      <c r="J72" s="374"/>
      <c r="K72" s="374"/>
      <c r="L72" s="374"/>
      <c r="M72" s="374"/>
      <c r="AV72" s="235"/>
      <c r="AW72" s="235"/>
      <c r="AX72" s="235"/>
      <c r="AY72" s="235"/>
      <c r="AZ72" s="235"/>
      <c r="BA72" s="235"/>
      <c r="BB72" s="235"/>
      <c r="BC72" s="235"/>
      <c r="BD72" s="235"/>
      <c r="BE72" s="235"/>
      <c r="BF72" s="235"/>
      <c r="BG72" s="235"/>
      <c r="BH72" s="235"/>
      <c r="BI72" s="235"/>
      <c r="BJ72" s="235"/>
      <c r="BK72" s="235"/>
      <c r="BL72" s="235"/>
      <c r="BM72" s="235"/>
      <c r="BN72" s="235"/>
      <c r="BO72" s="235"/>
      <c r="BP72" s="235"/>
      <c r="BQ72" s="235"/>
      <c r="BS72" s="374"/>
      <c r="BV72" s="481"/>
      <c r="BW72" s="489"/>
      <c r="BX72" s="489"/>
      <c r="BY72" s="489"/>
      <c r="BZ72" s="492"/>
      <c r="CA72" s="492"/>
      <c r="CB72" s="492"/>
      <c r="CC72" s="497"/>
      <c r="CD72" s="497"/>
      <c r="CE72" s="497"/>
      <c r="CF72" s="497"/>
      <c r="CG72" s="497"/>
      <c r="CH72" s="518"/>
      <c r="CI72" s="518"/>
      <c r="CJ72" s="521"/>
      <c r="CK72" s="521"/>
      <c r="CL72" s="521"/>
      <c r="CM72" s="521"/>
      <c r="CN72" s="542"/>
      <c r="CO72" s="542"/>
      <c r="CP72" s="542"/>
      <c r="CQ72" s="542"/>
      <c r="CR72" s="542"/>
      <c r="CS72" s="699"/>
      <c r="CT72" s="699"/>
      <c r="CU72" s="725"/>
      <c r="CV72" s="725"/>
      <c r="CW72" s="725"/>
      <c r="CX72" s="725"/>
      <c r="CY72" s="725"/>
      <c r="CZ72" s="725"/>
      <c r="DA72" s="780"/>
      <c r="DB72" s="780"/>
      <c r="DC72" s="780"/>
      <c r="DD72" s="780"/>
      <c r="DE72" s="780"/>
      <c r="DF72" s="780"/>
      <c r="DG72" s="780"/>
      <c r="DH72" s="780"/>
      <c r="DI72" s="780"/>
      <c r="DJ72" s="780"/>
      <c r="DK72" s="780"/>
      <c r="DL72" s="780"/>
      <c r="DM72" s="780"/>
      <c r="DN72" s="780"/>
      <c r="DO72" s="780"/>
      <c r="DP72" s="780"/>
      <c r="DQ72" s="780"/>
      <c r="DR72" s="780"/>
      <c r="DS72" s="780"/>
      <c r="DT72" s="780"/>
      <c r="DU72" s="780"/>
      <c r="DV72" s="780"/>
      <c r="DW72" s="780"/>
      <c r="DX72" s="780"/>
      <c r="DY72" s="780"/>
      <c r="DZ72" s="780"/>
      <c r="EA72" s="780"/>
      <c r="EB72" s="780"/>
      <c r="EC72" s="780"/>
      <c r="ED72" s="780"/>
      <c r="EE72" s="780"/>
      <c r="EF72" s="780"/>
      <c r="EG72" s="780"/>
      <c r="EH72" s="780"/>
      <c r="EI72" s="780"/>
      <c r="EJ72" s="780"/>
      <c r="EK72" s="780"/>
      <c r="EL72" s="780"/>
      <c r="EM72" s="780"/>
      <c r="EN72" s="780"/>
      <c r="EO72" s="780"/>
      <c r="EP72" s="780"/>
      <c r="EQ72" s="780"/>
      <c r="ER72" s="780"/>
      <c r="ES72" s="780"/>
      <c r="ET72" s="780"/>
      <c r="EU72" s="780"/>
      <c r="EV72" s="780"/>
      <c r="EW72" s="780"/>
      <c r="EX72" s="780"/>
      <c r="EY72" s="780"/>
      <c r="EZ72" s="780"/>
      <c r="FA72" s="780"/>
      <c r="FB72" s="780"/>
      <c r="FC72" s="780"/>
      <c r="FD72" s="780"/>
      <c r="FE72" s="780"/>
      <c r="FF72" s="780"/>
      <c r="FG72" s="780"/>
      <c r="FH72" s="780"/>
    </row>
    <row r="73" spans="1:164" s="290" customFormat="1" ht="15.75" hidden="1" customHeight="1">
      <c r="A73" s="62">
        <f t="shared" si="115"/>
        <v>27</v>
      </c>
      <c r="B73" s="63">
        <f t="shared" si="110"/>
        <v>45838</v>
      </c>
      <c r="C73" s="63">
        <f t="shared" si="116"/>
        <v>45844</v>
      </c>
      <c r="D73" s="239">
        <f t="shared" ca="1" si="111"/>
        <v>0</v>
      </c>
      <c r="E73" s="239">
        <f t="shared" ca="1" si="112"/>
        <v>0</v>
      </c>
      <c r="F73" s="239">
        <f t="shared" ca="1" si="113"/>
        <v>0</v>
      </c>
      <c r="G73" s="239">
        <f t="shared" ca="1" si="114"/>
        <v>0</v>
      </c>
      <c r="I73" s="237"/>
      <c r="J73" s="374"/>
      <c r="K73" s="374"/>
      <c r="L73" s="374"/>
      <c r="M73" s="374"/>
      <c r="AV73" s="235"/>
      <c r="AW73" s="235"/>
      <c r="AX73" s="235"/>
      <c r="AY73" s="235"/>
      <c r="AZ73" s="235"/>
      <c r="BA73" s="235"/>
      <c r="BB73" s="235"/>
      <c r="BC73" s="235"/>
      <c r="BD73" s="235"/>
      <c r="BE73" s="235"/>
      <c r="BF73" s="235"/>
      <c r="BG73" s="235"/>
      <c r="BH73" s="235"/>
      <c r="BI73" s="235"/>
      <c r="BJ73" s="235"/>
      <c r="BK73" s="235"/>
      <c r="BL73" s="235"/>
      <c r="BM73" s="235"/>
      <c r="BN73" s="235"/>
      <c r="BO73" s="235"/>
      <c r="BP73" s="235"/>
      <c r="BQ73" s="235"/>
      <c r="BS73" s="374"/>
      <c r="BV73" s="481"/>
      <c r="BW73" s="489"/>
      <c r="BX73" s="489"/>
      <c r="BY73" s="489"/>
      <c r="BZ73" s="492"/>
      <c r="CA73" s="492"/>
      <c r="CB73" s="492"/>
      <c r="CC73" s="497"/>
      <c r="CD73" s="497"/>
      <c r="CE73" s="497"/>
      <c r="CF73" s="497"/>
      <c r="CG73" s="497"/>
      <c r="CH73" s="518"/>
      <c r="CI73" s="518"/>
      <c r="CJ73" s="521"/>
      <c r="CK73" s="521"/>
      <c r="CL73" s="521"/>
      <c r="CM73" s="521"/>
      <c r="CN73" s="542"/>
      <c r="CO73" s="542"/>
      <c r="CP73" s="542"/>
      <c r="CQ73" s="542"/>
      <c r="CR73" s="542"/>
      <c r="CS73" s="699"/>
      <c r="CT73" s="699"/>
      <c r="CU73" s="725"/>
      <c r="CV73" s="725"/>
      <c r="CW73" s="725"/>
      <c r="CX73" s="725"/>
      <c r="CY73" s="725"/>
      <c r="CZ73" s="725"/>
      <c r="DA73" s="780"/>
      <c r="DB73" s="780"/>
      <c r="DC73" s="780"/>
      <c r="DD73" s="780"/>
      <c r="DE73" s="780"/>
      <c r="DF73" s="780"/>
      <c r="DG73" s="780"/>
      <c r="DH73" s="780"/>
      <c r="DI73" s="780"/>
      <c r="DJ73" s="780"/>
      <c r="DK73" s="780"/>
      <c r="DL73" s="780"/>
      <c r="DM73" s="780"/>
      <c r="DN73" s="780"/>
      <c r="DO73" s="780"/>
      <c r="DP73" s="780"/>
      <c r="DQ73" s="780"/>
      <c r="DR73" s="780"/>
      <c r="DS73" s="780"/>
      <c r="DT73" s="780"/>
      <c r="DU73" s="780"/>
      <c r="DV73" s="780"/>
      <c r="DW73" s="780"/>
      <c r="DX73" s="780"/>
      <c r="DY73" s="780"/>
      <c r="DZ73" s="780"/>
      <c r="EA73" s="780"/>
      <c r="EB73" s="780"/>
      <c r="EC73" s="780"/>
      <c r="ED73" s="780"/>
      <c r="EE73" s="780"/>
      <c r="EF73" s="780"/>
      <c r="EG73" s="780"/>
      <c r="EH73" s="780"/>
      <c r="EI73" s="780"/>
      <c r="EJ73" s="780"/>
      <c r="EK73" s="780"/>
      <c r="EL73" s="780"/>
      <c r="EM73" s="780"/>
      <c r="EN73" s="780"/>
      <c r="EO73" s="780"/>
      <c r="EP73" s="780"/>
      <c r="EQ73" s="780"/>
      <c r="ER73" s="780"/>
      <c r="ES73" s="780"/>
      <c r="ET73" s="780"/>
      <c r="EU73" s="780"/>
      <c r="EV73" s="780"/>
      <c r="EW73" s="780"/>
      <c r="EX73" s="780"/>
      <c r="EY73" s="780"/>
      <c r="EZ73" s="780"/>
      <c r="FA73" s="780"/>
      <c r="FB73" s="780"/>
      <c r="FC73" s="780"/>
      <c r="FD73" s="780"/>
      <c r="FE73" s="780"/>
      <c r="FF73" s="780"/>
      <c r="FG73" s="780"/>
      <c r="FH73" s="780"/>
    </row>
    <row r="74" spans="1:164" s="290" customFormat="1" ht="15.75" hidden="1" customHeight="1">
      <c r="A74" s="62">
        <f t="shared" si="115"/>
        <v>28</v>
      </c>
      <c r="B74" s="63">
        <f t="shared" si="110"/>
        <v>45845</v>
      </c>
      <c r="C74" s="63">
        <f t="shared" si="116"/>
        <v>45851</v>
      </c>
      <c r="D74" s="239">
        <f t="shared" ca="1" si="111"/>
        <v>0</v>
      </c>
      <c r="E74" s="239">
        <f t="shared" ca="1" si="112"/>
        <v>0</v>
      </c>
      <c r="F74" s="239">
        <f t="shared" ca="1" si="113"/>
        <v>0</v>
      </c>
      <c r="G74" s="239">
        <f t="shared" ca="1" si="114"/>
        <v>0</v>
      </c>
      <c r="I74" s="237"/>
      <c r="J74" s="374"/>
      <c r="K74" s="374"/>
      <c r="L74" s="374"/>
      <c r="M74" s="374"/>
      <c r="AV74" s="235"/>
      <c r="AW74" s="235"/>
      <c r="AX74" s="235"/>
      <c r="AY74" s="235"/>
      <c r="AZ74" s="235"/>
      <c r="BA74" s="235"/>
      <c r="BB74" s="235"/>
      <c r="BC74" s="235"/>
      <c r="BD74" s="235"/>
      <c r="BE74" s="235"/>
      <c r="BF74" s="235"/>
      <c r="BG74" s="235"/>
      <c r="BH74" s="235"/>
      <c r="BI74" s="235"/>
      <c r="BJ74" s="235"/>
      <c r="BK74" s="235"/>
      <c r="BL74" s="235"/>
      <c r="BM74" s="235"/>
      <c r="BN74" s="235"/>
      <c r="BO74" s="235"/>
      <c r="BP74" s="235"/>
      <c r="BQ74" s="235"/>
      <c r="BS74" s="374"/>
      <c r="BV74" s="481"/>
      <c r="BW74" s="489"/>
      <c r="BX74" s="489"/>
      <c r="BY74" s="489"/>
      <c r="BZ74" s="492"/>
      <c r="CA74" s="492"/>
      <c r="CB74" s="492"/>
      <c r="CC74" s="497"/>
      <c r="CD74" s="497"/>
      <c r="CE74" s="497"/>
      <c r="CF74" s="497"/>
      <c r="CG74" s="497"/>
      <c r="CH74" s="518"/>
      <c r="CI74" s="518"/>
      <c r="CJ74" s="521"/>
      <c r="CK74" s="521"/>
      <c r="CL74" s="521"/>
      <c r="CM74" s="521"/>
      <c r="CN74" s="542"/>
      <c r="CO74" s="542"/>
      <c r="CP74" s="542"/>
      <c r="CQ74" s="542"/>
      <c r="CR74" s="542"/>
      <c r="CS74" s="699"/>
      <c r="CT74" s="699"/>
      <c r="CU74" s="725"/>
      <c r="CV74" s="725"/>
      <c r="CW74" s="725"/>
      <c r="CX74" s="725"/>
      <c r="CY74" s="725"/>
      <c r="CZ74" s="725"/>
      <c r="DA74" s="780"/>
      <c r="DB74" s="780"/>
      <c r="DC74" s="780"/>
      <c r="DD74" s="780"/>
      <c r="DE74" s="780"/>
      <c r="DF74" s="780"/>
      <c r="DG74" s="780"/>
      <c r="DH74" s="780"/>
      <c r="DI74" s="780"/>
      <c r="DJ74" s="780"/>
      <c r="DK74" s="780"/>
      <c r="DL74" s="780"/>
      <c r="DM74" s="780"/>
      <c r="DN74" s="780"/>
      <c r="DO74" s="780"/>
      <c r="DP74" s="780"/>
      <c r="DQ74" s="780"/>
      <c r="DR74" s="780"/>
      <c r="DS74" s="780"/>
      <c r="DT74" s="780"/>
      <c r="DU74" s="780"/>
      <c r="DV74" s="780"/>
      <c r="DW74" s="780"/>
      <c r="DX74" s="780"/>
      <c r="DY74" s="780"/>
      <c r="DZ74" s="780"/>
      <c r="EA74" s="780"/>
      <c r="EB74" s="780"/>
      <c r="EC74" s="780"/>
      <c r="ED74" s="780"/>
      <c r="EE74" s="780"/>
      <c r="EF74" s="780"/>
      <c r="EG74" s="780"/>
      <c r="EH74" s="780"/>
      <c r="EI74" s="780"/>
      <c r="EJ74" s="780"/>
      <c r="EK74" s="780"/>
      <c r="EL74" s="780"/>
      <c r="EM74" s="780"/>
      <c r="EN74" s="780"/>
      <c r="EO74" s="780"/>
      <c r="EP74" s="780"/>
      <c r="EQ74" s="780"/>
      <c r="ER74" s="780"/>
      <c r="ES74" s="780"/>
      <c r="ET74" s="780"/>
      <c r="EU74" s="780"/>
      <c r="EV74" s="780"/>
      <c r="EW74" s="780"/>
      <c r="EX74" s="780"/>
      <c r="EY74" s="780"/>
      <c r="EZ74" s="780"/>
      <c r="FA74" s="780"/>
      <c r="FB74" s="780"/>
      <c r="FC74" s="780"/>
      <c r="FD74" s="780"/>
      <c r="FE74" s="780"/>
      <c r="FF74" s="780"/>
      <c r="FG74" s="780"/>
      <c r="FH74" s="780"/>
    </row>
    <row r="75" spans="1:164" s="290" customFormat="1" ht="15.75" hidden="1" customHeight="1">
      <c r="A75" s="62">
        <f t="shared" si="115"/>
        <v>29</v>
      </c>
      <c r="B75" s="63">
        <f t="shared" si="110"/>
        <v>45852</v>
      </c>
      <c r="C75" s="63">
        <f t="shared" si="116"/>
        <v>45858</v>
      </c>
      <c r="D75" s="239">
        <f t="shared" ca="1" si="111"/>
        <v>0</v>
      </c>
      <c r="E75" s="239">
        <f t="shared" ca="1" si="112"/>
        <v>0</v>
      </c>
      <c r="F75" s="239">
        <f t="shared" ca="1" si="113"/>
        <v>0</v>
      </c>
      <c r="G75" s="239">
        <f t="shared" ca="1" si="114"/>
        <v>0</v>
      </c>
      <c r="I75" s="237"/>
      <c r="J75" s="374"/>
      <c r="K75" s="374"/>
      <c r="L75" s="374"/>
      <c r="M75" s="374"/>
      <c r="AV75" s="235"/>
      <c r="AW75" s="235"/>
      <c r="AX75" s="235"/>
      <c r="AY75" s="235"/>
      <c r="AZ75" s="235"/>
      <c r="BA75" s="235"/>
      <c r="BB75" s="235"/>
      <c r="BC75" s="235"/>
      <c r="BD75" s="235"/>
      <c r="BE75" s="235"/>
      <c r="BF75" s="235"/>
      <c r="BG75" s="235"/>
      <c r="BH75" s="235"/>
      <c r="BI75" s="235"/>
      <c r="BJ75" s="235"/>
      <c r="BK75" s="235"/>
      <c r="BL75" s="235"/>
      <c r="BM75" s="235"/>
      <c r="BN75" s="235"/>
      <c r="BO75" s="235"/>
      <c r="BP75" s="235"/>
      <c r="BQ75" s="235"/>
      <c r="BS75" s="374"/>
      <c r="BV75" s="481"/>
      <c r="BW75" s="489"/>
      <c r="BX75" s="489"/>
      <c r="BY75" s="489"/>
      <c r="BZ75" s="492"/>
      <c r="CA75" s="492"/>
      <c r="CB75" s="492"/>
      <c r="CC75" s="497"/>
      <c r="CD75" s="497"/>
      <c r="CE75" s="497"/>
      <c r="CF75" s="497"/>
      <c r="CG75" s="497"/>
      <c r="CH75" s="518"/>
      <c r="CI75" s="518"/>
      <c r="CJ75" s="521"/>
      <c r="CK75" s="521"/>
      <c r="CL75" s="521"/>
      <c r="CM75" s="521"/>
      <c r="CN75" s="542"/>
      <c r="CO75" s="542"/>
      <c r="CP75" s="542"/>
      <c r="CQ75" s="542"/>
      <c r="CR75" s="542"/>
      <c r="CS75" s="699"/>
      <c r="CT75" s="699"/>
      <c r="CU75" s="725"/>
      <c r="CV75" s="725"/>
      <c r="CW75" s="725"/>
      <c r="CX75" s="725"/>
      <c r="CY75" s="725"/>
      <c r="CZ75" s="725"/>
      <c r="DA75" s="780"/>
      <c r="DB75" s="780"/>
      <c r="DC75" s="780"/>
      <c r="DD75" s="780"/>
      <c r="DE75" s="780"/>
      <c r="DF75" s="780"/>
      <c r="DG75" s="780"/>
      <c r="DH75" s="780"/>
      <c r="DI75" s="780"/>
      <c r="DJ75" s="780"/>
      <c r="DK75" s="780"/>
      <c r="DL75" s="780"/>
      <c r="DM75" s="780"/>
      <c r="DN75" s="780"/>
      <c r="DO75" s="780"/>
      <c r="DP75" s="780"/>
      <c r="DQ75" s="780"/>
      <c r="DR75" s="780"/>
      <c r="DS75" s="780"/>
      <c r="DT75" s="780"/>
      <c r="DU75" s="780"/>
      <c r="DV75" s="780"/>
      <c r="DW75" s="780"/>
      <c r="DX75" s="780"/>
      <c r="DY75" s="780"/>
      <c r="DZ75" s="780"/>
      <c r="EA75" s="780"/>
      <c r="EB75" s="780"/>
      <c r="EC75" s="780"/>
      <c r="ED75" s="780"/>
      <c r="EE75" s="780"/>
      <c r="EF75" s="780"/>
      <c r="EG75" s="780"/>
      <c r="EH75" s="780"/>
      <c r="EI75" s="780"/>
      <c r="EJ75" s="780"/>
      <c r="EK75" s="780"/>
      <c r="EL75" s="780"/>
      <c r="EM75" s="780"/>
      <c r="EN75" s="780"/>
      <c r="EO75" s="780"/>
      <c r="EP75" s="780"/>
      <c r="EQ75" s="780"/>
      <c r="ER75" s="780"/>
      <c r="ES75" s="780"/>
      <c r="ET75" s="780"/>
      <c r="EU75" s="780"/>
      <c r="EV75" s="780"/>
      <c r="EW75" s="780"/>
      <c r="EX75" s="780"/>
      <c r="EY75" s="780"/>
      <c r="EZ75" s="780"/>
      <c r="FA75" s="780"/>
      <c r="FB75" s="780"/>
      <c r="FC75" s="780"/>
      <c r="FD75" s="780"/>
      <c r="FE75" s="780"/>
      <c r="FF75" s="780"/>
      <c r="FG75" s="780"/>
      <c r="FH75" s="780"/>
    </row>
    <row r="76" spans="1:164" s="292" customFormat="1" ht="15.75" hidden="1" customHeight="1">
      <c r="A76" s="62">
        <f t="shared" si="115"/>
        <v>30</v>
      </c>
      <c r="B76" s="63">
        <f t="shared" si="110"/>
        <v>45859</v>
      </c>
      <c r="C76" s="63">
        <f t="shared" si="116"/>
        <v>45865</v>
      </c>
      <c r="D76" s="239">
        <f t="shared" ca="1" si="111"/>
        <v>0</v>
      </c>
      <c r="E76" s="239">
        <f t="shared" ca="1" si="112"/>
        <v>0</v>
      </c>
      <c r="F76" s="239">
        <f t="shared" ca="1" si="113"/>
        <v>0</v>
      </c>
      <c r="G76" s="261">
        <f t="shared" ref="G76:G87" ca="1" si="117">SUMIFS(PENDIENTE_DE_COBRO,FECHA_RETIRO_VALORES,"&gt;="&amp;B76,FECHA_RETIRO_VALORES,"&lt;="&amp;C76,ESTADO_ENTREGA,"ENTREGADO")</f>
        <v>0</v>
      </c>
      <c r="I76" s="237"/>
      <c r="J76" s="374"/>
      <c r="K76" s="374"/>
      <c r="L76" s="374"/>
      <c r="M76" s="374"/>
      <c r="AV76" s="235"/>
      <c r="AW76" s="235"/>
      <c r="AX76" s="235"/>
      <c r="AY76" s="235"/>
      <c r="AZ76" s="235"/>
      <c r="BA76" s="235"/>
      <c r="BB76" s="235"/>
      <c r="BC76" s="235"/>
      <c r="BD76" s="235"/>
      <c r="BE76" s="235"/>
      <c r="BF76" s="235"/>
      <c r="BG76" s="235"/>
      <c r="BH76" s="235"/>
      <c r="BI76" s="235"/>
      <c r="BJ76" s="235"/>
      <c r="BK76" s="235"/>
      <c r="BL76" s="235"/>
      <c r="BM76" s="235"/>
      <c r="BN76" s="235"/>
      <c r="BO76" s="235"/>
      <c r="BP76" s="235"/>
      <c r="BQ76" s="235"/>
      <c r="BS76" s="374"/>
      <c r="BV76" s="481"/>
      <c r="BW76" s="489"/>
      <c r="BX76" s="489"/>
      <c r="BY76" s="489"/>
      <c r="BZ76" s="492"/>
      <c r="CA76" s="492"/>
      <c r="CB76" s="492"/>
      <c r="CC76" s="497"/>
      <c r="CD76" s="497"/>
      <c r="CE76" s="497"/>
      <c r="CF76" s="497"/>
      <c r="CG76" s="497"/>
      <c r="CH76" s="518"/>
      <c r="CI76" s="518"/>
      <c r="CJ76" s="521"/>
      <c r="CK76" s="521"/>
      <c r="CL76" s="521"/>
      <c r="CM76" s="521"/>
      <c r="CN76" s="542"/>
      <c r="CO76" s="542"/>
      <c r="CP76" s="542"/>
      <c r="CQ76" s="542"/>
      <c r="CR76" s="542"/>
      <c r="CS76" s="699"/>
      <c r="CT76" s="699"/>
      <c r="CU76" s="725"/>
      <c r="CV76" s="725"/>
      <c r="CW76" s="725"/>
      <c r="CX76" s="725"/>
      <c r="CY76" s="725"/>
      <c r="CZ76" s="725"/>
      <c r="DA76" s="780"/>
      <c r="DB76" s="780"/>
      <c r="DC76" s="780"/>
      <c r="DD76" s="780"/>
      <c r="DE76" s="780"/>
      <c r="DF76" s="780"/>
      <c r="DG76" s="780"/>
      <c r="DH76" s="780"/>
      <c r="DI76" s="780"/>
      <c r="DJ76" s="780"/>
      <c r="DK76" s="780"/>
      <c r="DL76" s="780"/>
      <c r="DM76" s="780"/>
      <c r="DN76" s="780"/>
      <c r="DO76" s="780"/>
      <c r="DP76" s="780"/>
      <c r="DQ76" s="780"/>
      <c r="DR76" s="780"/>
      <c r="DS76" s="780"/>
      <c r="DT76" s="780"/>
      <c r="DU76" s="780"/>
      <c r="DV76" s="780"/>
      <c r="DW76" s="780"/>
      <c r="DX76" s="780"/>
      <c r="DY76" s="780"/>
      <c r="DZ76" s="780"/>
      <c r="EA76" s="780"/>
      <c r="EB76" s="780"/>
      <c r="EC76" s="780"/>
      <c r="ED76" s="780"/>
      <c r="EE76" s="780"/>
      <c r="EF76" s="780"/>
      <c r="EG76" s="780"/>
      <c r="EH76" s="780"/>
      <c r="EI76" s="780"/>
      <c r="EJ76" s="780"/>
      <c r="EK76" s="780"/>
      <c r="EL76" s="780"/>
      <c r="EM76" s="780"/>
      <c r="EN76" s="780"/>
      <c r="EO76" s="780"/>
      <c r="EP76" s="780"/>
      <c r="EQ76" s="780"/>
      <c r="ER76" s="780"/>
      <c r="ES76" s="780"/>
      <c r="ET76" s="780"/>
      <c r="EU76" s="780"/>
      <c r="EV76" s="780"/>
      <c r="EW76" s="780"/>
      <c r="EX76" s="780"/>
      <c r="EY76" s="780"/>
      <c r="EZ76" s="780"/>
      <c r="FA76" s="780"/>
      <c r="FB76" s="780"/>
      <c r="FC76" s="780"/>
      <c r="FD76" s="780"/>
      <c r="FE76" s="780"/>
      <c r="FF76" s="780"/>
      <c r="FG76" s="780"/>
      <c r="FH76" s="780"/>
    </row>
    <row r="77" spans="1:164" s="480" customFormat="1" ht="15.75" hidden="1" customHeight="1">
      <c r="A77" s="62">
        <f t="shared" ref="A77:A87" si="118">WEEKNUM(B77)</f>
        <v>31</v>
      </c>
      <c r="B77" s="63">
        <f t="shared" si="110"/>
        <v>45866</v>
      </c>
      <c r="C77" s="63">
        <f t="shared" si="116"/>
        <v>45872</v>
      </c>
      <c r="D77" s="239">
        <f t="shared" ca="1" si="111"/>
        <v>0</v>
      </c>
      <c r="E77" s="239">
        <f t="shared" ca="1" si="112"/>
        <v>0</v>
      </c>
      <c r="F77" s="239">
        <f t="shared" ref="F77:F94" ca="1" si="119">SUMIFS(PENDIENTE_DE_ENTREGA,FECHA_RETIRO_VALORES,"&gt;="&amp;B77,FECHA_RETIRO_VALORES,"&lt;="&amp;C77,ESTADO_ENTREGA,"PENDIENTE")</f>
        <v>0</v>
      </c>
      <c r="G77" s="261">
        <f t="shared" ca="1" si="117"/>
        <v>0</v>
      </c>
      <c r="I77" s="237"/>
      <c r="AV77" s="235"/>
      <c r="AW77" s="235"/>
      <c r="AX77" s="235"/>
      <c r="AY77" s="235"/>
      <c r="AZ77" s="235"/>
      <c r="BA77" s="235"/>
      <c r="BB77" s="235"/>
      <c r="BC77" s="235"/>
      <c r="BD77" s="235"/>
      <c r="BE77" s="235"/>
      <c r="BF77" s="235"/>
      <c r="BG77" s="235"/>
      <c r="BH77" s="235"/>
      <c r="BI77" s="235"/>
      <c r="BJ77" s="235"/>
      <c r="BK77" s="235"/>
      <c r="BL77" s="235"/>
      <c r="BM77" s="235"/>
      <c r="BN77" s="235"/>
      <c r="BO77" s="235"/>
      <c r="BP77" s="235"/>
      <c r="BQ77" s="235"/>
      <c r="BV77" s="481"/>
      <c r="BW77" s="489"/>
      <c r="BX77" s="489"/>
      <c r="BY77" s="489"/>
      <c r="BZ77" s="492"/>
      <c r="CA77" s="492"/>
      <c r="CB77" s="492"/>
      <c r="CC77" s="497"/>
      <c r="CD77" s="497"/>
      <c r="CE77" s="497"/>
      <c r="CF77" s="497"/>
      <c r="CG77" s="497"/>
      <c r="CH77" s="518"/>
      <c r="CI77" s="518"/>
      <c r="CJ77" s="521"/>
      <c r="CK77" s="521"/>
      <c r="CL77" s="521"/>
      <c r="CM77" s="521"/>
      <c r="CN77" s="542"/>
      <c r="CO77" s="542"/>
      <c r="CP77" s="542"/>
      <c r="CQ77" s="542"/>
      <c r="CR77" s="542"/>
      <c r="CS77" s="699"/>
      <c r="CT77" s="699"/>
      <c r="CU77" s="725"/>
      <c r="CV77" s="725"/>
      <c r="CW77" s="725"/>
      <c r="CX77" s="725"/>
      <c r="CY77" s="725"/>
      <c r="CZ77" s="725"/>
      <c r="DA77" s="780"/>
      <c r="DB77" s="780"/>
      <c r="DC77" s="780"/>
      <c r="DD77" s="780"/>
      <c r="DE77" s="780"/>
      <c r="DF77" s="780"/>
      <c r="DG77" s="780"/>
      <c r="DH77" s="780"/>
      <c r="DI77" s="780"/>
      <c r="DJ77" s="780"/>
      <c r="DK77" s="780"/>
      <c r="DL77" s="780"/>
      <c r="DM77" s="780"/>
      <c r="DN77" s="780"/>
      <c r="DO77" s="780"/>
      <c r="DP77" s="780"/>
      <c r="DQ77" s="780"/>
      <c r="DR77" s="780"/>
      <c r="DS77" s="780"/>
      <c r="DT77" s="780"/>
      <c r="DU77" s="780"/>
      <c r="DV77" s="780"/>
      <c r="DW77" s="780"/>
      <c r="DX77" s="780"/>
      <c r="DY77" s="780"/>
      <c r="DZ77" s="780"/>
      <c r="EA77" s="780"/>
      <c r="EB77" s="780"/>
      <c r="EC77" s="780"/>
      <c r="ED77" s="780"/>
      <c r="EE77" s="780"/>
      <c r="EF77" s="780"/>
      <c r="EG77" s="780"/>
      <c r="EH77" s="780"/>
      <c r="EI77" s="780"/>
      <c r="EJ77" s="780"/>
      <c r="EK77" s="780"/>
      <c r="EL77" s="780"/>
      <c r="EM77" s="780"/>
      <c r="EN77" s="780"/>
      <c r="EO77" s="780"/>
      <c r="EP77" s="780"/>
      <c r="EQ77" s="780"/>
      <c r="ER77" s="780"/>
      <c r="ES77" s="780"/>
      <c r="ET77" s="780"/>
      <c r="EU77" s="780"/>
      <c r="EV77" s="780"/>
      <c r="EW77" s="780"/>
      <c r="EX77" s="780"/>
      <c r="EY77" s="780"/>
      <c r="EZ77" s="780"/>
      <c r="FA77" s="780"/>
      <c r="FB77" s="780"/>
      <c r="FC77" s="780"/>
      <c r="FD77" s="780"/>
      <c r="FE77" s="780"/>
      <c r="FF77" s="780"/>
      <c r="FG77" s="780"/>
      <c r="FH77" s="780"/>
    </row>
    <row r="78" spans="1:164" s="480" customFormat="1" ht="15.75" hidden="1" customHeight="1">
      <c r="A78" s="62">
        <f t="shared" si="118"/>
        <v>32</v>
      </c>
      <c r="B78" s="63">
        <f t="shared" si="110"/>
        <v>45873</v>
      </c>
      <c r="C78" s="63">
        <f t="shared" si="116"/>
        <v>45879</v>
      </c>
      <c r="D78" s="239">
        <f t="shared" ca="1" si="111"/>
        <v>0</v>
      </c>
      <c r="E78" s="239">
        <f t="shared" ca="1" si="112"/>
        <v>0</v>
      </c>
      <c r="F78" s="239">
        <f t="shared" ca="1" si="119"/>
        <v>0</v>
      </c>
      <c r="G78" s="261">
        <f t="shared" ca="1" si="117"/>
        <v>0</v>
      </c>
      <c r="I78" s="237"/>
      <c r="AV78" s="235"/>
      <c r="AW78" s="235"/>
      <c r="AX78" s="235"/>
      <c r="AY78" s="235"/>
      <c r="AZ78" s="235"/>
      <c r="BA78" s="235"/>
      <c r="BB78" s="235"/>
      <c r="BC78" s="235"/>
      <c r="BD78" s="235"/>
      <c r="BE78" s="235"/>
      <c r="BF78" s="235"/>
      <c r="BG78" s="235"/>
      <c r="BH78" s="235"/>
      <c r="BI78" s="235"/>
      <c r="BJ78" s="235"/>
      <c r="BK78" s="235"/>
      <c r="BL78" s="235"/>
      <c r="BM78" s="235"/>
      <c r="BN78" s="235"/>
      <c r="BO78" s="235"/>
      <c r="BP78" s="235"/>
      <c r="BQ78" s="235"/>
      <c r="BV78" s="481"/>
      <c r="BW78" s="489"/>
      <c r="BX78" s="489"/>
      <c r="BY78" s="489"/>
      <c r="BZ78" s="492"/>
      <c r="CA78" s="492"/>
      <c r="CB78" s="492"/>
      <c r="CC78" s="497"/>
      <c r="CD78" s="497"/>
      <c r="CE78" s="497"/>
      <c r="CF78" s="497"/>
      <c r="CG78" s="497"/>
      <c r="CH78" s="518"/>
      <c r="CI78" s="518"/>
      <c r="CJ78" s="521"/>
      <c r="CK78" s="521"/>
      <c r="CL78" s="521"/>
      <c r="CM78" s="521"/>
      <c r="CN78" s="542"/>
      <c r="CO78" s="542"/>
      <c r="CP78" s="542"/>
      <c r="CQ78" s="542"/>
      <c r="CR78" s="542"/>
      <c r="CS78" s="699"/>
      <c r="CT78" s="699"/>
      <c r="CU78" s="725"/>
      <c r="CV78" s="725"/>
      <c r="CW78" s="725"/>
      <c r="CX78" s="725"/>
      <c r="CY78" s="725"/>
      <c r="CZ78" s="725"/>
      <c r="DA78" s="780"/>
      <c r="DB78" s="780"/>
      <c r="DC78" s="780"/>
      <c r="DD78" s="780"/>
      <c r="DE78" s="780"/>
      <c r="DF78" s="780"/>
      <c r="DG78" s="780"/>
      <c r="DH78" s="780"/>
      <c r="DI78" s="780"/>
      <c r="DJ78" s="780"/>
      <c r="DK78" s="780"/>
      <c r="DL78" s="780"/>
      <c r="DM78" s="780"/>
      <c r="DN78" s="780"/>
      <c r="DO78" s="780"/>
      <c r="DP78" s="780"/>
      <c r="DQ78" s="780"/>
      <c r="DR78" s="780"/>
      <c r="DS78" s="780"/>
      <c r="DT78" s="780"/>
      <c r="DU78" s="780"/>
      <c r="DV78" s="780"/>
      <c r="DW78" s="780"/>
      <c r="DX78" s="780"/>
      <c r="DY78" s="780"/>
      <c r="DZ78" s="780"/>
      <c r="EA78" s="780"/>
      <c r="EB78" s="780"/>
      <c r="EC78" s="780"/>
      <c r="ED78" s="780"/>
      <c r="EE78" s="780"/>
      <c r="EF78" s="780"/>
      <c r="EG78" s="780"/>
      <c r="EH78" s="780"/>
      <c r="EI78" s="780"/>
      <c r="EJ78" s="780"/>
      <c r="EK78" s="780"/>
      <c r="EL78" s="780"/>
      <c r="EM78" s="780"/>
      <c r="EN78" s="780"/>
      <c r="EO78" s="780"/>
      <c r="EP78" s="780"/>
      <c r="EQ78" s="780"/>
      <c r="ER78" s="780"/>
      <c r="ES78" s="780"/>
      <c r="ET78" s="780"/>
      <c r="EU78" s="780"/>
      <c r="EV78" s="780"/>
      <c r="EW78" s="780"/>
      <c r="EX78" s="780"/>
      <c r="EY78" s="780"/>
      <c r="EZ78" s="780"/>
      <c r="FA78" s="780"/>
      <c r="FB78" s="780"/>
      <c r="FC78" s="780"/>
      <c r="FD78" s="780"/>
      <c r="FE78" s="780"/>
      <c r="FF78" s="780"/>
      <c r="FG78" s="780"/>
      <c r="FH78" s="780"/>
    </row>
    <row r="79" spans="1:164" s="480" customFormat="1" ht="15.75" hidden="1" customHeight="1">
      <c r="A79" s="62">
        <f t="shared" si="118"/>
        <v>33</v>
      </c>
      <c r="B79" s="63">
        <f t="shared" si="110"/>
        <v>45880</v>
      </c>
      <c r="C79" s="63">
        <f t="shared" si="116"/>
        <v>45886</v>
      </c>
      <c r="D79" s="239">
        <f t="shared" ca="1" si="111"/>
        <v>0</v>
      </c>
      <c r="E79" s="239">
        <f t="shared" ca="1" si="112"/>
        <v>0</v>
      </c>
      <c r="F79" s="239">
        <f t="shared" ca="1" si="119"/>
        <v>0</v>
      </c>
      <c r="G79" s="261">
        <f t="shared" ca="1" si="117"/>
        <v>0</v>
      </c>
      <c r="I79" s="237"/>
      <c r="AV79" s="235"/>
      <c r="AW79" s="235"/>
      <c r="AX79" s="235"/>
      <c r="AY79" s="235"/>
      <c r="AZ79" s="235"/>
      <c r="BA79" s="235"/>
      <c r="BB79" s="235"/>
      <c r="BC79" s="235"/>
      <c r="BD79" s="235"/>
      <c r="BE79" s="235"/>
      <c r="BF79" s="235"/>
      <c r="BG79" s="235"/>
      <c r="BH79" s="235"/>
      <c r="BI79" s="235"/>
      <c r="BJ79" s="235"/>
      <c r="BK79" s="235"/>
      <c r="BL79" s="235"/>
      <c r="BM79" s="235"/>
      <c r="BN79" s="235"/>
      <c r="BO79" s="235"/>
      <c r="BP79" s="235"/>
      <c r="BQ79" s="235"/>
      <c r="BV79" s="481"/>
      <c r="BW79" s="489"/>
      <c r="BX79" s="489"/>
      <c r="BY79" s="489"/>
      <c r="BZ79" s="492"/>
      <c r="CA79" s="492"/>
      <c r="CB79" s="492"/>
      <c r="CC79" s="497"/>
      <c r="CD79" s="497"/>
      <c r="CE79" s="497"/>
      <c r="CF79" s="497"/>
      <c r="CG79" s="497"/>
      <c r="CH79" s="518"/>
      <c r="CI79" s="518"/>
      <c r="CJ79" s="521"/>
      <c r="CK79" s="521"/>
      <c r="CL79" s="521"/>
      <c r="CM79" s="521"/>
      <c r="CN79" s="542"/>
      <c r="CO79" s="542"/>
      <c r="CP79" s="542"/>
      <c r="CQ79" s="542"/>
      <c r="CR79" s="542"/>
      <c r="CS79" s="699"/>
      <c r="CT79" s="699"/>
      <c r="CU79" s="725"/>
      <c r="CV79" s="725"/>
      <c r="CW79" s="725"/>
      <c r="CX79" s="725"/>
      <c r="CY79" s="725"/>
      <c r="CZ79" s="725"/>
      <c r="DA79" s="780"/>
      <c r="DB79" s="780"/>
      <c r="DC79" s="780"/>
      <c r="DD79" s="780"/>
      <c r="DE79" s="780"/>
      <c r="DF79" s="780"/>
      <c r="DG79" s="780"/>
      <c r="DH79" s="780"/>
      <c r="DI79" s="780"/>
      <c r="DJ79" s="780"/>
      <c r="DK79" s="780"/>
      <c r="DL79" s="780"/>
      <c r="DM79" s="780"/>
      <c r="DN79" s="780"/>
      <c r="DO79" s="780"/>
      <c r="DP79" s="780"/>
      <c r="DQ79" s="780"/>
      <c r="DR79" s="780"/>
      <c r="DS79" s="780"/>
      <c r="DT79" s="780"/>
      <c r="DU79" s="780"/>
      <c r="DV79" s="780"/>
      <c r="DW79" s="780"/>
      <c r="DX79" s="780"/>
      <c r="DY79" s="780"/>
      <c r="DZ79" s="780"/>
      <c r="EA79" s="780"/>
      <c r="EB79" s="780"/>
      <c r="EC79" s="780"/>
      <c r="ED79" s="780"/>
      <c r="EE79" s="780"/>
      <c r="EF79" s="780"/>
      <c r="EG79" s="780"/>
      <c r="EH79" s="780"/>
      <c r="EI79" s="780"/>
      <c r="EJ79" s="780"/>
      <c r="EK79" s="780"/>
      <c r="EL79" s="780"/>
      <c r="EM79" s="780"/>
      <c r="EN79" s="780"/>
      <c r="EO79" s="780"/>
      <c r="EP79" s="780"/>
      <c r="EQ79" s="780"/>
      <c r="ER79" s="780"/>
      <c r="ES79" s="780"/>
      <c r="ET79" s="780"/>
      <c r="EU79" s="780"/>
      <c r="EV79" s="780"/>
      <c r="EW79" s="780"/>
      <c r="EX79" s="780"/>
      <c r="EY79" s="780"/>
      <c r="EZ79" s="780"/>
      <c r="FA79" s="780"/>
      <c r="FB79" s="780"/>
      <c r="FC79" s="780"/>
      <c r="FD79" s="780"/>
      <c r="FE79" s="780"/>
      <c r="FF79" s="780"/>
      <c r="FG79" s="780"/>
      <c r="FH79" s="780"/>
    </row>
    <row r="80" spans="1:164" s="480" customFormat="1" ht="15.75" hidden="1" customHeight="1">
      <c r="A80" s="62">
        <f t="shared" si="118"/>
        <v>34</v>
      </c>
      <c r="B80" s="63">
        <f t="shared" si="110"/>
        <v>45887</v>
      </c>
      <c r="C80" s="63">
        <f t="shared" si="116"/>
        <v>45893</v>
      </c>
      <c r="D80" s="239">
        <f t="shared" ca="1" si="111"/>
        <v>0</v>
      </c>
      <c r="E80" s="239">
        <f t="shared" ca="1" si="112"/>
        <v>0</v>
      </c>
      <c r="F80" s="239">
        <f t="shared" ca="1" si="119"/>
        <v>0</v>
      </c>
      <c r="G80" s="261">
        <f t="shared" ca="1" si="117"/>
        <v>0</v>
      </c>
      <c r="I80" s="237"/>
      <c r="AV80" s="235"/>
      <c r="AW80" s="235"/>
      <c r="AX80" s="235"/>
      <c r="AY80" s="235"/>
      <c r="AZ80" s="235"/>
      <c r="BA80" s="235"/>
      <c r="BB80" s="235"/>
      <c r="BC80" s="235"/>
      <c r="BD80" s="235"/>
      <c r="BE80" s="235"/>
      <c r="BF80" s="235"/>
      <c r="BG80" s="235"/>
      <c r="BH80" s="235"/>
      <c r="BI80" s="235"/>
      <c r="BJ80" s="235"/>
      <c r="BK80" s="235"/>
      <c r="BL80" s="235"/>
      <c r="BM80" s="235"/>
      <c r="BN80" s="235"/>
      <c r="BO80" s="235"/>
      <c r="BP80" s="235"/>
      <c r="BQ80" s="235"/>
      <c r="BV80" s="481"/>
      <c r="BW80" s="489"/>
      <c r="BX80" s="489"/>
      <c r="BY80" s="489"/>
      <c r="BZ80" s="492"/>
      <c r="CA80" s="492"/>
      <c r="CB80" s="492"/>
      <c r="CC80" s="497"/>
      <c r="CD80" s="497"/>
      <c r="CE80" s="497"/>
      <c r="CF80" s="497"/>
      <c r="CG80" s="497"/>
      <c r="CH80" s="518"/>
      <c r="CI80" s="518"/>
      <c r="CJ80" s="521"/>
      <c r="CK80" s="521"/>
      <c r="CL80" s="521"/>
      <c r="CM80" s="521"/>
      <c r="CN80" s="542"/>
      <c r="CO80" s="542"/>
      <c r="CP80" s="542"/>
      <c r="CQ80" s="542"/>
      <c r="CR80" s="542"/>
      <c r="CS80" s="699"/>
      <c r="CT80" s="699"/>
      <c r="CU80" s="725"/>
      <c r="CV80" s="725"/>
      <c r="CW80" s="725"/>
      <c r="CX80" s="725"/>
      <c r="CY80" s="725"/>
      <c r="CZ80" s="725"/>
      <c r="DA80" s="780"/>
      <c r="DB80" s="780"/>
      <c r="DC80" s="780"/>
      <c r="DD80" s="780"/>
      <c r="DE80" s="780"/>
      <c r="DF80" s="780"/>
      <c r="DG80" s="780"/>
      <c r="DH80" s="780"/>
      <c r="DI80" s="780"/>
      <c r="DJ80" s="780"/>
      <c r="DK80" s="780"/>
      <c r="DL80" s="780"/>
      <c r="DM80" s="780"/>
      <c r="DN80" s="780"/>
      <c r="DO80" s="780"/>
      <c r="DP80" s="780"/>
      <c r="DQ80" s="780"/>
      <c r="DR80" s="780"/>
      <c r="DS80" s="780"/>
      <c r="DT80" s="780"/>
      <c r="DU80" s="780"/>
      <c r="DV80" s="780"/>
      <c r="DW80" s="780"/>
      <c r="DX80" s="780"/>
      <c r="DY80" s="780"/>
      <c r="DZ80" s="780"/>
      <c r="EA80" s="780"/>
      <c r="EB80" s="780"/>
      <c r="EC80" s="780"/>
      <c r="ED80" s="780"/>
      <c r="EE80" s="780"/>
      <c r="EF80" s="780"/>
      <c r="EG80" s="780"/>
      <c r="EH80" s="780"/>
      <c r="EI80" s="780"/>
      <c r="EJ80" s="780"/>
      <c r="EK80" s="780"/>
      <c r="EL80" s="780"/>
      <c r="EM80" s="780"/>
      <c r="EN80" s="780"/>
      <c r="EO80" s="780"/>
      <c r="EP80" s="780"/>
      <c r="EQ80" s="780"/>
      <c r="ER80" s="780"/>
      <c r="ES80" s="780"/>
      <c r="ET80" s="780"/>
      <c r="EU80" s="780"/>
      <c r="EV80" s="780"/>
      <c r="EW80" s="780"/>
      <c r="EX80" s="780"/>
      <c r="EY80" s="780"/>
      <c r="EZ80" s="780"/>
      <c r="FA80" s="780"/>
      <c r="FB80" s="780"/>
      <c r="FC80" s="780"/>
      <c r="FD80" s="780"/>
      <c r="FE80" s="780"/>
      <c r="FF80" s="780"/>
      <c r="FG80" s="780"/>
      <c r="FH80" s="780"/>
    </row>
    <row r="81" spans="1:164" s="480" customFormat="1" ht="15.75" hidden="1" customHeight="1">
      <c r="A81" s="62">
        <f t="shared" si="118"/>
        <v>35</v>
      </c>
      <c r="B81" s="63">
        <f t="shared" si="110"/>
        <v>45894</v>
      </c>
      <c r="C81" s="63">
        <f t="shared" si="116"/>
        <v>45900</v>
      </c>
      <c r="D81" s="239">
        <f t="shared" ca="1" si="111"/>
        <v>0</v>
      </c>
      <c r="E81" s="239">
        <f t="shared" ca="1" si="112"/>
        <v>0</v>
      </c>
      <c r="F81" s="239">
        <f t="shared" ca="1" si="119"/>
        <v>0</v>
      </c>
      <c r="G81" s="261">
        <f t="shared" ca="1" si="117"/>
        <v>0</v>
      </c>
      <c r="I81" s="237"/>
      <c r="AV81" s="235"/>
      <c r="AW81" s="235"/>
      <c r="AX81" s="235"/>
      <c r="AY81" s="235"/>
      <c r="AZ81" s="235"/>
      <c r="BA81" s="235"/>
      <c r="BB81" s="235"/>
      <c r="BC81" s="235"/>
      <c r="BD81" s="235"/>
      <c r="BE81" s="235"/>
      <c r="BF81" s="235"/>
      <c r="BG81" s="235"/>
      <c r="BH81" s="235"/>
      <c r="BI81" s="235"/>
      <c r="BJ81" s="235"/>
      <c r="BK81" s="235"/>
      <c r="BL81" s="235"/>
      <c r="BM81" s="235"/>
      <c r="BN81" s="235"/>
      <c r="BO81" s="235"/>
      <c r="BP81" s="235"/>
      <c r="BQ81" s="235"/>
      <c r="BV81" s="481"/>
      <c r="BW81" s="489"/>
      <c r="BX81" s="489"/>
      <c r="BY81" s="489"/>
      <c r="BZ81" s="492"/>
      <c r="CA81" s="492"/>
      <c r="CB81" s="492"/>
      <c r="CC81" s="497"/>
      <c r="CD81" s="497"/>
      <c r="CE81" s="497"/>
      <c r="CF81" s="497"/>
      <c r="CG81" s="497"/>
      <c r="CH81" s="518"/>
      <c r="CI81" s="518"/>
      <c r="CJ81" s="521"/>
      <c r="CK81" s="521"/>
      <c r="CL81" s="521"/>
      <c r="CM81" s="521"/>
      <c r="CN81" s="542"/>
      <c r="CO81" s="542"/>
      <c r="CP81" s="542"/>
      <c r="CQ81" s="542"/>
      <c r="CR81" s="542"/>
      <c r="CS81" s="699"/>
      <c r="CT81" s="699"/>
      <c r="CU81" s="725"/>
      <c r="CV81" s="725"/>
      <c r="CW81" s="725"/>
      <c r="CX81" s="725"/>
      <c r="CY81" s="725"/>
      <c r="CZ81" s="725"/>
      <c r="DA81" s="780"/>
      <c r="DB81" s="780"/>
      <c r="DC81" s="780"/>
      <c r="DD81" s="780"/>
      <c r="DE81" s="780"/>
      <c r="DF81" s="780"/>
      <c r="DG81" s="780"/>
      <c r="DH81" s="780"/>
      <c r="DI81" s="780"/>
      <c r="DJ81" s="780"/>
      <c r="DK81" s="780"/>
      <c r="DL81" s="780"/>
      <c r="DM81" s="780"/>
      <c r="DN81" s="780"/>
      <c r="DO81" s="780"/>
      <c r="DP81" s="780"/>
      <c r="DQ81" s="780"/>
      <c r="DR81" s="780"/>
      <c r="DS81" s="780"/>
      <c r="DT81" s="780"/>
      <c r="DU81" s="780"/>
      <c r="DV81" s="780"/>
      <c r="DW81" s="780"/>
      <c r="DX81" s="780"/>
      <c r="DY81" s="780"/>
      <c r="DZ81" s="780"/>
      <c r="EA81" s="780"/>
      <c r="EB81" s="780"/>
      <c r="EC81" s="780"/>
      <c r="ED81" s="780"/>
      <c r="EE81" s="780"/>
      <c r="EF81" s="780"/>
      <c r="EG81" s="780"/>
      <c r="EH81" s="780"/>
      <c r="EI81" s="780"/>
      <c r="EJ81" s="780"/>
      <c r="EK81" s="780"/>
      <c r="EL81" s="780"/>
      <c r="EM81" s="780"/>
      <c r="EN81" s="780"/>
      <c r="EO81" s="780"/>
      <c r="EP81" s="780"/>
      <c r="EQ81" s="780"/>
      <c r="ER81" s="780"/>
      <c r="ES81" s="780"/>
      <c r="ET81" s="780"/>
      <c r="EU81" s="780"/>
      <c r="EV81" s="780"/>
      <c r="EW81" s="780"/>
      <c r="EX81" s="780"/>
      <c r="EY81" s="780"/>
      <c r="EZ81" s="780"/>
      <c r="FA81" s="780"/>
      <c r="FB81" s="780"/>
      <c r="FC81" s="780"/>
      <c r="FD81" s="780"/>
      <c r="FE81" s="780"/>
      <c r="FF81" s="780"/>
      <c r="FG81" s="780"/>
      <c r="FH81" s="780"/>
    </row>
    <row r="82" spans="1:164" s="480" customFormat="1" ht="15.75" hidden="1" customHeight="1">
      <c r="A82" s="62">
        <f t="shared" si="118"/>
        <v>36</v>
      </c>
      <c r="B82" s="63">
        <f t="shared" si="110"/>
        <v>45901</v>
      </c>
      <c r="C82" s="63">
        <f t="shared" si="116"/>
        <v>45907</v>
      </c>
      <c r="D82" s="239">
        <f t="shared" ca="1" si="111"/>
        <v>0</v>
      </c>
      <c r="E82" s="239">
        <f t="shared" ca="1" si="112"/>
        <v>0</v>
      </c>
      <c r="F82" s="239">
        <f t="shared" ca="1" si="119"/>
        <v>0</v>
      </c>
      <c r="G82" s="261">
        <f t="shared" ca="1" si="117"/>
        <v>0</v>
      </c>
      <c r="I82" s="237"/>
      <c r="AV82" s="235"/>
      <c r="AW82" s="235"/>
      <c r="AX82" s="235"/>
      <c r="AY82" s="235"/>
      <c r="AZ82" s="235"/>
      <c r="BA82" s="235"/>
      <c r="BB82" s="235"/>
      <c r="BC82" s="235"/>
      <c r="BD82" s="235"/>
      <c r="BE82" s="235"/>
      <c r="BF82" s="235"/>
      <c r="BG82" s="235"/>
      <c r="BH82" s="235"/>
      <c r="BI82" s="235"/>
      <c r="BJ82" s="235"/>
      <c r="BK82" s="235"/>
      <c r="BL82" s="235"/>
      <c r="BM82" s="235"/>
      <c r="BN82" s="235"/>
      <c r="BO82" s="235"/>
      <c r="BP82" s="235"/>
      <c r="BQ82" s="235"/>
      <c r="BV82" s="481"/>
      <c r="BW82" s="489"/>
      <c r="BX82" s="489"/>
      <c r="BY82" s="489"/>
      <c r="BZ82" s="492"/>
      <c r="CA82" s="492"/>
      <c r="CB82" s="492"/>
      <c r="CC82" s="497"/>
      <c r="CD82" s="497"/>
      <c r="CE82" s="497"/>
      <c r="CF82" s="497"/>
      <c r="CG82" s="497"/>
      <c r="CH82" s="518"/>
      <c r="CI82" s="518"/>
      <c r="CJ82" s="521"/>
      <c r="CK82" s="521"/>
      <c r="CL82" s="521"/>
      <c r="CM82" s="521"/>
      <c r="CN82" s="542"/>
      <c r="CO82" s="542"/>
      <c r="CP82" s="542"/>
      <c r="CQ82" s="542"/>
      <c r="CR82" s="542"/>
      <c r="CS82" s="699"/>
      <c r="CT82" s="699"/>
      <c r="CU82" s="725"/>
      <c r="CV82" s="725"/>
      <c r="CW82" s="725"/>
      <c r="CX82" s="725"/>
      <c r="CY82" s="725"/>
      <c r="CZ82" s="725"/>
      <c r="DA82" s="780"/>
      <c r="DB82" s="780"/>
      <c r="DC82" s="780"/>
      <c r="DD82" s="780"/>
      <c r="DE82" s="780"/>
      <c r="DF82" s="780"/>
      <c r="DG82" s="780"/>
      <c r="DH82" s="780"/>
      <c r="DI82" s="780"/>
      <c r="DJ82" s="780"/>
      <c r="DK82" s="780"/>
      <c r="DL82" s="780"/>
      <c r="DM82" s="780"/>
      <c r="DN82" s="780"/>
      <c r="DO82" s="780"/>
      <c r="DP82" s="780"/>
      <c r="DQ82" s="780"/>
      <c r="DR82" s="780"/>
      <c r="DS82" s="780"/>
      <c r="DT82" s="780"/>
      <c r="DU82" s="780"/>
      <c r="DV82" s="780"/>
      <c r="DW82" s="780"/>
      <c r="DX82" s="780"/>
      <c r="DY82" s="780"/>
      <c r="DZ82" s="780"/>
      <c r="EA82" s="780"/>
      <c r="EB82" s="780"/>
      <c r="EC82" s="780"/>
      <c r="ED82" s="780"/>
      <c r="EE82" s="780"/>
      <c r="EF82" s="780"/>
      <c r="EG82" s="780"/>
      <c r="EH82" s="780"/>
      <c r="EI82" s="780"/>
      <c r="EJ82" s="780"/>
      <c r="EK82" s="780"/>
      <c r="EL82" s="780"/>
      <c r="EM82" s="780"/>
      <c r="EN82" s="780"/>
      <c r="EO82" s="780"/>
      <c r="EP82" s="780"/>
      <c r="EQ82" s="780"/>
      <c r="ER82" s="780"/>
      <c r="ES82" s="780"/>
      <c r="ET82" s="780"/>
      <c r="EU82" s="780"/>
      <c r="EV82" s="780"/>
      <c r="EW82" s="780"/>
      <c r="EX82" s="780"/>
      <c r="EY82" s="780"/>
      <c r="EZ82" s="780"/>
      <c r="FA82" s="780"/>
      <c r="FB82" s="780"/>
      <c r="FC82" s="780"/>
      <c r="FD82" s="780"/>
      <c r="FE82" s="780"/>
      <c r="FF82" s="780"/>
      <c r="FG82" s="780"/>
      <c r="FH82" s="780"/>
    </row>
    <row r="83" spans="1:164" s="480" customFormat="1" ht="15.75" hidden="1" customHeight="1">
      <c r="A83" s="62">
        <f t="shared" si="118"/>
        <v>37</v>
      </c>
      <c r="B83" s="63">
        <f t="shared" si="110"/>
        <v>45908</v>
      </c>
      <c r="C83" s="63">
        <f t="shared" si="116"/>
        <v>45914</v>
      </c>
      <c r="D83" s="239">
        <f t="shared" ca="1" si="111"/>
        <v>0</v>
      </c>
      <c r="E83" s="239">
        <f t="shared" ca="1" si="112"/>
        <v>0</v>
      </c>
      <c r="F83" s="239">
        <f t="shared" ca="1" si="119"/>
        <v>0</v>
      </c>
      <c r="G83" s="261">
        <f t="shared" ca="1" si="117"/>
        <v>0</v>
      </c>
      <c r="I83" s="237"/>
      <c r="AV83" s="235"/>
      <c r="AW83" s="235"/>
      <c r="AX83" s="235"/>
      <c r="AY83" s="235"/>
      <c r="AZ83" s="235"/>
      <c r="BA83" s="235"/>
      <c r="BB83" s="235"/>
      <c r="BC83" s="235"/>
      <c r="BD83" s="235"/>
      <c r="BE83" s="235"/>
      <c r="BF83" s="235"/>
      <c r="BG83" s="235"/>
      <c r="BH83" s="235"/>
      <c r="BI83" s="235"/>
      <c r="BJ83" s="235"/>
      <c r="BK83" s="235"/>
      <c r="BL83" s="235"/>
      <c r="BM83" s="235"/>
      <c r="BN83" s="235"/>
      <c r="BO83" s="235"/>
      <c r="BP83" s="235"/>
      <c r="BQ83" s="235"/>
      <c r="BV83" s="481"/>
      <c r="BW83" s="489"/>
      <c r="BX83" s="489"/>
      <c r="BY83" s="489"/>
      <c r="BZ83" s="492"/>
      <c r="CA83" s="492"/>
      <c r="CB83" s="492"/>
      <c r="CC83" s="497"/>
      <c r="CD83" s="497"/>
      <c r="CE83" s="497"/>
      <c r="CF83" s="497"/>
      <c r="CG83" s="497"/>
      <c r="CH83" s="518"/>
      <c r="CI83" s="518"/>
      <c r="CJ83" s="521"/>
      <c r="CK83" s="521"/>
      <c r="CL83" s="521"/>
      <c r="CM83" s="521"/>
      <c r="CN83" s="542"/>
      <c r="CO83" s="542"/>
      <c r="CP83" s="542"/>
      <c r="CQ83" s="542"/>
      <c r="CR83" s="542"/>
      <c r="CS83" s="699"/>
      <c r="CT83" s="699"/>
      <c r="CU83" s="725"/>
      <c r="CV83" s="725"/>
      <c r="CW83" s="725"/>
      <c r="CX83" s="725"/>
      <c r="CY83" s="725"/>
      <c r="CZ83" s="725"/>
      <c r="DA83" s="780"/>
      <c r="DB83" s="780"/>
      <c r="DC83" s="780"/>
      <c r="DD83" s="780"/>
      <c r="DE83" s="780"/>
      <c r="DF83" s="780"/>
      <c r="DG83" s="780"/>
      <c r="DH83" s="780"/>
      <c r="DI83" s="780"/>
      <c r="DJ83" s="780"/>
      <c r="DK83" s="780"/>
      <c r="DL83" s="780"/>
      <c r="DM83" s="780"/>
      <c r="DN83" s="780"/>
      <c r="DO83" s="780"/>
      <c r="DP83" s="780"/>
      <c r="DQ83" s="780"/>
      <c r="DR83" s="780"/>
      <c r="DS83" s="780"/>
      <c r="DT83" s="780"/>
      <c r="DU83" s="780"/>
      <c r="DV83" s="780"/>
      <c r="DW83" s="780"/>
      <c r="DX83" s="780"/>
      <c r="DY83" s="780"/>
      <c r="DZ83" s="780"/>
      <c r="EA83" s="780"/>
      <c r="EB83" s="780"/>
      <c r="EC83" s="780"/>
      <c r="ED83" s="780"/>
      <c r="EE83" s="780"/>
      <c r="EF83" s="780"/>
      <c r="EG83" s="780"/>
      <c r="EH83" s="780"/>
      <c r="EI83" s="780"/>
      <c r="EJ83" s="780"/>
      <c r="EK83" s="780"/>
      <c r="EL83" s="780"/>
      <c r="EM83" s="780"/>
      <c r="EN83" s="780"/>
      <c r="EO83" s="780"/>
      <c r="EP83" s="780"/>
      <c r="EQ83" s="780"/>
      <c r="ER83" s="780"/>
      <c r="ES83" s="780"/>
      <c r="ET83" s="780"/>
      <c r="EU83" s="780"/>
      <c r="EV83" s="780"/>
      <c r="EW83" s="780"/>
      <c r="EX83" s="780"/>
      <c r="EY83" s="780"/>
      <c r="EZ83" s="780"/>
      <c r="FA83" s="780"/>
      <c r="FB83" s="780"/>
      <c r="FC83" s="780"/>
      <c r="FD83" s="780"/>
      <c r="FE83" s="780"/>
      <c r="FF83" s="780"/>
      <c r="FG83" s="780"/>
      <c r="FH83" s="780"/>
    </row>
    <row r="84" spans="1:164" s="480" customFormat="1" ht="15.75" hidden="1" customHeight="1">
      <c r="A84" s="62">
        <f t="shared" si="118"/>
        <v>38</v>
      </c>
      <c r="B84" s="63">
        <f t="shared" ref="B84:B147" si="120">+B83+7</f>
        <v>45915</v>
      </c>
      <c r="C84" s="63">
        <f t="shared" si="116"/>
        <v>45921</v>
      </c>
      <c r="D84" s="239">
        <f t="shared" ca="1" si="111"/>
        <v>0</v>
      </c>
      <c r="E84" s="239">
        <f t="shared" ca="1" si="112"/>
        <v>0</v>
      </c>
      <c r="F84" s="239">
        <f t="shared" ca="1" si="119"/>
        <v>0</v>
      </c>
      <c r="G84" s="261">
        <f t="shared" ca="1" si="117"/>
        <v>0</v>
      </c>
      <c r="I84" s="237"/>
      <c r="AV84" s="235"/>
      <c r="AW84" s="235"/>
      <c r="AX84" s="235"/>
      <c r="AY84" s="235"/>
      <c r="AZ84" s="235"/>
      <c r="BA84" s="235"/>
      <c r="BB84" s="235"/>
      <c r="BC84" s="235"/>
      <c r="BD84" s="235"/>
      <c r="BE84" s="235"/>
      <c r="BF84" s="235"/>
      <c r="BG84" s="235"/>
      <c r="BH84" s="235"/>
      <c r="BI84" s="235"/>
      <c r="BJ84" s="235"/>
      <c r="BK84" s="235"/>
      <c r="BL84" s="235"/>
      <c r="BM84" s="235"/>
      <c r="BN84" s="235"/>
      <c r="BO84" s="235"/>
      <c r="BP84" s="235"/>
      <c r="BQ84" s="235"/>
      <c r="BV84" s="481"/>
      <c r="BW84" s="489"/>
      <c r="BX84" s="489"/>
      <c r="BY84" s="489"/>
      <c r="BZ84" s="492"/>
      <c r="CA84" s="492"/>
      <c r="CB84" s="492"/>
      <c r="CC84" s="497"/>
      <c r="CD84" s="497"/>
      <c r="CE84" s="497"/>
      <c r="CF84" s="497"/>
      <c r="CG84" s="497"/>
      <c r="CH84" s="518"/>
      <c r="CI84" s="518"/>
      <c r="CJ84" s="521"/>
      <c r="CK84" s="521"/>
      <c r="CL84" s="521"/>
      <c r="CM84" s="521"/>
      <c r="CN84" s="542"/>
      <c r="CO84" s="542"/>
      <c r="CP84" s="542"/>
      <c r="CQ84" s="542"/>
      <c r="CR84" s="542"/>
      <c r="CS84" s="699"/>
      <c r="CT84" s="699"/>
      <c r="CU84" s="725"/>
      <c r="CV84" s="725"/>
      <c r="CW84" s="725"/>
      <c r="CX84" s="725"/>
      <c r="CY84" s="725"/>
      <c r="CZ84" s="725"/>
      <c r="DA84" s="780"/>
      <c r="DB84" s="780"/>
      <c r="DC84" s="780"/>
      <c r="DD84" s="780"/>
      <c r="DE84" s="780"/>
      <c r="DF84" s="780"/>
      <c r="DG84" s="780"/>
      <c r="DH84" s="780"/>
      <c r="DI84" s="780"/>
      <c r="DJ84" s="780"/>
      <c r="DK84" s="780"/>
      <c r="DL84" s="780"/>
      <c r="DM84" s="780"/>
      <c r="DN84" s="780"/>
      <c r="DO84" s="780"/>
      <c r="DP84" s="780"/>
      <c r="DQ84" s="780"/>
      <c r="DR84" s="780"/>
      <c r="DS84" s="780"/>
      <c r="DT84" s="780"/>
      <c r="DU84" s="780"/>
      <c r="DV84" s="780"/>
      <c r="DW84" s="780"/>
      <c r="DX84" s="780"/>
      <c r="DY84" s="780"/>
      <c r="DZ84" s="780"/>
      <c r="EA84" s="780"/>
      <c r="EB84" s="780"/>
      <c r="EC84" s="780"/>
      <c r="ED84" s="780"/>
      <c r="EE84" s="780"/>
      <c r="EF84" s="780"/>
      <c r="EG84" s="780"/>
      <c r="EH84" s="780"/>
      <c r="EI84" s="780"/>
      <c r="EJ84" s="780"/>
      <c r="EK84" s="780"/>
      <c r="EL84" s="780"/>
      <c r="EM84" s="780"/>
      <c r="EN84" s="780"/>
      <c r="EO84" s="780"/>
      <c r="EP84" s="780"/>
      <c r="EQ84" s="780"/>
      <c r="ER84" s="780"/>
      <c r="ES84" s="780"/>
      <c r="ET84" s="780"/>
      <c r="EU84" s="780"/>
      <c r="EV84" s="780"/>
      <c r="EW84" s="780"/>
      <c r="EX84" s="780"/>
      <c r="EY84" s="780"/>
      <c r="EZ84" s="780"/>
      <c r="FA84" s="780"/>
      <c r="FB84" s="780"/>
      <c r="FC84" s="780"/>
      <c r="FD84" s="780"/>
      <c r="FE84" s="780"/>
      <c r="FF84" s="780"/>
      <c r="FG84" s="780"/>
      <c r="FH84" s="780"/>
    </row>
    <row r="85" spans="1:164" s="480" customFormat="1" ht="15.75" hidden="1" customHeight="1">
      <c r="A85" s="62">
        <f t="shared" si="118"/>
        <v>39</v>
      </c>
      <c r="B85" s="63">
        <f t="shared" si="120"/>
        <v>45922</v>
      </c>
      <c r="C85" s="63">
        <f t="shared" si="116"/>
        <v>45928</v>
      </c>
      <c r="D85" s="239">
        <f t="shared" ca="1" si="111"/>
        <v>0</v>
      </c>
      <c r="E85" s="239">
        <f t="shared" ca="1" si="112"/>
        <v>0</v>
      </c>
      <c r="F85" s="239">
        <f t="shared" ca="1" si="119"/>
        <v>0</v>
      </c>
      <c r="G85" s="261">
        <f t="shared" ca="1" si="117"/>
        <v>0</v>
      </c>
      <c r="I85" s="237"/>
      <c r="AV85" s="235"/>
      <c r="AW85" s="235"/>
      <c r="AX85" s="235"/>
      <c r="AY85" s="235"/>
      <c r="AZ85" s="235"/>
      <c r="BA85" s="235"/>
      <c r="BB85" s="235"/>
      <c r="BC85" s="235"/>
      <c r="BD85" s="235"/>
      <c r="BE85" s="235"/>
      <c r="BF85" s="235"/>
      <c r="BG85" s="235"/>
      <c r="BH85" s="235"/>
      <c r="BI85" s="235"/>
      <c r="BJ85" s="235"/>
      <c r="BK85" s="235"/>
      <c r="BL85" s="235"/>
      <c r="BM85" s="235"/>
      <c r="BN85" s="235"/>
      <c r="BO85" s="235"/>
      <c r="BP85" s="235"/>
      <c r="BQ85" s="235"/>
      <c r="BV85" s="481"/>
      <c r="BW85" s="489"/>
      <c r="BX85" s="489"/>
      <c r="BY85" s="489"/>
      <c r="BZ85" s="492"/>
      <c r="CA85" s="492"/>
      <c r="CB85" s="492"/>
      <c r="CC85" s="497"/>
      <c r="CD85" s="497"/>
      <c r="CE85" s="497"/>
      <c r="CF85" s="497"/>
      <c r="CG85" s="497"/>
      <c r="CH85" s="518"/>
      <c r="CI85" s="518"/>
      <c r="CJ85" s="521"/>
      <c r="CK85" s="521"/>
      <c r="CL85" s="521"/>
      <c r="CM85" s="521"/>
      <c r="CN85" s="542"/>
      <c r="CO85" s="542"/>
      <c r="CP85" s="542"/>
      <c r="CQ85" s="542"/>
      <c r="CR85" s="542"/>
      <c r="CS85" s="699"/>
      <c r="CT85" s="699"/>
      <c r="CU85" s="725"/>
      <c r="CV85" s="725"/>
      <c r="CW85" s="725"/>
      <c r="CX85" s="725"/>
      <c r="CY85" s="725"/>
      <c r="CZ85" s="725"/>
      <c r="DA85" s="780"/>
      <c r="DB85" s="780"/>
      <c r="DC85" s="780"/>
      <c r="DD85" s="780"/>
      <c r="DE85" s="780"/>
      <c r="DF85" s="780"/>
      <c r="DG85" s="780"/>
      <c r="DH85" s="780"/>
      <c r="DI85" s="780"/>
      <c r="DJ85" s="780"/>
      <c r="DK85" s="780"/>
      <c r="DL85" s="780"/>
      <c r="DM85" s="780"/>
      <c r="DN85" s="780"/>
      <c r="DO85" s="780"/>
      <c r="DP85" s="780"/>
      <c r="DQ85" s="780"/>
      <c r="DR85" s="780"/>
      <c r="DS85" s="780"/>
      <c r="DT85" s="780"/>
      <c r="DU85" s="780"/>
      <c r="DV85" s="780"/>
      <c r="DW85" s="780"/>
      <c r="DX85" s="780"/>
      <c r="DY85" s="780"/>
      <c r="DZ85" s="780"/>
      <c r="EA85" s="780"/>
      <c r="EB85" s="780"/>
      <c r="EC85" s="780"/>
      <c r="ED85" s="780"/>
      <c r="EE85" s="780"/>
      <c r="EF85" s="780"/>
      <c r="EG85" s="780"/>
      <c r="EH85" s="780"/>
      <c r="EI85" s="780"/>
      <c r="EJ85" s="780"/>
      <c r="EK85" s="780"/>
      <c r="EL85" s="780"/>
      <c r="EM85" s="780"/>
      <c r="EN85" s="780"/>
      <c r="EO85" s="780"/>
      <c r="EP85" s="780"/>
      <c r="EQ85" s="780"/>
      <c r="ER85" s="780"/>
      <c r="ES85" s="780"/>
      <c r="ET85" s="780"/>
      <c r="EU85" s="780"/>
      <c r="EV85" s="780"/>
      <c r="EW85" s="780"/>
      <c r="EX85" s="780"/>
      <c r="EY85" s="780"/>
      <c r="EZ85" s="780"/>
      <c r="FA85" s="780"/>
      <c r="FB85" s="780"/>
      <c r="FC85" s="780"/>
      <c r="FD85" s="780"/>
      <c r="FE85" s="780"/>
      <c r="FF85" s="780"/>
      <c r="FG85" s="780"/>
      <c r="FH85" s="780"/>
    </row>
    <row r="86" spans="1:164" s="480" customFormat="1" ht="15.75" hidden="1" customHeight="1">
      <c r="A86" s="62">
        <f t="shared" si="118"/>
        <v>40</v>
      </c>
      <c r="B86" s="63">
        <f t="shared" si="120"/>
        <v>45929</v>
      </c>
      <c r="C86" s="63">
        <f t="shared" si="116"/>
        <v>45935</v>
      </c>
      <c r="D86" s="239">
        <f t="shared" ca="1" si="111"/>
        <v>0</v>
      </c>
      <c r="E86" s="239">
        <f t="shared" ca="1" si="112"/>
        <v>0</v>
      </c>
      <c r="F86" s="239">
        <f t="shared" ca="1" si="119"/>
        <v>0</v>
      </c>
      <c r="G86" s="261">
        <f t="shared" ca="1" si="117"/>
        <v>0</v>
      </c>
      <c r="I86" s="237"/>
      <c r="AV86" s="235"/>
      <c r="AW86" s="235"/>
      <c r="AX86" s="235"/>
      <c r="AY86" s="235"/>
      <c r="AZ86" s="235"/>
      <c r="BA86" s="235"/>
      <c r="BB86" s="235"/>
      <c r="BC86" s="235"/>
      <c r="BD86" s="235"/>
      <c r="BE86" s="235"/>
      <c r="BF86" s="235"/>
      <c r="BG86" s="235"/>
      <c r="BH86" s="235"/>
      <c r="BI86" s="235"/>
      <c r="BJ86" s="235"/>
      <c r="BK86" s="235"/>
      <c r="BL86" s="235"/>
      <c r="BM86" s="235"/>
      <c r="BN86" s="235"/>
      <c r="BO86" s="235"/>
      <c r="BP86" s="235"/>
      <c r="BQ86" s="235"/>
      <c r="BV86" s="481"/>
      <c r="BW86" s="489"/>
      <c r="BX86" s="489"/>
      <c r="BY86" s="489"/>
      <c r="BZ86" s="492"/>
      <c r="CA86" s="492"/>
      <c r="CB86" s="492"/>
      <c r="CC86" s="497"/>
      <c r="CD86" s="497"/>
      <c r="CE86" s="497"/>
      <c r="CF86" s="497"/>
      <c r="CG86" s="497"/>
      <c r="CH86" s="518"/>
      <c r="CI86" s="518"/>
      <c r="CJ86" s="521"/>
      <c r="CK86" s="521"/>
      <c r="CL86" s="521"/>
      <c r="CM86" s="521"/>
      <c r="CN86" s="542"/>
      <c r="CO86" s="542"/>
      <c r="CP86" s="542"/>
      <c r="CQ86" s="542"/>
      <c r="CR86" s="542"/>
      <c r="CS86" s="699"/>
      <c r="CT86" s="699"/>
      <c r="CU86" s="725"/>
      <c r="CV86" s="725"/>
      <c r="CW86" s="725"/>
      <c r="CX86" s="725"/>
      <c r="CY86" s="725"/>
      <c r="CZ86" s="725"/>
      <c r="DA86" s="780"/>
      <c r="DB86" s="780"/>
      <c r="DC86" s="780"/>
      <c r="DD86" s="780"/>
      <c r="DE86" s="780"/>
      <c r="DF86" s="780"/>
      <c r="DG86" s="780"/>
      <c r="DH86" s="780"/>
      <c r="DI86" s="780"/>
      <c r="DJ86" s="780"/>
      <c r="DK86" s="780"/>
      <c r="DL86" s="780"/>
      <c r="DM86" s="780"/>
      <c r="DN86" s="780"/>
      <c r="DO86" s="780"/>
      <c r="DP86" s="780"/>
      <c r="DQ86" s="780"/>
      <c r="DR86" s="780"/>
      <c r="DS86" s="780"/>
      <c r="DT86" s="780"/>
      <c r="DU86" s="780"/>
      <c r="DV86" s="780"/>
      <c r="DW86" s="780"/>
      <c r="DX86" s="780"/>
      <c r="DY86" s="780"/>
      <c r="DZ86" s="780"/>
      <c r="EA86" s="780"/>
      <c r="EB86" s="780"/>
      <c r="EC86" s="780"/>
      <c r="ED86" s="780"/>
      <c r="EE86" s="780"/>
      <c r="EF86" s="780"/>
      <c r="EG86" s="780"/>
      <c r="EH86" s="780"/>
      <c r="EI86" s="780"/>
      <c r="EJ86" s="780"/>
      <c r="EK86" s="780"/>
      <c r="EL86" s="780"/>
      <c r="EM86" s="780"/>
      <c r="EN86" s="780"/>
      <c r="EO86" s="780"/>
      <c r="EP86" s="780"/>
      <c r="EQ86" s="780"/>
      <c r="ER86" s="780"/>
      <c r="ES86" s="780"/>
      <c r="ET86" s="780"/>
      <c r="EU86" s="780"/>
      <c r="EV86" s="780"/>
      <c r="EW86" s="780"/>
      <c r="EX86" s="780"/>
      <c r="EY86" s="780"/>
      <c r="EZ86" s="780"/>
      <c r="FA86" s="780"/>
      <c r="FB86" s="780"/>
      <c r="FC86" s="780"/>
      <c r="FD86" s="780"/>
      <c r="FE86" s="780"/>
      <c r="FF86" s="780"/>
      <c r="FG86" s="780"/>
      <c r="FH86" s="780"/>
    </row>
    <row r="87" spans="1:164" s="480" customFormat="1" ht="15.75" hidden="1" customHeight="1">
      <c r="A87" s="62">
        <f t="shared" si="118"/>
        <v>41</v>
      </c>
      <c r="B87" s="63">
        <f t="shared" si="120"/>
        <v>45936</v>
      </c>
      <c r="C87" s="63">
        <f t="shared" si="116"/>
        <v>45942</v>
      </c>
      <c r="D87" s="239">
        <f t="shared" ca="1" si="111"/>
        <v>0</v>
      </c>
      <c r="E87" s="239">
        <f t="shared" ca="1" si="112"/>
        <v>0</v>
      </c>
      <c r="F87" s="239">
        <f t="shared" ca="1" si="119"/>
        <v>0</v>
      </c>
      <c r="G87" s="261">
        <f t="shared" ca="1" si="117"/>
        <v>0</v>
      </c>
      <c r="I87" s="237"/>
      <c r="AV87" s="235"/>
      <c r="AW87" s="235"/>
      <c r="AX87" s="235"/>
      <c r="AY87" s="235"/>
      <c r="AZ87" s="235"/>
      <c r="BA87" s="235"/>
      <c r="BB87" s="235"/>
      <c r="BC87" s="235"/>
      <c r="BD87" s="235"/>
      <c r="BE87" s="235"/>
      <c r="BF87" s="235"/>
      <c r="BG87" s="235"/>
      <c r="BH87" s="235"/>
      <c r="BI87" s="235"/>
      <c r="BJ87" s="235"/>
      <c r="BK87" s="235"/>
      <c r="BL87" s="235"/>
      <c r="BM87" s="235"/>
      <c r="BN87" s="235"/>
      <c r="BO87" s="235"/>
      <c r="BP87" s="235"/>
      <c r="BQ87" s="235"/>
      <c r="BV87" s="481"/>
      <c r="BW87" s="489"/>
      <c r="BX87" s="489"/>
      <c r="BY87" s="489"/>
      <c r="BZ87" s="492"/>
      <c r="CA87" s="492"/>
      <c r="CB87" s="492"/>
      <c r="CC87" s="497"/>
      <c r="CD87" s="497"/>
      <c r="CE87" s="497"/>
      <c r="CF87" s="497"/>
      <c r="CG87" s="497"/>
      <c r="CH87" s="518"/>
      <c r="CI87" s="518"/>
      <c r="CJ87" s="521"/>
      <c r="CK87" s="521"/>
      <c r="CL87" s="521"/>
      <c r="CM87" s="521"/>
      <c r="CN87" s="542"/>
      <c r="CO87" s="542"/>
      <c r="CP87" s="542"/>
      <c r="CQ87" s="542"/>
      <c r="CR87" s="542"/>
      <c r="CS87" s="699"/>
      <c r="CT87" s="699"/>
      <c r="CU87" s="725"/>
      <c r="CV87" s="725"/>
      <c r="CW87" s="725"/>
      <c r="CX87" s="725"/>
      <c r="CY87" s="725"/>
      <c r="CZ87" s="725"/>
      <c r="DA87" s="780"/>
      <c r="DB87" s="780"/>
      <c r="DC87" s="780"/>
      <c r="DD87" s="780"/>
      <c r="DE87" s="780"/>
      <c r="DF87" s="780"/>
      <c r="DG87" s="780"/>
      <c r="DH87" s="780"/>
      <c r="DI87" s="780"/>
      <c r="DJ87" s="780"/>
      <c r="DK87" s="780"/>
      <c r="DL87" s="780"/>
      <c r="DM87" s="780"/>
      <c r="DN87" s="780"/>
      <c r="DO87" s="780"/>
      <c r="DP87" s="780"/>
      <c r="DQ87" s="780"/>
      <c r="DR87" s="780"/>
      <c r="DS87" s="780"/>
      <c r="DT87" s="780"/>
      <c r="DU87" s="780"/>
      <c r="DV87" s="780"/>
      <c r="DW87" s="780"/>
      <c r="DX87" s="780"/>
      <c r="DY87" s="780"/>
      <c r="DZ87" s="780"/>
      <c r="EA87" s="780"/>
      <c r="EB87" s="780"/>
      <c r="EC87" s="780"/>
      <c r="ED87" s="780"/>
      <c r="EE87" s="780"/>
      <c r="EF87" s="780"/>
      <c r="EG87" s="780"/>
      <c r="EH87" s="780"/>
      <c r="EI87" s="780"/>
      <c r="EJ87" s="780"/>
      <c r="EK87" s="780"/>
      <c r="EL87" s="780"/>
      <c r="EM87" s="780"/>
      <c r="EN87" s="780"/>
      <c r="EO87" s="780"/>
      <c r="EP87" s="780"/>
      <c r="EQ87" s="780"/>
      <c r="ER87" s="780"/>
      <c r="ES87" s="780"/>
      <c r="ET87" s="780"/>
      <c r="EU87" s="780"/>
      <c r="EV87" s="780"/>
      <c r="EW87" s="780"/>
      <c r="EX87" s="780"/>
      <c r="EY87" s="780"/>
      <c r="EZ87" s="780"/>
      <c r="FA87" s="780"/>
      <c r="FB87" s="780"/>
      <c r="FC87" s="780"/>
      <c r="FD87" s="780"/>
      <c r="FE87" s="780"/>
      <c r="FF87" s="780"/>
      <c r="FG87" s="780"/>
      <c r="FH87" s="780"/>
    </row>
    <row r="88" spans="1:164" s="497" customFormat="1" ht="15.75" hidden="1" customHeight="1">
      <c r="A88" s="62">
        <f t="shared" ref="A88:A94" si="121">WEEKNUM(B88)</f>
        <v>42</v>
      </c>
      <c r="B88" s="63">
        <f t="shared" si="120"/>
        <v>45943</v>
      </c>
      <c r="C88" s="63">
        <f t="shared" si="116"/>
        <v>45949</v>
      </c>
      <c r="D88" s="239">
        <f t="shared" ca="1" si="111"/>
        <v>0</v>
      </c>
      <c r="E88" s="239">
        <f t="shared" ca="1" si="112"/>
        <v>0</v>
      </c>
      <c r="F88" s="239">
        <f t="shared" ca="1" si="119"/>
        <v>0</v>
      </c>
      <c r="G88" s="261">
        <f t="shared" ref="G88:G99" ca="1" si="122">SUMIFS(PENDIENTE_DE_COBRO,FECHA_RETIRO_VALORES,"&gt;="&amp;B88,FECHA_RETIRO_VALORES,"&lt;="&amp;C88,ESTADO_ENTREGA,"ENTREGADO")</f>
        <v>0</v>
      </c>
      <c r="I88" s="237"/>
      <c r="AV88" s="235"/>
      <c r="AW88" s="235"/>
      <c r="AX88" s="235"/>
      <c r="AY88" s="235"/>
      <c r="AZ88" s="235"/>
      <c r="BA88" s="235"/>
      <c r="BB88" s="235"/>
      <c r="BC88" s="235"/>
      <c r="BD88" s="235"/>
      <c r="BE88" s="235"/>
      <c r="BF88" s="235"/>
      <c r="BG88" s="235"/>
      <c r="BH88" s="235"/>
      <c r="BI88" s="235"/>
      <c r="BJ88" s="235"/>
      <c r="BK88" s="235"/>
      <c r="BL88" s="235"/>
      <c r="BM88" s="235"/>
      <c r="BN88" s="235"/>
      <c r="BO88" s="235"/>
      <c r="BP88" s="235"/>
      <c r="BQ88" s="235"/>
      <c r="CH88" s="518"/>
      <c r="CI88" s="518"/>
      <c r="CJ88" s="521"/>
      <c r="CK88" s="521"/>
      <c r="CL88" s="521"/>
      <c r="CM88" s="521"/>
      <c r="CN88" s="542"/>
      <c r="CO88" s="542"/>
      <c r="CP88" s="542"/>
      <c r="CQ88" s="542"/>
      <c r="CR88" s="542"/>
      <c r="CS88" s="699"/>
      <c r="CT88" s="699"/>
      <c r="CU88" s="725"/>
      <c r="CV88" s="725"/>
      <c r="CW88" s="725"/>
      <c r="CX88" s="725"/>
      <c r="CY88" s="725"/>
      <c r="CZ88" s="725"/>
      <c r="DA88" s="780"/>
      <c r="DB88" s="780"/>
      <c r="DC88" s="780"/>
      <c r="DD88" s="780"/>
      <c r="DE88" s="780"/>
      <c r="DF88" s="780"/>
      <c r="DG88" s="780"/>
      <c r="DH88" s="780"/>
      <c r="DI88" s="780"/>
      <c r="DJ88" s="780"/>
      <c r="DK88" s="780"/>
      <c r="DL88" s="780"/>
      <c r="DM88" s="780"/>
      <c r="DN88" s="780"/>
      <c r="DO88" s="780"/>
      <c r="DP88" s="780"/>
      <c r="DQ88" s="780"/>
      <c r="DR88" s="780"/>
      <c r="DS88" s="780"/>
      <c r="DT88" s="780"/>
      <c r="DU88" s="780"/>
      <c r="DV88" s="780"/>
      <c r="DW88" s="780"/>
      <c r="DX88" s="780"/>
      <c r="DY88" s="780"/>
      <c r="DZ88" s="780"/>
      <c r="EA88" s="780"/>
      <c r="EB88" s="780"/>
      <c r="EC88" s="780"/>
      <c r="ED88" s="780"/>
      <c r="EE88" s="780"/>
      <c r="EF88" s="780"/>
      <c r="EG88" s="780"/>
      <c r="EH88" s="780"/>
      <c r="EI88" s="780"/>
      <c r="EJ88" s="780"/>
      <c r="EK88" s="780"/>
      <c r="EL88" s="780"/>
      <c r="EM88" s="780"/>
      <c r="EN88" s="780"/>
      <c r="EO88" s="780"/>
      <c r="EP88" s="780"/>
      <c r="EQ88" s="780"/>
      <c r="ER88" s="780"/>
      <c r="ES88" s="780"/>
      <c r="ET88" s="780"/>
      <c r="EU88" s="780"/>
      <c r="EV88" s="780"/>
      <c r="EW88" s="780"/>
      <c r="EX88" s="780"/>
      <c r="EY88" s="780"/>
      <c r="EZ88" s="780"/>
      <c r="FA88" s="780"/>
      <c r="FB88" s="780"/>
      <c r="FC88" s="780"/>
      <c r="FD88" s="780"/>
      <c r="FE88" s="780"/>
      <c r="FF88" s="780"/>
      <c r="FG88" s="780"/>
      <c r="FH88" s="780"/>
    </row>
    <row r="89" spans="1:164" s="497" customFormat="1" ht="15.75" hidden="1" customHeight="1">
      <c r="A89" s="62">
        <f t="shared" si="121"/>
        <v>43</v>
      </c>
      <c r="B89" s="63">
        <f t="shared" si="120"/>
        <v>45950</v>
      </c>
      <c r="C89" s="63">
        <f t="shared" si="116"/>
        <v>45956</v>
      </c>
      <c r="D89" s="239">
        <f t="shared" ca="1" si="111"/>
        <v>0</v>
      </c>
      <c r="E89" s="239">
        <f t="shared" ca="1" si="112"/>
        <v>0</v>
      </c>
      <c r="F89" s="239">
        <f t="shared" ca="1" si="119"/>
        <v>0</v>
      </c>
      <c r="G89" s="261">
        <f t="shared" ca="1" si="122"/>
        <v>0</v>
      </c>
      <c r="I89" s="237"/>
      <c r="AV89" s="235"/>
      <c r="AW89" s="235"/>
      <c r="AX89" s="235"/>
      <c r="AY89" s="235"/>
      <c r="AZ89" s="235"/>
      <c r="BA89" s="235"/>
      <c r="BB89" s="235"/>
      <c r="BC89" s="235"/>
      <c r="BD89" s="235"/>
      <c r="BE89" s="235"/>
      <c r="BF89" s="235"/>
      <c r="BG89" s="235"/>
      <c r="BH89" s="235"/>
      <c r="BI89" s="235"/>
      <c r="BJ89" s="235"/>
      <c r="BK89" s="235"/>
      <c r="BL89" s="235"/>
      <c r="BM89" s="235"/>
      <c r="BN89" s="235"/>
      <c r="BO89" s="235"/>
      <c r="BP89" s="235"/>
      <c r="BQ89" s="235"/>
      <c r="CH89" s="518"/>
      <c r="CI89" s="518"/>
      <c r="CJ89" s="521"/>
      <c r="CK89" s="521"/>
      <c r="CL89" s="521"/>
      <c r="CM89" s="521"/>
      <c r="CN89" s="542"/>
      <c r="CO89" s="542"/>
      <c r="CP89" s="542"/>
      <c r="CQ89" s="542"/>
      <c r="CR89" s="542"/>
      <c r="CS89" s="699"/>
      <c r="CT89" s="699"/>
      <c r="CU89" s="725"/>
      <c r="CV89" s="725"/>
      <c r="CW89" s="725"/>
      <c r="CX89" s="725"/>
      <c r="CY89" s="725"/>
      <c r="CZ89" s="725"/>
      <c r="DA89" s="780"/>
      <c r="DB89" s="780"/>
      <c r="DC89" s="780"/>
      <c r="DD89" s="780"/>
      <c r="DE89" s="780"/>
      <c r="DF89" s="780"/>
      <c r="DG89" s="780"/>
      <c r="DH89" s="780"/>
      <c r="DI89" s="780"/>
      <c r="DJ89" s="780"/>
      <c r="DK89" s="780"/>
      <c r="DL89" s="780"/>
      <c r="DM89" s="780"/>
      <c r="DN89" s="780"/>
      <c r="DO89" s="780"/>
      <c r="DP89" s="780"/>
      <c r="DQ89" s="780"/>
      <c r="DR89" s="780"/>
      <c r="DS89" s="780"/>
      <c r="DT89" s="780"/>
      <c r="DU89" s="780"/>
      <c r="DV89" s="780"/>
      <c r="DW89" s="780"/>
      <c r="DX89" s="780"/>
      <c r="DY89" s="780"/>
      <c r="DZ89" s="780"/>
      <c r="EA89" s="780"/>
      <c r="EB89" s="780"/>
      <c r="EC89" s="780"/>
      <c r="ED89" s="780"/>
      <c r="EE89" s="780"/>
      <c r="EF89" s="780"/>
      <c r="EG89" s="780"/>
      <c r="EH89" s="780"/>
      <c r="EI89" s="780"/>
      <c r="EJ89" s="780"/>
      <c r="EK89" s="780"/>
      <c r="EL89" s="780"/>
      <c r="EM89" s="780"/>
      <c r="EN89" s="780"/>
      <c r="EO89" s="780"/>
      <c r="EP89" s="780"/>
      <c r="EQ89" s="780"/>
      <c r="ER89" s="780"/>
      <c r="ES89" s="780"/>
      <c r="ET89" s="780"/>
      <c r="EU89" s="780"/>
      <c r="EV89" s="780"/>
      <c r="EW89" s="780"/>
      <c r="EX89" s="780"/>
      <c r="EY89" s="780"/>
      <c r="EZ89" s="780"/>
      <c r="FA89" s="780"/>
      <c r="FB89" s="780"/>
      <c r="FC89" s="780"/>
      <c r="FD89" s="780"/>
      <c r="FE89" s="780"/>
      <c r="FF89" s="780"/>
      <c r="FG89" s="780"/>
      <c r="FH89" s="780"/>
    </row>
    <row r="90" spans="1:164" s="497" customFormat="1" ht="15.75" hidden="1" customHeight="1">
      <c r="A90" s="62">
        <f t="shared" si="121"/>
        <v>44</v>
      </c>
      <c r="B90" s="63">
        <f t="shared" si="120"/>
        <v>45957</v>
      </c>
      <c r="C90" s="63">
        <f t="shared" si="116"/>
        <v>45963</v>
      </c>
      <c r="D90" s="239">
        <f t="shared" ca="1" si="111"/>
        <v>0</v>
      </c>
      <c r="E90" s="239">
        <f t="shared" ca="1" si="112"/>
        <v>0</v>
      </c>
      <c r="F90" s="239">
        <f t="shared" ca="1" si="119"/>
        <v>0</v>
      </c>
      <c r="G90" s="261">
        <f t="shared" ca="1" si="122"/>
        <v>0</v>
      </c>
      <c r="I90" s="237"/>
      <c r="AV90" s="235"/>
      <c r="AW90" s="235"/>
      <c r="AX90" s="235"/>
      <c r="AY90" s="235"/>
      <c r="AZ90" s="235"/>
      <c r="BA90" s="235"/>
      <c r="BB90" s="235"/>
      <c r="BC90" s="235"/>
      <c r="BD90" s="235"/>
      <c r="BE90" s="235"/>
      <c r="BF90" s="235"/>
      <c r="BG90" s="235"/>
      <c r="BH90" s="235"/>
      <c r="BI90" s="235"/>
      <c r="BJ90" s="235"/>
      <c r="BK90" s="235"/>
      <c r="BL90" s="235"/>
      <c r="BM90" s="235"/>
      <c r="BN90" s="235"/>
      <c r="BO90" s="235"/>
      <c r="BP90" s="235"/>
      <c r="BQ90" s="235"/>
      <c r="CH90" s="518"/>
      <c r="CI90" s="518"/>
      <c r="CJ90" s="521"/>
      <c r="CK90" s="521"/>
      <c r="CL90" s="521"/>
      <c r="CM90" s="521"/>
      <c r="CN90" s="542"/>
      <c r="CO90" s="542"/>
      <c r="CP90" s="542"/>
      <c r="CQ90" s="542"/>
      <c r="CR90" s="542"/>
      <c r="CS90" s="699"/>
      <c r="CT90" s="699"/>
      <c r="CU90" s="725"/>
      <c r="CV90" s="725"/>
      <c r="CW90" s="725"/>
      <c r="CX90" s="725"/>
      <c r="CY90" s="725"/>
      <c r="CZ90" s="725"/>
      <c r="DA90" s="780"/>
      <c r="DB90" s="780"/>
      <c r="DC90" s="780"/>
      <c r="DD90" s="780"/>
      <c r="DE90" s="780"/>
      <c r="DF90" s="780"/>
      <c r="DG90" s="780"/>
      <c r="DH90" s="780"/>
      <c r="DI90" s="780"/>
      <c r="DJ90" s="780"/>
      <c r="DK90" s="780"/>
      <c r="DL90" s="780"/>
      <c r="DM90" s="780"/>
      <c r="DN90" s="780"/>
      <c r="DO90" s="780"/>
      <c r="DP90" s="780"/>
      <c r="DQ90" s="780"/>
      <c r="DR90" s="780"/>
      <c r="DS90" s="780"/>
      <c r="DT90" s="780"/>
      <c r="DU90" s="780"/>
      <c r="DV90" s="780"/>
      <c r="DW90" s="780"/>
      <c r="DX90" s="780"/>
      <c r="DY90" s="780"/>
      <c r="DZ90" s="780"/>
      <c r="EA90" s="780"/>
      <c r="EB90" s="780"/>
      <c r="EC90" s="780"/>
      <c r="ED90" s="780"/>
      <c r="EE90" s="780"/>
      <c r="EF90" s="780"/>
      <c r="EG90" s="780"/>
      <c r="EH90" s="780"/>
      <c r="EI90" s="780"/>
      <c r="EJ90" s="780"/>
      <c r="EK90" s="780"/>
      <c r="EL90" s="780"/>
      <c r="EM90" s="780"/>
      <c r="EN90" s="780"/>
      <c r="EO90" s="780"/>
      <c r="EP90" s="780"/>
      <c r="EQ90" s="780"/>
      <c r="ER90" s="780"/>
      <c r="ES90" s="780"/>
      <c r="ET90" s="780"/>
      <c r="EU90" s="780"/>
      <c r="EV90" s="780"/>
      <c r="EW90" s="780"/>
      <c r="EX90" s="780"/>
      <c r="EY90" s="780"/>
      <c r="EZ90" s="780"/>
      <c r="FA90" s="780"/>
      <c r="FB90" s="780"/>
      <c r="FC90" s="780"/>
      <c r="FD90" s="780"/>
      <c r="FE90" s="780"/>
      <c r="FF90" s="780"/>
      <c r="FG90" s="780"/>
      <c r="FH90" s="780"/>
    </row>
    <row r="91" spans="1:164" s="497" customFormat="1" ht="15.75" hidden="1" customHeight="1">
      <c r="A91" s="62">
        <f t="shared" si="121"/>
        <v>45</v>
      </c>
      <c r="B91" s="63">
        <f t="shared" si="120"/>
        <v>45964</v>
      </c>
      <c r="C91" s="63">
        <f t="shared" si="116"/>
        <v>45970</v>
      </c>
      <c r="D91" s="239">
        <f t="shared" ca="1" si="111"/>
        <v>0</v>
      </c>
      <c r="E91" s="239">
        <f t="shared" ca="1" si="112"/>
        <v>0</v>
      </c>
      <c r="F91" s="239">
        <f t="shared" ca="1" si="119"/>
        <v>0</v>
      </c>
      <c r="G91" s="261">
        <f t="shared" ca="1" si="122"/>
        <v>0</v>
      </c>
      <c r="I91" s="237"/>
      <c r="AV91" s="235"/>
      <c r="AW91" s="235"/>
      <c r="AX91" s="235"/>
      <c r="AY91" s="235"/>
      <c r="AZ91" s="235"/>
      <c r="BA91" s="235"/>
      <c r="BB91" s="235"/>
      <c r="BC91" s="235"/>
      <c r="BD91" s="235"/>
      <c r="BE91" s="235"/>
      <c r="BF91" s="235"/>
      <c r="BG91" s="235"/>
      <c r="BH91" s="235"/>
      <c r="BI91" s="235"/>
      <c r="BJ91" s="235"/>
      <c r="BK91" s="235"/>
      <c r="BL91" s="235"/>
      <c r="BM91" s="235"/>
      <c r="BN91" s="235"/>
      <c r="BO91" s="235"/>
      <c r="BP91" s="235"/>
      <c r="BQ91" s="235"/>
      <c r="CH91" s="518"/>
      <c r="CI91" s="518"/>
      <c r="CJ91" s="521"/>
      <c r="CK91" s="521"/>
      <c r="CL91" s="521"/>
      <c r="CM91" s="521"/>
      <c r="CN91" s="542"/>
      <c r="CO91" s="542"/>
      <c r="CP91" s="542"/>
      <c r="CQ91" s="542"/>
      <c r="CR91" s="542"/>
      <c r="CS91" s="699"/>
      <c r="CT91" s="699"/>
      <c r="CU91" s="725"/>
      <c r="CV91" s="725"/>
      <c r="CW91" s="725"/>
      <c r="CX91" s="725"/>
      <c r="CY91" s="725"/>
      <c r="CZ91" s="725"/>
      <c r="DA91" s="780"/>
      <c r="DB91" s="780"/>
      <c r="DC91" s="780"/>
      <c r="DD91" s="780"/>
      <c r="DE91" s="780"/>
      <c r="DF91" s="780"/>
      <c r="DG91" s="780"/>
      <c r="DH91" s="780"/>
      <c r="DI91" s="780"/>
      <c r="DJ91" s="780"/>
      <c r="DK91" s="780"/>
      <c r="DL91" s="780"/>
      <c r="DM91" s="780"/>
      <c r="DN91" s="780"/>
      <c r="DO91" s="780"/>
      <c r="DP91" s="780"/>
      <c r="DQ91" s="780"/>
      <c r="DR91" s="780"/>
      <c r="DS91" s="780"/>
      <c r="DT91" s="780"/>
      <c r="DU91" s="780"/>
      <c r="DV91" s="780"/>
      <c r="DW91" s="780"/>
      <c r="DX91" s="780"/>
      <c r="DY91" s="780"/>
      <c r="DZ91" s="780"/>
      <c r="EA91" s="780"/>
      <c r="EB91" s="780"/>
      <c r="EC91" s="780"/>
      <c r="ED91" s="780"/>
      <c r="EE91" s="780"/>
      <c r="EF91" s="780"/>
      <c r="EG91" s="780"/>
      <c r="EH91" s="780"/>
      <c r="EI91" s="780"/>
      <c r="EJ91" s="780"/>
      <c r="EK91" s="780"/>
      <c r="EL91" s="780"/>
      <c r="EM91" s="780"/>
      <c r="EN91" s="780"/>
      <c r="EO91" s="780"/>
      <c r="EP91" s="780"/>
      <c r="EQ91" s="780"/>
      <c r="ER91" s="780"/>
      <c r="ES91" s="780"/>
      <c r="ET91" s="780"/>
      <c r="EU91" s="780"/>
      <c r="EV91" s="780"/>
      <c r="EW91" s="780"/>
      <c r="EX91" s="780"/>
      <c r="EY91" s="780"/>
      <c r="EZ91" s="780"/>
      <c r="FA91" s="780"/>
      <c r="FB91" s="780"/>
      <c r="FC91" s="780"/>
      <c r="FD91" s="780"/>
      <c r="FE91" s="780"/>
      <c r="FF91" s="780"/>
      <c r="FG91" s="780"/>
      <c r="FH91" s="780"/>
    </row>
    <row r="92" spans="1:164" s="497" customFormat="1" ht="15.75" hidden="1" customHeight="1">
      <c r="A92" s="62">
        <f t="shared" si="121"/>
        <v>46</v>
      </c>
      <c r="B92" s="63">
        <f t="shared" si="120"/>
        <v>45971</v>
      </c>
      <c r="C92" s="63">
        <f t="shared" si="116"/>
        <v>45977</v>
      </c>
      <c r="D92" s="239">
        <f t="shared" ca="1" si="111"/>
        <v>0</v>
      </c>
      <c r="E92" s="239">
        <f t="shared" ca="1" si="112"/>
        <v>0</v>
      </c>
      <c r="F92" s="239">
        <f t="shared" ca="1" si="119"/>
        <v>0</v>
      </c>
      <c r="G92" s="261">
        <f t="shared" ca="1" si="122"/>
        <v>0</v>
      </c>
      <c r="I92" s="237"/>
      <c r="AV92" s="235"/>
      <c r="AW92" s="235"/>
      <c r="AX92" s="235"/>
      <c r="AY92" s="235"/>
      <c r="AZ92" s="235"/>
      <c r="BA92" s="235"/>
      <c r="BB92" s="235"/>
      <c r="BC92" s="235"/>
      <c r="BD92" s="235"/>
      <c r="BE92" s="235"/>
      <c r="BF92" s="235"/>
      <c r="BG92" s="235"/>
      <c r="BH92" s="235"/>
      <c r="BI92" s="235"/>
      <c r="BJ92" s="235"/>
      <c r="BK92" s="235"/>
      <c r="BL92" s="235"/>
      <c r="BM92" s="235"/>
      <c r="BN92" s="235"/>
      <c r="BO92" s="235"/>
      <c r="BP92" s="235"/>
      <c r="BQ92" s="235"/>
      <c r="CH92" s="518"/>
      <c r="CI92" s="518"/>
      <c r="CJ92" s="521"/>
      <c r="CK92" s="521"/>
      <c r="CL92" s="521"/>
      <c r="CM92" s="521"/>
      <c r="CN92" s="542"/>
      <c r="CO92" s="542"/>
      <c r="CP92" s="542"/>
      <c r="CQ92" s="542"/>
      <c r="CR92" s="542"/>
      <c r="CS92" s="699"/>
      <c r="CT92" s="699"/>
      <c r="CU92" s="725"/>
      <c r="CV92" s="725"/>
      <c r="CW92" s="725"/>
      <c r="CX92" s="725"/>
      <c r="CY92" s="725"/>
      <c r="CZ92" s="725"/>
      <c r="DA92" s="780"/>
      <c r="DB92" s="780"/>
      <c r="DC92" s="780"/>
      <c r="DD92" s="780"/>
      <c r="DE92" s="780"/>
      <c r="DF92" s="780"/>
      <c r="DG92" s="780"/>
      <c r="DH92" s="780"/>
      <c r="DI92" s="780"/>
      <c r="DJ92" s="780"/>
      <c r="DK92" s="780"/>
      <c r="DL92" s="780"/>
      <c r="DM92" s="780"/>
      <c r="DN92" s="780"/>
      <c r="DO92" s="780"/>
      <c r="DP92" s="780"/>
      <c r="DQ92" s="780"/>
      <c r="DR92" s="780"/>
      <c r="DS92" s="780"/>
      <c r="DT92" s="780"/>
      <c r="DU92" s="780"/>
      <c r="DV92" s="780"/>
      <c r="DW92" s="780"/>
      <c r="DX92" s="780"/>
      <c r="DY92" s="780"/>
      <c r="DZ92" s="780"/>
      <c r="EA92" s="780"/>
      <c r="EB92" s="780"/>
      <c r="EC92" s="780"/>
      <c r="ED92" s="780"/>
      <c r="EE92" s="780"/>
      <c r="EF92" s="780"/>
      <c r="EG92" s="780"/>
      <c r="EH92" s="780"/>
      <c r="EI92" s="780"/>
      <c r="EJ92" s="780"/>
      <c r="EK92" s="780"/>
      <c r="EL92" s="780"/>
      <c r="EM92" s="780"/>
      <c r="EN92" s="780"/>
      <c r="EO92" s="780"/>
      <c r="EP92" s="780"/>
      <c r="EQ92" s="780"/>
      <c r="ER92" s="780"/>
      <c r="ES92" s="780"/>
      <c r="ET92" s="780"/>
      <c r="EU92" s="780"/>
      <c r="EV92" s="780"/>
      <c r="EW92" s="780"/>
      <c r="EX92" s="780"/>
      <c r="EY92" s="780"/>
      <c r="EZ92" s="780"/>
      <c r="FA92" s="780"/>
      <c r="FB92" s="780"/>
      <c r="FC92" s="780"/>
      <c r="FD92" s="780"/>
      <c r="FE92" s="780"/>
      <c r="FF92" s="780"/>
      <c r="FG92" s="780"/>
      <c r="FH92" s="780"/>
    </row>
    <row r="93" spans="1:164" s="521" customFormat="1" ht="15.75" hidden="1" customHeight="1">
      <c r="A93" s="62">
        <f t="shared" si="121"/>
        <v>47</v>
      </c>
      <c r="B93" s="63">
        <f t="shared" si="120"/>
        <v>45978</v>
      </c>
      <c r="C93" s="63">
        <f t="shared" si="116"/>
        <v>45984</v>
      </c>
      <c r="D93" s="239">
        <f t="shared" ref="D93:D101" ca="1" si="123">SUMIFS(TOTAL,FECHA_RETIRO_VALORES,"&gt;="&amp;B93,FECHA_RETIRO_VALORES,"&lt;="&amp;C93)</f>
        <v>0</v>
      </c>
      <c r="E93" s="239">
        <f t="shared" ref="E93:E101" ca="1" si="124">SUMIFS(VALORES_COBRADOS,FECHA_RETIRO_VALORES,"&gt;="&amp;B93,FECHA_RETIRO_VALORES,"&lt;="&amp;C93)+SUMIFS(VALORES_EN_CARTERA,FECHA_RETIRO_VALORES,"&gt;="&amp;B93,FECHA_RETIRO_VALORES,"&lt;="&amp;C93)</f>
        <v>0</v>
      </c>
      <c r="F93" s="239">
        <f t="shared" ca="1" si="119"/>
        <v>0</v>
      </c>
      <c r="G93" s="261">
        <f t="shared" ca="1" si="122"/>
        <v>0</v>
      </c>
      <c r="I93" s="237"/>
      <c r="AV93" s="235"/>
      <c r="AW93" s="235"/>
      <c r="AX93" s="235"/>
      <c r="AY93" s="235"/>
      <c r="AZ93" s="235"/>
      <c r="BA93" s="235"/>
      <c r="BB93" s="235"/>
      <c r="BC93" s="235"/>
      <c r="BD93" s="235"/>
      <c r="BE93" s="235"/>
      <c r="BF93" s="235"/>
      <c r="BG93" s="235"/>
      <c r="BH93" s="235"/>
      <c r="BI93" s="235"/>
      <c r="BJ93" s="235"/>
      <c r="BK93" s="235"/>
      <c r="BL93" s="235"/>
      <c r="BM93" s="235"/>
      <c r="BN93" s="235"/>
      <c r="BO93" s="235"/>
      <c r="BP93" s="235"/>
      <c r="BQ93" s="235"/>
      <c r="CN93" s="542"/>
      <c r="CO93" s="542"/>
      <c r="CP93" s="542"/>
      <c r="CQ93" s="542"/>
      <c r="CR93" s="542"/>
      <c r="CS93" s="699"/>
      <c r="CT93" s="699"/>
      <c r="CU93" s="725"/>
      <c r="CV93" s="725"/>
      <c r="CW93" s="725"/>
      <c r="CX93" s="725"/>
      <c r="CY93" s="725"/>
      <c r="CZ93" s="725"/>
      <c r="DA93" s="780"/>
      <c r="DB93" s="780"/>
      <c r="DC93" s="780"/>
      <c r="DD93" s="780"/>
      <c r="DE93" s="780"/>
      <c r="DF93" s="780"/>
      <c r="DG93" s="780"/>
      <c r="DH93" s="780"/>
      <c r="DI93" s="780"/>
      <c r="DJ93" s="780"/>
      <c r="DK93" s="780"/>
      <c r="DL93" s="780"/>
      <c r="DM93" s="780"/>
      <c r="DN93" s="780"/>
      <c r="DO93" s="780"/>
      <c r="DP93" s="780"/>
      <c r="DQ93" s="780"/>
      <c r="DR93" s="780"/>
      <c r="DS93" s="780"/>
      <c r="DT93" s="780"/>
      <c r="DU93" s="780"/>
      <c r="DV93" s="780"/>
      <c r="DW93" s="780"/>
      <c r="DX93" s="780"/>
      <c r="DY93" s="780"/>
      <c r="DZ93" s="780"/>
      <c r="EA93" s="780"/>
      <c r="EB93" s="780"/>
      <c r="EC93" s="780"/>
      <c r="ED93" s="780"/>
      <c r="EE93" s="780"/>
      <c r="EF93" s="780"/>
      <c r="EG93" s="780"/>
      <c r="EH93" s="780"/>
      <c r="EI93" s="780"/>
      <c r="EJ93" s="780"/>
      <c r="EK93" s="780"/>
      <c r="EL93" s="780"/>
      <c r="EM93" s="780"/>
      <c r="EN93" s="780"/>
      <c r="EO93" s="780"/>
      <c r="EP93" s="780"/>
      <c r="EQ93" s="780"/>
      <c r="ER93" s="780"/>
      <c r="ES93" s="780"/>
      <c r="ET93" s="780"/>
      <c r="EU93" s="780"/>
      <c r="EV93" s="780"/>
      <c r="EW93" s="780"/>
      <c r="EX93" s="780"/>
      <c r="EY93" s="780"/>
      <c r="EZ93" s="780"/>
      <c r="FA93" s="780"/>
      <c r="FB93" s="780"/>
      <c r="FC93" s="780"/>
      <c r="FD93" s="780"/>
      <c r="FE93" s="780"/>
      <c r="FF93" s="780"/>
      <c r="FG93" s="780"/>
      <c r="FH93" s="780"/>
    </row>
    <row r="94" spans="1:164" s="521" customFormat="1" ht="15.75" hidden="1" customHeight="1">
      <c r="A94" s="62">
        <f t="shared" si="121"/>
        <v>48</v>
      </c>
      <c r="B94" s="63">
        <f t="shared" si="120"/>
        <v>45985</v>
      </c>
      <c r="C94" s="63">
        <f t="shared" si="116"/>
        <v>45991</v>
      </c>
      <c r="D94" s="239">
        <f t="shared" ca="1" si="123"/>
        <v>0</v>
      </c>
      <c r="E94" s="239">
        <f t="shared" ca="1" si="124"/>
        <v>0</v>
      </c>
      <c r="F94" s="239">
        <f t="shared" ca="1" si="119"/>
        <v>0</v>
      </c>
      <c r="G94" s="261">
        <f t="shared" ca="1" si="122"/>
        <v>0</v>
      </c>
      <c r="I94" s="237"/>
      <c r="AV94" s="235"/>
      <c r="AW94" s="235"/>
      <c r="AX94" s="235"/>
      <c r="AY94" s="235"/>
      <c r="AZ94" s="235"/>
      <c r="BA94" s="235"/>
      <c r="BB94" s="235"/>
      <c r="BC94" s="235"/>
      <c r="BD94" s="235"/>
      <c r="BE94" s="235"/>
      <c r="BF94" s="235"/>
      <c r="BG94" s="235"/>
      <c r="BH94" s="235"/>
      <c r="BI94" s="235"/>
      <c r="BJ94" s="235"/>
      <c r="BK94" s="235"/>
      <c r="BL94" s="235"/>
      <c r="BM94" s="235"/>
      <c r="BN94" s="235"/>
      <c r="BO94" s="235"/>
      <c r="BP94" s="235"/>
      <c r="BQ94" s="235"/>
      <c r="CN94" s="542"/>
      <c r="CO94" s="542"/>
      <c r="CP94" s="542"/>
      <c r="CQ94" s="542"/>
      <c r="CR94" s="542"/>
      <c r="CS94" s="699"/>
      <c r="CT94" s="699"/>
      <c r="CU94" s="725"/>
      <c r="CV94" s="725"/>
      <c r="CW94" s="725"/>
      <c r="CX94" s="725"/>
      <c r="CY94" s="725"/>
      <c r="CZ94" s="725"/>
      <c r="DA94" s="780"/>
      <c r="DB94" s="780"/>
      <c r="DC94" s="780"/>
      <c r="DD94" s="780"/>
      <c r="DE94" s="780"/>
      <c r="DF94" s="780"/>
      <c r="DG94" s="780"/>
      <c r="DH94" s="780"/>
      <c r="DI94" s="780"/>
      <c r="DJ94" s="780"/>
      <c r="DK94" s="780"/>
      <c r="DL94" s="780"/>
      <c r="DM94" s="780"/>
      <c r="DN94" s="780"/>
      <c r="DO94" s="780"/>
      <c r="DP94" s="780"/>
      <c r="DQ94" s="780"/>
      <c r="DR94" s="780"/>
      <c r="DS94" s="780"/>
      <c r="DT94" s="780"/>
      <c r="DU94" s="780"/>
      <c r="DV94" s="780"/>
      <c r="DW94" s="780"/>
      <c r="DX94" s="780"/>
      <c r="DY94" s="780"/>
      <c r="DZ94" s="780"/>
      <c r="EA94" s="780"/>
      <c r="EB94" s="780"/>
      <c r="EC94" s="780"/>
      <c r="ED94" s="780"/>
      <c r="EE94" s="780"/>
      <c r="EF94" s="780"/>
      <c r="EG94" s="780"/>
      <c r="EH94" s="780"/>
      <c r="EI94" s="780"/>
      <c r="EJ94" s="780"/>
      <c r="EK94" s="780"/>
      <c r="EL94" s="780"/>
      <c r="EM94" s="780"/>
      <c r="EN94" s="780"/>
      <c r="EO94" s="780"/>
      <c r="EP94" s="780"/>
      <c r="EQ94" s="780"/>
      <c r="ER94" s="780"/>
      <c r="ES94" s="780"/>
      <c r="ET94" s="780"/>
      <c r="EU94" s="780"/>
      <c r="EV94" s="780"/>
      <c r="EW94" s="780"/>
      <c r="EX94" s="780"/>
      <c r="EY94" s="780"/>
      <c r="EZ94" s="780"/>
      <c r="FA94" s="780"/>
      <c r="FB94" s="780"/>
      <c r="FC94" s="780"/>
      <c r="FD94" s="780"/>
      <c r="FE94" s="780"/>
      <c r="FF94" s="780"/>
      <c r="FG94" s="780"/>
      <c r="FH94" s="780"/>
    </row>
    <row r="95" spans="1:164" s="542" customFormat="1" ht="15.75" hidden="1" customHeight="1">
      <c r="A95" s="62">
        <f t="shared" ref="A95:A101" si="125">WEEKNUM(B95)</f>
        <v>49</v>
      </c>
      <c r="B95" s="63">
        <f t="shared" si="120"/>
        <v>45992</v>
      </c>
      <c r="C95" s="63">
        <f t="shared" ref="C95:C101" si="126">+B95+6</f>
        <v>45998</v>
      </c>
      <c r="D95" s="239">
        <f t="shared" ca="1" si="123"/>
        <v>0</v>
      </c>
      <c r="E95" s="239">
        <f t="shared" ca="1" si="124"/>
        <v>0</v>
      </c>
      <c r="F95" s="239">
        <f t="shared" ref="F95:F100" ca="1" si="127">SUMIFS(PENDIENTE_DE_ENTREGA,FECHA_RETIRO_VALORES,"&gt;="&amp;B95,FECHA_RETIRO_VALORES,"&lt;="&amp;C95,ESTADO_ENTREGA,"PENDIENTE")</f>
        <v>0</v>
      </c>
      <c r="G95" s="261">
        <f t="shared" ca="1" si="122"/>
        <v>0</v>
      </c>
      <c r="I95" s="237"/>
      <c r="AV95" s="235"/>
      <c r="AW95" s="235"/>
      <c r="AX95" s="235"/>
      <c r="AY95" s="235"/>
      <c r="AZ95" s="235"/>
      <c r="BA95" s="235"/>
      <c r="BB95" s="235"/>
      <c r="BC95" s="235"/>
      <c r="BD95" s="235"/>
      <c r="BE95" s="235"/>
      <c r="BF95" s="235"/>
      <c r="BG95" s="235"/>
      <c r="BH95" s="235"/>
      <c r="BI95" s="235"/>
      <c r="BJ95" s="235"/>
      <c r="BK95" s="235"/>
      <c r="BL95" s="235"/>
      <c r="BM95" s="235"/>
      <c r="BN95" s="235"/>
      <c r="BO95" s="235"/>
      <c r="BP95" s="235"/>
      <c r="BQ95" s="235"/>
      <c r="CS95" s="699"/>
      <c r="CT95" s="699"/>
      <c r="CU95" s="725"/>
      <c r="CV95" s="725"/>
      <c r="CW95" s="725"/>
      <c r="CX95" s="725"/>
      <c r="CY95" s="725"/>
      <c r="CZ95" s="725"/>
      <c r="DA95" s="780"/>
      <c r="DB95" s="780"/>
      <c r="DC95" s="780"/>
      <c r="DD95" s="780"/>
      <c r="DE95" s="780"/>
      <c r="DF95" s="780"/>
      <c r="DG95" s="780"/>
      <c r="DH95" s="780"/>
      <c r="DI95" s="780"/>
      <c r="DJ95" s="780"/>
      <c r="DK95" s="780"/>
      <c r="DL95" s="780"/>
      <c r="DM95" s="780"/>
      <c r="DN95" s="780"/>
      <c r="DO95" s="780"/>
      <c r="DP95" s="780"/>
      <c r="DQ95" s="780"/>
      <c r="DR95" s="780"/>
      <c r="DS95" s="780"/>
      <c r="DT95" s="780"/>
      <c r="DU95" s="780"/>
      <c r="DV95" s="780"/>
      <c r="DW95" s="780"/>
      <c r="DX95" s="780"/>
      <c r="DY95" s="780"/>
      <c r="DZ95" s="780"/>
      <c r="EA95" s="780"/>
      <c r="EB95" s="780"/>
      <c r="EC95" s="780"/>
      <c r="ED95" s="780"/>
      <c r="EE95" s="780"/>
      <c r="EF95" s="780"/>
      <c r="EG95" s="780"/>
      <c r="EH95" s="780"/>
      <c r="EI95" s="780"/>
      <c r="EJ95" s="780"/>
      <c r="EK95" s="780"/>
      <c r="EL95" s="780"/>
      <c r="EM95" s="780"/>
      <c r="EN95" s="780"/>
      <c r="EO95" s="780"/>
      <c r="EP95" s="780"/>
      <c r="EQ95" s="780"/>
      <c r="ER95" s="780"/>
      <c r="ES95" s="780"/>
      <c r="ET95" s="780"/>
      <c r="EU95" s="780"/>
      <c r="EV95" s="780"/>
      <c r="EW95" s="780"/>
      <c r="EX95" s="780"/>
      <c r="EY95" s="780"/>
      <c r="EZ95" s="780"/>
      <c r="FA95" s="780"/>
      <c r="FB95" s="780"/>
      <c r="FC95" s="780"/>
      <c r="FD95" s="780"/>
      <c r="FE95" s="780"/>
      <c r="FF95" s="780"/>
      <c r="FG95" s="780"/>
      <c r="FH95" s="780"/>
    </row>
    <row r="96" spans="1:164" s="542" customFormat="1" ht="15.75" hidden="1" customHeight="1">
      <c r="A96" s="62">
        <f t="shared" si="125"/>
        <v>50</v>
      </c>
      <c r="B96" s="63">
        <f t="shared" si="120"/>
        <v>45999</v>
      </c>
      <c r="C96" s="63">
        <f t="shared" si="126"/>
        <v>46005</v>
      </c>
      <c r="D96" s="239">
        <f t="shared" ca="1" si="123"/>
        <v>0</v>
      </c>
      <c r="E96" s="239">
        <f t="shared" ca="1" si="124"/>
        <v>0</v>
      </c>
      <c r="F96" s="239">
        <f t="shared" ca="1" si="127"/>
        <v>0</v>
      </c>
      <c r="G96" s="261">
        <f t="shared" ca="1" si="122"/>
        <v>0</v>
      </c>
      <c r="I96" s="237"/>
      <c r="AV96" s="235"/>
      <c r="AW96" s="235"/>
      <c r="AX96" s="235"/>
      <c r="AY96" s="235"/>
      <c r="AZ96" s="235"/>
      <c r="BA96" s="235"/>
      <c r="BB96" s="235"/>
      <c r="BC96" s="235"/>
      <c r="BD96" s="235"/>
      <c r="BE96" s="235"/>
      <c r="BF96" s="235"/>
      <c r="BG96" s="235"/>
      <c r="BH96" s="235"/>
      <c r="BI96" s="235"/>
      <c r="BJ96" s="235"/>
      <c r="BK96" s="235"/>
      <c r="BL96" s="235"/>
      <c r="BM96" s="235"/>
      <c r="BN96" s="235"/>
      <c r="BO96" s="235"/>
      <c r="BP96" s="235"/>
      <c r="BQ96" s="235"/>
      <c r="CS96" s="699"/>
      <c r="CT96" s="699"/>
      <c r="CU96" s="725"/>
      <c r="CV96" s="725"/>
      <c r="CW96" s="725"/>
      <c r="CX96" s="725"/>
      <c r="CY96" s="725"/>
      <c r="CZ96" s="725"/>
      <c r="DA96" s="780"/>
      <c r="DB96" s="780"/>
      <c r="DC96" s="780"/>
      <c r="DD96" s="780"/>
      <c r="DE96" s="780"/>
      <c r="DF96" s="780"/>
      <c r="DG96" s="780"/>
      <c r="DH96" s="780"/>
      <c r="DI96" s="780"/>
      <c r="DJ96" s="780"/>
      <c r="DK96" s="780"/>
      <c r="DL96" s="780"/>
      <c r="DM96" s="780"/>
      <c r="DN96" s="780"/>
      <c r="DO96" s="780"/>
      <c r="DP96" s="780"/>
      <c r="DQ96" s="780"/>
      <c r="DR96" s="780"/>
      <c r="DS96" s="780"/>
      <c r="DT96" s="780"/>
      <c r="DU96" s="780"/>
      <c r="DV96" s="780"/>
      <c r="DW96" s="780"/>
      <c r="DX96" s="780"/>
      <c r="DY96" s="780"/>
      <c r="DZ96" s="780"/>
      <c r="EA96" s="780"/>
      <c r="EB96" s="780"/>
      <c r="EC96" s="780"/>
      <c r="ED96" s="780"/>
      <c r="EE96" s="780"/>
      <c r="EF96" s="780"/>
      <c r="EG96" s="780"/>
      <c r="EH96" s="780"/>
      <c r="EI96" s="780"/>
      <c r="EJ96" s="780"/>
      <c r="EK96" s="780"/>
      <c r="EL96" s="780"/>
      <c r="EM96" s="780"/>
      <c r="EN96" s="780"/>
      <c r="EO96" s="780"/>
      <c r="EP96" s="780"/>
      <c r="EQ96" s="780"/>
      <c r="ER96" s="780"/>
      <c r="ES96" s="780"/>
      <c r="ET96" s="780"/>
      <c r="EU96" s="780"/>
      <c r="EV96" s="780"/>
      <c r="EW96" s="780"/>
      <c r="EX96" s="780"/>
      <c r="EY96" s="780"/>
      <c r="EZ96" s="780"/>
      <c r="FA96" s="780"/>
      <c r="FB96" s="780"/>
      <c r="FC96" s="780"/>
      <c r="FD96" s="780"/>
      <c r="FE96" s="780"/>
      <c r="FF96" s="780"/>
      <c r="FG96" s="780"/>
      <c r="FH96" s="780"/>
    </row>
    <row r="97" spans="1:164" s="542" customFormat="1" ht="15.75" hidden="1" customHeight="1">
      <c r="A97" s="62">
        <f t="shared" si="125"/>
        <v>51</v>
      </c>
      <c r="B97" s="63">
        <f t="shared" si="120"/>
        <v>46006</v>
      </c>
      <c r="C97" s="63">
        <f t="shared" si="126"/>
        <v>46012</v>
      </c>
      <c r="D97" s="239">
        <f t="shared" ca="1" si="123"/>
        <v>0</v>
      </c>
      <c r="E97" s="239">
        <f t="shared" ca="1" si="124"/>
        <v>0</v>
      </c>
      <c r="F97" s="239">
        <f t="shared" ca="1" si="127"/>
        <v>0</v>
      </c>
      <c r="G97" s="261">
        <f t="shared" ca="1" si="122"/>
        <v>0</v>
      </c>
      <c r="I97" s="237"/>
      <c r="AV97" s="235"/>
      <c r="AW97" s="235"/>
      <c r="AX97" s="235"/>
      <c r="AY97" s="235"/>
      <c r="AZ97" s="235"/>
      <c r="BA97" s="235"/>
      <c r="BB97" s="235"/>
      <c r="BC97" s="235"/>
      <c r="BD97" s="235"/>
      <c r="BE97" s="235"/>
      <c r="BF97" s="235"/>
      <c r="BG97" s="235"/>
      <c r="BH97" s="235"/>
      <c r="BI97" s="235"/>
      <c r="BJ97" s="235"/>
      <c r="BK97" s="235"/>
      <c r="BL97" s="235"/>
      <c r="BM97" s="235"/>
      <c r="BN97" s="235"/>
      <c r="BO97" s="235"/>
      <c r="BP97" s="235"/>
      <c r="BQ97" s="235"/>
      <c r="CS97" s="699"/>
      <c r="CT97" s="699"/>
      <c r="CU97" s="725"/>
      <c r="CV97" s="725"/>
      <c r="CW97" s="725"/>
      <c r="CX97" s="725"/>
      <c r="CY97" s="725"/>
      <c r="CZ97" s="725"/>
      <c r="DA97" s="780"/>
      <c r="DB97" s="780"/>
      <c r="DC97" s="780"/>
      <c r="DD97" s="780"/>
      <c r="DE97" s="780"/>
      <c r="DF97" s="780"/>
      <c r="DG97" s="780"/>
      <c r="DH97" s="780"/>
      <c r="DI97" s="780"/>
      <c r="DJ97" s="780"/>
      <c r="DK97" s="780"/>
      <c r="DL97" s="780"/>
      <c r="DM97" s="780"/>
      <c r="DN97" s="780"/>
      <c r="DO97" s="780"/>
      <c r="DP97" s="780"/>
      <c r="DQ97" s="780"/>
      <c r="DR97" s="780"/>
      <c r="DS97" s="780"/>
      <c r="DT97" s="780"/>
      <c r="DU97" s="780"/>
      <c r="DV97" s="780"/>
      <c r="DW97" s="780"/>
      <c r="DX97" s="780"/>
      <c r="DY97" s="780"/>
      <c r="DZ97" s="780"/>
      <c r="EA97" s="780"/>
      <c r="EB97" s="780"/>
      <c r="EC97" s="780"/>
      <c r="ED97" s="780"/>
      <c r="EE97" s="780"/>
      <c r="EF97" s="780"/>
      <c r="EG97" s="780"/>
      <c r="EH97" s="780"/>
      <c r="EI97" s="780"/>
      <c r="EJ97" s="780"/>
      <c r="EK97" s="780"/>
      <c r="EL97" s="780"/>
      <c r="EM97" s="780"/>
      <c r="EN97" s="780"/>
      <c r="EO97" s="780"/>
      <c r="EP97" s="780"/>
      <c r="EQ97" s="780"/>
      <c r="ER97" s="780"/>
      <c r="ES97" s="780"/>
      <c r="ET97" s="780"/>
      <c r="EU97" s="780"/>
      <c r="EV97" s="780"/>
      <c r="EW97" s="780"/>
      <c r="EX97" s="780"/>
      <c r="EY97" s="780"/>
      <c r="EZ97" s="780"/>
      <c r="FA97" s="780"/>
      <c r="FB97" s="780"/>
      <c r="FC97" s="780"/>
      <c r="FD97" s="780"/>
      <c r="FE97" s="780"/>
      <c r="FF97" s="780"/>
      <c r="FG97" s="780"/>
      <c r="FH97" s="780"/>
    </row>
    <row r="98" spans="1:164" s="542" customFormat="1" ht="15.75" hidden="1" customHeight="1">
      <c r="A98" s="62">
        <f t="shared" si="125"/>
        <v>52</v>
      </c>
      <c r="B98" s="63">
        <f t="shared" si="120"/>
        <v>46013</v>
      </c>
      <c r="C98" s="63">
        <f t="shared" si="126"/>
        <v>46019</v>
      </c>
      <c r="D98" s="239">
        <f t="shared" ca="1" si="123"/>
        <v>0</v>
      </c>
      <c r="E98" s="239">
        <f t="shared" ca="1" si="124"/>
        <v>0</v>
      </c>
      <c r="F98" s="239">
        <f t="shared" ca="1" si="127"/>
        <v>0</v>
      </c>
      <c r="G98" s="261">
        <f t="shared" ca="1" si="122"/>
        <v>0</v>
      </c>
      <c r="I98" s="237"/>
      <c r="AV98" s="235"/>
      <c r="AW98" s="235"/>
      <c r="AX98" s="235"/>
      <c r="AY98" s="235"/>
      <c r="AZ98" s="235"/>
      <c r="BA98" s="235"/>
      <c r="BB98" s="235"/>
      <c r="BC98" s="235"/>
      <c r="BD98" s="235"/>
      <c r="BE98" s="235"/>
      <c r="BF98" s="235"/>
      <c r="BG98" s="235"/>
      <c r="BH98" s="235"/>
      <c r="BI98" s="235"/>
      <c r="BJ98" s="235"/>
      <c r="BK98" s="235"/>
      <c r="BL98" s="235"/>
      <c r="BM98" s="235"/>
      <c r="BN98" s="235"/>
      <c r="BO98" s="235"/>
      <c r="BP98" s="235"/>
      <c r="BQ98" s="235"/>
      <c r="CS98" s="699"/>
      <c r="CT98" s="699"/>
      <c r="CU98" s="725"/>
      <c r="CV98" s="725"/>
      <c r="CW98" s="725"/>
      <c r="CX98" s="725"/>
      <c r="CY98" s="725"/>
      <c r="CZ98" s="725"/>
      <c r="DA98" s="780"/>
      <c r="DB98" s="780"/>
      <c r="DC98" s="780"/>
      <c r="DD98" s="780"/>
      <c r="DE98" s="780"/>
      <c r="DF98" s="780"/>
      <c r="DG98" s="780"/>
      <c r="DH98" s="780"/>
      <c r="DI98" s="780"/>
      <c r="DJ98" s="780"/>
      <c r="DK98" s="780"/>
      <c r="DL98" s="780"/>
      <c r="DM98" s="780"/>
      <c r="DN98" s="780"/>
      <c r="DO98" s="780"/>
      <c r="DP98" s="780"/>
      <c r="DQ98" s="780"/>
      <c r="DR98" s="780"/>
      <c r="DS98" s="780"/>
      <c r="DT98" s="780"/>
      <c r="DU98" s="780"/>
      <c r="DV98" s="780"/>
      <c r="DW98" s="780"/>
      <c r="DX98" s="780"/>
      <c r="DY98" s="780"/>
      <c r="DZ98" s="780"/>
      <c r="EA98" s="780"/>
      <c r="EB98" s="780"/>
      <c r="EC98" s="780"/>
      <c r="ED98" s="780"/>
      <c r="EE98" s="780"/>
      <c r="EF98" s="780"/>
      <c r="EG98" s="780"/>
      <c r="EH98" s="780"/>
      <c r="EI98" s="780"/>
      <c r="EJ98" s="780"/>
      <c r="EK98" s="780"/>
      <c r="EL98" s="780"/>
      <c r="EM98" s="780"/>
      <c r="EN98" s="780"/>
      <c r="EO98" s="780"/>
      <c r="EP98" s="780"/>
      <c r="EQ98" s="780"/>
      <c r="ER98" s="780"/>
      <c r="ES98" s="780"/>
      <c r="ET98" s="780"/>
      <c r="EU98" s="780"/>
      <c r="EV98" s="780"/>
      <c r="EW98" s="780"/>
      <c r="EX98" s="780"/>
      <c r="EY98" s="780"/>
      <c r="EZ98" s="780"/>
      <c r="FA98" s="780"/>
      <c r="FB98" s="780"/>
      <c r="FC98" s="780"/>
      <c r="FD98" s="780"/>
      <c r="FE98" s="780"/>
      <c r="FF98" s="780"/>
      <c r="FG98" s="780"/>
      <c r="FH98" s="780"/>
    </row>
    <row r="99" spans="1:164" s="542" customFormat="1" ht="15.75" hidden="1" customHeight="1">
      <c r="A99" s="62">
        <f t="shared" si="125"/>
        <v>53</v>
      </c>
      <c r="B99" s="63">
        <f t="shared" si="120"/>
        <v>46020</v>
      </c>
      <c r="C99" s="63">
        <f t="shared" si="126"/>
        <v>46026</v>
      </c>
      <c r="D99" s="239">
        <f t="shared" ca="1" si="123"/>
        <v>0</v>
      </c>
      <c r="E99" s="239">
        <f t="shared" ca="1" si="124"/>
        <v>0</v>
      </c>
      <c r="F99" s="239">
        <f t="shared" ca="1" si="127"/>
        <v>0</v>
      </c>
      <c r="G99" s="261">
        <f t="shared" ca="1" si="122"/>
        <v>0</v>
      </c>
      <c r="I99" s="237"/>
      <c r="AV99" s="235"/>
      <c r="AW99" s="235"/>
      <c r="AX99" s="235"/>
      <c r="AY99" s="235"/>
      <c r="AZ99" s="235"/>
      <c r="BA99" s="235"/>
      <c r="BB99" s="235"/>
      <c r="BC99" s="235"/>
      <c r="BD99" s="235"/>
      <c r="BE99" s="235"/>
      <c r="BF99" s="235"/>
      <c r="BG99" s="235"/>
      <c r="BH99" s="235"/>
      <c r="BI99" s="235"/>
      <c r="BJ99" s="235"/>
      <c r="BK99" s="235"/>
      <c r="BL99" s="235"/>
      <c r="BM99" s="235"/>
      <c r="BN99" s="235"/>
      <c r="BO99" s="235"/>
      <c r="BP99" s="235"/>
      <c r="BQ99" s="235"/>
      <c r="CS99" s="699"/>
      <c r="CT99" s="699"/>
      <c r="CU99" s="725"/>
      <c r="CV99" s="725"/>
      <c r="CW99" s="725"/>
      <c r="CX99" s="725"/>
      <c r="CY99" s="725"/>
      <c r="CZ99" s="725"/>
      <c r="DA99" s="780"/>
      <c r="DB99" s="780"/>
      <c r="DC99" s="780"/>
      <c r="DD99" s="780"/>
      <c r="DE99" s="780"/>
      <c r="DF99" s="780"/>
      <c r="DG99" s="780"/>
      <c r="DH99" s="780"/>
      <c r="DI99" s="780"/>
      <c r="DJ99" s="780"/>
      <c r="DK99" s="780"/>
      <c r="DL99" s="780"/>
      <c r="DM99" s="780"/>
      <c r="DN99" s="780"/>
      <c r="DO99" s="780"/>
      <c r="DP99" s="780"/>
      <c r="DQ99" s="780"/>
      <c r="DR99" s="780"/>
      <c r="DS99" s="780"/>
      <c r="DT99" s="780"/>
      <c r="DU99" s="780"/>
      <c r="DV99" s="780"/>
      <c r="DW99" s="780"/>
      <c r="DX99" s="780"/>
      <c r="DY99" s="780"/>
      <c r="DZ99" s="780"/>
      <c r="EA99" s="780"/>
      <c r="EB99" s="780"/>
      <c r="EC99" s="780"/>
      <c r="ED99" s="780"/>
      <c r="EE99" s="780"/>
      <c r="EF99" s="780"/>
      <c r="EG99" s="780"/>
      <c r="EH99" s="780"/>
      <c r="EI99" s="780"/>
      <c r="EJ99" s="780"/>
      <c r="EK99" s="780"/>
      <c r="EL99" s="780"/>
      <c r="EM99" s="780"/>
      <c r="EN99" s="780"/>
      <c r="EO99" s="780"/>
      <c r="EP99" s="780"/>
      <c r="EQ99" s="780"/>
      <c r="ER99" s="780"/>
      <c r="ES99" s="780"/>
      <c r="ET99" s="780"/>
      <c r="EU99" s="780"/>
      <c r="EV99" s="780"/>
      <c r="EW99" s="780"/>
      <c r="EX99" s="780"/>
      <c r="EY99" s="780"/>
      <c r="EZ99" s="780"/>
      <c r="FA99" s="780"/>
      <c r="FB99" s="780"/>
      <c r="FC99" s="780"/>
      <c r="FD99" s="780"/>
      <c r="FE99" s="780"/>
      <c r="FF99" s="780"/>
      <c r="FG99" s="780"/>
      <c r="FH99" s="780"/>
    </row>
    <row r="100" spans="1:164" s="542" customFormat="1" ht="15.75" hidden="1" customHeight="1">
      <c r="A100" s="62">
        <f t="shared" si="125"/>
        <v>2</v>
      </c>
      <c r="B100" s="63">
        <f t="shared" si="120"/>
        <v>46027</v>
      </c>
      <c r="C100" s="63">
        <f t="shared" si="126"/>
        <v>46033</v>
      </c>
      <c r="D100" s="239">
        <f t="shared" ca="1" si="123"/>
        <v>0</v>
      </c>
      <c r="E100" s="239">
        <f t="shared" ca="1" si="124"/>
        <v>0</v>
      </c>
      <c r="F100" s="239">
        <f t="shared" ca="1" si="127"/>
        <v>0</v>
      </c>
      <c r="G100" s="261">
        <f t="shared" ref="G100:G108" ca="1" si="128">SUMIFS(PENDIENTE_DE_COBRO,FECHA_RETIRO_VALORES,"&gt;="&amp;B100,FECHA_RETIRO_VALORES,"&lt;="&amp;C100,ESTADO_ENTREGA,"ENTREGADO")</f>
        <v>0</v>
      </c>
      <c r="I100" s="237"/>
      <c r="AV100" s="235"/>
      <c r="AW100" s="235"/>
      <c r="AX100" s="235"/>
      <c r="AY100" s="235"/>
      <c r="AZ100" s="235"/>
      <c r="BA100" s="235"/>
      <c r="BB100" s="235"/>
      <c r="BC100" s="235"/>
      <c r="BD100" s="235"/>
      <c r="BE100" s="235"/>
      <c r="BF100" s="235"/>
      <c r="BG100" s="235"/>
      <c r="BH100" s="235"/>
      <c r="BI100" s="235"/>
      <c r="BJ100" s="235"/>
      <c r="BK100" s="235"/>
      <c r="BL100" s="235"/>
      <c r="BM100" s="235"/>
      <c r="BN100" s="235"/>
      <c r="BO100" s="235"/>
      <c r="BP100" s="235"/>
      <c r="BQ100" s="235"/>
      <c r="CS100" s="699"/>
      <c r="CT100" s="699"/>
      <c r="CU100" s="725"/>
      <c r="CV100" s="725"/>
      <c r="CW100" s="725"/>
      <c r="CX100" s="725"/>
      <c r="CY100" s="725"/>
      <c r="CZ100" s="725"/>
      <c r="DA100" s="780"/>
      <c r="DB100" s="780"/>
      <c r="DC100" s="780"/>
      <c r="DD100" s="780"/>
      <c r="DE100" s="780"/>
      <c r="DF100" s="780"/>
      <c r="DG100" s="780"/>
      <c r="DH100" s="780"/>
      <c r="DI100" s="780"/>
      <c r="DJ100" s="780"/>
      <c r="DK100" s="780"/>
      <c r="DL100" s="780"/>
      <c r="DM100" s="780"/>
      <c r="DN100" s="780"/>
      <c r="DO100" s="780"/>
      <c r="DP100" s="780"/>
      <c r="DQ100" s="780"/>
      <c r="DR100" s="780"/>
      <c r="DS100" s="780"/>
      <c r="DT100" s="780"/>
      <c r="DU100" s="780"/>
      <c r="DV100" s="780"/>
      <c r="DW100" s="780"/>
      <c r="DX100" s="780"/>
      <c r="DY100" s="780"/>
      <c r="DZ100" s="780"/>
      <c r="EA100" s="780"/>
      <c r="EB100" s="780"/>
      <c r="EC100" s="780"/>
      <c r="ED100" s="780"/>
      <c r="EE100" s="780"/>
      <c r="EF100" s="780"/>
      <c r="EG100" s="780"/>
      <c r="EH100" s="780"/>
      <c r="EI100" s="780"/>
      <c r="EJ100" s="780"/>
      <c r="EK100" s="780"/>
      <c r="EL100" s="780"/>
      <c r="EM100" s="780"/>
      <c r="EN100" s="780"/>
      <c r="EO100" s="780"/>
      <c r="EP100" s="780"/>
      <c r="EQ100" s="780"/>
      <c r="ER100" s="780"/>
      <c r="ES100" s="780"/>
      <c r="ET100" s="780"/>
      <c r="EU100" s="780"/>
      <c r="EV100" s="780"/>
      <c r="EW100" s="780"/>
      <c r="EX100" s="780"/>
      <c r="EY100" s="780"/>
      <c r="EZ100" s="780"/>
      <c r="FA100" s="780"/>
      <c r="FB100" s="780"/>
      <c r="FC100" s="780"/>
      <c r="FD100" s="780"/>
      <c r="FE100" s="780"/>
      <c r="FF100" s="780"/>
      <c r="FG100" s="780"/>
      <c r="FH100" s="780"/>
    </row>
    <row r="101" spans="1:164" s="542" customFormat="1" ht="15.75" hidden="1" customHeight="1">
      <c r="A101" s="62">
        <f t="shared" si="125"/>
        <v>3</v>
      </c>
      <c r="B101" s="63">
        <f t="shared" si="120"/>
        <v>46034</v>
      </c>
      <c r="C101" s="63">
        <f t="shared" si="126"/>
        <v>46040</v>
      </c>
      <c r="D101" s="239">
        <f t="shared" ca="1" si="123"/>
        <v>0</v>
      </c>
      <c r="E101" s="239">
        <f t="shared" ca="1" si="124"/>
        <v>0</v>
      </c>
      <c r="F101" s="239">
        <f ca="1">SUMIFS(PENDIENTE_DE_ENTREGA,FECHA_RETIRO_VALORES,"&gt;="&amp;B101,FECHA_RETIRO_VALORES,"&lt;="&amp;C101,ESTADO_ENTREGA,"PENDIENTE")</f>
        <v>0</v>
      </c>
      <c r="G101" s="261">
        <f t="shared" ca="1" si="128"/>
        <v>0</v>
      </c>
      <c r="I101" s="237"/>
      <c r="AV101" s="235"/>
      <c r="AW101" s="235"/>
      <c r="AX101" s="235"/>
      <c r="AY101" s="235"/>
      <c r="AZ101" s="235"/>
      <c r="BA101" s="235"/>
      <c r="BB101" s="235"/>
      <c r="BC101" s="235"/>
      <c r="BD101" s="235"/>
      <c r="BE101" s="235"/>
      <c r="BF101" s="235"/>
      <c r="BG101" s="235"/>
      <c r="BH101" s="235"/>
      <c r="BI101" s="235"/>
      <c r="BJ101" s="235"/>
      <c r="BK101" s="235"/>
      <c r="BL101" s="235"/>
      <c r="BM101" s="235"/>
      <c r="BN101" s="235"/>
      <c r="BO101" s="235"/>
      <c r="BP101" s="235"/>
      <c r="BQ101" s="235"/>
      <c r="CS101" s="699"/>
      <c r="CT101" s="699"/>
      <c r="CU101" s="725"/>
      <c r="CV101" s="725"/>
      <c r="CW101" s="725"/>
      <c r="CX101" s="725"/>
      <c r="CY101" s="725"/>
      <c r="CZ101" s="725"/>
      <c r="DA101" s="780"/>
      <c r="DB101" s="780"/>
      <c r="DC101" s="780"/>
      <c r="DD101" s="780"/>
      <c r="DE101" s="780"/>
      <c r="DF101" s="780"/>
      <c r="DG101" s="780"/>
      <c r="DH101" s="780"/>
      <c r="DI101" s="780"/>
      <c r="DJ101" s="780"/>
      <c r="DK101" s="780"/>
      <c r="DL101" s="780"/>
      <c r="DM101" s="780"/>
      <c r="DN101" s="780"/>
      <c r="DO101" s="780"/>
      <c r="DP101" s="780"/>
      <c r="DQ101" s="780"/>
      <c r="DR101" s="780"/>
      <c r="DS101" s="780"/>
      <c r="DT101" s="780"/>
      <c r="DU101" s="780"/>
      <c r="DV101" s="780"/>
      <c r="DW101" s="780"/>
      <c r="DX101" s="780"/>
      <c r="DY101" s="780"/>
      <c r="DZ101" s="780"/>
      <c r="EA101" s="780"/>
      <c r="EB101" s="780"/>
      <c r="EC101" s="780"/>
      <c r="ED101" s="780"/>
      <c r="EE101" s="780"/>
      <c r="EF101" s="780"/>
      <c r="EG101" s="780"/>
      <c r="EH101" s="780"/>
      <c r="EI101" s="780"/>
      <c r="EJ101" s="780"/>
      <c r="EK101" s="780"/>
      <c r="EL101" s="780"/>
      <c r="EM101" s="780"/>
      <c r="EN101" s="780"/>
      <c r="EO101" s="780"/>
      <c r="EP101" s="780"/>
      <c r="EQ101" s="780"/>
      <c r="ER101" s="780"/>
      <c r="ES101" s="780"/>
      <c r="ET101" s="780"/>
      <c r="EU101" s="780"/>
      <c r="EV101" s="780"/>
      <c r="EW101" s="780"/>
      <c r="EX101" s="780"/>
      <c r="EY101" s="780"/>
      <c r="EZ101" s="780"/>
      <c r="FA101" s="780"/>
      <c r="FB101" s="780"/>
      <c r="FC101" s="780"/>
      <c r="FD101" s="780"/>
      <c r="FE101" s="780"/>
      <c r="FF101" s="780"/>
      <c r="FG101" s="780"/>
      <c r="FH101" s="780"/>
    </row>
    <row r="102" spans="1:164" s="699" customFormat="1" ht="15.75" hidden="1" customHeight="1">
      <c r="A102" s="62">
        <f t="shared" ref="A102:A108" si="129">WEEKNUM(B102)</f>
        <v>4</v>
      </c>
      <c r="B102" s="63">
        <f t="shared" si="120"/>
        <v>46041</v>
      </c>
      <c r="C102" s="63">
        <f t="shared" ref="C102:C108" si="130">+B102+6</f>
        <v>46047</v>
      </c>
      <c r="D102" s="239">
        <f t="shared" ref="D102:D108" ca="1" si="131">SUMIFS(TOTAL,FECHA_RETIRO_VALORES,"&gt;="&amp;B102,FECHA_RETIRO_VALORES,"&lt;="&amp;C102)</f>
        <v>0</v>
      </c>
      <c r="E102" s="239">
        <f t="shared" ref="E102:E108" ca="1" si="132">SUMIFS(VALORES_COBRADOS,FECHA_RETIRO_VALORES,"&gt;="&amp;B102,FECHA_RETIRO_VALORES,"&lt;="&amp;C102)+SUMIFS(VALORES_EN_CARTERA,FECHA_RETIRO_VALORES,"&gt;="&amp;B102,FECHA_RETIRO_VALORES,"&lt;="&amp;C102)</f>
        <v>0</v>
      </c>
      <c r="F102" s="239">
        <f t="shared" ref="F102:F108" ca="1" si="133">SUMIFS(PENDIENTE_DE_ENTREGA,FECHA_RETIRO_VALORES,"&gt;="&amp;B102,FECHA_RETIRO_VALORES,"&lt;="&amp;C102,ESTADO_ENTREGA,"PENDIENTE")</f>
        <v>0</v>
      </c>
      <c r="G102" s="261">
        <f t="shared" ca="1" si="128"/>
        <v>0</v>
      </c>
      <c r="I102" s="237"/>
      <c r="AV102" s="235"/>
      <c r="AW102" s="235"/>
      <c r="AX102" s="235"/>
      <c r="AY102" s="235"/>
      <c r="AZ102" s="235"/>
      <c r="BA102" s="235"/>
      <c r="BB102" s="235"/>
      <c r="BC102" s="235"/>
      <c r="BD102" s="235"/>
      <c r="BE102" s="235"/>
      <c r="BF102" s="235"/>
      <c r="BG102" s="235"/>
      <c r="BH102" s="235"/>
      <c r="BI102" s="235"/>
      <c r="BJ102" s="235"/>
      <c r="BK102" s="235"/>
      <c r="BL102" s="235"/>
      <c r="BM102" s="235"/>
      <c r="BN102" s="235"/>
      <c r="BO102" s="235"/>
      <c r="BP102" s="235"/>
      <c r="BQ102" s="235"/>
      <c r="CU102" s="725"/>
      <c r="CV102" s="725"/>
      <c r="CW102" s="725"/>
      <c r="CX102" s="725"/>
      <c r="CY102" s="725"/>
      <c r="CZ102" s="725"/>
      <c r="DA102" s="780"/>
      <c r="DB102" s="780"/>
      <c r="DC102" s="780"/>
      <c r="DD102" s="780"/>
      <c r="DE102" s="780"/>
      <c r="DF102" s="780"/>
      <c r="DG102" s="780"/>
      <c r="DH102" s="780"/>
      <c r="DI102" s="780"/>
      <c r="DJ102" s="780"/>
      <c r="DK102" s="780"/>
      <c r="DL102" s="780"/>
      <c r="DM102" s="780"/>
      <c r="DN102" s="780"/>
      <c r="DO102" s="780"/>
      <c r="DP102" s="780"/>
      <c r="DQ102" s="780"/>
      <c r="DR102" s="780"/>
      <c r="DS102" s="780"/>
      <c r="DT102" s="780"/>
      <c r="DU102" s="780"/>
      <c r="DV102" s="780"/>
      <c r="DW102" s="780"/>
      <c r="DX102" s="780"/>
      <c r="DY102" s="780"/>
      <c r="DZ102" s="780"/>
      <c r="EA102" s="780"/>
      <c r="EB102" s="780"/>
      <c r="EC102" s="780"/>
      <c r="ED102" s="780"/>
      <c r="EE102" s="780"/>
      <c r="EF102" s="780"/>
      <c r="EG102" s="780"/>
      <c r="EH102" s="780"/>
      <c r="EI102" s="780"/>
      <c r="EJ102" s="780"/>
      <c r="EK102" s="780"/>
      <c r="EL102" s="780"/>
      <c r="EM102" s="780"/>
      <c r="EN102" s="780"/>
      <c r="EO102" s="780"/>
      <c r="EP102" s="780"/>
      <c r="EQ102" s="780"/>
      <c r="ER102" s="780"/>
      <c r="ES102" s="780"/>
      <c r="ET102" s="780"/>
      <c r="EU102" s="780"/>
      <c r="EV102" s="780"/>
      <c r="EW102" s="780"/>
      <c r="EX102" s="780"/>
      <c r="EY102" s="780"/>
      <c r="EZ102" s="780"/>
      <c r="FA102" s="780"/>
      <c r="FB102" s="780"/>
      <c r="FC102" s="780"/>
      <c r="FD102" s="780"/>
      <c r="FE102" s="780"/>
      <c r="FF102" s="780"/>
      <c r="FG102" s="780"/>
      <c r="FH102" s="780"/>
    </row>
    <row r="103" spans="1:164" s="699" customFormat="1" ht="15.75" hidden="1" customHeight="1">
      <c r="A103" s="62">
        <f t="shared" si="129"/>
        <v>5</v>
      </c>
      <c r="B103" s="63">
        <f t="shared" si="120"/>
        <v>46048</v>
      </c>
      <c r="C103" s="63">
        <f t="shared" si="130"/>
        <v>46054</v>
      </c>
      <c r="D103" s="239">
        <f t="shared" ca="1" si="131"/>
        <v>3304183085.380477</v>
      </c>
      <c r="E103" s="239">
        <f t="shared" ca="1" si="132"/>
        <v>3304183085.380477</v>
      </c>
      <c r="F103" s="239">
        <f t="shared" ca="1" si="133"/>
        <v>0</v>
      </c>
      <c r="G103" s="261">
        <f t="shared" ca="1" si="128"/>
        <v>0</v>
      </c>
      <c r="I103" s="237"/>
      <c r="AV103" s="235"/>
      <c r="AW103" s="235"/>
      <c r="AX103" s="235"/>
      <c r="AY103" s="235"/>
      <c r="AZ103" s="235"/>
      <c r="BA103" s="235"/>
      <c r="BB103" s="235"/>
      <c r="BC103" s="235"/>
      <c r="BD103" s="235"/>
      <c r="BE103" s="235"/>
      <c r="BF103" s="235"/>
      <c r="BG103" s="235"/>
      <c r="BH103" s="235"/>
      <c r="BI103" s="235"/>
      <c r="BJ103" s="235"/>
      <c r="BK103" s="235"/>
      <c r="BL103" s="235"/>
      <c r="BM103" s="235"/>
      <c r="BN103" s="235"/>
      <c r="BO103" s="235"/>
      <c r="BP103" s="235"/>
      <c r="BQ103" s="235"/>
      <c r="CU103" s="725"/>
      <c r="CV103" s="725"/>
      <c r="CW103" s="725"/>
      <c r="CX103" s="725"/>
      <c r="CY103" s="725"/>
      <c r="CZ103" s="725"/>
      <c r="DA103" s="780"/>
      <c r="DB103" s="780"/>
      <c r="DC103" s="780"/>
      <c r="DD103" s="780"/>
      <c r="DE103" s="780"/>
      <c r="DF103" s="780"/>
      <c r="DG103" s="780"/>
      <c r="DH103" s="780"/>
      <c r="DI103" s="780"/>
      <c r="DJ103" s="780"/>
      <c r="DK103" s="780"/>
      <c r="DL103" s="780"/>
      <c r="DM103" s="780"/>
      <c r="DN103" s="780"/>
      <c r="DO103" s="780"/>
      <c r="DP103" s="780"/>
      <c r="DQ103" s="780"/>
      <c r="DR103" s="780"/>
      <c r="DS103" s="780"/>
      <c r="DT103" s="780"/>
      <c r="DU103" s="780"/>
      <c r="DV103" s="780"/>
      <c r="DW103" s="780"/>
      <c r="DX103" s="780"/>
      <c r="DY103" s="780"/>
      <c r="DZ103" s="780"/>
      <c r="EA103" s="780"/>
      <c r="EB103" s="780"/>
      <c r="EC103" s="780"/>
      <c r="ED103" s="780"/>
      <c r="EE103" s="780"/>
      <c r="EF103" s="780"/>
      <c r="EG103" s="780"/>
      <c r="EH103" s="780"/>
      <c r="EI103" s="780"/>
      <c r="EJ103" s="780"/>
      <c r="EK103" s="780"/>
      <c r="EL103" s="780"/>
      <c r="EM103" s="780"/>
      <c r="EN103" s="780"/>
      <c r="EO103" s="780"/>
      <c r="EP103" s="780"/>
      <c r="EQ103" s="780"/>
      <c r="ER103" s="780"/>
      <c r="ES103" s="780"/>
      <c r="ET103" s="780"/>
      <c r="EU103" s="780"/>
      <c r="EV103" s="780"/>
      <c r="EW103" s="780"/>
      <c r="EX103" s="780"/>
      <c r="EY103" s="780"/>
      <c r="EZ103" s="780"/>
      <c r="FA103" s="780"/>
      <c r="FB103" s="780"/>
      <c r="FC103" s="780"/>
      <c r="FD103" s="780"/>
      <c r="FE103" s="780"/>
      <c r="FF103" s="780"/>
      <c r="FG103" s="780"/>
      <c r="FH103" s="780"/>
    </row>
    <row r="104" spans="1:164" s="699" customFormat="1" ht="15.75" hidden="1" customHeight="1">
      <c r="A104" s="62">
        <f t="shared" si="129"/>
        <v>6</v>
      </c>
      <c r="B104" s="63">
        <f t="shared" si="120"/>
        <v>46055</v>
      </c>
      <c r="C104" s="63">
        <f t="shared" si="130"/>
        <v>46061</v>
      </c>
      <c r="D104" s="239">
        <f t="shared" ca="1" si="131"/>
        <v>0</v>
      </c>
      <c r="E104" s="239">
        <f t="shared" ca="1" si="132"/>
        <v>0</v>
      </c>
      <c r="F104" s="239">
        <f t="shared" ca="1" si="133"/>
        <v>0</v>
      </c>
      <c r="G104" s="261">
        <f t="shared" ca="1" si="128"/>
        <v>0</v>
      </c>
      <c r="I104" s="237"/>
      <c r="AV104" s="235"/>
      <c r="AW104" s="235"/>
      <c r="AX104" s="235"/>
      <c r="AY104" s="235"/>
      <c r="AZ104" s="235"/>
      <c r="BA104" s="235"/>
      <c r="BB104" s="235"/>
      <c r="BC104" s="235"/>
      <c r="BD104" s="235"/>
      <c r="BE104" s="235"/>
      <c r="BF104" s="235"/>
      <c r="BG104" s="235"/>
      <c r="BH104" s="235"/>
      <c r="BI104" s="235"/>
      <c r="BJ104" s="235"/>
      <c r="BK104" s="235"/>
      <c r="BL104" s="235"/>
      <c r="BM104" s="235"/>
      <c r="BN104" s="235"/>
      <c r="BO104" s="235"/>
      <c r="BP104" s="235"/>
      <c r="BQ104" s="235"/>
      <c r="CU104" s="725"/>
      <c r="CV104" s="725"/>
      <c r="CW104" s="725"/>
      <c r="CX104" s="725"/>
      <c r="CY104" s="725"/>
      <c r="CZ104" s="725"/>
      <c r="DA104" s="780"/>
      <c r="DB104" s="780"/>
      <c r="DC104" s="780"/>
      <c r="DD104" s="780"/>
      <c r="DE104" s="780"/>
      <c r="DF104" s="780"/>
      <c r="DG104" s="780"/>
      <c r="DH104" s="780"/>
      <c r="DI104" s="780"/>
      <c r="DJ104" s="780"/>
      <c r="DK104" s="780"/>
      <c r="DL104" s="780"/>
      <c r="DM104" s="780"/>
      <c r="DN104" s="780"/>
      <c r="DO104" s="780"/>
      <c r="DP104" s="780"/>
      <c r="DQ104" s="780"/>
      <c r="DR104" s="780"/>
      <c r="DS104" s="780"/>
      <c r="DT104" s="780"/>
      <c r="DU104" s="780"/>
      <c r="DV104" s="780"/>
      <c r="DW104" s="780"/>
      <c r="DX104" s="780"/>
      <c r="DY104" s="780"/>
      <c r="DZ104" s="780"/>
      <c r="EA104" s="780"/>
      <c r="EB104" s="780"/>
      <c r="EC104" s="780"/>
      <c r="ED104" s="780"/>
      <c r="EE104" s="780"/>
      <c r="EF104" s="780"/>
      <c r="EG104" s="780"/>
      <c r="EH104" s="780"/>
      <c r="EI104" s="780"/>
      <c r="EJ104" s="780"/>
      <c r="EK104" s="780"/>
      <c r="EL104" s="780"/>
      <c r="EM104" s="780"/>
      <c r="EN104" s="780"/>
      <c r="EO104" s="780"/>
      <c r="EP104" s="780"/>
      <c r="EQ104" s="780"/>
      <c r="ER104" s="780"/>
      <c r="ES104" s="780"/>
      <c r="ET104" s="780"/>
      <c r="EU104" s="780"/>
      <c r="EV104" s="780"/>
      <c r="EW104" s="780"/>
      <c r="EX104" s="780"/>
      <c r="EY104" s="780"/>
      <c r="EZ104" s="780"/>
      <c r="FA104" s="780"/>
      <c r="FB104" s="780"/>
      <c r="FC104" s="780"/>
      <c r="FD104" s="780"/>
      <c r="FE104" s="780"/>
      <c r="FF104" s="780"/>
      <c r="FG104" s="780"/>
      <c r="FH104" s="780"/>
    </row>
    <row r="105" spans="1:164" s="699" customFormat="1" ht="15.75" hidden="1" customHeight="1">
      <c r="A105" s="62">
        <f t="shared" si="129"/>
        <v>7</v>
      </c>
      <c r="B105" s="63">
        <f t="shared" si="120"/>
        <v>46062</v>
      </c>
      <c r="C105" s="63">
        <f t="shared" si="130"/>
        <v>46068</v>
      </c>
      <c r="D105" s="239">
        <f t="shared" ca="1" si="131"/>
        <v>0</v>
      </c>
      <c r="E105" s="239">
        <f t="shared" ca="1" si="132"/>
        <v>0</v>
      </c>
      <c r="F105" s="239">
        <f t="shared" ca="1" si="133"/>
        <v>0</v>
      </c>
      <c r="G105" s="261">
        <f t="shared" ca="1" si="128"/>
        <v>0</v>
      </c>
      <c r="I105" s="237"/>
      <c r="AV105" s="235"/>
      <c r="AW105" s="235"/>
      <c r="AX105" s="235"/>
      <c r="AY105" s="235"/>
      <c r="AZ105" s="235"/>
      <c r="BA105" s="235"/>
      <c r="BB105" s="235"/>
      <c r="BC105" s="235"/>
      <c r="BD105" s="235"/>
      <c r="BE105" s="235"/>
      <c r="BF105" s="235"/>
      <c r="BG105" s="235"/>
      <c r="BH105" s="235"/>
      <c r="BI105" s="235"/>
      <c r="BJ105" s="235"/>
      <c r="BK105" s="235"/>
      <c r="BL105" s="235"/>
      <c r="BM105" s="235"/>
      <c r="BN105" s="235"/>
      <c r="BO105" s="235"/>
      <c r="BP105" s="235"/>
      <c r="BQ105" s="235"/>
      <c r="CU105" s="725"/>
      <c r="CV105" s="725"/>
      <c r="CW105" s="725"/>
      <c r="CX105" s="725"/>
      <c r="CY105" s="725"/>
      <c r="CZ105" s="725"/>
      <c r="DA105" s="780"/>
      <c r="DB105" s="780"/>
      <c r="DC105" s="780"/>
      <c r="DD105" s="780"/>
      <c r="DE105" s="780"/>
      <c r="DF105" s="780"/>
      <c r="DG105" s="780"/>
      <c r="DH105" s="780"/>
      <c r="DI105" s="780"/>
      <c r="DJ105" s="780"/>
      <c r="DK105" s="780"/>
      <c r="DL105" s="780"/>
      <c r="DM105" s="780"/>
      <c r="DN105" s="780"/>
      <c r="DO105" s="780"/>
      <c r="DP105" s="780"/>
      <c r="DQ105" s="780"/>
      <c r="DR105" s="780"/>
      <c r="DS105" s="780"/>
      <c r="DT105" s="780"/>
      <c r="DU105" s="780"/>
      <c r="DV105" s="780"/>
      <c r="DW105" s="780"/>
      <c r="DX105" s="780"/>
      <c r="DY105" s="780"/>
      <c r="DZ105" s="780"/>
      <c r="EA105" s="780"/>
      <c r="EB105" s="780"/>
      <c r="EC105" s="780"/>
      <c r="ED105" s="780"/>
      <c r="EE105" s="780"/>
      <c r="EF105" s="780"/>
      <c r="EG105" s="780"/>
      <c r="EH105" s="780"/>
      <c r="EI105" s="780"/>
      <c r="EJ105" s="780"/>
      <c r="EK105" s="780"/>
      <c r="EL105" s="780"/>
      <c r="EM105" s="780"/>
      <c r="EN105" s="780"/>
      <c r="EO105" s="780"/>
      <c r="EP105" s="780"/>
      <c r="EQ105" s="780"/>
      <c r="ER105" s="780"/>
      <c r="ES105" s="780"/>
      <c r="ET105" s="780"/>
      <c r="EU105" s="780"/>
      <c r="EV105" s="780"/>
      <c r="EW105" s="780"/>
      <c r="EX105" s="780"/>
      <c r="EY105" s="780"/>
      <c r="EZ105" s="780"/>
      <c r="FA105" s="780"/>
      <c r="FB105" s="780"/>
      <c r="FC105" s="780"/>
      <c r="FD105" s="780"/>
      <c r="FE105" s="780"/>
      <c r="FF105" s="780"/>
      <c r="FG105" s="780"/>
      <c r="FH105" s="780"/>
    </row>
    <row r="106" spans="1:164" s="699" customFormat="1" ht="15.75" hidden="1" customHeight="1">
      <c r="A106" s="62">
        <f t="shared" si="129"/>
        <v>8</v>
      </c>
      <c r="B106" s="63">
        <f t="shared" si="120"/>
        <v>46069</v>
      </c>
      <c r="C106" s="63">
        <f t="shared" si="130"/>
        <v>46075</v>
      </c>
      <c r="D106" s="239">
        <f t="shared" ca="1" si="131"/>
        <v>106722000</v>
      </c>
      <c r="E106" s="239">
        <f t="shared" ca="1" si="132"/>
        <v>106722000</v>
      </c>
      <c r="F106" s="239">
        <f t="shared" ca="1" si="133"/>
        <v>106722000</v>
      </c>
      <c r="G106" s="261">
        <f t="shared" ca="1" si="128"/>
        <v>0</v>
      </c>
      <c r="I106" s="237"/>
      <c r="AV106" s="235"/>
      <c r="AW106" s="235"/>
      <c r="AX106" s="235"/>
      <c r="AY106" s="235"/>
      <c r="AZ106" s="235"/>
      <c r="BA106" s="235"/>
      <c r="BB106" s="235"/>
      <c r="BC106" s="235"/>
      <c r="BD106" s="235"/>
      <c r="BE106" s="235"/>
      <c r="BF106" s="235"/>
      <c r="BG106" s="235"/>
      <c r="BH106" s="235"/>
      <c r="BI106" s="235"/>
      <c r="BJ106" s="235"/>
      <c r="BK106" s="235"/>
      <c r="BL106" s="235"/>
      <c r="BM106" s="235"/>
      <c r="BN106" s="235"/>
      <c r="BO106" s="235"/>
      <c r="BP106" s="235"/>
      <c r="BQ106" s="235"/>
      <c r="CU106" s="725"/>
      <c r="CV106" s="725"/>
      <c r="CW106" s="725"/>
      <c r="CX106" s="725"/>
      <c r="CY106" s="725"/>
      <c r="CZ106" s="725"/>
      <c r="DA106" s="780"/>
      <c r="DB106" s="780"/>
      <c r="DC106" s="780"/>
      <c r="DD106" s="780"/>
      <c r="DE106" s="780"/>
      <c r="DF106" s="780"/>
      <c r="DG106" s="780"/>
      <c r="DH106" s="780"/>
      <c r="DI106" s="780"/>
      <c r="DJ106" s="780"/>
      <c r="DK106" s="780"/>
      <c r="DL106" s="780"/>
      <c r="DM106" s="780"/>
      <c r="DN106" s="780"/>
      <c r="DO106" s="780"/>
      <c r="DP106" s="780"/>
      <c r="DQ106" s="780"/>
      <c r="DR106" s="780"/>
      <c r="DS106" s="780"/>
      <c r="DT106" s="780"/>
      <c r="DU106" s="780"/>
      <c r="DV106" s="780"/>
      <c r="DW106" s="780"/>
      <c r="DX106" s="780"/>
      <c r="DY106" s="780"/>
      <c r="DZ106" s="780"/>
      <c r="EA106" s="780"/>
      <c r="EB106" s="780"/>
      <c r="EC106" s="780"/>
      <c r="ED106" s="780"/>
      <c r="EE106" s="780"/>
      <c r="EF106" s="780"/>
      <c r="EG106" s="780"/>
      <c r="EH106" s="780"/>
      <c r="EI106" s="780"/>
      <c r="EJ106" s="780"/>
      <c r="EK106" s="780"/>
      <c r="EL106" s="780"/>
      <c r="EM106" s="780"/>
      <c r="EN106" s="780"/>
      <c r="EO106" s="780"/>
      <c r="EP106" s="780"/>
      <c r="EQ106" s="780"/>
      <c r="ER106" s="780"/>
      <c r="ES106" s="780"/>
      <c r="ET106" s="780"/>
      <c r="EU106" s="780"/>
      <c r="EV106" s="780"/>
      <c r="EW106" s="780"/>
      <c r="EX106" s="780"/>
      <c r="EY106" s="780"/>
      <c r="EZ106" s="780"/>
      <c r="FA106" s="780"/>
      <c r="FB106" s="780"/>
      <c r="FC106" s="780"/>
      <c r="FD106" s="780"/>
      <c r="FE106" s="780"/>
      <c r="FF106" s="780"/>
      <c r="FG106" s="780"/>
      <c r="FH106" s="780"/>
    </row>
    <row r="107" spans="1:164" s="699" customFormat="1" ht="15.75" hidden="1" customHeight="1">
      <c r="A107" s="62">
        <f t="shared" si="129"/>
        <v>9</v>
      </c>
      <c r="B107" s="63">
        <f t="shared" si="120"/>
        <v>46076</v>
      </c>
      <c r="C107" s="63">
        <f t="shared" si="130"/>
        <v>46082</v>
      </c>
      <c r="D107" s="239">
        <f t="shared" ca="1" si="131"/>
        <v>0</v>
      </c>
      <c r="E107" s="239">
        <f t="shared" ca="1" si="132"/>
        <v>0</v>
      </c>
      <c r="F107" s="239">
        <f t="shared" ca="1" si="133"/>
        <v>0</v>
      </c>
      <c r="G107" s="261">
        <f t="shared" ca="1" si="128"/>
        <v>0</v>
      </c>
      <c r="I107" s="237"/>
      <c r="AV107" s="235"/>
      <c r="AW107" s="235"/>
      <c r="AX107" s="235"/>
      <c r="AY107" s="235"/>
      <c r="AZ107" s="235"/>
      <c r="BA107" s="235"/>
      <c r="BB107" s="235"/>
      <c r="BC107" s="235"/>
      <c r="BD107" s="235"/>
      <c r="BE107" s="235"/>
      <c r="BF107" s="235"/>
      <c r="BG107" s="235"/>
      <c r="BH107" s="235"/>
      <c r="BI107" s="235"/>
      <c r="BJ107" s="235"/>
      <c r="BK107" s="235"/>
      <c r="BL107" s="235"/>
      <c r="BM107" s="235"/>
      <c r="BN107" s="235"/>
      <c r="BO107" s="235"/>
      <c r="BP107" s="235"/>
      <c r="BQ107" s="235"/>
      <c r="CU107" s="725"/>
      <c r="CV107" s="725"/>
      <c r="CW107" s="725"/>
      <c r="CX107" s="725"/>
      <c r="CY107" s="725"/>
      <c r="CZ107" s="725"/>
      <c r="DA107" s="780"/>
      <c r="DB107" s="780"/>
      <c r="DC107" s="780"/>
      <c r="DD107" s="780"/>
      <c r="DE107" s="780"/>
      <c r="DF107" s="780"/>
      <c r="DG107" s="780"/>
      <c r="DH107" s="780"/>
      <c r="DI107" s="780"/>
      <c r="DJ107" s="780"/>
      <c r="DK107" s="780"/>
      <c r="DL107" s="780"/>
      <c r="DM107" s="780"/>
      <c r="DN107" s="780"/>
      <c r="DO107" s="780"/>
      <c r="DP107" s="780"/>
      <c r="DQ107" s="780"/>
      <c r="DR107" s="780"/>
      <c r="DS107" s="780"/>
      <c r="DT107" s="780"/>
      <c r="DU107" s="780"/>
      <c r="DV107" s="780"/>
      <c r="DW107" s="780"/>
      <c r="DX107" s="780"/>
      <c r="DY107" s="780"/>
      <c r="DZ107" s="780"/>
      <c r="EA107" s="780"/>
      <c r="EB107" s="780"/>
      <c r="EC107" s="780"/>
      <c r="ED107" s="780"/>
      <c r="EE107" s="780"/>
      <c r="EF107" s="780"/>
      <c r="EG107" s="780"/>
      <c r="EH107" s="780"/>
      <c r="EI107" s="780"/>
      <c r="EJ107" s="780"/>
      <c r="EK107" s="780"/>
      <c r="EL107" s="780"/>
      <c r="EM107" s="780"/>
      <c r="EN107" s="780"/>
      <c r="EO107" s="780"/>
      <c r="EP107" s="780"/>
      <c r="EQ107" s="780"/>
      <c r="ER107" s="780"/>
      <c r="ES107" s="780"/>
      <c r="ET107" s="780"/>
      <c r="EU107" s="780"/>
      <c r="EV107" s="780"/>
      <c r="EW107" s="780"/>
      <c r="EX107" s="780"/>
      <c r="EY107" s="780"/>
      <c r="EZ107" s="780"/>
      <c r="FA107" s="780"/>
      <c r="FB107" s="780"/>
      <c r="FC107" s="780"/>
      <c r="FD107" s="780"/>
      <c r="FE107" s="780"/>
      <c r="FF107" s="780"/>
      <c r="FG107" s="780"/>
      <c r="FH107" s="780"/>
    </row>
    <row r="108" spans="1:164" s="699" customFormat="1" ht="15.75" hidden="1" customHeight="1">
      <c r="A108" s="62">
        <f t="shared" si="129"/>
        <v>10</v>
      </c>
      <c r="B108" s="63">
        <f t="shared" si="120"/>
        <v>46083</v>
      </c>
      <c r="C108" s="63">
        <f t="shared" si="130"/>
        <v>46089</v>
      </c>
      <c r="D108" s="239">
        <f t="shared" ca="1" si="131"/>
        <v>0</v>
      </c>
      <c r="E108" s="239">
        <f t="shared" ca="1" si="132"/>
        <v>0</v>
      </c>
      <c r="F108" s="239">
        <f t="shared" ca="1" si="133"/>
        <v>0</v>
      </c>
      <c r="G108" s="261">
        <f t="shared" ca="1" si="128"/>
        <v>0</v>
      </c>
      <c r="I108" s="237"/>
      <c r="AV108" s="235"/>
      <c r="AW108" s="235"/>
      <c r="AX108" s="235"/>
      <c r="AY108" s="235"/>
      <c r="AZ108" s="235"/>
      <c r="BA108" s="235"/>
      <c r="BB108" s="235"/>
      <c r="BC108" s="235"/>
      <c r="BD108" s="235"/>
      <c r="BE108" s="235"/>
      <c r="BF108" s="235"/>
      <c r="BG108" s="235"/>
      <c r="BH108" s="235"/>
      <c r="BI108" s="235"/>
      <c r="BJ108" s="235"/>
      <c r="BK108" s="235"/>
      <c r="BL108" s="235"/>
      <c r="BM108" s="235"/>
      <c r="BN108" s="235"/>
      <c r="BO108" s="235"/>
      <c r="BP108" s="235"/>
      <c r="BQ108" s="235"/>
      <c r="CU108" s="725"/>
      <c r="CV108" s="725"/>
      <c r="CW108" s="725"/>
      <c r="CX108" s="725"/>
      <c r="CY108" s="725"/>
      <c r="CZ108" s="725"/>
      <c r="DA108" s="780"/>
      <c r="DB108" s="780"/>
      <c r="DC108" s="780"/>
      <c r="DD108" s="780"/>
      <c r="DE108" s="780"/>
      <c r="DF108" s="780"/>
      <c r="DG108" s="780"/>
      <c r="DH108" s="780"/>
      <c r="DI108" s="780"/>
      <c r="DJ108" s="780"/>
      <c r="DK108" s="780"/>
      <c r="DL108" s="780"/>
      <c r="DM108" s="780"/>
      <c r="DN108" s="780"/>
      <c r="DO108" s="780"/>
      <c r="DP108" s="780"/>
      <c r="DQ108" s="780"/>
      <c r="DR108" s="780"/>
      <c r="DS108" s="780"/>
      <c r="DT108" s="780"/>
      <c r="DU108" s="780"/>
      <c r="DV108" s="780"/>
      <c r="DW108" s="780"/>
      <c r="DX108" s="780"/>
      <c r="DY108" s="780"/>
      <c r="DZ108" s="780"/>
      <c r="EA108" s="780"/>
      <c r="EB108" s="780"/>
      <c r="EC108" s="780"/>
      <c r="ED108" s="780"/>
      <c r="EE108" s="780"/>
      <c r="EF108" s="780"/>
      <c r="EG108" s="780"/>
      <c r="EH108" s="780"/>
      <c r="EI108" s="780"/>
      <c r="EJ108" s="780"/>
      <c r="EK108" s="780"/>
      <c r="EL108" s="780"/>
      <c r="EM108" s="780"/>
      <c r="EN108" s="780"/>
      <c r="EO108" s="780"/>
      <c r="EP108" s="780"/>
      <c r="EQ108" s="780"/>
      <c r="ER108" s="780"/>
      <c r="ES108" s="780"/>
      <c r="ET108" s="780"/>
      <c r="EU108" s="780"/>
      <c r="EV108" s="780"/>
      <c r="EW108" s="780"/>
      <c r="EX108" s="780"/>
      <c r="EY108" s="780"/>
      <c r="EZ108" s="780"/>
      <c r="FA108" s="780"/>
      <c r="FB108" s="780"/>
      <c r="FC108" s="780"/>
      <c r="FD108" s="780"/>
      <c r="FE108" s="780"/>
      <c r="FF108" s="780"/>
      <c r="FG108" s="780"/>
      <c r="FH108" s="780"/>
    </row>
    <row r="109" spans="1:164" s="780" customFormat="1" ht="15.75" hidden="1" customHeight="1">
      <c r="A109" s="62">
        <f t="shared" ref="A109:A172" si="134">WEEKNUM(B109)</f>
        <v>11</v>
      </c>
      <c r="B109" s="63">
        <f t="shared" si="120"/>
        <v>46090</v>
      </c>
      <c r="C109" s="63">
        <f t="shared" ref="C109:C172" si="135">+B109+6</f>
        <v>46096</v>
      </c>
      <c r="D109" s="239">
        <f t="shared" ref="D109:D172" ca="1" si="136">SUMIFS(TOTAL,FECHA_RETIRO_VALORES,"&gt;="&amp;B109,FECHA_RETIRO_VALORES,"&lt;="&amp;C109)</f>
        <v>510000000</v>
      </c>
      <c r="E109" s="239">
        <f t="shared" ref="E109:E172" ca="1" si="137">SUMIFS(VALORES_COBRADOS,FECHA_RETIRO_VALORES,"&gt;="&amp;B109,FECHA_RETIRO_VALORES,"&lt;="&amp;C109)+SUMIFS(VALORES_EN_CARTERA,FECHA_RETIRO_VALORES,"&gt;="&amp;B109,FECHA_RETIRO_VALORES,"&lt;="&amp;C109)</f>
        <v>510000000</v>
      </c>
      <c r="F109" s="239">
        <f t="shared" ref="F109:F172" ca="1" si="138">SUMIFS(PENDIENTE_DE_ENTREGA,FECHA_RETIRO_VALORES,"&gt;="&amp;B109,FECHA_RETIRO_VALORES,"&lt;="&amp;C109,ESTADO_ENTREGA,"PENDIENTE")</f>
        <v>0</v>
      </c>
      <c r="G109" s="261">
        <f t="shared" ref="G109:G172" ca="1" si="139">SUMIFS(PENDIENTE_DE_COBRO,FECHA_RETIRO_VALORES,"&gt;="&amp;B109,FECHA_RETIRO_VALORES,"&lt;="&amp;C109,ESTADO_ENTREGA,"ENTREGADO")</f>
        <v>0</v>
      </c>
      <c r="I109" s="237"/>
      <c r="AV109" s="235"/>
      <c r="AW109" s="235"/>
      <c r="AX109" s="235"/>
      <c r="AY109" s="235"/>
      <c r="AZ109" s="235"/>
      <c r="BA109" s="235"/>
      <c r="BB109" s="235"/>
      <c r="BC109" s="235"/>
      <c r="BD109" s="235"/>
      <c r="BE109" s="235"/>
      <c r="BF109" s="235"/>
      <c r="BG109" s="235"/>
      <c r="BH109" s="235"/>
      <c r="BI109" s="235"/>
      <c r="BJ109" s="235"/>
      <c r="BK109" s="235"/>
      <c r="BL109" s="235"/>
      <c r="BM109" s="235"/>
      <c r="BN109" s="235"/>
      <c r="BO109" s="235"/>
      <c r="BP109" s="235"/>
      <c r="BQ109" s="235"/>
    </row>
    <row r="110" spans="1:164" s="780" customFormat="1" ht="15.75" hidden="1" customHeight="1">
      <c r="A110" s="62">
        <f t="shared" si="134"/>
        <v>12</v>
      </c>
      <c r="B110" s="63">
        <f t="shared" si="120"/>
        <v>46097</v>
      </c>
      <c r="C110" s="63">
        <f t="shared" si="135"/>
        <v>46103</v>
      </c>
      <c r="D110" s="239">
        <f t="shared" ca="1" si="136"/>
        <v>0</v>
      </c>
      <c r="E110" s="239">
        <f t="shared" ca="1" si="137"/>
        <v>0</v>
      </c>
      <c r="F110" s="239">
        <f t="shared" ca="1" si="138"/>
        <v>0</v>
      </c>
      <c r="G110" s="261">
        <f t="shared" ca="1" si="139"/>
        <v>0</v>
      </c>
      <c r="I110" s="237"/>
      <c r="AV110" s="235"/>
      <c r="AW110" s="235"/>
      <c r="AX110" s="235"/>
      <c r="AY110" s="235"/>
      <c r="AZ110" s="235"/>
      <c r="BA110" s="235"/>
      <c r="BB110" s="235"/>
      <c r="BC110" s="235"/>
      <c r="BD110" s="235"/>
      <c r="BE110" s="235"/>
      <c r="BF110" s="235"/>
      <c r="BG110" s="235"/>
      <c r="BH110" s="235"/>
      <c r="BI110" s="235"/>
      <c r="BJ110" s="235"/>
      <c r="BK110" s="235"/>
      <c r="BL110" s="235"/>
      <c r="BM110" s="235"/>
      <c r="BN110" s="235"/>
      <c r="BO110" s="235"/>
      <c r="BP110" s="235"/>
      <c r="BQ110" s="235"/>
    </row>
    <row r="111" spans="1:164" s="780" customFormat="1" ht="15.75" hidden="1" customHeight="1">
      <c r="A111" s="62">
        <f t="shared" si="134"/>
        <v>13</v>
      </c>
      <c r="B111" s="63">
        <f t="shared" si="120"/>
        <v>46104</v>
      </c>
      <c r="C111" s="63">
        <f t="shared" si="135"/>
        <v>46110</v>
      </c>
      <c r="D111" s="239">
        <f t="shared" ca="1" si="136"/>
        <v>0</v>
      </c>
      <c r="E111" s="239">
        <f t="shared" ca="1" si="137"/>
        <v>0</v>
      </c>
      <c r="F111" s="239">
        <f t="shared" ca="1" si="138"/>
        <v>0</v>
      </c>
      <c r="G111" s="261">
        <f t="shared" ca="1" si="139"/>
        <v>0</v>
      </c>
      <c r="I111" s="237"/>
      <c r="AV111" s="235"/>
      <c r="AW111" s="235"/>
      <c r="AX111" s="235"/>
      <c r="AY111" s="235"/>
      <c r="AZ111" s="235"/>
      <c r="BA111" s="235"/>
      <c r="BB111" s="235"/>
      <c r="BC111" s="235"/>
      <c r="BD111" s="235"/>
      <c r="BE111" s="235"/>
      <c r="BF111" s="235"/>
      <c r="BG111" s="235"/>
      <c r="BH111" s="235"/>
      <c r="BI111" s="235"/>
      <c r="BJ111" s="235"/>
      <c r="BK111" s="235"/>
      <c r="BL111" s="235"/>
      <c r="BM111" s="235"/>
      <c r="BN111" s="235"/>
      <c r="BO111" s="235"/>
      <c r="BP111" s="235"/>
      <c r="BQ111" s="235"/>
    </row>
    <row r="112" spans="1:164" s="780" customFormat="1" ht="15.75" hidden="1" customHeight="1">
      <c r="A112" s="62">
        <f t="shared" si="134"/>
        <v>14</v>
      </c>
      <c r="B112" s="63">
        <f t="shared" si="120"/>
        <v>46111</v>
      </c>
      <c r="C112" s="63">
        <f t="shared" si="135"/>
        <v>46117</v>
      </c>
      <c r="D112" s="239">
        <f t="shared" ca="1" si="136"/>
        <v>0</v>
      </c>
      <c r="E112" s="239">
        <f t="shared" ca="1" si="137"/>
        <v>0</v>
      </c>
      <c r="F112" s="239">
        <f t="shared" ca="1" si="138"/>
        <v>0</v>
      </c>
      <c r="G112" s="261">
        <f t="shared" ca="1" si="139"/>
        <v>0</v>
      </c>
      <c r="I112" s="237"/>
      <c r="AV112" s="235"/>
      <c r="AW112" s="235"/>
      <c r="AX112" s="235"/>
      <c r="AY112" s="235"/>
      <c r="AZ112" s="235"/>
      <c r="BA112" s="235"/>
      <c r="BB112" s="235"/>
      <c r="BC112" s="235"/>
      <c r="BD112" s="235"/>
      <c r="BE112" s="235"/>
      <c r="BF112" s="235"/>
      <c r="BG112" s="235"/>
      <c r="BH112" s="235"/>
      <c r="BI112" s="235"/>
      <c r="BJ112" s="235"/>
      <c r="BK112" s="235"/>
      <c r="BL112" s="235"/>
      <c r="BM112" s="235"/>
      <c r="BN112" s="235"/>
      <c r="BO112" s="235"/>
      <c r="BP112" s="235"/>
      <c r="BQ112" s="235"/>
    </row>
    <row r="113" spans="1:69" s="780" customFormat="1" ht="15.75" hidden="1" customHeight="1">
      <c r="A113" s="62">
        <f t="shared" si="134"/>
        <v>15</v>
      </c>
      <c r="B113" s="63">
        <f t="shared" si="120"/>
        <v>46118</v>
      </c>
      <c r="C113" s="63">
        <f t="shared" si="135"/>
        <v>46124</v>
      </c>
      <c r="D113" s="239">
        <f t="shared" ca="1" si="136"/>
        <v>0</v>
      </c>
      <c r="E113" s="239">
        <f t="shared" ca="1" si="137"/>
        <v>0</v>
      </c>
      <c r="F113" s="239">
        <f t="shared" ca="1" si="138"/>
        <v>0</v>
      </c>
      <c r="G113" s="261">
        <f t="shared" ca="1" si="139"/>
        <v>0</v>
      </c>
      <c r="I113" s="237"/>
      <c r="AV113" s="235"/>
      <c r="AW113" s="235"/>
      <c r="AX113" s="235"/>
      <c r="AY113" s="235"/>
      <c r="AZ113" s="235"/>
      <c r="BA113" s="235"/>
      <c r="BB113" s="235"/>
      <c r="BC113" s="235"/>
      <c r="BD113" s="235"/>
      <c r="BE113" s="235"/>
      <c r="BF113" s="235"/>
      <c r="BG113" s="235"/>
      <c r="BH113" s="235"/>
      <c r="BI113" s="235"/>
      <c r="BJ113" s="235"/>
      <c r="BK113" s="235"/>
      <c r="BL113" s="235"/>
      <c r="BM113" s="235"/>
      <c r="BN113" s="235"/>
      <c r="BO113" s="235"/>
      <c r="BP113" s="235"/>
      <c r="BQ113" s="235"/>
    </row>
    <row r="114" spans="1:69" s="780" customFormat="1" ht="15.75" hidden="1" customHeight="1">
      <c r="A114" s="62">
        <f t="shared" si="134"/>
        <v>16</v>
      </c>
      <c r="B114" s="63">
        <f t="shared" si="120"/>
        <v>46125</v>
      </c>
      <c r="C114" s="63">
        <f t="shared" si="135"/>
        <v>46131</v>
      </c>
      <c r="D114" s="239">
        <f t="shared" ca="1" si="136"/>
        <v>912000000</v>
      </c>
      <c r="E114" s="239">
        <f t="shared" ca="1" si="137"/>
        <v>912000000</v>
      </c>
      <c r="F114" s="239">
        <f t="shared" ca="1" si="138"/>
        <v>0</v>
      </c>
      <c r="G114" s="261">
        <f t="shared" ca="1" si="139"/>
        <v>0</v>
      </c>
      <c r="I114" s="237"/>
      <c r="AV114" s="235"/>
      <c r="AW114" s="235"/>
      <c r="AX114" s="235"/>
      <c r="AY114" s="235"/>
      <c r="AZ114" s="235"/>
      <c r="BA114" s="235"/>
      <c r="BB114" s="235"/>
      <c r="BC114" s="235"/>
      <c r="BD114" s="235"/>
      <c r="BE114" s="235"/>
      <c r="BF114" s="235"/>
      <c r="BG114" s="235"/>
      <c r="BH114" s="235"/>
      <c r="BI114" s="235"/>
      <c r="BJ114" s="235"/>
      <c r="BK114" s="235"/>
      <c r="BL114" s="235"/>
      <c r="BM114" s="235"/>
      <c r="BN114" s="235"/>
      <c r="BO114" s="235"/>
      <c r="BP114" s="235"/>
      <c r="BQ114" s="235"/>
    </row>
    <row r="115" spans="1:69" s="780" customFormat="1" ht="15.75" hidden="1" customHeight="1">
      <c r="A115" s="62">
        <f t="shared" si="134"/>
        <v>17</v>
      </c>
      <c r="B115" s="63">
        <f t="shared" si="120"/>
        <v>46132</v>
      </c>
      <c r="C115" s="63">
        <f t="shared" si="135"/>
        <v>46138</v>
      </c>
      <c r="D115" s="239">
        <f t="shared" ca="1" si="136"/>
        <v>0</v>
      </c>
      <c r="E115" s="239">
        <f t="shared" ca="1" si="137"/>
        <v>0</v>
      </c>
      <c r="F115" s="239">
        <f t="shared" ca="1" si="138"/>
        <v>0</v>
      </c>
      <c r="G115" s="261">
        <f t="shared" ca="1" si="139"/>
        <v>0</v>
      </c>
      <c r="I115" s="237"/>
      <c r="AV115" s="235"/>
      <c r="AW115" s="235"/>
      <c r="AX115" s="235"/>
      <c r="AY115" s="235"/>
      <c r="AZ115" s="235"/>
      <c r="BA115" s="235"/>
      <c r="BB115" s="235"/>
      <c r="BC115" s="235"/>
      <c r="BD115" s="235"/>
      <c r="BE115" s="235"/>
      <c r="BF115" s="235"/>
      <c r="BG115" s="235"/>
      <c r="BH115" s="235"/>
      <c r="BI115" s="235"/>
      <c r="BJ115" s="235"/>
      <c r="BK115" s="235"/>
      <c r="BL115" s="235"/>
      <c r="BM115" s="235"/>
      <c r="BN115" s="235"/>
      <c r="BO115" s="235"/>
      <c r="BP115" s="235"/>
      <c r="BQ115" s="235"/>
    </row>
    <row r="116" spans="1:69" s="780" customFormat="1" ht="15.75" customHeight="1">
      <c r="A116" s="62">
        <f t="shared" si="134"/>
        <v>18</v>
      </c>
      <c r="B116" s="63">
        <f t="shared" si="120"/>
        <v>46139</v>
      </c>
      <c r="C116" s="63">
        <f t="shared" si="135"/>
        <v>46145</v>
      </c>
      <c r="D116" s="239">
        <f t="shared" ca="1" si="136"/>
        <v>0</v>
      </c>
      <c r="E116" s="239">
        <f t="shared" ca="1" si="137"/>
        <v>0</v>
      </c>
      <c r="F116" s="239">
        <f t="shared" ca="1" si="138"/>
        <v>0</v>
      </c>
      <c r="G116" s="261">
        <f t="shared" ca="1" si="139"/>
        <v>0</v>
      </c>
      <c r="I116" s="237"/>
      <c r="AV116" s="235"/>
      <c r="AW116" s="235"/>
      <c r="AX116" s="235"/>
      <c r="AY116" s="235"/>
      <c r="AZ116" s="235"/>
      <c r="BA116" s="235"/>
      <c r="BB116" s="235"/>
      <c r="BC116" s="235"/>
      <c r="BD116" s="235"/>
      <c r="BE116" s="235"/>
      <c r="BF116" s="235"/>
      <c r="BG116" s="235"/>
      <c r="BH116" s="235"/>
      <c r="BI116" s="235"/>
      <c r="BJ116" s="235"/>
      <c r="BK116" s="235"/>
      <c r="BL116" s="235"/>
      <c r="BM116" s="235"/>
      <c r="BN116" s="235"/>
      <c r="BO116" s="235"/>
      <c r="BP116" s="235"/>
      <c r="BQ116" s="235"/>
    </row>
    <row r="117" spans="1:69" s="780" customFormat="1" ht="15.75" customHeight="1">
      <c r="A117" s="62">
        <f t="shared" si="134"/>
        <v>19</v>
      </c>
      <c r="B117" s="63">
        <f t="shared" si="120"/>
        <v>46146</v>
      </c>
      <c r="C117" s="63">
        <f t="shared" si="135"/>
        <v>46152</v>
      </c>
      <c r="D117" s="239">
        <f t="shared" ca="1" si="136"/>
        <v>0</v>
      </c>
      <c r="E117" s="239">
        <f t="shared" ca="1" si="137"/>
        <v>0</v>
      </c>
      <c r="F117" s="239">
        <f t="shared" ca="1" si="138"/>
        <v>0</v>
      </c>
      <c r="G117" s="261">
        <f t="shared" ca="1" si="139"/>
        <v>0</v>
      </c>
      <c r="I117" s="237"/>
      <c r="AV117" s="235"/>
      <c r="AW117" s="235"/>
      <c r="AX117" s="235"/>
      <c r="AY117" s="235"/>
      <c r="AZ117" s="235"/>
      <c r="BA117" s="235"/>
      <c r="BB117" s="235"/>
      <c r="BC117" s="235"/>
      <c r="BD117" s="235"/>
      <c r="BE117" s="235"/>
      <c r="BF117" s="235"/>
      <c r="BG117" s="235"/>
      <c r="BH117" s="235"/>
      <c r="BI117" s="235"/>
      <c r="BJ117" s="235"/>
      <c r="BK117" s="235"/>
      <c r="BL117" s="235"/>
      <c r="BM117" s="235"/>
      <c r="BN117" s="235"/>
      <c r="BO117" s="235"/>
      <c r="BP117" s="235"/>
      <c r="BQ117" s="235"/>
    </row>
    <row r="118" spans="1:69" s="780" customFormat="1" ht="15.75" customHeight="1">
      <c r="A118" s="62">
        <f t="shared" si="134"/>
        <v>20</v>
      </c>
      <c r="B118" s="63">
        <f t="shared" si="120"/>
        <v>46153</v>
      </c>
      <c r="C118" s="63">
        <f t="shared" si="135"/>
        <v>46159</v>
      </c>
      <c r="D118" s="239">
        <f t="shared" ca="1" si="136"/>
        <v>489354000</v>
      </c>
      <c r="E118" s="239">
        <f t="shared" ca="1" si="137"/>
        <v>489354000</v>
      </c>
      <c r="F118" s="239">
        <f t="shared" ca="1" si="138"/>
        <v>0</v>
      </c>
      <c r="G118" s="261">
        <f t="shared" ca="1" si="139"/>
        <v>0</v>
      </c>
      <c r="I118" s="237"/>
      <c r="AV118" s="235"/>
      <c r="AW118" s="235"/>
      <c r="AX118" s="235"/>
      <c r="AY118" s="235"/>
      <c r="AZ118" s="235"/>
      <c r="BA118" s="235"/>
      <c r="BB118" s="235"/>
      <c r="BC118" s="235"/>
      <c r="BD118" s="235"/>
      <c r="BE118" s="235"/>
      <c r="BF118" s="235"/>
      <c r="BG118" s="235"/>
      <c r="BH118" s="235"/>
      <c r="BI118" s="235"/>
      <c r="BJ118" s="235"/>
      <c r="BK118" s="235"/>
      <c r="BL118" s="235"/>
      <c r="BM118" s="235"/>
      <c r="BN118" s="235"/>
      <c r="BO118" s="235"/>
      <c r="BP118" s="235"/>
      <c r="BQ118" s="235"/>
    </row>
    <row r="119" spans="1:69" s="780" customFormat="1" ht="15.75" customHeight="1">
      <c r="A119" s="62">
        <f t="shared" si="134"/>
        <v>21</v>
      </c>
      <c r="B119" s="63">
        <f t="shared" si="120"/>
        <v>46160</v>
      </c>
      <c r="C119" s="63">
        <f t="shared" si="135"/>
        <v>46166</v>
      </c>
      <c r="D119" s="239">
        <f t="shared" ca="1" si="136"/>
        <v>48034580</v>
      </c>
      <c r="E119" s="239">
        <f t="shared" ca="1" si="137"/>
        <v>18000000</v>
      </c>
      <c r="F119" s="239">
        <f t="shared" ca="1" si="138"/>
        <v>23532080</v>
      </c>
      <c r="G119" s="261">
        <f t="shared" ca="1" si="139"/>
        <v>0</v>
      </c>
      <c r="I119" s="237"/>
      <c r="AV119" s="235"/>
      <c r="AW119" s="235"/>
      <c r="AX119" s="235"/>
      <c r="AY119" s="235"/>
      <c r="AZ119" s="235"/>
      <c r="BA119" s="235"/>
      <c r="BB119" s="235"/>
      <c r="BC119" s="235"/>
      <c r="BD119" s="235"/>
      <c r="BE119" s="235"/>
      <c r="BF119" s="235"/>
      <c r="BG119" s="235"/>
      <c r="BH119" s="235"/>
      <c r="BI119" s="235"/>
      <c r="BJ119" s="235"/>
      <c r="BK119" s="235"/>
      <c r="BL119" s="235"/>
      <c r="BM119" s="235"/>
      <c r="BN119" s="235"/>
      <c r="BO119" s="235"/>
      <c r="BP119" s="235"/>
      <c r="BQ119" s="235"/>
    </row>
    <row r="120" spans="1:69" s="780" customFormat="1" ht="15.75" customHeight="1">
      <c r="A120" s="62">
        <f t="shared" si="134"/>
        <v>22</v>
      </c>
      <c r="B120" s="63">
        <f t="shared" si="120"/>
        <v>46167</v>
      </c>
      <c r="C120" s="63">
        <f t="shared" si="135"/>
        <v>46173</v>
      </c>
      <c r="D120" s="239">
        <f t="shared" ca="1" si="136"/>
        <v>631389401.20253003</v>
      </c>
      <c r="E120" s="239">
        <f t="shared" ca="1" si="137"/>
        <v>490776198.34710741</v>
      </c>
      <c r="F120" s="239">
        <f t="shared" ca="1" si="138"/>
        <v>73788940.335039601</v>
      </c>
      <c r="G120" s="261">
        <f t="shared" ca="1" si="139"/>
        <v>0</v>
      </c>
      <c r="I120" s="237"/>
      <c r="AV120" s="235"/>
      <c r="AW120" s="235"/>
      <c r="AX120" s="235"/>
      <c r="AY120" s="235"/>
      <c r="AZ120" s="235"/>
      <c r="BA120" s="235"/>
      <c r="BB120" s="235"/>
      <c r="BC120" s="235"/>
      <c r="BD120" s="235"/>
      <c r="BE120" s="235"/>
      <c r="BF120" s="235"/>
      <c r="BG120" s="235"/>
      <c r="BH120" s="235"/>
      <c r="BI120" s="235"/>
      <c r="BJ120" s="235"/>
      <c r="BK120" s="235"/>
      <c r="BL120" s="235"/>
      <c r="BM120" s="235"/>
      <c r="BN120" s="235"/>
      <c r="BO120" s="235"/>
      <c r="BP120" s="235"/>
      <c r="BQ120" s="235"/>
    </row>
    <row r="121" spans="1:69" s="780" customFormat="1" ht="15.75" customHeight="1">
      <c r="A121" s="62">
        <f t="shared" si="134"/>
        <v>23</v>
      </c>
      <c r="B121" s="63">
        <f t="shared" si="120"/>
        <v>46174</v>
      </c>
      <c r="C121" s="63">
        <f t="shared" si="135"/>
        <v>46180</v>
      </c>
      <c r="D121" s="239">
        <f t="shared" ca="1" si="136"/>
        <v>356010800.35393286</v>
      </c>
      <c r="E121" s="239">
        <f t="shared" ca="1" si="137"/>
        <v>92231404.958677679</v>
      </c>
      <c r="F121" s="239">
        <f t="shared" ca="1" si="138"/>
        <v>143790602.00682539</v>
      </c>
      <c r="G121" s="261">
        <f t="shared" ca="1" si="139"/>
        <v>0</v>
      </c>
      <c r="I121" s="237"/>
      <c r="AV121" s="235"/>
      <c r="AW121" s="235"/>
      <c r="AX121" s="235"/>
      <c r="AY121" s="235"/>
      <c r="AZ121" s="235"/>
      <c r="BA121" s="235"/>
      <c r="BB121" s="235"/>
      <c r="BC121" s="235"/>
      <c r="BD121" s="235"/>
      <c r="BE121" s="235"/>
      <c r="BF121" s="235"/>
      <c r="BG121" s="235"/>
      <c r="BH121" s="235"/>
      <c r="BI121" s="235"/>
      <c r="BJ121" s="235"/>
      <c r="BK121" s="235"/>
      <c r="BL121" s="235"/>
      <c r="BM121" s="235"/>
      <c r="BN121" s="235"/>
      <c r="BO121" s="235"/>
      <c r="BP121" s="235"/>
      <c r="BQ121" s="235"/>
    </row>
    <row r="122" spans="1:69" s="780" customFormat="1" ht="15.75" customHeight="1">
      <c r="A122" s="62">
        <f t="shared" si="134"/>
        <v>24</v>
      </c>
      <c r="B122" s="63">
        <f t="shared" si="120"/>
        <v>46181</v>
      </c>
      <c r="C122" s="63">
        <f t="shared" si="135"/>
        <v>46187</v>
      </c>
      <c r="D122" s="239">
        <f t="shared" ca="1" si="136"/>
        <v>547062497.87522078</v>
      </c>
      <c r="E122" s="239">
        <f t="shared" ca="1" si="137"/>
        <v>0</v>
      </c>
      <c r="F122" s="239">
        <f t="shared" ca="1" si="138"/>
        <v>320463377.87522084</v>
      </c>
      <c r="G122" s="261">
        <f t="shared" ca="1" si="139"/>
        <v>46551120</v>
      </c>
      <c r="I122" s="237"/>
      <c r="AV122" s="235"/>
      <c r="AW122" s="235"/>
      <c r="AX122" s="235"/>
      <c r="AY122" s="235"/>
      <c r="AZ122" s="235"/>
      <c r="BA122" s="235"/>
      <c r="BB122" s="235"/>
      <c r="BC122" s="235"/>
      <c r="BD122" s="235"/>
      <c r="BE122" s="235"/>
      <c r="BF122" s="235"/>
      <c r="BG122" s="235"/>
      <c r="BH122" s="235"/>
      <c r="BI122" s="235"/>
      <c r="BJ122" s="235"/>
      <c r="BK122" s="235"/>
      <c r="BL122" s="235"/>
      <c r="BM122" s="235"/>
      <c r="BN122" s="235"/>
      <c r="BO122" s="235"/>
      <c r="BP122" s="235"/>
      <c r="BQ122" s="235"/>
    </row>
    <row r="123" spans="1:69" s="780" customFormat="1" ht="15.75" customHeight="1">
      <c r="A123" s="62">
        <f t="shared" si="134"/>
        <v>25</v>
      </c>
      <c r="B123" s="63">
        <f t="shared" si="120"/>
        <v>46188</v>
      </c>
      <c r="C123" s="63">
        <f t="shared" si="135"/>
        <v>46194</v>
      </c>
      <c r="D123" s="239">
        <f t="shared" ca="1" si="136"/>
        <v>196397520.040766</v>
      </c>
      <c r="E123" s="239">
        <f t="shared" ca="1" si="137"/>
        <v>0</v>
      </c>
      <c r="F123" s="239">
        <f t="shared" ca="1" si="138"/>
        <v>150632295.040766</v>
      </c>
      <c r="G123" s="261">
        <f t="shared" ca="1" si="139"/>
        <v>45765225</v>
      </c>
      <c r="I123" s="237"/>
      <c r="AV123" s="235"/>
      <c r="AW123" s="235"/>
      <c r="AX123" s="235"/>
      <c r="AY123" s="235"/>
      <c r="AZ123" s="235"/>
      <c r="BA123" s="235"/>
      <c r="BB123" s="235"/>
      <c r="BC123" s="235"/>
      <c r="BD123" s="235"/>
      <c r="BE123" s="235"/>
      <c r="BF123" s="235"/>
      <c r="BG123" s="235"/>
      <c r="BH123" s="235"/>
      <c r="BI123" s="235"/>
      <c r="BJ123" s="235"/>
      <c r="BK123" s="235"/>
      <c r="BL123" s="235"/>
      <c r="BM123" s="235"/>
      <c r="BN123" s="235"/>
      <c r="BO123" s="235"/>
      <c r="BP123" s="235"/>
      <c r="BQ123" s="235"/>
    </row>
    <row r="124" spans="1:69" s="780" customFormat="1" ht="15.75" customHeight="1">
      <c r="A124" s="62">
        <f t="shared" si="134"/>
        <v>26</v>
      </c>
      <c r="B124" s="63">
        <f t="shared" si="120"/>
        <v>46195</v>
      </c>
      <c r="C124" s="63">
        <f t="shared" si="135"/>
        <v>46201</v>
      </c>
      <c r="D124" s="239">
        <f t="shared" ca="1" si="136"/>
        <v>97303360</v>
      </c>
      <c r="E124" s="239">
        <f t="shared" ca="1" si="137"/>
        <v>168000000</v>
      </c>
      <c r="F124" s="239">
        <f t="shared" ca="1" si="138"/>
        <v>73621240</v>
      </c>
      <c r="G124" s="261">
        <f t="shared" ca="1" si="139"/>
        <v>23682120</v>
      </c>
      <c r="I124" s="237"/>
      <c r="AV124" s="235"/>
      <c r="AW124" s="235"/>
      <c r="AX124" s="235"/>
      <c r="AY124" s="235"/>
      <c r="AZ124" s="235"/>
      <c r="BA124" s="235"/>
      <c r="BB124" s="235"/>
      <c r="BC124" s="235"/>
      <c r="BD124" s="235"/>
      <c r="BE124" s="235"/>
      <c r="BF124" s="235"/>
      <c r="BG124" s="235"/>
      <c r="BH124" s="235"/>
      <c r="BI124" s="235"/>
      <c r="BJ124" s="235"/>
      <c r="BK124" s="235"/>
      <c r="BL124" s="235"/>
      <c r="BM124" s="235"/>
      <c r="BN124" s="235"/>
      <c r="BO124" s="235"/>
      <c r="BP124" s="235"/>
      <c r="BQ124" s="235"/>
    </row>
    <row r="125" spans="1:69" s="780" customFormat="1" ht="15.75" customHeight="1">
      <c r="A125" s="62">
        <f t="shared" si="134"/>
        <v>27</v>
      </c>
      <c r="B125" s="63">
        <f t="shared" si="120"/>
        <v>46202</v>
      </c>
      <c r="C125" s="63">
        <f t="shared" si="135"/>
        <v>46208</v>
      </c>
      <c r="D125" s="239">
        <f t="shared" ca="1" si="136"/>
        <v>173134967.5</v>
      </c>
      <c r="E125" s="239">
        <f t="shared" ca="1" si="137"/>
        <v>0</v>
      </c>
      <c r="F125" s="239">
        <f t="shared" ca="1" si="138"/>
        <v>146477155</v>
      </c>
      <c r="G125" s="261">
        <f t="shared" ca="1" si="139"/>
        <v>26657812.5</v>
      </c>
      <c r="I125" s="237"/>
      <c r="AV125" s="235"/>
      <c r="AW125" s="235"/>
      <c r="AX125" s="235"/>
      <c r="AY125" s="235"/>
      <c r="AZ125" s="235"/>
      <c r="BA125" s="235"/>
      <c r="BB125" s="235"/>
      <c r="BC125" s="235"/>
      <c r="BD125" s="235"/>
      <c r="BE125" s="235"/>
      <c r="BF125" s="235"/>
      <c r="BG125" s="235"/>
      <c r="BH125" s="235"/>
      <c r="BI125" s="235"/>
      <c r="BJ125" s="235"/>
      <c r="BK125" s="235"/>
      <c r="BL125" s="235"/>
      <c r="BM125" s="235"/>
      <c r="BN125" s="235"/>
      <c r="BO125" s="235"/>
      <c r="BP125" s="235"/>
      <c r="BQ125" s="235"/>
    </row>
    <row r="126" spans="1:69" s="780" customFormat="1" ht="15.75" customHeight="1">
      <c r="A126" s="62">
        <f t="shared" si="134"/>
        <v>28</v>
      </c>
      <c r="B126" s="63">
        <f t="shared" si="120"/>
        <v>46209</v>
      </c>
      <c r="C126" s="63">
        <f t="shared" si="135"/>
        <v>46215</v>
      </c>
      <c r="D126" s="239">
        <f t="shared" ca="1" si="136"/>
        <v>0</v>
      </c>
      <c r="E126" s="239">
        <f t="shared" ca="1" si="137"/>
        <v>0</v>
      </c>
      <c r="F126" s="239">
        <f t="shared" ca="1" si="138"/>
        <v>0</v>
      </c>
      <c r="G126" s="261">
        <f t="shared" ca="1" si="139"/>
        <v>0</v>
      </c>
      <c r="I126" s="237"/>
      <c r="AV126" s="235"/>
      <c r="AW126" s="235"/>
      <c r="AX126" s="235"/>
      <c r="AY126" s="235"/>
      <c r="AZ126" s="235"/>
      <c r="BA126" s="235"/>
      <c r="BB126" s="235"/>
      <c r="BC126" s="235"/>
      <c r="BD126" s="235"/>
      <c r="BE126" s="235"/>
      <c r="BF126" s="235"/>
      <c r="BG126" s="235"/>
      <c r="BH126" s="235"/>
      <c r="BI126" s="235"/>
      <c r="BJ126" s="235"/>
      <c r="BK126" s="235"/>
      <c r="BL126" s="235"/>
      <c r="BM126" s="235"/>
      <c r="BN126" s="235"/>
      <c r="BO126" s="235"/>
      <c r="BP126" s="235"/>
      <c r="BQ126" s="235"/>
    </row>
    <row r="127" spans="1:69" s="780" customFormat="1" ht="15.75" customHeight="1">
      <c r="A127" s="62">
        <f t="shared" si="134"/>
        <v>29</v>
      </c>
      <c r="B127" s="63">
        <f t="shared" si="120"/>
        <v>46216</v>
      </c>
      <c r="C127" s="63">
        <f t="shared" si="135"/>
        <v>46222</v>
      </c>
      <c r="D127" s="239">
        <f t="shared" ca="1" si="136"/>
        <v>0</v>
      </c>
      <c r="E127" s="239">
        <f t="shared" ca="1" si="137"/>
        <v>0</v>
      </c>
      <c r="F127" s="239">
        <f t="shared" ca="1" si="138"/>
        <v>0</v>
      </c>
      <c r="G127" s="261">
        <f t="shared" ca="1" si="139"/>
        <v>0</v>
      </c>
      <c r="I127" s="237"/>
      <c r="AV127" s="235"/>
      <c r="AW127" s="235"/>
      <c r="AX127" s="235"/>
      <c r="AY127" s="235"/>
      <c r="AZ127" s="235"/>
      <c r="BA127" s="235"/>
      <c r="BB127" s="235"/>
      <c r="BC127" s="235"/>
      <c r="BD127" s="235"/>
      <c r="BE127" s="235"/>
      <c r="BF127" s="235"/>
      <c r="BG127" s="235"/>
      <c r="BH127" s="235"/>
      <c r="BI127" s="235"/>
      <c r="BJ127" s="235"/>
      <c r="BK127" s="235"/>
      <c r="BL127" s="235"/>
      <c r="BM127" s="235"/>
      <c r="BN127" s="235"/>
      <c r="BO127" s="235"/>
      <c r="BP127" s="235"/>
      <c r="BQ127" s="235"/>
    </row>
    <row r="128" spans="1:69" s="780" customFormat="1" ht="15.75" customHeight="1">
      <c r="A128" s="62">
        <f t="shared" si="134"/>
        <v>30</v>
      </c>
      <c r="B128" s="63">
        <f t="shared" si="120"/>
        <v>46223</v>
      </c>
      <c r="C128" s="63">
        <f t="shared" si="135"/>
        <v>46229</v>
      </c>
      <c r="D128" s="239">
        <f t="shared" ca="1" si="136"/>
        <v>0</v>
      </c>
      <c r="E128" s="239">
        <f t="shared" ca="1" si="137"/>
        <v>0</v>
      </c>
      <c r="F128" s="239">
        <f t="shared" ca="1" si="138"/>
        <v>0</v>
      </c>
      <c r="G128" s="261">
        <f t="shared" ca="1" si="139"/>
        <v>0</v>
      </c>
      <c r="I128" s="237"/>
      <c r="AV128" s="235"/>
      <c r="AW128" s="235"/>
      <c r="AX128" s="235"/>
      <c r="AY128" s="235"/>
      <c r="AZ128" s="235"/>
      <c r="BA128" s="235"/>
      <c r="BB128" s="235"/>
      <c r="BC128" s="235"/>
      <c r="BD128" s="235"/>
      <c r="BE128" s="235"/>
      <c r="BF128" s="235"/>
      <c r="BG128" s="235"/>
      <c r="BH128" s="235"/>
      <c r="BI128" s="235"/>
      <c r="BJ128" s="235"/>
      <c r="BK128" s="235"/>
      <c r="BL128" s="235"/>
      <c r="BM128" s="235"/>
      <c r="BN128" s="235"/>
      <c r="BO128" s="235"/>
      <c r="BP128" s="235"/>
      <c r="BQ128" s="235"/>
    </row>
    <row r="129" spans="1:69" s="780" customFormat="1" ht="15.75" customHeight="1">
      <c r="A129" s="62">
        <f t="shared" si="134"/>
        <v>31</v>
      </c>
      <c r="B129" s="63">
        <f t="shared" si="120"/>
        <v>46230</v>
      </c>
      <c r="C129" s="63">
        <f t="shared" si="135"/>
        <v>46236</v>
      </c>
      <c r="D129" s="239">
        <f t="shared" ca="1" si="136"/>
        <v>0</v>
      </c>
      <c r="E129" s="239">
        <f t="shared" ca="1" si="137"/>
        <v>0</v>
      </c>
      <c r="F129" s="239">
        <f t="shared" ca="1" si="138"/>
        <v>0</v>
      </c>
      <c r="G129" s="261">
        <f t="shared" ca="1" si="139"/>
        <v>0</v>
      </c>
      <c r="I129" s="237"/>
      <c r="AV129" s="235"/>
      <c r="AW129" s="235"/>
      <c r="AX129" s="235"/>
      <c r="AY129" s="235"/>
      <c r="AZ129" s="235"/>
      <c r="BA129" s="235"/>
      <c r="BB129" s="235"/>
      <c r="BC129" s="235"/>
      <c r="BD129" s="235"/>
      <c r="BE129" s="235"/>
      <c r="BF129" s="235"/>
      <c r="BG129" s="235"/>
      <c r="BH129" s="235"/>
      <c r="BI129" s="235"/>
      <c r="BJ129" s="235"/>
      <c r="BK129" s="235"/>
      <c r="BL129" s="235"/>
      <c r="BM129" s="235"/>
      <c r="BN129" s="235"/>
      <c r="BO129" s="235"/>
      <c r="BP129" s="235"/>
      <c r="BQ129" s="235"/>
    </row>
    <row r="130" spans="1:69" s="780" customFormat="1" ht="15.75" customHeight="1">
      <c r="A130" s="62">
        <f t="shared" si="134"/>
        <v>32</v>
      </c>
      <c r="B130" s="63">
        <f t="shared" si="120"/>
        <v>46237</v>
      </c>
      <c r="C130" s="63">
        <f t="shared" si="135"/>
        <v>46243</v>
      </c>
      <c r="D130" s="239">
        <f t="shared" ca="1" si="136"/>
        <v>0</v>
      </c>
      <c r="E130" s="239">
        <f t="shared" ca="1" si="137"/>
        <v>0</v>
      </c>
      <c r="F130" s="239">
        <f t="shared" ca="1" si="138"/>
        <v>0</v>
      </c>
      <c r="G130" s="261">
        <f t="shared" ca="1" si="139"/>
        <v>0</v>
      </c>
      <c r="I130" s="237"/>
      <c r="AV130" s="235"/>
      <c r="AW130" s="235"/>
      <c r="AX130" s="235"/>
      <c r="AY130" s="235"/>
      <c r="AZ130" s="235"/>
      <c r="BA130" s="235"/>
      <c r="BB130" s="235"/>
      <c r="BC130" s="235"/>
      <c r="BD130" s="235"/>
      <c r="BE130" s="235"/>
      <c r="BF130" s="235"/>
      <c r="BG130" s="235"/>
      <c r="BH130" s="235"/>
      <c r="BI130" s="235"/>
      <c r="BJ130" s="235"/>
      <c r="BK130" s="235"/>
      <c r="BL130" s="235"/>
      <c r="BM130" s="235"/>
      <c r="BN130" s="235"/>
      <c r="BO130" s="235"/>
      <c r="BP130" s="235"/>
      <c r="BQ130" s="235"/>
    </row>
    <row r="131" spans="1:69" s="780" customFormat="1" ht="15.75" customHeight="1">
      <c r="A131" s="62">
        <f t="shared" si="134"/>
        <v>33</v>
      </c>
      <c r="B131" s="63">
        <f t="shared" si="120"/>
        <v>46244</v>
      </c>
      <c r="C131" s="63">
        <f t="shared" si="135"/>
        <v>46250</v>
      </c>
      <c r="D131" s="239">
        <f t="shared" ca="1" si="136"/>
        <v>0</v>
      </c>
      <c r="E131" s="239">
        <f t="shared" ca="1" si="137"/>
        <v>0</v>
      </c>
      <c r="F131" s="239">
        <f t="shared" ca="1" si="138"/>
        <v>0</v>
      </c>
      <c r="G131" s="261">
        <f t="shared" ca="1" si="139"/>
        <v>0</v>
      </c>
      <c r="I131" s="237"/>
      <c r="AV131" s="235"/>
      <c r="AW131" s="235"/>
      <c r="AX131" s="235"/>
      <c r="AY131" s="235"/>
      <c r="AZ131" s="235"/>
      <c r="BA131" s="235"/>
      <c r="BB131" s="235"/>
      <c r="BC131" s="235"/>
      <c r="BD131" s="235"/>
      <c r="BE131" s="235"/>
      <c r="BF131" s="235"/>
      <c r="BG131" s="235"/>
      <c r="BH131" s="235"/>
      <c r="BI131" s="235"/>
      <c r="BJ131" s="235"/>
      <c r="BK131" s="235"/>
      <c r="BL131" s="235"/>
      <c r="BM131" s="235"/>
      <c r="BN131" s="235"/>
      <c r="BO131" s="235"/>
      <c r="BP131" s="235"/>
      <c r="BQ131" s="235"/>
    </row>
    <row r="132" spans="1:69" s="780" customFormat="1" ht="15.75" customHeight="1">
      <c r="A132" s="62">
        <f t="shared" si="134"/>
        <v>34</v>
      </c>
      <c r="B132" s="63">
        <f t="shared" si="120"/>
        <v>46251</v>
      </c>
      <c r="C132" s="63">
        <f t="shared" si="135"/>
        <v>46257</v>
      </c>
      <c r="D132" s="239">
        <f t="shared" ca="1" si="136"/>
        <v>0</v>
      </c>
      <c r="E132" s="239">
        <f t="shared" ca="1" si="137"/>
        <v>0</v>
      </c>
      <c r="F132" s="239">
        <f t="shared" ca="1" si="138"/>
        <v>0</v>
      </c>
      <c r="G132" s="261">
        <f t="shared" ca="1" si="139"/>
        <v>0</v>
      </c>
      <c r="I132" s="237"/>
      <c r="AV132" s="235"/>
      <c r="AW132" s="235"/>
      <c r="AX132" s="235"/>
      <c r="AY132" s="235"/>
      <c r="AZ132" s="235"/>
      <c r="BA132" s="235"/>
      <c r="BB132" s="235"/>
      <c r="BC132" s="235"/>
      <c r="BD132" s="235"/>
      <c r="BE132" s="235"/>
      <c r="BF132" s="235"/>
      <c r="BG132" s="235"/>
      <c r="BH132" s="235"/>
      <c r="BI132" s="235"/>
      <c r="BJ132" s="235"/>
      <c r="BK132" s="235"/>
      <c r="BL132" s="235"/>
      <c r="BM132" s="235"/>
      <c r="BN132" s="235"/>
      <c r="BO132" s="235"/>
      <c r="BP132" s="235"/>
      <c r="BQ132" s="235"/>
    </row>
    <row r="133" spans="1:69" s="780" customFormat="1" ht="15.75" customHeight="1">
      <c r="A133" s="62">
        <f t="shared" si="134"/>
        <v>35</v>
      </c>
      <c r="B133" s="63">
        <f t="shared" si="120"/>
        <v>46258</v>
      </c>
      <c r="C133" s="63">
        <f t="shared" si="135"/>
        <v>46264</v>
      </c>
      <c r="D133" s="239">
        <f t="shared" ca="1" si="136"/>
        <v>0</v>
      </c>
      <c r="E133" s="239">
        <f t="shared" ca="1" si="137"/>
        <v>0</v>
      </c>
      <c r="F133" s="239">
        <f t="shared" ca="1" si="138"/>
        <v>0</v>
      </c>
      <c r="G133" s="261">
        <f t="shared" ca="1" si="139"/>
        <v>0</v>
      </c>
      <c r="I133" s="237"/>
      <c r="AV133" s="235"/>
      <c r="AW133" s="235"/>
      <c r="AX133" s="235"/>
      <c r="AY133" s="235"/>
      <c r="AZ133" s="235"/>
      <c r="BA133" s="235"/>
      <c r="BB133" s="235"/>
      <c r="BC133" s="235"/>
      <c r="BD133" s="235"/>
      <c r="BE133" s="235"/>
      <c r="BF133" s="235"/>
      <c r="BG133" s="235"/>
      <c r="BH133" s="235"/>
      <c r="BI133" s="235"/>
      <c r="BJ133" s="235"/>
      <c r="BK133" s="235"/>
      <c r="BL133" s="235"/>
      <c r="BM133" s="235"/>
      <c r="BN133" s="235"/>
      <c r="BO133" s="235"/>
      <c r="BP133" s="235"/>
      <c r="BQ133" s="235"/>
    </row>
    <row r="134" spans="1:69" s="780" customFormat="1" ht="15.75" customHeight="1">
      <c r="A134" s="62">
        <f t="shared" si="134"/>
        <v>36</v>
      </c>
      <c r="B134" s="63">
        <f t="shared" si="120"/>
        <v>46265</v>
      </c>
      <c r="C134" s="63">
        <f t="shared" si="135"/>
        <v>46271</v>
      </c>
      <c r="D134" s="239">
        <f t="shared" ca="1" si="136"/>
        <v>0</v>
      </c>
      <c r="E134" s="239">
        <f t="shared" ca="1" si="137"/>
        <v>0</v>
      </c>
      <c r="F134" s="239">
        <f t="shared" ca="1" si="138"/>
        <v>0</v>
      </c>
      <c r="G134" s="261">
        <f t="shared" ca="1" si="139"/>
        <v>0</v>
      </c>
      <c r="I134" s="237"/>
      <c r="AV134" s="235"/>
      <c r="AW134" s="235"/>
      <c r="AX134" s="235"/>
      <c r="AY134" s="235"/>
      <c r="AZ134" s="235"/>
      <c r="BA134" s="235"/>
      <c r="BB134" s="235"/>
      <c r="BC134" s="235"/>
      <c r="BD134" s="235"/>
      <c r="BE134" s="235"/>
      <c r="BF134" s="235"/>
      <c r="BG134" s="235"/>
      <c r="BH134" s="235"/>
      <c r="BI134" s="235"/>
      <c r="BJ134" s="235"/>
      <c r="BK134" s="235"/>
      <c r="BL134" s="235"/>
      <c r="BM134" s="235"/>
      <c r="BN134" s="235"/>
      <c r="BO134" s="235"/>
      <c r="BP134" s="235"/>
      <c r="BQ134" s="235"/>
    </row>
    <row r="135" spans="1:69" s="780" customFormat="1" ht="15.75" customHeight="1">
      <c r="A135" s="62">
        <f t="shared" si="134"/>
        <v>37</v>
      </c>
      <c r="B135" s="63">
        <f t="shared" si="120"/>
        <v>46272</v>
      </c>
      <c r="C135" s="63">
        <f t="shared" si="135"/>
        <v>46278</v>
      </c>
      <c r="D135" s="239">
        <f t="shared" ca="1" si="136"/>
        <v>0</v>
      </c>
      <c r="E135" s="239">
        <f t="shared" ca="1" si="137"/>
        <v>0</v>
      </c>
      <c r="F135" s="239">
        <f t="shared" ca="1" si="138"/>
        <v>0</v>
      </c>
      <c r="G135" s="261">
        <f t="shared" ca="1" si="139"/>
        <v>0</v>
      </c>
      <c r="I135" s="237"/>
      <c r="AV135" s="235"/>
      <c r="AW135" s="235"/>
      <c r="AX135" s="235"/>
      <c r="AY135" s="235"/>
      <c r="AZ135" s="235"/>
      <c r="BA135" s="235"/>
      <c r="BB135" s="235"/>
      <c r="BC135" s="235"/>
      <c r="BD135" s="235"/>
      <c r="BE135" s="235"/>
      <c r="BF135" s="235"/>
      <c r="BG135" s="235"/>
      <c r="BH135" s="235"/>
      <c r="BI135" s="235"/>
      <c r="BJ135" s="235"/>
      <c r="BK135" s="235"/>
      <c r="BL135" s="235"/>
      <c r="BM135" s="235"/>
      <c r="BN135" s="235"/>
      <c r="BO135" s="235"/>
      <c r="BP135" s="235"/>
      <c r="BQ135" s="235"/>
    </row>
    <row r="136" spans="1:69" s="780" customFormat="1" ht="15.75" customHeight="1">
      <c r="A136" s="62">
        <f t="shared" si="134"/>
        <v>38</v>
      </c>
      <c r="B136" s="63">
        <f t="shared" si="120"/>
        <v>46279</v>
      </c>
      <c r="C136" s="63">
        <f t="shared" si="135"/>
        <v>46285</v>
      </c>
      <c r="D136" s="239">
        <f t="shared" ca="1" si="136"/>
        <v>0</v>
      </c>
      <c r="E136" s="239">
        <f t="shared" ca="1" si="137"/>
        <v>0</v>
      </c>
      <c r="F136" s="239">
        <f t="shared" ca="1" si="138"/>
        <v>0</v>
      </c>
      <c r="G136" s="261">
        <f t="shared" ca="1" si="139"/>
        <v>0</v>
      </c>
      <c r="I136" s="237"/>
      <c r="AV136" s="235"/>
      <c r="AW136" s="235"/>
      <c r="AX136" s="235"/>
      <c r="AY136" s="235"/>
      <c r="AZ136" s="235"/>
      <c r="BA136" s="235"/>
      <c r="BB136" s="235"/>
      <c r="BC136" s="235"/>
      <c r="BD136" s="235"/>
      <c r="BE136" s="235"/>
      <c r="BF136" s="235"/>
      <c r="BG136" s="235"/>
      <c r="BH136" s="235"/>
      <c r="BI136" s="235"/>
      <c r="BJ136" s="235"/>
      <c r="BK136" s="235"/>
      <c r="BL136" s="235"/>
      <c r="BM136" s="235"/>
      <c r="BN136" s="235"/>
      <c r="BO136" s="235"/>
      <c r="BP136" s="235"/>
      <c r="BQ136" s="235"/>
    </row>
    <row r="137" spans="1:69" s="780" customFormat="1" ht="15.75" customHeight="1">
      <c r="A137" s="62">
        <f t="shared" si="134"/>
        <v>39</v>
      </c>
      <c r="B137" s="63">
        <f t="shared" si="120"/>
        <v>46286</v>
      </c>
      <c r="C137" s="63">
        <f t="shared" si="135"/>
        <v>46292</v>
      </c>
      <c r="D137" s="239">
        <f t="shared" ca="1" si="136"/>
        <v>0</v>
      </c>
      <c r="E137" s="239">
        <f t="shared" ca="1" si="137"/>
        <v>0</v>
      </c>
      <c r="F137" s="239">
        <f t="shared" ca="1" si="138"/>
        <v>0</v>
      </c>
      <c r="G137" s="261">
        <f t="shared" ca="1" si="139"/>
        <v>0</v>
      </c>
      <c r="I137" s="237"/>
      <c r="AV137" s="235"/>
      <c r="AW137" s="235"/>
      <c r="AX137" s="235"/>
      <c r="AY137" s="235"/>
      <c r="AZ137" s="235"/>
      <c r="BA137" s="235"/>
      <c r="BB137" s="235"/>
      <c r="BC137" s="235"/>
      <c r="BD137" s="235"/>
      <c r="BE137" s="235"/>
      <c r="BF137" s="235"/>
      <c r="BG137" s="235"/>
      <c r="BH137" s="235"/>
      <c r="BI137" s="235"/>
      <c r="BJ137" s="235"/>
      <c r="BK137" s="235"/>
      <c r="BL137" s="235"/>
      <c r="BM137" s="235"/>
      <c r="BN137" s="235"/>
      <c r="BO137" s="235"/>
      <c r="BP137" s="235"/>
      <c r="BQ137" s="235"/>
    </row>
    <row r="138" spans="1:69" s="780" customFormat="1" ht="15.75" customHeight="1">
      <c r="A138" s="62">
        <f t="shared" si="134"/>
        <v>40</v>
      </c>
      <c r="B138" s="63">
        <f t="shared" si="120"/>
        <v>46293</v>
      </c>
      <c r="C138" s="63">
        <f t="shared" si="135"/>
        <v>46299</v>
      </c>
      <c r="D138" s="239">
        <f t="shared" ca="1" si="136"/>
        <v>0</v>
      </c>
      <c r="E138" s="239">
        <f t="shared" ca="1" si="137"/>
        <v>0</v>
      </c>
      <c r="F138" s="239">
        <f t="shared" ca="1" si="138"/>
        <v>0</v>
      </c>
      <c r="G138" s="261">
        <f t="shared" ca="1" si="139"/>
        <v>0</v>
      </c>
      <c r="I138" s="237"/>
      <c r="AV138" s="235"/>
      <c r="AW138" s="235"/>
      <c r="AX138" s="235"/>
      <c r="AY138" s="235"/>
      <c r="AZ138" s="235"/>
      <c r="BA138" s="235"/>
      <c r="BB138" s="235"/>
      <c r="BC138" s="235"/>
      <c r="BD138" s="235"/>
      <c r="BE138" s="235"/>
      <c r="BF138" s="235"/>
      <c r="BG138" s="235"/>
      <c r="BH138" s="235"/>
      <c r="BI138" s="235"/>
      <c r="BJ138" s="235"/>
      <c r="BK138" s="235"/>
      <c r="BL138" s="235"/>
      <c r="BM138" s="235"/>
      <c r="BN138" s="235"/>
      <c r="BO138" s="235"/>
      <c r="BP138" s="235"/>
      <c r="BQ138" s="235"/>
    </row>
    <row r="139" spans="1:69" s="780" customFormat="1" ht="15.75" customHeight="1">
      <c r="A139" s="62">
        <f t="shared" si="134"/>
        <v>41</v>
      </c>
      <c r="B139" s="63">
        <f t="shared" si="120"/>
        <v>46300</v>
      </c>
      <c r="C139" s="63">
        <f t="shared" si="135"/>
        <v>46306</v>
      </c>
      <c r="D139" s="239">
        <f t="shared" ca="1" si="136"/>
        <v>0</v>
      </c>
      <c r="E139" s="239">
        <f t="shared" ca="1" si="137"/>
        <v>0</v>
      </c>
      <c r="F139" s="239">
        <f t="shared" ca="1" si="138"/>
        <v>0</v>
      </c>
      <c r="G139" s="261">
        <f t="shared" ca="1" si="139"/>
        <v>0</v>
      </c>
      <c r="I139" s="237"/>
      <c r="AV139" s="235"/>
      <c r="AW139" s="235"/>
      <c r="AX139" s="235"/>
      <c r="AY139" s="235"/>
      <c r="AZ139" s="235"/>
      <c r="BA139" s="235"/>
      <c r="BB139" s="235"/>
      <c r="BC139" s="235"/>
      <c r="BD139" s="235"/>
      <c r="BE139" s="235"/>
      <c r="BF139" s="235"/>
      <c r="BG139" s="235"/>
      <c r="BH139" s="235"/>
      <c r="BI139" s="235"/>
      <c r="BJ139" s="235"/>
      <c r="BK139" s="235"/>
      <c r="BL139" s="235"/>
      <c r="BM139" s="235"/>
      <c r="BN139" s="235"/>
      <c r="BO139" s="235"/>
      <c r="BP139" s="235"/>
      <c r="BQ139" s="235"/>
    </row>
    <row r="140" spans="1:69" s="780" customFormat="1" ht="15.75" customHeight="1">
      <c r="A140" s="62">
        <f t="shared" si="134"/>
        <v>42</v>
      </c>
      <c r="B140" s="63">
        <f t="shared" si="120"/>
        <v>46307</v>
      </c>
      <c r="C140" s="63">
        <f t="shared" si="135"/>
        <v>46313</v>
      </c>
      <c r="D140" s="239">
        <f t="shared" ca="1" si="136"/>
        <v>0</v>
      </c>
      <c r="E140" s="239">
        <f t="shared" ca="1" si="137"/>
        <v>0</v>
      </c>
      <c r="F140" s="239">
        <f t="shared" ca="1" si="138"/>
        <v>0</v>
      </c>
      <c r="G140" s="261">
        <f t="shared" ca="1" si="139"/>
        <v>0</v>
      </c>
      <c r="I140" s="237"/>
      <c r="AV140" s="235"/>
      <c r="AW140" s="235"/>
      <c r="AX140" s="235"/>
      <c r="AY140" s="235"/>
      <c r="AZ140" s="235"/>
      <c r="BA140" s="235"/>
      <c r="BB140" s="235"/>
      <c r="BC140" s="235"/>
      <c r="BD140" s="235"/>
      <c r="BE140" s="235"/>
      <c r="BF140" s="235"/>
      <c r="BG140" s="235"/>
      <c r="BH140" s="235"/>
      <c r="BI140" s="235"/>
      <c r="BJ140" s="235"/>
      <c r="BK140" s="235"/>
      <c r="BL140" s="235"/>
      <c r="BM140" s="235"/>
      <c r="BN140" s="235"/>
      <c r="BO140" s="235"/>
      <c r="BP140" s="235"/>
      <c r="BQ140" s="235"/>
    </row>
    <row r="141" spans="1:69" s="780" customFormat="1" ht="15.75" customHeight="1">
      <c r="A141" s="62">
        <f t="shared" si="134"/>
        <v>43</v>
      </c>
      <c r="B141" s="63">
        <f t="shared" si="120"/>
        <v>46314</v>
      </c>
      <c r="C141" s="63">
        <f t="shared" si="135"/>
        <v>46320</v>
      </c>
      <c r="D141" s="239">
        <f t="shared" ca="1" si="136"/>
        <v>0</v>
      </c>
      <c r="E141" s="239">
        <f t="shared" ca="1" si="137"/>
        <v>0</v>
      </c>
      <c r="F141" s="239">
        <f t="shared" ca="1" si="138"/>
        <v>0</v>
      </c>
      <c r="G141" s="261">
        <f t="shared" ca="1" si="139"/>
        <v>0</v>
      </c>
      <c r="I141" s="237"/>
      <c r="AV141" s="235"/>
      <c r="AW141" s="235"/>
      <c r="AX141" s="235"/>
      <c r="AY141" s="235"/>
      <c r="AZ141" s="235"/>
      <c r="BA141" s="235"/>
      <c r="BB141" s="235"/>
      <c r="BC141" s="235"/>
      <c r="BD141" s="235"/>
      <c r="BE141" s="235"/>
      <c r="BF141" s="235"/>
      <c r="BG141" s="235"/>
      <c r="BH141" s="235"/>
      <c r="BI141" s="235"/>
      <c r="BJ141" s="235"/>
      <c r="BK141" s="235"/>
      <c r="BL141" s="235"/>
      <c r="BM141" s="235"/>
      <c r="BN141" s="235"/>
      <c r="BO141" s="235"/>
      <c r="BP141" s="235"/>
      <c r="BQ141" s="235"/>
    </row>
    <row r="142" spans="1:69" s="780" customFormat="1" ht="15.75" customHeight="1">
      <c r="A142" s="62">
        <f t="shared" si="134"/>
        <v>44</v>
      </c>
      <c r="B142" s="63">
        <f t="shared" si="120"/>
        <v>46321</v>
      </c>
      <c r="C142" s="63">
        <f t="shared" si="135"/>
        <v>46327</v>
      </c>
      <c r="D142" s="239">
        <f t="shared" ca="1" si="136"/>
        <v>0</v>
      </c>
      <c r="E142" s="239">
        <f t="shared" ca="1" si="137"/>
        <v>0</v>
      </c>
      <c r="F142" s="239">
        <f t="shared" ca="1" si="138"/>
        <v>0</v>
      </c>
      <c r="G142" s="261">
        <f t="shared" ca="1" si="139"/>
        <v>0</v>
      </c>
      <c r="I142" s="237"/>
      <c r="AV142" s="235"/>
      <c r="AW142" s="235"/>
      <c r="AX142" s="235"/>
      <c r="AY142" s="235"/>
      <c r="AZ142" s="235"/>
      <c r="BA142" s="235"/>
      <c r="BB142" s="235"/>
      <c r="BC142" s="235"/>
      <c r="BD142" s="235"/>
      <c r="BE142" s="235"/>
      <c r="BF142" s="235"/>
      <c r="BG142" s="235"/>
      <c r="BH142" s="235"/>
      <c r="BI142" s="235"/>
      <c r="BJ142" s="235"/>
      <c r="BK142" s="235"/>
      <c r="BL142" s="235"/>
      <c r="BM142" s="235"/>
      <c r="BN142" s="235"/>
      <c r="BO142" s="235"/>
      <c r="BP142" s="235"/>
      <c r="BQ142" s="235"/>
    </row>
    <row r="143" spans="1:69" s="780" customFormat="1" ht="15.75" customHeight="1">
      <c r="A143" s="62">
        <f t="shared" si="134"/>
        <v>45</v>
      </c>
      <c r="B143" s="63">
        <f t="shared" si="120"/>
        <v>46328</v>
      </c>
      <c r="C143" s="63">
        <f t="shared" si="135"/>
        <v>46334</v>
      </c>
      <c r="D143" s="239">
        <f t="shared" ca="1" si="136"/>
        <v>0</v>
      </c>
      <c r="E143" s="239">
        <f t="shared" ca="1" si="137"/>
        <v>0</v>
      </c>
      <c r="F143" s="239">
        <f t="shared" ca="1" si="138"/>
        <v>0</v>
      </c>
      <c r="G143" s="261">
        <f t="shared" ca="1" si="139"/>
        <v>0</v>
      </c>
      <c r="I143" s="237"/>
      <c r="AV143" s="235"/>
      <c r="AW143" s="235"/>
      <c r="AX143" s="235"/>
      <c r="AY143" s="235"/>
      <c r="AZ143" s="235"/>
      <c r="BA143" s="235"/>
      <c r="BB143" s="235"/>
      <c r="BC143" s="235"/>
      <c r="BD143" s="235"/>
      <c r="BE143" s="235"/>
      <c r="BF143" s="235"/>
      <c r="BG143" s="235"/>
      <c r="BH143" s="235"/>
      <c r="BI143" s="235"/>
      <c r="BJ143" s="235"/>
      <c r="BK143" s="235"/>
      <c r="BL143" s="235"/>
      <c r="BM143" s="235"/>
      <c r="BN143" s="235"/>
      <c r="BO143" s="235"/>
      <c r="BP143" s="235"/>
      <c r="BQ143" s="235"/>
    </row>
    <row r="144" spans="1:69" s="780" customFormat="1" ht="15.75" customHeight="1">
      <c r="A144" s="62">
        <f t="shared" si="134"/>
        <v>46</v>
      </c>
      <c r="B144" s="63">
        <f t="shared" si="120"/>
        <v>46335</v>
      </c>
      <c r="C144" s="63">
        <f t="shared" si="135"/>
        <v>46341</v>
      </c>
      <c r="D144" s="239">
        <f t="shared" ca="1" si="136"/>
        <v>0</v>
      </c>
      <c r="E144" s="239">
        <f t="shared" ca="1" si="137"/>
        <v>0</v>
      </c>
      <c r="F144" s="239">
        <f t="shared" ca="1" si="138"/>
        <v>0</v>
      </c>
      <c r="G144" s="261">
        <f t="shared" ca="1" si="139"/>
        <v>0</v>
      </c>
      <c r="I144" s="237"/>
      <c r="AV144" s="235"/>
      <c r="AW144" s="235"/>
      <c r="AX144" s="235"/>
      <c r="AY144" s="235"/>
      <c r="AZ144" s="235"/>
      <c r="BA144" s="235"/>
      <c r="BB144" s="235"/>
      <c r="BC144" s="235"/>
      <c r="BD144" s="235"/>
      <c r="BE144" s="235"/>
      <c r="BF144" s="235"/>
      <c r="BG144" s="235"/>
      <c r="BH144" s="235"/>
      <c r="BI144" s="235"/>
      <c r="BJ144" s="235"/>
      <c r="BK144" s="235"/>
      <c r="BL144" s="235"/>
      <c r="BM144" s="235"/>
      <c r="BN144" s="235"/>
      <c r="BO144" s="235"/>
      <c r="BP144" s="235"/>
      <c r="BQ144" s="235"/>
    </row>
    <row r="145" spans="1:69" s="780" customFormat="1" ht="15.75" customHeight="1">
      <c r="A145" s="62">
        <f t="shared" si="134"/>
        <v>47</v>
      </c>
      <c r="B145" s="63">
        <f t="shared" si="120"/>
        <v>46342</v>
      </c>
      <c r="C145" s="63">
        <f t="shared" si="135"/>
        <v>46348</v>
      </c>
      <c r="D145" s="239">
        <f t="shared" ca="1" si="136"/>
        <v>0</v>
      </c>
      <c r="E145" s="239">
        <f t="shared" ca="1" si="137"/>
        <v>0</v>
      </c>
      <c r="F145" s="239">
        <f t="shared" ca="1" si="138"/>
        <v>0</v>
      </c>
      <c r="G145" s="261">
        <f t="shared" ca="1" si="139"/>
        <v>0</v>
      </c>
      <c r="I145" s="237"/>
      <c r="AV145" s="235"/>
      <c r="AW145" s="235"/>
      <c r="AX145" s="235"/>
      <c r="AY145" s="235"/>
      <c r="AZ145" s="235"/>
      <c r="BA145" s="235"/>
      <c r="BB145" s="235"/>
      <c r="BC145" s="235"/>
      <c r="BD145" s="235"/>
      <c r="BE145" s="235"/>
      <c r="BF145" s="235"/>
      <c r="BG145" s="235"/>
      <c r="BH145" s="235"/>
      <c r="BI145" s="235"/>
      <c r="BJ145" s="235"/>
      <c r="BK145" s="235"/>
      <c r="BL145" s="235"/>
      <c r="BM145" s="235"/>
      <c r="BN145" s="235"/>
      <c r="BO145" s="235"/>
      <c r="BP145" s="235"/>
      <c r="BQ145" s="235"/>
    </row>
    <row r="146" spans="1:69" s="780" customFormat="1" ht="15.75" customHeight="1">
      <c r="A146" s="62">
        <f t="shared" si="134"/>
        <v>48</v>
      </c>
      <c r="B146" s="63">
        <f t="shared" si="120"/>
        <v>46349</v>
      </c>
      <c r="C146" s="63">
        <f t="shared" si="135"/>
        <v>46355</v>
      </c>
      <c r="D146" s="239">
        <f t="shared" ca="1" si="136"/>
        <v>0</v>
      </c>
      <c r="E146" s="239">
        <f t="shared" ca="1" si="137"/>
        <v>0</v>
      </c>
      <c r="F146" s="239">
        <f t="shared" ca="1" si="138"/>
        <v>0</v>
      </c>
      <c r="G146" s="261">
        <f t="shared" ca="1" si="139"/>
        <v>0</v>
      </c>
      <c r="I146" s="237"/>
      <c r="AV146" s="235"/>
      <c r="AW146" s="235"/>
      <c r="AX146" s="235"/>
      <c r="AY146" s="235"/>
      <c r="AZ146" s="235"/>
      <c r="BA146" s="235"/>
      <c r="BB146" s="235"/>
      <c r="BC146" s="235"/>
      <c r="BD146" s="235"/>
      <c r="BE146" s="235"/>
      <c r="BF146" s="235"/>
      <c r="BG146" s="235"/>
      <c r="BH146" s="235"/>
      <c r="BI146" s="235"/>
      <c r="BJ146" s="235"/>
      <c r="BK146" s="235"/>
      <c r="BL146" s="235"/>
      <c r="BM146" s="235"/>
      <c r="BN146" s="235"/>
      <c r="BO146" s="235"/>
      <c r="BP146" s="235"/>
      <c r="BQ146" s="235"/>
    </row>
    <row r="147" spans="1:69" s="780" customFormat="1" ht="15.75" customHeight="1">
      <c r="A147" s="62">
        <f t="shared" si="134"/>
        <v>49</v>
      </c>
      <c r="B147" s="63">
        <f t="shared" si="120"/>
        <v>46356</v>
      </c>
      <c r="C147" s="63">
        <f t="shared" si="135"/>
        <v>46362</v>
      </c>
      <c r="D147" s="239">
        <f t="shared" ca="1" si="136"/>
        <v>0</v>
      </c>
      <c r="E147" s="239">
        <f t="shared" ca="1" si="137"/>
        <v>0</v>
      </c>
      <c r="F147" s="239">
        <f t="shared" ca="1" si="138"/>
        <v>0</v>
      </c>
      <c r="G147" s="261">
        <f t="shared" ca="1" si="139"/>
        <v>0</v>
      </c>
      <c r="I147" s="237"/>
      <c r="AV147" s="235"/>
      <c r="AW147" s="235"/>
      <c r="AX147" s="235"/>
      <c r="AY147" s="235"/>
      <c r="AZ147" s="235"/>
      <c r="BA147" s="235"/>
      <c r="BB147" s="235"/>
      <c r="BC147" s="235"/>
      <c r="BD147" s="235"/>
      <c r="BE147" s="235"/>
      <c r="BF147" s="235"/>
      <c r="BG147" s="235"/>
      <c r="BH147" s="235"/>
      <c r="BI147" s="235"/>
      <c r="BJ147" s="235"/>
      <c r="BK147" s="235"/>
      <c r="BL147" s="235"/>
      <c r="BM147" s="235"/>
      <c r="BN147" s="235"/>
      <c r="BO147" s="235"/>
      <c r="BP147" s="235"/>
      <c r="BQ147" s="235"/>
    </row>
    <row r="148" spans="1:69" s="780" customFormat="1" ht="15.75" customHeight="1">
      <c r="A148" s="62">
        <f t="shared" si="134"/>
        <v>50</v>
      </c>
      <c r="B148" s="63">
        <f t="shared" ref="B148:B211" si="140">+B147+7</f>
        <v>46363</v>
      </c>
      <c r="C148" s="63">
        <f t="shared" si="135"/>
        <v>46369</v>
      </c>
      <c r="D148" s="239">
        <f t="shared" ca="1" si="136"/>
        <v>0</v>
      </c>
      <c r="E148" s="239">
        <f t="shared" ca="1" si="137"/>
        <v>0</v>
      </c>
      <c r="F148" s="239">
        <f t="shared" ca="1" si="138"/>
        <v>0</v>
      </c>
      <c r="G148" s="261">
        <f t="shared" ca="1" si="139"/>
        <v>0</v>
      </c>
      <c r="I148" s="237"/>
      <c r="AV148" s="235"/>
      <c r="AW148" s="235"/>
      <c r="AX148" s="235"/>
      <c r="AY148" s="235"/>
      <c r="AZ148" s="235"/>
      <c r="BA148" s="235"/>
      <c r="BB148" s="235"/>
      <c r="BC148" s="235"/>
      <c r="BD148" s="235"/>
      <c r="BE148" s="235"/>
      <c r="BF148" s="235"/>
      <c r="BG148" s="235"/>
      <c r="BH148" s="235"/>
      <c r="BI148" s="235"/>
      <c r="BJ148" s="235"/>
      <c r="BK148" s="235"/>
      <c r="BL148" s="235"/>
      <c r="BM148" s="235"/>
      <c r="BN148" s="235"/>
      <c r="BO148" s="235"/>
      <c r="BP148" s="235"/>
      <c r="BQ148" s="235"/>
    </row>
    <row r="149" spans="1:69" s="780" customFormat="1" ht="15.75" customHeight="1">
      <c r="A149" s="62">
        <f t="shared" si="134"/>
        <v>51</v>
      </c>
      <c r="B149" s="63">
        <f t="shared" si="140"/>
        <v>46370</v>
      </c>
      <c r="C149" s="63">
        <f t="shared" si="135"/>
        <v>46376</v>
      </c>
      <c r="D149" s="239">
        <f t="shared" ca="1" si="136"/>
        <v>0</v>
      </c>
      <c r="E149" s="239">
        <f t="shared" ca="1" si="137"/>
        <v>0</v>
      </c>
      <c r="F149" s="239">
        <f t="shared" ca="1" si="138"/>
        <v>0</v>
      </c>
      <c r="G149" s="261">
        <f t="shared" ca="1" si="139"/>
        <v>0</v>
      </c>
      <c r="I149" s="237"/>
      <c r="AV149" s="235"/>
      <c r="AW149" s="235"/>
      <c r="AX149" s="235"/>
      <c r="AY149" s="235"/>
      <c r="AZ149" s="235"/>
      <c r="BA149" s="235"/>
      <c r="BB149" s="235"/>
      <c r="BC149" s="235"/>
      <c r="BD149" s="235"/>
      <c r="BE149" s="235"/>
      <c r="BF149" s="235"/>
      <c r="BG149" s="235"/>
      <c r="BH149" s="235"/>
      <c r="BI149" s="235"/>
      <c r="BJ149" s="235"/>
      <c r="BK149" s="235"/>
      <c r="BL149" s="235"/>
      <c r="BM149" s="235"/>
      <c r="BN149" s="235"/>
      <c r="BO149" s="235"/>
      <c r="BP149" s="235"/>
      <c r="BQ149" s="235"/>
    </row>
    <row r="150" spans="1:69" s="780" customFormat="1" ht="15.75" customHeight="1">
      <c r="A150" s="62">
        <f t="shared" si="134"/>
        <v>52</v>
      </c>
      <c r="B150" s="63">
        <f t="shared" si="140"/>
        <v>46377</v>
      </c>
      <c r="C150" s="63">
        <f t="shared" si="135"/>
        <v>46383</v>
      </c>
      <c r="D150" s="239">
        <f t="shared" ca="1" si="136"/>
        <v>0</v>
      </c>
      <c r="E150" s="239">
        <f t="shared" ca="1" si="137"/>
        <v>0</v>
      </c>
      <c r="F150" s="239">
        <f t="shared" ca="1" si="138"/>
        <v>0</v>
      </c>
      <c r="G150" s="261">
        <f t="shared" ca="1" si="139"/>
        <v>0</v>
      </c>
      <c r="I150" s="237"/>
      <c r="AV150" s="235"/>
      <c r="AW150" s="235"/>
      <c r="AX150" s="235"/>
      <c r="AY150" s="235"/>
      <c r="AZ150" s="235"/>
      <c r="BA150" s="235"/>
      <c r="BB150" s="235"/>
      <c r="BC150" s="235"/>
      <c r="BD150" s="235"/>
      <c r="BE150" s="235"/>
      <c r="BF150" s="235"/>
      <c r="BG150" s="235"/>
      <c r="BH150" s="235"/>
      <c r="BI150" s="235"/>
      <c r="BJ150" s="235"/>
      <c r="BK150" s="235"/>
      <c r="BL150" s="235"/>
      <c r="BM150" s="235"/>
      <c r="BN150" s="235"/>
      <c r="BO150" s="235"/>
      <c r="BP150" s="235"/>
      <c r="BQ150" s="235"/>
    </row>
    <row r="151" spans="1:69" s="780" customFormat="1" ht="15.75" customHeight="1">
      <c r="A151" s="62">
        <f t="shared" si="134"/>
        <v>53</v>
      </c>
      <c r="B151" s="63">
        <f t="shared" si="140"/>
        <v>46384</v>
      </c>
      <c r="C151" s="63">
        <f t="shared" si="135"/>
        <v>46390</v>
      </c>
      <c r="D151" s="239">
        <f t="shared" ca="1" si="136"/>
        <v>0</v>
      </c>
      <c r="E151" s="239">
        <f t="shared" ca="1" si="137"/>
        <v>0</v>
      </c>
      <c r="F151" s="239">
        <f t="shared" ca="1" si="138"/>
        <v>0</v>
      </c>
      <c r="G151" s="261">
        <f t="shared" ca="1" si="139"/>
        <v>0</v>
      </c>
      <c r="I151" s="237"/>
      <c r="AV151" s="235"/>
      <c r="AW151" s="235"/>
      <c r="AX151" s="235"/>
      <c r="AY151" s="235"/>
      <c r="AZ151" s="235"/>
      <c r="BA151" s="235"/>
      <c r="BB151" s="235"/>
      <c r="BC151" s="235"/>
      <c r="BD151" s="235"/>
      <c r="BE151" s="235"/>
      <c r="BF151" s="235"/>
      <c r="BG151" s="235"/>
      <c r="BH151" s="235"/>
      <c r="BI151" s="235"/>
      <c r="BJ151" s="235"/>
      <c r="BK151" s="235"/>
      <c r="BL151" s="235"/>
      <c r="BM151" s="235"/>
      <c r="BN151" s="235"/>
      <c r="BO151" s="235"/>
      <c r="BP151" s="235"/>
      <c r="BQ151" s="235"/>
    </row>
    <row r="152" spans="1:69" s="780" customFormat="1" ht="15.75" customHeight="1">
      <c r="A152" s="62">
        <f t="shared" si="134"/>
        <v>2</v>
      </c>
      <c r="B152" s="63">
        <f t="shared" si="140"/>
        <v>46391</v>
      </c>
      <c r="C152" s="63">
        <f t="shared" si="135"/>
        <v>46397</v>
      </c>
      <c r="D152" s="239">
        <f t="shared" ca="1" si="136"/>
        <v>0</v>
      </c>
      <c r="E152" s="239">
        <f t="shared" ca="1" si="137"/>
        <v>0</v>
      </c>
      <c r="F152" s="239">
        <f t="shared" ca="1" si="138"/>
        <v>0</v>
      </c>
      <c r="G152" s="261">
        <f t="shared" ca="1" si="139"/>
        <v>0</v>
      </c>
      <c r="I152" s="237"/>
      <c r="AV152" s="235"/>
      <c r="AW152" s="235"/>
      <c r="AX152" s="235"/>
      <c r="AY152" s="235"/>
      <c r="AZ152" s="235"/>
      <c r="BA152" s="235"/>
      <c r="BB152" s="235"/>
      <c r="BC152" s="235"/>
      <c r="BD152" s="235"/>
      <c r="BE152" s="235"/>
      <c r="BF152" s="235"/>
      <c r="BG152" s="235"/>
      <c r="BH152" s="235"/>
      <c r="BI152" s="235"/>
      <c r="BJ152" s="235"/>
      <c r="BK152" s="235"/>
      <c r="BL152" s="235"/>
      <c r="BM152" s="235"/>
      <c r="BN152" s="235"/>
      <c r="BO152" s="235"/>
      <c r="BP152" s="235"/>
      <c r="BQ152" s="235"/>
    </row>
    <row r="153" spans="1:69" s="780" customFormat="1" ht="15.75" customHeight="1">
      <c r="A153" s="62">
        <f t="shared" si="134"/>
        <v>3</v>
      </c>
      <c r="B153" s="63">
        <f t="shared" si="140"/>
        <v>46398</v>
      </c>
      <c r="C153" s="63">
        <f t="shared" si="135"/>
        <v>46404</v>
      </c>
      <c r="D153" s="239">
        <f t="shared" ca="1" si="136"/>
        <v>0</v>
      </c>
      <c r="E153" s="239">
        <f t="shared" ca="1" si="137"/>
        <v>0</v>
      </c>
      <c r="F153" s="239">
        <f t="shared" ca="1" si="138"/>
        <v>0</v>
      </c>
      <c r="G153" s="261">
        <f t="shared" ca="1" si="139"/>
        <v>0</v>
      </c>
      <c r="I153" s="237"/>
      <c r="AV153" s="235"/>
      <c r="AW153" s="235"/>
      <c r="AX153" s="235"/>
      <c r="AY153" s="235"/>
      <c r="AZ153" s="235"/>
      <c r="BA153" s="235"/>
      <c r="BB153" s="235"/>
      <c r="BC153" s="235"/>
      <c r="BD153" s="235"/>
      <c r="BE153" s="235"/>
      <c r="BF153" s="235"/>
      <c r="BG153" s="235"/>
      <c r="BH153" s="235"/>
      <c r="BI153" s="235"/>
      <c r="BJ153" s="235"/>
      <c r="BK153" s="235"/>
      <c r="BL153" s="235"/>
      <c r="BM153" s="235"/>
      <c r="BN153" s="235"/>
      <c r="BO153" s="235"/>
      <c r="BP153" s="235"/>
      <c r="BQ153" s="235"/>
    </row>
    <row r="154" spans="1:69" s="780" customFormat="1" ht="15.75" customHeight="1">
      <c r="A154" s="62">
        <f t="shared" si="134"/>
        <v>4</v>
      </c>
      <c r="B154" s="63">
        <f t="shared" si="140"/>
        <v>46405</v>
      </c>
      <c r="C154" s="63">
        <f t="shared" si="135"/>
        <v>46411</v>
      </c>
      <c r="D154" s="239">
        <f t="shared" ca="1" si="136"/>
        <v>0</v>
      </c>
      <c r="E154" s="239">
        <f t="shared" ca="1" si="137"/>
        <v>0</v>
      </c>
      <c r="F154" s="239">
        <f t="shared" ca="1" si="138"/>
        <v>0</v>
      </c>
      <c r="G154" s="261">
        <f t="shared" ca="1" si="139"/>
        <v>0</v>
      </c>
      <c r="I154" s="237"/>
      <c r="AV154" s="235"/>
      <c r="AW154" s="235"/>
      <c r="AX154" s="235"/>
      <c r="AY154" s="235"/>
      <c r="AZ154" s="235"/>
      <c r="BA154" s="235"/>
      <c r="BB154" s="235"/>
      <c r="BC154" s="235"/>
      <c r="BD154" s="235"/>
      <c r="BE154" s="235"/>
      <c r="BF154" s="235"/>
      <c r="BG154" s="235"/>
      <c r="BH154" s="235"/>
      <c r="BI154" s="235"/>
      <c r="BJ154" s="235"/>
      <c r="BK154" s="235"/>
      <c r="BL154" s="235"/>
      <c r="BM154" s="235"/>
      <c r="BN154" s="235"/>
      <c r="BO154" s="235"/>
      <c r="BP154" s="235"/>
      <c r="BQ154" s="235"/>
    </row>
    <row r="155" spans="1:69" s="780" customFormat="1" ht="15.75" customHeight="1">
      <c r="A155" s="62">
        <f t="shared" si="134"/>
        <v>5</v>
      </c>
      <c r="B155" s="63">
        <f t="shared" si="140"/>
        <v>46412</v>
      </c>
      <c r="C155" s="63">
        <f t="shared" si="135"/>
        <v>46418</v>
      </c>
      <c r="D155" s="239">
        <f t="shared" ca="1" si="136"/>
        <v>0</v>
      </c>
      <c r="E155" s="239">
        <f t="shared" ca="1" si="137"/>
        <v>0</v>
      </c>
      <c r="F155" s="239">
        <f t="shared" ca="1" si="138"/>
        <v>0</v>
      </c>
      <c r="G155" s="261">
        <f t="shared" ca="1" si="139"/>
        <v>0</v>
      </c>
      <c r="I155" s="237"/>
      <c r="AV155" s="235"/>
      <c r="AW155" s="235"/>
      <c r="AX155" s="235"/>
      <c r="AY155" s="235"/>
      <c r="AZ155" s="235"/>
      <c r="BA155" s="235"/>
      <c r="BB155" s="235"/>
      <c r="BC155" s="235"/>
      <c r="BD155" s="235"/>
      <c r="BE155" s="235"/>
      <c r="BF155" s="235"/>
      <c r="BG155" s="235"/>
      <c r="BH155" s="235"/>
      <c r="BI155" s="235"/>
      <c r="BJ155" s="235"/>
      <c r="BK155" s="235"/>
      <c r="BL155" s="235"/>
      <c r="BM155" s="235"/>
      <c r="BN155" s="235"/>
      <c r="BO155" s="235"/>
      <c r="BP155" s="235"/>
      <c r="BQ155" s="235"/>
    </row>
    <row r="156" spans="1:69" s="780" customFormat="1" ht="15.75" customHeight="1">
      <c r="A156" s="62">
        <f t="shared" si="134"/>
        <v>6</v>
      </c>
      <c r="B156" s="63">
        <f t="shared" si="140"/>
        <v>46419</v>
      </c>
      <c r="C156" s="63">
        <f t="shared" si="135"/>
        <v>46425</v>
      </c>
      <c r="D156" s="239">
        <f t="shared" ca="1" si="136"/>
        <v>0</v>
      </c>
      <c r="E156" s="239">
        <f t="shared" ca="1" si="137"/>
        <v>0</v>
      </c>
      <c r="F156" s="239">
        <f t="shared" ca="1" si="138"/>
        <v>0</v>
      </c>
      <c r="G156" s="261">
        <f t="shared" ca="1" si="139"/>
        <v>0</v>
      </c>
      <c r="I156" s="237"/>
      <c r="AV156" s="235"/>
      <c r="AW156" s="235"/>
      <c r="AX156" s="235"/>
      <c r="AY156" s="235"/>
      <c r="AZ156" s="235"/>
      <c r="BA156" s="235"/>
      <c r="BB156" s="235"/>
      <c r="BC156" s="235"/>
      <c r="BD156" s="235"/>
      <c r="BE156" s="235"/>
      <c r="BF156" s="235"/>
      <c r="BG156" s="235"/>
      <c r="BH156" s="235"/>
      <c r="BI156" s="235"/>
      <c r="BJ156" s="235"/>
      <c r="BK156" s="235"/>
      <c r="BL156" s="235"/>
      <c r="BM156" s="235"/>
      <c r="BN156" s="235"/>
      <c r="BO156" s="235"/>
      <c r="BP156" s="235"/>
      <c r="BQ156" s="235"/>
    </row>
    <row r="157" spans="1:69" s="780" customFormat="1" ht="15.75" customHeight="1">
      <c r="A157" s="62">
        <f t="shared" si="134"/>
        <v>7</v>
      </c>
      <c r="B157" s="63">
        <f t="shared" si="140"/>
        <v>46426</v>
      </c>
      <c r="C157" s="63">
        <f t="shared" si="135"/>
        <v>46432</v>
      </c>
      <c r="D157" s="239">
        <f t="shared" ca="1" si="136"/>
        <v>0</v>
      </c>
      <c r="E157" s="239">
        <f t="shared" ca="1" si="137"/>
        <v>0</v>
      </c>
      <c r="F157" s="239">
        <f t="shared" ca="1" si="138"/>
        <v>0</v>
      </c>
      <c r="G157" s="261">
        <f t="shared" ca="1" si="139"/>
        <v>0</v>
      </c>
      <c r="I157" s="237"/>
      <c r="AV157" s="235"/>
      <c r="AW157" s="235"/>
      <c r="AX157" s="235"/>
      <c r="AY157" s="235"/>
      <c r="AZ157" s="235"/>
      <c r="BA157" s="235"/>
      <c r="BB157" s="235"/>
      <c r="BC157" s="235"/>
      <c r="BD157" s="235"/>
      <c r="BE157" s="235"/>
      <c r="BF157" s="235"/>
      <c r="BG157" s="235"/>
      <c r="BH157" s="235"/>
      <c r="BI157" s="235"/>
      <c r="BJ157" s="235"/>
      <c r="BK157" s="235"/>
      <c r="BL157" s="235"/>
      <c r="BM157" s="235"/>
      <c r="BN157" s="235"/>
      <c r="BO157" s="235"/>
      <c r="BP157" s="235"/>
      <c r="BQ157" s="235"/>
    </row>
    <row r="158" spans="1:69" s="780" customFormat="1" ht="15.75" customHeight="1">
      <c r="A158" s="62">
        <f t="shared" si="134"/>
        <v>8</v>
      </c>
      <c r="B158" s="63">
        <f t="shared" si="140"/>
        <v>46433</v>
      </c>
      <c r="C158" s="63">
        <f t="shared" si="135"/>
        <v>46439</v>
      </c>
      <c r="D158" s="239">
        <f t="shared" ca="1" si="136"/>
        <v>0</v>
      </c>
      <c r="E158" s="239">
        <f t="shared" ca="1" si="137"/>
        <v>0</v>
      </c>
      <c r="F158" s="239">
        <f t="shared" ca="1" si="138"/>
        <v>0</v>
      </c>
      <c r="G158" s="261">
        <f t="shared" ca="1" si="139"/>
        <v>0</v>
      </c>
      <c r="I158" s="237"/>
      <c r="AV158" s="235"/>
      <c r="AW158" s="235"/>
      <c r="AX158" s="235"/>
      <c r="AY158" s="235"/>
      <c r="AZ158" s="235"/>
      <c r="BA158" s="235"/>
      <c r="BB158" s="235"/>
      <c r="BC158" s="235"/>
      <c r="BD158" s="235"/>
      <c r="BE158" s="235"/>
      <c r="BF158" s="235"/>
      <c r="BG158" s="235"/>
      <c r="BH158" s="235"/>
      <c r="BI158" s="235"/>
      <c r="BJ158" s="235"/>
      <c r="BK158" s="235"/>
      <c r="BL158" s="235"/>
      <c r="BM158" s="235"/>
      <c r="BN158" s="235"/>
      <c r="BO158" s="235"/>
      <c r="BP158" s="235"/>
      <c r="BQ158" s="235"/>
    </row>
    <row r="159" spans="1:69" s="780" customFormat="1" ht="15.75" customHeight="1">
      <c r="A159" s="62">
        <f t="shared" si="134"/>
        <v>9</v>
      </c>
      <c r="B159" s="63">
        <f t="shared" si="140"/>
        <v>46440</v>
      </c>
      <c r="C159" s="63">
        <f t="shared" si="135"/>
        <v>46446</v>
      </c>
      <c r="D159" s="239">
        <f t="shared" ca="1" si="136"/>
        <v>0</v>
      </c>
      <c r="E159" s="239">
        <f t="shared" ca="1" si="137"/>
        <v>0</v>
      </c>
      <c r="F159" s="239">
        <f t="shared" ca="1" si="138"/>
        <v>0</v>
      </c>
      <c r="G159" s="261">
        <f t="shared" ca="1" si="139"/>
        <v>0</v>
      </c>
      <c r="I159" s="237"/>
      <c r="AV159" s="235"/>
      <c r="AW159" s="235"/>
      <c r="AX159" s="235"/>
      <c r="AY159" s="235"/>
      <c r="AZ159" s="235"/>
      <c r="BA159" s="235"/>
      <c r="BB159" s="235"/>
      <c r="BC159" s="235"/>
      <c r="BD159" s="235"/>
      <c r="BE159" s="235"/>
      <c r="BF159" s="235"/>
      <c r="BG159" s="235"/>
      <c r="BH159" s="235"/>
      <c r="BI159" s="235"/>
      <c r="BJ159" s="235"/>
      <c r="BK159" s="235"/>
      <c r="BL159" s="235"/>
      <c r="BM159" s="235"/>
      <c r="BN159" s="235"/>
      <c r="BO159" s="235"/>
      <c r="BP159" s="235"/>
      <c r="BQ159" s="235"/>
    </row>
    <row r="160" spans="1:69" s="780" customFormat="1" ht="15.75" customHeight="1">
      <c r="A160" s="62">
        <f t="shared" si="134"/>
        <v>10</v>
      </c>
      <c r="B160" s="63">
        <f t="shared" si="140"/>
        <v>46447</v>
      </c>
      <c r="C160" s="63">
        <f t="shared" si="135"/>
        <v>46453</v>
      </c>
      <c r="D160" s="239">
        <f t="shared" ca="1" si="136"/>
        <v>0</v>
      </c>
      <c r="E160" s="239">
        <f t="shared" ca="1" si="137"/>
        <v>0</v>
      </c>
      <c r="F160" s="239">
        <f t="shared" ca="1" si="138"/>
        <v>0</v>
      </c>
      <c r="G160" s="261">
        <f t="shared" ca="1" si="139"/>
        <v>0</v>
      </c>
      <c r="I160" s="237"/>
      <c r="AV160" s="235"/>
      <c r="AW160" s="235"/>
      <c r="AX160" s="235"/>
      <c r="AY160" s="235"/>
      <c r="AZ160" s="235"/>
      <c r="BA160" s="235"/>
      <c r="BB160" s="235"/>
      <c r="BC160" s="235"/>
      <c r="BD160" s="235"/>
      <c r="BE160" s="235"/>
      <c r="BF160" s="235"/>
      <c r="BG160" s="235"/>
      <c r="BH160" s="235"/>
      <c r="BI160" s="235"/>
      <c r="BJ160" s="235"/>
      <c r="BK160" s="235"/>
      <c r="BL160" s="235"/>
      <c r="BM160" s="235"/>
      <c r="BN160" s="235"/>
      <c r="BO160" s="235"/>
      <c r="BP160" s="235"/>
      <c r="BQ160" s="235"/>
    </row>
    <row r="161" spans="1:69" s="780" customFormat="1" ht="15.75" customHeight="1">
      <c r="A161" s="62">
        <f t="shared" si="134"/>
        <v>11</v>
      </c>
      <c r="B161" s="63">
        <f t="shared" si="140"/>
        <v>46454</v>
      </c>
      <c r="C161" s="63">
        <f t="shared" si="135"/>
        <v>46460</v>
      </c>
      <c r="D161" s="239">
        <f t="shared" ca="1" si="136"/>
        <v>0</v>
      </c>
      <c r="E161" s="239">
        <f t="shared" ca="1" si="137"/>
        <v>0</v>
      </c>
      <c r="F161" s="239">
        <f t="shared" ca="1" si="138"/>
        <v>0</v>
      </c>
      <c r="G161" s="261">
        <f t="shared" ca="1" si="139"/>
        <v>0</v>
      </c>
      <c r="I161" s="237"/>
      <c r="AV161" s="235"/>
      <c r="AW161" s="235"/>
      <c r="AX161" s="235"/>
      <c r="AY161" s="235"/>
      <c r="AZ161" s="235"/>
      <c r="BA161" s="235"/>
      <c r="BB161" s="235"/>
      <c r="BC161" s="235"/>
      <c r="BD161" s="235"/>
      <c r="BE161" s="235"/>
      <c r="BF161" s="235"/>
      <c r="BG161" s="235"/>
      <c r="BH161" s="235"/>
      <c r="BI161" s="235"/>
      <c r="BJ161" s="235"/>
      <c r="BK161" s="235"/>
      <c r="BL161" s="235"/>
      <c r="BM161" s="235"/>
      <c r="BN161" s="235"/>
      <c r="BO161" s="235"/>
      <c r="BP161" s="235"/>
      <c r="BQ161" s="235"/>
    </row>
    <row r="162" spans="1:69" s="780" customFormat="1" ht="15.75" customHeight="1">
      <c r="A162" s="62">
        <f t="shared" si="134"/>
        <v>12</v>
      </c>
      <c r="B162" s="63">
        <f t="shared" si="140"/>
        <v>46461</v>
      </c>
      <c r="C162" s="63">
        <f t="shared" si="135"/>
        <v>46467</v>
      </c>
      <c r="D162" s="239">
        <f t="shared" ca="1" si="136"/>
        <v>0</v>
      </c>
      <c r="E162" s="239">
        <f t="shared" ca="1" si="137"/>
        <v>0</v>
      </c>
      <c r="F162" s="239">
        <f t="shared" ca="1" si="138"/>
        <v>0</v>
      </c>
      <c r="G162" s="261">
        <f t="shared" ca="1" si="139"/>
        <v>0</v>
      </c>
      <c r="I162" s="237"/>
      <c r="AV162" s="235"/>
      <c r="AW162" s="235"/>
      <c r="AX162" s="235"/>
      <c r="AY162" s="235"/>
      <c r="AZ162" s="235"/>
      <c r="BA162" s="235"/>
      <c r="BB162" s="235"/>
      <c r="BC162" s="235"/>
      <c r="BD162" s="235"/>
      <c r="BE162" s="235"/>
      <c r="BF162" s="235"/>
      <c r="BG162" s="235"/>
      <c r="BH162" s="235"/>
      <c r="BI162" s="235"/>
      <c r="BJ162" s="235"/>
      <c r="BK162" s="235"/>
      <c r="BL162" s="235"/>
      <c r="BM162" s="235"/>
      <c r="BN162" s="235"/>
      <c r="BO162" s="235"/>
      <c r="BP162" s="235"/>
      <c r="BQ162" s="235"/>
    </row>
    <row r="163" spans="1:69" s="780" customFormat="1" ht="15.75" customHeight="1">
      <c r="A163" s="62">
        <f t="shared" si="134"/>
        <v>13</v>
      </c>
      <c r="B163" s="63">
        <f t="shared" si="140"/>
        <v>46468</v>
      </c>
      <c r="C163" s="63">
        <f t="shared" si="135"/>
        <v>46474</v>
      </c>
      <c r="D163" s="239">
        <f t="shared" ca="1" si="136"/>
        <v>0</v>
      </c>
      <c r="E163" s="239">
        <f t="shared" ca="1" si="137"/>
        <v>0</v>
      </c>
      <c r="F163" s="239">
        <f t="shared" ca="1" si="138"/>
        <v>0</v>
      </c>
      <c r="G163" s="261">
        <f t="shared" ca="1" si="139"/>
        <v>0</v>
      </c>
      <c r="I163" s="237"/>
      <c r="AV163" s="235"/>
      <c r="AW163" s="235"/>
      <c r="AX163" s="235"/>
      <c r="AY163" s="235"/>
      <c r="AZ163" s="235"/>
      <c r="BA163" s="235"/>
      <c r="BB163" s="235"/>
      <c r="BC163" s="235"/>
      <c r="BD163" s="235"/>
      <c r="BE163" s="235"/>
      <c r="BF163" s="235"/>
      <c r="BG163" s="235"/>
      <c r="BH163" s="235"/>
      <c r="BI163" s="235"/>
      <c r="BJ163" s="235"/>
      <c r="BK163" s="235"/>
      <c r="BL163" s="235"/>
      <c r="BM163" s="235"/>
      <c r="BN163" s="235"/>
      <c r="BO163" s="235"/>
      <c r="BP163" s="235"/>
      <c r="BQ163" s="235"/>
    </row>
    <row r="164" spans="1:69" s="780" customFormat="1" ht="15.75" customHeight="1">
      <c r="A164" s="62">
        <f t="shared" si="134"/>
        <v>14</v>
      </c>
      <c r="B164" s="63">
        <f t="shared" si="140"/>
        <v>46475</v>
      </c>
      <c r="C164" s="63">
        <f t="shared" si="135"/>
        <v>46481</v>
      </c>
      <c r="D164" s="239">
        <f t="shared" ca="1" si="136"/>
        <v>0</v>
      </c>
      <c r="E164" s="239">
        <f t="shared" ca="1" si="137"/>
        <v>0</v>
      </c>
      <c r="F164" s="239">
        <f t="shared" ca="1" si="138"/>
        <v>0</v>
      </c>
      <c r="G164" s="261">
        <f t="shared" ca="1" si="139"/>
        <v>0</v>
      </c>
      <c r="I164" s="237"/>
      <c r="AV164" s="235"/>
      <c r="AW164" s="235"/>
      <c r="AX164" s="235"/>
      <c r="AY164" s="235"/>
      <c r="AZ164" s="235"/>
      <c r="BA164" s="235"/>
      <c r="BB164" s="235"/>
      <c r="BC164" s="235"/>
      <c r="BD164" s="235"/>
      <c r="BE164" s="235"/>
      <c r="BF164" s="235"/>
      <c r="BG164" s="235"/>
      <c r="BH164" s="235"/>
      <c r="BI164" s="235"/>
      <c r="BJ164" s="235"/>
      <c r="BK164" s="235"/>
      <c r="BL164" s="235"/>
      <c r="BM164" s="235"/>
      <c r="BN164" s="235"/>
      <c r="BO164" s="235"/>
      <c r="BP164" s="235"/>
      <c r="BQ164" s="235"/>
    </row>
    <row r="165" spans="1:69" s="780" customFormat="1" ht="15.75" customHeight="1">
      <c r="A165" s="62">
        <f t="shared" si="134"/>
        <v>15</v>
      </c>
      <c r="B165" s="63">
        <f t="shared" si="140"/>
        <v>46482</v>
      </c>
      <c r="C165" s="63">
        <f t="shared" si="135"/>
        <v>46488</v>
      </c>
      <c r="D165" s="239">
        <f t="shared" ca="1" si="136"/>
        <v>0</v>
      </c>
      <c r="E165" s="239">
        <f t="shared" ca="1" si="137"/>
        <v>0</v>
      </c>
      <c r="F165" s="239">
        <f t="shared" ca="1" si="138"/>
        <v>0</v>
      </c>
      <c r="G165" s="261">
        <f t="shared" ca="1" si="139"/>
        <v>0</v>
      </c>
      <c r="I165" s="237"/>
      <c r="AV165" s="235"/>
      <c r="AW165" s="235"/>
      <c r="AX165" s="235"/>
      <c r="AY165" s="235"/>
      <c r="AZ165" s="235"/>
      <c r="BA165" s="235"/>
      <c r="BB165" s="235"/>
      <c r="BC165" s="235"/>
      <c r="BD165" s="235"/>
      <c r="BE165" s="235"/>
      <c r="BF165" s="235"/>
      <c r="BG165" s="235"/>
      <c r="BH165" s="235"/>
      <c r="BI165" s="235"/>
      <c r="BJ165" s="235"/>
      <c r="BK165" s="235"/>
      <c r="BL165" s="235"/>
      <c r="BM165" s="235"/>
      <c r="BN165" s="235"/>
      <c r="BO165" s="235"/>
      <c r="BP165" s="235"/>
      <c r="BQ165" s="235"/>
    </row>
    <row r="166" spans="1:69" s="780" customFormat="1" ht="15.75" customHeight="1">
      <c r="A166" s="62">
        <f t="shared" si="134"/>
        <v>16</v>
      </c>
      <c r="B166" s="63">
        <f t="shared" si="140"/>
        <v>46489</v>
      </c>
      <c r="C166" s="63">
        <f t="shared" si="135"/>
        <v>46495</v>
      </c>
      <c r="D166" s="239">
        <f t="shared" ca="1" si="136"/>
        <v>0</v>
      </c>
      <c r="E166" s="239">
        <f t="shared" ca="1" si="137"/>
        <v>0</v>
      </c>
      <c r="F166" s="239">
        <f t="shared" ca="1" si="138"/>
        <v>0</v>
      </c>
      <c r="G166" s="261">
        <f t="shared" ca="1" si="139"/>
        <v>0</v>
      </c>
      <c r="I166" s="237"/>
      <c r="AV166" s="235"/>
      <c r="AW166" s="235"/>
      <c r="AX166" s="235"/>
      <c r="AY166" s="235"/>
      <c r="AZ166" s="235"/>
      <c r="BA166" s="235"/>
      <c r="BB166" s="235"/>
      <c r="BC166" s="235"/>
      <c r="BD166" s="235"/>
      <c r="BE166" s="235"/>
      <c r="BF166" s="235"/>
      <c r="BG166" s="235"/>
      <c r="BH166" s="235"/>
      <c r="BI166" s="235"/>
      <c r="BJ166" s="235"/>
      <c r="BK166" s="235"/>
      <c r="BL166" s="235"/>
      <c r="BM166" s="235"/>
      <c r="BN166" s="235"/>
      <c r="BO166" s="235"/>
      <c r="BP166" s="235"/>
      <c r="BQ166" s="235"/>
    </row>
    <row r="167" spans="1:69" s="780" customFormat="1" ht="15.75" customHeight="1">
      <c r="A167" s="62">
        <f t="shared" si="134"/>
        <v>17</v>
      </c>
      <c r="B167" s="63">
        <f t="shared" si="140"/>
        <v>46496</v>
      </c>
      <c r="C167" s="63">
        <f t="shared" si="135"/>
        <v>46502</v>
      </c>
      <c r="D167" s="239">
        <f t="shared" ca="1" si="136"/>
        <v>0</v>
      </c>
      <c r="E167" s="239">
        <f t="shared" ca="1" si="137"/>
        <v>0</v>
      </c>
      <c r="F167" s="239">
        <f t="shared" ca="1" si="138"/>
        <v>0</v>
      </c>
      <c r="G167" s="261">
        <f t="shared" ca="1" si="139"/>
        <v>0</v>
      </c>
      <c r="I167" s="237"/>
      <c r="AV167" s="235"/>
      <c r="AW167" s="235"/>
      <c r="AX167" s="235"/>
      <c r="AY167" s="235"/>
      <c r="AZ167" s="235"/>
      <c r="BA167" s="235"/>
      <c r="BB167" s="235"/>
      <c r="BC167" s="235"/>
      <c r="BD167" s="235"/>
      <c r="BE167" s="235"/>
      <c r="BF167" s="235"/>
      <c r="BG167" s="235"/>
      <c r="BH167" s="235"/>
      <c r="BI167" s="235"/>
      <c r="BJ167" s="235"/>
      <c r="BK167" s="235"/>
      <c r="BL167" s="235"/>
      <c r="BM167" s="235"/>
      <c r="BN167" s="235"/>
      <c r="BO167" s="235"/>
      <c r="BP167" s="235"/>
      <c r="BQ167" s="235"/>
    </row>
    <row r="168" spans="1:69" s="780" customFormat="1" ht="15.75" customHeight="1">
      <c r="A168" s="62">
        <f t="shared" si="134"/>
        <v>18</v>
      </c>
      <c r="B168" s="63">
        <f t="shared" si="140"/>
        <v>46503</v>
      </c>
      <c r="C168" s="63">
        <f t="shared" si="135"/>
        <v>46509</v>
      </c>
      <c r="D168" s="239">
        <f t="shared" ca="1" si="136"/>
        <v>0</v>
      </c>
      <c r="E168" s="239">
        <f t="shared" ca="1" si="137"/>
        <v>0</v>
      </c>
      <c r="F168" s="239">
        <f t="shared" ca="1" si="138"/>
        <v>0</v>
      </c>
      <c r="G168" s="261">
        <f t="shared" ca="1" si="139"/>
        <v>0</v>
      </c>
      <c r="I168" s="237"/>
      <c r="AV168" s="235"/>
      <c r="AW168" s="235"/>
      <c r="AX168" s="235"/>
      <c r="AY168" s="235"/>
      <c r="AZ168" s="235"/>
      <c r="BA168" s="235"/>
      <c r="BB168" s="235"/>
      <c r="BC168" s="235"/>
      <c r="BD168" s="235"/>
      <c r="BE168" s="235"/>
      <c r="BF168" s="235"/>
      <c r="BG168" s="235"/>
      <c r="BH168" s="235"/>
      <c r="BI168" s="235"/>
      <c r="BJ168" s="235"/>
      <c r="BK168" s="235"/>
      <c r="BL168" s="235"/>
      <c r="BM168" s="235"/>
      <c r="BN168" s="235"/>
      <c r="BO168" s="235"/>
      <c r="BP168" s="235"/>
      <c r="BQ168" s="235"/>
    </row>
    <row r="169" spans="1:69" s="780" customFormat="1" ht="15.75" customHeight="1">
      <c r="A169" s="62">
        <f t="shared" si="134"/>
        <v>19</v>
      </c>
      <c r="B169" s="63">
        <f t="shared" si="140"/>
        <v>46510</v>
      </c>
      <c r="C169" s="63">
        <f t="shared" si="135"/>
        <v>46516</v>
      </c>
      <c r="D169" s="239">
        <f t="shared" ca="1" si="136"/>
        <v>0</v>
      </c>
      <c r="E169" s="239">
        <f t="shared" ca="1" si="137"/>
        <v>0</v>
      </c>
      <c r="F169" s="239">
        <f t="shared" ca="1" si="138"/>
        <v>0</v>
      </c>
      <c r="G169" s="261">
        <f t="shared" ca="1" si="139"/>
        <v>0</v>
      </c>
      <c r="I169" s="237"/>
      <c r="AV169" s="235"/>
      <c r="AW169" s="235"/>
      <c r="AX169" s="235"/>
      <c r="AY169" s="235"/>
      <c r="AZ169" s="235"/>
      <c r="BA169" s="235"/>
      <c r="BB169" s="235"/>
      <c r="BC169" s="235"/>
      <c r="BD169" s="235"/>
      <c r="BE169" s="235"/>
      <c r="BF169" s="235"/>
      <c r="BG169" s="235"/>
      <c r="BH169" s="235"/>
      <c r="BI169" s="235"/>
      <c r="BJ169" s="235"/>
      <c r="BK169" s="235"/>
      <c r="BL169" s="235"/>
      <c r="BM169" s="235"/>
      <c r="BN169" s="235"/>
      <c r="BO169" s="235"/>
      <c r="BP169" s="235"/>
      <c r="BQ169" s="235"/>
    </row>
    <row r="170" spans="1:69" s="780" customFormat="1" ht="15.75" customHeight="1">
      <c r="A170" s="62">
        <f t="shared" si="134"/>
        <v>20</v>
      </c>
      <c r="B170" s="63">
        <f t="shared" si="140"/>
        <v>46517</v>
      </c>
      <c r="C170" s="63">
        <f t="shared" si="135"/>
        <v>46523</v>
      </c>
      <c r="D170" s="239">
        <f t="shared" ca="1" si="136"/>
        <v>0</v>
      </c>
      <c r="E170" s="239">
        <f t="shared" ca="1" si="137"/>
        <v>0</v>
      </c>
      <c r="F170" s="239">
        <f t="shared" ca="1" si="138"/>
        <v>0</v>
      </c>
      <c r="G170" s="261">
        <f t="shared" ca="1" si="139"/>
        <v>0</v>
      </c>
      <c r="I170" s="237"/>
      <c r="AV170" s="235"/>
      <c r="AW170" s="235"/>
      <c r="AX170" s="235"/>
      <c r="AY170" s="235"/>
      <c r="AZ170" s="235"/>
      <c r="BA170" s="235"/>
      <c r="BB170" s="235"/>
      <c r="BC170" s="235"/>
      <c r="BD170" s="235"/>
      <c r="BE170" s="235"/>
      <c r="BF170" s="235"/>
      <c r="BG170" s="235"/>
      <c r="BH170" s="235"/>
      <c r="BI170" s="235"/>
      <c r="BJ170" s="235"/>
      <c r="BK170" s="235"/>
      <c r="BL170" s="235"/>
      <c r="BM170" s="235"/>
      <c r="BN170" s="235"/>
      <c r="BO170" s="235"/>
      <c r="BP170" s="235"/>
      <c r="BQ170" s="235"/>
    </row>
    <row r="171" spans="1:69" s="780" customFormat="1" ht="15.75" customHeight="1">
      <c r="A171" s="62">
        <f t="shared" si="134"/>
        <v>21</v>
      </c>
      <c r="B171" s="63">
        <f t="shared" si="140"/>
        <v>46524</v>
      </c>
      <c r="C171" s="63">
        <f t="shared" si="135"/>
        <v>46530</v>
      </c>
      <c r="D171" s="239">
        <f t="shared" ca="1" si="136"/>
        <v>0</v>
      </c>
      <c r="E171" s="239">
        <f t="shared" ca="1" si="137"/>
        <v>0</v>
      </c>
      <c r="F171" s="239">
        <f t="shared" ca="1" si="138"/>
        <v>0</v>
      </c>
      <c r="G171" s="261">
        <f t="shared" ca="1" si="139"/>
        <v>0</v>
      </c>
      <c r="I171" s="237"/>
      <c r="AV171" s="235"/>
      <c r="AW171" s="235"/>
      <c r="AX171" s="235"/>
      <c r="AY171" s="235"/>
      <c r="AZ171" s="235"/>
      <c r="BA171" s="235"/>
      <c r="BB171" s="235"/>
      <c r="BC171" s="235"/>
      <c r="BD171" s="235"/>
      <c r="BE171" s="235"/>
      <c r="BF171" s="235"/>
      <c r="BG171" s="235"/>
      <c r="BH171" s="235"/>
      <c r="BI171" s="235"/>
      <c r="BJ171" s="235"/>
      <c r="BK171" s="235"/>
      <c r="BL171" s="235"/>
      <c r="BM171" s="235"/>
      <c r="BN171" s="235"/>
      <c r="BO171" s="235"/>
      <c r="BP171" s="235"/>
      <c r="BQ171" s="235"/>
    </row>
    <row r="172" spans="1:69" s="780" customFormat="1" ht="15.75" customHeight="1">
      <c r="A172" s="62">
        <f t="shared" si="134"/>
        <v>22</v>
      </c>
      <c r="B172" s="63">
        <f t="shared" si="140"/>
        <v>46531</v>
      </c>
      <c r="C172" s="63">
        <f t="shared" si="135"/>
        <v>46537</v>
      </c>
      <c r="D172" s="239">
        <f t="shared" ca="1" si="136"/>
        <v>0</v>
      </c>
      <c r="E172" s="239">
        <f t="shared" ca="1" si="137"/>
        <v>0</v>
      </c>
      <c r="F172" s="239">
        <f t="shared" ca="1" si="138"/>
        <v>0</v>
      </c>
      <c r="G172" s="261">
        <f t="shared" ca="1" si="139"/>
        <v>0</v>
      </c>
      <c r="I172" s="237"/>
      <c r="AV172" s="235"/>
      <c r="AW172" s="235"/>
      <c r="AX172" s="235"/>
      <c r="AY172" s="235"/>
      <c r="AZ172" s="235"/>
      <c r="BA172" s="235"/>
      <c r="BB172" s="235"/>
      <c r="BC172" s="235"/>
      <c r="BD172" s="235"/>
      <c r="BE172" s="235"/>
      <c r="BF172" s="235"/>
      <c r="BG172" s="235"/>
      <c r="BH172" s="235"/>
      <c r="BI172" s="235"/>
      <c r="BJ172" s="235"/>
      <c r="BK172" s="235"/>
      <c r="BL172" s="235"/>
      <c r="BM172" s="235"/>
      <c r="BN172" s="235"/>
      <c r="BO172" s="235"/>
      <c r="BP172" s="235"/>
      <c r="BQ172" s="235"/>
    </row>
    <row r="173" spans="1:69" s="780" customFormat="1" ht="15.75" customHeight="1">
      <c r="A173" s="62">
        <f t="shared" ref="A173:A236" si="141">WEEKNUM(B173)</f>
        <v>23</v>
      </c>
      <c r="B173" s="63">
        <f t="shared" si="140"/>
        <v>46538</v>
      </c>
      <c r="C173" s="63">
        <f t="shared" ref="C173:C236" si="142">+B173+6</f>
        <v>46544</v>
      </c>
      <c r="D173" s="239">
        <f t="shared" ref="D173:D236" ca="1" si="143">SUMIFS(TOTAL,FECHA_RETIRO_VALORES,"&gt;="&amp;B173,FECHA_RETIRO_VALORES,"&lt;="&amp;C173)</f>
        <v>0</v>
      </c>
      <c r="E173" s="239">
        <f t="shared" ref="E173:E236" ca="1" si="144">SUMIFS(VALORES_COBRADOS,FECHA_RETIRO_VALORES,"&gt;="&amp;B173,FECHA_RETIRO_VALORES,"&lt;="&amp;C173)+SUMIFS(VALORES_EN_CARTERA,FECHA_RETIRO_VALORES,"&gt;="&amp;B173,FECHA_RETIRO_VALORES,"&lt;="&amp;C173)</f>
        <v>0</v>
      </c>
      <c r="F173" s="239">
        <f t="shared" ref="F173:F236" ca="1" si="145">SUMIFS(PENDIENTE_DE_ENTREGA,FECHA_RETIRO_VALORES,"&gt;="&amp;B173,FECHA_RETIRO_VALORES,"&lt;="&amp;C173,ESTADO_ENTREGA,"PENDIENTE")</f>
        <v>0</v>
      </c>
      <c r="G173" s="261">
        <f t="shared" ref="G173:G236" ca="1" si="146">SUMIFS(PENDIENTE_DE_COBRO,FECHA_RETIRO_VALORES,"&gt;="&amp;B173,FECHA_RETIRO_VALORES,"&lt;="&amp;C173,ESTADO_ENTREGA,"ENTREGADO")</f>
        <v>0</v>
      </c>
      <c r="I173" s="237"/>
      <c r="AV173" s="235"/>
      <c r="AW173" s="235"/>
      <c r="AX173" s="235"/>
      <c r="AY173" s="235"/>
      <c r="AZ173" s="235"/>
      <c r="BA173" s="235"/>
      <c r="BB173" s="235"/>
      <c r="BC173" s="235"/>
      <c r="BD173" s="235"/>
      <c r="BE173" s="235"/>
      <c r="BF173" s="235"/>
      <c r="BG173" s="235"/>
      <c r="BH173" s="235"/>
      <c r="BI173" s="235"/>
      <c r="BJ173" s="235"/>
      <c r="BK173" s="235"/>
      <c r="BL173" s="235"/>
      <c r="BM173" s="235"/>
      <c r="BN173" s="235"/>
      <c r="BO173" s="235"/>
      <c r="BP173" s="235"/>
      <c r="BQ173" s="235"/>
    </row>
    <row r="174" spans="1:69" s="780" customFormat="1" ht="15.75" customHeight="1">
      <c r="A174" s="62">
        <f t="shared" si="141"/>
        <v>24</v>
      </c>
      <c r="B174" s="63">
        <f t="shared" si="140"/>
        <v>46545</v>
      </c>
      <c r="C174" s="63">
        <f t="shared" si="142"/>
        <v>46551</v>
      </c>
      <c r="D174" s="239">
        <f t="shared" ca="1" si="143"/>
        <v>0</v>
      </c>
      <c r="E174" s="239">
        <f t="shared" ca="1" si="144"/>
        <v>0</v>
      </c>
      <c r="F174" s="239">
        <f t="shared" ca="1" si="145"/>
        <v>0</v>
      </c>
      <c r="G174" s="261">
        <f t="shared" ca="1" si="146"/>
        <v>0</v>
      </c>
      <c r="I174" s="237"/>
      <c r="AV174" s="235"/>
      <c r="AW174" s="235"/>
      <c r="AX174" s="235"/>
      <c r="AY174" s="235"/>
      <c r="AZ174" s="235"/>
      <c r="BA174" s="235"/>
      <c r="BB174" s="235"/>
      <c r="BC174" s="235"/>
      <c r="BD174" s="235"/>
      <c r="BE174" s="235"/>
      <c r="BF174" s="235"/>
      <c r="BG174" s="235"/>
      <c r="BH174" s="235"/>
      <c r="BI174" s="235"/>
      <c r="BJ174" s="235"/>
      <c r="BK174" s="235"/>
      <c r="BL174" s="235"/>
      <c r="BM174" s="235"/>
      <c r="BN174" s="235"/>
      <c r="BO174" s="235"/>
      <c r="BP174" s="235"/>
      <c r="BQ174" s="235"/>
    </row>
    <row r="175" spans="1:69" s="780" customFormat="1" ht="15.75" customHeight="1">
      <c r="A175" s="62">
        <f t="shared" si="141"/>
        <v>25</v>
      </c>
      <c r="B175" s="63">
        <f t="shared" si="140"/>
        <v>46552</v>
      </c>
      <c r="C175" s="63">
        <f t="shared" si="142"/>
        <v>46558</v>
      </c>
      <c r="D175" s="239">
        <f t="shared" ca="1" si="143"/>
        <v>0</v>
      </c>
      <c r="E175" s="239">
        <f t="shared" ca="1" si="144"/>
        <v>0</v>
      </c>
      <c r="F175" s="239">
        <f t="shared" ca="1" si="145"/>
        <v>0</v>
      </c>
      <c r="G175" s="261">
        <f t="shared" ca="1" si="146"/>
        <v>0</v>
      </c>
      <c r="I175" s="237"/>
      <c r="AV175" s="235"/>
      <c r="AW175" s="235"/>
      <c r="AX175" s="235"/>
      <c r="AY175" s="235"/>
      <c r="AZ175" s="235"/>
      <c r="BA175" s="235"/>
      <c r="BB175" s="235"/>
      <c r="BC175" s="235"/>
      <c r="BD175" s="235"/>
      <c r="BE175" s="235"/>
      <c r="BF175" s="235"/>
      <c r="BG175" s="235"/>
      <c r="BH175" s="235"/>
      <c r="BI175" s="235"/>
      <c r="BJ175" s="235"/>
      <c r="BK175" s="235"/>
      <c r="BL175" s="235"/>
      <c r="BM175" s="235"/>
      <c r="BN175" s="235"/>
      <c r="BO175" s="235"/>
      <c r="BP175" s="235"/>
      <c r="BQ175" s="235"/>
    </row>
    <row r="176" spans="1:69" s="780" customFormat="1" ht="15.75" customHeight="1">
      <c r="A176" s="62">
        <f t="shared" si="141"/>
        <v>26</v>
      </c>
      <c r="B176" s="63">
        <f t="shared" si="140"/>
        <v>46559</v>
      </c>
      <c r="C176" s="63">
        <f t="shared" si="142"/>
        <v>46565</v>
      </c>
      <c r="D176" s="239">
        <f t="shared" ca="1" si="143"/>
        <v>0</v>
      </c>
      <c r="E176" s="239">
        <f t="shared" ca="1" si="144"/>
        <v>0</v>
      </c>
      <c r="F176" s="239">
        <f t="shared" ca="1" si="145"/>
        <v>0</v>
      </c>
      <c r="G176" s="261">
        <f t="shared" ca="1" si="146"/>
        <v>0</v>
      </c>
      <c r="I176" s="237"/>
      <c r="AV176" s="235"/>
      <c r="AW176" s="235"/>
      <c r="AX176" s="235"/>
      <c r="AY176" s="235"/>
      <c r="AZ176" s="235"/>
      <c r="BA176" s="235"/>
      <c r="BB176" s="235"/>
      <c r="BC176" s="235"/>
      <c r="BD176" s="235"/>
      <c r="BE176" s="235"/>
      <c r="BF176" s="235"/>
      <c r="BG176" s="235"/>
      <c r="BH176" s="235"/>
      <c r="BI176" s="235"/>
      <c r="BJ176" s="235"/>
      <c r="BK176" s="235"/>
      <c r="BL176" s="235"/>
      <c r="BM176" s="235"/>
      <c r="BN176" s="235"/>
      <c r="BO176" s="235"/>
      <c r="BP176" s="235"/>
      <c r="BQ176" s="235"/>
    </row>
    <row r="177" spans="1:69" s="780" customFormat="1" ht="15.75" customHeight="1">
      <c r="A177" s="62">
        <f t="shared" si="141"/>
        <v>27</v>
      </c>
      <c r="B177" s="63">
        <f t="shared" si="140"/>
        <v>46566</v>
      </c>
      <c r="C177" s="63">
        <f t="shared" si="142"/>
        <v>46572</v>
      </c>
      <c r="D177" s="239">
        <f t="shared" ca="1" si="143"/>
        <v>0</v>
      </c>
      <c r="E177" s="239">
        <f t="shared" ca="1" si="144"/>
        <v>0</v>
      </c>
      <c r="F177" s="239">
        <f t="shared" ca="1" si="145"/>
        <v>0</v>
      </c>
      <c r="G177" s="261">
        <f t="shared" ca="1" si="146"/>
        <v>0</v>
      </c>
      <c r="I177" s="237"/>
      <c r="AV177" s="235"/>
      <c r="AW177" s="235"/>
      <c r="AX177" s="235"/>
      <c r="AY177" s="235"/>
      <c r="AZ177" s="235"/>
      <c r="BA177" s="235"/>
      <c r="BB177" s="235"/>
      <c r="BC177" s="235"/>
      <c r="BD177" s="235"/>
      <c r="BE177" s="235"/>
      <c r="BF177" s="235"/>
      <c r="BG177" s="235"/>
      <c r="BH177" s="235"/>
      <c r="BI177" s="235"/>
      <c r="BJ177" s="235"/>
      <c r="BK177" s="235"/>
      <c r="BL177" s="235"/>
      <c r="BM177" s="235"/>
      <c r="BN177" s="235"/>
      <c r="BO177" s="235"/>
      <c r="BP177" s="235"/>
      <c r="BQ177" s="235"/>
    </row>
    <row r="178" spans="1:69" s="780" customFormat="1" ht="15.75" customHeight="1">
      <c r="A178" s="62">
        <f t="shared" si="141"/>
        <v>28</v>
      </c>
      <c r="B178" s="63">
        <f t="shared" si="140"/>
        <v>46573</v>
      </c>
      <c r="C178" s="63">
        <f t="shared" si="142"/>
        <v>46579</v>
      </c>
      <c r="D178" s="239">
        <f t="shared" ca="1" si="143"/>
        <v>0</v>
      </c>
      <c r="E178" s="239">
        <f t="shared" ca="1" si="144"/>
        <v>0</v>
      </c>
      <c r="F178" s="239">
        <f t="shared" ca="1" si="145"/>
        <v>0</v>
      </c>
      <c r="G178" s="261">
        <f t="shared" ca="1" si="146"/>
        <v>0</v>
      </c>
      <c r="I178" s="237"/>
      <c r="AV178" s="235"/>
      <c r="AW178" s="235"/>
      <c r="AX178" s="235"/>
      <c r="AY178" s="235"/>
      <c r="AZ178" s="235"/>
      <c r="BA178" s="235"/>
      <c r="BB178" s="235"/>
      <c r="BC178" s="235"/>
      <c r="BD178" s="235"/>
      <c r="BE178" s="235"/>
      <c r="BF178" s="235"/>
      <c r="BG178" s="235"/>
      <c r="BH178" s="235"/>
      <c r="BI178" s="235"/>
      <c r="BJ178" s="235"/>
      <c r="BK178" s="235"/>
      <c r="BL178" s="235"/>
      <c r="BM178" s="235"/>
      <c r="BN178" s="235"/>
      <c r="BO178" s="235"/>
      <c r="BP178" s="235"/>
      <c r="BQ178" s="235"/>
    </row>
    <row r="179" spans="1:69" s="780" customFormat="1" ht="15.75" customHeight="1">
      <c r="A179" s="62">
        <f t="shared" si="141"/>
        <v>29</v>
      </c>
      <c r="B179" s="63">
        <f t="shared" si="140"/>
        <v>46580</v>
      </c>
      <c r="C179" s="63">
        <f t="shared" si="142"/>
        <v>46586</v>
      </c>
      <c r="D179" s="239">
        <f t="shared" ca="1" si="143"/>
        <v>0</v>
      </c>
      <c r="E179" s="239">
        <f t="shared" ca="1" si="144"/>
        <v>0</v>
      </c>
      <c r="F179" s="239">
        <f t="shared" ca="1" si="145"/>
        <v>0</v>
      </c>
      <c r="G179" s="261">
        <f t="shared" ca="1" si="146"/>
        <v>0</v>
      </c>
      <c r="I179" s="237"/>
      <c r="AV179" s="235"/>
      <c r="AW179" s="235"/>
      <c r="AX179" s="235"/>
      <c r="AY179" s="235"/>
      <c r="AZ179" s="235"/>
      <c r="BA179" s="235"/>
      <c r="BB179" s="235"/>
      <c r="BC179" s="235"/>
      <c r="BD179" s="235"/>
      <c r="BE179" s="235"/>
      <c r="BF179" s="235"/>
      <c r="BG179" s="235"/>
      <c r="BH179" s="235"/>
      <c r="BI179" s="235"/>
      <c r="BJ179" s="235"/>
      <c r="BK179" s="235"/>
      <c r="BL179" s="235"/>
      <c r="BM179" s="235"/>
      <c r="BN179" s="235"/>
      <c r="BO179" s="235"/>
      <c r="BP179" s="235"/>
      <c r="BQ179" s="235"/>
    </row>
    <row r="180" spans="1:69" s="780" customFormat="1" ht="15.75" customHeight="1">
      <c r="A180" s="62">
        <f t="shared" si="141"/>
        <v>30</v>
      </c>
      <c r="B180" s="63">
        <f t="shared" si="140"/>
        <v>46587</v>
      </c>
      <c r="C180" s="63">
        <f t="shared" si="142"/>
        <v>46593</v>
      </c>
      <c r="D180" s="239">
        <f t="shared" ca="1" si="143"/>
        <v>0</v>
      </c>
      <c r="E180" s="239">
        <f t="shared" ca="1" si="144"/>
        <v>0</v>
      </c>
      <c r="F180" s="239">
        <f t="shared" ca="1" si="145"/>
        <v>0</v>
      </c>
      <c r="G180" s="261">
        <f t="shared" ca="1" si="146"/>
        <v>0</v>
      </c>
      <c r="I180" s="237"/>
      <c r="AV180" s="235"/>
      <c r="AW180" s="235"/>
      <c r="AX180" s="235"/>
      <c r="AY180" s="235"/>
      <c r="AZ180" s="235"/>
      <c r="BA180" s="235"/>
      <c r="BB180" s="235"/>
      <c r="BC180" s="235"/>
      <c r="BD180" s="235"/>
      <c r="BE180" s="235"/>
      <c r="BF180" s="235"/>
      <c r="BG180" s="235"/>
      <c r="BH180" s="235"/>
      <c r="BI180" s="235"/>
      <c r="BJ180" s="235"/>
      <c r="BK180" s="235"/>
      <c r="BL180" s="235"/>
      <c r="BM180" s="235"/>
      <c r="BN180" s="235"/>
      <c r="BO180" s="235"/>
      <c r="BP180" s="235"/>
      <c r="BQ180" s="235"/>
    </row>
    <row r="181" spans="1:69" s="780" customFormat="1" ht="15.75" customHeight="1">
      <c r="A181" s="62">
        <f t="shared" si="141"/>
        <v>31</v>
      </c>
      <c r="B181" s="63">
        <f t="shared" si="140"/>
        <v>46594</v>
      </c>
      <c r="C181" s="63">
        <f t="shared" si="142"/>
        <v>46600</v>
      </c>
      <c r="D181" s="239">
        <f t="shared" ca="1" si="143"/>
        <v>0</v>
      </c>
      <c r="E181" s="239">
        <f t="shared" ca="1" si="144"/>
        <v>0</v>
      </c>
      <c r="F181" s="239">
        <f t="shared" ca="1" si="145"/>
        <v>0</v>
      </c>
      <c r="G181" s="261">
        <f t="shared" ca="1" si="146"/>
        <v>0</v>
      </c>
      <c r="I181" s="237"/>
      <c r="AV181" s="235"/>
      <c r="AW181" s="235"/>
      <c r="AX181" s="235"/>
      <c r="AY181" s="235"/>
      <c r="AZ181" s="235"/>
      <c r="BA181" s="235"/>
      <c r="BB181" s="235"/>
      <c r="BC181" s="235"/>
      <c r="BD181" s="235"/>
      <c r="BE181" s="235"/>
      <c r="BF181" s="235"/>
      <c r="BG181" s="235"/>
      <c r="BH181" s="235"/>
      <c r="BI181" s="235"/>
      <c r="BJ181" s="235"/>
      <c r="BK181" s="235"/>
      <c r="BL181" s="235"/>
      <c r="BM181" s="235"/>
      <c r="BN181" s="235"/>
      <c r="BO181" s="235"/>
      <c r="BP181" s="235"/>
      <c r="BQ181" s="235"/>
    </row>
    <row r="182" spans="1:69" s="780" customFormat="1" ht="15.75" customHeight="1">
      <c r="A182" s="62">
        <f t="shared" si="141"/>
        <v>32</v>
      </c>
      <c r="B182" s="63">
        <f t="shared" si="140"/>
        <v>46601</v>
      </c>
      <c r="C182" s="63">
        <f t="shared" si="142"/>
        <v>46607</v>
      </c>
      <c r="D182" s="239">
        <f t="shared" ca="1" si="143"/>
        <v>0</v>
      </c>
      <c r="E182" s="239">
        <f t="shared" ca="1" si="144"/>
        <v>0</v>
      </c>
      <c r="F182" s="239">
        <f t="shared" ca="1" si="145"/>
        <v>0</v>
      </c>
      <c r="G182" s="261">
        <f t="shared" ca="1" si="146"/>
        <v>0</v>
      </c>
      <c r="I182" s="237"/>
      <c r="AV182" s="235"/>
      <c r="AW182" s="235"/>
      <c r="AX182" s="235"/>
      <c r="AY182" s="235"/>
      <c r="AZ182" s="235"/>
      <c r="BA182" s="235"/>
      <c r="BB182" s="235"/>
      <c r="BC182" s="235"/>
      <c r="BD182" s="235"/>
      <c r="BE182" s="235"/>
      <c r="BF182" s="235"/>
      <c r="BG182" s="235"/>
      <c r="BH182" s="235"/>
      <c r="BI182" s="235"/>
      <c r="BJ182" s="235"/>
      <c r="BK182" s="235"/>
      <c r="BL182" s="235"/>
      <c r="BM182" s="235"/>
      <c r="BN182" s="235"/>
      <c r="BO182" s="235"/>
      <c r="BP182" s="235"/>
      <c r="BQ182" s="235"/>
    </row>
    <row r="183" spans="1:69" s="780" customFormat="1" ht="15.75" customHeight="1">
      <c r="A183" s="62">
        <f t="shared" si="141"/>
        <v>33</v>
      </c>
      <c r="B183" s="63">
        <f t="shared" si="140"/>
        <v>46608</v>
      </c>
      <c r="C183" s="63">
        <f t="shared" si="142"/>
        <v>46614</v>
      </c>
      <c r="D183" s="239">
        <f t="shared" ca="1" si="143"/>
        <v>0</v>
      </c>
      <c r="E183" s="239">
        <f t="shared" ca="1" si="144"/>
        <v>0</v>
      </c>
      <c r="F183" s="239">
        <f t="shared" ca="1" si="145"/>
        <v>0</v>
      </c>
      <c r="G183" s="261">
        <f t="shared" ca="1" si="146"/>
        <v>0</v>
      </c>
      <c r="I183" s="237"/>
      <c r="AV183" s="235"/>
      <c r="AW183" s="235"/>
      <c r="AX183" s="235"/>
      <c r="AY183" s="235"/>
      <c r="AZ183" s="235"/>
      <c r="BA183" s="235"/>
      <c r="BB183" s="235"/>
      <c r="BC183" s="235"/>
      <c r="BD183" s="235"/>
      <c r="BE183" s="235"/>
      <c r="BF183" s="235"/>
      <c r="BG183" s="235"/>
      <c r="BH183" s="235"/>
      <c r="BI183" s="235"/>
      <c r="BJ183" s="235"/>
      <c r="BK183" s="235"/>
      <c r="BL183" s="235"/>
      <c r="BM183" s="235"/>
      <c r="BN183" s="235"/>
      <c r="BO183" s="235"/>
      <c r="BP183" s="235"/>
      <c r="BQ183" s="235"/>
    </row>
    <row r="184" spans="1:69" s="780" customFormat="1" ht="15.75" customHeight="1">
      <c r="A184" s="62">
        <f t="shared" si="141"/>
        <v>34</v>
      </c>
      <c r="B184" s="63">
        <f t="shared" si="140"/>
        <v>46615</v>
      </c>
      <c r="C184" s="63">
        <f t="shared" si="142"/>
        <v>46621</v>
      </c>
      <c r="D184" s="239">
        <f t="shared" ca="1" si="143"/>
        <v>0</v>
      </c>
      <c r="E184" s="239">
        <f t="shared" ca="1" si="144"/>
        <v>0</v>
      </c>
      <c r="F184" s="239">
        <f t="shared" ca="1" si="145"/>
        <v>0</v>
      </c>
      <c r="G184" s="261">
        <f t="shared" ca="1" si="146"/>
        <v>0</v>
      </c>
      <c r="I184" s="237"/>
      <c r="AV184" s="235"/>
      <c r="AW184" s="235"/>
      <c r="AX184" s="235"/>
      <c r="AY184" s="235"/>
      <c r="AZ184" s="235"/>
      <c r="BA184" s="235"/>
      <c r="BB184" s="235"/>
      <c r="BC184" s="235"/>
      <c r="BD184" s="235"/>
      <c r="BE184" s="235"/>
      <c r="BF184" s="235"/>
      <c r="BG184" s="235"/>
      <c r="BH184" s="235"/>
      <c r="BI184" s="235"/>
      <c r="BJ184" s="235"/>
      <c r="BK184" s="235"/>
      <c r="BL184" s="235"/>
      <c r="BM184" s="235"/>
      <c r="BN184" s="235"/>
      <c r="BO184" s="235"/>
      <c r="BP184" s="235"/>
      <c r="BQ184" s="235"/>
    </row>
    <row r="185" spans="1:69" s="780" customFormat="1" ht="15.75" customHeight="1">
      <c r="A185" s="62">
        <f t="shared" si="141"/>
        <v>35</v>
      </c>
      <c r="B185" s="63">
        <f t="shared" si="140"/>
        <v>46622</v>
      </c>
      <c r="C185" s="63">
        <f t="shared" si="142"/>
        <v>46628</v>
      </c>
      <c r="D185" s="239">
        <f t="shared" ca="1" si="143"/>
        <v>0</v>
      </c>
      <c r="E185" s="239">
        <f t="shared" ca="1" si="144"/>
        <v>0</v>
      </c>
      <c r="F185" s="239">
        <f t="shared" ca="1" si="145"/>
        <v>0</v>
      </c>
      <c r="G185" s="261">
        <f t="shared" ca="1" si="146"/>
        <v>0</v>
      </c>
      <c r="I185" s="237"/>
      <c r="AV185" s="235"/>
      <c r="AW185" s="235"/>
      <c r="AX185" s="235"/>
      <c r="AY185" s="235"/>
      <c r="AZ185" s="235"/>
      <c r="BA185" s="235"/>
      <c r="BB185" s="235"/>
      <c r="BC185" s="235"/>
      <c r="BD185" s="235"/>
      <c r="BE185" s="235"/>
      <c r="BF185" s="235"/>
      <c r="BG185" s="235"/>
      <c r="BH185" s="235"/>
      <c r="BI185" s="235"/>
      <c r="BJ185" s="235"/>
      <c r="BK185" s="235"/>
      <c r="BL185" s="235"/>
      <c r="BM185" s="235"/>
      <c r="BN185" s="235"/>
      <c r="BO185" s="235"/>
      <c r="BP185" s="235"/>
      <c r="BQ185" s="235"/>
    </row>
    <row r="186" spans="1:69" s="780" customFormat="1" ht="15.75" customHeight="1">
      <c r="A186" s="62">
        <f t="shared" si="141"/>
        <v>36</v>
      </c>
      <c r="B186" s="63">
        <f t="shared" si="140"/>
        <v>46629</v>
      </c>
      <c r="C186" s="63">
        <f t="shared" si="142"/>
        <v>46635</v>
      </c>
      <c r="D186" s="239">
        <f t="shared" ca="1" si="143"/>
        <v>0</v>
      </c>
      <c r="E186" s="239">
        <f t="shared" ca="1" si="144"/>
        <v>0</v>
      </c>
      <c r="F186" s="239">
        <f t="shared" ca="1" si="145"/>
        <v>0</v>
      </c>
      <c r="G186" s="261">
        <f t="shared" ca="1" si="146"/>
        <v>0</v>
      </c>
      <c r="I186" s="237"/>
      <c r="AV186" s="235"/>
      <c r="AW186" s="235"/>
      <c r="AX186" s="235"/>
      <c r="AY186" s="235"/>
      <c r="AZ186" s="235"/>
      <c r="BA186" s="235"/>
      <c r="BB186" s="235"/>
      <c r="BC186" s="235"/>
      <c r="BD186" s="235"/>
      <c r="BE186" s="235"/>
      <c r="BF186" s="235"/>
      <c r="BG186" s="235"/>
      <c r="BH186" s="235"/>
      <c r="BI186" s="235"/>
      <c r="BJ186" s="235"/>
      <c r="BK186" s="235"/>
      <c r="BL186" s="235"/>
      <c r="BM186" s="235"/>
      <c r="BN186" s="235"/>
      <c r="BO186" s="235"/>
      <c r="BP186" s="235"/>
      <c r="BQ186" s="235"/>
    </row>
    <row r="187" spans="1:69" s="780" customFormat="1" ht="15.75" customHeight="1">
      <c r="A187" s="62">
        <f t="shared" si="141"/>
        <v>37</v>
      </c>
      <c r="B187" s="63">
        <f t="shared" si="140"/>
        <v>46636</v>
      </c>
      <c r="C187" s="63">
        <f t="shared" si="142"/>
        <v>46642</v>
      </c>
      <c r="D187" s="239">
        <f t="shared" ca="1" si="143"/>
        <v>0</v>
      </c>
      <c r="E187" s="239">
        <f t="shared" ca="1" si="144"/>
        <v>0</v>
      </c>
      <c r="F187" s="239">
        <f t="shared" ca="1" si="145"/>
        <v>0</v>
      </c>
      <c r="G187" s="261">
        <f t="shared" ca="1" si="146"/>
        <v>0</v>
      </c>
      <c r="I187" s="237"/>
      <c r="AV187" s="235"/>
      <c r="AW187" s="235"/>
      <c r="AX187" s="235"/>
      <c r="AY187" s="235"/>
      <c r="AZ187" s="235"/>
      <c r="BA187" s="235"/>
      <c r="BB187" s="235"/>
      <c r="BC187" s="235"/>
      <c r="BD187" s="235"/>
      <c r="BE187" s="235"/>
      <c r="BF187" s="235"/>
      <c r="BG187" s="235"/>
      <c r="BH187" s="235"/>
      <c r="BI187" s="235"/>
      <c r="BJ187" s="235"/>
      <c r="BK187" s="235"/>
      <c r="BL187" s="235"/>
      <c r="BM187" s="235"/>
      <c r="BN187" s="235"/>
      <c r="BO187" s="235"/>
      <c r="BP187" s="235"/>
      <c r="BQ187" s="235"/>
    </row>
    <row r="188" spans="1:69" s="780" customFormat="1" ht="15.75" customHeight="1">
      <c r="A188" s="62">
        <f t="shared" si="141"/>
        <v>38</v>
      </c>
      <c r="B188" s="63">
        <f t="shared" si="140"/>
        <v>46643</v>
      </c>
      <c r="C188" s="63">
        <f t="shared" si="142"/>
        <v>46649</v>
      </c>
      <c r="D188" s="239">
        <f t="shared" ca="1" si="143"/>
        <v>0</v>
      </c>
      <c r="E188" s="239">
        <f t="shared" ca="1" si="144"/>
        <v>0</v>
      </c>
      <c r="F188" s="239">
        <f t="shared" ca="1" si="145"/>
        <v>0</v>
      </c>
      <c r="G188" s="261">
        <f t="shared" ca="1" si="146"/>
        <v>0</v>
      </c>
      <c r="I188" s="237"/>
      <c r="AV188" s="235"/>
      <c r="AW188" s="235"/>
      <c r="AX188" s="235"/>
      <c r="AY188" s="235"/>
      <c r="AZ188" s="235"/>
      <c r="BA188" s="235"/>
      <c r="BB188" s="235"/>
      <c r="BC188" s="235"/>
      <c r="BD188" s="235"/>
      <c r="BE188" s="235"/>
      <c r="BF188" s="235"/>
      <c r="BG188" s="235"/>
      <c r="BH188" s="235"/>
      <c r="BI188" s="235"/>
      <c r="BJ188" s="235"/>
      <c r="BK188" s="235"/>
      <c r="BL188" s="235"/>
      <c r="BM188" s="235"/>
      <c r="BN188" s="235"/>
      <c r="BO188" s="235"/>
      <c r="BP188" s="235"/>
      <c r="BQ188" s="235"/>
    </row>
    <row r="189" spans="1:69" s="780" customFormat="1" ht="15.75" customHeight="1">
      <c r="A189" s="62">
        <f t="shared" si="141"/>
        <v>39</v>
      </c>
      <c r="B189" s="63">
        <f t="shared" si="140"/>
        <v>46650</v>
      </c>
      <c r="C189" s="63">
        <f t="shared" si="142"/>
        <v>46656</v>
      </c>
      <c r="D189" s="239">
        <f t="shared" ca="1" si="143"/>
        <v>0</v>
      </c>
      <c r="E189" s="239">
        <f t="shared" ca="1" si="144"/>
        <v>0</v>
      </c>
      <c r="F189" s="239">
        <f t="shared" ca="1" si="145"/>
        <v>0</v>
      </c>
      <c r="G189" s="261">
        <f t="shared" ca="1" si="146"/>
        <v>0</v>
      </c>
      <c r="I189" s="237"/>
      <c r="AV189" s="235"/>
      <c r="AW189" s="235"/>
      <c r="AX189" s="235"/>
      <c r="AY189" s="235"/>
      <c r="AZ189" s="235"/>
      <c r="BA189" s="235"/>
      <c r="BB189" s="235"/>
      <c r="BC189" s="235"/>
      <c r="BD189" s="235"/>
      <c r="BE189" s="235"/>
      <c r="BF189" s="235"/>
      <c r="BG189" s="235"/>
      <c r="BH189" s="235"/>
      <c r="BI189" s="235"/>
      <c r="BJ189" s="235"/>
      <c r="BK189" s="235"/>
      <c r="BL189" s="235"/>
      <c r="BM189" s="235"/>
      <c r="BN189" s="235"/>
      <c r="BO189" s="235"/>
      <c r="BP189" s="235"/>
      <c r="BQ189" s="235"/>
    </row>
    <row r="190" spans="1:69" s="780" customFormat="1" ht="15.75" customHeight="1">
      <c r="A190" s="62">
        <f t="shared" si="141"/>
        <v>40</v>
      </c>
      <c r="B190" s="63">
        <f t="shared" si="140"/>
        <v>46657</v>
      </c>
      <c r="C190" s="63">
        <f t="shared" si="142"/>
        <v>46663</v>
      </c>
      <c r="D190" s="239">
        <f t="shared" ca="1" si="143"/>
        <v>0</v>
      </c>
      <c r="E190" s="239">
        <f t="shared" ca="1" si="144"/>
        <v>0</v>
      </c>
      <c r="F190" s="239">
        <f t="shared" ca="1" si="145"/>
        <v>0</v>
      </c>
      <c r="G190" s="261">
        <f t="shared" ca="1" si="146"/>
        <v>0</v>
      </c>
      <c r="I190" s="237"/>
      <c r="AV190" s="235"/>
      <c r="AW190" s="235"/>
      <c r="AX190" s="235"/>
      <c r="AY190" s="235"/>
      <c r="AZ190" s="235"/>
      <c r="BA190" s="235"/>
      <c r="BB190" s="235"/>
      <c r="BC190" s="235"/>
      <c r="BD190" s="235"/>
      <c r="BE190" s="235"/>
      <c r="BF190" s="235"/>
      <c r="BG190" s="235"/>
      <c r="BH190" s="235"/>
      <c r="BI190" s="235"/>
      <c r="BJ190" s="235"/>
      <c r="BK190" s="235"/>
      <c r="BL190" s="235"/>
      <c r="BM190" s="235"/>
      <c r="BN190" s="235"/>
      <c r="BO190" s="235"/>
      <c r="BP190" s="235"/>
      <c r="BQ190" s="235"/>
    </row>
    <row r="191" spans="1:69" s="780" customFormat="1" ht="15.75" customHeight="1">
      <c r="A191" s="62">
        <f t="shared" si="141"/>
        <v>41</v>
      </c>
      <c r="B191" s="63">
        <f t="shared" si="140"/>
        <v>46664</v>
      </c>
      <c r="C191" s="63">
        <f t="shared" si="142"/>
        <v>46670</v>
      </c>
      <c r="D191" s="239">
        <f t="shared" ca="1" si="143"/>
        <v>0</v>
      </c>
      <c r="E191" s="239">
        <f t="shared" ca="1" si="144"/>
        <v>0</v>
      </c>
      <c r="F191" s="239">
        <f t="shared" ca="1" si="145"/>
        <v>0</v>
      </c>
      <c r="G191" s="261">
        <f t="shared" ca="1" si="146"/>
        <v>0</v>
      </c>
      <c r="I191" s="237"/>
      <c r="AV191" s="235"/>
      <c r="AW191" s="235"/>
      <c r="AX191" s="235"/>
      <c r="AY191" s="235"/>
      <c r="AZ191" s="235"/>
      <c r="BA191" s="235"/>
      <c r="BB191" s="235"/>
      <c r="BC191" s="235"/>
      <c r="BD191" s="235"/>
      <c r="BE191" s="235"/>
      <c r="BF191" s="235"/>
      <c r="BG191" s="235"/>
      <c r="BH191" s="235"/>
      <c r="BI191" s="235"/>
      <c r="BJ191" s="235"/>
      <c r="BK191" s="235"/>
      <c r="BL191" s="235"/>
      <c r="BM191" s="235"/>
      <c r="BN191" s="235"/>
      <c r="BO191" s="235"/>
      <c r="BP191" s="235"/>
      <c r="BQ191" s="235"/>
    </row>
    <row r="192" spans="1:69" s="780" customFormat="1" ht="15.75" customHeight="1">
      <c r="A192" s="62">
        <f t="shared" si="141"/>
        <v>42</v>
      </c>
      <c r="B192" s="63">
        <f t="shared" si="140"/>
        <v>46671</v>
      </c>
      <c r="C192" s="63">
        <f t="shared" si="142"/>
        <v>46677</v>
      </c>
      <c r="D192" s="239">
        <f t="shared" ca="1" si="143"/>
        <v>0</v>
      </c>
      <c r="E192" s="239">
        <f t="shared" ca="1" si="144"/>
        <v>0</v>
      </c>
      <c r="F192" s="239">
        <f t="shared" ca="1" si="145"/>
        <v>0</v>
      </c>
      <c r="G192" s="261">
        <f t="shared" ca="1" si="146"/>
        <v>0</v>
      </c>
      <c r="I192" s="237"/>
      <c r="AV192" s="235"/>
      <c r="AW192" s="235"/>
      <c r="AX192" s="235"/>
      <c r="AY192" s="235"/>
      <c r="AZ192" s="235"/>
      <c r="BA192" s="235"/>
      <c r="BB192" s="235"/>
      <c r="BC192" s="235"/>
      <c r="BD192" s="235"/>
      <c r="BE192" s="235"/>
      <c r="BF192" s="235"/>
      <c r="BG192" s="235"/>
      <c r="BH192" s="235"/>
      <c r="BI192" s="235"/>
      <c r="BJ192" s="235"/>
      <c r="BK192" s="235"/>
      <c r="BL192" s="235"/>
      <c r="BM192" s="235"/>
      <c r="BN192" s="235"/>
      <c r="BO192" s="235"/>
      <c r="BP192" s="235"/>
      <c r="BQ192" s="235"/>
    </row>
    <row r="193" spans="1:69" s="780" customFormat="1" ht="15.75" customHeight="1">
      <c r="A193" s="62">
        <f t="shared" si="141"/>
        <v>43</v>
      </c>
      <c r="B193" s="63">
        <f t="shared" si="140"/>
        <v>46678</v>
      </c>
      <c r="C193" s="63">
        <f t="shared" si="142"/>
        <v>46684</v>
      </c>
      <c r="D193" s="239">
        <f t="shared" ca="1" si="143"/>
        <v>0</v>
      </c>
      <c r="E193" s="239">
        <f t="shared" ca="1" si="144"/>
        <v>0</v>
      </c>
      <c r="F193" s="239">
        <f t="shared" ca="1" si="145"/>
        <v>0</v>
      </c>
      <c r="G193" s="261">
        <f t="shared" ca="1" si="146"/>
        <v>0</v>
      </c>
      <c r="I193" s="237"/>
      <c r="AV193" s="235"/>
      <c r="AW193" s="235"/>
      <c r="AX193" s="235"/>
      <c r="AY193" s="235"/>
      <c r="AZ193" s="235"/>
      <c r="BA193" s="235"/>
      <c r="BB193" s="235"/>
      <c r="BC193" s="235"/>
      <c r="BD193" s="235"/>
      <c r="BE193" s="235"/>
      <c r="BF193" s="235"/>
      <c r="BG193" s="235"/>
      <c r="BH193" s="235"/>
      <c r="BI193" s="235"/>
      <c r="BJ193" s="235"/>
      <c r="BK193" s="235"/>
      <c r="BL193" s="235"/>
      <c r="BM193" s="235"/>
      <c r="BN193" s="235"/>
      <c r="BO193" s="235"/>
      <c r="BP193" s="235"/>
      <c r="BQ193" s="235"/>
    </row>
    <row r="194" spans="1:69" s="780" customFormat="1" ht="15.75" customHeight="1">
      <c r="A194" s="62">
        <f t="shared" si="141"/>
        <v>44</v>
      </c>
      <c r="B194" s="63">
        <f t="shared" si="140"/>
        <v>46685</v>
      </c>
      <c r="C194" s="63">
        <f t="shared" si="142"/>
        <v>46691</v>
      </c>
      <c r="D194" s="239">
        <f t="shared" ca="1" si="143"/>
        <v>0</v>
      </c>
      <c r="E194" s="239">
        <f t="shared" ca="1" si="144"/>
        <v>0</v>
      </c>
      <c r="F194" s="239">
        <f t="shared" ca="1" si="145"/>
        <v>0</v>
      </c>
      <c r="G194" s="261">
        <f t="shared" ca="1" si="146"/>
        <v>0</v>
      </c>
      <c r="I194" s="237"/>
      <c r="AV194" s="235"/>
      <c r="AW194" s="235"/>
      <c r="AX194" s="235"/>
      <c r="AY194" s="235"/>
      <c r="AZ194" s="235"/>
      <c r="BA194" s="235"/>
      <c r="BB194" s="235"/>
      <c r="BC194" s="235"/>
      <c r="BD194" s="235"/>
      <c r="BE194" s="235"/>
      <c r="BF194" s="235"/>
      <c r="BG194" s="235"/>
      <c r="BH194" s="235"/>
      <c r="BI194" s="235"/>
      <c r="BJ194" s="235"/>
      <c r="BK194" s="235"/>
      <c r="BL194" s="235"/>
      <c r="BM194" s="235"/>
      <c r="BN194" s="235"/>
      <c r="BO194" s="235"/>
      <c r="BP194" s="235"/>
      <c r="BQ194" s="235"/>
    </row>
    <row r="195" spans="1:69" s="780" customFormat="1" ht="15.75" customHeight="1">
      <c r="A195" s="62">
        <f t="shared" si="141"/>
        <v>45</v>
      </c>
      <c r="B195" s="63">
        <f t="shared" si="140"/>
        <v>46692</v>
      </c>
      <c r="C195" s="63">
        <f t="shared" si="142"/>
        <v>46698</v>
      </c>
      <c r="D195" s="239">
        <f t="shared" ca="1" si="143"/>
        <v>0</v>
      </c>
      <c r="E195" s="239">
        <f t="shared" ca="1" si="144"/>
        <v>0</v>
      </c>
      <c r="F195" s="239">
        <f t="shared" ca="1" si="145"/>
        <v>0</v>
      </c>
      <c r="G195" s="261">
        <f t="shared" ca="1" si="146"/>
        <v>0</v>
      </c>
      <c r="I195" s="237"/>
      <c r="AV195" s="235"/>
      <c r="AW195" s="235"/>
      <c r="AX195" s="235"/>
      <c r="AY195" s="235"/>
      <c r="AZ195" s="235"/>
      <c r="BA195" s="235"/>
      <c r="BB195" s="235"/>
      <c r="BC195" s="235"/>
      <c r="BD195" s="235"/>
      <c r="BE195" s="235"/>
      <c r="BF195" s="235"/>
      <c r="BG195" s="235"/>
      <c r="BH195" s="235"/>
      <c r="BI195" s="235"/>
      <c r="BJ195" s="235"/>
      <c r="BK195" s="235"/>
      <c r="BL195" s="235"/>
      <c r="BM195" s="235"/>
      <c r="BN195" s="235"/>
      <c r="BO195" s="235"/>
      <c r="BP195" s="235"/>
      <c r="BQ195" s="235"/>
    </row>
    <row r="196" spans="1:69" s="780" customFormat="1" ht="15.75" customHeight="1">
      <c r="A196" s="62">
        <f t="shared" si="141"/>
        <v>46</v>
      </c>
      <c r="B196" s="63">
        <f t="shared" si="140"/>
        <v>46699</v>
      </c>
      <c r="C196" s="63">
        <f t="shared" si="142"/>
        <v>46705</v>
      </c>
      <c r="D196" s="239">
        <f t="shared" ca="1" si="143"/>
        <v>0</v>
      </c>
      <c r="E196" s="239">
        <f t="shared" ca="1" si="144"/>
        <v>0</v>
      </c>
      <c r="F196" s="239">
        <f t="shared" ca="1" si="145"/>
        <v>0</v>
      </c>
      <c r="G196" s="261">
        <f t="shared" ca="1" si="146"/>
        <v>0</v>
      </c>
      <c r="I196" s="237"/>
      <c r="AV196" s="235"/>
      <c r="AW196" s="235"/>
      <c r="AX196" s="235"/>
      <c r="AY196" s="235"/>
      <c r="AZ196" s="235"/>
      <c r="BA196" s="235"/>
      <c r="BB196" s="235"/>
      <c r="BC196" s="235"/>
      <c r="BD196" s="235"/>
      <c r="BE196" s="235"/>
      <c r="BF196" s="235"/>
      <c r="BG196" s="235"/>
      <c r="BH196" s="235"/>
      <c r="BI196" s="235"/>
      <c r="BJ196" s="235"/>
      <c r="BK196" s="235"/>
      <c r="BL196" s="235"/>
      <c r="BM196" s="235"/>
      <c r="BN196" s="235"/>
      <c r="BO196" s="235"/>
      <c r="BP196" s="235"/>
      <c r="BQ196" s="235"/>
    </row>
    <row r="197" spans="1:69" s="780" customFormat="1" ht="15.75" customHeight="1">
      <c r="A197" s="62">
        <f t="shared" si="141"/>
        <v>47</v>
      </c>
      <c r="B197" s="63">
        <f t="shared" si="140"/>
        <v>46706</v>
      </c>
      <c r="C197" s="63">
        <f t="shared" si="142"/>
        <v>46712</v>
      </c>
      <c r="D197" s="239">
        <f t="shared" ca="1" si="143"/>
        <v>0</v>
      </c>
      <c r="E197" s="239">
        <f t="shared" ca="1" si="144"/>
        <v>0</v>
      </c>
      <c r="F197" s="239">
        <f t="shared" ca="1" si="145"/>
        <v>0</v>
      </c>
      <c r="G197" s="261">
        <f t="shared" ca="1" si="146"/>
        <v>0</v>
      </c>
      <c r="I197" s="237"/>
      <c r="AV197" s="235"/>
      <c r="AW197" s="235"/>
      <c r="AX197" s="235"/>
      <c r="AY197" s="235"/>
      <c r="AZ197" s="235"/>
      <c r="BA197" s="235"/>
      <c r="BB197" s="235"/>
      <c r="BC197" s="235"/>
      <c r="BD197" s="235"/>
      <c r="BE197" s="235"/>
      <c r="BF197" s="235"/>
      <c r="BG197" s="235"/>
      <c r="BH197" s="235"/>
      <c r="BI197" s="235"/>
      <c r="BJ197" s="235"/>
      <c r="BK197" s="235"/>
      <c r="BL197" s="235"/>
      <c r="BM197" s="235"/>
      <c r="BN197" s="235"/>
      <c r="BO197" s="235"/>
      <c r="BP197" s="235"/>
      <c r="BQ197" s="235"/>
    </row>
    <row r="198" spans="1:69" s="780" customFormat="1" ht="15.75" customHeight="1">
      <c r="A198" s="62">
        <f t="shared" si="141"/>
        <v>48</v>
      </c>
      <c r="B198" s="63">
        <f t="shared" si="140"/>
        <v>46713</v>
      </c>
      <c r="C198" s="63">
        <f t="shared" si="142"/>
        <v>46719</v>
      </c>
      <c r="D198" s="239">
        <f t="shared" ca="1" si="143"/>
        <v>0</v>
      </c>
      <c r="E198" s="239">
        <f t="shared" ca="1" si="144"/>
        <v>0</v>
      </c>
      <c r="F198" s="239">
        <f t="shared" ca="1" si="145"/>
        <v>0</v>
      </c>
      <c r="G198" s="261">
        <f t="shared" ca="1" si="146"/>
        <v>0</v>
      </c>
      <c r="I198" s="237"/>
      <c r="AV198" s="235"/>
      <c r="AW198" s="235"/>
      <c r="AX198" s="235"/>
      <c r="AY198" s="235"/>
      <c r="AZ198" s="235"/>
      <c r="BA198" s="235"/>
      <c r="BB198" s="235"/>
      <c r="BC198" s="235"/>
      <c r="BD198" s="235"/>
      <c r="BE198" s="235"/>
      <c r="BF198" s="235"/>
      <c r="BG198" s="235"/>
      <c r="BH198" s="235"/>
      <c r="BI198" s="235"/>
      <c r="BJ198" s="235"/>
      <c r="BK198" s="235"/>
      <c r="BL198" s="235"/>
      <c r="BM198" s="235"/>
      <c r="BN198" s="235"/>
      <c r="BO198" s="235"/>
      <c r="BP198" s="235"/>
      <c r="BQ198" s="235"/>
    </row>
    <row r="199" spans="1:69" s="780" customFormat="1" ht="15.75" customHeight="1">
      <c r="A199" s="62">
        <f t="shared" si="141"/>
        <v>49</v>
      </c>
      <c r="B199" s="63">
        <f t="shared" si="140"/>
        <v>46720</v>
      </c>
      <c r="C199" s="63">
        <f t="shared" si="142"/>
        <v>46726</v>
      </c>
      <c r="D199" s="239">
        <f t="shared" ca="1" si="143"/>
        <v>0</v>
      </c>
      <c r="E199" s="239">
        <f t="shared" ca="1" si="144"/>
        <v>0</v>
      </c>
      <c r="F199" s="239">
        <f t="shared" ca="1" si="145"/>
        <v>0</v>
      </c>
      <c r="G199" s="261">
        <f t="shared" ca="1" si="146"/>
        <v>0</v>
      </c>
      <c r="I199" s="237"/>
      <c r="AV199" s="235"/>
      <c r="AW199" s="235"/>
      <c r="AX199" s="235"/>
      <c r="AY199" s="235"/>
      <c r="AZ199" s="235"/>
      <c r="BA199" s="235"/>
      <c r="BB199" s="235"/>
      <c r="BC199" s="235"/>
      <c r="BD199" s="235"/>
      <c r="BE199" s="235"/>
      <c r="BF199" s="235"/>
      <c r="BG199" s="235"/>
      <c r="BH199" s="235"/>
      <c r="BI199" s="235"/>
      <c r="BJ199" s="235"/>
      <c r="BK199" s="235"/>
      <c r="BL199" s="235"/>
      <c r="BM199" s="235"/>
      <c r="BN199" s="235"/>
      <c r="BO199" s="235"/>
      <c r="BP199" s="235"/>
      <c r="BQ199" s="235"/>
    </row>
    <row r="200" spans="1:69" s="780" customFormat="1" ht="15.75" customHeight="1">
      <c r="A200" s="62">
        <f t="shared" si="141"/>
        <v>50</v>
      </c>
      <c r="B200" s="63">
        <f t="shared" si="140"/>
        <v>46727</v>
      </c>
      <c r="C200" s="63">
        <f t="shared" si="142"/>
        <v>46733</v>
      </c>
      <c r="D200" s="239">
        <f t="shared" ca="1" si="143"/>
        <v>0</v>
      </c>
      <c r="E200" s="239">
        <f t="shared" ca="1" si="144"/>
        <v>0</v>
      </c>
      <c r="F200" s="239">
        <f t="shared" ca="1" si="145"/>
        <v>0</v>
      </c>
      <c r="G200" s="261">
        <f t="shared" ca="1" si="146"/>
        <v>0</v>
      </c>
      <c r="I200" s="237"/>
      <c r="AV200" s="235"/>
      <c r="AW200" s="235"/>
      <c r="AX200" s="235"/>
      <c r="AY200" s="235"/>
      <c r="AZ200" s="235"/>
      <c r="BA200" s="235"/>
      <c r="BB200" s="235"/>
      <c r="BC200" s="235"/>
      <c r="BD200" s="235"/>
      <c r="BE200" s="235"/>
      <c r="BF200" s="235"/>
      <c r="BG200" s="235"/>
      <c r="BH200" s="235"/>
      <c r="BI200" s="235"/>
      <c r="BJ200" s="235"/>
      <c r="BK200" s="235"/>
      <c r="BL200" s="235"/>
      <c r="BM200" s="235"/>
      <c r="BN200" s="235"/>
      <c r="BO200" s="235"/>
      <c r="BP200" s="235"/>
      <c r="BQ200" s="235"/>
    </row>
    <row r="201" spans="1:69" s="780" customFormat="1" ht="15.75" customHeight="1">
      <c r="A201" s="62">
        <f t="shared" si="141"/>
        <v>51</v>
      </c>
      <c r="B201" s="63">
        <f t="shared" si="140"/>
        <v>46734</v>
      </c>
      <c r="C201" s="63">
        <f t="shared" si="142"/>
        <v>46740</v>
      </c>
      <c r="D201" s="239">
        <f t="shared" ca="1" si="143"/>
        <v>0</v>
      </c>
      <c r="E201" s="239">
        <f t="shared" ca="1" si="144"/>
        <v>0</v>
      </c>
      <c r="F201" s="239">
        <f t="shared" ca="1" si="145"/>
        <v>0</v>
      </c>
      <c r="G201" s="261">
        <f t="shared" ca="1" si="146"/>
        <v>0</v>
      </c>
      <c r="I201" s="237"/>
      <c r="AV201" s="235"/>
      <c r="AW201" s="235"/>
      <c r="AX201" s="235"/>
      <c r="AY201" s="235"/>
      <c r="AZ201" s="235"/>
      <c r="BA201" s="235"/>
      <c r="BB201" s="235"/>
      <c r="BC201" s="235"/>
      <c r="BD201" s="235"/>
      <c r="BE201" s="235"/>
      <c r="BF201" s="235"/>
      <c r="BG201" s="235"/>
      <c r="BH201" s="235"/>
      <c r="BI201" s="235"/>
      <c r="BJ201" s="235"/>
      <c r="BK201" s="235"/>
      <c r="BL201" s="235"/>
      <c r="BM201" s="235"/>
      <c r="BN201" s="235"/>
      <c r="BO201" s="235"/>
      <c r="BP201" s="235"/>
      <c r="BQ201" s="235"/>
    </row>
    <row r="202" spans="1:69" s="780" customFormat="1" ht="15.75" customHeight="1">
      <c r="A202" s="62">
        <f t="shared" si="141"/>
        <v>52</v>
      </c>
      <c r="B202" s="63">
        <f t="shared" si="140"/>
        <v>46741</v>
      </c>
      <c r="C202" s="63">
        <f t="shared" si="142"/>
        <v>46747</v>
      </c>
      <c r="D202" s="239">
        <f t="shared" ca="1" si="143"/>
        <v>0</v>
      </c>
      <c r="E202" s="239">
        <f t="shared" ca="1" si="144"/>
        <v>0</v>
      </c>
      <c r="F202" s="239">
        <f t="shared" ca="1" si="145"/>
        <v>0</v>
      </c>
      <c r="G202" s="261">
        <f t="shared" ca="1" si="146"/>
        <v>0</v>
      </c>
      <c r="I202" s="237"/>
      <c r="AV202" s="235"/>
      <c r="AW202" s="235"/>
      <c r="AX202" s="235"/>
      <c r="AY202" s="235"/>
      <c r="AZ202" s="235"/>
      <c r="BA202" s="235"/>
      <c r="BB202" s="235"/>
      <c r="BC202" s="235"/>
      <c r="BD202" s="235"/>
      <c r="BE202" s="235"/>
      <c r="BF202" s="235"/>
      <c r="BG202" s="235"/>
      <c r="BH202" s="235"/>
      <c r="BI202" s="235"/>
      <c r="BJ202" s="235"/>
      <c r="BK202" s="235"/>
      <c r="BL202" s="235"/>
      <c r="BM202" s="235"/>
      <c r="BN202" s="235"/>
      <c r="BO202" s="235"/>
      <c r="BP202" s="235"/>
      <c r="BQ202" s="235"/>
    </row>
    <row r="203" spans="1:69" s="780" customFormat="1" ht="15.75" customHeight="1">
      <c r="A203" s="62">
        <f t="shared" si="141"/>
        <v>53</v>
      </c>
      <c r="B203" s="63">
        <f t="shared" si="140"/>
        <v>46748</v>
      </c>
      <c r="C203" s="63">
        <f t="shared" si="142"/>
        <v>46754</v>
      </c>
      <c r="D203" s="239">
        <f t="shared" ca="1" si="143"/>
        <v>0</v>
      </c>
      <c r="E203" s="239">
        <f t="shared" ca="1" si="144"/>
        <v>0</v>
      </c>
      <c r="F203" s="239">
        <f t="shared" ca="1" si="145"/>
        <v>0</v>
      </c>
      <c r="G203" s="261">
        <f t="shared" ca="1" si="146"/>
        <v>0</v>
      </c>
      <c r="I203" s="237"/>
      <c r="AV203" s="235"/>
      <c r="AW203" s="235"/>
      <c r="AX203" s="235"/>
      <c r="AY203" s="235"/>
      <c r="AZ203" s="235"/>
      <c r="BA203" s="235"/>
      <c r="BB203" s="235"/>
      <c r="BC203" s="235"/>
      <c r="BD203" s="235"/>
      <c r="BE203" s="235"/>
      <c r="BF203" s="235"/>
      <c r="BG203" s="235"/>
      <c r="BH203" s="235"/>
      <c r="BI203" s="235"/>
      <c r="BJ203" s="235"/>
      <c r="BK203" s="235"/>
      <c r="BL203" s="235"/>
      <c r="BM203" s="235"/>
      <c r="BN203" s="235"/>
      <c r="BO203" s="235"/>
      <c r="BP203" s="235"/>
      <c r="BQ203" s="235"/>
    </row>
    <row r="204" spans="1:69" s="780" customFormat="1" ht="15.75" customHeight="1">
      <c r="A204" s="62">
        <f t="shared" si="141"/>
        <v>2</v>
      </c>
      <c r="B204" s="63">
        <f t="shared" si="140"/>
        <v>46755</v>
      </c>
      <c r="C204" s="63">
        <f t="shared" si="142"/>
        <v>46761</v>
      </c>
      <c r="D204" s="239">
        <f t="shared" ca="1" si="143"/>
        <v>0</v>
      </c>
      <c r="E204" s="239">
        <f t="shared" ca="1" si="144"/>
        <v>0</v>
      </c>
      <c r="F204" s="239">
        <f t="shared" ca="1" si="145"/>
        <v>0</v>
      </c>
      <c r="G204" s="261">
        <f t="shared" ca="1" si="146"/>
        <v>0</v>
      </c>
      <c r="I204" s="237"/>
      <c r="AV204" s="235"/>
      <c r="AW204" s="235"/>
      <c r="AX204" s="235"/>
      <c r="AY204" s="235"/>
      <c r="AZ204" s="235"/>
      <c r="BA204" s="235"/>
      <c r="BB204" s="235"/>
      <c r="BC204" s="235"/>
      <c r="BD204" s="235"/>
      <c r="BE204" s="235"/>
      <c r="BF204" s="235"/>
      <c r="BG204" s="235"/>
      <c r="BH204" s="235"/>
      <c r="BI204" s="235"/>
      <c r="BJ204" s="235"/>
      <c r="BK204" s="235"/>
      <c r="BL204" s="235"/>
      <c r="BM204" s="235"/>
      <c r="BN204" s="235"/>
      <c r="BO204" s="235"/>
      <c r="BP204" s="235"/>
      <c r="BQ204" s="235"/>
    </row>
    <row r="205" spans="1:69" s="780" customFormat="1" ht="15.75" customHeight="1">
      <c r="A205" s="62">
        <f t="shared" si="141"/>
        <v>3</v>
      </c>
      <c r="B205" s="63">
        <f t="shared" si="140"/>
        <v>46762</v>
      </c>
      <c r="C205" s="63">
        <f t="shared" si="142"/>
        <v>46768</v>
      </c>
      <c r="D205" s="239">
        <f t="shared" ca="1" si="143"/>
        <v>0</v>
      </c>
      <c r="E205" s="239">
        <f t="shared" ca="1" si="144"/>
        <v>0</v>
      </c>
      <c r="F205" s="239">
        <f t="shared" ca="1" si="145"/>
        <v>0</v>
      </c>
      <c r="G205" s="261">
        <f t="shared" ca="1" si="146"/>
        <v>0</v>
      </c>
      <c r="I205" s="237"/>
      <c r="AV205" s="235"/>
      <c r="AW205" s="235"/>
      <c r="AX205" s="235"/>
      <c r="AY205" s="235"/>
      <c r="AZ205" s="235"/>
      <c r="BA205" s="235"/>
      <c r="BB205" s="235"/>
      <c r="BC205" s="235"/>
      <c r="BD205" s="235"/>
      <c r="BE205" s="235"/>
      <c r="BF205" s="235"/>
      <c r="BG205" s="235"/>
      <c r="BH205" s="235"/>
      <c r="BI205" s="235"/>
      <c r="BJ205" s="235"/>
      <c r="BK205" s="235"/>
      <c r="BL205" s="235"/>
      <c r="BM205" s="235"/>
      <c r="BN205" s="235"/>
      <c r="BO205" s="235"/>
      <c r="BP205" s="235"/>
      <c r="BQ205" s="235"/>
    </row>
    <row r="206" spans="1:69" s="780" customFormat="1" ht="15.75" customHeight="1">
      <c r="A206" s="62">
        <f t="shared" si="141"/>
        <v>4</v>
      </c>
      <c r="B206" s="63">
        <f t="shared" si="140"/>
        <v>46769</v>
      </c>
      <c r="C206" s="63">
        <f t="shared" si="142"/>
        <v>46775</v>
      </c>
      <c r="D206" s="239">
        <f t="shared" ca="1" si="143"/>
        <v>0</v>
      </c>
      <c r="E206" s="239">
        <f t="shared" ca="1" si="144"/>
        <v>0</v>
      </c>
      <c r="F206" s="239">
        <f t="shared" ca="1" si="145"/>
        <v>0</v>
      </c>
      <c r="G206" s="261">
        <f t="shared" ca="1" si="146"/>
        <v>0</v>
      </c>
      <c r="I206" s="237"/>
      <c r="AV206" s="235"/>
      <c r="AW206" s="235"/>
      <c r="AX206" s="235"/>
      <c r="AY206" s="235"/>
      <c r="AZ206" s="235"/>
      <c r="BA206" s="235"/>
      <c r="BB206" s="235"/>
      <c r="BC206" s="235"/>
      <c r="BD206" s="235"/>
      <c r="BE206" s="235"/>
      <c r="BF206" s="235"/>
      <c r="BG206" s="235"/>
      <c r="BH206" s="235"/>
      <c r="BI206" s="235"/>
      <c r="BJ206" s="235"/>
      <c r="BK206" s="235"/>
      <c r="BL206" s="235"/>
      <c r="BM206" s="235"/>
      <c r="BN206" s="235"/>
      <c r="BO206" s="235"/>
      <c r="BP206" s="235"/>
      <c r="BQ206" s="235"/>
    </row>
    <row r="207" spans="1:69" s="780" customFormat="1" ht="15.75" customHeight="1">
      <c r="A207" s="62">
        <f t="shared" si="141"/>
        <v>5</v>
      </c>
      <c r="B207" s="63">
        <f t="shared" si="140"/>
        <v>46776</v>
      </c>
      <c r="C207" s="63">
        <f t="shared" si="142"/>
        <v>46782</v>
      </c>
      <c r="D207" s="239">
        <f t="shared" ca="1" si="143"/>
        <v>0</v>
      </c>
      <c r="E207" s="239">
        <f t="shared" ca="1" si="144"/>
        <v>0</v>
      </c>
      <c r="F207" s="239">
        <f t="shared" ca="1" si="145"/>
        <v>0</v>
      </c>
      <c r="G207" s="261">
        <f t="shared" ca="1" si="146"/>
        <v>0</v>
      </c>
      <c r="I207" s="237"/>
      <c r="AV207" s="235"/>
      <c r="AW207" s="235"/>
      <c r="AX207" s="235"/>
      <c r="AY207" s="235"/>
      <c r="AZ207" s="235"/>
      <c r="BA207" s="235"/>
      <c r="BB207" s="235"/>
      <c r="BC207" s="235"/>
      <c r="BD207" s="235"/>
      <c r="BE207" s="235"/>
      <c r="BF207" s="235"/>
      <c r="BG207" s="235"/>
      <c r="BH207" s="235"/>
      <c r="BI207" s="235"/>
      <c r="BJ207" s="235"/>
      <c r="BK207" s="235"/>
      <c r="BL207" s="235"/>
      <c r="BM207" s="235"/>
      <c r="BN207" s="235"/>
      <c r="BO207" s="235"/>
      <c r="BP207" s="235"/>
      <c r="BQ207" s="235"/>
    </row>
    <row r="208" spans="1:69" s="780" customFormat="1" ht="15.75" customHeight="1">
      <c r="A208" s="62">
        <f t="shared" si="141"/>
        <v>6</v>
      </c>
      <c r="B208" s="63">
        <f t="shared" si="140"/>
        <v>46783</v>
      </c>
      <c r="C208" s="63">
        <f t="shared" si="142"/>
        <v>46789</v>
      </c>
      <c r="D208" s="239">
        <f t="shared" ca="1" si="143"/>
        <v>0</v>
      </c>
      <c r="E208" s="239">
        <f t="shared" ca="1" si="144"/>
        <v>0</v>
      </c>
      <c r="F208" s="239">
        <f t="shared" ca="1" si="145"/>
        <v>0</v>
      </c>
      <c r="G208" s="261">
        <f t="shared" ca="1" si="146"/>
        <v>0</v>
      </c>
      <c r="I208" s="237"/>
      <c r="AV208" s="235"/>
      <c r="AW208" s="235"/>
      <c r="AX208" s="235"/>
      <c r="AY208" s="235"/>
      <c r="AZ208" s="235"/>
      <c r="BA208" s="235"/>
      <c r="BB208" s="235"/>
      <c r="BC208" s="235"/>
      <c r="BD208" s="235"/>
      <c r="BE208" s="235"/>
      <c r="BF208" s="235"/>
      <c r="BG208" s="235"/>
      <c r="BH208" s="235"/>
      <c r="BI208" s="235"/>
      <c r="BJ208" s="235"/>
      <c r="BK208" s="235"/>
      <c r="BL208" s="235"/>
      <c r="BM208" s="235"/>
      <c r="BN208" s="235"/>
      <c r="BO208" s="235"/>
      <c r="BP208" s="235"/>
      <c r="BQ208" s="235"/>
    </row>
    <row r="209" spans="1:69" s="780" customFormat="1" ht="15.75" customHeight="1">
      <c r="A209" s="62">
        <f t="shared" si="141"/>
        <v>7</v>
      </c>
      <c r="B209" s="63">
        <f t="shared" si="140"/>
        <v>46790</v>
      </c>
      <c r="C209" s="63">
        <f t="shared" si="142"/>
        <v>46796</v>
      </c>
      <c r="D209" s="239">
        <f t="shared" ca="1" si="143"/>
        <v>0</v>
      </c>
      <c r="E209" s="239">
        <f t="shared" ca="1" si="144"/>
        <v>0</v>
      </c>
      <c r="F209" s="239">
        <f t="shared" ca="1" si="145"/>
        <v>0</v>
      </c>
      <c r="G209" s="261">
        <f t="shared" ca="1" si="146"/>
        <v>0</v>
      </c>
      <c r="I209" s="237"/>
      <c r="AV209" s="235"/>
      <c r="AW209" s="235"/>
      <c r="AX209" s="235"/>
      <c r="AY209" s="235"/>
      <c r="AZ209" s="235"/>
      <c r="BA209" s="235"/>
      <c r="BB209" s="235"/>
      <c r="BC209" s="235"/>
      <c r="BD209" s="235"/>
      <c r="BE209" s="235"/>
      <c r="BF209" s="235"/>
      <c r="BG209" s="235"/>
      <c r="BH209" s="235"/>
      <c r="BI209" s="235"/>
      <c r="BJ209" s="235"/>
      <c r="BK209" s="235"/>
      <c r="BL209" s="235"/>
      <c r="BM209" s="235"/>
      <c r="BN209" s="235"/>
      <c r="BO209" s="235"/>
      <c r="BP209" s="235"/>
      <c r="BQ209" s="235"/>
    </row>
    <row r="210" spans="1:69" s="780" customFormat="1" ht="15.75" customHeight="1">
      <c r="A210" s="62">
        <f t="shared" si="141"/>
        <v>8</v>
      </c>
      <c r="B210" s="63">
        <f t="shared" si="140"/>
        <v>46797</v>
      </c>
      <c r="C210" s="63">
        <f t="shared" si="142"/>
        <v>46803</v>
      </c>
      <c r="D210" s="239">
        <f t="shared" ca="1" si="143"/>
        <v>0</v>
      </c>
      <c r="E210" s="239">
        <f t="shared" ca="1" si="144"/>
        <v>0</v>
      </c>
      <c r="F210" s="239">
        <f t="shared" ca="1" si="145"/>
        <v>0</v>
      </c>
      <c r="G210" s="261">
        <f t="shared" ca="1" si="146"/>
        <v>0</v>
      </c>
      <c r="I210" s="237"/>
      <c r="AV210" s="235"/>
      <c r="AW210" s="235"/>
      <c r="AX210" s="235"/>
      <c r="AY210" s="235"/>
      <c r="AZ210" s="235"/>
      <c r="BA210" s="235"/>
      <c r="BB210" s="235"/>
      <c r="BC210" s="235"/>
      <c r="BD210" s="235"/>
      <c r="BE210" s="235"/>
      <c r="BF210" s="235"/>
      <c r="BG210" s="235"/>
      <c r="BH210" s="235"/>
      <c r="BI210" s="235"/>
      <c r="BJ210" s="235"/>
      <c r="BK210" s="235"/>
      <c r="BL210" s="235"/>
      <c r="BM210" s="235"/>
      <c r="BN210" s="235"/>
      <c r="BO210" s="235"/>
      <c r="BP210" s="235"/>
      <c r="BQ210" s="235"/>
    </row>
    <row r="211" spans="1:69" s="780" customFormat="1" ht="15.75" customHeight="1">
      <c r="A211" s="62">
        <f t="shared" si="141"/>
        <v>9</v>
      </c>
      <c r="B211" s="63">
        <f t="shared" si="140"/>
        <v>46804</v>
      </c>
      <c r="C211" s="63">
        <f t="shared" si="142"/>
        <v>46810</v>
      </c>
      <c r="D211" s="239">
        <f t="shared" ca="1" si="143"/>
        <v>0</v>
      </c>
      <c r="E211" s="239">
        <f t="shared" ca="1" si="144"/>
        <v>0</v>
      </c>
      <c r="F211" s="239">
        <f t="shared" ca="1" si="145"/>
        <v>0</v>
      </c>
      <c r="G211" s="261">
        <f t="shared" ca="1" si="146"/>
        <v>0</v>
      </c>
      <c r="I211" s="237"/>
      <c r="AV211" s="235"/>
      <c r="AW211" s="235"/>
      <c r="AX211" s="235"/>
      <c r="AY211" s="235"/>
      <c r="AZ211" s="235"/>
      <c r="BA211" s="235"/>
      <c r="BB211" s="235"/>
      <c r="BC211" s="235"/>
      <c r="BD211" s="235"/>
      <c r="BE211" s="235"/>
      <c r="BF211" s="235"/>
      <c r="BG211" s="235"/>
      <c r="BH211" s="235"/>
      <c r="BI211" s="235"/>
      <c r="BJ211" s="235"/>
      <c r="BK211" s="235"/>
      <c r="BL211" s="235"/>
      <c r="BM211" s="235"/>
      <c r="BN211" s="235"/>
      <c r="BO211" s="235"/>
      <c r="BP211" s="235"/>
      <c r="BQ211" s="235"/>
    </row>
    <row r="212" spans="1:69" s="780" customFormat="1" ht="15.75" customHeight="1">
      <c r="A212" s="62">
        <f t="shared" si="141"/>
        <v>10</v>
      </c>
      <c r="B212" s="63">
        <f t="shared" ref="B212:B275" si="147">+B211+7</f>
        <v>46811</v>
      </c>
      <c r="C212" s="63">
        <f t="shared" si="142"/>
        <v>46817</v>
      </c>
      <c r="D212" s="239">
        <f t="shared" ca="1" si="143"/>
        <v>0</v>
      </c>
      <c r="E212" s="239">
        <f t="shared" ca="1" si="144"/>
        <v>0</v>
      </c>
      <c r="F212" s="239">
        <f t="shared" ca="1" si="145"/>
        <v>0</v>
      </c>
      <c r="G212" s="261">
        <f t="shared" ca="1" si="146"/>
        <v>0</v>
      </c>
      <c r="I212" s="237"/>
      <c r="AV212" s="235"/>
      <c r="AW212" s="235"/>
      <c r="AX212" s="235"/>
      <c r="AY212" s="235"/>
      <c r="AZ212" s="235"/>
      <c r="BA212" s="235"/>
      <c r="BB212" s="235"/>
      <c r="BC212" s="235"/>
      <c r="BD212" s="235"/>
      <c r="BE212" s="235"/>
      <c r="BF212" s="235"/>
      <c r="BG212" s="235"/>
      <c r="BH212" s="235"/>
      <c r="BI212" s="235"/>
      <c r="BJ212" s="235"/>
      <c r="BK212" s="235"/>
      <c r="BL212" s="235"/>
      <c r="BM212" s="235"/>
      <c r="BN212" s="235"/>
      <c r="BO212" s="235"/>
      <c r="BP212" s="235"/>
      <c r="BQ212" s="235"/>
    </row>
    <row r="213" spans="1:69" s="780" customFormat="1" ht="15.75" customHeight="1">
      <c r="A213" s="62">
        <f t="shared" si="141"/>
        <v>11</v>
      </c>
      <c r="B213" s="63">
        <f t="shared" si="147"/>
        <v>46818</v>
      </c>
      <c r="C213" s="63">
        <f t="shared" si="142"/>
        <v>46824</v>
      </c>
      <c r="D213" s="239">
        <f t="shared" ca="1" si="143"/>
        <v>0</v>
      </c>
      <c r="E213" s="239">
        <f t="shared" ca="1" si="144"/>
        <v>0</v>
      </c>
      <c r="F213" s="239">
        <f t="shared" ca="1" si="145"/>
        <v>0</v>
      </c>
      <c r="G213" s="261">
        <f t="shared" ca="1" si="146"/>
        <v>0</v>
      </c>
      <c r="I213" s="237"/>
      <c r="AV213" s="235"/>
      <c r="AW213" s="235"/>
      <c r="AX213" s="235"/>
      <c r="AY213" s="235"/>
      <c r="AZ213" s="235"/>
      <c r="BA213" s="235"/>
      <c r="BB213" s="235"/>
      <c r="BC213" s="235"/>
      <c r="BD213" s="235"/>
      <c r="BE213" s="235"/>
      <c r="BF213" s="235"/>
      <c r="BG213" s="235"/>
      <c r="BH213" s="235"/>
      <c r="BI213" s="235"/>
      <c r="BJ213" s="235"/>
      <c r="BK213" s="235"/>
      <c r="BL213" s="235"/>
      <c r="BM213" s="235"/>
      <c r="BN213" s="235"/>
      <c r="BO213" s="235"/>
      <c r="BP213" s="235"/>
      <c r="BQ213" s="235"/>
    </row>
    <row r="214" spans="1:69" s="780" customFormat="1" ht="15.75" customHeight="1">
      <c r="A214" s="62">
        <f t="shared" si="141"/>
        <v>12</v>
      </c>
      <c r="B214" s="63">
        <f t="shared" si="147"/>
        <v>46825</v>
      </c>
      <c r="C214" s="63">
        <f t="shared" si="142"/>
        <v>46831</v>
      </c>
      <c r="D214" s="239">
        <f t="shared" ca="1" si="143"/>
        <v>0</v>
      </c>
      <c r="E214" s="239">
        <f t="shared" ca="1" si="144"/>
        <v>0</v>
      </c>
      <c r="F214" s="239">
        <f t="shared" ca="1" si="145"/>
        <v>0</v>
      </c>
      <c r="G214" s="261">
        <f t="shared" ca="1" si="146"/>
        <v>0</v>
      </c>
      <c r="I214" s="237"/>
      <c r="AV214" s="235"/>
      <c r="AW214" s="235"/>
      <c r="AX214" s="235"/>
      <c r="AY214" s="235"/>
      <c r="AZ214" s="235"/>
      <c r="BA214" s="235"/>
      <c r="BB214" s="235"/>
      <c r="BC214" s="235"/>
      <c r="BD214" s="235"/>
      <c r="BE214" s="235"/>
      <c r="BF214" s="235"/>
      <c r="BG214" s="235"/>
      <c r="BH214" s="235"/>
      <c r="BI214" s="235"/>
      <c r="BJ214" s="235"/>
      <c r="BK214" s="235"/>
      <c r="BL214" s="235"/>
      <c r="BM214" s="235"/>
      <c r="BN214" s="235"/>
      <c r="BO214" s="235"/>
      <c r="BP214" s="235"/>
      <c r="BQ214" s="235"/>
    </row>
    <row r="215" spans="1:69" s="780" customFormat="1" ht="15.75" customHeight="1">
      <c r="A215" s="62">
        <f t="shared" si="141"/>
        <v>13</v>
      </c>
      <c r="B215" s="63">
        <f t="shared" si="147"/>
        <v>46832</v>
      </c>
      <c r="C215" s="63">
        <f t="shared" si="142"/>
        <v>46838</v>
      </c>
      <c r="D215" s="239">
        <f t="shared" ca="1" si="143"/>
        <v>0</v>
      </c>
      <c r="E215" s="239">
        <f t="shared" ca="1" si="144"/>
        <v>0</v>
      </c>
      <c r="F215" s="239">
        <f t="shared" ca="1" si="145"/>
        <v>0</v>
      </c>
      <c r="G215" s="261">
        <f t="shared" ca="1" si="146"/>
        <v>0</v>
      </c>
      <c r="I215" s="237"/>
      <c r="AV215" s="235"/>
      <c r="AW215" s="235"/>
      <c r="AX215" s="235"/>
      <c r="AY215" s="235"/>
      <c r="AZ215" s="235"/>
      <c r="BA215" s="235"/>
      <c r="BB215" s="235"/>
      <c r="BC215" s="235"/>
      <c r="BD215" s="235"/>
      <c r="BE215" s="235"/>
      <c r="BF215" s="235"/>
      <c r="BG215" s="235"/>
      <c r="BH215" s="235"/>
      <c r="BI215" s="235"/>
      <c r="BJ215" s="235"/>
      <c r="BK215" s="235"/>
      <c r="BL215" s="235"/>
      <c r="BM215" s="235"/>
      <c r="BN215" s="235"/>
      <c r="BO215" s="235"/>
      <c r="BP215" s="235"/>
      <c r="BQ215" s="235"/>
    </row>
    <row r="216" spans="1:69" s="780" customFormat="1" ht="15.75" customHeight="1">
      <c r="A216" s="62">
        <f t="shared" si="141"/>
        <v>14</v>
      </c>
      <c r="B216" s="63">
        <f t="shared" si="147"/>
        <v>46839</v>
      </c>
      <c r="C216" s="63">
        <f t="shared" si="142"/>
        <v>46845</v>
      </c>
      <c r="D216" s="239">
        <f t="shared" ca="1" si="143"/>
        <v>0</v>
      </c>
      <c r="E216" s="239">
        <f t="shared" ca="1" si="144"/>
        <v>0</v>
      </c>
      <c r="F216" s="239">
        <f t="shared" ca="1" si="145"/>
        <v>0</v>
      </c>
      <c r="G216" s="261">
        <f t="shared" ca="1" si="146"/>
        <v>0</v>
      </c>
      <c r="I216" s="237"/>
      <c r="AV216" s="235"/>
      <c r="AW216" s="235"/>
      <c r="AX216" s="235"/>
      <c r="AY216" s="235"/>
      <c r="AZ216" s="235"/>
      <c r="BA216" s="235"/>
      <c r="BB216" s="235"/>
      <c r="BC216" s="235"/>
      <c r="BD216" s="235"/>
      <c r="BE216" s="235"/>
      <c r="BF216" s="235"/>
      <c r="BG216" s="235"/>
      <c r="BH216" s="235"/>
      <c r="BI216" s="235"/>
      <c r="BJ216" s="235"/>
      <c r="BK216" s="235"/>
      <c r="BL216" s="235"/>
      <c r="BM216" s="235"/>
      <c r="BN216" s="235"/>
      <c r="BO216" s="235"/>
      <c r="BP216" s="235"/>
      <c r="BQ216" s="235"/>
    </row>
    <row r="217" spans="1:69" s="780" customFormat="1" ht="15.75" customHeight="1">
      <c r="A217" s="62">
        <f t="shared" si="141"/>
        <v>15</v>
      </c>
      <c r="B217" s="63">
        <f t="shared" si="147"/>
        <v>46846</v>
      </c>
      <c r="C217" s="63">
        <f t="shared" si="142"/>
        <v>46852</v>
      </c>
      <c r="D217" s="239">
        <f t="shared" ca="1" si="143"/>
        <v>0</v>
      </c>
      <c r="E217" s="239">
        <f t="shared" ca="1" si="144"/>
        <v>0</v>
      </c>
      <c r="F217" s="239">
        <f t="shared" ca="1" si="145"/>
        <v>0</v>
      </c>
      <c r="G217" s="261">
        <f t="shared" ca="1" si="146"/>
        <v>0</v>
      </c>
      <c r="I217" s="237"/>
      <c r="AV217" s="235"/>
      <c r="AW217" s="235"/>
      <c r="AX217" s="235"/>
      <c r="AY217" s="235"/>
      <c r="AZ217" s="235"/>
      <c r="BA217" s="235"/>
      <c r="BB217" s="235"/>
      <c r="BC217" s="235"/>
      <c r="BD217" s="235"/>
      <c r="BE217" s="235"/>
      <c r="BF217" s="235"/>
      <c r="BG217" s="235"/>
      <c r="BH217" s="235"/>
      <c r="BI217" s="235"/>
      <c r="BJ217" s="235"/>
      <c r="BK217" s="235"/>
      <c r="BL217" s="235"/>
      <c r="BM217" s="235"/>
      <c r="BN217" s="235"/>
      <c r="BO217" s="235"/>
      <c r="BP217" s="235"/>
      <c r="BQ217" s="235"/>
    </row>
    <row r="218" spans="1:69" s="780" customFormat="1" ht="15.75" customHeight="1">
      <c r="A218" s="62">
        <f t="shared" si="141"/>
        <v>16</v>
      </c>
      <c r="B218" s="63">
        <f t="shared" si="147"/>
        <v>46853</v>
      </c>
      <c r="C218" s="63">
        <f t="shared" si="142"/>
        <v>46859</v>
      </c>
      <c r="D218" s="239">
        <f t="shared" ca="1" si="143"/>
        <v>0</v>
      </c>
      <c r="E218" s="239">
        <f t="shared" ca="1" si="144"/>
        <v>0</v>
      </c>
      <c r="F218" s="239">
        <f t="shared" ca="1" si="145"/>
        <v>0</v>
      </c>
      <c r="G218" s="261">
        <f t="shared" ca="1" si="146"/>
        <v>0</v>
      </c>
      <c r="I218" s="237"/>
      <c r="AV218" s="235"/>
      <c r="AW218" s="235"/>
      <c r="AX218" s="235"/>
      <c r="AY218" s="235"/>
      <c r="AZ218" s="235"/>
      <c r="BA218" s="235"/>
      <c r="BB218" s="235"/>
      <c r="BC218" s="235"/>
      <c r="BD218" s="235"/>
      <c r="BE218" s="235"/>
      <c r="BF218" s="235"/>
      <c r="BG218" s="235"/>
      <c r="BH218" s="235"/>
      <c r="BI218" s="235"/>
      <c r="BJ218" s="235"/>
      <c r="BK218" s="235"/>
      <c r="BL218" s="235"/>
      <c r="BM218" s="235"/>
      <c r="BN218" s="235"/>
      <c r="BO218" s="235"/>
      <c r="BP218" s="235"/>
      <c r="BQ218" s="235"/>
    </row>
    <row r="219" spans="1:69" s="780" customFormat="1" ht="15.75" customHeight="1">
      <c r="A219" s="62">
        <f t="shared" si="141"/>
        <v>17</v>
      </c>
      <c r="B219" s="63">
        <f t="shared" si="147"/>
        <v>46860</v>
      </c>
      <c r="C219" s="63">
        <f t="shared" si="142"/>
        <v>46866</v>
      </c>
      <c r="D219" s="239">
        <f t="shared" ca="1" si="143"/>
        <v>0</v>
      </c>
      <c r="E219" s="239">
        <f t="shared" ca="1" si="144"/>
        <v>0</v>
      </c>
      <c r="F219" s="239">
        <f t="shared" ca="1" si="145"/>
        <v>0</v>
      </c>
      <c r="G219" s="261">
        <f t="shared" ca="1" si="146"/>
        <v>0</v>
      </c>
      <c r="I219" s="237"/>
      <c r="AV219" s="235"/>
      <c r="AW219" s="235"/>
      <c r="AX219" s="235"/>
      <c r="AY219" s="235"/>
      <c r="AZ219" s="235"/>
      <c r="BA219" s="235"/>
      <c r="BB219" s="235"/>
      <c r="BC219" s="235"/>
      <c r="BD219" s="235"/>
      <c r="BE219" s="235"/>
      <c r="BF219" s="235"/>
      <c r="BG219" s="235"/>
      <c r="BH219" s="235"/>
      <c r="BI219" s="235"/>
      <c r="BJ219" s="235"/>
      <c r="BK219" s="235"/>
      <c r="BL219" s="235"/>
      <c r="BM219" s="235"/>
      <c r="BN219" s="235"/>
      <c r="BO219" s="235"/>
      <c r="BP219" s="235"/>
      <c r="BQ219" s="235"/>
    </row>
    <row r="220" spans="1:69" s="780" customFormat="1" ht="15.75" customHeight="1">
      <c r="A220" s="62">
        <f t="shared" si="141"/>
        <v>18</v>
      </c>
      <c r="B220" s="63">
        <f t="shared" si="147"/>
        <v>46867</v>
      </c>
      <c r="C220" s="63">
        <f t="shared" si="142"/>
        <v>46873</v>
      </c>
      <c r="D220" s="239">
        <f t="shared" ca="1" si="143"/>
        <v>0</v>
      </c>
      <c r="E220" s="239">
        <f t="shared" ca="1" si="144"/>
        <v>0</v>
      </c>
      <c r="F220" s="239">
        <f t="shared" ca="1" si="145"/>
        <v>0</v>
      </c>
      <c r="G220" s="261">
        <f t="shared" ca="1" si="146"/>
        <v>0</v>
      </c>
      <c r="I220" s="237"/>
      <c r="AV220" s="235"/>
      <c r="AW220" s="235"/>
      <c r="AX220" s="235"/>
      <c r="AY220" s="235"/>
      <c r="AZ220" s="235"/>
      <c r="BA220" s="235"/>
      <c r="BB220" s="235"/>
      <c r="BC220" s="235"/>
      <c r="BD220" s="235"/>
      <c r="BE220" s="235"/>
      <c r="BF220" s="235"/>
      <c r="BG220" s="235"/>
      <c r="BH220" s="235"/>
      <c r="BI220" s="235"/>
      <c r="BJ220" s="235"/>
      <c r="BK220" s="235"/>
      <c r="BL220" s="235"/>
      <c r="BM220" s="235"/>
      <c r="BN220" s="235"/>
      <c r="BO220" s="235"/>
      <c r="BP220" s="235"/>
      <c r="BQ220" s="235"/>
    </row>
    <row r="221" spans="1:69" s="780" customFormat="1" ht="15.75" customHeight="1">
      <c r="A221" s="62">
        <f t="shared" si="141"/>
        <v>19</v>
      </c>
      <c r="B221" s="63">
        <f t="shared" si="147"/>
        <v>46874</v>
      </c>
      <c r="C221" s="63">
        <f t="shared" si="142"/>
        <v>46880</v>
      </c>
      <c r="D221" s="239">
        <f t="shared" ca="1" si="143"/>
        <v>0</v>
      </c>
      <c r="E221" s="239">
        <f t="shared" ca="1" si="144"/>
        <v>0</v>
      </c>
      <c r="F221" s="239">
        <f t="shared" ca="1" si="145"/>
        <v>0</v>
      </c>
      <c r="G221" s="261">
        <f t="shared" ca="1" si="146"/>
        <v>0</v>
      </c>
      <c r="I221" s="237"/>
      <c r="AV221" s="235"/>
      <c r="AW221" s="235"/>
      <c r="AX221" s="235"/>
      <c r="AY221" s="235"/>
      <c r="AZ221" s="235"/>
      <c r="BA221" s="235"/>
      <c r="BB221" s="235"/>
      <c r="BC221" s="235"/>
      <c r="BD221" s="235"/>
      <c r="BE221" s="235"/>
      <c r="BF221" s="235"/>
      <c r="BG221" s="235"/>
      <c r="BH221" s="235"/>
      <c r="BI221" s="235"/>
      <c r="BJ221" s="235"/>
      <c r="BK221" s="235"/>
      <c r="BL221" s="235"/>
      <c r="BM221" s="235"/>
      <c r="BN221" s="235"/>
      <c r="BO221" s="235"/>
      <c r="BP221" s="235"/>
      <c r="BQ221" s="235"/>
    </row>
    <row r="222" spans="1:69" s="780" customFormat="1" ht="15.75" customHeight="1">
      <c r="A222" s="62">
        <f t="shared" si="141"/>
        <v>20</v>
      </c>
      <c r="B222" s="63">
        <f t="shared" si="147"/>
        <v>46881</v>
      </c>
      <c r="C222" s="63">
        <f t="shared" si="142"/>
        <v>46887</v>
      </c>
      <c r="D222" s="239">
        <f t="shared" ca="1" si="143"/>
        <v>0</v>
      </c>
      <c r="E222" s="239">
        <f t="shared" ca="1" si="144"/>
        <v>0</v>
      </c>
      <c r="F222" s="239">
        <f t="shared" ca="1" si="145"/>
        <v>0</v>
      </c>
      <c r="G222" s="261">
        <f t="shared" ca="1" si="146"/>
        <v>0</v>
      </c>
      <c r="I222" s="237"/>
      <c r="AV222" s="235"/>
      <c r="AW222" s="235"/>
      <c r="AX222" s="235"/>
      <c r="AY222" s="235"/>
      <c r="AZ222" s="235"/>
      <c r="BA222" s="235"/>
      <c r="BB222" s="235"/>
      <c r="BC222" s="235"/>
      <c r="BD222" s="235"/>
      <c r="BE222" s="235"/>
      <c r="BF222" s="235"/>
      <c r="BG222" s="235"/>
      <c r="BH222" s="235"/>
      <c r="BI222" s="235"/>
      <c r="BJ222" s="235"/>
      <c r="BK222" s="235"/>
      <c r="BL222" s="235"/>
      <c r="BM222" s="235"/>
      <c r="BN222" s="235"/>
      <c r="BO222" s="235"/>
      <c r="BP222" s="235"/>
      <c r="BQ222" s="235"/>
    </row>
    <row r="223" spans="1:69" s="780" customFormat="1" ht="15.75" customHeight="1">
      <c r="A223" s="62">
        <f t="shared" si="141"/>
        <v>21</v>
      </c>
      <c r="B223" s="63">
        <f t="shared" si="147"/>
        <v>46888</v>
      </c>
      <c r="C223" s="63">
        <f t="shared" si="142"/>
        <v>46894</v>
      </c>
      <c r="D223" s="239">
        <f t="shared" ca="1" si="143"/>
        <v>0</v>
      </c>
      <c r="E223" s="239">
        <f t="shared" ca="1" si="144"/>
        <v>0</v>
      </c>
      <c r="F223" s="239">
        <f t="shared" ca="1" si="145"/>
        <v>0</v>
      </c>
      <c r="G223" s="261">
        <f t="shared" ca="1" si="146"/>
        <v>0</v>
      </c>
      <c r="I223" s="237"/>
      <c r="AV223" s="235"/>
      <c r="AW223" s="235"/>
      <c r="AX223" s="235"/>
      <c r="AY223" s="235"/>
      <c r="AZ223" s="235"/>
      <c r="BA223" s="235"/>
      <c r="BB223" s="235"/>
      <c r="BC223" s="235"/>
      <c r="BD223" s="235"/>
      <c r="BE223" s="235"/>
      <c r="BF223" s="235"/>
      <c r="BG223" s="235"/>
      <c r="BH223" s="235"/>
      <c r="BI223" s="235"/>
      <c r="BJ223" s="235"/>
      <c r="BK223" s="235"/>
      <c r="BL223" s="235"/>
      <c r="BM223" s="235"/>
      <c r="BN223" s="235"/>
      <c r="BO223" s="235"/>
      <c r="BP223" s="235"/>
      <c r="BQ223" s="235"/>
    </row>
    <row r="224" spans="1:69" s="780" customFormat="1" ht="15.75" customHeight="1">
      <c r="A224" s="62">
        <f t="shared" si="141"/>
        <v>22</v>
      </c>
      <c r="B224" s="63">
        <f t="shared" si="147"/>
        <v>46895</v>
      </c>
      <c r="C224" s="63">
        <f t="shared" si="142"/>
        <v>46901</v>
      </c>
      <c r="D224" s="239">
        <f t="shared" ca="1" si="143"/>
        <v>0</v>
      </c>
      <c r="E224" s="239">
        <f t="shared" ca="1" si="144"/>
        <v>0</v>
      </c>
      <c r="F224" s="239">
        <f t="shared" ca="1" si="145"/>
        <v>0</v>
      </c>
      <c r="G224" s="261">
        <f t="shared" ca="1" si="146"/>
        <v>0</v>
      </c>
      <c r="I224" s="237"/>
      <c r="AV224" s="235"/>
      <c r="AW224" s="235"/>
      <c r="AX224" s="235"/>
      <c r="AY224" s="235"/>
      <c r="AZ224" s="235"/>
      <c r="BA224" s="235"/>
      <c r="BB224" s="235"/>
      <c r="BC224" s="235"/>
      <c r="BD224" s="235"/>
      <c r="BE224" s="235"/>
      <c r="BF224" s="235"/>
      <c r="BG224" s="235"/>
      <c r="BH224" s="235"/>
      <c r="BI224" s="235"/>
      <c r="BJ224" s="235"/>
      <c r="BK224" s="235"/>
      <c r="BL224" s="235"/>
      <c r="BM224" s="235"/>
      <c r="BN224" s="235"/>
      <c r="BO224" s="235"/>
      <c r="BP224" s="235"/>
      <c r="BQ224" s="235"/>
    </row>
    <row r="225" spans="1:69" s="780" customFormat="1" ht="15.75" customHeight="1">
      <c r="A225" s="62">
        <f t="shared" si="141"/>
        <v>23</v>
      </c>
      <c r="B225" s="63">
        <f t="shared" si="147"/>
        <v>46902</v>
      </c>
      <c r="C225" s="63">
        <f t="shared" si="142"/>
        <v>46908</v>
      </c>
      <c r="D225" s="239">
        <f t="shared" ca="1" si="143"/>
        <v>0</v>
      </c>
      <c r="E225" s="239">
        <f t="shared" ca="1" si="144"/>
        <v>0</v>
      </c>
      <c r="F225" s="239">
        <f t="shared" ca="1" si="145"/>
        <v>0</v>
      </c>
      <c r="G225" s="261">
        <f t="shared" ca="1" si="146"/>
        <v>0</v>
      </c>
      <c r="I225" s="237"/>
      <c r="AV225" s="235"/>
      <c r="AW225" s="235"/>
      <c r="AX225" s="235"/>
      <c r="AY225" s="235"/>
      <c r="AZ225" s="235"/>
      <c r="BA225" s="235"/>
      <c r="BB225" s="235"/>
      <c r="BC225" s="235"/>
      <c r="BD225" s="235"/>
      <c r="BE225" s="235"/>
      <c r="BF225" s="235"/>
      <c r="BG225" s="235"/>
      <c r="BH225" s="235"/>
      <c r="BI225" s="235"/>
      <c r="BJ225" s="235"/>
      <c r="BK225" s="235"/>
      <c r="BL225" s="235"/>
      <c r="BM225" s="235"/>
      <c r="BN225" s="235"/>
      <c r="BO225" s="235"/>
      <c r="BP225" s="235"/>
      <c r="BQ225" s="235"/>
    </row>
    <row r="226" spans="1:69" s="780" customFormat="1" ht="15.75" customHeight="1">
      <c r="A226" s="62">
        <f t="shared" si="141"/>
        <v>24</v>
      </c>
      <c r="B226" s="63">
        <f t="shared" si="147"/>
        <v>46909</v>
      </c>
      <c r="C226" s="63">
        <f t="shared" si="142"/>
        <v>46915</v>
      </c>
      <c r="D226" s="239">
        <f t="shared" ca="1" si="143"/>
        <v>0</v>
      </c>
      <c r="E226" s="239">
        <f t="shared" ca="1" si="144"/>
        <v>0</v>
      </c>
      <c r="F226" s="239">
        <f t="shared" ca="1" si="145"/>
        <v>0</v>
      </c>
      <c r="G226" s="261">
        <f t="shared" ca="1" si="146"/>
        <v>0</v>
      </c>
      <c r="I226" s="237"/>
      <c r="AV226" s="235"/>
      <c r="AW226" s="235"/>
      <c r="AX226" s="235"/>
      <c r="AY226" s="235"/>
      <c r="AZ226" s="235"/>
      <c r="BA226" s="235"/>
      <c r="BB226" s="235"/>
      <c r="BC226" s="235"/>
      <c r="BD226" s="235"/>
      <c r="BE226" s="235"/>
      <c r="BF226" s="235"/>
      <c r="BG226" s="235"/>
      <c r="BH226" s="235"/>
      <c r="BI226" s="235"/>
      <c r="BJ226" s="235"/>
      <c r="BK226" s="235"/>
      <c r="BL226" s="235"/>
      <c r="BM226" s="235"/>
      <c r="BN226" s="235"/>
      <c r="BO226" s="235"/>
      <c r="BP226" s="235"/>
      <c r="BQ226" s="235"/>
    </row>
    <row r="227" spans="1:69" s="780" customFormat="1" ht="15.75" customHeight="1">
      <c r="A227" s="62">
        <f t="shared" si="141"/>
        <v>25</v>
      </c>
      <c r="B227" s="63">
        <f t="shared" si="147"/>
        <v>46916</v>
      </c>
      <c r="C227" s="63">
        <f t="shared" si="142"/>
        <v>46922</v>
      </c>
      <c r="D227" s="239">
        <f t="shared" ca="1" si="143"/>
        <v>0</v>
      </c>
      <c r="E227" s="239">
        <f t="shared" ca="1" si="144"/>
        <v>0</v>
      </c>
      <c r="F227" s="239">
        <f t="shared" ca="1" si="145"/>
        <v>0</v>
      </c>
      <c r="G227" s="261">
        <f t="shared" ca="1" si="146"/>
        <v>0</v>
      </c>
      <c r="I227" s="237"/>
      <c r="AV227" s="235"/>
      <c r="AW227" s="235"/>
      <c r="AX227" s="235"/>
      <c r="AY227" s="235"/>
      <c r="AZ227" s="235"/>
      <c r="BA227" s="235"/>
      <c r="BB227" s="235"/>
      <c r="BC227" s="235"/>
      <c r="BD227" s="235"/>
      <c r="BE227" s="235"/>
      <c r="BF227" s="235"/>
      <c r="BG227" s="235"/>
      <c r="BH227" s="235"/>
      <c r="BI227" s="235"/>
      <c r="BJ227" s="235"/>
      <c r="BK227" s="235"/>
      <c r="BL227" s="235"/>
      <c r="BM227" s="235"/>
      <c r="BN227" s="235"/>
      <c r="BO227" s="235"/>
      <c r="BP227" s="235"/>
      <c r="BQ227" s="235"/>
    </row>
    <row r="228" spans="1:69" s="780" customFormat="1" ht="15.75" customHeight="1">
      <c r="A228" s="62">
        <f t="shared" si="141"/>
        <v>26</v>
      </c>
      <c r="B228" s="63">
        <f t="shared" si="147"/>
        <v>46923</v>
      </c>
      <c r="C228" s="63">
        <f t="shared" si="142"/>
        <v>46929</v>
      </c>
      <c r="D228" s="239">
        <f t="shared" ca="1" si="143"/>
        <v>0</v>
      </c>
      <c r="E228" s="239">
        <f t="shared" ca="1" si="144"/>
        <v>0</v>
      </c>
      <c r="F228" s="239">
        <f t="shared" ca="1" si="145"/>
        <v>0</v>
      </c>
      <c r="G228" s="261">
        <f t="shared" ca="1" si="146"/>
        <v>0</v>
      </c>
      <c r="I228" s="237"/>
      <c r="AV228" s="235"/>
      <c r="AW228" s="235"/>
      <c r="AX228" s="235"/>
      <c r="AY228" s="235"/>
      <c r="AZ228" s="235"/>
      <c r="BA228" s="235"/>
      <c r="BB228" s="235"/>
      <c r="BC228" s="235"/>
      <c r="BD228" s="235"/>
      <c r="BE228" s="235"/>
      <c r="BF228" s="235"/>
      <c r="BG228" s="235"/>
      <c r="BH228" s="235"/>
      <c r="BI228" s="235"/>
      <c r="BJ228" s="235"/>
      <c r="BK228" s="235"/>
      <c r="BL228" s="235"/>
      <c r="BM228" s="235"/>
      <c r="BN228" s="235"/>
      <c r="BO228" s="235"/>
      <c r="BP228" s="235"/>
      <c r="BQ228" s="235"/>
    </row>
    <row r="229" spans="1:69" s="780" customFormat="1" ht="15.75" customHeight="1">
      <c r="A229" s="62">
        <f t="shared" si="141"/>
        <v>27</v>
      </c>
      <c r="B229" s="63">
        <f t="shared" si="147"/>
        <v>46930</v>
      </c>
      <c r="C229" s="63">
        <f t="shared" si="142"/>
        <v>46936</v>
      </c>
      <c r="D229" s="239">
        <f t="shared" ca="1" si="143"/>
        <v>0</v>
      </c>
      <c r="E229" s="239">
        <f t="shared" ca="1" si="144"/>
        <v>0</v>
      </c>
      <c r="F229" s="239">
        <f t="shared" ca="1" si="145"/>
        <v>0</v>
      </c>
      <c r="G229" s="261">
        <f t="shared" ca="1" si="146"/>
        <v>0</v>
      </c>
      <c r="I229" s="237"/>
      <c r="AV229" s="235"/>
      <c r="AW229" s="235"/>
      <c r="AX229" s="235"/>
      <c r="AY229" s="235"/>
      <c r="AZ229" s="235"/>
      <c r="BA229" s="235"/>
      <c r="BB229" s="235"/>
      <c r="BC229" s="235"/>
      <c r="BD229" s="235"/>
      <c r="BE229" s="235"/>
      <c r="BF229" s="235"/>
      <c r="BG229" s="235"/>
      <c r="BH229" s="235"/>
      <c r="BI229" s="235"/>
      <c r="BJ229" s="235"/>
      <c r="BK229" s="235"/>
      <c r="BL229" s="235"/>
      <c r="BM229" s="235"/>
      <c r="BN229" s="235"/>
      <c r="BO229" s="235"/>
      <c r="BP229" s="235"/>
      <c r="BQ229" s="235"/>
    </row>
    <row r="230" spans="1:69" s="780" customFormat="1" ht="15.75" customHeight="1">
      <c r="A230" s="62">
        <f t="shared" si="141"/>
        <v>28</v>
      </c>
      <c r="B230" s="63">
        <f t="shared" si="147"/>
        <v>46937</v>
      </c>
      <c r="C230" s="63">
        <f t="shared" si="142"/>
        <v>46943</v>
      </c>
      <c r="D230" s="239">
        <f t="shared" ca="1" si="143"/>
        <v>0</v>
      </c>
      <c r="E230" s="239">
        <f t="shared" ca="1" si="144"/>
        <v>0</v>
      </c>
      <c r="F230" s="239">
        <f t="shared" ca="1" si="145"/>
        <v>0</v>
      </c>
      <c r="G230" s="261">
        <f t="shared" ca="1" si="146"/>
        <v>0</v>
      </c>
      <c r="I230" s="237"/>
      <c r="AV230" s="235"/>
      <c r="AW230" s="235"/>
      <c r="AX230" s="235"/>
      <c r="AY230" s="235"/>
      <c r="AZ230" s="235"/>
      <c r="BA230" s="235"/>
      <c r="BB230" s="235"/>
      <c r="BC230" s="235"/>
      <c r="BD230" s="235"/>
      <c r="BE230" s="235"/>
      <c r="BF230" s="235"/>
      <c r="BG230" s="235"/>
      <c r="BH230" s="235"/>
      <c r="BI230" s="235"/>
      <c r="BJ230" s="235"/>
      <c r="BK230" s="235"/>
      <c r="BL230" s="235"/>
      <c r="BM230" s="235"/>
      <c r="BN230" s="235"/>
      <c r="BO230" s="235"/>
      <c r="BP230" s="235"/>
      <c r="BQ230" s="235"/>
    </row>
    <row r="231" spans="1:69" s="780" customFormat="1" ht="15.75" customHeight="1">
      <c r="A231" s="62">
        <f t="shared" si="141"/>
        <v>29</v>
      </c>
      <c r="B231" s="63">
        <f t="shared" si="147"/>
        <v>46944</v>
      </c>
      <c r="C231" s="63">
        <f t="shared" si="142"/>
        <v>46950</v>
      </c>
      <c r="D231" s="239">
        <f t="shared" ca="1" si="143"/>
        <v>0</v>
      </c>
      <c r="E231" s="239">
        <f t="shared" ca="1" si="144"/>
        <v>0</v>
      </c>
      <c r="F231" s="239">
        <f t="shared" ca="1" si="145"/>
        <v>0</v>
      </c>
      <c r="G231" s="261">
        <f t="shared" ca="1" si="146"/>
        <v>0</v>
      </c>
      <c r="I231" s="237"/>
      <c r="AV231" s="235"/>
      <c r="AW231" s="235"/>
      <c r="AX231" s="235"/>
      <c r="AY231" s="235"/>
      <c r="AZ231" s="235"/>
      <c r="BA231" s="235"/>
      <c r="BB231" s="235"/>
      <c r="BC231" s="235"/>
      <c r="BD231" s="235"/>
      <c r="BE231" s="235"/>
      <c r="BF231" s="235"/>
      <c r="BG231" s="235"/>
      <c r="BH231" s="235"/>
      <c r="BI231" s="235"/>
      <c r="BJ231" s="235"/>
      <c r="BK231" s="235"/>
      <c r="BL231" s="235"/>
      <c r="BM231" s="235"/>
      <c r="BN231" s="235"/>
      <c r="BO231" s="235"/>
      <c r="BP231" s="235"/>
      <c r="BQ231" s="235"/>
    </row>
    <row r="232" spans="1:69" s="780" customFormat="1" ht="15.75" customHeight="1">
      <c r="A232" s="62">
        <f t="shared" si="141"/>
        <v>30</v>
      </c>
      <c r="B232" s="63">
        <f t="shared" si="147"/>
        <v>46951</v>
      </c>
      <c r="C232" s="63">
        <f t="shared" si="142"/>
        <v>46957</v>
      </c>
      <c r="D232" s="239">
        <f t="shared" ca="1" si="143"/>
        <v>0</v>
      </c>
      <c r="E232" s="239">
        <f t="shared" ca="1" si="144"/>
        <v>0</v>
      </c>
      <c r="F232" s="239">
        <f t="shared" ca="1" si="145"/>
        <v>0</v>
      </c>
      <c r="G232" s="261">
        <f t="shared" ca="1" si="146"/>
        <v>0</v>
      </c>
      <c r="I232" s="237"/>
      <c r="AV232" s="235"/>
      <c r="AW232" s="235"/>
      <c r="AX232" s="235"/>
      <c r="AY232" s="235"/>
      <c r="AZ232" s="235"/>
      <c r="BA232" s="235"/>
      <c r="BB232" s="235"/>
      <c r="BC232" s="235"/>
      <c r="BD232" s="235"/>
      <c r="BE232" s="235"/>
      <c r="BF232" s="235"/>
      <c r="BG232" s="235"/>
      <c r="BH232" s="235"/>
      <c r="BI232" s="235"/>
      <c r="BJ232" s="235"/>
      <c r="BK232" s="235"/>
      <c r="BL232" s="235"/>
      <c r="BM232" s="235"/>
      <c r="BN232" s="235"/>
      <c r="BO232" s="235"/>
      <c r="BP232" s="235"/>
      <c r="BQ232" s="235"/>
    </row>
    <row r="233" spans="1:69" s="780" customFormat="1" ht="15.75" customHeight="1">
      <c r="A233" s="62">
        <f t="shared" si="141"/>
        <v>31</v>
      </c>
      <c r="B233" s="63">
        <f t="shared" si="147"/>
        <v>46958</v>
      </c>
      <c r="C233" s="63">
        <f t="shared" si="142"/>
        <v>46964</v>
      </c>
      <c r="D233" s="239">
        <f t="shared" ca="1" si="143"/>
        <v>0</v>
      </c>
      <c r="E233" s="239">
        <f t="shared" ca="1" si="144"/>
        <v>0</v>
      </c>
      <c r="F233" s="239">
        <f t="shared" ca="1" si="145"/>
        <v>0</v>
      </c>
      <c r="G233" s="261">
        <f t="shared" ca="1" si="146"/>
        <v>0</v>
      </c>
      <c r="I233" s="237"/>
      <c r="AV233" s="235"/>
      <c r="AW233" s="235"/>
      <c r="AX233" s="235"/>
      <c r="AY233" s="235"/>
      <c r="AZ233" s="235"/>
      <c r="BA233" s="235"/>
      <c r="BB233" s="235"/>
      <c r="BC233" s="235"/>
      <c r="BD233" s="235"/>
      <c r="BE233" s="235"/>
      <c r="BF233" s="235"/>
      <c r="BG233" s="235"/>
      <c r="BH233" s="235"/>
      <c r="BI233" s="235"/>
      <c r="BJ233" s="235"/>
      <c r="BK233" s="235"/>
      <c r="BL233" s="235"/>
      <c r="BM233" s="235"/>
      <c r="BN233" s="235"/>
      <c r="BO233" s="235"/>
      <c r="BP233" s="235"/>
      <c r="BQ233" s="235"/>
    </row>
    <row r="234" spans="1:69" s="780" customFormat="1" ht="15.75" customHeight="1">
      <c r="A234" s="62">
        <f t="shared" si="141"/>
        <v>32</v>
      </c>
      <c r="B234" s="63">
        <f t="shared" si="147"/>
        <v>46965</v>
      </c>
      <c r="C234" s="63">
        <f t="shared" si="142"/>
        <v>46971</v>
      </c>
      <c r="D234" s="239">
        <f t="shared" ca="1" si="143"/>
        <v>0</v>
      </c>
      <c r="E234" s="239">
        <f t="shared" ca="1" si="144"/>
        <v>0</v>
      </c>
      <c r="F234" s="239">
        <f t="shared" ca="1" si="145"/>
        <v>0</v>
      </c>
      <c r="G234" s="261">
        <f t="shared" ca="1" si="146"/>
        <v>0</v>
      </c>
      <c r="I234" s="237"/>
      <c r="AV234" s="235"/>
      <c r="AW234" s="235"/>
      <c r="AX234" s="235"/>
      <c r="AY234" s="235"/>
      <c r="AZ234" s="235"/>
      <c r="BA234" s="235"/>
      <c r="BB234" s="235"/>
      <c r="BC234" s="235"/>
      <c r="BD234" s="235"/>
      <c r="BE234" s="235"/>
      <c r="BF234" s="235"/>
      <c r="BG234" s="235"/>
      <c r="BH234" s="235"/>
      <c r="BI234" s="235"/>
      <c r="BJ234" s="235"/>
      <c r="BK234" s="235"/>
      <c r="BL234" s="235"/>
      <c r="BM234" s="235"/>
      <c r="BN234" s="235"/>
      <c r="BO234" s="235"/>
      <c r="BP234" s="235"/>
      <c r="BQ234" s="235"/>
    </row>
    <row r="235" spans="1:69" s="780" customFormat="1" ht="15.75" customHeight="1">
      <c r="A235" s="62">
        <f t="shared" si="141"/>
        <v>33</v>
      </c>
      <c r="B235" s="63">
        <f t="shared" si="147"/>
        <v>46972</v>
      </c>
      <c r="C235" s="63">
        <f t="shared" si="142"/>
        <v>46978</v>
      </c>
      <c r="D235" s="239">
        <f t="shared" ca="1" si="143"/>
        <v>0</v>
      </c>
      <c r="E235" s="239">
        <f t="shared" ca="1" si="144"/>
        <v>0</v>
      </c>
      <c r="F235" s="239">
        <f t="shared" ca="1" si="145"/>
        <v>0</v>
      </c>
      <c r="G235" s="261">
        <f t="shared" ca="1" si="146"/>
        <v>0</v>
      </c>
      <c r="I235" s="237"/>
      <c r="AV235" s="235"/>
      <c r="AW235" s="235"/>
      <c r="AX235" s="235"/>
      <c r="AY235" s="235"/>
      <c r="AZ235" s="235"/>
      <c r="BA235" s="235"/>
      <c r="BB235" s="235"/>
      <c r="BC235" s="235"/>
      <c r="BD235" s="235"/>
      <c r="BE235" s="235"/>
      <c r="BF235" s="235"/>
      <c r="BG235" s="235"/>
      <c r="BH235" s="235"/>
      <c r="BI235" s="235"/>
      <c r="BJ235" s="235"/>
      <c r="BK235" s="235"/>
      <c r="BL235" s="235"/>
      <c r="BM235" s="235"/>
      <c r="BN235" s="235"/>
      <c r="BO235" s="235"/>
      <c r="BP235" s="235"/>
      <c r="BQ235" s="235"/>
    </row>
    <row r="236" spans="1:69" s="780" customFormat="1" ht="15.75" customHeight="1">
      <c r="A236" s="62">
        <f t="shared" si="141"/>
        <v>34</v>
      </c>
      <c r="B236" s="63">
        <f t="shared" si="147"/>
        <v>46979</v>
      </c>
      <c r="C236" s="63">
        <f t="shared" si="142"/>
        <v>46985</v>
      </c>
      <c r="D236" s="239">
        <f t="shared" ca="1" si="143"/>
        <v>0</v>
      </c>
      <c r="E236" s="239">
        <f t="shared" ca="1" si="144"/>
        <v>0</v>
      </c>
      <c r="F236" s="239">
        <f t="shared" ca="1" si="145"/>
        <v>0</v>
      </c>
      <c r="G236" s="261">
        <f t="shared" ca="1" si="146"/>
        <v>0</v>
      </c>
      <c r="I236" s="237"/>
      <c r="AV236" s="235"/>
      <c r="AW236" s="235"/>
      <c r="AX236" s="235"/>
      <c r="AY236" s="235"/>
      <c r="AZ236" s="235"/>
      <c r="BA236" s="235"/>
      <c r="BB236" s="235"/>
      <c r="BC236" s="235"/>
      <c r="BD236" s="235"/>
      <c r="BE236" s="235"/>
      <c r="BF236" s="235"/>
      <c r="BG236" s="235"/>
      <c r="BH236" s="235"/>
      <c r="BI236" s="235"/>
      <c r="BJ236" s="235"/>
      <c r="BK236" s="235"/>
      <c r="BL236" s="235"/>
      <c r="BM236" s="235"/>
      <c r="BN236" s="235"/>
      <c r="BO236" s="235"/>
      <c r="BP236" s="235"/>
      <c r="BQ236" s="235"/>
    </row>
    <row r="237" spans="1:69" s="780" customFormat="1" ht="15.75" customHeight="1">
      <c r="A237" s="62">
        <f t="shared" ref="A237:A300" si="148">WEEKNUM(B237)</f>
        <v>35</v>
      </c>
      <c r="B237" s="63">
        <f t="shared" si="147"/>
        <v>46986</v>
      </c>
      <c r="C237" s="63">
        <f t="shared" ref="C237:C300" si="149">+B237+6</f>
        <v>46992</v>
      </c>
      <c r="D237" s="239">
        <f t="shared" ref="D237:D300" ca="1" si="150">SUMIFS(TOTAL,FECHA_RETIRO_VALORES,"&gt;="&amp;B237,FECHA_RETIRO_VALORES,"&lt;="&amp;C237)</f>
        <v>0</v>
      </c>
      <c r="E237" s="239">
        <f t="shared" ref="E237:E300" ca="1" si="151">SUMIFS(VALORES_COBRADOS,FECHA_RETIRO_VALORES,"&gt;="&amp;B237,FECHA_RETIRO_VALORES,"&lt;="&amp;C237)+SUMIFS(VALORES_EN_CARTERA,FECHA_RETIRO_VALORES,"&gt;="&amp;B237,FECHA_RETIRO_VALORES,"&lt;="&amp;C237)</f>
        <v>0</v>
      </c>
      <c r="F237" s="239">
        <f t="shared" ref="F237:F300" ca="1" si="152">SUMIFS(PENDIENTE_DE_ENTREGA,FECHA_RETIRO_VALORES,"&gt;="&amp;B237,FECHA_RETIRO_VALORES,"&lt;="&amp;C237,ESTADO_ENTREGA,"PENDIENTE")</f>
        <v>0</v>
      </c>
      <c r="G237" s="261">
        <f t="shared" ref="G237:G300" ca="1" si="153">SUMIFS(PENDIENTE_DE_COBRO,FECHA_RETIRO_VALORES,"&gt;="&amp;B237,FECHA_RETIRO_VALORES,"&lt;="&amp;C237,ESTADO_ENTREGA,"ENTREGADO")</f>
        <v>0</v>
      </c>
      <c r="I237" s="237"/>
      <c r="AV237" s="235"/>
      <c r="AW237" s="235"/>
      <c r="AX237" s="235"/>
      <c r="AY237" s="235"/>
      <c r="AZ237" s="235"/>
      <c r="BA237" s="235"/>
      <c r="BB237" s="235"/>
      <c r="BC237" s="235"/>
      <c r="BD237" s="235"/>
      <c r="BE237" s="235"/>
      <c r="BF237" s="235"/>
      <c r="BG237" s="235"/>
      <c r="BH237" s="235"/>
      <c r="BI237" s="235"/>
      <c r="BJ237" s="235"/>
      <c r="BK237" s="235"/>
      <c r="BL237" s="235"/>
      <c r="BM237" s="235"/>
      <c r="BN237" s="235"/>
      <c r="BO237" s="235"/>
      <c r="BP237" s="235"/>
      <c r="BQ237" s="235"/>
    </row>
    <row r="238" spans="1:69" s="780" customFormat="1" ht="15.75" customHeight="1">
      <c r="A238" s="62">
        <f t="shared" si="148"/>
        <v>36</v>
      </c>
      <c r="B238" s="63">
        <f t="shared" si="147"/>
        <v>46993</v>
      </c>
      <c r="C238" s="63">
        <f t="shared" si="149"/>
        <v>46999</v>
      </c>
      <c r="D238" s="239">
        <f t="shared" ca="1" si="150"/>
        <v>0</v>
      </c>
      <c r="E238" s="239">
        <f t="shared" ca="1" si="151"/>
        <v>0</v>
      </c>
      <c r="F238" s="239">
        <f t="shared" ca="1" si="152"/>
        <v>0</v>
      </c>
      <c r="G238" s="261">
        <f t="shared" ca="1" si="153"/>
        <v>0</v>
      </c>
      <c r="I238" s="237"/>
      <c r="AV238" s="235"/>
      <c r="AW238" s="235"/>
      <c r="AX238" s="235"/>
      <c r="AY238" s="235"/>
      <c r="AZ238" s="235"/>
      <c r="BA238" s="235"/>
      <c r="BB238" s="235"/>
      <c r="BC238" s="235"/>
      <c r="BD238" s="235"/>
      <c r="BE238" s="235"/>
      <c r="BF238" s="235"/>
      <c r="BG238" s="235"/>
      <c r="BH238" s="235"/>
      <c r="BI238" s="235"/>
      <c r="BJ238" s="235"/>
      <c r="BK238" s="235"/>
      <c r="BL238" s="235"/>
      <c r="BM238" s="235"/>
      <c r="BN238" s="235"/>
      <c r="BO238" s="235"/>
      <c r="BP238" s="235"/>
      <c r="BQ238" s="235"/>
    </row>
    <row r="239" spans="1:69" s="780" customFormat="1" ht="15.75" customHeight="1">
      <c r="A239" s="62">
        <f t="shared" si="148"/>
        <v>37</v>
      </c>
      <c r="B239" s="63">
        <f t="shared" si="147"/>
        <v>47000</v>
      </c>
      <c r="C239" s="63">
        <f t="shared" si="149"/>
        <v>47006</v>
      </c>
      <c r="D239" s="239">
        <f t="shared" ca="1" si="150"/>
        <v>0</v>
      </c>
      <c r="E239" s="239">
        <f t="shared" ca="1" si="151"/>
        <v>0</v>
      </c>
      <c r="F239" s="239">
        <f t="shared" ca="1" si="152"/>
        <v>0</v>
      </c>
      <c r="G239" s="261">
        <f t="shared" ca="1" si="153"/>
        <v>0</v>
      </c>
      <c r="I239" s="237"/>
      <c r="AV239" s="235"/>
      <c r="AW239" s="235"/>
      <c r="AX239" s="235"/>
      <c r="AY239" s="235"/>
      <c r="AZ239" s="235"/>
      <c r="BA239" s="235"/>
      <c r="BB239" s="235"/>
      <c r="BC239" s="235"/>
      <c r="BD239" s="235"/>
      <c r="BE239" s="235"/>
      <c r="BF239" s="235"/>
      <c r="BG239" s="235"/>
      <c r="BH239" s="235"/>
      <c r="BI239" s="235"/>
      <c r="BJ239" s="235"/>
      <c r="BK239" s="235"/>
      <c r="BL239" s="235"/>
      <c r="BM239" s="235"/>
      <c r="BN239" s="235"/>
      <c r="BO239" s="235"/>
      <c r="BP239" s="235"/>
      <c r="BQ239" s="235"/>
    </row>
    <row r="240" spans="1:69" s="780" customFormat="1" ht="15.75" customHeight="1">
      <c r="A240" s="62">
        <f t="shared" si="148"/>
        <v>38</v>
      </c>
      <c r="B240" s="63">
        <f t="shared" si="147"/>
        <v>47007</v>
      </c>
      <c r="C240" s="63">
        <f t="shared" si="149"/>
        <v>47013</v>
      </c>
      <c r="D240" s="239">
        <f t="shared" ca="1" si="150"/>
        <v>0</v>
      </c>
      <c r="E240" s="239">
        <f t="shared" ca="1" si="151"/>
        <v>0</v>
      </c>
      <c r="F240" s="239">
        <f t="shared" ca="1" si="152"/>
        <v>0</v>
      </c>
      <c r="G240" s="261">
        <f t="shared" ca="1" si="153"/>
        <v>0</v>
      </c>
      <c r="I240" s="237"/>
      <c r="AV240" s="235"/>
      <c r="AW240" s="235"/>
      <c r="AX240" s="235"/>
      <c r="AY240" s="235"/>
      <c r="AZ240" s="235"/>
      <c r="BA240" s="235"/>
      <c r="BB240" s="235"/>
      <c r="BC240" s="235"/>
      <c r="BD240" s="235"/>
      <c r="BE240" s="235"/>
      <c r="BF240" s="235"/>
      <c r="BG240" s="235"/>
      <c r="BH240" s="235"/>
      <c r="BI240" s="235"/>
      <c r="BJ240" s="235"/>
      <c r="BK240" s="235"/>
      <c r="BL240" s="235"/>
      <c r="BM240" s="235"/>
      <c r="BN240" s="235"/>
      <c r="BO240" s="235"/>
      <c r="BP240" s="235"/>
      <c r="BQ240" s="235"/>
    </row>
    <row r="241" spans="1:69" s="780" customFormat="1" ht="15.75" customHeight="1">
      <c r="A241" s="62">
        <f t="shared" si="148"/>
        <v>39</v>
      </c>
      <c r="B241" s="63">
        <f t="shared" si="147"/>
        <v>47014</v>
      </c>
      <c r="C241" s="63">
        <f t="shared" si="149"/>
        <v>47020</v>
      </c>
      <c r="D241" s="239">
        <f t="shared" ca="1" si="150"/>
        <v>0</v>
      </c>
      <c r="E241" s="239">
        <f t="shared" ca="1" si="151"/>
        <v>0</v>
      </c>
      <c r="F241" s="239">
        <f t="shared" ca="1" si="152"/>
        <v>0</v>
      </c>
      <c r="G241" s="261">
        <f t="shared" ca="1" si="153"/>
        <v>0</v>
      </c>
      <c r="I241" s="237"/>
      <c r="AV241" s="235"/>
      <c r="AW241" s="235"/>
      <c r="AX241" s="235"/>
      <c r="AY241" s="235"/>
      <c r="AZ241" s="235"/>
      <c r="BA241" s="235"/>
      <c r="BB241" s="235"/>
      <c r="BC241" s="235"/>
      <c r="BD241" s="235"/>
      <c r="BE241" s="235"/>
      <c r="BF241" s="235"/>
      <c r="BG241" s="235"/>
      <c r="BH241" s="235"/>
      <c r="BI241" s="235"/>
      <c r="BJ241" s="235"/>
      <c r="BK241" s="235"/>
      <c r="BL241" s="235"/>
      <c r="BM241" s="235"/>
      <c r="BN241" s="235"/>
      <c r="BO241" s="235"/>
      <c r="BP241" s="235"/>
      <c r="BQ241" s="235"/>
    </row>
    <row r="242" spans="1:69" s="780" customFormat="1" ht="15.75" customHeight="1">
      <c r="A242" s="62">
        <f t="shared" si="148"/>
        <v>40</v>
      </c>
      <c r="B242" s="63">
        <f t="shared" si="147"/>
        <v>47021</v>
      </c>
      <c r="C242" s="63">
        <f t="shared" si="149"/>
        <v>47027</v>
      </c>
      <c r="D242" s="239">
        <f t="shared" ca="1" si="150"/>
        <v>0</v>
      </c>
      <c r="E242" s="239">
        <f t="shared" ca="1" si="151"/>
        <v>0</v>
      </c>
      <c r="F242" s="239">
        <f t="shared" ca="1" si="152"/>
        <v>0</v>
      </c>
      <c r="G242" s="261">
        <f t="shared" ca="1" si="153"/>
        <v>0</v>
      </c>
      <c r="I242" s="237"/>
      <c r="AV242" s="235"/>
      <c r="AW242" s="235"/>
      <c r="AX242" s="235"/>
      <c r="AY242" s="235"/>
      <c r="AZ242" s="235"/>
      <c r="BA242" s="235"/>
      <c r="BB242" s="235"/>
      <c r="BC242" s="235"/>
      <c r="BD242" s="235"/>
      <c r="BE242" s="235"/>
      <c r="BF242" s="235"/>
      <c r="BG242" s="235"/>
      <c r="BH242" s="235"/>
      <c r="BI242" s="235"/>
      <c r="BJ242" s="235"/>
      <c r="BK242" s="235"/>
      <c r="BL242" s="235"/>
      <c r="BM242" s="235"/>
      <c r="BN242" s="235"/>
      <c r="BO242" s="235"/>
      <c r="BP242" s="235"/>
      <c r="BQ242" s="235"/>
    </row>
    <row r="243" spans="1:69" s="780" customFormat="1" ht="15.75" customHeight="1">
      <c r="A243" s="62">
        <f t="shared" si="148"/>
        <v>41</v>
      </c>
      <c r="B243" s="63">
        <f t="shared" si="147"/>
        <v>47028</v>
      </c>
      <c r="C243" s="63">
        <f t="shared" si="149"/>
        <v>47034</v>
      </c>
      <c r="D243" s="239">
        <f t="shared" ca="1" si="150"/>
        <v>0</v>
      </c>
      <c r="E243" s="239">
        <f t="shared" ca="1" si="151"/>
        <v>0</v>
      </c>
      <c r="F243" s="239">
        <f t="shared" ca="1" si="152"/>
        <v>0</v>
      </c>
      <c r="G243" s="261">
        <f t="shared" ca="1" si="153"/>
        <v>0</v>
      </c>
      <c r="I243" s="237"/>
      <c r="AV243" s="235"/>
      <c r="AW243" s="235"/>
      <c r="AX243" s="235"/>
      <c r="AY243" s="235"/>
      <c r="AZ243" s="235"/>
      <c r="BA243" s="235"/>
      <c r="BB243" s="235"/>
      <c r="BC243" s="235"/>
      <c r="BD243" s="235"/>
      <c r="BE243" s="235"/>
      <c r="BF243" s="235"/>
      <c r="BG243" s="235"/>
      <c r="BH243" s="235"/>
      <c r="BI243" s="235"/>
      <c r="BJ243" s="235"/>
      <c r="BK243" s="235"/>
      <c r="BL243" s="235"/>
      <c r="BM243" s="235"/>
      <c r="BN243" s="235"/>
      <c r="BO243" s="235"/>
      <c r="BP243" s="235"/>
      <c r="BQ243" s="235"/>
    </row>
    <row r="244" spans="1:69" s="780" customFormat="1" ht="15.75" customHeight="1">
      <c r="A244" s="62">
        <f t="shared" si="148"/>
        <v>42</v>
      </c>
      <c r="B244" s="63">
        <f t="shared" si="147"/>
        <v>47035</v>
      </c>
      <c r="C244" s="63">
        <f t="shared" si="149"/>
        <v>47041</v>
      </c>
      <c r="D244" s="239">
        <f t="shared" ca="1" si="150"/>
        <v>0</v>
      </c>
      <c r="E244" s="239">
        <f t="shared" ca="1" si="151"/>
        <v>0</v>
      </c>
      <c r="F244" s="239">
        <f t="shared" ca="1" si="152"/>
        <v>0</v>
      </c>
      <c r="G244" s="261">
        <f t="shared" ca="1" si="153"/>
        <v>0</v>
      </c>
      <c r="I244" s="237"/>
      <c r="AV244" s="235"/>
      <c r="AW244" s="235"/>
      <c r="AX244" s="235"/>
      <c r="AY244" s="235"/>
      <c r="AZ244" s="235"/>
      <c r="BA244" s="235"/>
      <c r="BB244" s="235"/>
      <c r="BC244" s="235"/>
      <c r="BD244" s="235"/>
      <c r="BE244" s="235"/>
      <c r="BF244" s="235"/>
      <c r="BG244" s="235"/>
      <c r="BH244" s="235"/>
      <c r="BI244" s="235"/>
      <c r="BJ244" s="235"/>
      <c r="BK244" s="235"/>
      <c r="BL244" s="235"/>
      <c r="BM244" s="235"/>
      <c r="BN244" s="235"/>
      <c r="BO244" s="235"/>
      <c r="BP244" s="235"/>
      <c r="BQ244" s="235"/>
    </row>
    <row r="245" spans="1:69" s="780" customFormat="1" ht="15.75" customHeight="1">
      <c r="A245" s="62">
        <f t="shared" si="148"/>
        <v>43</v>
      </c>
      <c r="B245" s="63">
        <f t="shared" si="147"/>
        <v>47042</v>
      </c>
      <c r="C245" s="63">
        <f t="shared" si="149"/>
        <v>47048</v>
      </c>
      <c r="D245" s="239">
        <f t="shared" ca="1" si="150"/>
        <v>0</v>
      </c>
      <c r="E245" s="239">
        <f t="shared" ca="1" si="151"/>
        <v>0</v>
      </c>
      <c r="F245" s="239">
        <f t="shared" ca="1" si="152"/>
        <v>0</v>
      </c>
      <c r="G245" s="261">
        <f t="shared" ca="1" si="153"/>
        <v>0</v>
      </c>
      <c r="I245" s="237"/>
      <c r="AV245" s="235"/>
      <c r="AW245" s="235"/>
      <c r="AX245" s="235"/>
      <c r="AY245" s="235"/>
      <c r="AZ245" s="235"/>
      <c r="BA245" s="235"/>
      <c r="BB245" s="235"/>
      <c r="BC245" s="235"/>
      <c r="BD245" s="235"/>
      <c r="BE245" s="235"/>
      <c r="BF245" s="235"/>
      <c r="BG245" s="235"/>
      <c r="BH245" s="235"/>
      <c r="BI245" s="235"/>
      <c r="BJ245" s="235"/>
      <c r="BK245" s="235"/>
      <c r="BL245" s="235"/>
      <c r="BM245" s="235"/>
      <c r="BN245" s="235"/>
      <c r="BO245" s="235"/>
      <c r="BP245" s="235"/>
      <c r="BQ245" s="235"/>
    </row>
    <row r="246" spans="1:69" s="780" customFormat="1" ht="15.75" customHeight="1">
      <c r="A246" s="62">
        <f t="shared" si="148"/>
        <v>44</v>
      </c>
      <c r="B246" s="63">
        <f t="shared" si="147"/>
        <v>47049</v>
      </c>
      <c r="C246" s="63">
        <f t="shared" si="149"/>
        <v>47055</v>
      </c>
      <c r="D246" s="239">
        <f t="shared" ca="1" si="150"/>
        <v>0</v>
      </c>
      <c r="E246" s="239">
        <f t="shared" ca="1" si="151"/>
        <v>0</v>
      </c>
      <c r="F246" s="239">
        <f t="shared" ca="1" si="152"/>
        <v>0</v>
      </c>
      <c r="G246" s="261">
        <f t="shared" ca="1" si="153"/>
        <v>0</v>
      </c>
      <c r="I246" s="237"/>
      <c r="AV246" s="235"/>
      <c r="AW246" s="235"/>
      <c r="AX246" s="235"/>
      <c r="AY246" s="235"/>
      <c r="AZ246" s="235"/>
      <c r="BA246" s="235"/>
      <c r="BB246" s="235"/>
      <c r="BC246" s="235"/>
      <c r="BD246" s="235"/>
      <c r="BE246" s="235"/>
      <c r="BF246" s="235"/>
      <c r="BG246" s="235"/>
      <c r="BH246" s="235"/>
      <c r="BI246" s="235"/>
      <c r="BJ246" s="235"/>
      <c r="BK246" s="235"/>
      <c r="BL246" s="235"/>
      <c r="BM246" s="235"/>
      <c r="BN246" s="235"/>
      <c r="BO246" s="235"/>
      <c r="BP246" s="235"/>
      <c r="BQ246" s="235"/>
    </row>
    <row r="247" spans="1:69" s="780" customFormat="1" ht="15.75" customHeight="1">
      <c r="A247" s="62">
        <f t="shared" si="148"/>
        <v>45</v>
      </c>
      <c r="B247" s="63">
        <f t="shared" si="147"/>
        <v>47056</v>
      </c>
      <c r="C247" s="63">
        <f t="shared" si="149"/>
        <v>47062</v>
      </c>
      <c r="D247" s="239">
        <f t="shared" ca="1" si="150"/>
        <v>0</v>
      </c>
      <c r="E247" s="239">
        <f t="shared" ca="1" si="151"/>
        <v>0</v>
      </c>
      <c r="F247" s="239">
        <f t="shared" ca="1" si="152"/>
        <v>0</v>
      </c>
      <c r="G247" s="261">
        <f t="shared" ca="1" si="153"/>
        <v>0</v>
      </c>
      <c r="I247" s="237"/>
      <c r="AV247" s="235"/>
      <c r="AW247" s="235"/>
      <c r="AX247" s="235"/>
      <c r="AY247" s="235"/>
      <c r="AZ247" s="235"/>
      <c r="BA247" s="235"/>
      <c r="BB247" s="235"/>
      <c r="BC247" s="235"/>
      <c r="BD247" s="235"/>
      <c r="BE247" s="235"/>
      <c r="BF247" s="235"/>
      <c r="BG247" s="235"/>
      <c r="BH247" s="235"/>
      <c r="BI247" s="235"/>
      <c r="BJ247" s="235"/>
      <c r="BK247" s="235"/>
      <c r="BL247" s="235"/>
      <c r="BM247" s="235"/>
      <c r="BN247" s="235"/>
      <c r="BO247" s="235"/>
      <c r="BP247" s="235"/>
      <c r="BQ247" s="235"/>
    </row>
    <row r="248" spans="1:69" s="780" customFormat="1" ht="15.75" customHeight="1">
      <c r="A248" s="62">
        <f t="shared" si="148"/>
        <v>46</v>
      </c>
      <c r="B248" s="63">
        <f t="shared" si="147"/>
        <v>47063</v>
      </c>
      <c r="C248" s="63">
        <f t="shared" si="149"/>
        <v>47069</v>
      </c>
      <c r="D248" s="239">
        <f t="shared" ca="1" si="150"/>
        <v>0</v>
      </c>
      <c r="E248" s="239">
        <f t="shared" ca="1" si="151"/>
        <v>0</v>
      </c>
      <c r="F248" s="239">
        <f t="shared" ca="1" si="152"/>
        <v>0</v>
      </c>
      <c r="G248" s="261">
        <f t="shared" ca="1" si="153"/>
        <v>0</v>
      </c>
      <c r="I248" s="237"/>
      <c r="AV248" s="235"/>
      <c r="AW248" s="235"/>
      <c r="AX248" s="235"/>
      <c r="AY248" s="235"/>
      <c r="AZ248" s="235"/>
      <c r="BA248" s="235"/>
      <c r="BB248" s="235"/>
      <c r="BC248" s="235"/>
      <c r="BD248" s="235"/>
      <c r="BE248" s="235"/>
      <c r="BF248" s="235"/>
      <c r="BG248" s="235"/>
      <c r="BH248" s="235"/>
      <c r="BI248" s="235"/>
      <c r="BJ248" s="235"/>
      <c r="BK248" s="235"/>
      <c r="BL248" s="235"/>
      <c r="BM248" s="235"/>
      <c r="BN248" s="235"/>
      <c r="BO248" s="235"/>
      <c r="BP248" s="235"/>
      <c r="BQ248" s="235"/>
    </row>
    <row r="249" spans="1:69" s="780" customFormat="1" ht="15.75" customHeight="1">
      <c r="A249" s="62">
        <f t="shared" si="148"/>
        <v>47</v>
      </c>
      <c r="B249" s="63">
        <f t="shared" si="147"/>
        <v>47070</v>
      </c>
      <c r="C249" s="63">
        <f t="shared" si="149"/>
        <v>47076</v>
      </c>
      <c r="D249" s="239">
        <f t="shared" ca="1" si="150"/>
        <v>0</v>
      </c>
      <c r="E249" s="239">
        <f t="shared" ca="1" si="151"/>
        <v>0</v>
      </c>
      <c r="F249" s="239">
        <f t="shared" ca="1" si="152"/>
        <v>0</v>
      </c>
      <c r="G249" s="261">
        <f t="shared" ca="1" si="153"/>
        <v>0</v>
      </c>
      <c r="I249" s="237"/>
      <c r="AV249" s="235"/>
      <c r="AW249" s="235"/>
      <c r="AX249" s="235"/>
      <c r="AY249" s="235"/>
      <c r="AZ249" s="235"/>
      <c r="BA249" s="235"/>
      <c r="BB249" s="235"/>
      <c r="BC249" s="235"/>
      <c r="BD249" s="235"/>
      <c r="BE249" s="235"/>
      <c r="BF249" s="235"/>
      <c r="BG249" s="235"/>
      <c r="BH249" s="235"/>
      <c r="BI249" s="235"/>
      <c r="BJ249" s="235"/>
      <c r="BK249" s="235"/>
      <c r="BL249" s="235"/>
      <c r="BM249" s="235"/>
      <c r="BN249" s="235"/>
      <c r="BO249" s="235"/>
      <c r="BP249" s="235"/>
      <c r="BQ249" s="235"/>
    </row>
    <row r="250" spans="1:69" s="780" customFormat="1" ht="15.75" customHeight="1">
      <c r="A250" s="62">
        <f t="shared" si="148"/>
        <v>48</v>
      </c>
      <c r="B250" s="63">
        <f t="shared" si="147"/>
        <v>47077</v>
      </c>
      <c r="C250" s="63">
        <f t="shared" si="149"/>
        <v>47083</v>
      </c>
      <c r="D250" s="239">
        <f t="shared" ca="1" si="150"/>
        <v>0</v>
      </c>
      <c r="E250" s="239">
        <f t="shared" ca="1" si="151"/>
        <v>0</v>
      </c>
      <c r="F250" s="239">
        <f t="shared" ca="1" si="152"/>
        <v>0</v>
      </c>
      <c r="G250" s="261">
        <f t="shared" ca="1" si="153"/>
        <v>0</v>
      </c>
      <c r="I250" s="237"/>
      <c r="AV250" s="235"/>
      <c r="AW250" s="235"/>
      <c r="AX250" s="235"/>
      <c r="AY250" s="235"/>
      <c r="AZ250" s="235"/>
      <c r="BA250" s="235"/>
      <c r="BB250" s="235"/>
      <c r="BC250" s="235"/>
      <c r="BD250" s="235"/>
      <c r="BE250" s="235"/>
      <c r="BF250" s="235"/>
      <c r="BG250" s="235"/>
      <c r="BH250" s="235"/>
      <c r="BI250" s="235"/>
      <c r="BJ250" s="235"/>
      <c r="BK250" s="235"/>
      <c r="BL250" s="235"/>
      <c r="BM250" s="235"/>
      <c r="BN250" s="235"/>
      <c r="BO250" s="235"/>
      <c r="BP250" s="235"/>
      <c r="BQ250" s="235"/>
    </row>
    <row r="251" spans="1:69" s="780" customFormat="1" ht="15.75" customHeight="1">
      <c r="A251" s="62">
        <f t="shared" si="148"/>
        <v>49</v>
      </c>
      <c r="B251" s="63">
        <f t="shared" si="147"/>
        <v>47084</v>
      </c>
      <c r="C251" s="63">
        <f t="shared" si="149"/>
        <v>47090</v>
      </c>
      <c r="D251" s="239">
        <f t="shared" ca="1" si="150"/>
        <v>0</v>
      </c>
      <c r="E251" s="239">
        <f t="shared" ca="1" si="151"/>
        <v>0</v>
      </c>
      <c r="F251" s="239">
        <f t="shared" ca="1" si="152"/>
        <v>0</v>
      </c>
      <c r="G251" s="261">
        <f t="shared" ca="1" si="153"/>
        <v>0</v>
      </c>
      <c r="I251" s="237"/>
      <c r="AV251" s="235"/>
      <c r="AW251" s="235"/>
      <c r="AX251" s="235"/>
      <c r="AY251" s="235"/>
      <c r="AZ251" s="235"/>
      <c r="BA251" s="235"/>
      <c r="BB251" s="235"/>
      <c r="BC251" s="235"/>
      <c r="BD251" s="235"/>
      <c r="BE251" s="235"/>
      <c r="BF251" s="235"/>
      <c r="BG251" s="235"/>
      <c r="BH251" s="235"/>
      <c r="BI251" s="235"/>
      <c r="BJ251" s="235"/>
      <c r="BK251" s="235"/>
      <c r="BL251" s="235"/>
      <c r="BM251" s="235"/>
      <c r="BN251" s="235"/>
      <c r="BO251" s="235"/>
      <c r="BP251" s="235"/>
      <c r="BQ251" s="235"/>
    </row>
    <row r="252" spans="1:69" s="780" customFormat="1" ht="15.75" customHeight="1">
      <c r="A252" s="62">
        <f t="shared" si="148"/>
        <v>50</v>
      </c>
      <c r="B252" s="63">
        <f t="shared" si="147"/>
        <v>47091</v>
      </c>
      <c r="C252" s="63">
        <f t="shared" si="149"/>
        <v>47097</v>
      </c>
      <c r="D252" s="239">
        <f t="shared" ca="1" si="150"/>
        <v>0</v>
      </c>
      <c r="E252" s="239">
        <f t="shared" ca="1" si="151"/>
        <v>0</v>
      </c>
      <c r="F252" s="239">
        <f t="shared" ca="1" si="152"/>
        <v>0</v>
      </c>
      <c r="G252" s="261">
        <f t="shared" ca="1" si="153"/>
        <v>0</v>
      </c>
      <c r="I252" s="237"/>
      <c r="AV252" s="235"/>
      <c r="AW252" s="235"/>
      <c r="AX252" s="235"/>
      <c r="AY252" s="235"/>
      <c r="AZ252" s="235"/>
      <c r="BA252" s="235"/>
      <c r="BB252" s="235"/>
      <c r="BC252" s="235"/>
      <c r="BD252" s="235"/>
      <c r="BE252" s="235"/>
      <c r="BF252" s="235"/>
      <c r="BG252" s="235"/>
      <c r="BH252" s="235"/>
      <c r="BI252" s="235"/>
      <c r="BJ252" s="235"/>
      <c r="BK252" s="235"/>
      <c r="BL252" s="235"/>
      <c r="BM252" s="235"/>
      <c r="BN252" s="235"/>
      <c r="BO252" s="235"/>
      <c r="BP252" s="235"/>
      <c r="BQ252" s="235"/>
    </row>
    <row r="253" spans="1:69" s="780" customFormat="1" ht="15.75" customHeight="1">
      <c r="A253" s="62">
        <f t="shared" si="148"/>
        <v>51</v>
      </c>
      <c r="B253" s="63">
        <f t="shared" si="147"/>
        <v>47098</v>
      </c>
      <c r="C253" s="63">
        <f t="shared" si="149"/>
        <v>47104</v>
      </c>
      <c r="D253" s="239">
        <f t="shared" ca="1" si="150"/>
        <v>0</v>
      </c>
      <c r="E253" s="239">
        <f t="shared" ca="1" si="151"/>
        <v>0</v>
      </c>
      <c r="F253" s="239">
        <f t="shared" ca="1" si="152"/>
        <v>0</v>
      </c>
      <c r="G253" s="261">
        <f t="shared" ca="1" si="153"/>
        <v>0</v>
      </c>
      <c r="I253" s="237"/>
      <c r="AV253" s="235"/>
      <c r="AW253" s="235"/>
      <c r="AX253" s="235"/>
      <c r="AY253" s="235"/>
      <c r="AZ253" s="235"/>
      <c r="BA253" s="235"/>
      <c r="BB253" s="235"/>
      <c r="BC253" s="235"/>
      <c r="BD253" s="235"/>
      <c r="BE253" s="235"/>
      <c r="BF253" s="235"/>
      <c r="BG253" s="235"/>
      <c r="BH253" s="235"/>
      <c r="BI253" s="235"/>
      <c r="BJ253" s="235"/>
      <c r="BK253" s="235"/>
      <c r="BL253" s="235"/>
      <c r="BM253" s="235"/>
      <c r="BN253" s="235"/>
      <c r="BO253" s="235"/>
      <c r="BP253" s="235"/>
      <c r="BQ253" s="235"/>
    </row>
    <row r="254" spans="1:69" s="780" customFormat="1" ht="15.75" customHeight="1">
      <c r="A254" s="62">
        <f t="shared" si="148"/>
        <v>52</v>
      </c>
      <c r="B254" s="63">
        <f t="shared" si="147"/>
        <v>47105</v>
      </c>
      <c r="C254" s="63">
        <f t="shared" si="149"/>
        <v>47111</v>
      </c>
      <c r="D254" s="239">
        <f t="shared" ca="1" si="150"/>
        <v>0</v>
      </c>
      <c r="E254" s="239">
        <f t="shared" ca="1" si="151"/>
        <v>0</v>
      </c>
      <c r="F254" s="239">
        <f t="shared" ca="1" si="152"/>
        <v>0</v>
      </c>
      <c r="G254" s="261">
        <f t="shared" ca="1" si="153"/>
        <v>0</v>
      </c>
      <c r="I254" s="237"/>
      <c r="AV254" s="235"/>
      <c r="AW254" s="235"/>
      <c r="AX254" s="235"/>
      <c r="AY254" s="235"/>
      <c r="AZ254" s="235"/>
      <c r="BA254" s="235"/>
      <c r="BB254" s="235"/>
      <c r="BC254" s="235"/>
      <c r="BD254" s="235"/>
      <c r="BE254" s="235"/>
      <c r="BF254" s="235"/>
      <c r="BG254" s="235"/>
      <c r="BH254" s="235"/>
      <c r="BI254" s="235"/>
      <c r="BJ254" s="235"/>
      <c r="BK254" s="235"/>
      <c r="BL254" s="235"/>
      <c r="BM254" s="235"/>
      <c r="BN254" s="235"/>
      <c r="BO254" s="235"/>
      <c r="BP254" s="235"/>
      <c r="BQ254" s="235"/>
    </row>
    <row r="255" spans="1:69" s="780" customFormat="1" ht="15.75" customHeight="1">
      <c r="A255" s="62">
        <f t="shared" si="148"/>
        <v>53</v>
      </c>
      <c r="B255" s="63">
        <f t="shared" si="147"/>
        <v>47112</v>
      </c>
      <c r="C255" s="63">
        <f t="shared" si="149"/>
        <v>47118</v>
      </c>
      <c r="D255" s="239">
        <f t="shared" ca="1" si="150"/>
        <v>0</v>
      </c>
      <c r="E255" s="239">
        <f t="shared" ca="1" si="151"/>
        <v>0</v>
      </c>
      <c r="F255" s="239">
        <f t="shared" ca="1" si="152"/>
        <v>0</v>
      </c>
      <c r="G255" s="261">
        <f t="shared" ca="1" si="153"/>
        <v>0</v>
      </c>
      <c r="I255" s="237"/>
      <c r="AV255" s="235"/>
      <c r="AW255" s="235"/>
      <c r="AX255" s="235"/>
      <c r="AY255" s="235"/>
      <c r="AZ255" s="235"/>
      <c r="BA255" s="235"/>
      <c r="BB255" s="235"/>
      <c r="BC255" s="235"/>
      <c r="BD255" s="235"/>
      <c r="BE255" s="235"/>
      <c r="BF255" s="235"/>
      <c r="BG255" s="235"/>
      <c r="BH255" s="235"/>
      <c r="BI255" s="235"/>
      <c r="BJ255" s="235"/>
      <c r="BK255" s="235"/>
      <c r="BL255" s="235"/>
      <c r="BM255" s="235"/>
      <c r="BN255" s="235"/>
      <c r="BO255" s="235"/>
      <c r="BP255" s="235"/>
      <c r="BQ255" s="235"/>
    </row>
    <row r="256" spans="1:69" s="780" customFormat="1" ht="15.75" customHeight="1">
      <c r="A256" s="62">
        <f t="shared" si="148"/>
        <v>1</v>
      </c>
      <c r="B256" s="63">
        <f t="shared" si="147"/>
        <v>47119</v>
      </c>
      <c r="C256" s="63">
        <f t="shared" si="149"/>
        <v>47125</v>
      </c>
      <c r="D256" s="239">
        <f t="shared" ca="1" si="150"/>
        <v>0</v>
      </c>
      <c r="E256" s="239">
        <f t="shared" ca="1" si="151"/>
        <v>0</v>
      </c>
      <c r="F256" s="239">
        <f t="shared" ca="1" si="152"/>
        <v>0</v>
      </c>
      <c r="G256" s="261">
        <f t="shared" ca="1" si="153"/>
        <v>0</v>
      </c>
      <c r="I256" s="237"/>
      <c r="AV256" s="235"/>
      <c r="AW256" s="235"/>
      <c r="AX256" s="235"/>
      <c r="AY256" s="235"/>
      <c r="AZ256" s="235"/>
      <c r="BA256" s="235"/>
      <c r="BB256" s="235"/>
      <c r="BC256" s="235"/>
      <c r="BD256" s="235"/>
      <c r="BE256" s="235"/>
      <c r="BF256" s="235"/>
      <c r="BG256" s="235"/>
      <c r="BH256" s="235"/>
      <c r="BI256" s="235"/>
      <c r="BJ256" s="235"/>
      <c r="BK256" s="235"/>
      <c r="BL256" s="235"/>
      <c r="BM256" s="235"/>
      <c r="BN256" s="235"/>
      <c r="BO256" s="235"/>
      <c r="BP256" s="235"/>
      <c r="BQ256" s="235"/>
    </row>
    <row r="257" spans="1:69" s="780" customFormat="1" ht="15.75" customHeight="1">
      <c r="A257" s="62">
        <f t="shared" si="148"/>
        <v>2</v>
      </c>
      <c r="B257" s="63">
        <f t="shared" si="147"/>
        <v>47126</v>
      </c>
      <c r="C257" s="63">
        <f t="shared" si="149"/>
        <v>47132</v>
      </c>
      <c r="D257" s="239">
        <f t="shared" ca="1" si="150"/>
        <v>0</v>
      </c>
      <c r="E257" s="239">
        <f t="shared" ca="1" si="151"/>
        <v>0</v>
      </c>
      <c r="F257" s="239">
        <f t="shared" ca="1" si="152"/>
        <v>0</v>
      </c>
      <c r="G257" s="261">
        <f t="shared" ca="1" si="153"/>
        <v>0</v>
      </c>
      <c r="I257" s="237"/>
      <c r="AV257" s="235"/>
      <c r="AW257" s="235"/>
      <c r="AX257" s="235"/>
      <c r="AY257" s="235"/>
      <c r="AZ257" s="235"/>
      <c r="BA257" s="235"/>
      <c r="BB257" s="235"/>
      <c r="BC257" s="235"/>
      <c r="BD257" s="235"/>
      <c r="BE257" s="235"/>
      <c r="BF257" s="235"/>
      <c r="BG257" s="235"/>
      <c r="BH257" s="235"/>
      <c r="BI257" s="235"/>
      <c r="BJ257" s="235"/>
      <c r="BK257" s="235"/>
      <c r="BL257" s="235"/>
      <c r="BM257" s="235"/>
      <c r="BN257" s="235"/>
      <c r="BO257" s="235"/>
      <c r="BP257" s="235"/>
      <c r="BQ257" s="235"/>
    </row>
    <row r="258" spans="1:69" s="780" customFormat="1" ht="15.75" customHeight="1">
      <c r="A258" s="62">
        <f t="shared" si="148"/>
        <v>3</v>
      </c>
      <c r="B258" s="63">
        <f t="shared" si="147"/>
        <v>47133</v>
      </c>
      <c r="C258" s="63">
        <f t="shared" si="149"/>
        <v>47139</v>
      </c>
      <c r="D258" s="239">
        <f t="shared" ca="1" si="150"/>
        <v>0</v>
      </c>
      <c r="E258" s="239">
        <f t="shared" ca="1" si="151"/>
        <v>0</v>
      </c>
      <c r="F258" s="239">
        <f t="shared" ca="1" si="152"/>
        <v>0</v>
      </c>
      <c r="G258" s="261">
        <f t="shared" ca="1" si="153"/>
        <v>0</v>
      </c>
      <c r="I258" s="237"/>
      <c r="AV258" s="235"/>
      <c r="AW258" s="235"/>
      <c r="AX258" s="235"/>
      <c r="AY258" s="235"/>
      <c r="AZ258" s="235"/>
      <c r="BA258" s="235"/>
      <c r="BB258" s="235"/>
      <c r="BC258" s="235"/>
      <c r="BD258" s="235"/>
      <c r="BE258" s="235"/>
      <c r="BF258" s="235"/>
      <c r="BG258" s="235"/>
      <c r="BH258" s="235"/>
      <c r="BI258" s="235"/>
      <c r="BJ258" s="235"/>
      <c r="BK258" s="235"/>
      <c r="BL258" s="235"/>
      <c r="BM258" s="235"/>
      <c r="BN258" s="235"/>
      <c r="BO258" s="235"/>
      <c r="BP258" s="235"/>
      <c r="BQ258" s="235"/>
    </row>
    <row r="259" spans="1:69" s="780" customFormat="1" ht="15.75" customHeight="1">
      <c r="A259" s="62">
        <f t="shared" si="148"/>
        <v>4</v>
      </c>
      <c r="B259" s="63">
        <f t="shared" si="147"/>
        <v>47140</v>
      </c>
      <c r="C259" s="63">
        <f t="shared" si="149"/>
        <v>47146</v>
      </c>
      <c r="D259" s="239">
        <f t="shared" ca="1" si="150"/>
        <v>0</v>
      </c>
      <c r="E259" s="239">
        <f t="shared" ca="1" si="151"/>
        <v>0</v>
      </c>
      <c r="F259" s="239">
        <f t="shared" ca="1" si="152"/>
        <v>0</v>
      </c>
      <c r="G259" s="261">
        <f t="shared" ca="1" si="153"/>
        <v>0</v>
      </c>
      <c r="I259" s="237"/>
      <c r="AV259" s="235"/>
      <c r="AW259" s="235"/>
      <c r="AX259" s="235"/>
      <c r="AY259" s="235"/>
      <c r="AZ259" s="235"/>
      <c r="BA259" s="235"/>
      <c r="BB259" s="235"/>
      <c r="BC259" s="235"/>
      <c r="BD259" s="235"/>
      <c r="BE259" s="235"/>
      <c r="BF259" s="235"/>
      <c r="BG259" s="235"/>
      <c r="BH259" s="235"/>
      <c r="BI259" s="235"/>
      <c r="BJ259" s="235"/>
      <c r="BK259" s="235"/>
      <c r="BL259" s="235"/>
      <c r="BM259" s="235"/>
      <c r="BN259" s="235"/>
      <c r="BO259" s="235"/>
      <c r="BP259" s="235"/>
      <c r="BQ259" s="235"/>
    </row>
    <row r="260" spans="1:69" s="780" customFormat="1" ht="15.75" customHeight="1">
      <c r="A260" s="62">
        <f t="shared" si="148"/>
        <v>5</v>
      </c>
      <c r="B260" s="63">
        <f t="shared" si="147"/>
        <v>47147</v>
      </c>
      <c r="C260" s="63">
        <f t="shared" si="149"/>
        <v>47153</v>
      </c>
      <c r="D260" s="239">
        <f t="shared" ca="1" si="150"/>
        <v>0</v>
      </c>
      <c r="E260" s="239">
        <f t="shared" ca="1" si="151"/>
        <v>0</v>
      </c>
      <c r="F260" s="239">
        <f t="shared" ca="1" si="152"/>
        <v>0</v>
      </c>
      <c r="G260" s="261">
        <f t="shared" ca="1" si="153"/>
        <v>0</v>
      </c>
      <c r="I260" s="237"/>
      <c r="AV260" s="235"/>
      <c r="AW260" s="235"/>
      <c r="AX260" s="235"/>
      <c r="AY260" s="235"/>
      <c r="AZ260" s="235"/>
      <c r="BA260" s="235"/>
      <c r="BB260" s="235"/>
      <c r="BC260" s="235"/>
      <c r="BD260" s="235"/>
      <c r="BE260" s="235"/>
      <c r="BF260" s="235"/>
      <c r="BG260" s="235"/>
      <c r="BH260" s="235"/>
      <c r="BI260" s="235"/>
      <c r="BJ260" s="235"/>
      <c r="BK260" s="235"/>
      <c r="BL260" s="235"/>
      <c r="BM260" s="235"/>
      <c r="BN260" s="235"/>
      <c r="BO260" s="235"/>
      <c r="BP260" s="235"/>
      <c r="BQ260" s="235"/>
    </row>
    <row r="261" spans="1:69" s="780" customFormat="1" ht="15.75" customHeight="1">
      <c r="A261" s="62">
        <f t="shared" si="148"/>
        <v>6</v>
      </c>
      <c r="B261" s="63">
        <f t="shared" si="147"/>
        <v>47154</v>
      </c>
      <c r="C261" s="63">
        <f t="shared" si="149"/>
        <v>47160</v>
      </c>
      <c r="D261" s="239">
        <f t="shared" ca="1" si="150"/>
        <v>0</v>
      </c>
      <c r="E261" s="239">
        <f t="shared" ca="1" si="151"/>
        <v>0</v>
      </c>
      <c r="F261" s="239">
        <f t="shared" ca="1" si="152"/>
        <v>0</v>
      </c>
      <c r="G261" s="261">
        <f t="shared" ca="1" si="153"/>
        <v>0</v>
      </c>
      <c r="I261" s="237"/>
      <c r="AV261" s="235"/>
      <c r="AW261" s="235"/>
      <c r="AX261" s="235"/>
      <c r="AY261" s="235"/>
      <c r="AZ261" s="235"/>
      <c r="BA261" s="235"/>
      <c r="BB261" s="235"/>
      <c r="BC261" s="235"/>
      <c r="BD261" s="235"/>
      <c r="BE261" s="235"/>
      <c r="BF261" s="235"/>
      <c r="BG261" s="235"/>
      <c r="BH261" s="235"/>
      <c r="BI261" s="235"/>
      <c r="BJ261" s="235"/>
      <c r="BK261" s="235"/>
      <c r="BL261" s="235"/>
      <c r="BM261" s="235"/>
      <c r="BN261" s="235"/>
      <c r="BO261" s="235"/>
      <c r="BP261" s="235"/>
      <c r="BQ261" s="235"/>
    </row>
    <row r="262" spans="1:69" s="780" customFormat="1" ht="15.75" customHeight="1">
      <c r="A262" s="62">
        <f t="shared" si="148"/>
        <v>7</v>
      </c>
      <c r="B262" s="63">
        <f t="shared" si="147"/>
        <v>47161</v>
      </c>
      <c r="C262" s="63">
        <f t="shared" si="149"/>
        <v>47167</v>
      </c>
      <c r="D262" s="239">
        <f t="shared" ca="1" si="150"/>
        <v>0</v>
      </c>
      <c r="E262" s="239">
        <f t="shared" ca="1" si="151"/>
        <v>0</v>
      </c>
      <c r="F262" s="239">
        <f t="shared" ca="1" si="152"/>
        <v>0</v>
      </c>
      <c r="G262" s="261">
        <f t="shared" ca="1" si="153"/>
        <v>0</v>
      </c>
      <c r="I262" s="237"/>
      <c r="AV262" s="235"/>
      <c r="AW262" s="235"/>
      <c r="AX262" s="235"/>
      <c r="AY262" s="235"/>
      <c r="AZ262" s="235"/>
      <c r="BA262" s="235"/>
      <c r="BB262" s="235"/>
      <c r="BC262" s="235"/>
      <c r="BD262" s="235"/>
      <c r="BE262" s="235"/>
      <c r="BF262" s="235"/>
      <c r="BG262" s="235"/>
      <c r="BH262" s="235"/>
      <c r="BI262" s="235"/>
      <c r="BJ262" s="235"/>
      <c r="BK262" s="235"/>
      <c r="BL262" s="235"/>
      <c r="BM262" s="235"/>
      <c r="BN262" s="235"/>
      <c r="BO262" s="235"/>
      <c r="BP262" s="235"/>
      <c r="BQ262" s="235"/>
    </row>
    <row r="263" spans="1:69" s="780" customFormat="1" ht="15.75" customHeight="1">
      <c r="A263" s="62">
        <f t="shared" si="148"/>
        <v>8</v>
      </c>
      <c r="B263" s="63">
        <f t="shared" si="147"/>
        <v>47168</v>
      </c>
      <c r="C263" s="63">
        <f t="shared" si="149"/>
        <v>47174</v>
      </c>
      <c r="D263" s="239">
        <f t="shared" ca="1" si="150"/>
        <v>0</v>
      </c>
      <c r="E263" s="239">
        <f t="shared" ca="1" si="151"/>
        <v>0</v>
      </c>
      <c r="F263" s="239">
        <f t="shared" ca="1" si="152"/>
        <v>0</v>
      </c>
      <c r="G263" s="261">
        <f t="shared" ca="1" si="153"/>
        <v>0</v>
      </c>
      <c r="I263" s="237"/>
      <c r="AV263" s="235"/>
      <c r="AW263" s="235"/>
      <c r="AX263" s="235"/>
      <c r="AY263" s="235"/>
      <c r="AZ263" s="235"/>
      <c r="BA263" s="235"/>
      <c r="BB263" s="235"/>
      <c r="BC263" s="235"/>
      <c r="BD263" s="235"/>
      <c r="BE263" s="235"/>
      <c r="BF263" s="235"/>
      <c r="BG263" s="235"/>
      <c r="BH263" s="235"/>
      <c r="BI263" s="235"/>
      <c r="BJ263" s="235"/>
      <c r="BK263" s="235"/>
      <c r="BL263" s="235"/>
      <c r="BM263" s="235"/>
      <c r="BN263" s="235"/>
      <c r="BO263" s="235"/>
      <c r="BP263" s="235"/>
      <c r="BQ263" s="235"/>
    </row>
    <row r="264" spans="1:69" s="780" customFormat="1" ht="15.75" customHeight="1">
      <c r="A264" s="62">
        <f t="shared" si="148"/>
        <v>9</v>
      </c>
      <c r="B264" s="63">
        <f t="shared" si="147"/>
        <v>47175</v>
      </c>
      <c r="C264" s="63">
        <f t="shared" si="149"/>
        <v>47181</v>
      </c>
      <c r="D264" s="239">
        <f t="shared" ca="1" si="150"/>
        <v>0</v>
      </c>
      <c r="E264" s="239">
        <f t="shared" ca="1" si="151"/>
        <v>0</v>
      </c>
      <c r="F264" s="239">
        <f t="shared" ca="1" si="152"/>
        <v>0</v>
      </c>
      <c r="G264" s="261">
        <f t="shared" ca="1" si="153"/>
        <v>0</v>
      </c>
      <c r="I264" s="237"/>
      <c r="AV264" s="235"/>
      <c r="AW264" s="235"/>
      <c r="AX264" s="235"/>
      <c r="AY264" s="235"/>
      <c r="AZ264" s="235"/>
      <c r="BA264" s="235"/>
      <c r="BB264" s="235"/>
      <c r="BC264" s="235"/>
      <c r="BD264" s="235"/>
      <c r="BE264" s="235"/>
      <c r="BF264" s="235"/>
      <c r="BG264" s="235"/>
      <c r="BH264" s="235"/>
      <c r="BI264" s="235"/>
      <c r="BJ264" s="235"/>
      <c r="BK264" s="235"/>
      <c r="BL264" s="235"/>
      <c r="BM264" s="235"/>
      <c r="BN264" s="235"/>
      <c r="BO264" s="235"/>
      <c r="BP264" s="235"/>
      <c r="BQ264" s="235"/>
    </row>
    <row r="265" spans="1:69" s="780" customFormat="1" ht="15.75" customHeight="1">
      <c r="A265" s="62">
        <f t="shared" si="148"/>
        <v>10</v>
      </c>
      <c r="B265" s="63">
        <f t="shared" si="147"/>
        <v>47182</v>
      </c>
      <c r="C265" s="63">
        <f t="shared" si="149"/>
        <v>47188</v>
      </c>
      <c r="D265" s="239">
        <f t="shared" ca="1" si="150"/>
        <v>0</v>
      </c>
      <c r="E265" s="239">
        <f t="shared" ca="1" si="151"/>
        <v>0</v>
      </c>
      <c r="F265" s="239">
        <f t="shared" ca="1" si="152"/>
        <v>0</v>
      </c>
      <c r="G265" s="261">
        <f t="shared" ca="1" si="153"/>
        <v>0</v>
      </c>
      <c r="I265" s="237"/>
      <c r="AV265" s="235"/>
      <c r="AW265" s="235"/>
      <c r="AX265" s="235"/>
      <c r="AY265" s="235"/>
      <c r="AZ265" s="235"/>
      <c r="BA265" s="235"/>
      <c r="BB265" s="235"/>
      <c r="BC265" s="235"/>
      <c r="BD265" s="235"/>
      <c r="BE265" s="235"/>
      <c r="BF265" s="235"/>
      <c r="BG265" s="235"/>
      <c r="BH265" s="235"/>
      <c r="BI265" s="235"/>
      <c r="BJ265" s="235"/>
      <c r="BK265" s="235"/>
      <c r="BL265" s="235"/>
      <c r="BM265" s="235"/>
      <c r="BN265" s="235"/>
      <c r="BO265" s="235"/>
      <c r="BP265" s="235"/>
      <c r="BQ265" s="235"/>
    </row>
    <row r="266" spans="1:69" s="780" customFormat="1" ht="15.75" customHeight="1">
      <c r="A266" s="62">
        <f t="shared" si="148"/>
        <v>11</v>
      </c>
      <c r="B266" s="63">
        <f t="shared" si="147"/>
        <v>47189</v>
      </c>
      <c r="C266" s="63">
        <f t="shared" si="149"/>
        <v>47195</v>
      </c>
      <c r="D266" s="239">
        <f t="shared" ca="1" si="150"/>
        <v>0</v>
      </c>
      <c r="E266" s="239">
        <f t="shared" ca="1" si="151"/>
        <v>0</v>
      </c>
      <c r="F266" s="239">
        <f t="shared" ca="1" si="152"/>
        <v>0</v>
      </c>
      <c r="G266" s="261">
        <f t="shared" ca="1" si="153"/>
        <v>0</v>
      </c>
      <c r="I266" s="237"/>
      <c r="AV266" s="235"/>
      <c r="AW266" s="235"/>
      <c r="AX266" s="235"/>
      <c r="AY266" s="235"/>
      <c r="AZ266" s="235"/>
      <c r="BA266" s="235"/>
      <c r="BB266" s="235"/>
      <c r="BC266" s="235"/>
      <c r="BD266" s="235"/>
      <c r="BE266" s="235"/>
      <c r="BF266" s="235"/>
      <c r="BG266" s="235"/>
      <c r="BH266" s="235"/>
      <c r="BI266" s="235"/>
      <c r="BJ266" s="235"/>
      <c r="BK266" s="235"/>
      <c r="BL266" s="235"/>
      <c r="BM266" s="235"/>
      <c r="BN266" s="235"/>
      <c r="BO266" s="235"/>
      <c r="BP266" s="235"/>
      <c r="BQ266" s="235"/>
    </row>
    <row r="267" spans="1:69" s="780" customFormat="1" ht="15.75" customHeight="1">
      <c r="A267" s="62">
        <f t="shared" si="148"/>
        <v>12</v>
      </c>
      <c r="B267" s="63">
        <f t="shared" si="147"/>
        <v>47196</v>
      </c>
      <c r="C267" s="63">
        <f t="shared" si="149"/>
        <v>47202</v>
      </c>
      <c r="D267" s="239">
        <f t="shared" ca="1" si="150"/>
        <v>0</v>
      </c>
      <c r="E267" s="239">
        <f t="shared" ca="1" si="151"/>
        <v>0</v>
      </c>
      <c r="F267" s="239">
        <f t="shared" ca="1" si="152"/>
        <v>0</v>
      </c>
      <c r="G267" s="261">
        <f t="shared" ca="1" si="153"/>
        <v>0</v>
      </c>
      <c r="I267" s="237"/>
      <c r="AV267" s="235"/>
      <c r="AW267" s="235"/>
      <c r="AX267" s="235"/>
      <c r="AY267" s="235"/>
      <c r="AZ267" s="235"/>
      <c r="BA267" s="235"/>
      <c r="BB267" s="235"/>
      <c r="BC267" s="235"/>
      <c r="BD267" s="235"/>
      <c r="BE267" s="235"/>
      <c r="BF267" s="235"/>
      <c r="BG267" s="235"/>
      <c r="BH267" s="235"/>
      <c r="BI267" s="235"/>
      <c r="BJ267" s="235"/>
      <c r="BK267" s="235"/>
      <c r="BL267" s="235"/>
      <c r="BM267" s="235"/>
      <c r="BN267" s="235"/>
      <c r="BO267" s="235"/>
      <c r="BP267" s="235"/>
      <c r="BQ267" s="235"/>
    </row>
    <row r="268" spans="1:69" s="780" customFormat="1" ht="15.75" customHeight="1">
      <c r="A268" s="62">
        <f t="shared" si="148"/>
        <v>13</v>
      </c>
      <c r="B268" s="63">
        <f t="shared" si="147"/>
        <v>47203</v>
      </c>
      <c r="C268" s="63">
        <f t="shared" si="149"/>
        <v>47209</v>
      </c>
      <c r="D268" s="239">
        <f t="shared" ca="1" si="150"/>
        <v>0</v>
      </c>
      <c r="E268" s="239">
        <f t="shared" ca="1" si="151"/>
        <v>0</v>
      </c>
      <c r="F268" s="239">
        <f t="shared" ca="1" si="152"/>
        <v>0</v>
      </c>
      <c r="G268" s="261">
        <f t="shared" ca="1" si="153"/>
        <v>0</v>
      </c>
      <c r="I268" s="237"/>
      <c r="AV268" s="235"/>
      <c r="AW268" s="235"/>
      <c r="AX268" s="235"/>
      <c r="AY268" s="235"/>
      <c r="AZ268" s="235"/>
      <c r="BA268" s="235"/>
      <c r="BB268" s="235"/>
      <c r="BC268" s="235"/>
      <c r="BD268" s="235"/>
      <c r="BE268" s="235"/>
      <c r="BF268" s="235"/>
      <c r="BG268" s="235"/>
      <c r="BH268" s="235"/>
      <c r="BI268" s="235"/>
      <c r="BJ268" s="235"/>
      <c r="BK268" s="235"/>
      <c r="BL268" s="235"/>
      <c r="BM268" s="235"/>
      <c r="BN268" s="235"/>
      <c r="BO268" s="235"/>
      <c r="BP268" s="235"/>
      <c r="BQ268" s="235"/>
    </row>
    <row r="269" spans="1:69" s="780" customFormat="1" ht="15.75" customHeight="1">
      <c r="A269" s="62">
        <f t="shared" si="148"/>
        <v>14</v>
      </c>
      <c r="B269" s="63">
        <f t="shared" si="147"/>
        <v>47210</v>
      </c>
      <c r="C269" s="63">
        <f t="shared" si="149"/>
        <v>47216</v>
      </c>
      <c r="D269" s="239">
        <f t="shared" ca="1" si="150"/>
        <v>0</v>
      </c>
      <c r="E269" s="239">
        <f t="shared" ca="1" si="151"/>
        <v>0</v>
      </c>
      <c r="F269" s="239">
        <f t="shared" ca="1" si="152"/>
        <v>0</v>
      </c>
      <c r="G269" s="261">
        <f t="shared" ca="1" si="153"/>
        <v>0</v>
      </c>
      <c r="I269" s="237"/>
      <c r="AV269" s="235"/>
      <c r="AW269" s="235"/>
      <c r="AX269" s="235"/>
      <c r="AY269" s="235"/>
      <c r="AZ269" s="235"/>
      <c r="BA269" s="235"/>
      <c r="BB269" s="235"/>
      <c r="BC269" s="235"/>
      <c r="BD269" s="235"/>
      <c r="BE269" s="235"/>
      <c r="BF269" s="235"/>
      <c r="BG269" s="235"/>
      <c r="BH269" s="235"/>
      <c r="BI269" s="235"/>
      <c r="BJ269" s="235"/>
      <c r="BK269" s="235"/>
      <c r="BL269" s="235"/>
      <c r="BM269" s="235"/>
      <c r="BN269" s="235"/>
      <c r="BO269" s="235"/>
      <c r="BP269" s="235"/>
      <c r="BQ269" s="235"/>
    </row>
    <row r="270" spans="1:69" s="780" customFormat="1" ht="15.75" customHeight="1">
      <c r="A270" s="62">
        <f t="shared" si="148"/>
        <v>15</v>
      </c>
      <c r="B270" s="63">
        <f t="shared" si="147"/>
        <v>47217</v>
      </c>
      <c r="C270" s="63">
        <f t="shared" si="149"/>
        <v>47223</v>
      </c>
      <c r="D270" s="239">
        <f t="shared" ca="1" si="150"/>
        <v>0</v>
      </c>
      <c r="E270" s="239">
        <f t="shared" ca="1" si="151"/>
        <v>0</v>
      </c>
      <c r="F270" s="239">
        <f t="shared" ca="1" si="152"/>
        <v>0</v>
      </c>
      <c r="G270" s="261">
        <f t="shared" ca="1" si="153"/>
        <v>0</v>
      </c>
      <c r="I270" s="237"/>
      <c r="AV270" s="235"/>
      <c r="AW270" s="235"/>
      <c r="AX270" s="235"/>
      <c r="AY270" s="235"/>
      <c r="AZ270" s="235"/>
      <c r="BA270" s="235"/>
      <c r="BB270" s="235"/>
      <c r="BC270" s="235"/>
      <c r="BD270" s="235"/>
      <c r="BE270" s="235"/>
      <c r="BF270" s="235"/>
      <c r="BG270" s="235"/>
      <c r="BH270" s="235"/>
      <c r="BI270" s="235"/>
      <c r="BJ270" s="235"/>
      <c r="BK270" s="235"/>
      <c r="BL270" s="235"/>
      <c r="BM270" s="235"/>
      <c r="BN270" s="235"/>
      <c r="BO270" s="235"/>
      <c r="BP270" s="235"/>
      <c r="BQ270" s="235"/>
    </row>
    <row r="271" spans="1:69" s="780" customFormat="1" ht="15.75" customHeight="1">
      <c r="A271" s="62">
        <f t="shared" si="148"/>
        <v>16</v>
      </c>
      <c r="B271" s="63">
        <f t="shared" si="147"/>
        <v>47224</v>
      </c>
      <c r="C271" s="63">
        <f t="shared" si="149"/>
        <v>47230</v>
      </c>
      <c r="D271" s="239">
        <f t="shared" ca="1" si="150"/>
        <v>0</v>
      </c>
      <c r="E271" s="239">
        <f t="shared" ca="1" si="151"/>
        <v>0</v>
      </c>
      <c r="F271" s="239">
        <f t="shared" ca="1" si="152"/>
        <v>0</v>
      </c>
      <c r="G271" s="261">
        <f t="shared" ca="1" si="153"/>
        <v>0</v>
      </c>
      <c r="I271" s="237"/>
      <c r="AV271" s="235"/>
      <c r="AW271" s="235"/>
      <c r="AX271" s="235"/>
      <c r="AY271" s="235"/>
      <c r="AZ271" s="235"/>
      <c r="BA271" s="235"/>
      <c r="BB271" s="235"/>
      <c r="BC271" s="235"/>
      <c r="BD271" s="235"/>
      <c r="BE271" s="235"/>
      <c r="BF271" s="235"/>
      <c r="BG271" s="235"/>
      <c r="BH271" s="235"/>
      <c r="BI271" s="235"/>
      <c r="BJ271" s="235"/>
      <c r="BK271" s="235"/>
      <c r="BL271" s="235"/>
      <c r="BM271" s="235"/>
      <c r="BN271" s="235"/>
      <c r="BO271" s="235"/>
      <c r="BP271" s="235"/>
      <c r="BQ271" s="235"/>
    </row>
    <row r="272" spans="1:69" s="780" customFormat="1" ht="15.75" customHeight="1">
      <c r="A272" s="62">
        <f t="shared" si="148"/>
        <v>17</v>
      </c>
      <c r="B272" s="63">
        <f t="shared" si="147"/>
        <v>47231</v>
      </c>
      <c r="C272" s="63">
        <f t="shared" si="149"/>
        <v>47237</v>
      </c>
      <c r="D272" s="239">
        <f t="shared" ca="1" si="150"/>
        <v>0</v>
      </c>
      <c r="E272" s="239">
        <f t="shared" ca="1" si="151"/>
        <v>0</v>
      </c>
      <c r="F272" s="239">
        <f t="shared" ca="1" si="152"/>
        <v>0</v>
      </c>
      <c r="G272" s="261">
        <f t="shared" ca="1" si="153"/>
        <v>0</v>
      </c>
      <c r="I272" s="237"/>
      <c r="AV272" s="235"/>
      <c r="AW272" s="235"/>
      <c r="AX272" s="235"/>
      <c r="AY272" s="235"/>
      <c r="AZ272" s="235"/>
      <c r="BA272" s="235"/>
      <c r="BB272" s="235"/>
      <c r="BC272" s="235"/>
      <c r="BD272" s="235"/>
      <c r="BE272" s="235"/>
      <c r="BF272" s="235"/>
      <c r="BG272" s="235"/>
      <c r="BH272" s="235"/>
      <c r="BI272" s="235"/>
      <c r="BJ272" s="235"/>
      <c r="BK272" s="235"/>
      <c r="BL272" s="235"/>
      <c r="BM272" s="235"/>
      <c r="BN272" s="235"/>
      <c r="BO272" s="235"/>
      <c r="BP272" s="235"/>
      <c r="BQ272" s="235"/>
    </row>
    <row r="273" spans="1:69" s="780" customFormat="1" ht="15.75" customHeight="1">
      <c r="A273" s="62">
        <f t="shared" si="148"/>
        <v>18</v>
      </c>
      <c r="B273" s="63">
        <f t="shared" si="147"/>
        <v>47238</v>
      </c>
      <c r="C273" s="63">
        <f t="shared" si="149"/>
        <v>47244</v>
      </c>
      <c r="D273" s="239">
        <f t="shared" ca="1" si="150"/>
        <v>0</v>
      </c>
      <c r="E273" s="239">
        <f t="shared" ca="1" si="151"/>
        <v>0</v>
      </c>
      <c r="F273" s="239">
        <f t="shared" ca="1" si="152"/>
        <v>0</v>
      </c>
      <c r="G273" s="261">
        <f t="shared" ca="1" si="153"/>
        <v>0</v>
      </c>
      <c r="I273" s="237"/>
      <c r="AV273" s="235"/>
      <c r="AW273" s="235"/>
      <c r="AX273" s="235"/>
      <c r="AY273" s="235"/>
      <c r="AZ273" s="235"/>
      <c r="BA273" s="235"/>
      <c r="BB273" s="235"/>
      <c r="BC273" s="235"/>
      <c r="BD273" s="235"/>
      <c r="BE273" s="235"/>
      <c r="BF273" s="235"/>
      <c r="BG273" s="235"/>
      <c r="BH273" s="235"/>
      <c r="BI273" s="235"/>
      <c r="BJ273" s="235"/>
      <c r="BK273" s="235"/>
      <c r="BL273" s="235"/>
      <c r="BM273" s="235"/>
      <c r="BN273" s="235"/>
      <c r="BO273" s="235"/>
      <c r="BP273" s="235"/>
      <c r="BQ273" s="235"/>
    </row>
    <row r="274" spans="1:69" s="780" customFormat="1" ht="15.75" customHeight="1">
      <c r="A274" s="62">
        <f t="shared" si="148"/>
        <v>19</v>
      </c>
      <c r="B274" s="63">
        <f t="shared" si="147"/>
        <v>47245</v>
      </c>
      <c r="C274" s="63">
        <f t="shared" si="149"/>
        <v>47251</v>
      </c>
      <c r="D274" s="239">
        <f t="shared" ca="1" si="150"/>
        <v>0</v>
      </c>
      <c r="E274" s="239">
        <f t="shared" ca="1" si="151"/>
        <v>0</v>
      </c>
      <c r="F274" s="239">
        <f t="shared" ca="1" si="152"/>
        <v>0</v>
      </c>
      <c r="G274" s="261">
        <f t="shared" ca="1" si="153"/>
        <v>0</v>
      </c>
      <c r="I274" s="237"/>
      <c r="AV274" s="235"/>
      <c r="AW274" s="235"/>
      <c r="AX274" s="235"/>
      <c r="AY274" s="235"/>
      <c r="AZ274" s="235"/>
      <c r="BA274" s="235"/>
      <c r="BB274" s="235"/>
      <c r="BC274" s="235"/>
      <c r="BD274" s="235"/>
      <c r="BE274" s="235"/>
      <c r="BF274" s="235"/>
      <c r="BG274" s="235"/>
      <c r="BH274" s="235"/>
      <c r="BI274" s="235"/>
      <c r="BJ274" s="235"/>
      <c r="BK274" s="235"/>
      <c r="BL274" s="235"/>
      <c r="BM274" s="235"/>
      <c r="BN274" s="235"/>
      <c r="BO274" s="235"/>
      <c r="BP274" s="235"/>
      <c r="BQ274" s="235"/>
    </row>
    <row r="275" spans="1:69" s="780" customFormat="1" ht="15.75" customHeight="1">
      <c r="A275" s="62">
        <f t="shared" si="148"/>
        <v>20</v>
      </c>
      <c r="B275" s="63">
        <f t="shared" si="147"/>
        <v>47252</v>
      </c>
      <c r="C275" s="63">
        <f t="shared" si="149"/>
        <v>47258</v>
      </c>
      <c r="D275" s="239">
        <f t="shared" ca="1" si="150"/>
        <v>0</v>
      </c>
      <c r="E275" s="239">
        <f t="shared" ca="1" si="151"/>
        <v>0</v>
      </c>
      <c r="F275" s="239">
        <f t="shared" ca="1" si="152"/>
        <v>0</v>
      </c>
      <c r="G275" s="261">
        <f t="shared" ca="1" si="153"/>
        <v>0</v>
      </c>
      <c r="I275" s="237"/>
      <c r="AV275" s="235"/>
      <c r="AW275" s="235"/>
      <c r="AX275" s="235"/>
      <c r="AY275" s="235"/>
      <c r="AZ275" s="235"/>
      <c r="BA275" s="235"/>
      <c r="BB275" s="235"/>
      <c r="BC275" s="235"/>
      <c r="BD275" s="235"/>
      <c r="BE275" s="235"/>
      <c r="BF275" s="235"/>
      <c r="BG275" s="235"/>
      <c r="BH275" s="235"/>
      <c r="BI275" s="235"/>
      <c r="BJ275" s="235"/>
      <c r="BK275" s="235"/>
      <c r="BL275" s="235"/>
      <c r="BM275" s="235"/>
      <c r="BN275" s="235"/>
      <c r="BO275" s="235"/>
      <c r="BP275" s="235"/>
      <c r="BQ275" s="235"/>
    </row>
    <row r="276" spans="1:69" s="780" customFormat="1" ht="15.75" customHeight="1">
      <c r="A276" s="62">
        <f t="shared" si="148"/>
        <v>21</v>
      </c>
      <c r="B276" s="63">
        <f t="shared" ref="B276:B339" si="154">+B275+7</f>
        <v>47259</v>
      </c>
      <c r="C276" s="63">
        <f t="shared" si="149"/>
        <v>47265</v>
      </c>
      <c r="D276" s="239">
        <f t="shared" ca="1" si="150"/>
        <v>0</v>
      </c>
      <c r="E276" s="239">
        <f t="shared" ca="1" si="151"/>
        <v>0</v>
      </c>
      <c r="F276" s="239">
        <f t="shared" ca="1" si="152"/>
        <v>0</v>
      </c>
      <c r="G276" s="261">
        <f t="shared" ca="1" si="153"/>
        <v>0</v>
      </c>
      <c r="I276" s="237"/>
      <c r="AV276" s="235"/>
      <c r="AW276" s="235"/>
      <c r="AX276" s="235"/>
      <c r="AY276" s="235"/>
      <c r="AZ276" s="235"/>
      <c r="BA276" s="235"/>
      <c r="BB276" s="235"/>
      <c r="BC276" s="235"/>
      <c r="BD276" s="235"/>
      <c r="BE276" s="235"/>
      <c r="BF276" s="235"/>
      <c r="BG276" s="235"/>
      <c r="BH276" s="235"/>
      <c r="BI276" s="235"/>
      <c r="BJ276" s="235"/>
      <c r="BK276" s="235"/>
      <c r="BL276" s="235"/>
      <c r="BM276" s="235"/>
      <c r="BN276" s="235"/>
      <c r="BO276" s="235"/>
      <c r="BP276" s="235"/>
      <c r="BQ276" s="235"/>
    </row>
    <row r="277" spans="1:69" s="780" customFormat="1" ht="15.75" customHeight="1">
      <c r="A277" s="62">
        <f t="shared" si="148"/>
        <v>22</v>
      </c>
      <c r="B277" s="63">
        <f t="shared" si="154"/>
        <v>47266</v>
      </c>
      <c r="C277" s="63">
        <f t="shared" si="149"/>
        <v>47272</v>
      </c>
      <c r="D277" s="239">
        <f t="shared" ca="1" si="150"/>
        <v>0</v>
      </c>
      <c r="E277" s="239">
        <f t="shared" ca="1" si="151"/>
        <v>0</v>
      </c>
      <c r="F277" s="239">
        <f t="shared" ca="1" si="152"/>
        <v>0</v>
      </c>
      <c r="G277" s="261">
        <f t="shared" ca="1" si="153"/>
        <v>0</v>
      </c>
      <c r="I277" s="237"/>
      <c r="AV277" s="235"/>
      <c r="AW277" s="235"/>
      <c r="AX277" s="235"/>
      <c r="AY277" s="235"/>
      <c r="AZ277" s="235"/>
      <c r="BA277" s="235"/>
      <c r="BB277" s="235"/>
      <c r="BC277" s="235"/>
      <c r="BD277" s="235"/>
      <c r="BE277" s="235"/>
      <c r="BF277" s="235"/>
      <c r="BG277" s="235"/>
      <c r="BH277" s="235"/>
      <c r="BI277" s="235"/>
      <c r="BJ277" s="235"/>
      <c r="BK277" s="235"/>
      <c r="BL277" s="235"/>
      <c r="BM277" s="235"/>
      <c r="BN277" s="235"/>
      <c r="BO277" s="235"/>
      <c r="BP277" s="235"/>
      <c r="BQ277" s="235"/>
    </row>
    <row r="278" spans="1:69" s="780" customFormat="1" ht="15.75" customHeight="1">
      <c r="A278" s="62">
        <f t="shared" si="148"/>
        <v>23</v>
      </c>
      <c r="B278" s="63">
        <f t="shared" si="154"/>
        <v>47273</v>
      </c>
      <c r="C278" s="63">
        <f t="shared" si="149"/>
        <v>47279</v>
      </c>
      <c r="D278" s="239">
        <f t="shared" ca="1" si="150"/>
        <v>0</v>
      </c>
      <c r="E278" s="239">
        <f t="shared" ca="1" si="151"/>
        <v>0</v>
      </c>
      <c r="F278" s="239">
        <f t="shared" ca="1" si="152"/>
        <v>0</v>
      </c>
      <c r="G278" s="261">
        <f t="shared" ca="1" si="153"/>
        <v>0</v>
      </c>
      <c r="I278" s="237"/>
      <c r="AV278" s="235"/>
      <c r="AW278" s="235"/>
      <c r="AX278" s="235"/>
      <c r="AY278" s="235"/>
      <c r="AZ278" s="235"/>
      <c r="BA278" s="235"/>
      <c r="BB278" s="235"/>
      <c r="BC278" s="235"/>
      <c r="BD278" s="235"/>
      <c r="BE278" s="235"/>
      <c r="BF278" s="235"/>
      <c r="BG278" s="235"/>
      <c r="BH278" s="235"/>
      <c r="BI278" s="235"/>
      <c r="BJ278" s="235"/>
      <c r="BK278" s="235"/>
      <c r="BL278" s="235"/>
      <c r="BM278" s="235"/>
      <c r="BN278" s="235"/>
      <c r="BO278" s="235"/>
      <c r="BP278" s="235"/>
      <c r="BQ278" s="235"/>
    </row>
    <row r="279" spans="1:69" s="780" customFormat="1" ht="15.75" customHeight="1">
      <c r="A279" s="62">
        <f t="shared" si="148"/>
        <v>24</v>
      </c>
      <c r="B279" s="63">
        <f t="shared" si="154"/>
        <v>47280</v>
      </c>
      <c r="C279" s="63">
        <f t="shared" si="149"/>
        <v>47286</v>
      </c>
      <c r="D279" s="239">
        <f t="shared" ca="1" si="150"/>
        <v>0</v>
      </c>
      <c r="E279" s="239">
        <f t="shared" ca="1" si="151"/>
        <v>0</v>
      </c>
      <c r="F279" s="239">
        <f t="shared" ca="1" si="152"/>
        <v>0</v>
      </c>
      <c r="G279" s="261">
        <f t="shared" ca="1" si="153"/>
        <v>0</v>
      </c>
      <c r="I279" s="237"/>
      <c r="AV279" s="235"/>
      <c r="AW279" s="235"/>
      <c r="AX279" s="235"/>
      <c r="AY279" s="235"/>
      <c r="AZ279" s="235"/>
      <c r="BA279" s="235"/>
      <c r="BB279" s="235"/>
      <c r="BC279" s="235"/>
      <c r="BD279" s="235"/>
      <c r="BE279" s="235"/>
      <c r="BF279" s="235"/>
      <c r="BG279" s="235"/>
      <c r="BH279" s="235"/>
      <c r="BI279" s="235"/>
      <c r="BJ279" s="235"/>
      <c r="BK279" s="235"/>
      <c r="BL279" s="235"/>
      <c r="BM279" s="235"/>
      <c r="BN279" s="235"/>
      <c r="BO279" s="235"/>
      <c r="BP279" s="235"/>
      <c r="BQ279" s="235"/>
    </row>
    <row r="280" spans="1:69" s="780" customFormat="1" ht="15.75" customHeight="1">
      <c r="A280" s="62">
        <f t="shared" si="148"/>
        <v>25</v>
      </c>
      <c r="B280" s="63">
        <f t="shared" si="154"/>
        <v>47287</v>
      </c>
      <c r="C280" s="63">
        <f t="shared" si="149"/>
        <v>47293</v>
      </c>
      <c r="D280" s="239">
        <f t="shared" ca="1" si="150"/>
        <v>0</v>
      </c>
      <c r="E280" s="239">
        <f t="shared" ca="1" si="151"/>
        <v>0</v>
      </c>
      <c r="F280" s="239">
        <f t="shared" ca="1" si="152"/>
        <v>0</v>
      </c>
      <c r="G280" s="261">
        <f t="shared" ca="1" si="153"/>
        <v>0</v>
      </c>
      <c r="I280" s="237"/>
      <c r="AV280" s="235"/>
      <c r="AW280" s="235"/>
      <c r="AX280" s="235"/>
      <c r="AY280" s="235"/>
      <c r="AZ280" s="235"/>
      <c r="BA280" s="235"/>
      <c r="BB280" s="235"/>
      <c r="BC280" s="235"/>
      <c r="BD280" s="235"/>
      <c r="BE280" s="235"/>
      <c r="BF280" s="235"/>
      <c r="BG280" s="235"/>
      <c r="BH280" s="235"/>
      <c r="BI280" s="235"/>
      <c r="BJ280" s="235"/>
      <c r="BK280" s="235"/>
      <c r="BL280" s="235"/>
      <c r="BM280" s="235"/>
      <c r="BN280" s="235"/>
      <c r="BO280" s="235"/>
      <c r="BP280" s="235"/>
      <c r="BQ280" s="235"/>
    </row>
    <row r="281" spans="1:69" s="780" customFormat="1" ht="15.75" customHeight="1">
      <c r="A281" s="62">
        <f t="shared" si="148"/>
        <v>26</v>
      </c>
      <c r="B281" s="63">
        <f t="shared" si="154"/>
        <v>47294</v>
      </c>
      <c r="C281" s="63">
        <f t="shared" si="149"/>
        <v>47300</v>
      </c>
      <c r="D281" s="239">
        <f t="shared" ca="1" si="150"/>
        <v>0</v>
      </c>
      <c r="E281" s="239">
        <f t="shared" ca="1" si="151"/>
        <v>0</v>
      </c>
      <c r="F281" s="239">
        <f t="shared" ca="1" si="152"/>
        <v>0</v>
      </c>
      <c r="G281" s="261">
        <f t="shared" ca="1" si="153"/>
        <v>0</v>
      </c>
      <c r="I281" s="237"/>
      <c r="AV281" s="235"/>
      <c r="AW281" s="235"/>
      <c r="AX281" s="235"/>
      <c r="AY281" s="235"/>
      <c r="AZ281" s="235"/>
      <c r="BA281" s="235"/>
      <c r="BB281" s="235"/>
      <c r="BC281" s="235"/>
      <c r="BD281" s="235"/>
      <c r="BE281" s="235"/>
      <c r="BF281" s="235"/>
      <c r="BG281" s="235"/>
      <c r="BH281" s="235"/>
      <c r="BI281" s="235"/>
      <c r="BJ281" s="235"/>
      <c r="BK281" s="235"/>
      <c r="BL281" s="235"/>
      <c r="BM281" s="235"/>
      <c r="BN281" s="235"/>
      <c r="BO281" s="235"/>
      <c r="BP281" s="235"/>
      <c r="BQ281" s="235"/>
    </row>
    <row r="282" spans="1:69" s="780" customFormat="1" ht="15.75" customHeight="1">
      <c r="A282" s="62">
        <f t="shared" si="148"/>
        <v>27</v>
      </c>
      <c r="B282" s="63">
        <f t="shared" si="154"/>
        <v>47301</v>
      </c>
      <c r="C282" s="63">
        <f t="shared" si="149"/>
        <v>47307</v>
      </c>
      <c r="D282" s="239">
        <f t="shared" ca="1" si="150"/>
        <v>0</v>
      </c>
      <c r="E282" s="239">
        <f t="shared" ca="1" si="151"/>
        <v>0</v>
      </c>
      <c r="F282" s="239">
        <f t="shared" ca="1" si="152"/>
        <v>0</v>
      </c>
      <c r="G282" s="261">
        <f t="shared" ca="1" si="153"/>
        <v>0</v>
      </c>
      <c r="I282" s="237"/>
      <c r="AV282" s="235"/>
      <c r="AW282" s="235"/>
      <c r="AX282" s="235"/>
      <c r="AY282" s="235"/>
      <c r="AZ282" s="235"/>
      <c r="BA282" s="235"/>
      <c r="BB282" s="235"/>
      <c r="BC282" s="235"/>
      <c r="BD282" s="235"/>
      <c r="BE282" s="235"/>
      <c r="BF282" s="235"/>
      <c r="BG282" s="235"/>
      <c r="BH282" s="235"/>
      <c r="BI282" s="235"/>
      <c r="BJ282" s="235"/>
      <c r="BK282" s="235"/>
      <c r="BL282" s="235"/>
      <c r="BM282" s="235"/>
      <c r="BN282" s="235"/>
      <c r="BO282" s="235"/>
      <c r="BP282" s="235"/>
      <c r="BQ282" s="235"/>
    </row>
    <row r="283" spans="1:69" s="780" customFormat="1" ht="15.75" customHeight="1">
      <c r="A283" s="62">
        <f t="shared" si="148"/>
        <v>28</v>
      </c>
      <c r="B283" s="63">
        <f t="shared" si="154"/>
        <v>47308</v>
      </c>
      <c r="C283" s="63">
        <f t="shared" si="149"/>
        <v>47314</v>
      </c>
      <c r="D283" s="239">
        <f t="shared" ca="1" si="150"/>
        <v>0</v>
      </c>
      <c r="E283" s="239">
        <f t="shared" ca="1" si="151"/>
        <v>0</v>
      </c>
      <c r="F283" s="239">
        <f t="shared" ca="1" si="152"/>
        <v>0</v>
      </c>
      <c r="G283" s="261">
        <f t="shared" ca="1" si="153"/>
        <v>0</v>
      </c>
      <c r="I283" s="237"/>
      <c r="AV283" s="235"/>
      <c r="AW283" s="235"/>
      <c r="AX283" s="235"/>
      <c r="AY283" s="235"/>
      <c r="AZ283" s="235"/>
      <c r="BA283" s="235"/>
      <c r="BB283" s="235"/>
      <c r="BC283" s="235"/>
      <c r="BD283" s="235"/>
      <c r="BE283" s="235"/>
      <c r="BF283" s="235"/>
      <c r="BG283" s="235"/>
      <c r="BH283" s="235"/>
      <c r="BI283" s="235"/>
      <c r="BJ283" s="235"/>
      <c r="BK283" s="235"/>
      <c r="BL283" s="235"/>
      <c r="BM283" s="235"/>
      <c r="BN283" s="235"/>
      <c r="BO283" s="235"/>
      <c r="BP283" s="235"/>
      <c r="BQ283" s="235"/>
    </row>
    <row r="284" spans="1:69" s="780" customFormat="1" ht="15.75" customHeight="1">
      <c r="A284" s="62">
        <f t="shared" si="148"/>
        <v>29</v>
      </c>
      <c r="B284" s="63">
        <f t="shared" si="154"/>
        <v>47315</v>
      </c>
      <c r="C284" s="63">
        <f t="shared" si="149"/>
        <v>47321</v>
      </c>
      <c r="D284" s="239">
        <f t="shared" ca="1" si="150"/>
        <v>0</v>
      </c>
      <c r="E284" s="239">
        <f t="shared" ca="1" si="151"/>
        <v>0</v>
      </c>
      <c r="F284" s="239">
        <f t="shared" ca="1" si="152"/>
        <v>0</v>
      </c>
      <c r="G284" s="261">
        <f t="shared" ca="1" si="153"/>
        <v>0</v>
      </c>
      <c r="I284" s="237"/>
      <c r="AV284" s="235"/>
      <c r="AW284" s="235"/>
      <c r="AX284" s="235"/>
      <c r="AY284" s="235"/>
      <c r="AZ284" s="235"/>
      <c r="BA284" s="235"/>
      <c r="BB284" s="235"/>
      <c r="BC284" s="235"/>
      <c r="BD284" s="235"/>
      <c r="BE284" s="235"/>
      <c r="BF284" s="235"/>
      <c r="BG284" s="235"/>
      <c r="BH284" s="235"/>
      <c r="BI284" s="235"/>
      <c r="BJ284" s="235"/>
      <c r="BK284" s="235"/>
      <c r="BL284" s="235"/>
      <c r="BM284" s="235"/>
      <c r="BN284" s="235"/>
      <c r="BO284" s="235"/>
      <c r="BP284" s="235"/>
      <c r="BQ284" s="235"/>
    </row>
    <row r="285" spans="1:69" s="780" customFormat="1" ht="15.75" customHeight="1">
      <c r="A285" s="62">
        <f t="shared" si="148"/>
        <v>30</v>
      </c>
      <c r="B285" s="63">
        <f t="shared" si="154"/>
        <v>47322</v>
      </c>
      <c r="C285" s="63">
        <f t="shared" si="149"/>
        <v>47328</v>
      </c>
      <c r="D285" s="239">
        <f t="shared" ca="1" si="150"/>
        <v>0</v>
      </c>
      <c r="E285" s="239">
        <f t="shared" ca="1" si="151"/>
        <v>0</v>
      </c>
      <c r="F285" s="239">
        <f t="shared" ca="1" si="152"/>
        <v>0</v>
      </c>
      <c r="G285" s="261">
        <f t="shared" ca="1" si="153"/>
        <v>0</v>
      </c>
      <c r="I285" s="237"/>
      <c r="AV285" s="235"/>
      <c r="AW285" s="235"/>
      <c r="AX285" s="235"/>
      <c r="AY285" s="235"/>
      <c r="AZ285" s="235"/>
      <c r="BA285" s="235"/>
      <c r="BB285" s="235"/>
      <c r="BC285" s="235"/>
      <c r="BD285" s="235"/>
      <c r="BE285" s="235"/>
      <c r="BF285" s="235"/>
      <c r="BG285" s="235"/>
      <c r="BH285" s="235"/>
      <c r="BI285" s="235"/>
      <c r="BJ285" s="235"/>
      <c r="BK285" s="235"/>
      <c r="BL285" s="235"/>
      <c r="BM285" s="235"/>
      <c r="BN285" s="235"/>
      <c r="BO285" s="235"/>
      <c r="BP285" s="235"/>
      <c r="BQ285" s="235"/>
    </row>
    <row r="286" spans="1:69" s="780" customFormat="1" ht="15.75" customHeight="1">
      <c r="A286" s="62">
        <f t="shared" si="148"/>
        <v>31</v>
      </c>
      <c r="B286" s="63">
        <f t="shared" si="154"/>
        <v>47329</v>
      </c>
      <c r="C286" s="63">
        <f t="shared" si="149"/>
        <v>47335</v>
      </c>
      <c r="D286" s="239">
        <f t="shared" ca="1" si="150"/>
        <v>0</v>
      </c>
      <c r="E286" s="239">
        <f t="shared" ca="1" si="151"/>
        <v>0</v>
      </c>
      <c r="F286" s="239">
        <f t="shared" ca="1" si="152"/>
        <v>0</v>
      </c>
      <c r="G286" s="261">
        <f t="shared" ca="1" si="153"/>
        <v>0</v>
      </c>
      <c r="I286" s="237"/>
      <c r="AV286" s="235"/>
      <c r="AW286" s="235"/>
      <c r="AX286" s="235"/>
      <c r="AY286" s="235"/>
      <c r="AZ286" s="235"/>
      <c r="BA286" s="235"/>
      <c r="BB286" s="235"/>
      <c r="BC286" s="235"/>
      <c r="BD286" s="235"/>
      <c r="BE286" s="235"/>
      <c r="BF286" s="235"/>
      <c r="BG286" s="235"/>
      <c r="BH286" s="235"/>
      <c r="BI286" s="235"/>
      <c r="BJ286" s="235"/>
      <c r="BK286" s="235"/>
      <c r="BL286" s="235"/>
      <c r="BM286" s="235"/>
      <c r="BN286" s="235"/>
      <c r="BO286" s="235"/>
      <c r="BP286" s="235"/>
      <c r="BQ286" s="235"/>
    </row>
    <row r="287" spans="1:69" s="780" customFormat="1" ht="15.75" customHeight="1">
      <c r="A287" s="62">
        <f t="shared" si="148"/>
        <v>32</v>
      </c>
      <c r="B287" s="63">
        <f t="shared" si="154"/>
        <v>47336</v>
      </c>
      <c r="C287" s="63">
        <f t="shared" si="149"/>
        <v>47342</v>
      </c>
      <c r="D287" s="239">
        <f t="shared" ca="1" si="150"/>
        <v>0</v>
      </c>
      <c r="E287" s="239">
        <f t="shared" ca="1" si="151"/>
        <v>0</v>
      </c>
      <c r="F287" s="239">
        <f t="shared" ca="1" si="152"/>
        <v>0</v>
      </c>
      <c r="G287" s="261">
        <f t="shared" ca="1" si="153"/>
        <v>0</v>
      </c>
      <c r="I287" s="237"/>
      <c r="AV287" s="235"/>
      <c r="AW287" s="235"/>
      <c r="AX287" s="235"/>
      <c r="AY287" s="235"/>
      <c r="AZ287" s="235"/>
      <c r="BA287" s="235"/>
      <c r="BB287" s="235"/>
      <c r="BC287" s="235"/>
      <c r="BD287" s="235"/>
      <c r="BE287" s="235"/>
      <c r="BF287" s="235"/>
      <c r="BG287" s="235"/>
      <c r="BH287" s="235"/>
      <c r="BI287" s="235"/>
      <c r="BJ287" s="235"/>
      <c r="BK287" s="235"/>
      <c r="BL287" s="235"/>
      <c r="BM287" s="235"/>
      <c r="BN287" s="235"/>
      <c r="BO287" s="235"/>
      <c r="BP287" s="235"/>
      <c r="BQ287" s="235"/>
    </row>
    <row r="288" spans="1:69" s="780" customFormat="1" ht="15.75" customHeight="1">
      <c r="A288" s="62">
        <f t="shared" si="148"/>
        <v>33</v>
      </c>
      <c r="B288" s="63">
        <f t="shared" si="154"/>
        <v>47343</v>
      </c>
      <c r="C288" s="63">
        <f t="shared" si="149"/>
        <v>47349</v>
      </c>
      <c r="D288" s="239">
        <f t="shared" ca="1" si="150"/>
        <v>0</v>
      </c>
      <c r="E288" s="239">
        <f t="shared" ca="1" si="151"/>
        <v>0</v>
      </c>
      <c r="F288" s="239">
        <f t="shared" ca="1" si="152"/>
        <v>0</v>
      </c>
      <c r="G288" s="261">
        <f t="shared" ca="1" si="153"/>
        <v>0</v>
      </c>
      <c r="I288" s="237"/>
      <c r="AV288" s="235"/>
      <c r="AW288" s="235"/>
      <c r="AX288" s="235"/>
      <c r="AY288" s="235"/>
      <c r="AZ288" s="235"/>
      <c r="BA288" s="235"/>
      <c r="BB288" s="235"/>
      <c r="BC288" s="235"/>
      <c r="BD288" s="235"/>
      <c r="BE288" s="235"/>
      <c r="BF288" s="235"/>
      <c r="BG288" s="235"/>
      <c r="BH288" s="235"/>
      <c r="BI288" s="235"/>
      <c r="BJ288" s="235"/>
      <c r="BK288" s="235"/>
      <c r="BL288" s="235"/>
      <c r="BM288" s="235"/>
      <c r="BN288" s="235"/>
      <c r="BO288" s="235"/>
      <c r="BP288" s="235"/>
      <c r="BQ288" s="235"/>
    </row>
    <row r="289" spans="1:69" s="780" customFormat="1" ht="15.75" customHeight="1">
      <c r="A289" s="62">
        <f t="shared" si="148"/>
        <v>34</v>
      </c>
      <c r="B289" s="63">
        <f t="shared" si="154"/>
        <v>47350</v>
      </c>
      <c r="C289" s="63">
        <f t="shared" si="149"/>
        <v>47356</v>
      </c>
      <c r="D289" s="239">
        <f t="shared" ca="1" si="150"/>
        <v>0</v>
      </c>
      <c r="E289" s="239">
        <f t="shared" ca="1" si="151"/>
        <v>0</v>
      </c>
      <c r="F289" s="239">
        <f t="shared" ca="1" si="152"/>
        <v>0</v>
      </c>
      <c r="G289" s="261">
        <f t="shared" ca="1" si="153"/>
        <v>0</v>
      </c>
      <c r="I289" s="237"/>
      <c r="AV289" s="235"/>
      <c r="AW289" s="235"/>
      <c r="AX289" s="235"/>
      <c r="AY289" s="235"/>
      <c r="AZ289" s="235"/>
      <c r="BA289" s="235"/>
      <c r="BB289" s="235"/>
      <c r="BC289" s="235"/>
      <c r="BD289" s="235"/>
      <c r="BE289" s="235"/>
      <c r="BF289" s="235"/>
      <c r="BG289" s="235"/>
      <c r="BH289" s="235"/>
      <c r="BI289" s="235"/>
      <c r="BJ289" s="235"/>
      <c r="BK289" s="235"/>
      <c r="BL289" s="235"/>
      <c r="BM289" s="235"/>
      <c r="BN289" s="235"/>
      <c r="BO289" s="235"/>
      <c r="BP289" s="235"/>
      <c r="BQ289" s="235"/>
    </row>
    <row r="290" spans="1:69" s="780" customFormat="1" ht="15.75" customHeight="1">
      <c r="A290" s="62">
        <f t="shared" si="148"/>
        <v>35</v>
      </c>
      <c r="B290" s="63">
        <f t="shared" si="154"/>
        <v>47357</v>
      </c>
      <c r="C290" s="63">
        <f t="shared" si="149"/>
        <v>47363</v>
      </c>
      <c r="D290" s="239">
        <f t="shared" ca="1" si="150"/>
        <v>0</v>
      </c>
      <c r="E290" s="239">
        <f t="shared" ca="1" si="151"/>
        <v>0</v>
      </c>
      <c r="F290" s="239">
        <f t="shared" ca="1" si="152"/>
        <v>0</v>
      </c>
      <c r="G290" s="261">
        <f t="shared" ca="1" si="153"/>
        <v>0</v>
      </c>
      <c r="I290" s="237"/>
      <c r="AV290" s="235"/>
      <c r="AW290" s="235"/>
      <c r="AX290" s="235"/>
      <c r="AY290" s="235"/>
      <c r="AZ290" s="235"/>
      <c r="BA290" s="235"/>
      <c r="BB290" s="235"/>
      <c r="BC290" s="235"/>
      <c r="BD290" s="235"/>
      <c r="BE290" s="235"/>
      <c r="BF290" s="235"/>
      <c r="BG290" s="235"/>
      <c r="BH290" s="235"/>
      <c r="BI290" s="235"/>
      <c r="BJ290" s="235"/>
      <c r="BK290" s="235"/>
      <c r="BL290" s="235"/>
      <c r="BM290" s="235"/>
      <c r="BN290" s="235"/>
      <c r="BO290" s="235"/>
      <c r="BP290" s="235"/>
      <c r="BQ290" s="235"/>
    </row>
    <row r="291" spans="1:69" s="780" customFormat="1" ht="15.75" customHeight="1">
      <c r="A291" s="62">
        <f t="shared" si="148"/>
        <v>36</v>
      </c>
      <c r="B291" s="63">
        <f t="shared" si="154"/>
        <v>47364</v>
      </c>
      <c r="C291" s="63">
        <f t="shared" si="149"/>
        <v>47370</v>
      </c>
      <c r="D291" s="239">
        <f t="shared" ca="1" si="150"/>
        <v>0</v>
      </c>
      <c r="E291" s="239">
        <f t="shared" ca="1" si="151"/>
        <v>0</v>
      </c>
      <c r="F291" s="239">
        <f t="shared" ca="1" si="152"/>
        <v>0</v>
      </c>
      <c r="G291" s="261">
        <f t="shared" ca="1" si="153"/>
        <v>0</v>
      </c>
      <c r="I291" s="237"/>
      <c r="AV291" s="235"/>
      <c r="AW291" s="235"/>
      <c r="AX291" s="235"/>
      <c r="AY291" s="235"/>
      <c r="AZ291" s="235"/>
      <c r="BA291" s="235"/>
      <c r="BB291" s="235"/>
      <c r="BC291" s="235"/>
      <c r="BD291" s="235"/>
      <c r="BE291" s="235"/>
      <c r="BF291" s="235"/>
      <c r="BG291" s="235"/>
      <c r="BH291" s="235"/>
      <c r="BI291" s="235"/>
      <c r="BJ291" s="235"/>
      <c r="BK291" s="235"/>
      <c r="BL291" s="235"/>
      <c r="BM291" s="235"/>
      <c r="BN291" s="235"/>
      <c r="BO291" s="235"/>
      <c r="BP291" s="235"/>
      <c r="BQ291" s="235"/>
    </row>
    <row r="292" spans="1:69" s="780" customFormat="1" ht="15.75" customHeight="1">
      <c r="A292" s="62">
        <f t="shared" si="148"/>
        <v>37</v>
      </c>
      <c r="B292" s="63">
        <f t="shared" si="154"/>
        <v>47371</v>
      </c>
      <c r="C292" s="63">
        <f t="shared" si="149"/>
        <v>47377</v>
      </c>
      <c r="D292" s="239">
        <f t="shared" ca="1" si="150"/>
        <v>0</v>
      </c>
      <c r="E292" s="239">
        <f t="shared" ca="1" si="151"/>
        <v>0</v>
      </c>
      <c r="F292" s="239">
        <f t="shared" ca="1" si="152"/>
        <v>0</v>
      </c>
      <c r="G292" s="261">
        <f t="shared" ca="1" si="153"/>
        <v>0</v>
      </c>
      <c r="I292" s="237"/>
      <c r="AV292" s="235"/>
      <c r="AW292" s="235"/>
      <c r="AX292" s="235"/>
      <c r="AY292" s="235"/>
      <c r="AZ292" s="235"/>
      <c r="BA292" s="235"/>
      <c r="BB292" s="235"/>
      <c r="BC292" s="235"/>
      <c r="BD292" s="235"/>
      <c r="BE292" s="235"/>
      <c r="BF292" s="235"/>
      <c r="BG292" s="235"/>
      <c r="BH292" s="235"/>
      <c r="BI292" s="235"/>
      <c r="BJ292" s="235"/>
      <c r="BK292" s="235"/>
      <c r="BL292" s="235"/>
      <c r="BM292" s="235"/>
      <c r="BN292" s="235"/>
      <c r="BO292" s="235"/>
      <c r="BP292" s="235"/>
      <c r="BQ292" s="235"/>
    </row>
    <row r="293" spans="1:69" s="780" customFormat="1" ht="15.75" customHeight="1">
      <c r="A293" s="62">
        <f t="shared" si="148"/>
        <v>38</v>
      </c>
      <c r="B293" s="63">
        <f t="shared" si="154"/>
        <v>47378</v>
      </c>
      <c r="C293" s="63">
        <f t="shared" si="149"/>
        <v>47384</v>
      </c>
      <c r="D293" s="239">
        <f t="shared" ca="1" si="150"/>
        <v>0</v>
      </c>
      <c r="E293" s="239">
        <f t="shared" ca="1" si="151"/>
        <v>0</v>
      </c>
      <c r="F293" s="239">
        <f t="shared" ca="1" si="152"/>
        <v>0</v>
      </c>
      <c r="G293" s="261">
        <f t="shared" ca="1" si="153"/>
        <v>0</v>
      </c>
      <c r="I293" s="237"/>
      <c r="AV293" s="235"/>
      <c r="AW293" s="235"/>
      <c r="AX293" s="235"/>
      <c r="AY293" s="235"/>
      <c r="AZ293" s="235"/>
      <c r="BA293" s="235"/>
      <c r="BB293" s="235"/>
      <c r="BC293" s="235"/>
      <c r="BD293" s="235"/>
      <c r="BE293" s="235"/>
      <c r="BF293" s="235"/>
      <c r="BG293" s="235"/>
      <c r="BH293" s="235"/>
      <c r="BI293" s="235"/>
      <c r="BJ293" s="235"/>
      <c r="BK293" s="235"/>
      <c r="BL293" s="235"/>
      <c r="BM293" s="235"/>
      <c r="BN293" s="235"/>
      <c r="BO293" s="235"/>
      <c r="BP293" s="235"/>
      <c r="BQ293" s="235"/>
    </row>
    <row r="294" spans="1:69" s="780" customFormat="1" ht="15.75" customHeight="1">
      <c r="A294" s="62">
        <f t="shared" si="148"/>
        <v>39</v>
      </c>
      <c r="B294" s="63">
        <f t="shared" si="154"/>
        <v>47385</v>
      </c>
      <c r="C294" s="63">
        <f t="shared" si="149"/>
        <v>47391</v>
      </c>
      <c r="D294" s="239">
        <f t="shared" ca="1" si="150"/>
        <v>0</v>
      </c>
      <c r="E294" s="239">
        <f t="shared" ca="1" si="151"/>
        <v>0</v>
      </c>
      <c r="F294" s="239">
        <f t="shared" ca="1" si="152"/>
        <v>0</v>
      </c>
      <c r="G294" s="261">
        <f t="shared" ca="1" si="153"/>
        <v>0</v>
      </c>
      <c r="I294" s="237"/>
      <c r="AV294" s="235"/>
      <c r="AW294" s="235"/>
      <c r="AX294" s="235"/>
      <c r="AY294" s="235"/>
      <c r="AZ294" s="235"/>
      <c r="BA294" s="235"/>
      <c r="BB294" s="235"/>
      <c r="BC294" s="235"/>
      <c r="BD294" s="235"/>
      <c r="BE294" s="235"/>
      <c r="BF294" s="235"/>
      <c r="BG294" s="235"/>
      <c r="BH294" s="235"/>
      <c r="BI294" s="235"/>
      <c r="BJ294" s="235"/>
      <c r="BK294" s="235"/>
      <c r="BL294" s="235"/>
      <c r="BM294" s="235"/>
      <c r="BN294" s="235"/>
      <c r="BO294" s="235"/>
      <c r="BP294" s="235"/>
      <c r="BQ294" s="235"/>
    </row>
    <row r="295" spans="1:69" s="780" customFormat="1" ht="15.75" customHeight="1">
      <c r="A295" s="62">
        <f t="shared" si="148"/>
        <v>40</v>
      </c>
      <c r="B295" s="63">
        <f t="shared" si="154"/>
        <v>47392</v>
      </c>
      <c r="C295" s="63">
        <f t="shared" si="149"/>
        <v>47398</v>
      </c>
      <c r="D295" s="239">
        <f t="shared" ca="1" si="150"/>
        <v>0</v>
      </c>
      <c r="E295" s="239">
        <f t="shared" ca="1" si="151"/>
        <v>0</v>
      </c>
      <c r="F295" s="239">
        <f t="shared" ca="1" si="152"/>
        <v>0</v>
      </c>
      <c r="G295" s="261">
        <f t="shared" ca="1" si="153"/>
        <v>0</v>
      </c>
      <c r="I295" s="237"/>
      <c r="AV295" s="235"/>
      <c r="AW295" s="235"/>
      <c r="AX295" s="235"/>
      <c r="AY295" s="235"/>
      <c r="AZ295" s="235"/>
      <c r="BA295" s="235"/>
      <c r="BB295" s="235"/>
      <c r="BC295" s="235"/>
      <c r="BD295" s="235"/>
      <c r="BE295" s="235"/>
      <c r="BF295" s="235"/>
      <c r="BG295" s="235"/>
      <c r="BH295" s="235"/>
      <c r="BI295" s="235"/>
      <c r="BJ295" s="235"/>
      <c r="BK295" s="235"/>
      <c r="BL295" s="235"/>
      <c r="BM295" s="235"/>
      <c r="BN295" s="235"/>
      <c r="BO295" s="235"/>
      <c r="BP295" s="235"/>
      <c r="BQ295" s="235"/>
    </row>
    <row r="296" spans="1:69" s="780" customFormat="1" ht="15.75" customHeight="1">
      <c r="A296" s="62">
        <f t="shared" si="148"/>
        <v>41</v>
      </c>
      <c r="B296" s="63">
        <f t="shared" si="154"/>
        <v>47399</v>
      </c>
      <c r="C296" s="63">
        <f t="shared" si="149"/>
        <v>47405</v>
      </c>
      <c r="D296" s="239">
        <f t="shared" ca="1" si="150"/>
        <v>0</v>
      </c>
      <c r="E296" s="239">
        <f t="shared" ca="1" si="151"/>
        <v>0</v>
      </c>
      <c r="F296" s="239">
        <f t="shared" ca="1" si="152"/>
        <v>0</v>
      </c>
      <c r="G296" s="261">
        <f t="shared" ca="1" si="153"/>
        <v>0</v>
      </c>
      <c r="I296" s="237"/>
      <c r="AV296" s="235"/>
      <c r="AW296" s="235"/>
      <c r="AX296" s="235"/>
      <c r="AY296" s="235"/>
      <c r="AZ296" s="235"/>
      <c r="BA296" s="235"/>
      <c r="BB296" s="235"/>
      <c r="BC296" s="235"/>
      <c r="BD296" s="235"/>
      <c r="BE296" s="235"/>
      <c r="BF296" s="235"/>
      <c r="BG296" s="235"/>
      <c r="BH296" s="235"/>
      <c r="BI296" s="235"/>
      <c r="BJ296" s="235"/>
      <c r="BK296" s="235"/>
      <c r="BL296" s="235"/>
      <c r="BM296" s="235"/>
      <c r="BN296" s="235"/>
      <c r="BO296" s="235"/>
      <c r="BP296" s="235"/>
      <c r="BQ296" s="235"/>
    </row>
    <row r="297" spans="1:69" s="780" customFormat="1" ht="15.75" customHeight="1">
      <c r="A297" s="62">
        <f t="shared" si="148"/>
        <v>42</v>
      </c>
      <c r="B297" s="63">
        <f t="shared" si="154"/>
        <v>47406</v>
      </c>
      <c r="C297" s="63">
        <f t="shared" si="149"/>
        <v>47412</v>
      </c>
      <c r="D297" s="239">
        <f t="shared" ca="1" si="150"/>
        <v>0</v>
      </c>
      <c r="E297" s="239">
        <f t="shared" ca="1" si="151"/>
        <v>0</v>
      </c>
      <c r="F297" s="239">
        <f t="shared" ca="1" si="152"/>
        <v>0</v>
      </c>
      <c r="G297" s="261">
        <f t="shared" ca="1" si="153"/>
        <v>0</v>
      </c>
      <c r="I297" s="237"/>
      <c r="AV297" s="235"/>
      <c r="AW297" s="235"/>
      <c r="AX297" s="235"/>
      <c r="AY297" s="235"/>
      <c r="AZ297" s="235"/>
      <c r="BA297" s="235"/>
      <c r="BB297" s="235"/>
      <c r="BC297" s="235"/>
      <c r="BD297" s="235"/>
      <c r="BE297" s="235"/>
      <c r="BF297" s="235"/>
      <c r="BG297" s="235"/>
      <c r="BH297" s="235"/>
      <c r="BI297" s="235"/>
      <c r="BJ297" s="235"/>
      <c r="BK297" s="235"/>
      <c r="BL297" s="235"/>
      <c r="BM297" s="235"/>
      <c r="BN297" s="235"/>
      <c r="BO297" s="235"/>
      <c r="BP297" s="235"/>
      <c r="BQ297" s="235"/>
    </row>
    <row r="298" spans="1:69" s="780" customFormat="1" ht="15.75" customHeight="1">
      <c r="A298" s="62">
        <f t="shared" si="148"/>
        <v>43</v>
      </c>
      <c r="B298" s="63">
        <f t="shared" si="154"/>
        <v>47413</v>
      </c>
      <c r="C298" s="63">
        <f t="shared" si="149"/>
        <v>47419</v>
      </c>
      <c r="D298" s="239">
        <f t="shared" ca="1" si="150"/>
        <v>0</v>
      </c>
      <c r="E298" s="239">
        <f t="shared" ca="1" si="151"/>
        <v>0</v>
      </c>
      <c r="F298" s="239">
        <f t="shared" ca="1" si="152"/>
        <v>0</v>
      </c>
      <c r="G298" s="261">
        <f t="shared" ca="1" si="153"/>
        <v>0</v>
      </c>
      <c r="I298" s="237"/>
      <c r="AV298" s="235"/>
      <c r="AW298" s="235"/>
      <c r="AX298" s="235"/>
      <c r="AY298" s="235"/>
      <c r="AZ298" s="235"/>
      <c r="BA298" s="235"/>
      <c r="BB298" s="235"/>
      <c r="BC298" s="235"/>
      <c r="BD298" s="235"/>
      <c r="BE298" s="235"/>
      <c r="BF298" s="235"/>
      <c r="BG298" s="235"/>
      <c r="BH298" s="235"/>
      <c r="BI298" s="235"/>
      <c r="BJ298" s="235"/>
      <c r="BK298" s="235"/>
      <c r="BL298" s="235"/>
      <c r="BM298" s="235"/>
      <c r="BN298" s="235"/>
      <c r="BO298" s="235"/>
      <c r="BP298" s="235"/>
      <c r="BQ298" s="235"/>
    </row>
    <row r="299" spans="1:69" s="780" customFormat="1" ht="15.75" customHeight="1">
      <c r="A299" s="62">
        <f t="shared" si="148"/>
        <v>44</v>
      </c>
      <c r="B299" s="63">
        <f t="shared" si="154"/>
        <v>47420</v>
      </c>
      <c r="C299" s="63">
        <f t="shared" si="149"/>
        <v>47426</v>
      </c>
      <c r="D299" s="239">
        <f t="shared" ca="1" si="150"/>
        <v>0</v>
      </c>
      <c r="E299" s="239">
        <f t="shared" ca="1" si="151"/>
        <v>0</v>
      </c>
      <c r="F299" s="239">
        <f t="shared" ca="1" si="152"/>
        <v>0</v>
      </c>
      <c r="G299" s="261">
        <f t="shared" ca="1" si="153"/>
        <v>0</v>
      </c>
      <c r="I299" s="237"/>
      <c r="AV299" s="235"/>
      <c r="AW299" s="235"/>
      <c r="AX299" s="235"/>
      <c r="AY299" s="235"/>
      <c r="AZ299" s="235"/>
      <c r="BA299" s="235"/>
      <c r="BB299" s="235"/>
      <c r="BC299" s="235"/>
      <c r="BD299" s="235"/>
      <c r="BE299" s="235"/>
      <c r="BF299" s="235"/>
      <c r="BG299" s="235"/>
      <c r="BH299" s="235"/>
      <c r="BI299" s="235"/>
      <c r="BJ299" s="235"/>
      <c r="BK299" s="235"/>
      <c r="BL299" s="235"/>
      <c r="BM299" s="235"/>
      <c r="BN299" s="235"/>
      <c r="BO299" s="235"/>
      <c r="BP299" s="235"/>
      <c r="BQ299" s="235"/>
    </row>
    <row r="300" spans="1:69" s="780" customFormat="1" ht="15.75" customHeight="1">
      <c r="A300" s="62">
        <f t="shared" si="148"/>
        <v>45</v>
      </c>
      <c r="B300" s="63">
        <f t="shared" si="154"/>
        <v>47427</v>
      </c>
      <c r="C300" s="63">
        <f t="shared" si="149"/>
        <v>47433</v>
      </c>
      <c r="D300" s="239">
        <f t="shared" ca="1" si="150"/>
        <v>0</v>
      </c>
      <c r="E300" s="239">
        <f t="shared" ca="1" si="151"/>
        <v>0</v>
      </c>
      <c r="F300" s="239">
        <f t="shared" ca="1" si="152"/>
        <v>0</v>
      </c>
      <c r="G300" s="261">
        <f t="shared" ca="1" si="153"/>
        <v>0</v>
      </c>
      <c r="I300" s="237"/>
      <c r="AV300" s="235"/>
      <c r="AW300" s="235"/>
      <c r="AX300" s="235"/>
      <c r="AY300" s="235"/>
      <c r="AZ300" s="235"/>
      <c r="BA300" s="235"/>
      <c r="BB300" s="235"/>
      <c r="BC300" s="235"/>
      <c r="BD300" s="235"/>
      <c r="BE300" s="235"/>
      <c r="BF300" s="235"/>
      <c r="BG300" s="235"/>
      <c r="BH300" s="235"/>
      <c r="BI300" s="235"/>
      <c r="BJ300" s="235"/>
      <c r="BK300" s="235"/>
      <c r="BL300" s="235"/>
      <c r="BM300" s="235"/>
      <c r="BN300" s="235"/>
      <c r="BO300" s="235"/>
      <c r="BP300" s="235"/>
      <c r="BQ300" s="235"/>
    </row>
    <row r="301" spans="1:69" s="780" customFormat="1" ht="15.75" customHeight="1">
      <c r="A301" s="62">
        <f t="shared" ref="A301:A364" si="155">WEEKNUM(B301)</f>
        <v>46</v>
      </c>
      <c r="B301" s="63">
        <f t="shared" si="154"/>
        <v>47434</v>
      </c>
      <c r="C301" s="63">
        <f t="shared" ref="C301:C364" si="156">+B301+6</f>
        <v>47440</v>
      </c>
      <c r="D301" s="239">
        <f t="shared" ref="D301:D364" ca="1" si="157">SUMIFS(TOTAL,FECHA_RETIRO_VALORES,"&gt;="&amp;B301,FECHA_RETIRO_VALORES,"&lt;="&amp;C301)</f>
        <v>0</v>
      </c>
      <c r="E301" s="239">
        <f t="shared" ref="E301:E364" ca="1" si="158">SUMIFS(VALORES_COBRADOS,FECHA_RETIRO_VALORES,"&gt;="&amp;B301,FECHA_RETIRO_VALORES,"&lt;="&amp;C301)+SUMIFS(VALORES_EN_CARTERA,FECHA_RETIRO_VALORES,"&gt;="&amp;B301,FECHA_RETIRO_VALORES,"&lt;="&amp;C301)</f>
        <v>0</v>
      </c>
      <c r="F301" s="239">
        <f t="shared" ref="F301:F364" ca="1" si="159">SUMIFS(PENDIENTE_DE_ENTREGA,FECHA_RETIRO_VALORES,"&gt;="&amp;B301,FECHA_RETIRO_VALORES,"&lt;="&amp;C301,ESTADO_ENTREGA,"PENDIENTE")</f>
        <v>0</v>
      </c>
      <c r="G301" s="261">
        <f t="shared" ref="G301:G364" ca="1" si="160">SUMIFS(PENDIENTE_DE_COBRO,FECHA_RETIRO_VALORES,"&gt;="&amp;B301,FECHA_RETIRO_VALORES,"&lt;="&amp;C301,ESTADO_ENTREGA,"ENTREGADO")</f>
        <v>0</v>
      </c>
      <c r="I301" s="237"/>
      <c r="AV301" s="235"/>
      <c r="AW301" s="235"/>
      <c r="AX301" s="235"/>
      <c r="AY301" s="235"/>
      <c r="AZ301" s="235"/>
      <c r="BA301" s="235"/>
      <c r="BB301" s="235"/>
      <c r="BC301" s="235"/>
      <c r="BD301" s="235"/>
      <c r="BE301" s="235"/>
      <c r="BF301" s="235"/>
      <c r="BG301" s="235"/>
      <c r="BH301" s="235"/>
      <c r="BI301" s="235"/>
      <c r="BJ301" s="235"/>
      <c r="BK301" s="235"/>
      <c r="BL301" s="235"/>
      <c r="BM301" s="235"/>
      <c r="BN301" s="235"/>
      <c r="BO301" s="235"/>
      <c r="BP301" s="235"/>
      <c r="BQ301" s="235"/>
    </row>
    <row r="302" spans="1:69" s="780" customFormat="1" ht="15.75" customHeight="1">
      <c r="A302" s="62">
        <f t="shared" si="155"/>
        <v>47</v>
      </c>
      <c r="B302" s="63">
        <f t="shared" si="154"/>
        <v>47441</v>
      </c>
      <c r="C302" s="63">
        <f t="shared" si="156"/>
        <v>47447</v>
      </c>
      <c r="D302" s="239">
        <f t="shared" ca="1" si="157"/>
        <v>0</v>
      </c>
      <c r="E302" s="239">
        <f t="shared" ca="1" si="158"/>
        <v>0</v>
      </c>
      <c r="F302" s="239">
        <f t="shared" ca="1" si="159"/>
        <v>0</v>
      </c>
      <c r="G302" s="261">
        <f t="shared" ca="1" si="160"/>
        <v>0</v>
      </c>
      <c r="I302" s="237"/>
      <c r="AV302" s="235"/>
      <c r="AW302" s="235"/>
      <c r="AX302" s="235"/>
      <c r="AY302" s="235"/>
      <c r="AZ302" s="235"/>
      <c r="BA302" s="235"/>
      <c r="BB302" s="235"/>
      <c r="BC302" s="235"/>
      <c r="BD302" s="235"/>
      <c r="BE302" s="235"/>
      <c r="BF302" s="235"/>
      <c r="BG302" s="235"/>
      <c r="BH302" s="235"/>
      <c r="BI302" s="235"/>
      <c r="BJ302" s="235"/>
      <c r="BK302" s="235"/>
      <c r="BL302" s="235"/>
      <c r="BM302" s="235"/>
      <c r="BN302" s="235"/>
      <c r="BO302" s="235"/>
      <c r="BP302" s="235"/>
      <c r="BQ302" s="235"/>
    </row>
    <row r="303" spans="1:69" s="780" customFormat="1" ht="15.75" customHeight="1">
      <c r="A303" s="62">
        <f t="shared" si="155"/>
        <v>48</v>
      </c>
      <c r="B303" s="63">
        <f t="shared" si="154"/>
        <v>47448</v>
      </c>
      <c r="C303" s="63">
        <f t="shared" si="156"/>
        <v>47454</v>
      </c>
      <c r="D303" s="239">
        <f t="shared" ca="1" si="157"/>
        <v>0</v>
      </c>
      <c r="E303" s="239">
        <f t="shared" ca="1" si="158"/>
        <v>0</v>
      </c>
      <c r="F303" s="239">
        <f t="shared" ca="1" si="159"/>
        <v>0</v>
      </c>
      <c r="G303" s="261">
        <f t="shared" ca="1" si="160"/>
        <v>0</v>
      </c>
      <c r="I303" s="237"/>
      <c r="AV303" s="235"/>
      <c r="AW303" s="235"/>
      <c r="AX303" s="235"/>
      <c r="AY303" s="235"/>
      <c r="AZ303" s="235"/>
      <c r="BA303" s="235"/>
      <c r="BB303" s="235"/>
      <c r="BC303" s="235"/>
      <c r="BD303" s="235"/>
      <c r="BE303" s="235"/>
      <c r="BF303" s="235"/>
      <c r="BG303" s="235"/>
      <c r="BH303" s="235"/>
      <c r="BI303" s="235"/>
      <c r="BJ303" s="235"/>
      <c r="BK303" s="235"/>
      <c r="BL303" s="235"/>
      <c r="BM303" s="235"/>
      <c r="BN303" s="235"/>
      <c r="BO303" s="235"/>
      <c r="BP303" s="235"/>
      <c r="BQ303" s="235"/>
    </row>
    <row r="304" spans="1:69" s="780" customFormat="1" ht="15.75" customHeight="1">
      <c r="A304" s="62">
        <f t="shared" si="155"/>
        <v>49</v>
      </c>
      <c r="B304" s="63">
        <f t="shared" si="154"/>
        <v>47455</v>
      </c>
      <c r="C304" s="63">
        <f t="shared" si="156"/>
        <v>47461</v>
      </c>
      <c r="D304" s="239">
        <f t="shared" ca="1" si="157"/>
        <v>0</v>
      </c>
      <c r="E304" s="239">
        <f t="shared" ca="1" si="158"/>
        <v>0</v>
      </c>
      <c r="F304" s="239">
        <f t="shared" ca="1" si="159"/>
        <v>0</v>
      </c>
      <c r="G304" s="261">
        <f t="shared" ca="1" si="160"/>
        <v>0</v>
      </c>
      <c r="I304" s="237"/>
      <c r="AV304" s="235"/>
      <c r="AW304" s="235"/>
      <c r="AX304" s="235"/>
      <c r="AY304" s="235"/>
      <c r="AZ304" s="235"/>
      <c r="BA304" s="235"/>
      <c r="BB304" s="235"/>
      <c r="BC304" s="235"/>
      <c r="BD304" s="235"/>
      <c r="BE304" s="235"/>
      <c r="BF304" s="235"/>
      <c r="BG304" s="235"/>
      <c r="BH304" s="235"/>
      <c r="BI304" s="235"/>
      <c r="BJ304" s="235"/>
      <c r="BK304" s="235"/>
      <c r="BL304" s="235"/>
      <c r="BM304" s="235"/>
      <c r="BN304" s="235"/>
      <c r="BO304" s="235"/>
      <c r="BP304" s="235"/>
      <c r="BQ304" s="235"/>
    </row>
    <row r="305" spans="1:69" s="780" customFormat="1" ht="15.75" customHeight="1">
      <c r="A305" s="62">
        <f t="shared" si="155"/>
        <v>50</v>
      </c>
      <c r="B305" s="63">
        <f t="shared" si="154"/>
        <v>47462</v>
      </c>
      <c r="C305" s="63">
        <f t="shared" si="156"/>
        <v>47468</v>
      </c>
      <c r="D305" s="239">
        <f t="shared" ca="1" si="157"/>
        <v>0</v>
      </c>
      <c r="E305" s="239">
        <f t="shared" ca="1" si="158"/>
        <v>0</v>
      </c>
      <c r="F305" s="239">
        <f t="shared" ca="1" si="159"/>
        <v>0</v>
      </c>
      <c r="G305" s="261">
        <f t="shared" ca="1" si="160"/>
        <v>0</v>
      </c>
      <c r="I305" s="237"/>
      <c r="AV305" s="235"/>
      <c r="AW305" s="235"/>
      <c r="AX305" s="235"/>
      <c r="AY305" s="235"/>
      <c r="AZ305" s="235"/>
      <c r="BA305" s="235"/>
      <c r="BB305" s="235"/>
      <c r="BC305" s="235"/>
      <c r="BD305" s="235"/>
      <c r="BE305" s="235"/>
      <c r="BF305" s="235"/>
      <c r="BG305" s="235"/>
      <c r="BH305" s="235"/>
      <c r="BI305" s="235"/>
      <c r="BJ305" s="235"/>
      <c r="BK305" s="235"/>
      <c r="BL305" s="235"/>
      <c r="BM305" s="235"/>
      <c r="BN305" s="235"/>
      <c r="BO305" s="235"/>
      <c r="BP305" s="235"/>
      <c r="BQ305" s="235"/>
    </row>
    <row r="306" spans="1:69" s="780" customFormat="1" ht="15.75" customHeight="1">
      <c r="A306" s="62">
        <f t="shared" si="155"/>
        <v>51</v>
      </c>
      <c r="B306" s="63">
        <f t="shared" si="154"/>
        <v>47469</v>
      </c>
      <c r="C306" s="63">
        <f t="shared" si="156"/>
        <v>47475</v>
      </c>
      <c r="D306" s="239">
        <f t="shared" ca="1" si="157"/>
        <v>0</v>
      </c>
      <c r="E306" s="239">
        <f t="shared" ca="1" si="158"/>
        <v>0</v>
      </c>
      <c r="F306" s="239">
        <f t="shared" ca="1" si="159"/>
        <v>0</v>
      </c>
      <c r="G306" s="261">
        <f t="shared" ca="1" si="160"/>
        <v>0</v>
      </c>
      <c r="I306" s="237"/>
      <c r="AV306" s="235"/>
      <c r="AW306" s="235"/>
      <c r="AX306" s="235"/>
      <c r="AY306" s="235"/>
      <c r="AZ306" s="235"/>
      <c r="BA306" s="235"/>
      <c r="BB306" s="235"/>
      <c r="BC306" s="235"/>
      <c r="BD306" s="235"/>
      <c r="BE306" s="235"/>
      <c r="BF306" s="235"/>
      <c r="BG306" s="235"/>
      <c r="BH306" s="235"/>
      <c r="BI306" s="235"/>
      <c r="BJ306" s="235"/>
      <c r="BK306" s="235"/>
      <c r="BL306" s="235"/>
      <c r="BM306" s="235"/>
      <c r="BN306" s="235"/>
      <c r="BO306" s="235"/>
      <c r="BP306" s="235"/>
      <c r="BQ306" s="235"/>
    </row>
    <row r="307" spans="1:69" s="780" customFormat="1" ht="15.75" customHeight="1">
      <c r="A307" s="62">
        <f t="shared" si="155"/>
        <v>52</v>
      </c>
      <c r="B307" s="63">
        <f t="shared" si="154"/>
        <v>47476</v>
      </c>
      <c r="C307" s="63">
        <f t="shared" si="156"/>
        <v>47482</v>
      </c>
      <c r="D307" s="239">
        <f t="shared" ca="1" si="157"/>
        <v>0</v>
      </c>
      <c r="E307" s="239">
        <f t="shared" ca="1" si="158"/>
        <v>0</v>
      </c>
      <c r="F307" s="239">
        <f t="shared" ca="1" si="159"/>
        <v>0</v>
      </c>
      <c r="G307" s="261">
        <f t="shared" ca="1" si="160"/>
        <v>0</v>
      </c>
      <c r="I307" s="237"/>
      <c r="AV307" s="235"/>
      <c r="AW307" s="235"/>
      <c r="AX307" s="235"/>
      <c r="AY307" s="235"/>
      <c r="AZ307" s="235"/>
      <c r="BA307" s="235"/>
      <c r="BB307" s="235"/>
      <c r="BC307" s="235"/>
      <c r="BD307" s="235"/>
      <c r="BE307" s="235"/>
      <c r="BF307" s="235"/>
      <c r="BG307" s="235"/>
      <c r="BH307" s="235"/>
      <c r="BI307" s="235"/>
      <c r="BJ307" s="235"/>
      <c r="BK307" s="235"/>
      <c r="BL307" s="235"/>
      <c r="BM307" s="235"/>
      <c r="BN307" s="235"/>
      <c r="BO307" s="235"/>
      <c r="BP307" s="235"/>
      <c r="BQ307" s="235"/>
    </row>
    <row r="308" spans="1:69" s="780" customFormat="1" ht="15.75" customHeight="1">
      <c r="A308" s="62">
        <f t="shared" si="155"/>
        <v>53</v>
      </c>
      <c r="B308" s="63">
        <f t="shared" si="154"/>
        <v>47483</v>
      </c>
      <c r="C308" s="63">
        <f t="shared" si="156"/>
        <v>47489</v>
      </c>
      <c r="D308" s="239">
        <f t="shared" ca="1" si="157"/>
        <v>0</v>
      </c>
      <c r="E308" s="239">
        <f t="shared" ca="1" si="158"/>
        <v>0</v>
      </c>
      <c r="F308" s="239">
        <f t="shared" ca="1" si="159"/>
        <v>0</v>
      </c>
      <c r="G308" s="261">
        <f t="shared" ca="1" si="160"/>
        <v>0</v>
      </c>
      <c r="I308" s="237"/>
      <c r="AV308" s="235"/>
      <c r="AW308" s="235"/>
      <c r="AX308" s="235"/>
      <c r="AY308" s="235"/>
      <c r="AZ308" s="235"/>
      <c r="BA308" s="235"/>
      <c r="BB308" s="235"/>
      <c r="BC308" s="235"/>
      <c r="BD308" s="235"/>
      <c r="BE308" s="235"/>
      <c r="BF308" s="235"/>
      <c r="BG308" s="235"/>
      <c r="BH308" s="235"/>
      <c r="BI308" s="235"/>
      <c r="BJ308" s="235"/>
      <c r="BK308" s="235"/>
      <c r="BL308" s="235"/>
      <c r="BM308" s="235"/>
      <c r="BN308" s="235"/>
      <c r="BO308" s="235"/>
      <c r="BP308" s="235"/>
      <c r="BQ308" s="235"/>
    </row>
    <row r="309" spans="1:69" s="780" customFormat="1" ht="15.75" customHeight="1">
      <c r="A309" s="62">
        <f t="shared" si="155"/>
        <v>2</v>
      </c>
      <c r="B309" s="63">
        <f t="shared" si="154"/>
        <v>47490</v>
      </c>
      <c r="C309" s="63">
        <f t="shared" si="156"/>
        <v>47496</v>
      </c>
      <c r="D309" s="239">
        <f t="shared" ca="1" si="157"/>
        <v>0</v>
      </c>
      <c r="E309" s="239">
        <f t="shared" ca="1" si="158"/>
        <v>0</v>
      </c>
      <c r="F309" s="239">
        <f t="shared" ca="1" si="159"/>
        <v>0</v>
      </c>
      <c r="G309" s="261">
        <f t="shared" ca="1" si="160"/>
        <v>0</v>
      </c>
      <c r="I309" s="237"/>
      <c r="AV309" s="235"/>
      <c r="AW309" s="235"/>
      <c r="AX309" s="235"/>
      <c r="AY309" s="235"/>
      <c r="AZ309" s="235"/>
      <c r="BA309" s="235"/>
      <c r="BB309" s="235"/>
      <c r="BC309" s="235"/>
      <c r="BD309" s="235"/>
      <c r="BE309" s="235"/>
      <c r="BF309" s="235"/>
      <c r="BG309" s="235"/>
      <c r="BH309" s="235"/>
      <c r="BI309" s="235"/>
      <c r="BJ309" s="235"/>
      <c r="BK309" s="235"/>
      <c r="BL309" s="235"/>
      <c r="BM309" s="235"/>
      <c r="BN309" s="235"/>
      <c r="BO309" s="235"/>
      <c r="BP309" s="235"/>
      <c r="BQ309" s="235"/>
    </row>
    <row r="310" spans="1:69" s="780" customFormat="1" ht="15.75" customHeight="1">
      <c r="A310" s="62">
        <f t="shared" si="155"/>
        <v>3</v>
      </c>
      <c r="B310" s="63">
        <f t="shared" si="154"/>
        <v>47497</v>
      </c>
      <c r="C310" s="63">
        <f t="shared" si="156"/>
        <v>47503</v>
      </c>
      <c r="D310" s="239">
        <f t="shared" ca="1" si="157"/>
        <v>0</v>
      </c>
      <c r="E310" s="239">
        <f t="shared" ca="1" si="158"/>
        <v>0</v>
      </c>
      <c r="F310" s="239">
        <f t="shared" ca="1" si="159"/>
        <v>0</v>
      </c>
      <c r="G310" s="261">
        <f t="shared" ca="1" si="160"/>
        <v>0</v>
      </c>
      <c r="I310" s="237"/>
      <c r="AV310" s="235"/>
      <c r="AW310" s="235"/>
      <c r="AX310" s="235"/>
      <c r="AY310" s="235"/>
      <c r="AZ310" s="235"/>
      <c r="BA310" s="235"/>
      <c r="BB310" s="235"/>
      <c r="BC310" s="235"/>
      <c r="BD310" s="235"/>
      <c r="BE310" s="235"/>
      <c r="BF310" s="235"/>
      <c r="BG310" s="235"/>
      <c r="BH310" s="235"/>
      <c r="BI310" s="235"/>
      <c r="BJ310" s="235"/>
      <c r="BK310" s="235"/>
      <c r="BL310" s="235"/>
      <c r="BM310" s="235"/>
      <c r="BN310" s="235"/>
      <c r="BO310" s="235"/>
      <c r="BP310" s="235"/>
      <c r="BQ310" s="235"/>
    </row>
    <row r="311" spans="1:69" s="780" customFormat="1" ht="15.75" customHeight="1">
      <c r="A311" s="62">
        <f t="shared" si="155"/>
        <v>4</v>
      </c>
      <c r="B311" s="63">
        <f t="shared" si="154"/>
        <v>47504</v>
      </c>
      <c r="C311" s="63">
        <f t="shared" si="156"/>
        <v>47510</v>
      </c>
      <c r="D311" s="239">
        <f t="shared" ca="1" si="157"/>
        <v>0</v>
      </c>
      <c r="E311" s="239">
        <f t="shared" ca="1" si="158"/>
        <v>0</v>
      </c>
      <c r="F311" s="239">
        <f t="shared" ca="1" si="159"/>
        <v>0</v>
      </c>
      <c r="G311" s="261">
        <f t="shared" ca="1" si="160"/>
        <v>0</v>
      </c>
      <c r="I311" s="237"/>
      <c r="AV311" s="235"/>
      <c r="AW311" s="235"/>
      <c r="AX311" s="235"/>
      <c r="AY311" s="235"/>
      <c r="AZ311" s="235"/>
      <c r="BA311" s="235"/>
      <c r="BB311" s="235"/>
      <c r="BC311" s="235"/>
      <c r="BD311" s="235"/>
      <c r="BE311" s="235"/>
      <c r="BF311" s="235"/>
      <c r="BG311" s="235"/>
      <c r="BH311" s="235"/>
      <c r="BI311" s="235"/>
      <c r="BJ311" s="235"/>
      <c r="BK311" s="235"/>
      <c r="BL311" s="235"/>
      <c r="BM311" s="235"/>
      <c r="BN311" s="235"/>
      <c r="BO311" s="235"/>
      <c r="BP311" s="235"/>
      <c r="BQ311" s="235"/>
    </row>
    <row r="312" spans="1:69" s="780" customFormat="1" ht="15.75" customHeight="1">
      <c r="A312" s="62">
        <f t="shared" si="155"/>
        <v>5</v>
      </c>
      <c r="B312" s="63">
        <f t="shared" si="154"/>
        <v>47511</v>
      </c>
      <c r="C312" s="63">
        <f t="shared" si="156"/>
        <v>47517</v>
      </c>
      <c r="D312" s="239">
        <f t="shared" ca="1" si="157"/>
        <v>0</v>
      </c>
      <c r="E312" s="239">
        <f t="shared" ca="1" si="158"/>
        <v>0</v>
      </c>
      <c r="F312" s="239">
        <f t="shared" ca="1" si="159"/>
        <v>0</v>
      </c>
      <c r="G312" s="261">
        <f t="shared" ca="1" si="160"/>
        <v>0</v>
      </c>
      <c r="I312" s="237"/>
      <c r="AV312" s="235"/>
      <c r="AW312" s="235"/>
      <c r="AX312" s="235"/>
      <c r="AY312" s="235"/>
      <c r="AZ312" s="235"/>
      <c r="BA312" s="235"/>
      <c r="BB312" s="235"/>
      <c r="BC312" s="235"/>
      <c r="BD312" s="235"/>
      <c r="BE312" s="235"/>
      <c r="BF312" s="235"/>
      <c r="BG312" s="235"/>
      <c r="BH312" s="235"/>
      <c r="BI312" s="235"/>
      <c r="BJ312" s="235"/>
      <c r="BK312" s="235"/>
      <c r="BL312" s="235"/>
      <c r="BM312" s="235"/>
      <c r="BN312" s="235"/>
      <c r="BO312" s="235"/>
      <c r="BP312" s="235"/>
      <c r="BQ312" s="235"/>
    </row>
    <row r="313" spans="1:69" s="780" customFormat="1" ht="15.75" customHeight="1">
      <c r="A313" s="62">
        <f t="shared" si="155"/>
        <v>6</v>
      </c>
      <c r="B313" s="63">
        <f t="shared" si="154"/>
        <v>47518</v>
      </c>
      <c r="C313" s="63">
        <f t="shared" si="156"/>
        <v>47524</v>
      </c>
      <c r="D313" s="239">
        <f t="shared" ca="1" si="157"/>
        <v>0</v>
      </c>
      <c r="E313" s="239">
        <f t="shared" ca="1" si="158"/>
        <v>0</v>
      </c>
      <c r="F313" s="239">
        <f t="shared" ca="1" si="159"/>
        <v>0</v>
      </c>
      <c r="G313" s="261">
        <f t="shared" ca="1" si="160"/>
        <v>0</v>
      </c>
      <c r="I313" s="237"/>
      <c r="AV313" s="235"/>
      <c r="AW313" s="235"/>
      <c r="AX313" s="235"/>
      <c r="AY313" s="235"/>
      <c r="AZ313" s="235"/>
      <c r="BA313" s="235"/>
      <c r="BB313" s="235"/>
      <c r="BC313" s="235"/>
      <c r="BD313" s="235"/>
      <c r="BE313" s="235"/>
      <c r="BF313" s="235"/>
      <c r="BG313" s="235"/>
      <c r="BH313" s="235"/>
      <c r="BI313" s="235"/>
      <c r="BJ313" s="235"/>
      <c r="BK313" s="235"/>
      <c r="BL313" s="235"/>
      <c r="BM313" s="235"/>
      <c r="BN313" s="235"/>
      <c r="BO313" s="235"/>
      <c r="BP313" s="235"/>
      <c r="BQ313" s="235"/>
    </row>
    <row r="314" spans="1:69" s="780" customFormat="1" ht="15.75" customHeight="1">
      <c r="A314" s="62">
        <f t="shared" si="155"/>
        <v>7</v>
      </c>
      <c r="B314" s="63">
        <f t="shared" si="154"/>
        <v>47525</v>
      </c>
      <c r="C314" s="63">
        <f t="shared" si="156"/>
        <v>47531</v>
      </c>
      <c r="D314" s="239">
        <f t="shared" ca="1" si="157"/>
        <v>0</v>
      </c>
      <c r="E314" s="239">
        <f t="shared" ca="1" si="158"/>
        <v>0</v>
      </c>
      <c r="F314" s="239">
        <f t="shared" ca="1" si="159"/>
        <v>0</v>
      </c>
      <c r="G314" s="261">
        <f t="shared" ca="1" si="160"/>
        <v>0</v>
      </c>
      <c r="I314" s="237"/>
      <c r="AV314" s="235"/>
      <c r="AW314" s="235"/>
      <c r="AX314" s="235"/>
      <c r="AY314" s="235"/>
      <c r="AZ314" s="235"/>
      <c r="BA314" s="235"/>
      <c r="BB314" s="235"/>
      <c r="BC314" s="235"/>
      <c r="BD314" s="235"/>
      <c r="BE314" s="235"/>
      <c r="BF314" s="235"/>
      <c r="BG314" s="235"/>
      <c r="BH314" s="235"/>
      <c r="BI314" s="235"/>
      <c r="BJ314" s="235"/>
      <c r="BK314" s="235"/>
      <c r="BL314" s="235"/>
      <c r="BM314" s="235"/>
      <c r="BN314" s="235"/>
      <c r="BO314" s="235"/>
      <c r="BP314" s="235"/>
      <c r="BQ314" s="235"/>
    </row>
    <row r="315" spans="1:69" s="780" customFormat="1" ht="15.75" customHeight="1">
      <c r="A315" s="62">
        <f t="shared" si="155"/>
        <v>8</v>
      </c>
      <c r="B315" s="63">
        <f t="shared" si="154"/>
        <v>47532</v>
      </c>
      <c r="C315" s="63">
        <f t="shared" si="156"/>
        <v>47538</v>
      </c>
      <c r="D315" s="239">
        <f t="shared" ca="1" si="157"/>
        <v>0</v>
      </c>
      <c r="E315" s="239">
        <f t="shared" ca="1" si="158"/>
        <v>0</v>
      </c>
      <c r="F315" s="239">
        <f t="shared" ca="1" si="159"/>
        <v>0</v>
      </c>
      <c r="G315" s="261">
        <f t="shared" ca="1" si="160"/>
        <v>0</v>
      </c>
      <c r="I315" s="237"/>
      <c r="AV315" s="235"/>
      <c r="AW315" s="235"/>
      <c r="AX315" s="235"/>
      <c r="AY315" s="235"/>
      <c r="AZ315" s="235"/>
      <c r="BA315" s="235"/>
      <c r="BB315" s="235"/>
      <c r="BC315" s="235"/>
      <c r="BD315" s="235"/>
      <c r="BE315" s="235"/>
      <c r="BF315" s="235"/>
      <c r="BG315" s="235"/>
      <c r="BH315" s="235"/>
      <c r="BI315" s="235"/>
      <c r="BJ315" s="235"/>
      <c r="BK315" s="235"/>
      <c r="BL315" s="235"/>
      <c r="BM315" s="235"/>
      <c r="BN315" s="235"/>
      <c r="BO315" s="235"/>
      <c r="BP315" s="235"/>
      <c r="BQ315" s="235"/>
    </row>
    <row r="316" spans="1:69" s="780" customFormat="1" ht="15.75" customHeight="1">
      <c r="A316" s="62">
        <f t="shared" si="155"/>
        <v>9</v>
      </c>
      <c r="B316" s="63">
        <f t="shared" si="154"/>
        <v>47539</v>
      </c>
      <c r="C316" s="63">
        <f t="shared" si="156"/>
        <v>47545</v>
      </c>
      <c r="D316" s="239">
        <f t="shared" ca="1" si="157"/>
        <v>0</v>
      </c>
      <c r="E316" s="239">
        <f t="shared" ca="1" si="158"/>
        <v>0</v>
      </c>
      <c r="F316" s="239">
        <f t="shared" ca="1" si="159"/>
        <v>0</v>
      </c>
      <c r="G316" s="261">
        <f t="shared" ca="1" si="160"/>
        <v>0</v>
      </c>
      <c r="I316" s="237"/>
      <c r="AV316" s="235"/>
      <c r="AW316" s="235"/>
      <c r="AX316" s="235"/>
      <c r="AY316" s="235"/>
      <c r="AZ316" s="235"/>
      <c r="BA316" s="235"/>
      <c r="BB316" s="235"/>
      <c r="BC316" s="235"/>
      <c r="BD316" s="235"/>
      <c r="BE316" s="235"/>
      <c r="BF316" s="235"/>
      <c r="BG316" s="235"/>
      <c r="BH316" s="235"/>
      <c r="BI316" s="235"/>
      <c r="BJ316" s="235"/>
      <c r="BK316" s="235"/>
      <c r="BL316" s="235"/>
      <c r="BM316" s="235"/>
      <c r="BN316" s="235"/>
      <c r="BO316" s="235"/>
      <c r="BP316" s="235"/>
      <c r="BQ316" s="235"/>
    </row>
    <row r="317" spans="1:69" s="780" customFormat="1" ht="15.75" customHeight="1">
      <c r="A317" s="62">
        <f t="shared" si="155"/>
        <v>10</v>
      </c>
      <c r="B317" s="63">
        <f t="shared" si="154"/>
        <v>47546</v>
      </c>
      <c r="C317" s="63">
        <f t="shared" si="156"/>
        <v>47552</v>
      </c>
      <c r="D317" s="239">
        <f t="shared" ca="1" si="157"/>
        <v>0</v>
      </c>
      <c r="E317" s="239">
        <f t="shared" ca="1" si="158"/>
        <v>0</v>
      </c>
      <c r="F317" s="239">
        <f t="shared" ca="1" si="159"/>
        <v>0</v>
      </c>
      <c r="G317" s="261">
        <f t="shared" ca="1" si="160"/>
        <v>0</v>
      </c>
      <c r="I317" s="237"/>
      <c r="AV317" s="235"/>
      <c r="AW317" s="235"/>
      <c r="AX317" s="235"/>
      <c r="AY317" s="235"/>
      <c r="AZ317" s="235"/>
      <c r="BA317" s="235"/>
      <c r="BB317" s="235"/>
      <c r="BC317" s="235"/>
      <c r="BD317" s="235"/>
      <c r="BE317" s="235"/>
      <c r="BF317" s="235"/>
      <c r="BG317" s="235"/>
      <c r="BH317" s="235"/>
      <c r="BI317" s="235"/>
      <c r="BJ317" s="235"/>
      <c r="BK317" s="235"/>
      <c r="BL317" s="235"/>
      <c r="BM317" s="235"/>
      <c r="BN317" s="235"/>
      <c r="BO317" s="235"/>
      <c r="BP317" s="235"/>
      <c r="BQ317" s="235"/>
    </row>
    <row r="318" spans="1:69" s="780" customFormat="1" ht="15.75" customHeight="1">
      <c r="A318" s="62">
        <f t="shared" si="155"/>
        <v>11</v>
      </c>
      <c r="B318" s="63">
        <f t="shared" si="154"/>
        <v>47553</v>
      </c>
      <c r="C318" s="63">
        <f t="shared" si="156"/>
        <v>47559</v>
      </c>
      <c r="D318" s="239">
        <f t="shared" ca="1" si="157"/>
        <v>0</v>
      </c>
      <c r="E318" s="239">
        <f t="shared" ca="1" si="158"/>
        <v>0</v>
      </c>
      <c r="F318" s="239">
        <f t="shared" ca="1" si="159"/>
        <v>0</v>
      </c>
      <c r="G318" s="261">
        <f t="shared" ca="1" si="160"/>
        <v>0</v>
      </c>
      <c r="I318" s="237"/>
      <c r="AV318" s="235"/>
      <c r="AW318" s="235"/>
      <c r="AX318" s="235"/>
      <c r="AY318" s="235"/>
      <c r="AZ318" s="235"/>
      <c r="BA318" s="235"/>
      <c r="BB318" s="235"/>
      <c r="BC318" s="235"/>
      <c r="BD318" s="235"/>
      <c r="BE318" s="235"/>
      <c r="BF318" s="235"/>
      <c r="BG318" s="235"/>
      <c r="BH318" s="235"/>
      <c r="BI318" s="235"/>
      <c r="BJ318" s="235"/>
      <c r="BK318" s="235"/>
      <c r="BL318" s="235"/>
      <c r="BM318" s="235"/>
      <c r="BN318" s="235"/>
      <c r="BO318" s="235"/>
      <c r="BP318" s="235"/>
      <c r="BQ318" s="235"/>
    </row>
    <row r="319" spans="1:69" s="780" customFormat="1" ht="15.75" customHeight="1">
      <c r="A319" s="62">
        <f t="shared" si="155"/>
        <v>12</v>
      </c>
      <c r="B319" s="63">
        <f t="shared" si="154"/>
        <v>47560</v>
      </c>
      <c r="C319" s="63">
        <f t="shared" si="156"/>
        <v>47566</v>
      </c>
      <c r="D319" s="239">
        <f t="shared" ca="1" si="157"/>
        <v>0</v>
      </c>
      <c r="E319" s="239">
        <f t="shared" ca="1" si="158"/>
        <v>0</v>
      </c>
      <c r="F319" s="239">
        <f t="shared" ca="1" si="159"/>
        <v>0</v>
      </c>
      <c r="G319" s="261">
        <f t="shared" ca="1" si="160"/>
        <v>0</v>
      </c>
      <c r="I319" s="237"/>
      <c r="AV319" s="235"/>
      <c r="AW319" s="235"/>
      <c r="AX319" s="235"/>
      <c r="AY319" s="235"/>
      <c r="AZ319" s="235"/>
      <c r="BA319" s="235"/>
      <c r="BB319" s="235"/>
      <c r="BC319" s="235"/>
      <c r="BD319" s="235"/>
      <c r="BE319" s="235"/>
      <c r="BF319" s="235"/>
      <c r="BG319" s="235"/>
      <c r="BH319" s="235"/>
      <c r="BI319" s="235"/>
      <c r="BJ319" s="235"/>
      <c r="BK319" s="235"/>
      <c r="BL319" s="235"/>
      <c r="BM319" s="235"/>
      <c r="BN319" s="235"/>
      <c r="BO319" s="235"/>
      <c r="BP319" s="235"/>
      <c r="BQ319" s="235"/>
    </row>
    <row r="320" spans="1:69" s="780" customFormat="1" ht="15.75" customHeight="1">
      <c r="A320" s="62">
        <f t="shared" si="155"/>
        <v>13</v>
      </c>
      <c r="B320" s="63">
        <f t="shared" si="154"/>
        <v>47567</v>
      </c>
      <c r="C320" s="63">
        <f t="shared" si="156"/>
        <v>47573</v>
      </c>
      <c r="D320" s="239">
        <f t="shared" ca="1" si="157"/>
        <v>0</v>
      </c>
      <c r="E320" s="239">
        <f t="shared" ca="1" si="158"/>
        <v>0</v>
      </c>
      <c r="F320" s="239">
        <f t="shared" ca="1" si="159"/>
        <v>0</v>
      </c>
      <c r="G320" s="261">
        <f t="shared" ca="1" si="160"/>
        <v>0</v>
      </c>
      <c r="I320" s="237"/>
      <c r="AV320" s="235"/>
      <c r="AW320" s="235"/>
      <c r="AX320" s="235"/>
      <c r="AY320" s="235"/>
      <c r="AZ320" s="235"/>
      <c r="BA320" s="235"/>
      <c r="BB320" s="235"/>
      <c r="BC320" s="235"/>
      <c r="BD320" s="235"/>
      <c r="BE320" s="235"/>
      <c r="BF320" s="235"/>
      <c r="BG320" s="235"/>
      <c r="BH320" s="235"/>
      <c r="BI320" s="235"/>
      <c r="BJ320" s="235"/>
      <c r="BK320" s="235"/>
      <c r="BL320" s="235"/>
      <c r="BM320" s="235"/>
      <c r="BN320" s="235"/>
      <c r="BO320" s="235"/>
      <c r="BP320" s="235"/>
      <c r="BQ320" s="235"/>
    </row>
    <row r="321" spans="1:69" s="780" customFormat="1" ht="15.75" customHeight="1">
      <c r="A321" s="62">
        <f t="shared" si="155"/>
        <v>14</v>
      </c>
      <c r="B321" s="63">
        <f t="shared" si="154"/>
        <v>47574</v>
      </c>
      <c r="C321" s="63">
        <f t="shared" si="156"/>
        <v>47580</v>
      </c>
      <c r="D321" s="239">
        <f t="shared" ca="1" si="157"/>
        <v>0</v>
      </c>
      <c r="E321" s="239">
        <f t="shared" ca="1" si="158"/>
        <v>0</v>
      </c>
      <c r="F321" s="239">
        <f t="shared" ca="1" si="159"/>
        <v>0</v>
      </c>
      <c r="G321" s="261">
        <f t="shared" ca="1" si="160"/>
        <v>0</v>
      </c>
      <c r="I321" s="237"/>
      <c r="AV321" s="235"/>
      <c r="AW321" s="235"/>
      <c r="AX321" s="235"/>
      <c r="AY321" s="235"/>
      <c r="AZ321" s="235"/>
      <c r="BA321" s="235"/>
      <c r="BB321" s="235"/>
      <c r="BC321" s="235"/>
      <c r="BD321" s="235"/>
      <c r="BE321" s="235"/>
      <c r="BF321" s="235"/>
      <c r="BG321" s="235"/>
      <c r="BH321" s="235"/>
      <c r="BI321" s="235"/>
      <c r="BJ321" s="235"/>
      <c r="BK321" s="235"/>
      <c r="BL321" s="235"/>
      <c r="BM321" s="235"/>
      <c r="BN321" s="235"/>
      <c r="BO321" s="235"/>
      <c r="BP321" s="235"/>
      <c r="BQ321" s="235"/>
    </row>
    <row r="322" spans="1:69" s="780" customFormat="1" ht="15.75" customHeight="1">
      <c r="A322" s="62">
        <f t="shared" si="155"/>
        <v>15</v>
      </c>
      <c r="B322" s="63">
        <f t="shared" si="154"/>
        <v>47581</v>
      </c>
      <c r="C322" s="63">
        <f t="shared" si="156"/>
        <v>47587</v>
      </c>
      <c r="D322" s="239">
        <f t="shared" ca="1" si="157"/>
        <v>0</v>
      </c>
      <c r="E322" s="239">
        <f t="shared" ca="1" si="158"/>
        <v>0</v>
      </c>
      <c r="F322" s="239">
        <f t="shared" ca="1" si="159"/>
        <v>0</v>
      </c>
      <c r="G322" s="261">
        <f t="shared" ca="1" si="160"/>
        <v>0</v>
      </c>
      <c r="I322" s="237"/>
      <c r="AV322" s="235"/>
      <c r="AW322" s="235"/>
      <c r="AX322" s="235"/>
      <c r="AY322" s="235"/>
      <c r="AZ322" s="235"/>
      <c r="BA322" s="235"/>
      <c r="BB322" s="235"/>
      <c r="BC322" s="235"/>
      <c r="BD322" s="235"/>
      <c r="BE322" s="235"/>
      <c r="BF322" s="235"/>
      <c r="BG322" s="235"/>
      <c r="BH322" s="235"/>
      <c r="BI322" s="235"/>
      <c r="BJ322" s="235"/>
      <c r="BK322" s="235"/>
      <c r="BL322" s="235"/>
      <c r="BM322" s="235"/>
      <c r="BN322" s="235"/>
      <c r="BO322" s="235"/>
      <c r="BP322" s="235"/>
      <c r="BQ322" s="235"/>
    </row>
    <row r="323" spans="1:69" s="780" customFormat="1" ht="15.75" customHeight="1">
      <c r="A323" s="62">
        <f t="shared" si="155"/>
        <v>16</v>
      </c>
      <c r="B323" s="63">
        <f t="shared" si="154"/>
        <v>47588</v>
      </c>
      <c r="C323" s="63">
        <f t="shared" si="156"/>
        <v>47594</v>
      </c>
      <c r="D323" s="239">
        <f t="shared" ca="1" si="157"/>
        <v>0</v>
      </c>
      <c r="E323" s="239">
        <f t="shared" ca="1" si="158"/>
        <v>0</v>
      </c>
      <c r="F323" s="239">
        <f t="shared" ca="1" si="159"/>
        <v>0</v>
      </c>
      <c r="G323" s="261">
        <f t="shared" ca="1" si="160"/>
        <v>0</v>
      </c>
      <c r="I323" s="237"/>
      <c r="AV323" s="235"/>
      <c r="AW323" s="235"/>
      <c r="AX323" s="235"/>
      <c r="AY323" s="235"/>
      <c r="AZ323" s="235"/>
      <c r="BA323" s="235"/>
      <c r="BB323" s="235"/>
      <c r="BC323" s="235"/>
      <c r="BD323" s="235"/>
      <c r="BE323" s="235"/>
      <c r="BF323" s="235"/>
      <c r="BG323" s="235"/>
      <c r="BH323" s="235"/>
      <c r="BI323" s="235"/>
      <c r="BJ323" s="235"/>
      <c r="BK323" s="235"/>
      <c r="BL323" s="235"/>
      <c r="BM323" s="235"/>
      <c r="BN323" s="235"/>
      <c r="BO323" s="235"/>
      <c r="BP323" s="235"/>
      <c r="BQ323" s="235"/>
    </row>
    <row r="324" spans="1:69" s="780" customFormat="1" ht="15.75" customHeight="1">
      <c r="A324" s="62">
        <f t="shared" si="155"/>
        <v>17</v>
      </c>
      <c r="B324" s="63">
        <f t="shared" si="154"/>
        <v>47595</v>
      </c>
      <c r="C324" s="63">
        <f t="shared" si="156"/>
        <v>47601</v>
      </c>
      <c r="D324" s="239">
        <f t="shared" ca="1" si="157"/>
        <v>0</v>
      </c>
      <c r="E324" s="239">
        <f t="shared" ca="1" si="158"/>
        <v>0</v>
      </c>
      <c r="F324" s="239">
        <f t="shared" ca="1" si="159"/>
        <v>0</v>
      </c>
      <c r="G324" s="261">
        <f t="shared" ca="1" si="160"/>
        <v>0</v>
      </c>
      <c r="I324" s="237"/>
      <c r="AV324" s="235"/>
      <c r="AW324" s="235"/>
      <c r="AX324" s="235"/>
      <c r="AY324" s="235"/>
      <c r="AZ324" s="235"/>
      <c r="BA324" s="235"/>
      <c r="BB324" s="235"/>
      <c r="BC324" s="235"/>
      <c r="BD324" s="235"/>
      <c r="BE324" s="235"/>
      <c r="BF324" s="235"/>
      <c r="BG324" s="235"/>
      <c r="BH324" s="235"/>
      <c r="BI324" s="235"/>
      <c r="BJ324" s="235"/>
      <c r="BK324" s="235"/>
      <c r="BL324" s="235"/>
      <c r="BM324" s="235"/>
      <c r="BN324" s="235"/>
      <c r="BO324" s="235"/>
      <c r="BP324" s="235"/>
      <c r="BQ324" s="235"/>
    </row>
    <row r="325" spans="1:69" s="780" customFormat="1" ht="15.75" customHeight="1">
      <c r="A325" s="62">
        <f t="shared" si="155"/>
        <v>18</v>
      </c>
      <c r="B325" s="63">
        <f t="shared" si="154"/>
        <v>47602</v>
      </c>
      <c r="C325" s="63">
        <f t="shared" si="156"/>
        <v>47608</v>
      </c>
      <c r="D325" s="239">
        <f t="shared" ca="1" si="157"/>
        <v>0</v>
      </c>
      <c r="E325" s="239">
        <f t="shared" ca="1" si="158"/>
        <v>0</v>
      </c>
      <c r="F325" s="239">
        <f t="shared" ca="1" si="159"/>
        <v>0</v>
      </c>
      <c r="G325" s="261">
        <f t="shared" ca="1" si="160"/>
        <v>0</v>
      </c>
      <c r="I325" s="237"/>
      <c r="AV325" s="235"/>
      <c r="AW325" s="235"/>
      <c r="AX325" s="235"/>
      <c r="AY325" s="235"/>
      <c r="AZ325" s="235"/>
      <c r="BA325" s="235"/>
      <c r="BB325" s="235"/>
      <c r="BC325" s="235"/>
      <c r="BD325" s="235"/>
      <c r="BE325" s="235"/>
      <c r="BF325" s="235"/>
      <c r="BG325" s="235"/>
      <c r="BH325" s="235"/>
      <c r="BI325" s="235"/>
      <c r="BJ325" s="235"/>
      <c r="BK325" s="235"/>
      <c r="BL325" s="235"/>
      <c r="BM325" s="235"/>
      <c r="BN325" s="235"/>
      <c r="BO325" s="235"/>
      <c r="BP325" s="235"/>
      <c r="BQ325" s="235"/>
    </row>
    <row r="326" spans="1:69" s="780" customFormat="1" ht="15.75" customHeight="1">
      <c r="A326" s="62">
        <f t="shared" si="155"/>
        <v>19</v>
      </c>
      <c r="B326" s="63">
        <f t="shared" si="154"/>
        <v>47609</v>
      </c>
      <c r="C326" s="63">
        <f t="shared" si="156"/>
        <v>47615</v>
      </c>
      <c r="D326" s="239">
        <f t="shared" ca="1" si="157"/>
        <v>0</v>
      </c>
      <c r="E326" s="239">
        <f t="shared" ca="1" si="158"/>
        <v>0</v>
      </c>
      <c r="F326" s="239">
        <f t="shared" ca="1" si="159"/>
        <v>0</v>
      </c>
      <c r="G326" s="261">
        <f t="shared" ca="1" si="160"/>
        <v>0</v>
      </c>
      <c r="I326" s="237"/>
      <c r="AV326" s="235"/>
      <c r="AW326" s="235"/>
      <c r="AX326" s="235"/>
      <c r="AY326" s="235"/>
      <c r="AZ326" s="235"/>
      <c r="BA326" s="235"/>
      <c r="BB326" s="235"/>
      <c r="BC326" s="235"/>
      <c r="BD326" s="235"/>
      <c r="BE326" s="235"/>
      <c r="BF326" s="235"/>
      <c r="BG326" s="235"/>
      <c r="BH326" s="235"/>
      <c r="BI326" s="235"/>
      <c r="BJ326" s="235"/>
      <c r="BK326" s="235"/>
      <c r="BL326" s="235"/>
      <c r="BM326" s="235"/>
      <c r="BN326" s="235"/>
      <c r="BO326" s="235"/>
      <c r="BP326" s="235"/>
      <c r="BQ326" s="235"/>
    </row>
    <row r="327" spans="1:69" s="780" customFormat="1" ht="15.75" customHeight="1">
      <c r="A327" s="62">
        <f t="shared" si="155"/>
        <v>20</v>
      </c>
      <c r="B327" s="63">
        <f t="shared" si="154"/>
        <v>47616</v>
      </c>
      <c r="C327" s="63">
        <f t="shared" si="156"/>
        <v>47622</v>
      </c>
      <c r="D327" s="239">
        <f t="shared" ca="1" si="157"/>
        <v>0</v>
      </c>
      <c r="E327" s="239">
        <f t="shared" ca="1" si="158"/>
        <v>0</v>
      </c>
      <c r="F327" s="239">
        <f t="shared" ca="1" si="159"/>
        <v>0</v>
      </c>
      <c r="G327" s="261">
        <f t="shared" ca="1" si="160"/>
        <v>0</v>
      </c>
      <c r="I327" s="237"/>
      <c r="AV327" s="235"/>
      <c r="AW327" s="235"/>
      <c r="AX327" s="235"/>
      <c r="AY327" s="235"/>
      <c r="AZ327" s="235"/>
      <c r="BA327" s="235"/>
      <c r="BB327" s="235"/>
      <c r="BC327" s="235"/>
      <c r="BD327" s="235"/>
      <c r="BE327" s="235"/>
      <c r="BF327" s="235"/>
      <c r="BG327" s="235"/>
      <c r="BH327" s="235"/>
      <c r="BI327" s="235"/>
      <c r="BJ327" s="235"/>
      <c r="BK327" s="235"/>
      <c r="BL327" s="235"/>
      <c r="BM327" s="235"/>
      <c r="BN327" s="235"/>
      <c r="BO327" s="235"/>
      <c r="BP327" s="235"/>
      <c r="BQ327" s="235"/>
    </row>
    <row r="328" spans="1:69" s="780" customFormat="1" ht="15.75" customHeight="1">
      <c r="A328" s="62">
        <f t="shared" si="155"/>
        <v>21</v>
      </c>
      <c r="B328" s="63">
        <f t="shared" si="154"/>
        <v>47623</v>
      </c>
      <c r="C328" s="63">
        <f t="shared" si="156"/>
        <v>47629</v>
      </c>
      <c r="D328" s="239">
        <f t="shared" ca="1" si="157"/>
        <v>0</v>
      </c>
      <c r="E328" s="239">
        <f t="shared" ca="1" si="158"/>
        <v>0</v>
      </c>
      <c r="F328" s="239">
        <f t="shared" ca="1" si="159"/>
        <v>0</v>
      </c>
      <c r="G328" s="261">
        <f t="shared" ca="1" si="160"/>
        <v>0</v>
      </c>
      <c r="I328" s="237"/>
      <c r="AV328" s="235"/>
      <c r="AW328" s="235"/>
      <c r="AX328" s="235"/>
      <c r="AY328" s="235"/>
      <c r="AZ328" s="235"/>
      <c r="BA328" s="235"/>
      <c r="BB328" s="235"/>
      <c r="BC328" s="235"/>
      <c r="BD328" s="235"/>
      <c r="BE328" s="235"/>
      <c r="BF328" s="235"/>
      <c r="BG328" s="235"/>
      <c r="BH328" s="235"/>
      <c r="BI328" s="235"/>
      <c r="BJ328" s="235"/>
      <c r="BK328" s="235"/>
      <c r="BL328" s="235"/>
      <c r="BM328" s="235"/>
      <c r="BN328" s="235"/>
      <c r="BO328" s="235"/>
      <c r="BP328" s="235"/>
      <c r="BQ328" s="235"/>
    </row>
    <row r="329" spans="1:69" s="780" customFormat="1" ht="15.75" customHeight="1">
      <c r="A329" s="62">
        <f t="shared" si="155"/>
        <v>22</v>
      </c>
      <c r="B329" s="63">
        <f t="shared" si="154"/>
        <v>47630</v>
      </c>
      <c r="C329" s="63">
        <f t="shared" si="156"/>
        <v>47636</v>
      </c>
      <c r="D329" s="239">
        <f t="shared" ca="1" si="157"/>
        <v>0</v>
      </c>
      <c r="E329" s="239">
        <f t="shared" ca="1" si="158"/>
        <v>0</v>
      </c>
      <c r="F329" s="239">
        <f t="shared" ca="1" si="159"/>
        <v>0</v>
      </c>
      <c r="G329" s="261">
        <f t="shared" ca="1" si="160"/>
        <v>0</v>
      </c>
      <c r="I329" s="237"/>
      <c r="AV329" s="235"/>
      <c r="AW329" s="235"/>
      <c r="AX329" s="235"/>
      <c r="AY329" s="235"/>
      <c r="AZ329" s="235"/>
      <c r="BA329" s="235"/>
      <c r="BB329" s="235"/>
      <c r="BC329" s="235"/>
      <c r="BD329" s="235"/>
      <c r="BE329" s="235"/>
      <c r="BF329" s="235"/>
      <c r="BG329" s="235"/>
      <c r="BH329" s="235"/>
      <c r="BI329" s="235"/>
      <c r="BJ329" s="235"/>
      <c r="BK329" s="235"/>
      <c r="BL329" s="235"/>
      <c r="BM329" s="235"/>
      <c r="BN329" s="235"/>
      <c r="BO329" s="235"/>
      <c r="BP329" s="235"/>
      <c r="BQ329" s="235"/>
    </row>
    <row r="330" spans="1:69" s="780" customFormat="1" ht="15.75" customHeight="1">
      <c r="A330" s="62">
        <f t="shared" si="155"/>
        <v>23</v>
      </c>
      <c r="B330" s="63">
        <f t="shared" si="154"/>
        <v>47637</v>
      </c>
      <c r="C330" s="63">
        <f t="shared" si="156"/>
        <v>47643</v>
      </c>
      <c r="D330" s="239">
        <f t="shared" ca="1" si="157"/>
        <v>0</v>
      </c>
      <c r="E330" s="239">
        <f t="shared" ca="1" si="158"/>
        <v>0</v>
      </c>
      <c r="F330" s="239">
        <f t="shared" ca="1" si="159"/>
        <v>0</v>
      </c>
      <c r="G330" s="261">
        <f t="shared" ca="1" si="160"/>
        <v>0</v>
      </c>
      <c r="I330" s="237"/>
      <c r="AV330" s="235"/>
      <c r="AW330" s="235"/>
      <c r="AX330" s="235"/>
      <c r="AY330" s="235"/>
      <c r="AZ330" s="235"/>
      <c r="BA330" s="235"/>
      <c r="BB330" s="235"/>
      <c r="BC330" s="235"/>
      <c r="BD330" s="235"/>
      <c r="BE330" s="235"/>
      <c r="BF330" s="235"/>
      <c r="BG330" s="235"/>
      <c r="BH330" s="235"/>
      <c r="BI330" s="235"/>
      <c r="BJ330" s="235"/>
      <c r="BK330" s="235"/>
      <c r="BL330" s="235"/>
      <c r="BM330" s="235"/>
      <c r="BN330" s="235"/>
      <c r="BO330" s="235"/>
      <c r="BP330" s="235"/>
      <c r="BQ330" s="235"/>
    </row>
    <row r="331" spans="1:69" s="780" customFormat="1" ht="15.75" customHeight="1">
      <c r="A331" s="62">
        <f t="shared" si="155"/>
        <v>24</v>
      </c>
      <c r="B331" s="63">
        <f t="shared" si="154"/>
        <v>47644</v>
      </c>
      <c r="C331" s="63">
        <f t="shared" si="156"/>
        <v>47650</v>
      </c>
      <c r="D331" s="239">
        <f t="shared" ca="1" si="157"/>
        <v>0</v>
      </c>
      <c r="E331" s="239">
        <f t="shared" ca="1" si="158"/>
        <v>0</v>
      </c>
      <c r="F331" s="239">
        <f t="shared" ca="1" si="159"/>
        <v>0</v>
      </c>
      <c r="G331" s="261">
        <f t="shared" ca="1" si="160"/>
        <v>0</v>
      </c>
      <c r="I331" s="237"/>
      <c r="AV331" s="235"/>
      <c r="AW331" s="235"/>
      <c r="AX331" s="235"/>
      <c r="AY331" s="235"/>
      <c r="AZ331" s="235"/>
      <c r="BA331" s="235"/>
      <c r="BB331" s="235"/>
      <c r="BC331" s="235"/>
      <c r="BD331" s="235"/>
      <c r="BE331" s="235"/>
      <c r="BF331" s="235"/>
      <c r="BG331" s="235"/>
      <c r="BH331" s="235"/>
      <c r="BI331" s="235"/>
      <c r="BJ331" s="235"/>
      <c r="BK331" s="235"/>
      <c r="BL331" s="235"/>
      <c r="BM331" s="235"/>
      <c r="BN331" s="235"/>
      <c r="BO331" s="235"/>
      <c r="BP331" s="235"/>
      <c r="BQ331" s="235"/>
    </row>
    <row r="332" spans="1:69" s="780" customFormat="1" ht="15.75" customHeight="1">
      <c r="A332" s="62">
        <f t="shared" si="155"/>
        <v>25</v>
      </c>
      <c r="B332" s="63">
        <f t="shared" si="154"/>
        <v>47651</v>
      </c>
      <c r="C332" s="63">
        <f t="shared" si="156"/>
        <v>47657</v>
      </c>
      <c r="D332" s="239">
        <f t="shared" ca="1" si="157"/>
        <v>0</v>
      </c>
      <c r="E332" s="239">
        <f t="shared" ca="1" si="158"/>
        <v>0</v>
      </c>
      <c r="F332" s="239">
        <f t="shared" ca="1" si="159"/>
        <v>0</v>
      </c>
      <c r="G332" s="261">
        <f t="shared" ca="1" si="160"/>
        <v>0</v>
      </c>
      <c r="I332" s="237"/>
      <c r="AV332" s="235"/>
      <c r="AW332" s="235"/>
      <c r="AX332" s="235"/>
      <c r="AY332" s="235"/>
      <c r="AZ332" s="235"/>
      <c r="BA332" s="235"/>
      <c r="BB332" s="235"/>
      <c r="BC332" s="235"/>
      <c r="BD332" s="235"/>
      <c r="BE332" s="235"/>
      <c r="BF332" s="235"/>
      <c r="BG332" s="235"/>
      <c r="BH332" s="235"/>
      <c r="BI332" s="235"/>
      <c r="BJ332" s="235"/>
      <c r="BK332" s="235"/>
      <c r="BL332" s="235"/>
      <c r="BM332" s="235"/>
      <c r="BN332" s="235"/>
      <c r="BO332" s="235"/>
      <c r="BP332" s="235"/>
      <c r="BQ332" s="235"/>
    </row>
    <row r="333" spans="1:69" s="780" customFormat="1" ht="15.75" customHeight="1">
      <c r="A333" s="62">
        <f t="shared" si="155"/>
        <v>26</v>
      </c>
      <c r="B333" s="63">
        <f t="shared" si="154"/>
        <v>47658</v>
      </c>
      <c r="C333" s="63">
        <f t="shared" si="156"/>
        <v>47664</v>
      </c>
      <c r="D333" s="239">
        <f t="shared" ca="1" si="157"/>
        <v>0</v>
      </c>
      <c r="E333" s="239">
        <f t="shared" ca="1" si="158"/>
        <v>0</v>
      </c>
      <c r="F333" s="239">
        <f t="shared" ca="1" si="159"/>
        <v>0</v>
      </c>
      <c r="G333" s="261">
        <f t="shared" ca="1" si="160"/>
        <v>0</v>
      </c>
      <c r="I333" s="237"/>
      <c r="AV333" s="235"/>
      <c r="AW333" s="235"/>
      <c r="AX333" s="235"/>
      <c r="AY333" s="235"/>
      <c r="AZ333" s="235"/>
      <c r="BA333" s="235"/>
      <c r="BB333" s="235"/>
      <c r="BC333" s="235"/>
      <c r="BD333" s="235"/>
      <c r="BE333" s="235"/>
      <c r="BF333" s="235"/>
      <c r="BG333" s="235"/>
      <c r="BH333" s="235"/>
      <c r="BI333" s="235"/>
      <c r="BJ333" s="235"/>
      <c r="BK333" s="235"/>
      <c r="BL333" s="235"/>
      <c r="BM333" s="235"/>
      <c r="BN333" s="235"/>
      <c r="BO333" s="235"/>
      <c r="BP333" s="235"/>
      <c r="BQ333" s="235"/>
    </row>
    <row r="334" spans="1:69" s="780" customFormat="1" ht="15.75" customHeight="1">
      <c r="A334" s="62">
        <f t="shared" si="155"/>
        <v>27</v>
      </c>
      <c r="B334" s="63">
        <f t="shared" si="154"/>
        <v>47665</v>
      </c>
      <c r="C334" s="63">
        <f t="shared" si="156"/>
        <v>47671</v>
      </c>
      <c r="D334" s="239">
        <f t="shared" ca="1" si="157"/>
        <v>0</v>
      </c>
      <c r="E334" s="239">
        <f t="shared" ca="1" si="158"/>
        <v>0</v>
      </c>
      <c r="F334" s="239">
        <f t="shared" ca="1" si="159"/>
        <v>0</v>
      </c>
      <c r="G334" s="261">
        <f t="shared" ca="1" si="160"/>
        <v>0</v>
      </c>
      <c r="I334" s="237"/>
      <c r="AV334" s="235"/>
      <c r="AW334" s="235"/>
      <c r="AX334" s="235"/>
      <c r="AY334" s="235"/>
      <c r="AZ334" s="235"/>
      <c r="BA334" s="235"/>
      <c r="BB334" s="235"/>
      <c r="BC334" s="235"/>
      <c r="BD334" s="235"/>
      <c r="BE334" s="235"/>
      <c r="BF334" s="235"/>
      <c r="BG334" s="235"/>
      <c r="BH334" s="235"/>
      <c r="BI334" s="235"/>
      <c r="BJ334" s="235"/>
      <c r="BK334" s="235"/>
      <c r="BL334" s="235"/>
      <c r="BM334" s="235"/>
      <c r="BN334" s="235"/>
      <c r="BO334" s="235"/>
      <c r="BP334" s="235"/>
      <c r="BQ334" s="235"/>
    </row>
    <row r="335" spans="1:69" s="780" customFormat="1" ht="15.75" customHeight="1">
      <c r="A335" s="62">
        <f t="shared" si="155"/>
        <v>28</v>
      </c>
      <c r="B335" s="63">
        <f t="shared" si="154"/>
        <v>47672</v>
      </c>
      <c r="C335" s="63">
        <f t="shared" si="156"/>
        <v>47678</v>
      </c>
      <c r="D335" s="239">
        <f t="shared" ca="1" si="157"/>
        <v>0</v>
      </c>
      <c r="E335" s="239">
        <f t="shared" ca="1" si="158"/>
        <v>0</v>
      </c>
      <c r="F335" s="239">
        <f t="shared" ca="1" si="159"/>
        <v>0</v>
      </c>
      <c r="G335" s="261">
        <f t="shared" ca="1" si="160"/>
        <v>0</v>
      </c>
      <c r="I335" s="237"/>
      <c r="AV335" s="235"/>
      <c r="AW335" s="235"/>
      <c r="AX335" s="235"/>
      <c r="AY335" s="235"/>
      <c r="AZ335" s="235"/>
      <c r="BA335" s="235"/>
      <c r="BB335" s="235"/>
      <c r="BC335" s="235"/>
      <c r="BD335" s="235"/>
      <c r="BE335" s="235"/>
      <c r="BF335" s="235"/>
      <c r="BG335" s="235"/>
      <c r="BH335" s="235"/>
      <c r="BI335" s="235"/>
      <c r="BJ335" s="235"/>
      <c r="BK335" s="235"/>
      <c r="BL335" s="235"/>
      <c r="BM335" s="235"/>
      <c r="BN335" s="235"/>
      <c r="BO335" s="235"/>
      <c r="BP335" s="235"/>
      <c r="BQ335" s="235"/>
    </row>
    <row r="336" spans="1:69" s="780" customFormat="1" ht="15.75" customHeight="1">
      <c r="A336" s="62">
        <f t="shared" si="155"/>
        <v>29</v>
      </c>
      <c r="B336" s="63">
        <f t="shared" si="154"/>
        <v>47679</v>
      </c>
      <c r="C336" s="63">
        <f t="shared" si="156"/>
        <v>47685</v>
      </c>
      <c r="D336" s="239">
        <f t="shared" ca="1" si="157"/>
        <v>0</v>
      </c>
      <c r="E336" s="239">
        <f t="shared" ca="1" si="158"/>
        <v>0</v>
      </c>
      <c r="F336" s="239">
        <f t="shared" ca="1" si="159"/>
        <v>0</v>
      </c>
      <c r="G336" s="261">
        <f t="shared" ca="1" si="160"/>
        <v>0</v>
      </c>
      <c r="I336" s="237"/>
      <c r="AV336" s="235"/>
      <c r="AW336" s="235"/>
      <c r="AX336" s="235"/>
      <c r="AY336" s="235"/>
      <c r="AZ336" s="235"/>
      <c r="BA336" s="235"/>
      <c r="BB336" s="235"/>
      <c r="BC336" s="235"/>
      <c r="BD336" s="235"/>
      <c r="BE336" s="235"/>
      <c r="BF336" s="235"/>
      <c r="BG336" s="235"/>
      <c r="BH336" s="235"/>
      <c r="BI336" s="235"/>
      <c r="BJ336" s="235"/>
      <c r="BK336" s="235"/>
      <c r="BL336" s="235"/>
      <c r="BM336" s="235"/>
      <c r="BN336" s="235"/>
      <c r="BO336" s="235"/>
      <c r="BP336" s="235"/>
      <c r="BQ336" s="235"/>
    </row>
    <row r="337" spans="1:69" s="780" customFormat="1" ht="15.75" customHeight="1">
      <c r="A337" s="62">
        <f t="shared" si="155"/>
        <v>30</v>
      </c>
      <c r="B337" s="63">
        <f t="shared" si="154"/>
        <v>47686</v>
      </c>
      <c r="C337" s="63">
        <f t="shared" si="156"/>
        <v>47692</v>
      </c>
      <c r="D337" s="239">
        <f t="shared" ca="1" si="157"/>
        <v>0</v>
      </c>
      <c r="E337" s="239">
        <f t="shared" ca="1" si="158"/>
        <v>0</v>
      </c>
      <c r="F337" s="239">
        <f t="shared" ca="1" si="159"/>
        <v>0</v>
      </c>
      <c r="G337" s="261">
        <f t="shared" ca="1" si="160"/>
        <v>0</v>
      </c>
      <c r="I337" s="237"/>
      <c r="AV337" s="235"/>
      <c r="AW337" s="235"/>
      <c r="AX337" s="235"/>
      <c r="AY337" s="235"/>
      <c r="AZ337" s="235"/>
      <c r="BA337" s="235"/>
      <c r="BB337" s="235"/>
      <c r="BC337" s="235"/>
      <c r="BD337" s="235"/>
      <c r="BE337" s="235"/>
      <c r="BF337" s="235"/>
      <c r="BG337" s="235"/>
      <c r="BH337" s="235"/>
      <c r="BI337" s="235"/>
      <c r="BJ337" s="235"/>
      <c r="BK337" s="235"/>
      <c r="BL337" s="235"/>
      <c r="BM337" s="235"/>
      <c r="BN337" s="235"/>
      <c r="BO337" s="235"/>
      <c r="BP337" s="235"/>
      <c r="BQ337" s="235"/>
    </row>
    <row r="338" spans="1:69" s="780" customFormat="1" ht="15.75" customHeight="1">
      <c r="A338" s="62">
        <f t="shared" si="155"/>
        <v>31</v>
      </c>
      <c r="B338" s="63">
        <f t="shared" si="154"/>
        <v>47693</v>
      </c>
      <c r="C338" s="63">
        <f t="shared" si="156"/>
        <v>47699</v>
      </c>
      <c r="D338" s="239">
        <f t="shared" ca="1" si="157"/>
        <v>0</v>
      </c>
      <c r="E338" s="239">
        <f t="shared" ca="1" si="158"/>
        <v>0</v>
      </c>
      <c r="F338" s="239">
        <f t="shared" ca="1" si="159"/>
        <v>0</v>
      </c>
      <c r="G338" s="261">
        <f t="shared" ca="1" si="160"/>
        <v>0</v>
      </c>
      <c r="I338" s="237"/>
      <c r="AV338" s="235"/>
      <c r="AW338" s="235"/>
      <c r="AX338" s="235"/>
      <c r="AY338" s="235"/>
      <c r="AZ338" s="235"/>
      <c r="BA338" s="235"/>
      <c r="BB338" s="235"/>
      <c r="BC338" s="235"/>
      <c r="BD338" s="235"/>
      <c r="BE338" s="235"/>
      <c r="BF338" s="235"/>
      <c r="BG338" s="235"/>
      <c r="BH338" s="235"/>
      <c r="BI338" s="235"/>
      <c r="BJ338" s="235"/>
      <c r="BK338" s="235"/>
      <c r="BL338" s="235"/>
      <c r="BM338" s="235"/>
      <c r="BN338" s="235"/>
      <c r="BO338" s="235"/>
      <c r="BP338" s="235"/>
      <c r="BQ338" s="235"/>
    </row>
    <row r="339" spans="1:69" s="780" customFormat="1" ht="15.75" customHeight="1">
      <c r="A339" s="62">
        <f t="shared" si="155"/>
        <v>32</v>
      </c>
      <c r="B339" s="63">
        <f t="shared" si="154"/>
        <v>47700</v>
      </c>
      <c r="C339" s="63">
        <f t="shared" si="156"/>
        <v>47706</v>
      </c>
      <c r="D339" s="239">
        <f t="shared" ca="1" si="157"/>
        <v>0</v>
      </c>
      <c r="E339" s="239">
        <f t="shared" ca="1" si="158"/>
        <v>0</v>
      </c>
      <c r="F339" s="239">
        <f t="shared" ca="1" si="159"/>
        <v>0</v>
      </c>
      <c r="G339" s="261">
        <f t="shared" ca="1" si="160"/>
        <v>0</v>
      </c>
      <c r="I339" s="237"/>
      <c r="AV339" s="235"/>
      <c r="AW339" s="235"/>
      <c r="AX339" s="235"/>
      <c r="AY339" s="235"/>
      <c r="AZ339" s="235"/>
      <c r="BA339" s="235"/>
      <c r="BB339" s="235"/>
      <c r="BC339" s="235"/>
      <c r="BD339" s="235"/>
      <c r="BE339" s="235"/>
      <c r="BF339" s="235"/>
      <c r="BG339" s="235"/>
      <c r="BH339" s="235"/>
      <c r="BI339" s="235"/>
      <c r="BJ339" s="235"/>
      <c r="BK339" s="235"/>
      <c r="BL339" s="235"/>
      <c r="BM339" s="235"/>
      <c r="BN339" s="235"/>
      <c r="BO339" s="235"/>
      <c r="BP339" s="235"/>
      <c r="BQ339" s="235"/>
    </row>
    <row r="340" spans="1:69" s="780" customFormat="1" ht="15.75" customHeight="1">
      <c r="A340" s="62">
        <f t="shared" si="155"/>
        <v>33</v>
      </c>
      <c r="B340" s="63">
        <f t="shared" ref="B340:B403" si="161">+B339+7</f>
        <v>47707</v>
      </c>
      <c r="C340" s="63">
        <f t="shared" si="156"/>
        <v>47713</v>
      </c>
      <c r="D340" s="239">
        <f t="shared" ca="1" si="157"/>
        <v>0</v>
      </c>
      <c r="E340" s="239">
        <f t="shared" ca="1" si="158"/>
        <v>0</v>
      </c>
      <c r="F340" s="239">
        <f t="shared" ca="1" si="159"/>
        <v>0</v>
      </c>
      <c r="G340" s="261">
        <f t="shared" ca="1" si="160"/>
        <v>0</v>
      </c>
      <c r="I340" s="237"/>
      <c r="AV340" s="235"/>
      <c r="AW340" s="235"/>
      <c r="AX340" s="235"/>
      <c r="AY340" s="235"/>
      <c r="AZ340" s="235"/>
      <c r="BA340" s="235"/>
      <c r="BB340" s="235"/>
      <c r="BC340" s="235"/>
      <c r="BD340" s="235"/>
      <c r="BE340" s="235"/>
      <c r="BF340" s="235"/>
      <c r="BG340" s="235"/>
      <c r="BH340" s="235"/>
      <c r="BI340" s="235"/>
      <c r="BJ340" s="235"/>
      <c r="BK340" s="235"/>
      <c r="BL340" s="235"/>
      <c r="BM340" s="235"/>
      <c r="BN340" s="235"/>
      <c r="BO340" s="235"/>
      <c r="BP340" s="235"/>
      <c r="BQ340" s="235"/>
    </row>
    <row r="341" spans="1:69" s="780" customFormat="1" ht="15.75" customHeight="1">
      <c r="A341" s="62">
        <f t="shared" si="155"/>
        <v>34</v>
      </c>
      <c r="B341" s="63">
        <f t="shared" si="161"/>
        <v>47714</v>
      </c>
      <c r="C341" s="63">
        <f t="shared" si="156"/>
        <v>47720</v>
      </c>
      <c r="D341" s="239">
        <f t="shared" ca="1" si="157"/>
        <v>0</v>
      </c>
      <c r="E341" s="239">
        <f t="shared" ca="1" si="158"/>
        <v>0</v>
      </c>
      <c r="F341" s="239">
        <f t="shared" ca="1" si="159"/>
        <v>0</v>
      </c>
      <c r="G341" s="261">
        <f t="shared" ca="1" si="160"/>
        <v>0</v>
      </c>
      <c r="I341" s="237"/>
      <c r="AV341" s="235"/>
      <c r="AW341" s="235"/>
      <c r="AX341" s="235"/>
      <c r="AY341" s="235"/>
      <c r="AZ341" s="235"/>
      <c r="BA341" s="235"/>
      <c r="BB341" s="235"/>
      <c r="BC341" s="235"/>
      <c r="BD341" s="235"/>
      <c r="BE341" s="235"/>
      <c r="BF341" s="235"/>
      <c r="BG341" s="235"/>
      <c r="BH341" s="235"/>
      <c r="BI341" s="235"/>
      <c r="BJ341" s="235"/>
      <c r="BK341" s="235"/>
      <c r="BL341" s="235"/>
      <c r="BM341" s="235"/>
      <c r="BN341" s="235"/>
      <c r="BO341" s="235"/>
      <c r="BP341" s="235"/>
      <c r="BQ341" s="235"/>
    </row>
    <row r="342" spans="1:69" s="780" customFormat="1" ht="15.75" customHeight="1">
      <c r="A342" s="62">
        <f t="shared" si="155"/>
        <v>35</v>
      </c>
      <c r="B342" s="63">
        <f t="shared" si="161"/>
        <v>47721</v>
      </c>
      <c r="C342" s="63">
        <f t="shared" si="156"/>
        <v>47727</v>
      </c>
      <c r="D342" s="239">
        <f t="shared" ca="1" si="157"/>
        <v>0</v>
      </c>
      <c r="E342" s="239">
        <f t="shared" ca="1" si="158"/>
        <v>0</v>
      </c>
      <c r="F342" s="239">
        <f t="shared" ca="1" si="159"/>
        <v>0</v>
      </c>
      <c r="G342" s="261">
        <f t="shared" ca="1" si="160"/>
        <v>0</v>
      </c>
      <c r="I342" s="237"/>
      <c r="AV342" s="235"/>
      <c r="AW342" s="235"/>
      <c r="AX342" s="235"/>
      <c r="AY342" s="235"/>
      <c r="AZ342" s="235"/>
      <c r="BA342" s="235"/>
      <c r="BB342" s="235"/>
      <c r="BC342" s="235"/>
      <c r="BD342" s="235"/>
      <c r="BE342" s="235"/>
      <c r="BF342" s="235"/>
      <c r="BG342" s="235"/>
      <c r="BH342" s="235"/>
      <c r="BI342" s="235"/>
      <c r="BJ342" s="235"/>
      <c r="BK342" s="235"/>
      <c r="BL342" s="235"/>
      <c r="BM342" s="235"/>
      <c r="BN342" s="235"/>
      <c r="BO342" s="235"/>
      <c r="BP342" s="235"/>
      <c r="BQ342" s="235"/>
    </row>
    <row r="343" spans="1:69" s="780" customFormat="1" ht="15.75" customHeight="1">
      <c r="A343" s="62">
        <f t="shared" si="155"/>
        <v>36</v>
      </c>
      <c r="B343" s="63">
        <f t="shared" si="161"/>
        <v>47728</v>
      </c>
      <c r="C343" s="63">
        <f t="shared" si="156"/>
        <v>47734</v>
      </c>
      <c r="D343" s="239">
        <f t="shared" ca="1" si="157"/>
        <v>0</v>
      </c>
      <c r="E343" s="239">
        <f t="shared" ca="1" si="158"/>
        <v>0</v>
      </c>
      <c r="F343" s="239">
        <f t="shared" ca="1" si="159"/>
        <v>0</v>
      </c>
      <c r="G343" s="261">
        <f t="shared" ca="1" si="160"/>
        <v>0</v>
      </c>
      <c r="I343" s="237"/>
      <c r="AV343" s="235"/>
      <c r="AW343" s="235"/>
      <c r="AX343" s="235"/>
      <c r="AY343" s="235"/>
      <c r="AZ343" s="235"/>
      <c r="BA343" s="235"/>
      <c r="BB343" s="235"/>
      <c r="BC343" s="235"/>
      <c r="BD343" s="235"/>
      <c r="BE343" s="235"/>
      <c r="BF343" s="235"/>
      <c r="BG343" s="235"/>
      <c r="BH343" s="235"/>
      <c r="BI343" s="235"/>
      <c r="BJ343" s="235"/>
      <c r="BK343" s="235"/>
      <c r="BL343" s="235"/>
      <c r="BM343" s="235"/>
      <c r="BN343" s="235"/>
      <c r="BO343" s="235"/>
      <c r="BP343" s="235"/>
      <c r="BQ343" s="235"/>
    </row>
    <row r="344" spans="1:69" s="780" customFormat="1" ht="15.75" customHeight="1">
      <c r="A344" s="62">
        <f t="shared" si="155"/>
        <v>37</v>
      </c>
      <c r="B344" s="63">
        <f t="shared" si="161"/>
        <v>47735</v>
      </c>
      <c r="C344" s="63">
        <f t="shared" si="156"/>
        <v>47741</v>
      </c>
      <c r="D344" s="239">
        <f t="shared" ca="1" si="157"/>
        <v>0</v>
      </c>
      <c r="E344" s="239">
        <f t="shared" ca="1" si="158"/>
        <v>0</v>
      </c>
      <c r="F344" s="239">
        <f t="shared" ca="1" si="159"/>
        <v>0</v>
      </c>
      <c r="G344" s="261">
        <f t="shared" ca="1" si="160"/>
        <v>0</v>
      </c>
      <c r="I344" s="237"/>
      <c r="AV344" s="235"/>
      <c r="AW344" s="235"/>
      <c r="AX344" s="235"/>
      <c r="AY344" s="235"/>
      <c r="AZ344" s="235"/>
      <c r="BA344" s="235"/>
      <c r="BB344" s="235"/>
      <c r="BC344" s="235"/>
      <c r="BD344" s="235"/>
      <c r="BE344" s="235"/>
      <c r="BF344" s="235"/>
      <c r="BG344" s="235"/>
      <c r="BH344" s="235"/>
      <c r="BI344" s="235"/>
      <c r="BJ344" s="235"/>
      <c r="BK344" s="235"/>
      <c r="BL344" s="235"/>
      <c r="BM344" s="235"/>
      <c r="BN344" s="235"/>
      <c r="BO344" s="235"/>
      <c r="BP344" s="235"/>
      <c r="BQ344" s="235"/>
    </row>
    <row r="345" spans="1:69" s="780" customFormat="1" ht="15.75" customHeight="1">
      <c r="A345" s="62">
        <f t="shared" si="155"/>
        <v>38</v>
      </c>
      <c r="B345" s="63">
        <f t="shared" si="161"/>
        <v>47742</v>
      </c>
      <c r="C345" s="63">
        <f t="shared" si="156"/>
        <v>47748</v>
      </c>
      <c r="D345" s="239">
        <f t="shared" ca="1" si="157"/>
        <v>0</v>
      </c>
      <c r="E345" s="239">
        <f t="shared" ca="1" si="158"/>
        <v>0</v>
      </c>
      <c r="F345" s="239">
        <f t="shared" ca="1" si="159"/>
        <v>0</v>
      </c>
      <c r="G345" s="261">
        <f t="shared" ca="1" si="160"/>
        <v>0</v>
      </c>
      <c r="I345" s="237"/>
      <c r="AV345" s="235"/>
      <c r="AW345" s="235"/>
      <c r="AX345" s="235"/>
      <c r="AY345" s="235"/>
      <c r="AZ345" s="235"/>
      <c r="BA345" s="235"/>
      <c r="BB345" s="235"/>
      <c r="BC345" s="235"/>
      <c r="BD345" s="235"/>
      <c r="BE345" s="235"/>
      <c r="BF345" s="235"/>
      <c r="BG345" s="235"/>
      <c r="BH345" s="235"/>
      <c r="BI345" s="235"/>
      <c r="BJ345" s="235"/>
      <c r="BK345" s="235"/>
      <c r="BL345" s="235"/>
      <c r="BM345" s="235"/>
      <c r="BN345" s="235"/>
      <c r="BO345" s="235"/>
      <c r="BP345" s="235"/>
      <c r="BQ345" s="235"/>
    </row>
    <row r="346" spans="1:69" s="780" customFormat="1" ht="15.75" customHeight="1">
      <c r="A346" s="62">
        <f t="shared" si="155"/>
        <v>39</v>
      </c>
      <c r="B346" s="63">
        <f t="shared" si="161"/>
        <v>47749</v>
      </c>
      <c r="C346" s="63">
        <f t="shared" si="156"/>
        <v>47755</v>
      </c>
      <c r="D346" s="239">
        <f t="shared" ca="1" si="157"/>
        <v>0</v>
      </c>
      <c r="E346" s="239">
        <f t="shared" ca="1" si="158"/>
        <v>0</v>
      </c>
      <c r="F346" s="239">
        <f t="shared" ca="1" si="159"/>
        <v>0</v>
      </c>
      <c r="G346" s="261">
        <f t="shared" ca="1" si="160"/>
        <v>0</v>
      </c>
      <c r="I346" s="237"/>
      <c r="AV346" s="235"/>
      <c r="AW346" s="235"/>
      <c r="AX346" s="235"/>
      <c r="AY346" s="235"/>
      <c r="AZ346" s="235"/>
      <c r="BA346" s="235"/>
      <c r="BB346" s="235"/>
      <c r="BC346" s="235"/>
      <c r="BD346" s="235"/>
      <c r="BE346" s="235"/>
      <c r="BF346" s="235"/>
      <c r="BG346" s="235"/>
      <c r="BH346" s="235"/>
      <c r="BI346" s="235"/>
      <c r="BJ346" s="235"/>
      <c r="BK346" s="235"/>
      <c r="BL346" s="235"/>
      <c r="BM346" s="235"/>
      <c r="BN346" s="235"/>
      <c r="BO346" s="235"/>
      <c r="BP346" s="235"/>
      <c r="BQ346" s="235"/>
    </row>
    <row r="347" spans="1:69" s="780" customFormat="1" ht="15.75" customHeight="1">
      <c r="A347" s="62">
        <f t="shared" si="155"/>
        <v>40</v>
      </c>
      <c r="B347" s="63">
        <f t="shared" si="161"/>
        <v>47756</v>
      </c>
      <c r="C347" s="63">
        <f t="shared" si="156"/>
        <v>47762</v>
      </c>
      <c r="D347" s="239">
        <f t="shared" ca="1" si="157"/>
        <v>0</v>
      </c>
      <c r="E347" s="239">
        <f t="shared" ca="1" si="158"/>
        <v>0</v>
      </c>
      <c r="F347" s="239">
        <f t="shared" ca="1" si="159"/>
        <v>0</v>
      </c>
      <c r="G347" s="261">
        <f t="shared" ca="1" si="160"/>
        <v>0</v>
      </c>
      <c r="I347" s="237"/>
      <c r="AV347" s="235"/>
      <c r="AW347" s="235"/>
      <c r="AX347" s="235"/>
      <c r="AY347" s="235"/>
      <c r="AZ347" s="235"/>
      <c r="BA347" s="235"/>
      <c r="BB347" s="235"/>
      <c r="BC347" s="235"/>
      <c r="BD347" s="235"/>
      <c r="BE347" s="235"/>
      <c r="BF347" s="235"/>
      <c r="BG347" s="235"/>
      <c r="BH347" s="235"/>
      <c r="BI347" s="235"/>
      <c r="BJ347" s="235"/>
      <c r="BK347" s="235"/>
      <c r="BL347" s="235"/>
      <c r="BM347" s="235"/>
      <c r="BN347" s="235"/>
      <c r="BO347" s="235"/>
      <c r="BP347" s="235"/>
      <c r="BQ347" s="235"/>
    </row>
    <row r="348" spans="1:69" s="780" customFormat="1" ht="15.75" customHeight="1">
      <c r="A348" s="62">
        <f t="shared" si="155"/>
        <v>41</v>
      </c>
      <c r="B348" s="63">
        <f t="shared" si="161"/>
        <v>47763</v>
      </c>
      <c r="C348" s="63">
        <f t="shared" si="156"/>
        <v>47769</v>
      </c>
      <c r="D348" s="239">
        <f t="shared" ca="1" si="157"/>
        <v>0</v>
      </c>
      <c r="E348" s="239">
        <f t="shared" ca="1" si="158"/>
        <v>0</v>
      </c>
      <c r="F348" s="239">
        <f t="shared" ca="1" si="159"/>
        <v>0</v>
      </c>
      <c r="G348" s="261">
        <f t="shared" ca="1" si="160"/>
        <v>0</v>
      </c>
      <c r="I348" s="237"/>
      <c r="AV348" s="235"/>
      <c r="AW348" s="235"/>
      <c r="AX348" s="235"/>
      <c r="AY348" s="235"/>
      <c r="AZ348" s="235"/>
      <c r="BA348" s="235"/>
      <c r="BB348" s="235"/>
      <c r="BC348" s="235"/>
      <c r="BD348" s="235"/>
      <c r="BE348" s="235"/>
      <c r="BF348" s="235"/>
      <c r="BG348" s="235"/>
      <c r="BH348" s="235"/>
      <c r="BI348" s="235"/>
      <c r="BJ348" s="235"/>
      <c r="BK348" s="235"/>
      <c r="BL348" s="235"/>
      <c r="BM348" s="235"/>
      <c r="BN348" s="235"/>
      <c r="BO348" s="235"/>
      <c r="BP348" s="235"/>
      <c r="BQ348" s="235"/>
    </row>
    <row r="349" spans="1:69" s="780" customFormat="1" ht="15.75" customHeight="1">
      <c r="A349" s="62">
        <f t="shared" si="155"/>
        <v>42</v>
      </c>
      <c r="B349" s="63">
        <f t="shared" si="161"/>
        <v>47770</v>
      </c>
      <c r="C349" s="63">
        <f t="shared" si="156"/>
        <v>47776</v>
      </c>
      <c r="D349" s="239">
        <f t="shared" ca="1" si="157"/>
        <v>0</v>
      </c>
      <c r="E349" s="239">
        <f t="shared" ca="1" si="158"/>
        <v>0</v>
      </c>
      <c r="F349" s="239">
        <f t="shared" ca="1" si="159"/>
        <v>0</v>
      </c>
      <c r="G349" s="261">
        <f t="shared" ca="1" si="160"/>
        <v>0</v>
      </c>
      <c r="I349" s="237"/>
      <c r="AV349" s="235"/>
      <c r="AW349" s="235"/>
      <c r="AX349" s="235"/>
      <c r="AY349" s="235"/>
      <c r="AZ349" s="235"/>
      <c r="BA349" s="235"/>
      <c r="BB349" s="235"/>
      <c r="BC349" s="235"/>
      <c r="BD349" s="235"/>
      <c r="BE349" s="235"/>
      <c r="BF349" s="235"/>
      <c r="BG349" s="235"/>
      <c r="BH349" s="235"/>
      <c r="BI349" s="235"/>
      <c r="BJ349" s="235"/>
      <c r="BK349" s="235"/>
      <c r="BL349" s="235"/>
      <c r="BM349" s="235"/>
      <c r="BN349" s="235"/>
      <c r="BO349" s="235"/>
      <c r="BP349" s="235"/>
      <c r="BQ349" s="235"/>
    </row>
    <row r="350" spans="1:69" s="780" customFormat="1" ht="15.75" customHeight="1">
      <c r="A350" s="62">
        <f t="shared" si="155"/>
        <v>43</v>
      </c>
      <c r="B350" s="63">
        <f t="shared" si="161"/>
        <v>47777</v>
      </c>
      <c r="C350" s="63">
        <f t="shared" si="156"/>
        <v>47783</v>
      </c>
      <c r="D350" s="239">
        <f t="shared" ca="1" si="157"/>
        <v>0</v>
      </c>
      <c r="E350" s="239">
        <f t="shared" ca="1" si="158"/>
        <v>0</v>
      </c>
      <c r="F350" s="239">
        <f t="shared" ca="1" si="159"/>
        <v>0</v>
      </c>
      <c r="G350" s="261">
        <f t="shared" ca="1" si="160"/>
        <v>0</v>
      </c>
      <c r="I350" s="237"/>
      <c r="AV350" s="235"/>
      <c r="AW350" s="235"/>
      <c r="AX350" s="235"/>
      <c r="AY350" s="235"/>
      <c r="AZ350" s="235"/>
      <c r="BA350" s="235"/>
      <c r="BB350" s="235"/>
      <c r="BC350" s="235"/>
      <c r="BD350" s="235"/>
      <c r="BE350" s="235"/>
      <c r="BF350" s="235"/>
      <c r="BG350" s="235"/>
      <c r="BH350" s="235"/>
      <c r="BI350" s="235"/>
      <c r="BJ350" s="235"/>
      <c r="BK350" s="235"/>
      <c r="BL350" s="235"/>
      <c r="BM350" s="235"/>
      <c r="BN350" s="235"/>
      <c r="BO350" s="235"/>
      <c r="BP350" s="235"/>
      <c r="BQ350" s="235"/>
    </row>
    <row r="351" spans="1:69" s="780" customFormat="1" ht="15.75" customHeight="1">
      <c r="A351" s="62">
        <f t="shared" si="155"/>
        <v>44</v>
      </c>
      <c r="B351" s="63">
        <f t="shared" si="161"/>
        <v>47784</v>
      </c>
      <c r="C351" s="63">
        <f t="shared" si="156"/>
        <v>47790</v>
      </c>
      <c r="D351" s="239">
        <f t="shared" ca="1" si="157"/>
        <v>0</v>
      </c>
      <c r="E351" s="239">
        <f t="shared" ca="1" si="158"/>
        <v>0</v>
      </c>
      <c r="F351" s="239">
        <f t="shared" ca="1" si="159"/>
        <v>0</v>
      </c>
      <c r="G351" s="261">
        <f t="shared" ca="1" si="160"/>
        <v>0</v>
      </c>
      <c r="I351" s="237"/>
      <c r="AV351" s="235"/>
      <c r="AW351" s="235"/>
      <c r="AX351" s="235"/>
      <c r="AY351" s="235"/>
      <c r="AZ351" s="235"/>
      <c r="BA351" s="235"/>
      <c r="BB351" s="235"/>
      <c r="BC351" s="235"/>
      <c r="BD351" s="235"/>
      <c r="BE351" s="235"/>
      <c r="BF351" s="235"/>
      <c r="BG351" s="235"/>
      <c r="BH351" s="235"/>
      <c r="BI351" s="235"/>
      <c r="BJ351" s="235"/>
      <c r="BK351" s="235"/>
      <c r="BL351" s="235"/>
      <c r="BM351" s="235"/>
      <c r="BN351" s="235"/>
      <c r="BO351" s="235"/>
      <c r="BP351" s="235"/>
      <c r="BQ351" s="235"/>
    </row>
    <row r="352" spans="1:69" s="780" customFormat="1" ht="15.75" customHeight="1">
      <c r="A352" s="62">
        <f t="shared" si="155"/>
        <v>45</v>
      </c>
      <c r="B352" s="63">
        <f t="shared" si="161"/>
        <v>47791</v>
      </c>
      <c r="C352" s="63">
        <f t="shared" si="156"/>
        <v>47797</v>
      </c>
      <c r="D352" s="239">
        <f t="shared" ca="1" si="157"/>
        <v>0</v>
      </c>
      <c r="E352" s="239">
        <f t="shared" ca="1" si="158"/>
        <v>0</v>
      </c>
      <c r="F352" s="239">
        <f t="shared" ca="1" si="159"/>
        <v>0</v>
      </c>
      <c r="G352" s="261">
        <f t="shared" ca="1" si="160"/>
        <v>0</v>
      </c>
      <c r="I352" s="237"/>
      <c r="AV352" s="235"/>
      <c r="AW352" s="235"/>
      <c r="AX352" s="235"/>
      <c r="AY352" s="235"/>
      <c r="AZ352" s="235"/>
      <c r="BA352" s="235"/>
      <c r="BB352" s="235"/>
      <c r="BC352" s="235"/>
      <c r="BD352" s="235"/>
      <c r="BE352" s="235"/>
      <c r="BF352" s="235"/>
      <c r="BG352" s="235"/>
      <c r="BH352" s="235"/>
      <c r="BI352" s="235"/>
      <c r="BJ352" s="235"/>
      <c r="BK352" s="235"/>
      <c r="BL352" s="235"/>
      <c r="BM352" s="235"/>
      <c r="BN352" s="235"/>
      <c r="BO352" s="235"/>
      <c r="BP352" s="235"/>
      <c r="BQ352" s="235"/>
    </row>
    <row r="353" spans="1:69" s="780" customFormat="1" ht="15.75" customHeight="1">
      <c r="A353" s="62">
        <f t="shared" si="155"/>
        <v>46</v>
      </c>
      <c r="B353" s="63">
        <f t="shared" si="161"/>
        <v>47798</v>
      </c>
      <c r="C353" s="63">
        <f t="shared" si="156"/>
        <v>47804</v>
      </c>
      <c r="D353" s="239">
        <f t="shared" ca="1" si="157"/>
        <v>0</v>
      </c>
      <c r="E353" s="239">
        <f t="shared" ca="1" si="158"/>
        <v>0</v>
      </c>
      <c r="F353" s="239">
        <f t="shared" ca="1" si="159"/>
        <v>0</v>
      </c>
      <c r="G353" s="261">
        <f t="shared" ca="1" si="160"/>
        <v>0</v>
      </c>
      <c r="I353" s="237"/>
      <c r="AV353" s="235"/>
      <c r="AW353" s="235"/>
      <c r="AX353" s="235"/>
      <c r="AY353" s="235"/>
      <c r="AZ353" s="235"/>
      <c r="BA353" s="235"/>
      <c r="BB353" s="235"/>
      <c r="BC353" s="235"/>
      <c r="BD353" s="235"/>
      <c r="BE353" s="235"/>
      <c r="BF353" s="235"/>
      <c r="BG353" s="235"/>
      <c r="BH353" s="235"/>
      <c r="BI353" s="235"/>
      <c r="BJ353" s="235"/>
      <c r="BK353" s="235"/>
      <c r="BL353" s="235"/>
      <c r="BM353" s="235"/>
      <c r="BN353" s="235"/>
      <c r="BO353" s="235"/>
      <c r="BP353" s="235"/>
      <c r="BQ353" s="235"/>
    </row>
    <row r="354" spans="1:69" s="780" customFormat="1" ht="15.75" customHeight="1">
      <c r="A354" s="62">
        <f t="shared" si="155"/>
        <v>47</v>
      </c>
      <c r="B354" s="63">
        <f t="shared" si="161"/>
        <v>47805</v>
      </c>
      <c r="C354" s="63">
        <f t="shared" si="156"/>
        <v>47811</v>
      </c>
      <c r="D354" s="239">
        <f t="shared" ca="1" si="157"/>
        <v>0</v>
      </c>
      <c r="E354" s="239">
        <f t="shared" ca="1" si="158"/>
        <v>0</v>
      </c>
      <c r="F354" s="239">
        <f t="shared" ca="1" si="159"/>
        <v>0</v>
      </c>
      <c r="G354" s="261">
        <f t="shared" ca="1" si="160"/>
        <v>0</v>
      </c>
      <c r="I354" s="237"/>
      <c r="AV354" s="235"/>
      <c r="AW354" s="235"/>
      <c r="AX354" s="235"/>
      <c r="AY354" s="235"/>
      <c r="AZ354" s="235"/>
      <c r="BA354" s="235"/>
      <c r="BB354" s="235"/>
      <c r="BC354" s="235"/>
      <c r="BD354" s="235"/>
      <c r="BE354" s="235"/>
      <c r="BF354" s="235"/>
      <c r="BG354" s="235"/>
      <c r="BH354" s="235"/>
      <c r="BI354" s="235"/>
      <c r="BJ354" s="235"/>
      <c r="BK354" s="235"/>
      <c r="BL354" s="235"/>
      <c r="BM354" s="235"/>
      <c r="BN354" s="235"/>
      <c r="BO354" s="235"/>
      <c r="BP354" s="235"/>
      <c r="BQ354" s="235"/>
    </row>
    <row r="355" spans="1:69" s="780" customFormat="1" ht="15.75" customHeight="1">
      <c r="A355" s="62">
        <f t="shared" si="155"/>
        <v>48</v>
      </c>
      <c r="B355" s="63">
        <f t="shared" si="161"/>
        <v>47812</v>
      </c>
      <c r="C355" s="63">
        <f t="shared" si="156"/>
        <v>47818</v>
      </c>
      <c r="D355" s="239">
        <f t="shared" ca="1" si="157"/>
        <v>0</v>
      </c>
      <c r="E355" s="239">
        <f t="shared" ca="1" si="158"/>
        <v>0</v>
      </c>
      <c r="F355" s="239">
        <f t="shared" ca="1" si="159"/>
        <v>0</v>
      </c>
      <c r="G355" s="261">
        <f t="shared" ca="1" si="160"/>
        <v>0</v>
      </c>
      <c r="I355" s="237"/>
      <c r="AV355" s="235"/>
      <c r="AW355" s="235"/>
      <c r="AX355" s="235"/>
      <c r="AY355" s="235"/>
      <c r="AZ355" s="235"/>
      <c r="BA355" s="235"/>
      <c r="BB355" s="235"/>
      <c r="BC355" s="235"/>
      <c r="BD355" s="235"/>
      <c r="BE355" s="235"/>
      <c r="BF355" s="235"/>
      <c r="BG355" s="235"/>
      <c r="BH355" s="235"/>
      <c r="BI355" s="235"/>
      <c r="BJ355" s="235"/>
      <c r="BK355" s="235"/>
      <c r="BL355" s="235"/>
      <c r="BM355" s="235"/>
      <c r="BN355" s="235"/>
      <c r="BO355" s="235"/>
      <c r="BP355" s="235"/>
      <c r="BQ355" s="235"/>
    </row>
    <row r="356" spans="1:69" s="780" customFormat="1" ht="15.75" customHeight="1">
      <c r="A356" s="62">
        <f t="shared" si="155"/>
        <v>49</v>
      </c>
      <c r="B356" s="63">
        <f t="shared" si="161"/>
        <v>47819</v>
      </c>
      <c r="C356" s="63">
        <f t="shared" si="156"/>
        <v>47825</v>
      </c>
      <c r="D356" s="239">
        <f t="shared" ca="1" si="157"/>
        <v>0</v>
      </c>
      <c r="E356" s="239">
        <f t="shared" ca="1" si="158"/>
        <v>0</v>
      </c>
      <c r="F356" s="239">
        <f t="shared" ca="1" si="159"/>
        <v>0</v>
      </c>
      <c r="G356" s="261">
        <f t="shared" ca="1" si="160"/>
        <v>0</v>
      </c>
      <c r="I356" s="237"/>
      <c r="AV356" s="235"/>
      <c r="AW356" s="235"/>
      <c r="AX356" s="235"/>
      <c r="AY356" s="235"/>
      <c r="AZ356" s="235"/>
      <c r="BA356" s="235"/>
      <c r="BB356" s="235"/>
      <c r="BC356" s="235"/>
      <c r="BD356" s="235"/>
      <c r="BE356" s="235"/>
      <c r="BF356" s="235"/>
      <c r="BG356" s="235"/>
      <c r="BH356" s="235"/>
      <c r="BI356" s="235"/>
      <c r="BJ356" s="235"/>
      <c r="BK356" s="235"/>
      <c r="BL356" s="235"/>
      <c r="BM356" s="235"/>
      <c r="BN356" s="235"/>
      <c r="BO356" s="235"/>
      <c r="BP356" s="235"/>
      <c r="BQ356" s="235"/>
    </row>
    <row r="357" spans="1:69" s="780" customFormat="1" ht="15.75" customHeight="1">
      <c r="A357" s="62">
        <f t="shared" si="155"/>
        <v>50</v>
      </c>
      <c r="B357" s="63">
        <f t="shared" si="161"/>
        <v>47826</v>
      </c>
      <c r="C357" s="63">
        <f t="shared" si="156"/>
        <v>47832</v>
      </c>
      <c r="D357" s="239">
        <f t="shared" ca="1" si="157"/>
        <v>0</v>
      </c>
      <c r="E357" s="239">
        <f t="shared" ca="1" si="158"/>
        <v>0</v>
      </c>
      <c r="F357" s="239">
        <f t="shared" ca="1" si="159"/>
        <v>0</v>
      </c>
      <c r="G357" s="261">
        <f t="shared" ca="1" si="160"/>
        <v>0</v>
      </c>
      <c r="I357" s="237"/>
      <c r="AV357" s="235"/>
      <c r="AW357" s="235"/>
      <c r="AX357" s="235"/>
      <c r="AY357" s="235"/>
      <c r="AZ357" s="235"/>
      <c r="BA357" s="235"/>
      <c r="BB357" s="235"/>
      <c r="BC357" s="235"/>
      <c r="BD357" s="235"/>
      <c r="BE357" s="235"/>
      <c r="BF357" s="235"/>
      <c r="BG357" s="235"/>
      <c r="BH357" s="235"/>
      <c r="BI357" s="235"/>
      <c r="BJ357" s="235"/>
      <c r="BK357" s="235"/>
      <c r="BL357" s="235"/>
      <c r="BM357" s="235"/>
      <c r="BN357" s="235"/>
      <c r="BO357" s="235"/>
      <c r="BP357" s="235"/>
      <c r="BQ357" s="235"/>
    </row>
    <row r="358" spans="1:69" s="780" customFormat="1" ht="15.75" customHeight="1">
      <c r="A358" s="62">
        <f t="shared" si="155"/>
        <v>51</v>
      </c>
      <c r="B358" s="63">
        <f t="shared" si="161"/>
        <v>47833</v>
      </c>
      <c r="C358" s="63">
        <f t="shared" si="156"/>
        <v>47839</v>
      </c>
      <c r="D358" s="239">
        <f t="shared" ca="1" si="157"/>
        <v>0</v>
      </c>
      <c r="E358" s="239">
        <f t="shared" ca="1" si="158"/>
        <v>0</v>
      </c>
      <c r="F358" s="239">
        <f t="shared" ca="1" si="159"/>
        <v>0</v>
      </c>
      <c r="G358" s="261">
        <f t="shared" ca="1" si="160"/>
        <v>0</v>
      </c>
      <c r="I358" s="237"/>
      <c r="AV358" s="235"/>
      <c r="AW358" s="235"/>
      <c r="AX358" s="235"/>
      <c r="AY358" s="235"/>
      <c r="AZ358" s="235"/>
      <c r="BA358" s="235"/>
      <c r="BB358" s="235"/>
      <c r="BC358" s="235"/>
      <c r="BD358" s="235"/>
      <c r="BE358" s="235"/>
      <c r="BF358" s="235"/>
      <c r="BG358" s="235"/>
      <c r="BH358" s="235"/>
      <c r="BI358" s="235"/>
      <c r="BJ358" s="235"/>
      <c r="BK358" s="235"/>
      <c r="BL358" s="235"/>
      <c r="BM358" s="235"/>
      <c r="BN358" s="235"/>
      <c r="BO358" s="235"/>
      <c r="BP358" s="235"/>
      <c r="BQ358" s="235"/>
    </row>
    <row r="359" spans="1:69" s="780" customFormat="1" ht="15.75" customHeight="1">
      <c r="A359" s="62">
        <f t="shared" si="155"/>
        <v>52</v>
      </c>
      <c r="B359" s="63">
        <f t="shared" si="161"/>
        <v>47840</v>
      </c>
      <c r="C359" s="63">
        <f t="shared" si="156"/>
        <v>47846</v>
      </c>
      <c r="D359" s="239">
        <f t="shared" ca="1" si="157"/>
        <v>0</v>
      </c>
      <c r="E359" s="239">
        <f t="shared" ca="1" si="158"/>
        <v>0</v>
      </c>
      <c r="F359" s="239">
        <f t="shared" ca="1" si="159"/>
        <v>0</v>
      </c>
      <c r="G359" s="261">
        <f t="shared" ca="1" si="160"/>
        <v>0</v>
      </c>
      <c r="I359" s="237"/>
      <c r="AV359" s="235"/>
      <c r="AW359" s="235"/>
      <c r="AX359" s="235"/>
      <c r="AY359" s="235"/>
      <c r="AZ359" s="235"/>
      <c r="BA359" s="235"/>
      <c r="BB359" s="235"/>
      <c r="BC359" s="235"/>
      <c r="BD359" s="235"/>
      <c r="BE359" s="235"/>
      <c r="BF359" s="235"/>
      <c r="BG359" s="235"/>
      <c r="BH359" s="235"/>
      <c r="BI359" s="235"/>
      <c r="BJ359" s="235"/>
      <c r="BK359" s="235"/>
      <c r="BL359" s="235"/>
      <c r="BM359" s="235"/>
      <c r="BN359" s="235"/>
      <c r="BO359" s="235"/>
      <c r="BP359" s="235"/>
      <c r="BQ359" s="235"/>
    </row>
    <row r="360" spans="1:69" s="780" customFormat="1" ht="15.75" customHeight="1">
      <c r="A360" s="62">
        <f t="shared" si="155"/>
        <v>53</v>
      </c>
      <c r="B360" s="63">
        <f t="shared" si="161"/>
        <v>47847</v>
      </c>
      <c r="C360" s="63">
        <f t="shared" si="156"/>
        <v>47853</v>
      </c>
      <c r="D360" s="239">
        <f t="shared" ca="1" si="157"/>
        <v>0</v>
      </c>
      <c r="E360" s="239">
        <f t="shared" ca="1" si="158"/>
        <v>0</v>
      </c>
      <c r="F360" s="239">
        <f t="shared" ca="1" si="159"/>
        <v>0</v>
      </c>
      <c r="G360" s="261">
        <f t="shared" ca="1" si="160"/>
        <v>0</v>
      </c>
      <c r="I360" s="237"/>
      <c r="AV360" s="235"/>
      <c r="AW360" s="235"/>
      <c r="AX360" s="235"/>
      <c r="AY360" s="235"/>
      <c r="AZ360" s="235"/>
      <c r="BA360" s="235"/>
      <c r="BB360" s="235"/>
      <c r="BC360" s="235"/>
      <c r="BD360" s="235"/>
      <c r="BE360" s="235"/>
      <c r="BF360" s="235"/>
      <c r="BG360" s="235"/>
      <c r="BH360" s="235"/>
      <c r="BI360" s="235"/>
      <c r="BJ360" s="235"/>
      <c r="BK360" s="235"/>
      <c r="BL360" s="235"/>
      <c r="BM360" s="235"/>
      <c r="BN360" s="235"/>
      <c r="BO360" s="235"/>
      <c r="BP360" s="235"/>
      <c r="BQ360" s="235"/>
    </row>
    <row r="361" spans="1:69" s="780" customFormat="1" ht="15.75" customHeight="1">
      <c r="A361" s="62">
        <f t="shared" si="155"/>
        <v>2</v>
      </c>
      <c r="B361" s="63">
        <f t="shared" si="161"/>
        <v>47854</v>
      </c>
      <c r="C361" s="63">
        <f t="shared" si="156"/>
        <v>47860</v>
      </c>
      <c r="D361" s="239">
        <f t="shared" ca="1" si="157"/>
        <v>0</v>
      </c>
      <c r="E361" s="239">
        <f t="shared" ca="1" si="158"/>
        <v>0</v>
      </c>
      <c r="F361" s="239">
        <f t="shared" ca="1" si="159"/>
        <v>0</v>
      </c>
      <c r="G361" s="261">
        <f t="shared" ca="1" si="160"/>
        <v>0</v>
      </c>
      <c r="I361" s="237"/>
      <c r="AV361" s="235"/>
      <c r="AW361" s="235"/>
      <c r="AX361" s="235"/>
      <c r="AY361" s="235"/>
      <c r="AZ361" s="235"/>
      <c r="BA361" s="235"/>
      <c r="BB361" s="235"/>
      <c r="BC361" s="235"/>
      <c r="BD361" s="235"/>
      <c r="BE361" s="235"/>
      <c r="BF361" s="235"/>
      <c r="BG361" s="235"/>
      <c r="BH361" s="235"/>
      <c r="BI361" s="235"/>
      <c r="BJ361" s="235"/>
      <c r="BK361" s="235"/>
      <c r="BL361" s="235"/>
      <c r="BM361" s="235"/>
      <c r="BN361" s="235"/>
      <c r="BO361" s="235"/>
      <c r="BP361" s="235"/>
      <c r="BQ361" s="235"/>
    </row>
    <row r="362" spans="1:69" s="780" customFormat="1" ht="15.75" customHeight="1">
      <c r="A362" s="62">
        <f t="shared" si="155"/>
        <v>3</v>
      </c>
      <c r="B362" s="63">
        <f t="shared" si="161"/>
        <v>47861</v>
      </c>
      <c r="C362" s="63">
        <f t="shared" si="156"/>
        <v>47867</v>
      </c>
      <c r="D362" s="239">
        <f t="shared" ca="1" si="157"/>
        <v>0</v>
      </c>
      <c r="E362" s="239">
        <f t="shared" ca="1" si="158"/>
        <v>0</v>
      </c>
      <c r="F362" s="239">
        <f t="shared" ca="1" si="159"/>
        <v>0</v>
      </c>
      <c r="G362" s="261">
        <f t="shared" ca="1" si="160"/>
        <v>0</v>
      </c>
      <c r="I362" s="237"/>
      <c r="AV362" s="235"/>
      <c r="AW362" s="235"/>
      <c r="AX362" s="235"/>
      <c r="AY362" s="235"/>
      <c r="AZ362" s="235"/>
      <c r="BA362" s="235"/>
      <c r="BB362" s="235"/>
      <c r="BC362" s="235"/>
      <c r="BD362" s="235"/>
      <c r="BE362" s="235"/>
      <c r="BF362" s="235"/>
      <c r="BG362" s="235"/>
      <c r="BH362" s="235"/>
      <c r="BI362" s="235"/>
      <c r="BJ362" s="235"/>
      <c r="BK362" s="235"/>
      <c r="BL362" s="235"/>
      <c r="BM362" s="235"/>
      <c r="BN362" s="235"/>
      <c r="BO362" s="235"/>
      <c r="BP362" s="235"/>
      <c r="BQ362" s="235"/>
    </row>
    <row r="363" spans="1:69" s="780" customFormat="1" ht="15.75" customHeight="1">
      <c r="A363" s="62">
        <f t="shared" si="155"/>
        <v>4</v>
      </c>
      <c r="B363" s="63">
        <f t="shared" si="161"/>
        <v>47868</v>
      </c>
      <c r="C363" s="63">
        <f t="shared" si="156"/>
        <v>47874</v>
      </c>
      <c r="D363" s="239">
        <f t="shared" ca="1" si="157"/>
        <v>0</v>
      </c>
      <c r="E363" s="239">
        <f t="shared" ca="1" si="158"/>
        <v>0</v>
      </c>
      <c r="F363" s="239">
        <f t="shared" ca="1" si="159"/>
        <v>0</v>
      </c>
      <c r="G363" s="261">
        <f t="shared" ca="1" si="160"/>
        <v>0</v>
      </c>
      <c r="I363" s="237"/>
      <c r="AV363" s="235"/>
      <c r="AW363" s="235"/>
      <c r="AX363" s="235"/>
      <c r="AY363" s="235"/>
      <c r="AZ363" s="235"/>
      <c r="BA363" s="235"/>
      <c r="BB363" s="235"/>
      <c r="BC363" s="235"/>
      <c r="BD363" s="235"/>
      <c r="BE363" s="235"/>
      <c r="BF363" s="235"/>
      <c r="BG363" s="235"/>
      <c r="BH363" s="235"/>
      <c r="BI363" s="235"/>
      <c r="BJ363" s="235"/>
      <c r="BK363" s="235"/>
      <c r="BL363" s="235"/>
      <c r="BM363" s="235"/>
      <c r="BN363" s="235"/>
      <c r="BO363" s="235"/>
      <c r="BP363" s="235"/>
      <c r="BQ363" s="235"/>
    </row>
    <row r="364" spans="1:69" s="780" customFormat="1" ht="15.75" customHeight="1">
      <c r="A364" s="62">
        <f t="shared" si="155"/>
        <v>5</v>
      </c>
      <c r="B364" s="63">
        <f t="shared" si="161"/>
        <v>47875</v>
      </c>
      <c r="C364" s="63">
        <f t="shared" si="156"/>
        <v>47881</v>
      </c>
      <c r="D364" s="239">
        <f t="shared" ca="1" si="157"/>
        <v>0</v>
      </c>
      <c r="E364" s="239">
        <f t="shared" ca="1" si="158"/>
        <v>0</v>
      </c>
      <c r="F364" s="239">
        <f t="shared" ca="1" si="159"/>
        <v>0</v>
      </c>
      <c r="G364" s="261">
        <f t="shared" ca="1" si="160"/>
        <v>0</v>
      </c>
      <c r="I364" s="237"/>
      <c r="AV364" s="235"/>
      <c r="AW364" s="235"/>
      <c r="AX364" s="235"/>
      <c r="AY364" s="235"/>
      <c r="AZ364" s="235"/>
      <c r="BA364" s="235"/>
      <c r="BB364" s="235"/>
      <c r="BC364" s="235"/>
      <c r="BD364" s="235"/>
      <c r="BE364" s="235"/>
      <c r="BF364" s="235"/>
      <c r="BG364" s="235"/>
      <c r="BH364" s="235"/>
      <c r="BI364" s="235"/>
      <c r="BJ364" s="235"/>
      <c r="BK364" s="235"/>
      <c r="BL364" s="235"/>
      <c r="BM364" s="235"/>
      <c r="BN364" s="235"/>
      <c r="BO364" s="235"/>
      <c r="BP364" s="235"/>
      <c r="BQ364" s="235"/>
    </row>
    <row r="365" spans="1:69" s="780" customFormat="1" ht="15.75" customHeight="1">
      <c r="A365" s="62">
        <f t="shared" ref="A365:A404" si="162">WEEKNUM(B365)</f>
        <v>6</v>
      </c>
      <c r="B365" s="63">
        <f t="shared" si="161"/>
        <v>47882</v>
      </c>
      <c r="C365" s="63">
        <f t="shared" ref="C365:C404" si="163">+B365+6</f>
        <v>47888</v>
      </c>
      <c r="D365" s="239">
        <f t="shared" ref="D365:D404" ca="1" si="164">SUMIFS(TOTAL,FECHA_RETIRO_VALORES,"&gt;="&amp;B365,FECHA_RETIRO_VALORES,"&lt;="&amp;C365)</f>
        <v>0</v>
      </c>
      <c r="E365" s="239">
        <f t="shared" ref="E365:E404" ca="1" si="165">SUMIFS(VALORES_COBRADOS,FECHA_RETIRO_VALORES,"&gt;="&amp;B365,FECHA_RETIRO_VALORES,"&lt;="&amp;C365)+SUMIFS(VALORES_EN_CARTERA,FECHA_RETIRO_VALORES,"&gt;="&amp;B365,FECHA_RETIRO_VALORES,"&lt;="&amp;C365)</f>
        <v>0</v>
      </c>
      <c r="F365" s="239">
        <f t="shared" ref="F365:F404" ca="1" si="166">SUMIFS(PENDIENTE_DE_ENTREGA,FECHA_RETIRO_VALORES,"&gt;="&amp;B365,FECHA_RETIRO_VALORES,"&lt;="&amp;C365,ESTADO_ENTREGA,"PENDIENTE")</f>
        <v>0</v>
      </c>
      <c r="G365" s="261">
        <f t="shared" ref="G365:G404" ca="1" si="167">SUMIFS(PENDIENTE_DE_COBRO,FECHA_RETIRO_VALORES,"&gt;="&amp;B365,FECHA_RETIRO_VALORES,"&lt;="&amp;C365,ESTADO_ENTREGA,"ENTREGADO")</f>
        <v>0</v>
      </c>
      <c r="I365" s="237"/>
      <c r="AV365" s="235"/>
      <c r="AW365" s="235"/>
      <c r="AX365" s="235"/>
      <c r="AY365" s="235"/>
      <c r="AZ365" s="235"/>
      <c r="BA365" s="235"/>
      <c r="BB365" s="235"/>
      <c r="BC365" s="235"/>
      <c r="BD365" s="235"/>
      <c r="BE365" s="235"/>
      <c r="BF365" s="235"/>
      <c r="BG365" s="235"/>
      <c r="BH365" s="235"/>
      <c r="BI365" s="235"/>
      <c r="BJ365" s="235"/>
      <c r="BK365" s="235"/>
      <c r="BL365" s="235"/>
      <c r="BM365" s="235"/>
      <c r="BN365" s="235"/>
      <c r="BO365" s="235"/>
      <c r="BP365" s="235"/>
      <c r="BQ365" s="235"/>
    </row>
    <row r="366" spans="1:69" s="780" customFormat="1" ht="15.75" customHeight="1">
      <c r="A366" s="62">
        <f t="shared" si="162"/>
        <v>7</v>
      </c>
      <c r="B366" s="63">
        <f t="shared" si="161"/>
        <v>47889</v>
      </c>
      <c r="C366" s="63">
        <f t="shared" si="163"/>
        <v>47895</v>
      </c>
      <c r="D366" s="239">
        <f t="shared" ca="1" si="164"/>
        <v>0</v>
      </c>
      <c r="E366" s="239">
        <f t="shared" ca="1" si="165"/>
        <v>0</v>
      </c>
      <c r="F366" s="239">
        <f t="shared" ca="1" si="166"/>
        <v>0</v>
      </c>
      <c r="G366" s="261">
        <f t="shared" ca="1" si="167"/>
        <v>0</v>
      </c>
      <c r="I366" s="237"/>
      <c r="AV366" s="235"/>
      <c r="AW366" s="235"/>
      <c r="AX366" s="235"/>
      <c r="AY366" s="235"/>
      <c r="AZ366" s="235"/>
      <c r="BA366" s="235"/>
      <c r="BB366" s="235"/>
      <c r="BC366" s="235"/>
      <c r="BD366" s="235"/>
      <c r="BE366" s="235"/>
      <c r="BF366" s="235"/>
      <c r="BG366" s="235"/>
      <c r="BH366" s="235"/>
      <c r="BI366" s="235"/>
      <c r="BJ366" s="235"/>
      <c r="BK366" s="235"/>
      <c r="BL366" s="235"/>
      <c r="BM366" s="235"/>
      <c r="BN366" s="235"/>
      <c r="BO366" s="235"/>
      <c r="BP366" s="235"/>
      <c r="BQ366" s="235"/>
    </row>
    <row r="367" spans="1:69" s="780" customFormat="1" ht="15.75" customHeight="1">
      <c r="A367" s="62">
        <f t="shared" si="162"/>
        <v>8</v>
      </c>
      <c r="B367" s="63">
        <f t="shared" si="161"/>
        <v>47896</v>
      </c>
      <c r="C367" s="63">
        <f t="shared" si="163"/>
        <v>47902</v>
      </c>
      <c r="D367" s="239">
        <f t="shared" ca="1" si="164"/>
        <v>0</v>
      </c>
      <c r="E367" s="239">
        <f t="shared" ca="1" si="165"/>
        <v>0</v>
      </c>
      <c r="F367" s="239">
        <f t="shared" ca="1" si="166"/>
        <v>0</v>
      </c>
      <c r="G367" s="261">
        <f t="shared" ca="1" si="167"/>
        <v>0</v>
      </c>
      <c r="I367" s="237"/>
      <c r="AV367" s="235"/>
      <c r="AW367" s="235"/>
      <c r="AX367" s="235"/>
      <c r="AY367" s="235"/>
      <c r="AZ367" s="235"/>
      <c r="BA367" s="235"/>
      <c r="BB367" s="235"/>
      <c r="BC367" s="235"/>
      <c r="BD367" s="235"/>
      <c r="BE367" s="235"/>
      <c r="BF367" s="235"/>
      <c r="BG367" s="235"/>
      <c r="BH367" s="235"/>
      <c r="BI367" s="235"/>
      <c r="BJ367" s="235"/>
      <c r="BK367" s="235"/>
      <c r="BL367" s="235"/>
      <c r="BM367" s="235"/>
      <c r="BN367" s="235"/>
      <c r="BO367" s="235"/>
      <c r="BP367" s="235"/>
      <c r="BQ367" s="235"/>
    </row>
    <row r="368" spans="1:69" s="780" customFormat="1" ht="15.75" customHeight="1">
      <c r="A368" s="62">
        <f t="shared" si="162"/>
        <v>9</v>
      </c>
      <c r="B368" s="63">
        <f t="shared" si="161"/>
        <v>47903</v>
      </c>
      <c r="C368" s="63">
        <f t="shared" si="163"/>
        <v>47909</v>
      </c>
      <c r="D368" s="239">
        <f t="shared" ca="1" si="164"/>
        <v>0</v>
      </c>
      <c r="E368" s="239">
        <f t="shared" ca="1" si="165"/>
        <v>0</v>
      </c>
      <c r="F368" s="239">
        <f t="shared" ca="1" si="166"/>
        <v>0</v>
      </c>
      <c r="G368" s="261">
        <f t="shared" ca="1" si="167"/>
        <v>0</v>
      </c>
      <c r="I368" s="237"/>
      <c r="AV368" s="235"/>
      <c r="AW368" s="235"/>
      <c r="AX368" s="235"/>
      <c r="AY368" s="235"/>
      <c r="AZ368" s="235"/>
      <c r="BA368" s="235"/>
      <c r="BB368" s="235"/>
      <c r="BC368" s="235"/>
      <c r="BD368" s="235"/>
      <c r="BE368" s="235"/>
      <c r="BF368" s="235"/>
      <c r="BG368" s="235"/>
      <c r="BH368" s="235"/>
      <c r="BI368" s="235"/>
      <c r="BJ368" s="235"/>
      <c r="BK368" s="235"/>
      <c r="BL368" s="235"/>
      <c r="BM368" s="235"/>
      <c r="BN368" s="235"/>
      <c r="BO368" s="235"/>
      <c r="BP368" s="235"/>
      <c r="BQ368" s="235"/>
    </row>
    <row r="369" spans="1:69" s="780" customFormat="1" ht="15.75" customHeight="1">
      <c r="A369" s="62">
        <f t="shared" si="162"/>
        <v>10</v>
      </c>
      <c r="B369" s="63">
        <f t="shared" si="161"/>
        <v>47910</v>
      </c>
      <c r="C369" s="63">
        <f t="shared" si="163"/>
        <v>47916</v>
      </c>
      <c r="D369" s="239">
        <f t="shared" ca="1" si="164"/>
        <v>0</v>
      </c>
      <c r="E369" s="239">
        <f t="shared" ca="1" si="165"/>
        <v>0</v>
      </c>
      <c r="F369" s="239">
        <f t="shared" ca="1" si="166"/>
        <v>0</v>
      </c>
      <c r="G369" s="261">
        <f t="shared" ca="1" si="167"/>
        <v>0</v>
      </c>
      <c r="I369" s="237"/>
      <c r="AV369" s="235"/>
      <c r="AW369" s="235"/>
      <c r="AX369" s="235"/>
      <c r="AY369" s="235"/>
      <c r="AZ369" s="235"/>
      <c r="BA369" s="235"/>
      <c r="BB369" s="235"/>
      <c r="BC369" s="235"/>
      <c r="BD369" s="235"/>
      <c r="BE369" s="235"/>
      <c r="BF369" s="235"/>
      <c r="BG369" s="235"/>
      <c r="BH369" s="235"/>
      <c r="BI369" s="235"/>
      <c r="BJ369" s="235"/>
      <c r="BK369" s="235"/>
      <c r="BL369" s="235"/>
      <c r="BM369" s="235"/>
      <c r="BN369" s="235"/>
      <c r="BO369" s="235"/>
      <c r="BP369" s="235"/>
      <c r="BQ369" s="235"/>
    </row>
    <row r="370" spans="1:69" s="780" customFormat="1" ht="15.75" customHeight="1">
      <c r="A370" s="62">
        <f t="shared" si="162"/>
        <v>11</v>
      </c>
      <c r="B370" s="63">
        <f t="shared" si="161"/>
        <v>47917</v>
      </c>
      <c r="C370" s="63">
        <f t="shared" si="163"/>
        <v>47923</v>
      </c>
      <c r="D370" s="239">
        <f t="shared" ca="1" si="164"/>
        <v>0</v>
      </c>
      <c r="E370" s="239">
        <f t="shared" ca="1" si="165"/>
        <v>0</v>
      </c>
      <c r="F370" s="239">
        <f t="shared" ca="1" si="166"/>
        <v>0</v>
      </c>
      <c r="G370" s="261">
        <f t="shared" ca="1" si="167"/>
        <v>0</v>
      </c>
      <c r="I370" s="237"/>
      <c r="AV370" s="235"/>
      <c r="AW370" s="235"/>
      <c r="AX370" s="235"/>
      <c r="AY370" s="235"/>
      <c r="AZ370" s="235"/>
      <c r="BA370" s="235"/>
      <c r="BB370" s="235"/>
      <c r="BC370" s="235"/>
      <c r="BD370" s="235"/>
      <c r="BE370" s="235"/>
      <c r="BF370" s="235"/>
      <c r="BG370" s="235"/>
      <c r="BH370" s="235"/>
      <c r="BI370" s="235"/>
      <c r="BJ370" s="235"/>
      <c r="BK370" s="235"/>
      <c r="BL370" s="235"/>
      <c r="BM370" s="235"/>
      <c r="BN370" s="235"/>
      <c r="BO370" s="235"/>
      <c r="BP370" s="235"/>
      <c r="BQ370" s="235"/>
    </row>
    <row r="371" spans="1:69" s="780" customFormat="1" ht="15.75" customHeight="1">
      <c r="A371" s="62">
        <f t="shared" si="162"/>
        <v>12</v>
      </c>
      <c r="B371" s="63">
        <f t="shared" si="161"/>
        <v>47924</v>
      </c>
      <c r="C371" s="63">
        <f t="shared" si="163"/>
        <v>47930</v>
      </c>
      <c r="D371" s="239">
        <f t="shared" ca="1" si="164"/>
        <v>0</v>
      </c>
      <c r="E371" s="239">
        <f t="shared" ca="1" si="165"/>
        <v>0</v>
      </c>
      <c r="F371" s="239">
        <f t="shared" ca="1" si="166"/>
        <v>0</v>
      </c>
      <c r="G371" s="261">
        <f t="shared" ca="1" si="167"/>
        <v>0</v>
      </c>
      <c r="I371" s="237"/>
      <c r="AV371" s="235"/>
      <c r="AW371" s="235"/>
      <c r="AX371" s="235"/>
      <c r="AY371" s="235"/>
      <c r="AZ371" s="235"/>
      <c r="BA371" s="235"/>
      <c r="BB371" s="235"/>
      <c r="BC371" s="235"/>
      <c r="BD371" s="235"/>
      <c r="BE371" s="235"/>
      <c r="BF371" s="235"/>
      <c r="BG371" s="235"/>
      <c r="BH371" s="235"/>
      <c r="BI371" s="235"/>
      <c r="BJ371" s="235"/>
      <c r="BK371" s="235"/>
      <c r="BL371" s="235"/>
      <c r="BM371" s="235"/>
      <c r="BN371" s="235"/>
      <c r="BO371" s="235"/>
      <c r="BP371" s="235"/>
      <c r="BQ371" s="235"/>
    </row>
    <row r="372" spans="1:69" s="780" customFormat="1" ht="15.75" customHeight="1">
      <c r="A372" s="62">
        <f t="shared" si="162"/>
        <v>13</v>
      </c>
      <c r="B372" s="63">
        <f t="shared" si="161"/>
        <v>47931</v>
      </c>
      <c r="C372" s="63">
        <f t="shared" si="163"/>
        <v>47937</v>
      </c>
      <c r="D372" s="239">
        <f t="shared" ca="1" si="164"/>
        <v>0</v>
      </c>
      <c r="E372" s="239">
        <f t="shared" ca="1" si="165"/>
        <v>0</v>
      </c>
      <c r="F372" s="239">
        <f t="shared" ca="1" si="166"/>
        <v>0</v>
      </c>
      <c r="G372" s="261">
        <f t="shared" ca="1" si="167"/>
        <v>0</v>
      </c>
      <c r="I372" s="237"/>
      <c r="AV372" s="235"/>
      <c r="AW372" s="235"/>
      <c r="AX372" s="235"/>
      <c r="AY372" s="235"/>
      <c r="AZ372" s="235"/>
      <c r="BA372" s="235"/>
      <c r="BB372" s="235"/>
      <c r="BC372" s="235"/>
      <c r="BD372" s="235"/>
      <c r="BE372" s="235"/>
      <c r="BF372" s="235"/>
      <c r="BG372" s="235"/>
      <c r="BH372" s="235"/>
      <c r="BI372" s="235"/>
      <c r="BJ372" s="235"/>
      <c r="BK372" s="235"/>
      <c r="BL372" s="235"/>
      <c r="BM372" s="235"/>
      <c r="BN372" s="235"/>
      <c r="BO372" s="235"/>
      <c r="BP372" s="235"/>
      <c r="BQ372" s="235"/>
    </row>
    <row r="373" spans="1:69" s="780" customFormat="1" ht="15.75" customHeight="1">
      <c r="A373" s="62">
        <f t="shared" si="162"/>
        <v>14</v>
      </c>
      <c r="B373" s="63">
        <f t="shared" si="161"/>
        <v>47938</v>
      </c>
      <c r="C373" s="63">
        <f t="shared" si="163"/>
        <v>47944</v>
      </c>
      <c r="D373" s="239">
        <f t="shared" ca="1" si="164"/>
        <v>0</v>
      </c>
      <c r="E373" s="239">
        <f t="shared" ca="1" si="165"/>
        <v>0</v>
      </c>
      <c r="F373" s="239">
        <f t="shared" ca="1" si="166"/>
        <v>0</v>
      </c>
      <c r="G373" s="261">
        <f t="shared" ca="1" si="167"/>
        <v>0</v>
      </c>
      <c r="I373" s="237"/>
      <c r="AV373" s="235"/>
      <c r="AW373" s="235"/>
      <c r="AX373" s="235"/>
      <c r="AY373" s="235"/>
      <c r="AZ373" s="235"/>
      <c r="BA373" s="235"/>
      <c r="BB373" s="235"/>
      <c r="BC373" s="235"/>
      <c r="BD373" s="235"/>
      <c r="BE373" s="235"/>
      <c r="BF373" s="235"/>
      <c r="BG373" s="235"/>
      <c r="BH373" s="235"/>
      <c r="BI373" s="235"/>
      <c r="BJ373" s="235"/>
      <c r="BK373" s="235"/>
      <c r="BL373" s="235"/>
      <c r="BM373" s="235"/>
      <c r="BN373" s="235"/>
      <c r="BO373" s="235"/>
      <c r="BP373" s="235"/>
      <c r="BQ373" s="235"/>
    </row>
    <row r="374" spans="1:69" s="780" customFormat="1" ht="15.75" customHeight="1">
      <c r="A374" s="62">
        <f t="shared" si="162"/>
        <v>15</v>
      </c>
      <c r="B374" s="63">
        <f t="shared" si="161"/>
        <v>47945</v>
      </c>
      <c r="C374" s="63">
        <f t="shared" si="163"/>
        <v>47951</v>
      </c>
      <c r="D374" s="239">
        <f t="shared" ca="1" si="164"/>
        <v>0</v>
      </c>
      <c r="E374" s="239">
        <f t="shared" ca="1" si="165"/>
        <v>0</v>
      </c>
      <c r="F374" s="239">
        <f t="shared" ca="1" si="166"/>
        <v>0</v>
      </c>
      <c r="G374" s="261">
        <f t="shared" ca="1" si="167"/>
        <v>0</v>
      </c>
      <c r="I374" s="237"/>
      <c r="AV374" s="235"/>
      <c r="AW374" s="235"/>
      <c r="AX374" s="235"/>
      <c r="AY374" s="235"/>
      <c r="AZ374" s="235"/>
      <c r="BA374" s="235"/>
      <c r="BB374" s="235"/>
      <c r="BC374" s="235"/>
      <c r="BD374" s="235"/>
      <c r="BE374" s="235"/>
      <c r="BF374" s="235"/>
      <c r="BG374" s="235"/>
      <c r="BH374" s="235"/>
      <c r="BI374" s="235"/>
      <c r="BJ374" s="235"/>
      <c r="BK374" s="235"/>
      <c r="BL374" s="235"/>
      <c r="BM374" s="235"/>
      <c r="BN374" s="235"/>
      <c r="BO374" s="235"/>
      <c r="BP374" s="235"/>
      <c r="BQ374" s="235"/>
    </row>
    <row r="375" spans="1:69" s="780" customFormat="1" ht="15.75" customHeight="1">
      <c r="A375" s="62">
        <f t="shared" si="162"/>
        <v>16</v>
      </c>
      <c r="B375" s="63">
        <f t="shared" si="161"/>
        <v>47952</v>
      </c>
      <c r="C375" s="63">
        <f t="shared" si="163"/>
        <v>47958</v>
      </c>
      <c r="D375" s="239">
        <f t="shared" ca="1" si="164"/>
        <v>0</v>
      </c>
      <c r="E375" s="239">
        <f t="shared" ca="1" si="165"/>
        <v>0</v>
      </c>
      <c r="F375" s="239">
        <f t="shared" ca="1" si="166"/>
        <v>0</v>
      </c>
      <c r="G375" s="261">
        <f t="shared" ca="1" si="167"/>
        <v>0</v>
      </c>
      <c r="I375" s="237"/>
      <c r="AV375" s="235"/>
      <c r="AW375" s="235"/>
      <c r="AX375" s="235"/>
      <c r="AY375" s="235"/>
      <c r="AZ375" s="235"/>
      <c r="BA375" s="235"/>
      <c r="BB375" s="235"/>
      <c r="BC375" s="235"/>
      <c r="BD375" s="235"/>
      <c r="BE375" s="235"/>
      <c r="BF375" s="235"/>
      <c r="BG375" s="235"/>
      <c r="BH375" s="235"/>
      <c r="BI375" s="235"/>
      <c r="BJ375" s="235"/>
      <c r="BK375" s="235"/>
      <c r="BL375" s="235"/>
      <c r="BM375" s="235"/>
      <c r="BN375" s="235"/>
      <c r="BO375" s="235"/>
      <c r="BP375" s="235"/>
      <c r="BQ375" s="235"/>
    </row>
    <row r="376" spans="1:69" s="780" customFormat="1" ht="15.75" customHeight="1">
      <c r="A376" s="62">
        <f t="shared" si="162"/>
        <v>17</v>
      </c>
      <c r="B376" s="63">
        <f t="shared" si="161"/>
        <v>47959</v>
      </c>
      <c r="C376" s="63">
        <f t="shared" si="163"/>
        <v>47965</v>
      </c>
      <c r="D376" s="239">
        <f t="shared" ca="1" si="164"/>
        <v>0</v>
      </c>
      <c r="E376" s="239">
        <f t="shared" ca="1" si="165"/>
        <v>0</v>
      </c>
      <c r="F376" s="239">
        <f t="shared" ca="1" si="166"/>
        <v>0</v>
      </c>
      <c r="G376" s="261">
        <f t="shared" ca="1" si="167"/>
        <v>0</v>
      </c>
      <c r="I376" s="237"/>
      <c r="AV376" s="235"/>
      <c r="AW376" s="235"/>
      <c r="AX376" s="235"/>
      <c r="AY376" s="235"/>
      <c r="AZ376" s="235"/>
      <c r="BA376" s="235"/>
      <c r="BB376" s="235"/>
      <c r="BC376" s="235"/>
      <c r="BD376" s="235"/>
      <c r="BE376" s="235"/>
      <c r="BF376" s="235"/>
      <c r="BG376" s="235"/>
      <c r="BH376" s="235"/>
      <c r="BI376" s="235"/>
      <c r="BJ376" s="235"/>
      <c r="BK376" s="235"/>
      <c r="BL376" s="235"/>
      <c r="BM376" s="235"/>
      <c r="BN376" s="235"/>
      <c r="BO376" s="235"/>
      <c r="BP376" s="235"/>
      <c r="BQ376" s="235"/>
    </row>
    <row r="377" spans="1:69" s="780" customFormat="1" ht="15.75" customHeight="1">
      <c r="A377" s="62">
        <f t="shared" si="162"/>
        <v>18</v>
      </c>
      <c r="B377" s="63">
        <f t="shared" si="161"/>
        <v>47966</v>
      </c>
      <c r="C377" s="63">
        <f t="shared" si="163"/>
        <v>47972</v>
      </c>
      <c r="D377" s="239">
        <f t="shared" ca="1" si="164"/>
        <v>0</v>
      </c>
      <c r="E377" s="239">
        <f t="shared" ca="1" si="165"/>
        <v>0</v>
      </c>
      <c r="F377" s="239">
        <f t="shared" ca="1" si="166"/>
        <v>0</v>
      </c>
      <c r="G377" s="261">
        <f t="shared" ca="1" si="167"/>
        <v>0</v>
      </c>
      <c r="I377" s="237"/>
      <c r="AV377" s="235"/>
      <c r="AW377" s="235"/>
      <c r="AX377" s="235"/>
      <c r="AY377" s="235"/>
      <c r="AZ377" s="235"/>
      <c r="BA377" s="235"/>
      <c r="BB377" s="235"/>
      <c r="BC377" s="235"/>
      <c r="BD377" s="235"/>
      <c r="BE377" s="235"/>
      <c r="BF377" s="235"/>
      <c r="BG377" s="235"/>
      <c r="BH377" s="235"/>
      <c r="BI377" s="235"/>
      <c r="BJ377" s="235"/>
      <c r="BK377" s="235"/>
      <c r="BL377" s="235"/>
      <c r="BM377" s="235"/>
      <c r="BN377" s="235"/>
      <c r="BO377" s="235"/>
      <c r="BP377" s="235"/>
      <c r="BQ377" s="235"/>
    </row>
    <row r="378" spans="1:69" s="780" customFormat="1" ht="15.75" customHeight="1">
      <c r="A378" s="62">
        <f t="shared" si="162"/>
        <v>19</v>
      </c>
      <c r="B378" s="63">
        <f t="shared" si="161"/>
        <v>47973</v>
      </c>
      <c r="C378" s="63">
        <f t="shared" si="163"/>
        <v>47979</v>
      </c>
      <c r="D378" s="239">
        <f t="shared" ca="1" si="164"/>
        <v>0</v>
      </c>
      <c r="E378" s="239">
        <f t="shared" ca="1" si="165"/>
        <v>0</v>
      </c>
      <c r="F378" s="239">
        <f t="shared" ca="1" si="166"/>
        <v>0</v>
      </c>
      <c r="G378" s="261">
        <f t="shared" ca="1" si="167"/>
        <v>0</v>
      </c>
      <c r="I378" s="237"/>
      <c r="AV378" s="235"/>
      <c r="AW378" s="235"/>
      <c r="AX378" s="235"/>
      <c r="AY378" s="235"/>
      <c r="AZ378" s="235"/>
      <c r="BA378" s="235"/>
      <c r="BB378" s="235"/>
      <c r="BC378" s="235"/>
      <c r="BD378" s="235"/>
      <c r="BE378" s="235"/>
      <c r="BF378" s="235"/>
      <c r="BG378" s="235"/>
      <c r="BH378" s="235"/>
      <c r="BI378" s="235"/>
      <c r="BJ378" s="235"/>
      <c r="BK378" s="235"/>
      <c r="BL378" s="235"/>
      <c r="BM378" s="235"/>
      <c r="BN378" s="235"/>
      <c r="BO378" s="235"/>
      <c r="BP378" s="235"/>
      <c r="BQ378" s="235"/>
    </row>
    <row r="379" spans="1:69" s="780" customFormat="1" ht="15.75" customHeight="1">
      <c r="A379" s="62">
        <f t="shared" si="162"/>
        <v>20</v>
      </c>
      <c r="B379" s="63">
        <f t="shared" si="161"/>
        <v>47980</v>
      </c>
      <c r="C379" s="63">
        <f t="shared" si="163"/>
        <v>47986</v>
      </c>
      <c r="D379" s="239">
        <f t="shared" ca="1" si="164"/>
        <v>0</v>
      </c>
      <c r="E379" s="239">
        <f t="shared" ca="1" si="165"/>
        <v>0</v>
      </c>
      <c r="F379" s="239">
        <f t="shared" ca="1" si="166"/>
        <v>0</v>
      </c>
      <c r="G379" s="261">
        <f t="shared" ca="1" si="167"/>
        <v>0</v>
      </c>
      <c r="I379" s="237"/>
      <c r="AV379" s="235"/>
      <c r="AW379" s="235"/>
      <c r="AX379" s="235"/>
      <c r="AY379" s="235"/>
      <c r="AZ379" s="235"/>
      <c r="BA379" s="235"/>
      <c r="BB379" s="235"/>
      <c r="BC379" s="235"/>
      <c r="BD379" s="235"/>
      <c r="BE379" s="235"/>
      <c r="BF379" s="235"/>
      <c r="BG379" s="235"/>
      <c r="BH379" s="235"/>
      <c r="BI379" s="235"/>
      <c r="BJ379" s="235"/>
      <c r="BK379" s="235"/>
      <c r="BL379" s="235"/>
      <c r="BM379" s="235"/>
      <c r="BN379" s="235"/>
      <c r="BO379" s="235"/>
      <c r="BP379" s="235"/>
      <c r="BQ379" s="235"/>
    </row>
    <row r="380" spans="1:69" s="780" customFormat="1" ht="15.75" customHeight="1">
      <c r="A380" s="62">
        <f t="shared" si="162"/>
        <v>21</v>
      </c>
      <c r="B380" s="63">
        <f t="shared" si="161"/>
        <v>47987</v>
      </c>
      <c r="C380" s="63">
        <f t="shared" si="163"/>
        <v>47993</v>
      </c>
      <c r="D380" s="239">
        <f t="shared" ca="1" si="164"/>
        <v>0</v>
      </c>
      <c r="E380" s="239">
        <f t="shared" ca="1" si="165"/>
        <v>0</v>
      </c>
      <c r="F380" s="239">
        <f t="shared" ca="1" si="166"/>
        <v>0</v>
      </c>
      <c r="G380" s="261">
        <f t="shared" ca="1" si="167"/>
        <v>0</v>
      </c>
      <c r="I380" s="237"/>
      <c r="AV380" s="235"/>
      <c r="AW380" s="235"/>
      <c r="AX380" s="235"/>
      <c r="AY380" s="235"/>
      <c r="AZ380" s="235"/>
      <c r="BA380" s="235"/>
      <c r="BB380" s="235"/>
      <c r="BC380" s="235"/>
      <c r="BD380" s="235"/>
      <c r="BE380" s="235"/>
      <c r="BF380" s="235"/>
      <c r="BG380" s="235"/>
      <c r="BH380" s="235"/>
      <c r="BI380" s="235"/>
      <c r="BJ380" s="235"/>
      <c r="BK380" s="235"/>
      <c r="BL380" s="235"/>
      <c r="BM380" s="235"/>
      <c r="BN380" s="235"/>
      <c r="BO380" s="235"/>
      <c r="BP380" s="235"/>
      <c r="BQ380" s="235"/>
    </row>
    <row r="381" spans="1:69" s="780" customFormat="1" ht="15.75" customHeight="1">
      <c r="A381" s="62">
        <f t="shared" si="162"/>
        <v>22</v>
      </c>
      <c r="B381" s="63">
        <f t="shared" si="161"/>
        <v>47994</v>
      </c>
      <c r="C381" s="63">
        <f t="shared" si="163"/>
        <v>48000</v>
      </c>
      <c r="D381" s="239">
        <f t="shared" ca="1" si="164"/>
        <v>0</v>
      </c>
      <c r="E381" s="239">
        <f t="shared" ca="1" si="165"/>
        <v>0</v>
      </c>
      <c r="F381" s="239">
        <f t="shared" ca="1" si="166"/>
        <v>0</v>
      </c>
      <c r="G381" s="261">
        <f t="shared" ca="1" si="167"/>
        <v>0</v>
      </c>
      <c r="I381" s="237"/>
      <c r="AV381" s="235"/>
      <c r="AW381" s="235"/>
      <c r="AX381" s="235"/>
      <c r="AY381" s="235"/>
      <c r="AZ381" s="235"/>
      <c r="BA381" s="235"/>
      <c r="BB381" s="235"/>
      <c r="BC381" s="235"/>
      <c r="BD381" s="235"/>
      <c r="BE381" s="235"/>
      <c r="BF381" s="235"/>
      <c r="BG381" s="235"/>
      <c r="BH381" s="235"/>
      <c r="BI381" s="235"/>
      <c r="BJ381" s="235"/>
      <c r="BK381" s="235"/>
      <c r="BL381" s="235"/>
      <c r="BM381" s="235"/>
      <c r="BN381" s="235"/>
      <c r="BO381" s="235"/>
      <c r="BP381" s="235"/>
      <c r="BQ381" s="235"/>
    </row>
    <row r="382" spans="1:69" s="780" customFormat="1" ht="15.75" customHeight="1">
      <c r="A382" s="62">
        <f t="shared" si="162"/>
        <v>23</v>
      </c>
      <c r="B382" s="63">
        <f t="shared" si="161"/>
        <v>48001</v>
      </c>
      <c r="C382" s="63">
        <f t="shared" si="163"/>
        <v>48007</v>
      </c>
      <c r="D382" s="239">
        <f t="shared" ca="1" si="164"/>
        <v>0</v>
      </c>
      <c r="E382" s="239">
        <f t="shared" ca="1" si="165"/>
        <v>0</v>
      </c>
      <c r="F382" s="239">
        <f t="shared" ca="1" si="166"/>
        <v>0</v>
      </c>
      <c r="G382" s="261">
        <f t="shared" ca="1" si="167"/>
        <v>0</v>
      </c>
      <c r="I382" s="237"/>
      <c r="AV382" s="235"/>
      <c r="AW382" s="235"/>
      <c r="AX382" s="235"/>
      <c r="AY382" s="235"/>
      <c r="AZ382" s="235"/>
      <c r="BA382" s="235"/>
      <c r="BB382" s="235"/>
      <c r="BC382" s="235"/>
      <c r="BD382" s="235"/>
      <c r="BE382" s="235"/>
      <c r="BF382" s="235"/>
      <c r="BG382" s="235"/>
      <c r="BH382" s="235"/>
      <c r="BI382" s="235"/>
      <c r="BJ382" s="235"/>
      <c r="BK382" s="235"/>
      <c r="BL382" s="235"/>
      <c r="BM382" s="235"/>
      <c r="BN382" s="235"/>
      <c r="BO382" s="235"/>
      <c r="BP382" s="235"/>
      <c r="BQ382" s="235"/>
    </row>
    <row r="383" spans="1:69" s="780" customFormat="1" ht="15.75" customHeight="1">
      <c r="A383" s="62">
        <f t="shared" si="162"/>
        <v>24</v>
      </c>
      <c r="B383" s="63">
        <f t="shared" si="161"/>
        <v>48008</v>
      </c>
      <c r="C383" s="63">
        <f t="shared" si="163"/>
        <v>48014</v>
      </c>
      <c r="D383" s="239">
        <f t="shared" ca="1" si="164"/>
        <v>0</v>
      </c>
      <c r="E383" s="239">
        <f t="shared" ca="1" si="165"/>
        <v>0</v>
      </c>
      <c r="F383" s="239">
        <f t="shared" ca="1" si="166"/>
        <v>0</v>
      </c>
      <c r="G383" s="261">
        <f t="shared" ca="1" si="167"/>
        <v>0</v>
      </c>
      <c r="I383" s="237"/>
      <c r="AV383" s="235"/>
      <c r="AW383" s="235"/>
      <c r="AX383" s="235"/>
      <c r="AY383" s="235"/>
      <c r="AZ383" s="235"/>
      <c r="BA383" s="235"/>
      <c r="BB383" s="235"/>
      <c r="BC383" s="235"/>
      <c r="BD383" s="235"/>
      <c r="BE383" s="235"/>
      <c r="BF383" s="235"/>
      <c r="BG383" s="235"/>
      <c r="BH383" s="235"/>
      <c r="BI383" s="235"/>
      <c r="BJ383" s="235"/>
      <c r="BK383" s="235"/>
      <c r="BL383" s="235"/>
      <c r="BM383" s="235"/>
      <c r="BN383" s="235"/>
      <c r="BO383" s="235"/>
      <c r="BP383" s="235"/>
      <c r="BQ383" s="235"/>
    </row>
    <row r="384" spans="1:69" s="780" customFormat="1" ht="15.75" customHeight="1">
      <c r="A384" s="62">
        <f t="shared" si="162"/>
        <v>25</v>
      </c>
      <c r="B384" s="63">
        <f t="shared" si="161"/>
        <v>48015</v>
      </c>
      <c r="C384" s="63">
        <f t="shared" si="163"/>
        <v>48021</v>
      </c>
      <c r="D384" s="239">
        <f t="shared" ca="1" si="164"/>
        <v>0</v>
      </c>
      <c r="E384" s="239">
        <f t="shared" ca="1" si="165"/>
        <v>0</v>
      </c>
      <c r="F384" s="239">
        <f t="shared" ca="1" si="166"/>
        <v>0</v>
      </c>
      <c r="G384" s="261">
        <f t="shared" ca="1" si="167"/>
        <v>0</v>
      </c>
      <c r="I384" s="237"/>
      <c r="AV384" s="235"/>
      <c r="AW384" s="235"/>
      <c r="AX384" s="235"/>
      <c r="AY384" s="235"/>
      <c r="AZ384" s="235"/>
      <c r="BA384" s="235"/>
      <c r="BB384" s="235"/>
      <c r="BC384" s="235"/>
      <c r="BD384" s="235"/>
      <c r="BE384" s="235"/>
      <c r="BF384" s="235"/>
      <c r="BG384" s="235"/>
      <c r="BH384" s="235"/>
      <c r="BI384" s="235"/>
      <c r="BJ384" s="235"/>
      <c r="BK384" s="235"/>
      <c r="BL384" s="235"/>
      <c r="BM384" s="235"/>
      <c r="BN384" s="235"/>
      <c r="BO384" s="235"/>
      <c r="BP384" s="235"/>
      <c r="BQ384" s="235"/>
    </row>
    <row r="385" spans="1:69" s="780" customFormat="1" ht="15.75" customHeight="1">
      <c r="A385" s="62">
        <f t="shared" si="162"/>
        <v>26</v>
      </c>
      <c r="B385" s="63">
        <f t="shared" si="161"/>
        <v>48022</v>
      </c>
      <c r="C385" s="63">
        <f t="shared" si="163"/>
        <v>48028</v>
      </c>
      <c r="D385" s="239">
        <f t="shared" ca="1" si="164"/>
        <v>0</v>
      </c>
      <c r="E385" s="239">
        <f t="shared" ca="1" si="165"/>
        <v>0</v>
      </c>
      <c r="F385" s="239">
        <f t="shared" ca="1" si="166"/>
        <v>0</v>
      </c>
      <c r="G385" s="261">
        <f t="shared" ca="1" si="167"/>
        <v>0</v>
      </c>
      <c r="I385" s="237"/>
      <c r="AV385" s="235"/>
      <c r="AW385" s="235"/>
      <c r="AX385" s="235"/>
      <c r="AY385" s="235"/>
      <c r="AZ385" s="235"/>
      <c r="BA385" s="235"/>
      <c r="BB385" s="235"/>
      <c r="BC385" s="235"/>
      <c r="BD385" s="235"/>
      <c r="BE385" s="235"/>
      <c r="BF385" s="235"/>
      <c r="BG385" s="235"/>
      <c r="BH385" s="235"/>
      <c r="BI385" s="235"/>
      <c r="BJ385" s="235"/>
      <c r="BK385" s="235"/>
      <c r="BL385" s="235"/>
      <c r="BM385" s="235"/>
      <c r="BN385" s="235"/>
      <c r="BO385" s="235"/>
      <c r="BP385" s="235"/>
      <c r="BQ385" s="235"/>
    </row>
    <row r="386" spans="1:69" s="780" customFormat="1" ht="15.75" customHeight="1">
      <c r="A386" s="62">
        <f t="shared" si="162"/>
        <v>27</v>
      </c>
      <c r="B386" s="63">
        <f t="shared" si="161"/>
        <v>48029</v>
      </c>
      <c r="C386" s="63">
        <f t="shared" si="163"/>
        <v>48035</v>
      </c>
      <c r="D386" s="239">
        <f t="shared" ca="1" si="164"/>
        <v>0</v>
      </c>
      <c r="E386" s="239">
        <f t="shared" ca="1" si="165"/>
        <v>0</v>
      </c>
      <c r="F386" s="239">
        <f t="shared" ca="1" si="166"/>
        <v>0</v>
      </c>
      <c r="G386" s="261">
        <f t="shared" ca="1" si="167"/>
        <v>0</v>
      </c>
      <c r="I386" s="237"/>
      <c r="AV386" s="235"/>
      <c r="AW386" s="235"/>
      <c r="AX386" s="235"/>
      <c r="AY386" s="235"/>
      <c r="AZ386" s="235"/>
      <c r="BA386" s="235"/>
      <c r="BB386" s="235"/>
      <c r="BC386" s="235"/>
      <c r="BD386" s="235"/>
      <c r="BE386" s="235"/>
      <c r="BF386" s="235"/>
      <c r="BG386" s="235"/>
      <c r="BH386" s="235"/>
      <c r="BI386" s="235"/>
      <c r="BJ386" s="235"/>
      <c r="BK386" s="235"/>
      <c r="BL386" s="235"/>
      <c r="BM386" s="235"/>
      <c r="BN386" s="235"/>
      <c r="BO386" s="235"/>
      <c r="BP386" s="235"/>
      <c r="BQ386" s="235"/>
    </row>
    <row r="387" spans="1:69" s="780" customFormat="1" ht="15.75" customHeight="1">
      <c r="A387" s="62">
        <f t="shared" si="162"/>
        <v>28</v>
      </c>
      <c r="B387" s="63">
        <f t="shared" si="161"/>
        <v>48036</v>
      </c>
      <c r="C387" s="63">
        <f t="shared" si="163"/>
        <v>48042</v>
      </c>
      <c r="D387" s="239">
        <f t="shared" ca="1" si="164"/>
        <v>0</v>
      </c>
      <c r="E387" s="239">
        <f t="shared" ca="1" si="165"/>
        <v>0</v>
      </c>
      <c r="F387" s="239">
        <f t="shared" ca="1" si="166"/>
        <v>0</v>
      </c>
      <c r="G387" s="261">
        <f t="shared" ca="1" si="167"/>
        <v>0</v>
      </c>
      <c r="I387" s="237"/>
      <c r="AV387" s="235"/>
      <c r="AW387" s="235"/>
      <c r="AX387" s="235"/>
      <c r="AY387" s="235"/>
      <c r="AZ387" s="235"/>
      <c r="BA387" s="235"/>
      <c r="BB387" s="235"/>
      <c r="BC387" s="235"/>
      <c r="BD387" s="235"/>
      <c r="BE387" s="235"/>
      <c r="BF387" s="235"/>
      <c r="BG387" s="235"/>
      <c r="BH387" s="235"/>
      <c r="BI387" s="235"/>
      <c r="BJ387" s="235"/>
      <c r="BK387" s="235"/>
      <c r="BL387" s="235"/>
      <c r="BM387" s="235"/>
      <c r="BN387" s="235"/>
      <c r="BO387" s="235"/>
      <c r="BP387" s="235"/>
      <c r="BQ387" s="235"/>
    </row>
    <row r="388" spans="1:69" s="780" customFormat="1" ht="15.75" customHeight="1">
      <c r="A388" s="62">
        <f t="shared" si="162"/>
        <v>29</v>
      </c>
      <c r="B388" s="63">
        <f t="shared" si="161"/>
        <v>48043</v>
      </c>
      <c r="C388" s="63">
        <f t="shared" si="163"/>
        <v>48049</v>
      </c>
      <c r="D388" s="239">
        <f t="shared" ca="1" si="164"/>
        <v>0</v>
      </c>
      <c r="E388" s="239">
        <f t="shared" ca="1" si="165"/>
        <v>0</v>
      </c>
      <c r="F388" s="239">
        <f t="shared" ca="1" si="166"/>
        <v>0</v>
      </c>
      <c r="G388" s="261">
        <f t="shared" ca="1" si="167"/>
        <v>0</v>
      </c>
      <c r="I388" s="237"/>
      <c r="AV388" s="235"/>
      <c r="AW388" s="235"/>
      <c r="AX388" s="235"/>
      <c r="AY388" s="235"/>
      <c r="AZ388" s="235"/>
      <c r="BA388" s="235"/>
      <c r="BB388" s="235"/>
      <c r="BC388" s="235"/>
      <c r="BD388" s="235"/>
      <c r="BE388" s="235"/>
      <c r="BF388" s="235"/>
      <c r="BG388" s="235"/>
      <c r="BH388" s="235"/>
      <c r="BI388" s="235"/>
      <c r="BJ388" s="235"/>
      <c r="BK388" s="235"/>
      <c r="BL388" s="235"/>
      <c r="BM388" s="235"/>
      <c r="BN388" s="235"/>
      <c r="BO388" s="235"/>
      <c r="BP388" s="235"/>
      <c r="BQ388" s="235"/>
    </row>
    <row r="389" spans="1:69" s="780" customFormat="1" ht="15.75" customHeight="1">
      <c r="A389" s="62">
        <f t="shared" si="162"/>
        <v>30</v>
      </c>
      <c r="B389" s="63">
        <f t="shared" si="161"/>
        <v>48050</v>
      </c>
      <c r="C389" s="63">
        <f t="shared" si="163"/>
        <v>48056</v>
      </c>
      <c r="D389" s="239">
        <f t="shared" ca="1" si="164"/>
        <v>0</v>
      </c>
      <c r="E389" s="239">
        <f t="shared" ca="1" si="165"/>
        <v>0</v>
      </c>
      <c r="F389" s="239">
        <f t="shared" ca="1" si="166"/>
        <v>0</v>
      </c>
      <c r="G389" s="261">
        <f t="shared" ca="1" si="167"/>
        <v>0</v>
      </c>
      <c r="I389" s="237"/>
      <c r="AV389" s="235"/>
      <c r="AW389" s="235"/>
      <c r="AX389" s="235"/>
      <c r="AY389" s="235"/>
      <c r="AZ389" s="235"/>
      <c r="BA389" s="235"/>
      <c r="BB389" s="235"/>
      <c r="BC389" s="235"/>
      <c r="BD389" s="235"/>
      <c r="BE389" s="235"/>
      <c r="BF389" s="235"/>
      <c r="BG389" s="235"/>
      <c r="BH389" s="235"/>
      <c r="BI389" s="235"/>
      <c r="BJ389" s="235"/>
      <c r="BK389" s="235"/>
      <c r="BL389" s="235"/>
      <c r="BM389" s="235"/>
      <c r="BN389" s="235"/>
      <c r="BO389" s="235"/>
      <c r="BP389" s="235"/>
      <c r="BQ389" s="235"/>
    </row>
    <row r="390" spans="1:69" s="780" customFormat="1" ht="15.75" customHeight="1">
      <c r="A390" s="62">
        <f t="shared" si="162"/>
        <v>31</v>
      </c>
      <c r="B390" s="63">
        <f t="shared" si="161"/>
        <v>48057</v>
      </c>
      <c r="C390" s="63">
        <f t="shared" si="163"/>
        <v>48063</v>
      </c>
      <c r="D390" s="239">
        <f t="shared" ca="1" si="164"/>
        <v>0</v>
      </c>
      <c r="E390" s="239">
        <f t="shared" ca="1" si="165"/>
        <v>0</v>
      </c>
      <c r="F390" s="239">
        <f t="shared" ca="1" si="166"/>
        <v>0</v>
      </c>
      <c r="G390" s="261">
        <f t="shared" ca="1" si="167"/>
        <v>0</v>
      </c>
      <c r="I390" s="237"/>
      <c r="AV390" s="235"/>
      <c r="AW390" s="235"/>
      <c r="AX390" s="235"/>
      <c r="AY390" s="235"/>
      <c r="AZ390" s="235"/>
      <c r="BA390" s="235"/>
      <c r="BB390" s="235"/>
      <c r="BC390" s="235"/>
      <c r="BD390" s="235"/>
      <c r="BE390" s="235"/>
      <c r="BF390" s="235"/>
      <c r="BG390" s="235"/>
      <c r="BH390" s="235"/>
      <c r="BI390" s="235"/>
      <c r="BJ390" s="235"/>
      <c r="BK390" s="235"/>
      <c r="BL390" s="235"/>
      <c r="BM390" s="235"/>
      <c r="BN390" s="235"/>
      <c r="BO390" s="235"/>
      <c r="BP390" s="235"/>
      <c r="BQ390" s="235"/>
    </row>
    <row r="391" spans="1:69" s="780" customFormat="1" ht="15.75" customHeight="1">
      <c r="A391" s="62">
        <f t="shared" si="162"/>
        <v>32</v>
      </c>
      <c r="B391" s="63">
        <f t="shared" si="161"/>
        <v>48064</v>
      </c>
      <c r="C391" s="63">
        <f t="shared" si="163"/>
        <v>48070</v>
      </c>
      <c r="D391" s="239">
        <f t="shared" ca="1" si="164"/>
        <v>0</v>
      </c>
      <c r="E391" s="239">
        <f t="shared" ca="1" si="165"/>
        <v>0</v>
      </c>
      <c r="F391" s="239">
        <f t="shared" ca="1" si="166"/>
        <v>0</v>
      </c>
      <c r="G391" s="261">
        <f t="shared" ca="1" si="167"/>
        <v>0</v>
      </c>
      <c r="I391" s="237"/>
      <c r="AV391" s="235"/>
      <c r="AW391" s="235"/>
      <c r="AX391" s="235"/>
      <c r="AY391" s="235"/>
      <c r="AZ391" s="235"/>
      <c r="BA391" s="235"/>
      <c r="BB391" s="235"/>
      <c r="BC391" s="235"/>
      <c r="BD391" s="235"/>
      <c r="BE391" s="235"/>
      <c r="BF391" s="235"/>
      <c r="BG391" s="235"/>
      <c r="BH391" s="235"/>
      <c r="BI391" s="235"/>
      <c r="BJ391" s="235"/>
      <c r="BK391" s="235"/>
      <c r="BL391" s="235"/>
      <c r="BM391" s="235"/>
      <c r="BN391" s="235"/>
      <c r="BO391" s="235"/>
      <c r="BP391" s="235"/>
      <c r="BQ391" s="235"/>
    </row>
    <row r="392" spans="1:69" s="780" customFormat="1" ht="15.75" customHeight="1">
      <c r="A392" s="62">
        <f t="shared" si="162"/>
        <v>33</v>
      </c>
      <c r="B392" s="63">
        <f t="shared" si="161"/>
        <v>48071</v>
      </c>
      <c r="C392" s="63">
        <f t="shared" si="163"/>
        <v>48077</v>
      </c>
      <c r="D392" s="239">
        <f t="shared" ca="1" si="164"/>
        <v>0</v>
      </c>
      <c r="E392" s="239">
        <f t="shared" ca="1" si="165"/>
        <v>0</v>
      </c>
      <c r="F392" s="239">
        <f t="shared" ca="1" si="166"/>
        <v>0</v>
      </c>
      <c r="G392" s="261">
        <f t="shared" ca="1" si="167"/>
        <v>0</v>
      </c>
      <c r="I392" s="237"/>
      <c r="AV392" s="235"/>
      <c r="AW392" s="235"/>
      <c r="AX392" s="235"/>
      <c r="AY392" s="235"/>
      <c r="AZ392" s="235"/>
      <c r="BA392" s="235"/>
      <c r="BB392" s="235"/>
      <c r="BC392" s="235"/>
      <c r="BD392" s="235"/>
      <c r="BE392" s="235"/>
      <c r="BF392" s="235"/>
      <c r="BG392" s="235"/>
      <c r="BH392" s="235"/>
      <c r="BI392" s="235"/>
      <c r="BJ392" s="235"/>
      <c r="BK392" s="235"/>
      <c r="BL392" s="235"/>
      <c r="BM392" s="235"/>
      <c r="BN392" s="235"/>
      <c r="BO392" s="235"/>
      <c r="BP392" s="235"/>
      <c r="BQ392" s="235"/>
    </row>
    <row r="393" spans="1:69" s="780" customFormat="1" ht="15.75" customHeight="1">
      <c r="A393" s="62">
        <f t="shared" si="162"/>
        <v>34</v>
      </c>
      <c r="B393" s="63">
        <f t="shared" si="161"/>
        <v>48078</v>
      </c>
      <c r="C393" s="63">
        <f t="shared" si="163"/>
        <v>48084</v>
      </c>
      <c r="D393" s="239">
        <f t="shared" ca="1" si="164"/>
        <v>0</v>
      </c>
      <c r="E393" s="239">
        <f t="shared" ca="1" si="165"/>
        <v>0</v>
      </c>
      <c r="F393" s="239">
        <f t="shared" ca="1" si="166"/>
        <v>0</v>
      </c>
      <c r="G393" s="261">
        <f t="shared" ca="1" si="167"/>
        <v>0</v>
      </c>
      <c r="I393" s="237"/>
      <c r="AV393" s="235"/>
      <c r="AW393" s="235"/>
      <c r="AX393" s="235"/>
      <c r="AY393" s="235"/>
      <c r="AZ393" s="235"/>
      <c r="BA393" s="235"/>
      <c r="BB393" s="235"/>
      <c r="BC393" s="235"/>
      <c r="BD393" s="235"/>
      <c r="BE393" s="235"/>
      <c r="BF393" s="235"/>
      <c r="BG393" s="235"/>
      <c r="BH393" s="235"/>
      <c r="BI393" s="235"/>
      <c r="BJ393" s="235"/>
      <c r="BK393" s="235"/>
      <c r="BL393" s="235"/>
      <c r="BM393" s="235"/>
      <c r="BN393" s="235"/>
      <c r="BO393" s="235"/>
      <c r="BP393" s="235"/>
      <c r="BQ393" s="235"/>
    </row>
    <row r="394" spans="1:69" s="780" customFormat="1" ht="15.75" customHeight="1">
      <c r="A394" s="62">
        <f t="shared" si="162"/>
        <v>35</v>
      </c>
      <c r="B394" s="63">
        <f t="shared" si="161"/>
        <v>48085</v>
      </c>
      <c r="C394" s="63">
        <f t="shared" si="163"/>
        <v>48091</v>
      </c>
      <c r="D394" s="239">
        <f t="shared" ca="1" si="164"/>
        <v>0</v>
      </c>
      <c r="E394" s="239">
        <f t="shared" ca="1" si="165"/>
        <v>0</v>
      </c>
      <c r="F394" s="239">
        <f t="shared" ca="1" si="166"/>
        <v>0</v>
      </c>
      <c r="G394" s="261">
        <f t="shared" ca="1" si="167"/>
        <v>0</v>
      </c>
      <c r="I394" s="237"/>
      <c r="AV394" s="235"/>
      <c r="AW394" s="235"/>
      <c r="AX394" s="235"/>
      <c r="AY394" s="235"/>
      <c r="AZ394" s="235"/>
      <c r="BA394" s="235"/>
      <c r="BB394" s="235"/>
      <c r="BC394" s="235"/>
      <c r="BD394" s="235"/>
      <c r="BE394" s="235"/>
      <c r="BF394" s="235"/>
      <c r="BG394" s="235"/>
      <c r="BH394" s="235"/>
      <c r="BI394" s="235"/>
      <c r="BJ394" s="235"/>
      <c r="BK394" s="235"/>
      <c r="BL394" s="235"/>
      <c r="BM394" s="235"/>
      <c r="BN394" s="235"/>
      <c r="BO394" s="235"/>
      <c r="BP394" s="235"/>
      <c r="BQ394" s="235"/>
    </row>
    <row r="395" spans="1:69" s="780" customFormat="1" ht="15.75" customHeight="1">
      <c r="A395" s="62">
        <f t="shared" si="162"/>
        <v>36</v>
      </c>
      <c r="B395" s="63">
        <f t="shared" si="161"/>
        <v>48092</v>
      </c>
      <c r="C395" s="63">
        <f t="shared" si="163"/>
        <v>48098</v>
      </c>
      <c r="D395" s="239">
        <f t="shared" ca="1" si="164"/>
        <v>0</v>
      </c>
      <c r="E395" s="239">
        <f t="shared" ca="1" si="165"/>
        <v>0</v>
      </c>
      <c r="F395" s="239">
        <f t="shared" ca="1" si="166"/>
        <v>0</v>
      </c>
      <c r="G395" s="261">
        <f t="shared" ca="1" si="167"/>
        <v>0</v>
      </c>
      <c r="I395" s="237"/>
      <c r="AV395" s="235"/>
      <c r="AW395" s="235"/>
      <c r="AX395" s="235"/>
      <c r="AY395" s="235"/>
      <c r="AZ395" s="235"/>
      <c r="BA395" s="235"/>
      <c r="BB395" s="235"/>
      <c r="BC395" s="235"/>
      <c r="BD395" s="235"/>
      <c r="BE395" s="235"/>
      <c r="BF395" s="235"/>
      <c r="BG395" s="235"/>
      <c r="BH395" s="235"/>
      <c r="BI395" s="235"/>
      <c r="BJ395" s="235"/>
      <c r="BK395" s="235"/>
      <c r="BL395" s="235"/>
      <c r="BM395" s="235"/>
      <c r="BN395" s="235"/>
      <c r="BO395" s="235"/>
      <c r="BP395" s="235"/>
      <c r="BQ395" s="235"/>
    </row>
    <row r="396" spans="1:69" s="780" customFormat="1" ht="15.75" customHeight="1">
      <c r="A396" s="62">
        <f t="shared" si="162"/>
        <v>37</v>
      </c>
      <c r="B396" s="63">
        <f t="shared" si="161"/>
        <v>48099</v>
      </c>
      <c r="C396" s="63">
        <f t="shared" si="163"/>
        <v>48105</v>
      </c>
      <c r="D396" s="239">
        <f t="shared" ca="1" si="164"/>
        <v>0</v>
      </c>
      <c r="E396" s="239">
        <f t="shared" ca="1" si="165"/>
        <v>0</v>
      </c>
      <c r="F396" s="239">
        <f t="shared" ca="1" si="166"/>
        <v>0</v>
      </c>
      <c r="G396" s="261">
        <f t="shared" ca="1" si="167"/>
        <v>0</v>
      </c>
      <c r="I396" s="237"/>
      <c r="AV396" s="235"/>
      <c r="AW396" s="235"/>
      <c r="AX396" s="235"/>
      <c r="AY396" s="235"/>
      <c r="AZ396" s="235"/>
      <c r="BA396" s="235"/>
      <c r="BB396" s="235"/>
      <c r="BC396" s="235"/>
      <c r="BD396" s="235"/>
      <c r="BE396" s="235"/>
      <c r="BF396" s="235"/>
      <c r="BG396" s="235"/>
      <c r="BH396" s="235"/>
      <c r="BI396" s="235"/>
      <c r="BJ396" s="235"/>
      <c r="BK396" s="235"/>
      <c r="BL396" s="235"/>
      <c r="BM396" s="235"/>
      <c r="BN396" s="235"/>
      <c r="BO396" s="235"/>
      <c r="BP396" s="235"/>
      <c r="BQ396" s="235"/>
    </row>
    <row r="397" spans="1:69" s="780" customFormat="1" ht="15.75" customHeight="1">
      <c r="A397" s="62">
        <f t="shared" si="162"/>
        <v>38</v>
      </c>
      <c r="B397" s="63">
        <f t="shared" si="161"/>
        <v>48106</v>
      </c>
      <c r="C397" s="63">
        <f t="shared" si="163"/>
        <v>48112</v>
      </c>
      <c r="D397" s="239">
        <f t="shared" ca="1" si="164"/>
        <v>0</v>
      </c>
      <c r="E397" s="239">
        <f t="shared" ca="1" si="165"/>
        <v>0</v>
      </c>
      <c r="F397" s="239">
        <f t="shared" ca="1" si="166"/>
        <v>0</v>
      </c>
      <c r="G397" s="261">
        <f t="shared" ca="1" si="167"/>
        <v>0</v>
      </c>
      <c r="I397" s="237"/>
      <c r="AV397" s="235"/>
      <c r="AW397" s="235"/>
      <c r="AX397" s="235"/>
      <c r="AY397" s="235"/>
      <c r="AZ397" s="235"/>
      <c r="BA397" s="235"/>
      <c r="BB397" s="235"/>
      <c r="BC397" s="235"/>
      <c r="BD397" s="235"/>
      <c r="BE397" s="235"/>
      <c r="BF397" s="235"/>
      <c r="BG397" s="235"/>
      <c r="BH397" s="235"/>
      <c r="BI397" s="235"/>
      <c r="BJ397" s="235"/>
      <c r="BK397" s="235"/>
      <c r="BL397" s="235"/>
      <c r="BM397" s="235"/>
      <c r="BN397" s="235"/>
      <c r="BO397" s="235"/>
      <c r="BP397" s="235"/>
      <c r="BQ397" s="235"/>
    </row>
    <row r="398" spans="1:69" s="780" customFormat="1" ht="15.75" customHeight="1">
      <c r="A398" s="62">
        <f t="shared" si="162"/>
        <v>39</v>
      </c>
      <c r="B398" s="63">
        <f t="shared" si="161"/>
        <v>48113</v>
      </c>
      <c r="C398" s="63">
        <f t="shared" si="163"/>
        <v>48119</v>
      </c>
      <c r="D398" s="239">
        <f t="shared" ca="1" si="164"/>
        <v>0</v>
      </c>
      <c r="E398" s="239">
        <f t="shared" ca="1" si="165"/>
        <v>0</v>
      </c>
      <c r="F398" s="239">
        <f t="shared" ca="1" si="166"/>
        <v>0</v>
      </c>
      <c r="G398" s="261">
        <f t="shared" ca="1" si="167"/>
        <v>0</v>
      </c>
      <c r="I398" s="237"/>
      <c r="AV398" s="235"/>
      <c r="AW398" s="235"/>
      <c r="AX398" s="235"/>
      <c r="AY398" s="235"/>
      <c r="AZ398" s="235"/>
      <c r="BA398" s="235"/>
      <c r="BB398" s="235"/>
      <c r="BC398" s="235"/>
      <c r="BD398" s="235"/>
      <c r="BE398" s="235"/>
      <c r="BF398" s="235"/>
      <c r="BG398" s="235"/>
      <c r="BH398" s="235"/>
      <c r="BI398" s="235"/>
      <c r="BJ398" s="235"/>
      <c r="BK398" s="235"/>
      <c r="BL398" s="235"/>
      <c r="BM398" s="235"/>
      <c r="BN398" s="235"/>
      <c r="BO398" s="235"/>
      <c r="BP398" s="235"/>
      <c r="BQ398" s="235"/>
    </row>
    <row r="399" spans="1:69" s="780" customFormat="1" ht="15.75" customHeight="1">
      <c r="A399" s="62">
        <f t="shared" si="162"/>
        <v>40</v>
      </c>
      <c r="B399" s="63">
        <f t="shared" si="161"/>
        <v>48120</v>
      </c>
      <c r="C399" s="63">
        <f t="shared" si="163"/>
        <v>48126</v>
      </c>
      <c r="D399" s="239">
        <f t="shared" ca="1" si="164"/>
        <v>0</v>
      </c>
      <c r="E399" s="239">
        <f t="shared" ca="1" si="165"/>
        <v>0</v>
      </c>
      <c r="F399" s="239">
        <f t="shared" ca="1" si="166"/>
        <v>0</v>
      </c>
      <c r="G399" s="261">
        <f t="shared" ca="1" si="167"/>
        <v>0</v>
      </c>
      <c r="I399" s="237"/>
      <c r="AV399" s="235"/>
      <c r="AW399" s="235"/>
      <c r="AX399" s="235"/>
      <c r="AY399" s="235"/>
      <c r="AZ399" s="235"/>
      <c r="BA399" s="235"/>
      <c r="BB399" s="235"/>
      <c r="BC399" s="235"/>
      <c r="BD399" s="235"/>
      <c r="BE399" s="235"/>
      <c r="BF399" s="235"/>
      <c r="BG399" s="235"/>
      <c r="BH399" s="235"/>
      <c r="BI399" s="235"/>
      <c r="BJ399" s="235"/>
      <c r="BK399" s="235"/>
      <c r="BL399" s="235"/>
      <c r="BM399" s="235"/>
      <c r="BN399" s="235"/>
      <c r="BO399" s="235"/>
      <c r="BP399" s="235"/>
      <c r="BQ399" s="235"/>
    </row>
    <row r="400" spans="1:69" s="780" customFormat="1" ht="15.75" customHeight="1">
      <c r="A400" s="62">
        <f t="shared" si="162"/>
        <v>41</v>
      </c>
      <c r="B400" s="63">
        <f t="shared" si="161"/>
        <v>48127</v>
      </c>
      <c r="C400" s="63">
        <f t="shared" si="163"/>
        <v>48133</v>
      </c>
      <c r="D400" s="239">
        <f t="shared" ca="1" si="164"/>
        <v>0</v>
      </c>
      <c r="E400" s="239">
        <f t="shared" ca="1" si="165"/>
        <v>0</v>
      </c>
      <c r="F400" s="239">
        <f t="shared" ca="1" si="166"/>
        <v>0</v>
      </c>
      <c r="G400" s="261">
        <f t="shared" ca="1" si="167"/>
        <v>0</v>
      </c>
      <c r="I400" s="237"/>
      <c r="AV400" s="235"/>
      <c r="AW400" s="235"/>
      <c r="AX400" s="235"/>
      <c r="AY400" s="235"/>
      <c r="AZ400" s="235"/>
      <c r="BA400" s="235"/>
      <c r="BB400" s="235"/>
      <c r="BC400" s="235"/>
      <c r="BD400" s="235"/>
      <c r="BE400" s="235"/>
      <c r="BF400" s="235"/>
      <c r="BG400" s="235"/>
      <c r="BH400" s="235"/>
      <c r="BI400" s="235"/>
      <c r="BJ400" s="235"/>
      <c r="BK400" s="235"/>
      <c r="BL400" s="235"/>
      <c r="BM400" s="235"/>
      <c r="BN400" s="235"/>
      <c r="BO400" s="235"/>
      <c r="BP400" s="235"/>
      <c r="BQ400" s="235"/>
    </row>
    <row r="401" spans="1:164" s="780" customFormat="1" ht="15.75" customHeight="1">
      <c r="A401" s="62">
        <f t="shared" si="162"/>
        <v>42</v>
      </c>
      <c r="B401" s="63">
        <f t="shared" si="161"/>
        <v>48134</v>
      </c>
      <c r="C401" s="63">
        <f t="shared" si="163"/>
        <v>48140</v>
      </c>
      <c r="D401" s="239">
        <f t="shared" ca="1" si="164"/>
        <v>0</v>
      </c>
      <c r="E401" s="239">
        <f t="shared" ca="1" si="165"/>
        <v>0</v>
      </c>
      <c r="F401" s="239">
        <f t="shared" ca="1" si="166"/>
        <v>0</v>
      </c>
      <c r="G401" s="261">
        <f t="shared" ca="1" si="167"/>
        <v>0</v>
      </c>
      <c r="I401" s="237"/>
      <c r="AV401" s="235"/>
      <c r="AW401" s="235"/>
      <c r="AX401" s="235"/>
      <c r="AY401" s="235"/>
      <c r="AZ401" s="235"/>
      <c r="BA401" s="235"/>
      <c r="BB401" s="235"/>
      <c r="BC401" s="235"/>
      <c r="BD401" s="235"/>
      <c r="BE401" s="235"/>
      <c r="BF401" s="235"/>
      <c r="BG401" s="235"/>
      <c r="BH401" s="235"/>
      <c r="BI401" s="235"/>
      <c r="BJ401" s="235"/>
      <c r="BK401" s="235"/>
      <c r="BL401" s="235"/>
      <c r="BM401" s="235"/>
      <c r="BN401" s="235"/>
      <c r="BO401" s="235"/>
      <c r="BP401" s="235"/>
      <c r="BQ401" s="235"/>
    </row>
    <row r="402" spans="1:164" s="780" customFormat="1" ht="15.75" customHeight="1">
      <c r="A402" s="62">
        <f t="shared" si="162"/>
        <v>43</v>
      </c>
      <c r="B402" s="63">
        <f t="shared" si="161"/>
        <v>48141</v>
      </c>
      <c r="C402" s="63">
        <f t="shared" si="163"/>
        <v>48147</v>
      </c>
      <c r="D402" s="239">
        <f t="shared" ca="1" si="164"/>
        <v>0</v>
      </c>
      <c r="E402" s="239">
        <f t="shared" ca="1" si="165"/>
        <v>0</v>
      </c>
      <c r="F402" s="239">
        <f t="shared" ca="1" si="166"/>
        <v>0</v>
      </c>
      <c r="G402" s="261">
        <f t="shared" ca="1" si="167"/>
        <v>0</v>
      </c>
      <c r="I402" s="237"/>
      <c r="AV402" s="235"/>
      <c r="AW402" s="235"/>
      <c r="AX402" s="235"/>
      <c r="AY402" s="235"/>
      <c r="AZ402" s="235"/>
      <c r="BA402" s="235"/>
      <c r="BB402" s="235"/>
      <c r="BC402" s="235"/>
      <c r="BD402" s="235"/>
      <c r="BE402" s="235"/>
      <c r="BF402" s="235"/>
      <c r="BG402" s="235"/>
      <c r="BH402" s="235"/>
      <c r="BI402" s="235"/>
      <c r="BJ402" s="235"/>
      <c r="BK402" s="235"/>
      <c r="BL402" s="235"/>
      <c r="BM402" s="235"/>
      <c r="BN402" s="235"/>
      <c r="BO402" s="235"/>
      <c r="BP402" s="235"/>
      <c r="BQ402" s="235"/>
    </row>
    <row r="403" spans="1:164" s="780" customFormat="1" ht="15.75" customHeight="1">
      <c r="A403" s="62">
        <f t="shared" si="162"/>
        <v>44</v>
      </c>
      <c r="B403" s="63">
        <f t="shared" si="161"/>
        <v>48148</v>
      </c>
      <c r="C403" s="63">
        <f t="shared" si="163"/>
        <v>48154</v>
      </c>
      <c r="D403" s="239">
        <f t="shared" ca="1" si="164"/>
        <v>0</v>
      </c>
      <c r="E403" s="239">
        <f t="shared" ca="1" si="165"/>
        <v>0</v>
      </c>
      <c r="F403" s="239">
        <f t="shared" ca="1" si="166"/>
        <v>0</v>
      </c>
      <c r="G403" s="261">
        <f t="shared" ca="1" si="167"/>
        <v>0</v>
      </c>
      <c r="I403" s="237"/>
      <c r="AV403" s="235"/>
      <c r="AW403" s="235"/>
      <c r="AX403" s="235"/>
      <c r="AY403" s="235"/>
      <c r="AZ403" s="235"/>
      <c r="BA403" s="235"/>
      <c r="BB403" s="235"/>
      <c r="BC403" s="235"/>
      <c r="BD403" s="235"/>
      <c r="BE403" s="235"/>
      <c r="BF403" s="235"/>
      <c r="BG403" s="235"/>
      <c r="BH403" s="235"/>
      <c r="BI403" s="235"/>
      <c r="BJ403" s="235"/>
      <c r="BK403" s="235"/>
      <c r="BL403" s="235"/>
      <c r="BM403" s="235"/>
      <c r="BN403" s="235"/>
      <c r="BO403" s="235"/>
      <c r="BP403" s="235"/>
      <c r="BQ403" s="235"/>
    </row>
    <row r="404" spans="1:164" s="699" customFormat="1" ht="15.75" customHeight="1">
      <c r="A404" s="62">
        <f t="shared" si="162"/>
        <v>45</v>
      </c>
      <c r="B404" s="63">
        <f t="shared" ref="B404" si="168">+B403+7</f>
        <v>48155</v>
      </c>
      <c r="C404" s="63">
        <f t="shared" si="163"/>
        <v>48161</v>
      </c>
      <c r="D404" s="239">
        <f t="shared" ca="1" si="164"/>
        <v>0</v>
      </c>
      <c r="E404" s="239">
        <f t="shared" ca="1" si="165"/>
        <v>0</v>
      </c>
      <c r="F404" s="239">
        <f t="shared" ca="1" si="166"/>
        <v>0</v>
      </c>
      <c r="G404" s="261">
        <f t="shared" ca="1" si="167"/>
        <v>0</v>
      </c>
      <c r="I404" s="237"/>
      <c r="AV404" s="235"/>
      <c r="AW404" s="235"/>
      <c r="AX404" s="235"/>
      <c r="AY404" s="235"/>
      <c r="AZ404" s="235"/>
      <c r="BA404" s="235"/>
      <c r="BB404" s="235"/>
      <c r="BC404" s="235"/>
      <c r="BD404" s="235"/>
      <c r="BE404" s="235"/>
      <c r="BF404" s="235"/>
      <c r="BG404" s="235"/>
      <c r="BH404" s="235"/>
      <c r="BI404" s="235"/>
      <c r="BJ404" s="235"/>
      <c r="BK404" s="235"/>
      <c r="BL404" s="235"/>
      <c r="BM404" s="235"/>
      <c r="BN404" s="235"/>
      <c r="BO404" s="235"/>
      <c r="BP404" s="235"/>
      <c r="BQ404" s="235"/>
      <c r="CU404" s="725"/>
      <c r="CV404" s="725"/>
      <c r="CW404" s="725"/>
      <c r="CX404" s="725"/>
      <c r="CY404" s="725"/>
      <c r="CZ404" s="725"/>
      <c r="DA404" s="780"/>
      <c r="DB404" s="780"/>
      <c r="DC404" s="780"/>
      <c r="DD404" s="780"/>
      <c r="DE404" s="780"/>
      <c r="DF404" s="780"/>
      <c r="DG404" s="780"/>
      <c r="DH404" s="780"/>
      <c r="DI404" s="780"/>
      <c r="DJ404" s="780"/>
      <c r="DK404" s="780"/>
      <c r="DL404" s="780"/>
      <c r="DM404" s="780"/>
      <c r="DN404" s="780"/>
      <c r="DO404" s="780"/>
      <c r="DP404" s="780"/>
      <c r="DQ404" s="780"/>
      <c r="DR404" s="780"/>
      <c r="DS404" s="780"/>
      <c r="DT404" s="780"/>
      <c r="DU404" s="780"/>
      <c r="DV404" s="780"/>
      <c r="DW404" s="780"/>
      <c r="DX404" s="780"/>
      <c r="DY404" s="780"/>
      <c r="DZ404" s="780"/>
      <c r="EA404" s="780"/>
      <c r="EB404" s="780"/>
      <c r="EC404" s="780"/>
      <c r="ED404" s="780"/>
      <c r="EE404" s="780"/>
      <c r="EF404" s="780"/>
      <c r="EG404" s="780"/>
      <c r="EH404" s="780"/>
      <c r="EI404" s="780"/>
      <c r="EJ404" s="780"/>
      <c r="EK404" s="780"/>
      <c r="EL404" s="780"/>
      <c r="EM404" s="780"/>
      <c r="EN404" s="780"/>
      <c r="EO404" s="780"/>
      <c r="EP404" s="780"/>
      <c r="EQ404" s="780"/>
      <c r="ER404" s="780"/>
      <c r="ES404" s="780"/>
      <c r="ET404" s="780"/>
      <c r="EU404" s="780"/>
      <c r="EV404" s="780"/>
      <c r="EW404" s="780"/>
      <c r="EX404" s="780"/>
      <c r="EY404" s="780"/>
      <c r="EZ404" s="780"/>
      <c r="FA404" s="780"/>
      <c r="FB404" s="780"/>
      <c r="FC404" s="780"/>
      <c r="FD404" s="780"/>
      <c r="FE404" s="780"/>
      <c r="FF404" s="780"/>
      <c r="FG404" s="780"/>
      <c r="FH404" s="780"/>
    </row>
    <row r="405" spans="1:164" s="280" customFormat="1" ht="15.75" customHeight="1">
      <c r="A405" s="299" t="s">
        <v>237</v>
      </c>
      <c r="D405" s="380">
        <f ca="1">SUM(D13:D404)</f>
        <v>7371592212.3529263</v>
      </c>
      <c r="E405" s="381" t="e">
        <f ca="1">SUM(E13:E404)</f>
        <v>#VALUE!</v>
      </c>
      <c r="F405" s="381">
        <f ca="1">SUM(F13:F404)</f>
        <v>1039027690.2578518</v>
      </c>
      <c r="G405" s="381">
        <f ca="1">SUM(G13:G404)</f>
        <v>142656277.5</v>
      </c>
      <c r="I405" s="374"/>
      <c r="J405" s="374"/>
      <c r="K405" s="374"/>
      <c r="L405" s="374"/>
      <c r="M405" s="374"/>
      <c r="AV405" s="235"/>
      <c r="AW405" s="235"/>
      <c r="AX405" s="235"/>
      <c r="AY405" s="235"/>
      <c r="AZ405" s="235"/>
      <c r="BA405" s="235"/>
      <c r="BB405" s="235"/>
      <c r="BC405" s="235"/>
      <c r="BD405" s="235"/>
      <c r="BE405" s="235"/>
      <c r="BF405" s="235"/>
      <c r="BG405" s="235"/>
      <c r="BH405" s="235"/>
      <c r="BI405" s="235"/>
      <c r="BJ405" s="235"/>
      <c r="BK405" s="235"/>
      <c r="BL405" s="235"/>
      <c r="BM405" s="235"/>
      <c r="BN405" s="235"/>
      <c r="BO405" s="235"/>
      <c r="BP405" s="235"/>
      <c r="BQ405" s="235"/>
      <c r="BS405" s="374"/>
      <c r="BV405" s="481"/>
      <c r="BW405" s="489"/>
      <c r="BX405" s="489"/>
      <c r="BY405" s="489"/>
      <c r="BZ405" s="492"/>
      <c r="CA405" s="492"/>
      <c r="CB405" s="492"/>
      <c r="CC405" s="497"/>
      <c r="CD405" s="497"/>
      <c r="CE405" s="497"/>
      <c r="CF405" s="497"/>
      <c r="CG405" s="497"/>
      <c r="CH405" s="518"/>
      <c r="CI405" s="518"/>
      <c r="CJ405" s="521"/>
      <c r="CK405" s="521"/>
      <c r="CL405" s="521"/>
      <c r="CM405" s="521"/>
      <c r="CN405" s="542"/>
      <c r="CO405" s="542"/>
      <c r="CP405" s="542"/>
      <c r="CQ405" s="542"/>
      <c r="CR405" s="542"/>
      <c r="CS405" s="699"/>
      <c r="CT405" s="699"/>
      <c r="CU405" s="725"/>
      <c r="CV405" s="725"/>
      <c r="CW405" s="725"/>
      <c r="CX405" s="725"/>
      <c r="CY405" s="725"/>
      <c r="CZ405" s="725"/>
      <c r="DA405" s="780"/>
      <c r="DB405" s="780"/>
      <c r="DC405" s="780"/>
      <c r="DD405" s="780"/>
      <c r="DE405" s="780"/>
      <c r="DF405" s="780"/>
      <c r="DG405" s="780"/>
      <c r="DH405" s="780"/>
      <c r="DI405" s="780"/>
      <c r="DJ405" s="780"/>
      <c r="DK405" s="780"/>
      <c r="DL405" s="780"/>
      <c r="DM405" s="780"/>
      <c r="DN405" s="780"/>
      <c r="DO405" s="780"/>
      <c r="DP405" s="780"/>
      <c r="DQ405" s="780"/>
      <c r="DR405" s="780"/>
      <c r="DS405" s="780"/>
      <c r="DT405" s="780"/>
      <c r="DU405" s="780"/>
      <c r="DV405" s="780"/>
      <c r="DW405" s="780"/>
      <c r="DX405" s="780"/>
      <c r="DY405" s="780"/>
      <c r="DZ405" s="780"/>
      <c r="EA405" s="780"/>
      <c r="EB405" s="780"/>
      <c r="EC405" s="780"/>
      <c r="ED405" s="780"/>
      <c r="EE405" s="780"/>
      <c r="EF405" s="780"/>
      <c r="EG405" s="780"/>
      <c r="EH405" s="780"/>
      <c r="EI405" s="780"/>
      <c r="EJ405" s="780"/>
      <c r="EK405" s="780"/>
      <c r="EL405" s="780"/>
      <c r="EM405" s="780"/>
      <c r="EN405" s="780"/>
      <c r="EO405" s="780"/>
      <c r="EP405" s="780"/>
      <c r="EQ405" s="780"/>
      <c r="ER405" s="780"/>
      <c r="ES405" s="780"/>
      <c r="ET405" s="780"/>
      <c r="EU405" s="780"/>
      <c r="EV405" s="780"/>
      <c r="EW405" s="780"/>
      <c r="EX405" s="780"/>
      <c r="EY405" s="780"/>
      <c r="EZ405" s="780"/>
      <c r="FA405" s="780"/>
      <c r="FB405" s="780"/>
      <c r="FC405" s="780"/>
      <c r="FD405" s="780"/>
      <c r="FE405" s="780"/>
      <c r="FF405" s="780"/>
      <c r="FG405" s="780"/>
      <c r="FH405" s="780"/>
    </row>
    <row r="406" spans="1:164" ht="15.75" customHeight="1">
      <c r="D406" s="237"/>
      <c r="G406" s="237"/>
      <c r="H406" s="237"/>
    </row>
    <row r="407" spans="1:164" ht="15.75" customHeight="1">
      <c r="G407" s="237"/>
      <c r="H407" s="237"/>
    </row>
    <row r="408" spans="1:164" ht="46.5" customHeight="1">
      <c r="D408" s="377" t="s">
        <v>226</v>
      </c>
      <c r="E408" s="377" t="s">
        <v>227</v>
      </c>
      <c r="F408" s="377" t="s">
        <v>75</v>
      </c>
      <c r="G408" s="377" t="s">
        <v>76</v>
      </c>
      <c r="H408"/>
    </row>
    <row r="409" spans="1:164" ht="15.75" customHeight="1">
      <c r="C409" s="255" t="s">
        <v>225</v>
      </c>
      <c r="D409" s="378">
        <f>+Tabla1[[#Totals],[VENTA TOTAL $ (IVA INC) ]]</f>
        <v>7371592212.3529081</v>
      </c>
      <c r="E409" s="379">
        <f ca="1">+Tabla1[[#Totals],[VALORES EN CARTERA]]+Tabla1[[#Totals],[VALORES COBRADOS]]</f>
        <v>0</v>
      </c>
      <c r="F409" s="379">
        <f>+Tabla1[[#Totals],[PENDIENTE DE ENTREGA]]</f>
        <v>1039027690.2578515</v>
      </c>
      <c r="G409" s="379">
        <f>+Tabla1[[#Totals],[PENDIENTE DE COBRO]]</f>
        <v>142656277.5</v>
      </c>
      <c r="H409" s="464"/>
    </row>
    <row r="410" spans="1:164" ht="15.75" customHeight="1">
      <c r="C410" s="255" t="s">
        <v>224</v>
      </c>
      <c r="D410" s="237">
        <f ca="1">+D405-D409</f>
        <v>1.811981201171875E-5</v>
      </c>
      <c r="E410" s="237" t="e">
        <f ca="1">+E405-E409</f>
        <v>#VALUE!</v>
      </c>
      <c r="F410" s="237">
        <f ca="1">+F405-F409</f>
        <v>0</v>
      </c>
      <c r="G410" s="237">
        <f ca="1">+G409-G405</f>
        <v>0</v>
      </c>
      <c r="H410" s="237"/>
    </row>
    <row r="411" spans="1:164" ht="15.75" customHeight="1">
      <c r="D411" s="291"/>
      <c r="H411"/>
    </row>
    <row r="412" spans="1:164" ht="15.75" customHeight="1">
      <c r="D412"/>
      <c r="F412" s="235"/>
    </row>
    <row r="413" spans="1:164" ht="15.75" customHeight="1">
      <c r="H413"/>
    </row>
    <row r="414" spans="1:164" ht="15.75" customHeight="1"/>
    <row r="415" spans="1:164" ht="15.75" customHeight="1"/>
    <row r="416" spans="1:164"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sheetData>
  <autoFilter ref="A12:F76" xr:uid="{00000000-0001-0000-0300-000000000000}"/>
  <pageMargins left="0.7" right="0.7" top="0.75" bottom="0.75" header="0" footer="0"/>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pageSetUpPr fitToPage="1"/>
  </sheetPr>
  <dimension ref="A1:V1914"/>
  <sheetViews>
    <sheetView zoomScale="80" zoomScaleNormal="80" workbookViewId="0">
      <pane ySplit="8" topLeftCell="A9" activePane="bottomLeft" state="frozen"/>
      <selection pane="bottomLeft" activeCell="A10" sqref="A10:B1712"/>
    </sheetView>
  </sheetViews>
  <sheetFormatPr baseColWidth="10" defaultColWidth="14.42578125" defaultRowHeight="15" customHeight="1"/>
  <cols>
    <col min="1" max="1" width="11.42578125" customWidth="1"/>
    <col min="2" max="2" width="23.5703125" customWidth="1"/>
    <col min="3" max="3" width="18.7109375" style="533" customWidth="1"/>
    <col min="4" max="4" width="35.42578125" customWidth="1"/>
    <col min="5" max="5" width="31.85546875" style="676" customWidth="1"/>
    <col min="6" max="6" width="43" style="515" customWidth="1"/>
    <col min="7" max="7" width="21.28515625" style="689" customWidth="1"/>
    <col min="8" max="8" width="27.5703125" style="255" customWidth="1"/>
    <col min="9" max="9" width="64.7109375" style="506" customWidth="1"/>
    <col min="10" max="10" width="27.85546875" style="240" customWidth="1"/>
    <col min="11" max="11" width="26.28515625" style="240" customWidth="1"/>
    <col min="12" max="12" width="19" style="235" customWidth="1"/>
    <col min="13" max="13" width="30.5703125" style="742" customWidth="1"/>
    <col min="14" max="14" width="33.5703125" style="255" customWidth="1"/>
    <col min="15" max="15" width="39.85546875" customWidth="1"/>
    <col min="16" max="16" width="11.85546875" customWidth="1"/>
    <col min="17" max="17" width="15.85546875" customWidth="1"/>
    <col min="18" max="22" width="10.7109375" customWidth="1"/>
  </cols>
  <sheetData>
    <row r="1" spans="1:22" ht="15.75">
      <c r="A1" s="58"/>
      <c r="B1" s="528"/>
      <c r="C1" s="528"/>
      <c r="D1" s="58"/>
      <c r="E1" s="704"/>
      <c r="F1" s="223"/>
      <c r="G1" s="199"/>
      <c r="H1" s="224"/>
      <c r="I1" s="498"/>
      <c r="J1" s="547"/>
      <c r="K1" s="548"/>
      <c r="L1" s="227"/>
      <c r="M1" s="740"/>
      <c r="N1" s="224"/>
      <c r="P1" s="58"/>
      <c r="Q1" s="58"/>
      <c r="R1" s="58"/>
      <c r="S1" s="58"/>
      <c r="T1" s="58"/>
      <c r="U1" s="58"/>
      <c r="V1" s="58"/>
    </row>
    <row r="2" spans="1:22">
      <c r="A2" s="58"/>
      <c r="B2" s="528"/>
      <c r="C2" s="528"/>
      <c r="D2" s="58"/>
      <c r="E2" s="704"/>
      <c r="F2" s="223"/>
      <c r="G2" s="199"/>
      <c r="H2" s="224"/>
      <c r="I2" s="498"/>
      <c r="J2" s="547"/>
      <c r="K2" s="547"/>
      <c r="L2" s="227"/>
      <c r="M2" s="740"/>
      <c r="N2" s="224"/>
      <c r="P2" s="58"/>
      <c r="Q2" s="58"/>
      <c r="R2" s="58"/>
      <c r="S2" s="58"/>
      <c r="T2" s="58"/>
      <c r="U2" s="58"/>
      <c r="V2" s="58"/>
    </row>
    <row r="3" spans="1:22">
      <c r="A3" s="58"/>
      <c r="B3" s="528"/>
      <c r="C3" s="528"/>
      <c r="D3" s="58"/>
      <c r="E3" s="704"/>
      <c r="F3" s="223"/>
      <c r="G3" s="199"/>
      <c r="H3" s="224"/>
      <c r="I3" s="498"/>
      <c r="J3" s="547"/>
      <c r="K3" s="547"/>
      <c r="L3" s="227"/>
      <c r="M3" s="740"/>
      <c r="N3" s="224"/>
      <c r="P3" s="58"/>
      <c r="Q3" s="58"/>
      <c r="R3" s="58"/>
      <c r="S3" s="58"/>
      <c r="T3" s="58"/>
      <c r="U3" s="58"/>
      <c r="V3" s="58"/>
    </row>
    <row r="4" spans="1:22" ht="33.75">
      <c r="A4" s="58"/>
      <c r="B4" s="528"/>
      <c r="C4" s="528"/>
      <c r="D4" s="947" t="s">
        <v>170</v>
      </c>
      <c r="E4" s="948"/>
      <c r="F4" s="948"/>
      <c r="G4" s="948"/>
      <c r="H4" s="948"/>
      <c r="I4" s="948"/>
      <c r="J4" s="949"/>
      <c r="K4" s="949"/>
      <c r="L4" s="948"/>
      <c r="M4" s="948"/>
      <c r="N4" s="684"/>
      <c r="P4" s="58"/>
      <c r="Q4" s="58"/>
      <c r="R4" s="58"/>
      <c r="S4" s="58"/>
      <c r="T4" s="58"/>
      <c r="U4" s="58"/>
      <c r="V4" s="58"/>
    </row>
    <row r="5" spans="1:22">
      <c r="A5" s="58"/>
      <c r="B5" s="58"/>
      <c r="C5" s="528"/>
      <c r="D5" s="58"/>
      <c r="E5" s="704"/>
      <c r="F5" s="223"/>
      <c r="G5" s="199"/>
      <c r="H5" s="224"/>
      <c r="I5" s="498"/>
      <c r="J5" s="547"/>
      <c r="K5" s="547"/>
      <c r="L5" s="200"/>
      <c r="M5" s="740"/>
      <c r="N5" s="224"/>
      <c r="P5" s="58"/>
      <c r="Q5" s="58"/>
      <c r="R5" s="58"/>
      <c r="S5" s="58"/>
      <c r="T5" s="58"/>
      <c r="U5" s="58"/>
      <c r="V5" s="58"/>
    </row>
    <row r="6" spans="1:22" ht="18">
      <c r="A6" s="58"/>
      <c r="B6" s="58"/>
      <c r="C6" s="528"/>
      <c r="D6" s="186" t="s">
        <v>150</v>
      </c>
      <c r="E6" s="705">
        <v>46136</v>
      </c>
      <c r="F6" s="514"/>
      <c r="G6" s="202"/>
      <c r="H6" s="224"/>
      <c r="I6" s="498"/>
      <c r="J6" s="547"/>
      <c r="K6" s="547"/>
      <c r="L6" s="201">
        <f ca="1">TODAY()</f>
        <v>46181</v>
      </c>
      <c r="M6" s="740"/>
      <c r="N6" s="224"/>
      <c r="P6" s="58"/>
      <c r="Q6" s="58"/>
      <c r="R6" s="58"/>
      <c r="S6" s="58"/>
      <c r="T6" s="58"/>
      <c r="U6" s="58"/>
      <c r="V6" s="58"/>
    </row>
    <row r="7" spans="1:22" ht="15.75" thickBot="1">
      <c r="A7" s="58"/>
      <c r="B7" s="58"/>
      <c r="C7" s="528"/>
      <c r="D7" s="58"/>
      <c r="E7" s="704"/>
      <c r="F7" s="223"/>
      <c r="G7" s="199"/>
      <c r="H7" s="224"/>
      <c r="I7" s="498"/>
      <c r="J7" s="547"/>
      <c r="K7" s="547"/>
      <c r="L7" s="227"/>
      <c r="M7" s="740"/>
      <c r="N7" s="224"/>
      <c r="O7" s="58"/>
      <c r="P7" s="58"/>
      <c r="Q7" s="58"/>
      <c r="R7" s="58"/>
      <c r="S7" s="58"/>
      <c r="T7" s="58"/>
      <c r="U7" s="58"/>
      <c r="V7" s="58"/>
    </row>
    <row r="8" spans="1:22" ht="15.75">
      <c r="A8" s="203" t="s">
        <v>241</v>
      </c>
      <c r="B8" s="203" t="s">
        <v>171</v>
      </c>
      <c r="C8" s="526" t="s">
        <v>172</v>
      </c>
      <c r="D8" s="203" t="s">
        <v>173</v>
      </c>
      <c r="E8" s="465" t="s">
        <v>174</v>
      </c>
      <c r="F8" s="465" t="s">
        <v>175</v>
      </c>
      <c r="G8" s="466" t="s">
        <v>176</v>
      </c>
      <c r="H8" s="467" t="s">
        <v>177</v>
      </c>
      <c r="I8" s="499" t="s">
        <v>178</v>
      </c>
      <c r="J8" s="549" t="s">
        <v>179</v>
      </c>
      <c r="K8" s="550" t="s">
        <v>180</v>
      </c>
      <c r="L8" s="465" t="s">
        <v>181</v>
      </c>
      <c r="M8" s="741" t="s">
        <v>182</v>
      </c>
      <c r="N8" s="466" t="s">
        <v>183</v>
      </c>
      <c r="O8" s="222" t="s">
        <v>68</v>
      </c>
      <c r="P8" s="543" t="s">
        <v>264</v>
      </c>
      <c r="Q8" s="543" t="s">
        <v>266</v>
      </c>
      <c r="R8" s="58"/>
      <c r="S8" s="58"/>
      <c r="T8" s="58"/>
      <c r="U8" s="58"/>
      <c r="V8" s="58"/>
    </row>
    <row r="9" spans="1:22" ht="15.75" customHeight="1">
      <c r="A9" s="468" t="s">
        <v>348</v>
      </c>
      <c r="B9" s="204" t="s">
        <v>184</v>
      </c>
      <c r="C9" s="527"/>
      <c r="D9" s="267"/>
      <c r="E9" s="706"/>
      <c r="F9" s="267"/>
      <c r="G9" s="206"/>
      <c r="H9" s="214"/>
      <c r="I9" s="517"/>
      <c r="J9" s="551"/>
      <c r="K9" s="552">
        <f>-J9</f>
        <v>0</v>
      </c>
      <c r="L9" s="217"/>
      <c r="M9" s="211">
        <f t="shared" ref="M9:M72" si="0">+L9-$E$6</f>
        <v>-46136</v>
      </c>
      <c r="N9" s="683">
        <f>+L9+7</f>
        <v>7</v>
      </c>
      <c r="O9" s="212"/>
      <c r="P9" s="544"/>
      <c r="Q9" s="561">
        <f>+K9+J9</f>
        <v>0</v>
      </c>
      <c r="R9" s="58"/>
      <c r="S9" s="58"/>
      <c r="T9" s="58"/>
      <c r="U9" s="58"/>
      <c r="V9" s="58"/>
    </row>
    <row r="10" spans="1:22" ht="15.75" customHeight="1">
      <c r="A10" s="468" t="s">
        <v>348</v>
      </c>
      <c r="B10" s="204" t="s">
        <v>184</v>
      </c>
      <c r="C10" s="527"/>
      <c r="D10" s="267"/>
      <c r="E10" s="706"/>
      <c r="F10" s="267"/>
      <c r="G10" s="206"/>
      <c r="H10" s="214"/>
      <c r="I10" s="517"/>
      <c r="J10" s="551"/>
      <c r="K10" s="552">
        <f t="shared" ref="K10:K73" si="1">-J10</f>
        <v>0</v>
      </c>
      <c r="L10" s="217"/>
      <c r="M10" s="211">
        <f t="shared" si="0"/>
        <v>-46136</v>
      </c>
      <c r="N10" s="683">
        <f t="shared" ref="N10:N73" si="2">+L10+7</f>
        <v>7</v>
      </c>
      <c r="O10" s="212"/>
      <c r="P10" s="544"/>
      <c r="Q10" s="561">
        <f t="shared" ref="Q10:Q74" si="3">+K10+J10</f>
        <v>0</v>
      </c>
      <c r="R10" s="58"/>
      <c r="S10" s="58"/>
      <c r="T10" s="58"/>
      <c r="U10" s="58"/>
      <c r="V10" s="58"/>
    </row>
    <row r="11" spans="1:22" ht="15.75" customHeight="1">
      <c r="A11" s="468" t="s">
        <v>348</v>
      </c>
      <c r="B11" s="204" t="s">
        <v>184</v>
      </c>
      <c r="C11" s="527"/>
      <c r="D11" s="267"/>
      <c r="E11" s="706"/>
      <c r="F11" s="267"/>
      <c r="G11" s="206"/>
      <c r="H11" s="214"/>
      <c r="I11" s="517"/>
      <c r="J11" s="551"/>
      <c r="K11" s="552">
        <f t="shared" si="1"/>
        <v>0</v>
      </c>
      <c r="L11" s="217"/>
      <c r="M11" s="211">
        <f t="shared" si="0"/>
        <v>-46136</v>
      </c>
      <c r="N11" s="683">
        <f t="shared" si="2"/>
        <v>7</v>
      </c>
      <c r="O11" s="212"/>
      <c r="P11" s="544"/>
      <c r="Q11" s="561">
        <f t="shared" si="3"/>
        <v>0</v>
      </c>
      <c r="R11" s="58"/>
      <c r="S11" s="58"/>
      <c r="T11" s="58"/>
      <c r="U11" s="58"/>
      <c r="V11" s="58"/>
    </row>
    <row r="12" spans="1:22" s="513" customFormat="1" ht="15.75" customHeight="1">
      <c r="A12" s="468" t="s">
        <v>348</v>
      </c>
      <c r="B12" s="204" t="s">
        <v>184</v>
      </c>
      <c r="C12" s="527"/>
      <c r="D12" s="205"/>
      <c r="E12" s="706"/>
      <c r="F12" s="267"/>
      <c r="G12" s="206"/>
      <c r="H12" s="214"/>
      <c r="I12" s="517"/>
      <c r="J12" s="551"/>
      <c r="K12" s="552">
        <f t="shared" si="1"/>
        <v>0</v>
      </c>
      <c r="L12" s="217"/>
      <c r="M12" s="211">
        <f t="shared" si="0"/>
        <v>-46136</v>
      </c>
      <c r="N12" s="683">
        <f t="shared" si="2"/>
        <v>7</v>
      </c>
      <c r="O12" s="212"/>
      <c r="P12" s="223"/>
      <c r="Q12" s="561">
        <f t="shared" si="3"/>
        <v>0</v>
      </c>
      <c r="R12" s="223"/>
      <c r="S12" s="223"/>
      <c r="T12" s="223"/>
      <c r="U12" s="223"/>
      <c r="V12" s="223"/>
    </row>
    <row r="13" spans="1:22" ht="15.75" customHeight="1">
      <c r="A13" s="468" t="s">
        <v>348</v>
      </c>
      <c r="B13" s="204" t="s">
        <v>184</v>
      </c>
      <c r="C13" s="527"/>
      <c r="D13" s="205"/>
      <c r="E13" s="706"/>
      <c r="F13" s="205"/>
      <c r="G13" s="206"/>
      <c r="H13" s="214"/>
      <c r="I13" s="500"/>
      <c r="J13" s="560"/>
      <c r="K13" s="552">
        <f t="shared" si="1"/>
        <v>0</v>
      </c>
      <c r="L13" s="217"/>
      <c r="M13" s="211">
        <f t="shared" si="0"/>
        <v>-46136</v>
      </c>
      <c r="N13" s="683">
        <f t="shared" si="2"/>
        <v>7</v>
      </c>
      <c r="O13" s="212"/>
      <c r="P13" s="544"/>
      <c r="Q13" s="561">
        <f t="shared" si="3"/>
        <v>0</v>
      </c>
      <c r="R13" s="58"/>
      <c r="S13" s="58"/>
      <c r="T13" s="58"/>
      <c r="U13" s="58"/>
      <c r="V13" s="58"/>
    </row>
    <row r="14" spans="1:22" ht="15.75" customHeight="1">
      <c r="A14" s="468" t="s">
        <v>348</v>
      </c>
      <c r="B14" s="204" t="s">
        <v>184</v>
      </c>
      <c r="C14" s="527"/>
      <c r="D14" s="205"/>
      <c r="E14" s="706"/>
      <c r="F14" s="205"/>
      <c r="G14" s="206"/>
      <c r="H14" s="214"/>
      <c r="I14" s="500"/>
      <c r="J14" s="560"/>
      <c r="K14" s="552">
        <f t="shared" si="1"/>
        <v>0</v>
      </c>
      <c r="L14" s="217"/>
      <c r="M14" s="211">
        <f t="shared" si="0"/>
        <v>-46136</v>
      </c>
      <c r="N14" s="683">
        <f t="shared" si="2"/>
        <v>7</v>
      </c>
      <c r="O14" s="212"/>
      <c r="P14" s="544"/>
      <c r="Q14" s="561">
        <f t="shared" si="3"/>
        <v>0</v>
      </c>
      <c r="R14" s="58"/>
      <c r="S14" s="58"/>
      <c r="T14" s="58"/>
      <c r="U14" s="58"/>
      <c r="V14" s="58"/>
    </row>
    <row r="15" spans="1:22" ht="15.75" customHeight="1">
      <c r="A15" s="468" t="s">
        <v>348</v>
      </c>
      <c r="B15" s="204" t="s">
        <v>184</v>
      </c>
      <c r="C15" s="527"/>
      <c r="D15" s="205"/>
      <c r="E15" s="707"/>
      <c r="F15" s="188"/>
      <c r="G15" s="206"/>
      <c r="H15" s="207"/>
      <c r="I15" s="501"/>
      <c r="J15" s="553"/>
      <c r="K15" s="552">
        <f t="shared" si="1"/>
        <v>0</v>
      </c>
      <c r="L15" s="210"/>
      <c r="M15" s="211">
        <f t="shared" si="0"/>
        <v>-46136</v>
      </c>
      <c r="N15" s="683">
        <f t="shared" si="2"/>
        <v>7</v>
      </c>
      <c r="O15" s="212"/>
      <c r="P15" s="58"/>
      <c r="Q15" s="561">
        <f t="shared" si="3"/>
        <v>0</v>
      </c>
      <c r="R15" s="187"/>
      <c r="S15" s="58"/>
      <c r="T15" s="58"/>
      <c r="U15" s="58"/>
      <c r="V15" s="58"/>
    </row>
    <row r="16" spans="1:22" s="769" customFormat="1" ht="15.75" customHeight="1">
      <c r="A16" s="468" t="s">
        <v>348</v>
      </c>
      <c r="B16" s="204" t="s">
        <v>184</v>
      </c>
      <c r="C16" s="204"/>
      <c r="D16" s="205"/>
      <c r="E16" s="770"/>
      <c r="F16" s="267"/>
      <c r="G16" s="207"/>
      <c r="H16" s="214"/>
      <c r="I16" s="517"/>
      <c r="J16" s="771"/>
      <c r="K16" s="552">
        <f t="shared" si="1"/>
        <v>0</v>
      </c>
      <c r="L16" s="217"/>
      <c r="M16" s="211">
        <f t="shared" si="0"/>
        <v>-46136</v>
      </c>
      <c r="N16" s="683">
        <f t="shared" si="2"/>
        <v>7</v>
      </c>
      <c r="O16" s="212"/>
      <c r="P16" s="544"/>
      <c r="Q16" s="561">
        <f>+K16+J16</f>
        <v>0</v>
      </c>
      <c r="R16" s="187"/>
      <c r="S16" s="223"/>
      <c r="T16" s="223"/>
      <c r="U16" s="223"/>
      <c r="V16" s="223"/>
    </row>
    <row r="17" spans="1:22" ht="15.75" customHeight="1">
      <c r="A17" s="468" t="s">
        <v>348</v>
      </c>
      <c r="B17" s="204" t="s">
        <v>184</v>
      </c>
      <c r="C17" s="527"/>
      <c r="D17" s="267"/>
      <c r="E17" s="708"/>
      <c r="F17" s="267"/>
      <c r="G17" s="206"/>
      <c r="H17" s="214"/>
      <c r="I17" s="502"/>
      <c r="J17" s="553"/>
      <c r="K17" s="552">
        <f t="shared" si="1"/>
        <v>0</v>
      </c>
      <c r="L17" s="210"/>
      <c r="M17" s="211">
        <f t="shared" si="0"/>
        <v>-46136</v>
      </c>
      <c r="N17" s="683">
        <f t="shared" si="2"/>
        <v>7</v>
      </c>
      <c r="O17" s="212"/>
      <c r="P17" s="544"/>
      <c r="Q17" s="561">
        <f>+K17+J17</f>
        <v>0</v>
      </c>
      <c r="R17" s="187"/>
      <c r="S17" s="58"/>
      <c r="T17" s="58"/>
      <c r="U17" s="58"/>
      <c r="V17" s="58"/>
    </row>
    <row r="18" spans="1:22" ht="15.75" customHeight="1">
      <c r="A18" s="468" t="s">
        <v>348</v>
      </c>
      <c r="B18" s="204" t="s">
        <v>184</v>
      </c>
      <c r="C18" s="527"/>
      <c r="D18" s="188"/>
      <c r="E18" s="706"/>
      <c r="F18" s="188"/>
      <c r="G18" s="206"/>
      <c r="H18" s="214"/>
      <c r="I18" s="500"/>
      <c r="J18" s="553"/>
      <c r="K18" s="552">
        <f t="shared" si="1"/>
        <v>0</v>
      </c>
      <c r="L18" s="270"/>
      <c r="M18" s="211">
        <f t="shared" si="0"/>
        <v>-46136</v>
      </c>
      <c r="N18" s="683">
        <f t="shared" si="2"/>
        <v>7</v>
      </c>
      <c r="O18" s="212"/>
      <c r="P18" s="544"/>
      <c r="Q18" s="561">
        <f t="shared" si="3"/>
        <v>0</v>
      </c>
      <c r="R18" s="58"/>
      <c r="S18" s="58"/>
      <c r="T18" s="58"/>
      <c r="U18" s="58"/>
      <c r="V18" s="58"/>
    </row>
    <row r="19" spans="1:22" ht="15.75" customHeight="1">
      <c r="A19" s="468" t="s">
        <v>348</v>
      </c>
      <c r="B19" s="204" t="s">
        <v>184</v>
      </c>
      <c r="C19" s="527"/>
      <c r="D19" s="205"/>
      <c r="E19" s="706"/>
      <c r="F19" s="205"/>
      <c r="G19" s="206"/>
      <c r="H19" s="214"/>
      <c r="I19" s="500"/>
      <c r="J19" s="553"/>
      <c r="K19" s="552">
        <f t="shared" si="1"/>
        <v>0</v>
      </c>
      <c r="L19" s="213"/>
      <c r="M19" s="211">
        <f t="shared" si="0"/>
        <v>-46136</v>
      </c>
      <c r="N19" s="683">
        <f t="shared" si="2"/>
        <v>7</v>
      </c>
      <c r="O19" s="212"/>
      <c r="P19" s="544"/>
      <c r="Q19" s="561">
        <f t="shared" si="3"/>
        <v>0</v>
      </c>
      <c r="R19" s="58"/>
      <c r="S19" s="58"/>
      <c r="T19" s="58"/>
      <c r="U19" s="58"/>
      <c r="V19" s="58"/>
    </row>
    <row r="20" spans="1:22" ht="15.75" customHeight="1">
      <c r="A20" s="468" t="s">
        <v>348</v>
      </c>
      <c r="B20" s="204" t="s">
        <v>184</v>
      </c>
      <c r="C20" s="529"/>
      <c r="D20" s="507"/>
      <c r="E20" s="706"/>
      <c r="F20" s="507"/>
      <c r="G20" s="206"/>
      <c r="H20" s="214"/>
      <c r="I20" s="501"/>
      <c r="J20" s="553"/>
      <c r="K20" s="552">
        <f t="shared" si="1"/>
        <v>0</v>
      </c>
      <c r="L20" s="213"/>
      <c r="M20" s="211">
        <f t="shared" si="0"/>
        <v>-46136</v>
      </c>
      <c r="N20" s="683">
        <f t="shared" si="2"/>
        <v>7</v>
      </c>
      <c r="O20" s="212"/>
      <c r="P20" s="544"/>
      <c r="Q20" s="561">
        <f t="shared" si="3"/>
        <v>0</v>
      </c>
      <c r="R20" s="58"/>
      <c r="S20" s="58"/>
      <c r="T20" s="58"/>
      <c r="U20" s="58"/>
      <c r="V20" s="58"/>
    </row>
    <row r="21" spans="1:22" ht="15.75" customHeight="1">
      <c r="A21" s="468" t="s">
        <v>348</v>
      </c>
      <c r="B21" s="204" t="s">
        <v>184</v>
      </c>
      <c r="C21" s="529"/>
      <c r="D21" s="507"/>
      <c r="E21" s="706"/>
      <c r="F21" s="507"/>
      <c r="G21" s="206"/>
      <c r="H21" s="214"/>
      <c r="I21" s="501"/>
      <c r="J21" s="553"/>
      <c r="K21" s="552">
        <f t="shared" si="1"/>
        <v>0</v>
      </c>
      <c r="L21" s="213"/>
      <c r="M21" s="211">
        <f t="shared" si="0"/>
        <v>-46136</v>
      </c>
      <c r="N21" s="683">
        <f t="shared" si="2"/>
        <v>7</v>
      </c>
      <c r="O21" s="212"/>
      <c r="P21" s="544"/>
      <c r="Q21" s="561">
        <f t="shared" si="3"/>
        <v>0</v>
      </c>
      <c r="R21" s="58"/>
      <c r="S21" s="58"/>
      <c r="T21" s="58"/>
      <c r="U21" s="58"/>
      <c r="V21" s="58"/>
    </row>
    <row r="22" spans="1:22" ht="15.75" customHeight="1">
      <c r="A22" s="468" t="s">
        <v>348</v>
      </c>
      <c r="B22" s="204" t="s">
        <v>184</v>
      </c>
      <c r="C22" s="530"/>
      <c r="D22" s="188"/>
      <c r="E22" s="706"/>
      <c r="F22" s="188"/>
      <c r="G22" s="206"/>
      <c r="H22" s="214"/>
      <c r="I22" s="501"/>
      <c r="J22" s="553"/>
      <c r="K22" s="552">
        <f t="shared" si="1"/>
        <v>0</v>
      </c>
      <c r="L22" s="213"/>
      <c r="M22" s="211">
        <f t="shared" si="0"/>
        <v>-46136</v>
      </c>
      <c r="N22" s="683">
        <f t="shared" si="2"/>
        <v>7</v>
      </c>
      <c r="O22" s="212"/>
      <c r="P22" s="544"/>
      <c r="Q22" s="561">
        <f t="shared" si="3"/>
        <v>0</v>
      </c>
      <c r="R22" s="58"/>
      <c r="S22" s="58"/>
      <c r="T22" s="58"/>
      <c r="U22" s="58"/>
      <c r="V22" s="58"/>
    </row>
    <row r="23" spans="1:22" ht="15.75" customHeight="1">
      <c r="A23" s="468" t="s">
        <v>348</v>
      </c>
      <c r="B23" s="204" t="s">
        <v>184</v>
      </c>
      <c r="C23" s="527"/>
      <c r="D23" s="205"/>
      <c r="E23" s="706"/>
      <c r="F23" s="205"/>
      <c r="G23" s="206"/>
      <c r="H23" s="214"/>
      <c r="I23" s="500"/>
      <c r="J23" s="553"/>
      <c r="K23" s="552">
        <f t="shared" si="1"/>
        <v>0</v>
      </c>
      <c r="L23" s="213"/>
      <c r="M23" s="211">
        <f t="shared" si="0"/>
        <v>-46136</v>
      </c>
      <c r="N23" s="683">
        <f t="shared" si="2"/>
        <v>7</v>
      </c>
      <c r="O23" s="212"/>
      <c r="P23" s="544"/>
      <c r="Q23" s="561">
        <f t="shared" si="3"/>
        <v>0</v>
      </c>
      <c r="R23" s="58"/>
      <c r="S23" s="58"/>
      <c r="T23" s="58"/>
      <c r="U23" s="58"/>
      <c r="V23" s="58"/>
    </row>
    <row r="24" spans="1:22" ht="15.75" customHeight="1">
      <c r="A24" s="468" t="s">
        <v>348</v>
      </c>
      <c r="B24" s="204" t="s">
        <v>184</v>
      </c>
      <c r="C24" s="527"/>
      <c r="D24" s="205"/>
      <c r="E24" s="706"/>
      <c r="F24" s="205"/>
      <c r="G24" s="206"/>
      <c r="H24" s="214"/>
      <c r="I24" s="501"/>
      <c r="J24" s="553"/>
      <c r="K24" s="552">
        <f t="shared" si="1"/>
        <v>0</v>
      </c>
      <c r="L24" s="213"/>
      <c r="M24" s="211">
        <f t="shared" si="0"/>
        <v>-46136</v>
      </c>
      <c r="N24" s="683">
        <f t="shared" si="2"/>
        <v>7</v>
      </c>
      <c r="O24" s="212"/>
      <c r="P24" s="544"/>
      <c r="Q24" s="561">
        <f t="shared" si="3"/>
        <v>0</v>
      </c>
      <c r="R24" s="58"/>
      <c r="S24" s="58"/>
      <c r="T24" s="58"/>
      <c r="U24" s="58"/>
      <c r="V24" s="58"/>
    </row>
    <row r="25" spans="1:22" ht="15.75" customHeight="1">
      <c r="A25" s="468" t="s">
        <v>348</v>
      </c>
      <c r="B25" s="204" t="s">
        <v>184</v>
      </c>
      <c r="C25" s="527"/>
      <c r="D25" s="267"/>
      <c r="E25" s="706"/>
      <c r="F25" s="205"/>
      <c r="G25" s="206"/>
      <c r="H25" s="214"/>
      <c r="I25" s="501"/>
      <c r="J25" s="553"/>
      <c r="K25" s="552">
        <f t="shared" si="1"/>
        <v>0</v>
      </c>
      <c r="L25" s="213"/>
      <c r="M25" s="211">
        <f t="shared" si="0"/>
        <v>-46136</v>
      </c>
      <c r="N25" s="683">
        <f t="shared" si="2"/>
        <v>7</v>
      </c>
      <c r="O25" s="212"/>
      <c r="P25" s="544"/>
      <c r="Q25" s="561">
        <f t="shared" si="3"/>
        <v>0</v>
      </c>
      <c r="R25" s="58"/>
      <c r="S25" s="58"/>
      <c r="T25" s="58"/>
      <c r="U25" s="58"/>
      <c r="V25" s="58"/>
    </row>
    <row r="26" spans="1:22" ht="15.75" customHeight="1">
      <c r="A26" s="468" t="s">
        <v>348</v>
      </c>
      <c r="B26" s="204" t="s">
        <v>184</v>
      </c>
      <c r="C26" s="527"/>
      <c r="D26" s="205"/>
      <c r="E26" s="706"/>
      <c r="F26" s="205"/>
      <c r="G26" s="206"/>
      <c r="H26" s="214"/>
      <c r="I26" s="501"/>
      <c r="J26" s="553"/>
      <c r="K26" s="552">
        <f t="shared" si="1"/>
        <v>0</v>
      </c>
      <c r="L26" s="213"/>
      <c r="M26" s="211">
        <f t="shared" si="0"/>
        <v>-46136</v>
      </c>
      <c r="N26" s="683">
        <f t="shared" si="2"/>
        <v>7</v>
      </c>
      <c r="O26" s="212"/>
      <c r="P26" s="544"/>
      <c r="Q26" s="561">
        <f t="shared" si="3"/>
        <v>0</v>
      </c>
      <c r="R26" s="58"/>
      <c r="S26" s="58"/>
      <c r="T26" s="58"/>
      <c r="U26" s="58"/>
      <c r="V26" s="58"/>
    </row>
    <row r="27" spans="1:22" ht="15.75" customHeight="1">
      <c r="A27" s="468" t="s">
        <v>348</v>
      </c>
      <c r="B27" s="204" t="s">
        <v>184</v>
      </c>
      <c r="C27" s="527"/>
      <c r="D27" s="205"/>
      <c r="E27" s="706"/>
      <c r="F27" s="205"/>
      <c r="G27" s="206"/>
      <c r="H27" s="214"/>
      <c r="I27" s="501"/>
      <c r="J27" s="553"/>
      <c r="K27" s="552">
        <f t="shared" si="1"/>
        <v>0</v>
      </c>
      <c r="L27" s="213"/>
      <c r="M27" s="211">
        <f t="shared" si="0"/>
        <v>-46136</v>
      </c>
      <c r="N27" s="683">
        <f t="shared" si="2"/>
        <v>7</v>
      </c>
      <c r="O27" s="212"/>
      <c r="P27" s="544"/>
      <c r="Q27" s="561">
        <f t="shared" si="3"/>
        <v>0</v>
      </c>
      <c r="R27" s="58"/>
      <c r="S27" s="58"/>
      <c r="T27" s="58"/>
      <c r="U27" s="58"/>
      <c r="V27" s="58"/>
    </row>
    <row r="28" spans="1:22" ht="15.75" customHeight="1">
      <c r="A28" s="468" t="s">
        <v>348</v>
      </c>
      <c r="B28" s="204" t="s">
        <v>184</v>
      </c>
      <c r="C28" s="527"/>
      <c r="D28" s="267"/>
      <c r="E28" s="706"/>
      <c r="F28" s="205"/>
      <c r="G28" s="206"/>
      <c r="H28" s="214"/>
      <c r="I28" s="501"/>
      <c r="J28" s="553"/>
      <c r="K28" s="552">
        <f t="shared" si="1"/>
        <v>0</v>
      </c>
      <c r="L28" s="213"/>
      <c r="M28" s="211">
        <f t="shared" si="0"/>
        <v>-46136</v>
      </c>
      <c r="N28" s="683">
        <f t="shared" si="2"/>
        <v>7</v>
      </c>
      <c r="O28" s="212"/>
      <c r="P28" s="544"/>
      <c r="Q28" s="561">
        <f t="shared" si="3"/>
        <v>0</v>
      </c>
      <c r="R28" s="58"/>
      <c r="S28" s="58"/>
      <c r="T28" s="58"/>
      <c r="U28" s="58"/>
      <c r="V28" s="58"/>
    </row>
    <row r="29" spans="1:22" ht="15.75" customHeight="1">
      <c r="A29" s="468" t="s">
        <v>348</v>
      </c>
      <c r="B29" s="204" t="s">
        <v>184</v>
      </c>
      <c r="C29" s="527"/>
      <c r="D29" s="205"/>
      <c r="E29" s="706"/>
      <c r="F29" s="205"/>
      <c r="G29" s="206"/>
      <c r="H29" s="214"/>
      <c r="I29" s="500"/>
      <c r="J29" s="553"/>
      <c r="K29" s="552">
        <f t="shared" si="1"/>
        <v>0</v>
      </c>
      <c r="L29" s="217"/>
      <c r="M29" s="211">
        <f t="shared" si="0"/>
        <v>-46136</v>
      </c>
      <c r="N29" s="683">
        <f t="shared" si="2"/>
        <v>7</v>
      </c>
      <c r="O29" s="212"/>
      <c r="P29" s="544"/>
      <c r="Q29" s="561">
        <f t="shared" si="3"/>
        <v>0</v>
      </c>
      <c r="R29" s="58"/>
      <c r="S29" s="58"/>
      <c r="T29" s="58"/>
      <c r="U29" s="58"/>
      <c r="V29" s="58"/>
    </row>
    <row r="30" spans="1:22" ht="15.75" customHeight="1">
      <c r="A30" s="468" t="s">
        <v>348</v>
      </c>
      <c r="B30" s="204" t="s">
        <v>184</v>
      </c>
      <c r="C30" s="527"/>
      <c r="D30" s="205"/>
      <c r="E30" s="706"/>
      <c r="F30" s="205"/>
      <c r="G30" s="206"/>
      <c r="H30" s="214"/>
      <c r="I30" s="500"/>
      <c r="J30" s="553"/>
      <c r="K30" s="552">
        <f t="shared" si="1"/>
        <v>0</v>
      </c>
      <c r="L30" s="217"/>
      <c r="M30" s="211">
        <f t="shared" si="0"/>
        <v>-46136</v>
      </c>
      <c r="N30" s="683">
        <f t="shared" si="2"/>
        <v>7</v>
      </c>
      <c r="O30" s="212"/>
      <c r="P30" s="544"/>
      <c r="Q30" s="561">
        <f t="shared" si="3"/>
        <v>0</v>
      </c>
      <c r="R30" s="58"/>
      <c r="S30" s="58"/>
      <c r="T30" s="58"/>
      <c r="U30" s="58"/>
      <c r="V30" s="58"/>
    </row>
    <row r="31" spans="1:22" ht="15.75" customHeight="1">
      <c r="A31" s="468" t="s">
        <v>348</v>
      </c>
      <c r="B31" s="204" t="s">
        <v>184</v>
      </c>
      <c r="C31" s="527"/>
      <c r="D31" s="267"/>
      <c r="E31" s="706"/>
      <c r="F31" s="205"/>
      <c r="G31" s="206"/>
      <c r="H31" s="214"/>
      <c r="I31" s="500"/>
      <c r="J31" s="553"/>
      <c r="K31" s="552">
        <f t="shared" si="1"/>
        <v>0</v>
      </c>
      <c r="L31" s="217"/>
      <c r="M31" s="211">
        <f t="shared" si="0"/>
        <v>-46136</v>
      </c>
      <c r="N31" s="683">
        <f t="shared" si="2"/>
        <v>7</v>
      </c>
      <c r="O31" s="212"/>
      <c r="P31" s="544"/>
      <c r="Q31" s="561">
        <f t="shared" si="3"/>
        <v>0</v>
      </c>
      <c r="R31" s="58"/>
      <c r="S31" s="58"/>
      <c r="T31" s="58"/>
      <c r="U31" s="58"/>
      <c r="V31" s="58"/>
    </row>
    <row r="32" spans="1:22" ht="15.75" customHeight="1">
      <c r="A32" s="468" t="s">
        <v>348</v>
      </c>
      <c r="B32" s="204" t="s">
        <v>184</v>
      </c>
      <c r="C32" s="527"/>
      <c r="D32" s="267"/>
      <c r="E32" s="706"/>
      <c r="F32" s="205"/>
      <c r="G32" s="206"/>
      <c r="H32" s="214"/>
      <c r="I32" s="500"/>
      <c r="J32" s="553"/>
      <c r="K32" s="552">
        <f t="shared" si="1"/>
        <v>0</v>
      </c>
      <c r="L32" s="217"/>
      <c r="M32" s="211">
        <f t="shared" si="0"/>
        <v>-46136</v>
      </c>
      <c r="N32" s="683">
        <f t="shared" si="2"/>
        <v>7</v>
      </c>
      <c r="O32" s="212"/>
      <c r="P32" s="544"/>
      <c r="Q32" s="561">
        <f t="shared" si="3"/>
        <v>0</v>
      </c>
      <c r="R32" s="58"/>
      <c r="S32" s="58"/>
      <c r="T32" s="58"/>
      <c r="U32" s="58"/>
      <c r="V32" s="58"/>
    </row>
    <row r="33" spans="1:22" ht="15.75" customHeight="1">
      <c r="A33" s="468" t="s">
        <v>348</v>
      </c>
      <c r="B33" s="204" t="s">
        <v>184</v>
      </c>
      <c r="C33" s="527"/>
      <c r="D33" s="205"/>
      <c r="E33" s="706"/>
      <c r="F33" s="205"/>
      <c r="G33" s="206"/>
      <c r="H33" s="207"/>
      <c r="I33" s="502"/>
      <c r="J33" s="553"/>
      <c r="K33" s="552">
        <f t="shared" si="1"/>
        <v>0</v>
      </c>
      <c r="L33" s="210"/>
      <c r="M33" s="211">
        <f t="shared" si="0"/>
        <v>-46136</v>
      </c>
      <c r="N33" s="683">
        <f t="shared" si="2"/>
        <v>7</v>
      </c>
      <c r="O33" s="212"/>
      <c r="P33" s="58"/>
      <c r="Q33" s="561">
        <f t="shared" si="3"/>
        <v>0</v>
      </c>
      <c r="R33" s="58"/>
      <c r="S33" s="58"/>
      <c r="T33" s="58"/>
      <c r="U33" s="58"/>
      <c r="V33" s="58"/>
    </row>
    <row r="34" spans="1:22" ht="15.75" customHeight="1">
      <c r="A34" s="468" t="s">
        <v>348</v>
      </c>
      <c r="B34" s="204" t="s">
        <v>184</v>
      </c>
      <c r="C34" s="527"/>
      <c r="D34" s="205"/>
      <c r="E34" s="706"/>
      <c r="F34" s="205"/>
      <c r="G34" s="206"/>
      <c r="H34" s="207"/>
      <c r="I34" s="502"/>
      <c r="J34" s="553"/>
      <c r="K34" s="552">
        <f t="shared" si="1"/>
        <v>0</v>
      </c>
      <c r="L34" s="210"/>
      <c r="M34" s="211">
        <f t="shared" si="0"/>
        <v>-46136</v>
      </c>
      <c r="N34" s="683">
        <f t="shared" si="2"/>
        <v>7</v>
      </c>
      <c r="O34" s="212"/>
      <c r="P34" s="544"/>
      <c r="Q34" s="561">
        <f t="shared" si="3"/>
        <v>0</v>
      </c>
      <c r="R34" s="58"/>
      <c r="S34" s="58"/>
      <c r="T34" s="58"/>
      <c r="U34" s="58"/>
      <c r="V34" s="58"/>
    </row>
    <row r="35" spans="1:22" ht="15.75" customHeight="1">
      <c r="A35" s="468" t="s">
        <v>348</v>
      </c>
      <c r="B35" s="204" t="s">
        <v>184</v>
      </c>
      <c r="C35" s="527"/>
      <c r="D35" s="205"/>
      <c r="E35" s="706"/>
      <c r="F35" s="205"/>
      <c r="G35" s="206"/>
      <c r="H35" s="207"/>
      <c r="I35" s="502"/>
      <c r="J35" s="553"/>
      <c r="K35" s="552">
        <f t="shared" si="1"/>
        <v>0</v>
      </c>
      <c r="L35" s="210"/>
      <c r="M35" s="211">
        <f t="shared" si="0"/>
        <v>-46136</v>
      </c>
      <c r="N35" s="683">
        <f t="shared" si="2"/>
        <v>7</v>
      </c>
      <c r="O35" s="212"/>
      <c r="P35" s="544"/>
      <c r="Q35" s="561">
        <f t="shared" si="3"/>
        <v>0</v>
      </c>
      <c r="R35" s="58"/>
      <c r="S35" s="58"/>
      <c r="T35" s="58"/>
      <c r="U35" s="58"/>
      <c r="V35" s="58"/>
    </row>
    <row r="36" spans="1:22" ht="15.75" customHeight="1">
      <c r="A36" s="468" t="s">
        <v>348</v>
      </c>
      <c r="B36" s="204" t="s">
        <v>184</v>
      </c>
      <c r="C36" s="527"/>
      <c r="D36" s="267"/>
      <c r="E36" s="706"/>
      <c r="F36" s="267"/>
      <c r="G36" s="206"/>
      <c r="H36" s="207"/>
      <c r="I36" s="502"/>
      <c r="J36" s="553"/>
      <c r="K36" s="552">
        <f t="shared" si="1"/>
        <v>0</v>
      </c>
      <c r="L36" s="210"/>
      <c r="M36" s="211">
        <f t="shared" si="0"/>
        <v>-46136</v>
      </c>
      <c r="N36" s="683">
        <f t="shared" si="2"/>
        <v>7</v>
      </c>
      <c r="O36" s="212"/>
      <c r="P36" s="544"/>
      <c r="Q36" s="561">
        <f t="shared" si="3"/>
        <v>0</v>
      </c>
      <c r="R36" s="58"/>
      <c r="S36" s="58"/>
      <c r="T36" s="58"/>
      <c r="U36" s="58"/>
      <c r="V36" s="58"/>
    </row>
    <row r="37" spans="1:22" ht="15.75" customHeight="1">
      <c r="A37" s="468" t="s">
        <v>348</v>
      </c>
      <c r="B37" s="204" t="s">
        <v>184</v>
      </c>
      <c r="C37" s="527"/>
      <c r="D37" s="267"/>
      <c r="E37" s="706"/>
      <c r="F37" s="267"/>
      <c r="G37" s="206"/>
      <c r="H37" s="207"/>
      <c r="I37" s="502"/>
      <c r="J37" s="553"/>
      <c r="K37" s="552">
        <f t="shared" si="1"/>
        <v>0</v>
      </c>
      <c r="L37" s="210"/>
      <c r="M37" s="211">
        <f t="shared" si="0"/>
        <v>-46136</v>
      </c>
      <c r="N37" s="683">
        <f t="shared" si="2"/>
        <v>7</v>
      </c>
      <c r="O37" s="212"/>
      <c r="P37" s="544"/>
      <c r="Q37" s="561">
        <f t="shared" si="3"/>
        <v>0</v>
      </c>
      <c r="R37" s="58"/>
      <c r="S37" s="58"/>
      <c r="T37" s="58"/>
      <c r="U37" s="58"/>
      <c r="V37" s="58"/>
    </row>
    <row r="38" spans="1:22" ht="15.75" customHeight="1">
      <c r="A38" s="468" t="s">
        <v>348</v>
      </c>
      <c r="B38" s="204" t="s">
        <v>184</v>
      </c>
      <c r="C38" s="527"/>
      <c r="D38" s="267"/>
      <c r="E38" s="706"/>
      <c r="F38" s="267"/>
      <c r="G38" s="206"/>
      <c r="H38" s="207"/>
      <c r="I38" s="502"/>
      <c r="J38" s="553"/>
      <c r="K38" s="552">
        <f t="shared" si="1"/>
        <v>0</v>
      </c>
      <c r="L38" s="210"/>
      <c r="M38" s="211">
        <f t="shared" si="0"/>
        <v>-46136</v>
      </c>
      <c r="N38" s="683">
        <f t="shared" si="2"/>
        <v>7</v>
      </c>
      <c r="O38" s="212"/>
      <c r="P38" s="544"/>
      <c r="Q38" s="561">
        <f t="shared" si="3"/>
        <v>0</v>
      </c>
      <c r="R38" s="58"/>
      <c r="S38" s="58"/>
      <c r="T38" s="58"/>
      <c r="U38" s="58"/>
      <c r="V38" s="58"/>
    </row>
    <row r="39" spans="1:22" ht="15.75" customHeight="1">
      <c r="A39" s="468" t="s">
        <v>348</v>
      </c>
      <c r="B39" s="204" t="s">
        <v>184</v>
      </c>
      <c r="C39" s="527"/>
      <c r="D39" s="267"/>
      <c r="E39" s="706"/>
      <c r="F39" s="267"/>
      <c r="G39" s="206"/>
      <c r="H39" s="207"/>
      <c r="I39" s="501"/>
      <c r="J39" s="553"/>
      <c r="K39" s="552">
        <f t="shared" si="1"/>
        <v>0</v>
      </c>
      <c r="L39" s="213"/>
      <c r="M39" s="211">
        <f t="shared" si="0"/>
        <v>-46136</v>
      </c>
      <c r="N39" s="683">
        <f t="shared" si="2"/>
        <v>7</v>
      </c>
      <c r="O39" s="212"/>
      <c r="P39" s="544"/>
      <c r="Q39" s="561">
        <f t="shared" si="3"/>
        <v>0</v>
      </c>
      <c r="R39" s="58"/>
      <c r="S39" s="58"/>
      <c r="T39" s="58"/>
      <c r="U39" s="58"/>
      <c r="V39" s="58"/>
    </row>
    <row r="40" spans="1:22" ht="15.75" customHeight="1">
      <c r="A40" s="468" t="s">
        <v>348</v>
      </c>
      <c r="B40" s="204" t="s">
        <v>184</v>
      </c>
      <c r="C40" s="527"/>
      <c r="D40" s="267"/>
      <c r="E40" s="706"/>
      <c r="F40" s="267"/>
      <c r="G40" s="206"/>
      <c r="H40" s="207"/>
      <c r="I40" s="501"/>
      <c r="J40" s="553"/>
      <c r="K40" s="552">
        <f t="shared" si="1"/>
        <v>0</v>
      </c>
      <c r="L40" s="213"/>
      <c r="M40" s="211">
        <f t="shared" si="0"/>
        <v>-46136</v>
      </c>
      <c r="N40" s="683">
        <f t="shared" si="2"/>
        <v>7</v>
      </c>
      <c r="O40" s="212"/>
      <c r="P40" s="544"/>
      <c r="Q40" s="561">
        <f t="shared" si="3"/>
        <v>0</v>
      </c>
      <c r="R40" s="58"/>
      <c r="S40" s="58"/>
      <c r="T40" s="58"/>
      <c r="U40" s="58"/>
      <c r="V40" s="58"/>
    </row>
    <row r="41" spans="1:22" ht="15.75" customHeight="1">
      <c r="A41" s="468" t="s">
        <v>348</v>
      </c>
      <c r="B41" s="204" t="s">
        <v>184</v>
      </c>
      <c r="C41" s="527"/>
      <c r="D41" s="267"/>
      <c r="E41" s="706"/>
      <c r="F41" s="267"/>
      <c r="G41" s="206"/>
      <c r="H41" s="207"/>
      <c r="I41" s="501"/>
      <c r="J41" s="553"/>
      <c r="K41" s="552">
        <f t="shared" si="1"/>
        <v>0</v>
      </c>
      <c r="L41" s="213"/>
      <c r="M41" s="211">
        <f t="shared" si="0"/>
        <v>-46136</v>
      </c>
      <c r="N41" s="683">
        <f t="shared" si="2"/>
        <v>7</v>
      </c>
      <c r="O41" s="212"/>
      <c r="P41" s="544"/>
      <c r="Q41" s="561">
        <f t="shared" si="3"/>
        <v>0</v>
      </c>
      <c r="R41" s="58"/>
      <c r="S41" s="58"/>
      <c r="T41" s="58"/>
      <c r="U41" s="58"/>
      <c r="V41" s="58"/>
    </row>
    <row r="42" spans="1:22" ht="15.75" customHeight="1">
      <c r="A42" s="468" t="s">
        <v>348</v>
      </c>
      <c r="B42" s="204" t="s">
        <v>184</v>
      </c>
      <c r="C42" s="527"/>
      <c r="D42" s="267"/>
      <c r="E42" s="706"/>
      <c r="F42" s="267"/>
      <c r="G42" s="206"/>
      <c r="H42" s="207"/>
      <c r="I42" s="501"/>
      <c r="J42" s="553"/>
      <c r="K42" s="552">
        <f t="shared" si="1"/>
        <v>0</v>
      </c>
      <c r="L42" s="213"/>
      <c r="M42" s="211">
        <f t="shared" si="0"/>
        <v>-46136</v>
      </c>
      <c r="N42" s="683">
        <f t="shared" si="2"/>
        <v>7</v>
      </c>
      <c r="O42" s="212"/>
      <c r="P42" s="544"/>
      <c r="Q42" s="561">
        <f t="shared" si="3"/>
        <v>0</v>
      </c>
      <c r="R42" s="58"/>
      <c r="S42" s="58"/>
      <c r="T42" s="58"/>
      <c r="U42" s="58"/>
      <c r="V42" s="58"/>
    </row>
    <row r="43" spans="1:22" ht="15.75" customHeight="1">
      <c r="A43" s="468" t="s">
        <v>348</v>
      </c>
      <c r="B43" s="204" t="s">
        <v>184</v>
      </c>
      <c r="C43" s="527"/>
      <c r="D43" s="267"/>
      <c r="E43" s="706"/>
      <c r="F43" s="267"/>
      <c r="G43" s="206"/>
      <c r="H43" s="207"/>
      <c r="I43" s="501"/>
      <c r="J43" s="553"/>
      <c r="K43" s="552">
        <f t="shared" si="1"/>
        <v>0</v>
      </c>
      <c r="L43" s="213"/>
      <c r="M43" s="211">
        <f t="shared" si="0"/>
        <v>-46136</v>
      </c>
      <c r="N43" s="683">
        <f t="shared" si="2"/>
        <v>7</v>
      </c>
      <c r="O43" s="212"/>
      <c r="P43" s="544"/>
      <c r="Q43" s="561">
        <f t="shared" si="3"/>
        <v>0</v>
      </c>
      <c r="R43" s="58"/>
      <c r="S43" s="58"/>
      <c r="T43" s="58"/>
      <c r="U43" s="58"/>
      <c r="V43" s="58"/>
    </row>
    <row r="44" spans="1:22" ht="15.75" customHeight="1">
      <c r="A44" s="468" t="s">
        <v>348</v>
      </c>
      <c r="B44" s="204" t="s">
        <v>184</v>
      </c>
      <c r="C44" s="527"/>
      <c r="D44" s="267"/>
      <c r="E44" s="706"/>
      <c r="F44" s="267"/>
      <c r="G44" s="206"/>
      <c r="H44" s="207"/>
      <c r="I44" s="501"/>
      <c r="J44" s="553"/>
      <c r="K44" s="552">
        <f t="shared" si="1"/>
        <v>0</v>
      </c>
      <c r="L44" s="213"/>
      <c r="M44" s="211">
        <f t="shared" si="0"/>
        <v>-46136</v>
      </c>
      <c r="N44" s="683">
        <f t="shared" si="2"/>
        <v>7</v>
      </c>
      <c r="O44" s="212"/>
      <c r="P44" s="544"/>
      <c r="Q44" s="561">
        <f t="shared" si="3"/>
        <v>0</v>
      </c>
      <c r="R44" s="58"/>
      <c r="S44" s="58"/>
      <c r="T44" s="58"/>
      <c r="U44" s="58"/>
      <c r="V44" s="58"/>
    </row>
    <row r="45" spans="1:22" ht="15.75" customHeight="1">
      <c r="A45" s="468" t="s">
        <v>348</v>
      </c>
      <c r="B45" s="204" t="s">
        <v>184</v>
      </c>
      <c r="C45" s="527"/>
      <c r="D45" s="205"/>
      <c r="E45" s="706"/>
      <c r="F45" s="205"/>
      <c r="G45" s="206"/>
      <c r="H45" s="207"/>
      <c r="I45" s="501"/>
      <c r="J45" s="553"/>
      <c r="K45" s="552">
        <f t="shared" si="1"/>
        <v>0</v>
      </c>
      <c r="L45" s="213"/>
      <c r="M45" s="211">
        <f t="shared" si="0"/>
        <v>-46136</v>
      </c>
      <c r="N45" s="683">
        <f t="shared" si="2"/>
        <v>7</v>
      </c>
      <c r="O45" s="212"/>
      <c r="P45" s="544"/>
      <c r="Q45" s="561">
        <f t="shared" si="3"/>
        <v>0</v>
      </c>
      <c r="R45" s="58"/>
      <c r="S45" s="58"/>
      <c r="T45" s="58"/>
      <c r="U45" s="58"/>
      <c r="V45" s="58"/>
    </row>
    <row r="46" spans="1:22" ht="15.75" customHeight="1">
      <c r="A46" s="468" t="s">
        <v>348</v>
      </c>
      <c r="B46" s="204" t="s">
        <v>184</v>
      </c>
      <c r="C46" s="527"/>
      <c r="D46" s="205"/>
      <c r="E46" s="706"/>
      <c r="F46" s="205"/>
      <c r="G46" s="206"/>
      <c r="H46" s="207"/>
      <c r="I46" s="501"/>
      <c r="J46" s="553"/>
      <c r="K46" s="552">
        <f t="shared" si="1"/>
        <v>0</v>
      </c>
      <c r="L46" s="213"/>
      <c r="M46" s="211">
        <f t="shared" si="0"/>
        <v>-46136</v>
      </c>
      <c r="N46" s="683">
        <f t="shared" si="2"/>
        <v>7</v>
      </c>
      <c r="O46" s="212"/>
      <c r="P46" s="544"/>
      <c r="Q46" s="561">
        <f t="shared" si="3"/>
        <v>0</v>
      </c>
      <c r="R46" s="58"/>
      <c r="S46" s="58"/>
      <c r="T46" s="58"/>
      <c r="U46" s="58"/>
      <c r="V46" s="58"/>
    </row>
    <row r="47" spans="1:22" ht="15.75" customHeight="1">
      <c r="A47" s="468" t="s">
        <v>348</v>
      </c>
      <c r="B47" s="204" t="s">
        <v>184</v>
      </c>
      <c r="C47" s="527"/>
      <c r="D47" s="205"/>
      <c r="E47" s="706"/>
      <c r="F47" s="205"/>
      <c r="G47" s="206"/>
      <c r="H47" s="207"/>
      <c r="I47" s="501"/>
      <c r="J47" s="553"/>
      <c r="K47" s="552">
        <f t="shared" si="1"/>
        <v>0</v>
      </c>
      <c r="L47" s="213"/>
      <c r="M47" s="211">
        <f t="shared" si="0"/>
        <v>-46136</v>
      </c>
      <c r="N47" s="683">
        <f t="shared" si="2"/>
        <v>7</v>
      </c>
      <c r="O47" s="212"/>
      <c r="P47" s="544"/>
      <c r="Q47" s="561">
        <f t="shared" si="3"/>
        <v>0</v>
      </c>
      <c r="R47" s="58"/>
      <c r="S47" s="58"/>
      <c r="T47" s="58"/>
      <c r="U47" s="58"/>
      <c r="V47" s="58"/>
    </row>
    <row r="48" spans="1:22" ht="15.75" customHeight="1">
      <c r="A48" s="468" t="s">
        <v>348</v>
      </c>
      <c r="B48" s="204" t="s">
        <v>184</v>
      </c>
      <c r="C48" s="527"/>
      <c r="D48" s="205"/>
      <c r="E48" s="706"/>
      <c r="F48" s="205"/>
      <c r="G48" s="206"/>
      <c r="H48" s="207"/>
      <c r="I48" s="501"/>
      <c r="J48" s="553"/>
      <c r="K48" s="552">
        <f t="shared" si="1"/>
        <v>0</v>
      </c>
      <c r="L48" s="213"/>
      <c r="M48" s="211">
        <f t="shared" si="0"/>
        <v>-46136</v>
      </c>
      <c r="N48" s="683">
        <f t="shared" si="2"/>
        <v>7</v>
      </c>
      <c r="O48" s="212"/>
      <c r="P48" s="544"/>
      <c r="Q48" s="561">
        <f t="shared" si="3"/>
        <v>0</v>
      </c>
      <c r="R48" s="58"/>
      <c r="S48" s="58"/>
      <c r="T48" s="58"/>
      <c r="U48" s="58"/>
      <c r="V48" s="58"/>
    </row>
    <row r="49" spans="1:22" ht="15.75" customHeight="1">
      <c r="A49" s="468" t="s">
        <v>348</v>
      </c>
      <c r="B49" s="204" t="s">
        <v>184</v>
      </c>
      <c r="C49" s="527"/>
      <c r="D49" s="205"/>
      <c r="E49" s="706"/>
      <c r="F49" s="205"/>
      <c r="G49" s="206"/>
      <c r="H49" s="207"/>
      <c r="I49" s="501"/>
      <c r="J49" s="553"/>
      <c r="K49" s="552">
        <f t="shared" si="1"/>
        <v>0</v>
      </c>
      <c r="L49" s="213"/>
      <c r="M49" s="211">
        <f t="shared" si="0"/>
        <v>-46136</v>
      </c>
      <c r="N49" s="683">
        <f t="shared" si="2"/>
        <v>7</v>
      </c>
      <c r="O49" s="212"/>
      <c r="P49" s="544"/>
      <c r="Q49" s="561">
        <f t="shared" si="3"/>
        <v>0</v>
      </c>
      <c r="R49" s="58"/>
      <c r="S49" s="58"/>
      <c r="T49" s="58"/>
      <c r="U49" s="58"/>
      <c r="V49" s="58"/>
    </row>
    <row r="50" spans="1:22" ht="15.75" customHeight="1">
      <c r="A50" s="468" t="s">
        <v>348</v>
      </c>
      <c r="B50" s="204" t="s">
        <v>184</v>
      </c>
      <c r="C50" s="527"/>
      <c r="D50" s="205"/>
      <c r="E50" s="706"/>
      <c r="F50" s="205"/>
      <c r="G50" s="206"/>
      <c r="H50" s="207"/>
      <c r="I50" s="501"/>
      <c r="J50" s="553"/>
      <c r="K50" s="552">
        <f t="shared" si="1"/>
        <v>0</v>
      </c>
      <c r="L50" s="213"/>
      <c r="M50" s="211">
        <f t="shared" si="0"/>
        <v>-46136</v>
      </c>
      <c r="N50" s="683">
        <f t="shared" si="2"/>
        <v>7</v>
      </c>
      <c r="O50" s="212"/>
      <c r="P50" s="544"/>
      <c r="Q50" s="561">
        <f t="shared" si="3"/>
        <v>0</v>
      </c>
      <c r="R50" s="58"/>
      <c r="S50" s="58"/>
      <c r="T50" s="58"/>
      <c r="U50" s="58"/>
      <c r="V50" s="58"/>
    </row>
    <row r="51" spans="1:22" ht="15.75" customHeight="1">
      <c r="A51" s="468" t="s">
        <v>348</v>
      </c>
      <c r="B51" s="204" t="s">
        <v>184</v>
      </c>
      <c r="C51" s="527"/>
      <c r="D51" s="205"/>
      <c r="E51" s="706"/>
      <c r="F51" s="205"/>
      <c r="G51" s="206"/>
      <c r="H51" s="207"/>
      <c r="I51" s="501"/>
      <c r="J51" s="553"/>
      <c r="K51" s="552">
        <f t="shared" si="1"/>
        <v>0</v>
      </c>
      <c r="L51" s="213"/>
      <c r="M51" s="211">
        <f t="shared" si="0"/>
        <v>-46136</v>
      </c>
      <c r="N51" s="683">
        <f t="shared" si="2"/>
        <v>7</v>
      </c>
      <c r="O51" s="212"/>
      <c r="P51" s="544"/>
      <c r="Q51" s="561">
        <f t="shared" si="3"/>
        <v>0</v>
      </c>
      <c r="R51" s="58"/>
      <c r="S51" s="58"/>
      <c r="T51" s="58"/>
      <c r="U51" s="58"/>
      <c r="V51" s="58"/>
    </row>
    <row r="52" spans="1:22" ht="15.75" customHeight="1">
      <c r="A52" s="468" t="s">
        <v>348</v>
      </c>
      <c r="B52" s="204" t="s">
        <v>184</v>
      </c>
      <c r="C52" s="527"/>
      <c r="D52" s="205"/>
      <c r="E52" s="706"/>
      <c r="F52" s="205"/>
      <c r="G52" s="206"/>
      <c r="H52" s="207"/>
      <c r="I52" s="501"/>
      <c r="J52" s="553"/>
      <c r="K52" s="552">
        <f t="shared" si="1"/>
        <v>0</v>
      </c>
      <c r="L52" s="213"/>
      <c r="M52" s="211">
        <f t="shared" si="0"/>
        <v>-46136</v>
      </c>
      <c r="N52" s="683">
        <f t="shared" si="2"/>
        <v>7</v>
      </c>
      <c r="O52" s="212"/>
      <c r="P52" s="544"/>
      <c r="Q52" s="561">
        <f t="shared" si="3"/>
        <v>0</v>
      </c>
      <c r="R52" s="58"/>
      <c r="S52" s="58"/>
      <c r="T52" s="58"/>
      <c r="U52" s="58"/>
      <c r="V52" s="58"/>
    </row>
    <row r="53" spans="1:22" ht="15.75" customHeight="1">
      <c r="A53" s="468" t="s">
        <v>348</v>
      </c>
      <c r="B53" s="204" t="s">
        <v>184</v>
      </c>
      <c r="C53" s="527"/>
      <c r="D53" s="205"/>
      <c r="E53" s="706"/>
      <c r="F53" s="205"/>
      <c r="G53" s="206"/>
      <c r="H53" s="214"/>
      <c r="I53" s="501"/>
      <c r="J53" s="553"/>
      <c r="K53" s="552">
        <f t="shared" si="1"/>
        <v>0</v>
      </c>
      <c r="L53" s="213"/>
      <c r="M53" s="211">
        <f t="shared" si="0"/>
        <v>-46136</v>
      </c>
      <c r="N53" s="683">
        <f t="shared" si="2"/>
        <v>7</v>
      </c>
      <c r="O53" s="212"/>
      <c r="P53" s="544"/>
      <c r="Q53" s="561">
        <f t="shared" si="3"/>
        <v>0</v>
      </c>
      <c r="R53" s="58"/>
      <c r="S53" s="58"/>
      <c r="T53" s="58"/>
      <c r="U53" s="58"/>
      <c r="V53" s="58"/>
    </row>
    <row r="54" spans="1:22" ht="15.75" customHeight="1">
      <c r="A54" s="468" t="s">
        <v>348</v>
      </c>
      <c r="B54" s="204" t="s">
        <v>184</v>
      </c>
      <c r="C54" s="527"/>
      <c r="D54" s="205"/>
      <c r="E54" s="706"/>
      <c r="F54" s="205"/>
      <c r="G54" s="206"/>
      <c r="H54" s="207"/>
      <c r="I54" s="501"/>
      <c r="J54" s="553"/>
      <c r="K54" s="552">
        <f t="shared" si="1"/>
        <v>0</v>
      </c>
      <c r="L54" s="213"/>
      <c r="M54" s="211">
        <f t="shared" si="0"/>
        <v>-46136</v>
      </c>
      <c r="N54" s="683">
        <f t="shared" si="2"/>
        <v>7</v>
      </c>
      <c r="O54" s="212"/>
      <c r="P54" s="544"/>
      <c r="Q54" s="561">
        <f t="shared" si="3"/>
        <v>0</v>
      </c>
      <c r="R54" s="58"/>
      <c r="S54" s="58"/>
      <c r="T54" s="58"/>
      <c r="U54" s="58"/>
      <c r="V54" s="58"/>
    </row>
    <row r="55" spans="1:22" ht="15.75" customHeight="1">
      <c r="A55" s="468" t="s">
        <v>348</v>
      </c>
      <c r="B55" s="204" t="s">
        <v>184</v>
      </c>
      <c r="C55" s="527"/>
      <c r="D55" s="205"/>
      <c r="E55" s="706"/>
      <c r="F55" s="205"/>
      <c r="G55" s="206"/>
      <c r="H55" s="207"/>
      <c r="I55" s="500"/>
      <c r="J55" s="553"/>
      <c r="K55" s="552">
        <f t="shared" si="1"/>
        <v>0</v>
      </c>
      <c r="L55" s="213"/>
      <c r="M55" s="211">
        <f t="shared" si="0"/>
        <v>-46136</v>
      </c>
      <c r="N55" s="683">
        <f t="shared" si="2"/>
        <v>7</v>
      </c>
      <c r="O55" s="212"/>
      <c r="P55" s="544"/>
      <c r="Q55" s="561">
        <f t="shared" si="3"/>
        <v>0</v>
      </c>
      <c r="R55" s="58"/>
      <c r="S55" s="58"/>
      <c r="T55" s="58"/>
      <c r="U55" s="58"/>
      <c r="V55" s="58"/>
    </row>
    <row r="56" spans="1:22" ht="15.75" customHeight="1">
      <c r="A56" s="468" t="s">
        <v>348</v>
      </c>
      <c r="B56" s="204" t="s">
        <v>184</v>
      </c>
      <c r="C56" s="527"/>
      <c r="D56" s="205"/>
      <c r="E56" s="706"/>
      <c r="F56" s="205"/>
      <c r="G56" s="206"/>
      <c r="H56" s="214"/>
      <c r="I56" s="500"/>
      <c r="J56" s="553"/>
      <c r="K56" s="552">
        <f t="shared" si="1"/>
        <v>0</v>
      </c>
      <c r="L56" s="213"/>
      <c r="M56" s="211">
        <f t="shared" si="0"/>
        <v>-46136</v>
      </c>
      <c r="N56" s="683">
        <f t="shared" si="2"/>
        <v>7</v>
      </c>
      <c r="O56" s="212"/>
      <c r="P56" s="544"/>
      <c r="Q56" s="561">
        <f t="shared" si="3"/>
        <v>0</v>
      </c>
      <c r="R56" s="58"/>
      <c r="S56" s="58"/>
      <c r="T56" s="58"/>
      <c r="U56" s="58"/>
      <c r="V56" s="58"/>
    </row>
    <row r="57" spans="1:22" ht="15.75" customHeight="1">
      <c r="A57" s="468" t="s">
        <v>348</v>
      </c>
      <c r="B57" s="204" t="s">
        <v>184</v>
      </c>
      <c r="C57" s="527"/>
      <c r="D57" s="205"/>
      <c r="E57" s="706"/>
      <c r="F57" s="205"/>
      <c r="G57" s="206"/>
      <c r="H57" s="207"/>
      <c r="I57" s="501"/>
      <c r="J57" s="553"/>
      <c r="K57" s="552">
        <f t="shared" si="1"/>
        <v>0</v>
      </c>
      <c r="L57" s="213"/>
      <c r="M57" s="211">
        <f t="shared" si="0"/>
        <v>-46136</v>
      </c>
      <c r="N57" s="683">
        <f t="shared" si="2"/>
        <v>7</v>
      </c>
      <c r="O57" s="212"/>
      <c r="P57" s="58"/>
      <c r="Q57" s="561">
        <f t="shared" si="3"/>
        <v>0</v>
      </c>
      <c r="R57" s="58"/>
      <c r="S57" s="58"/>
      <c r="T57" s="58"/>
      <c r="U57" s="58"/>
      <c r="V57" s="58"/>
    </row>
    <row r="58" spans="1:22" ht="15.75" customHeight="1">
      <c r="A58" s="468" t="s">
        <v>348</v>
      </c>
      <c r="B58" s="204" t="s">
        <v>184</v>
      </c>
      <c r="C58" s="527"/>
      <c r="D58" s="267"/>
      <c r="E58" s="706"/>
      <c r="F58" s="267"/>
      <c r="G58" s="206"/>
      <c r="H58" s="207"/>
      <c r="I58" s="501"/>
      <c r="J58" s="553"/>
      <c r="K58" s="552">
        <f t="shared" si="1"/>
        <v>0</v>
      </c>
      <c r="L58" s="213"/>
      <c r="M58" s="211">
        <f t="shared" si="0"/>
        <v>-46136</v>
      </c>
      <c r="N58" s="683">
        <f t="shared" si="2"/>
        <v>7</v>
      </c>
      <c r="O58" s="212"/>
      <c r="P58" s="544"/>
      <c r="Q58" s="561">
        <f t="shared" si="3"/>
        <v>0</v>
      </c>
      <c r="R58" s="58"/>
      <c r="S58" s="58"/>
      <c r="T58" s="58"/>
      <c r="U58" s="58"/>
      <c r="V58" s="58"/>
    </row>
    <row r="59" spans="1:22" ht="15.75" customHeight="1">
      <c r="A59" s="468" t="s">
        <v>348</v>
      </c>
      <c r="B59" s="204" t="s">
        <v>184</v>
      </c>
      <c r="C59" s="527"/>
      <c r="D59" s="205"/>
      <c r="E59" s="706"/>
      <c r="F59" s="205"/>
      <c r="G59" s="206"/>
      <c r="H59" s="207"/>
      <c r="I59" s="501"/>
      <c r="J59" s="553"/>
      <c r="K59" s="552">
        <f t="shared" si="1"/>
        <v>0</v>
      </c>
      <c r="L59" s="213"/>
      <c r="M59" s="211">
        <f t="shared" si="0"/>
        <v>-46136</v>
      </c>
      <c r="N59" s="683">
        <f t="shared" si="2"/>
        <v>7</v>
      </c>
      <c r="O59" s="212"/>
      <c r="P59" s="544"/>
      <c r="Q59" s="561">
        <f t="shared" si="3"/>
        <v>0</v>
      </c>
      <c r="R59" s="58"/>
      <c r="S59" s="58"/>
      <c r="T59" s="58"/>
      <c r="U59" s="58"/>
      <c r="V59" s="58"/>
    </row>
    <row r="60" spans="1:22" ht="15.75" customHeight="1">
      <c r="A60" s="468" t="s">
        <v>348</v>
      </c>
      <c r="B60" s="204" t="s">
        <v>184</v>
      </c>
      <c r="C60" s="527"/>
      <c r="D60" s="205"/>
      <c r="E60" s="706"/>
      <c r="F60" s="205"/>
      <c r="G60" s="206"/>
      <c r="H60" s="207"/>
      <c r="I60" s="501"/>
      <c r="J60" s="553"/>
      <c r="K60" s="552">
        <f t="shared" si="1"/>
        <v>0</v>
      </c>
      <c r="L60" s="213"/>
      <c r="M60" s="211">
        <f t="shared" si="0"/>
        <v>-46136</v>
      </c>
      <c r="N60" s="683">
        <f t="shared" si="2"/>
        <v>7</v>
      </c>
      <c r="O60" s="212"/>
      <c r="P60" s="544"/>
      <c r="Q60" s="561">
        <f t="shared" si="3"/>
        <v>0</v>
      </c>
      <c r="R60" s="58"/>
      <c r="S60" s="58"/>
      <c r="T60" s="58"/>
      <c r="U60" s="58"/>
      <c r="V60" s="58"/>
    </row>
    <row r="61" spans="1:22" ht="15.75" customHeight="1">
      <c r="A61" s="468" t="s">
        <v>348</v>
      </c>
      <c r="B61" s="204" t="s">
        <v>184</v>
      </c>
      <c r="C61" s="527"/>
      <c r="D61" s="205"/>
      <c r="E61" s="706"/>
      <c r="F61" s="205"/>
      <c r="G61" s="206"/>
      <c r="H61" s="207"/>
      <c r="I61" s="503"/>
      <c r="J61" s="553"/>
      <c r="K61" s="552">
        <f t="shared" si="1"/>
        <v>0</v>
      </c>
      <c r="L61" s="213"/>
      <c r="M61" s="211">
        <f t="shared" si="0"/>
        <v>-46136</v>
      </c>
      <c r="N61" s="683">
        <f t="shared" si="2"/>
        <v>7</v>
      </c>
      <c r="O61" s="212"/>
      <c r="P61" s="544"/>
      <c r="Q61" s="561">
        <f t="shared" si="3"/>
        <v>0</v>
      </c>
      <c r="R61" s="58"/>
      <c r="S61" s="58"/>
      <c r="T61" s="58"/>
      <c r="U61" s="58"/>
      <c r="V61" s="58"/>
    </row>
    <row r="62" spans="1:22" ht="15.75" customHeight="1">
      <c r="A62" s="468" t="s">
        <v>348</v>
      </c>
      <c r="B62" s="204" t="s">
        <v>184</v>
      </c>
      <c r="C62" s="527"/>
      <c r="D62" s="205"/>
      <c r="E62" s="706"/>
      <c r="F62" s="205"/>
      <c r="G62" s="206"/>
      <c r="H62" s="207"/>
      <c r="I62" s="501"/>
      <c r="J62" s="553"/>
      <c r="K62" s="552">
        <f t="shared" si="1"/>
        <v>0</v>
      </c>
      <c r="L62" s="213"/>
      <c r="M62" s="211">
        <f t="shared" si="0"/>
        <v>-46136</v>
      </c>
      <c r="N62" s="683">
        <f t="shared" si="2"/>
        <v>7</v>
      </c>
      <c r="O62" s="212"/>
      <c r="P62" s="544"/>
      <c r="Q62" s="561">
        <f t="shared" si="3"/>
        <v>0</v>
      </c>
      <c r="R62" s="58"/>
      <c r="S62" s="58"/>
      <c r="T62" s="58"/>
      <c r="U62" s="58"/>
      <c r="V62" s="58"/>
    </row>
    <row r="63" spans="1:22" ht="15.75" customHeight="1">
      <c r="A63" s="468" t="s">
        <v>348</v>
      </c>
      <c r="B63" s="204" t="s">
        <v>184</v>
      </c>
      <c r="C63" s="527"/>
      <c r="D63" s="205"/>
      <c r="E63" s="706"/>
      <c r="F63" s="205"/>
      <c r="G63" s="206"/>
      <c r="H63" s="207"/>
      <c r="I63" s="501"/>
      <c r="J63" s="553"/>
      <c r="K63" s="552">
        <f t="shared" si="1"/>
        <v>0</v>
      </c>
      <c r="L63" s="213"/>
      <c r="M63" s="211">
        <f t="shared" si="0"/>
        <v>-46136</v>
      </c>
      <c r="N63" s="683">
        <f t="shared" si="2"/>
        <v>7</v>
      </c>
      <c r="O63" s="212"/>
      <c r="P63" s="544"/>
      <c r="Q63" s="561">
        <f t="shared" si="3"/>
        <v>0</v>
      </c>
      <c r="R63" s="58"/>
      <c r="S63" s="58"/>
      <c r="T63" s="58"/>
      <c r="U63" s="58"/>
      <c r="V63" s="58"/>
    </row>
    <row r="64" spans="1:22" ht="15.75" customHeight="1">
      <c r="A64" s="468" t="s">
        <v>348</v>
      </c>
      <c r="B64" s="204" t="s">
        <v>184</v>
      </c>
      <c r="C64" s="527"/>
      <c r="D64" s="205"/>
      <c r="E64" s="706"/>
      <c r="F64" s="205"/>
      <c r="G64" s="206"/>
      <c r="H64" s="207"/>
      <c r="I64" s="501"/>
      <c r="J64" s="553"/>
      <c r="K64" s="552">
        <f t="shared" si="1"/>
        <v>0</v>
      </c>
      <c r="L64" s="213"/>
      <c r="M64" s="211">
        <f t="shared" si="0"/>
        <v>-46136</v>
      </c>
      <c r="N64" s="683">
        <f t="shared" si="2"/>
        <v>7</v>
      </c>
      <c r="O64" s="212"/>
      <c r="P64" s="544"/>
      <c r="Q64" s="561">
        <f t="shared" si="3"/>
        <v>0</v>
      </c>
      <c r="R64" s="58"/>
      <c r="S64" s="58"/>
      <c r="T64" s="58"/>
      <c r="U64" s="58"/>
      <c r="V64" s="58"/>
    </row>
    <row r="65" spans="1:22" ht="15.75" customHeight="1">
      <c r="A65" s="468" t="s">
        <v>348</v>
      </c>
      <c r="B65" s="204" t="s">
        <v>184</v>
      </c>
      <c r="C65" s="527"/>
      <c r="D65" s="205"/>
      <c r="E65" s="706"/>
      <c r="F65" s="205"/>
      <c r="G65" s="206"/>
      <c r="H65" s="214"/>
      <c r="I65" s="503"/>
      <c r="J65" s="553"/>
      <c r="K65" s="552">
        <f t="shared" si="1"/>
        <v>0</v>
      </c>
      <c r="L65" s="217"/>
      <c r="M65" s="211">
        <f t="shared" si="0"/>
        <v>-46136</v>
      </c>
      <c r="N65" s="683">
        <f t="shared" si="2"/>
        <v>7</v>
      </c>
      <c r="O65" s="212"/>
      <c r="P65" s="544"/>
      <c r="Q65" s="561">
        <f t="shared" si="3"/>
        <v>0</v>
      </c>
      <c r="R65" s="58"/>
      <c r="S65" s="58"/>
      <c r="T65" s="58"/>
      <c r="U65" s="58"/>
      <c r="V65" s="58"/>
    </row>
    <row r="66" spans="1:22" ht="15.75" customHeight="1">
      <c r="A66" s="468" t="s">
        <v>348</v>
      </c>
      <c r="B66" s="204" t="s">
        <v>184</v>
      </c>
      <c r="C66" s="527"/>
      <c r="D66" s="267"/>
      <c r="E66" s="706"/>
      <c r="F66" s="205"/>
      <c r="G66" s="206"/>
      <c r="H66" s="214"/>
      <c r="I66" s="503"/>
      <c r="J66" s="553"/>
      <c r="K66" s="552">
        <f t="shared" si="1"/>
        <v>0</v>
      </c>
      <c r="L66" s="217"/>
      <c r="M66" s="211">
        <f t="shared" si="0"/>
        <v>-46136</v>
      </c>
      <c r="N66" s="683">
        <f t="shared" si="2"/>
        <v>7</v>
      </c>
      <c r="O66" s="212"/>
      <c r="P66" s="544"/>
      <c r="Q66" s="561">
        <f t="shared" si="3"/>
        <v>0</v>
      </c>
      <c r="R66" s="58"/>
      <c r="S66" s="58"/>
      <c r="T66" s="58"/>
      <c r="U66" s="58"/>
      <c r="V66" s="58"/>
    </row>
    <row r="67" spans="1:22" ht="15.75" customHeight="1">
      <c r="A67" s="468" t="s">
        <v>348</v>
      </c>
      <c r="B67" s="204" t="s">
        <v>184</v>
      </c>
      <c r="C67" s="527"/>
      <c r="D67" s="267"/>
      <c r="E67" s="706"/>
      <c r="F67" s="205"/>
      <c r="G67" s="206"/>
      <c r="H67" s="214"/>
      <c r="I67" s="503"/>
      <c r="J67" s="553"/>
      <c r="K67" s="552">
        <f t="shared" si="1"/>
        <v>0</v>
      </c>
      <c r="L67" s="217"/>
      <c r="M67" s="211">
        <f t="shared" si="0"/>
        <v>-46136</v>
      </c>
      <c r="N67" s="683">
        <f t="shared" si="2"/>
        <v>7</v>
      </c>
      <c r="O67" s="212"/>
      <c r="P67" s="544"/>
      <c r="Q67" s="561">
        <f t="shared" si="3"/>
        <v>0</v>
      </c>
      <c r="R67" s="58"/>
      <c r="S67" s="58"/>
      <c r="T67" s="58"/>
      <c r="U67" s="58"/>
      <c r="V67" s="58"/>
    </row>
    <row r="68" spans="1:22" ht="15.75" customHeight="1">
      <c r="A68" s="468" t="s">
        <v>348</v>
      </c>
      <c r="B68" s="204" t="s">
        <v>184</v>
      </c>
      <c r="C68" s="527"/>
      <c r="D68" s="267"/>
      <c r="E68" s="706"/>
      <c r="F68" s="205"/>
      <c r="G68" s="206"/>
      <c r="H68" s="214"/>
      <c r="I68" s="503"/>
      <c r="J68" s="553"/>
      <c r="K68" s="552">
        <f t="shared" si="1"/>
        <v>0</v>
      </c>
      <c r="L68" s="217"/>
      <c r="M68" s="211">
        <f t="shared" si="0"/>
        <v>-46136</v>
      </c>
      <c r="N68" s="683">
        <f t="shared" si="2"/>
        <v>7</v>
      </c>
      <c r="O68" s="212"/>
      <c r="P68" s="544"/>
      <c r="Q68" s="561">
        <f t="shared" si="3"/>
        <v>0</v>
      </c>
      <c r="R68" s="58"/>
      <c r="S68" s="58"/>
      <c r="T68" s="58"/>
      <c r="U68" s="58"/>
      <c r="V68" s="58"/>
    </row>
    <row r="69" spans="1:22" ht="15.75" customHeight="1">
      <c r="A69" s="468" t="s">
        <v>348</v>
      </c>
      <c r="B69" s="204" t="s">
        <v>184</v>
      </c>
      <c r="C69" s="527"/>
      <c r="D69" s="267"/>
      <c r="E69" s="706"/>
      <c r="F69" s="205"/>
      <c r="G69" s="206"/>
      <c r="H69" s="214"/>
      <c r="I69" s="503"/>
      <c r="J69" s="553"/>
      <c r="K69" s="552">
        <f t="shared" si="1"/>
        <v>0</v>
      </c>
      <c r="L69" s="217"/>
      <c r="M69" s="211">
        <f t="shared" si="0"/>
        <v>-46136</v>
      </c>
      <c r="N69" s="683">
        <f t="shared" si="2"/>
        <v>7</v>
      </c>
      <c r="O69" s="212"/>
      <c r="P69" s="544"/>
      <c r="Q69" s="561">
        <f t="shared" si="3"/>
        <v>0</v>
      </c>
      <c r="R69" s="58"/>
      <c r="S69" s="58"/>
      <c r="T69" s="58"/>
      <c r="U69" s="58"/>
      <c r="V69" s="58"/>
    </row>
    <row r="70" spans="1:22" ht="15.75" customHeight="1">
      <c r="A70" s="468" t="s">
        <v>348</v>
      </c>
      <c r="B70" s="204" t="s">
        <v>184</v>
      </c>
      <c r="C70" s="527"/>
      <c r="D70" s="205"/>
      <c r="E70" s="706"/>
      <c r="F70" s="205"/>
      <c r="G70" s="206"/>
      <c r="H70" s="214"/>
      <c r="I70" s="503"/>
      <c r="J70" s="553"/>
      <c r="K70" s="552">
        <f t="shared" si="1"/>
        <v>0</v>
      </c>
      <c r="L70" s="217"/>
      <c r="M70" s="211">
        <f t="shared" si="0"/>
        <v>-46136</v>
      </c>
      <c r="N70" s="683">
        <f t="shared" si="2"/>
        <v>7</v>
      </c>
      <c r="O70" s="212"/>
      <c r="P70" s="544"/>
      <c r="Q70" s="561">
        <f t="shared" si="3"/>
        <v>0</v>
      </c>
      <c r="R70" s="58"/>
      <c r="S70" s="58"/>
      <c r="T70" s="58"/>
      <c r="U70" s="58"/>
      <c r="V70" s="58"/>
    </row>
    <row r="71" spans="1:22" ht="15.75" customHeight="1">
      <c r="A71" s="468" t="s">
        <v>348</v>
      </c>
      <c r="B71" s="204" t="s">
        <v>184</v>
      </c>
      <c r="C71" s="527"/>
      <c r="D71" s="205"/>
      <c r="E71" s="706"/>
      <c r="F71" s="205"/>
      <c r="G71" s="206"/>
      <c r="H71" s="214"/>
      <c r="I71" s="503"/>
      <c r="J71" s="553"/>
      <c r="K71" s="552">
        <f t="shared" si="1"/>
        <v>0</v>
      </c>
      <c r="L71" s="217"/>
      <c r="M71" s="211">
        <f t="shared" si="0"/>
        <v>-46136</v>
      </c>
      <c r="N71" s="683">
        <f t="shared" si="2"/>
        <v>7</v>
      </c>
      <c r="O71" s="212"/>
      <c r="P71" s="544"/>
      <c r="Q71" s="561">
        <f t="shared" si="3"/>
        <v>0</v>
      </c>
      <c r="R71" s="58"/>
      <c r="S71" s="58"/>
      <c r="T71" s="58"/>
      <c r="U71" s="58"/>
      <c r="V71" s="58"/>
    </row>
    <row r="72" spans="1:22" ht="15.75" customHeight="1">
      <c r="A72" s="468" t="s">
        <v>348</v>
      </c>
      <c r="B72" s="204" t="s">
        <v>184</v>
      </c>
      <c r="C72" s="527"/>
      <c r="D72" s="267"/>
      <c r="E72" s="706"/>
      <c r="F72" s="205"/>
      <c r="G72" s="206"/>
      <c r="H72" s="214"/>
      <c r="I72" s="503"/>
      <c r="J72" s="553"/>
      <c r="K72" s="552">
        <f t="shared" si="1"/>
        <v>0</v>
      </c>
      <c r="L72" s="217"/>
      <c r="M72" s="211">
        <f t="shared" si="0"/>
        <v>-46136</v>
      </c>
      <c r="N72" s="683">
        <f t="shared" si="2"/>
        <v>7</v>
      </c>
      <c r="O72" s="212"/>
      <c r="P72" s="544"/>
      <c r="Q72" s="561">
        <f t="shared" si="3"/>
        <v>0</v>
      </c>
      <c r="R72" s="58"/>
      <c r="S72" s="58"/>
      <c r="T72" s="58"/>
      <c r="U72" s="58"/>
      <c r="V72" s="58"/>
    </row>
    <row r="73" spans="1:22" ht="15.75" customHeight="1">
      <c r="A73" s="468" t="s">
        <v>348</v>
      </c>
      <c r="B73" s="204" t="s">
        <v>184</v>
      </c>
      <c r="C73" s="527"/>
      <c r="D73" s="267"/>
      <c r="E73" s="706"/>
      <c r="F73" s="205"/>
      <c r="G73" s="206"/>
      <c r="H73" s="214"/>
      <c r="I73" s="503"/>
      <c r="J73" s="553"/>
      <c r="K73" s="552">
        <f t="shared" si="1"/>
        <v>0</v>
      </c>
      <c r="L73" s="217"/>
      <c r="M73" s="211">
        <f t="shared" ref="M73:M136" si="4">+L73-$E$6</f>
        <v>-46136</v>
      </c>
      <c r="N73" s="683">
        <f t="shared" si="2"/>
        <v>7</v>
      </c>
      <c r="O73" s="212"/>
      <c r="P73" s="544"/>
      <c r="Q73" s="561">
        <f t="shared" si="3"/>
        <v>0</v>
      </c>
      <c r="R73" s="58"/>
      <c r="S73" s="58"/>
      <c r="T73" s="58"/>
      <c r="U73" s="58"/>
      <c r="V73" s="58"/>
    </row>
    <row r="74" spans="1:22" ht="15.75" customHeight="1">
      <c r="A74" s="468" t="s">
        <v>348</v>
      </c>
      <c r="B74" s="204" t="s">
        <v>184</v>
      </c>
      <c r="C74" s="527"/>
      <c r="D74" s="267"/>
      <c r="E74" s="706"/>
      <c r="F74" s="205"/>
      <c r="G74" s="206"/>
      <c r="H74" s="214"/>
      <c r="I74" s="503"/>
      <c r="J74" s="553"/>
      <c r="K74" s="552">
        <f t="shared" ref="K74:K137" si="5">-J74</f>
        <v>0</v>
      </c>
      <c r="L74" s="217"/>
      <c r="M74" s="211">
        <f t="shared" si="4"/>
        <v>-46136</v>
      </c>
      <c r="N74" s="683">
        <f t="shared" ref="N74:N137" si="6">+L74+7</f>
        <v>7</v>
      </c>
      <c r="O74" s="212"/>
      <c r="P74" s="544"/>
      <c r="Q74" s="561">
        <f t="shared" si="3"/>
        <v>0</v>
      </c>
      <c r="R74" s="58"/>
      <c r="S74" s="58"/>
      <c r="T74" s="58"/>
      <c r="U74" s="58"/>
      <c r="V74" s="58"/>
    </row>
    <row r="75" spans="1:22" ht="15.75" customHeight="1">
      <c r="A75" s="468" t="s">
        <v>348</v>
      </c>
      <c r="B75" s="204" t="s">
        <v>184</v>
      </c>
      <c r="C75" s="527"/>
      <c r="D75" s="267"/>
      <c r="E75" s="706"/>
      <c r="F75" s="205"/>
      <c r="G75" s="206"/>
      <c r="H75" s="214"/>
      <c r="I75" s="503"/>
      <c r="J75" s="553"/>
      <c r="K75" s="552">
        <f t="shared" si="5"/>
        <v>0</v>
      </c>
      <c r="L75" s="217"/>
      <c r="M75" s="211">
        <f t="shared" si="4"/>
        <v>-46136</v>
      </c>
      <c r="N75" s="683">
        <f t="shared" si="6"/>
        <v>7</v>
      </c>
      <c r="O75" s="212"/>
      <c r="P75" s="544"/>
      <c r="Q75" s="561">
        <f t="shared" ref="Q75:Q138" si="7">+K75+J75</f>
        <v>0</v>
      </c>
      <c r="R75" s="58"/>
      <c r="S75" s="58"/>
      <c r="T75" s="58"/>
      <c r="U75" s="58"/>
      <c r="V75" s="58"/>
    </row>
    <row r="76" spans="1:22" ht="15.75" customHeight="1">
      <c r="A76" s="468" t="s">
        <v>348</v>
      </c>
      <c r="B76" s="204" t="s">
        <v>184</v>
      </c>
      <c r="C76" s="527"/>
      <c r="D76" s="267"/>
      <c r="E76" s="706"/>
      <c r="F76" s="205"/>
      <c r="G76" s="206"/>
      <c r="H76" s="214"/>
      <c r="I76" s="503"/>
      <c r="J76" s="553"/>
      <c r="K76" s="552">
        <f t="shared" si="5"/>
        <v>0</v>
      </c>
      <c r="L76" s="217"/>
      <c r="M76" s="211">
        <f t="shared" si="4"/>
        <v>-46136</v>
      </c>
      <c r="N76" s="683">
        <f t="shared" si="6"/>
        <v>7</v>
      </c>
      <c r="O76" s="212"/>
      <c r="P76" s="544"/>
      <c r="Q76" s="561">
        <f t="shared" si="7"/>
        <v>0</v>
      </c>
      <c r="R76" s="58"/>
      <c r="S76" s="58"/>
      <c r="T76" s="58"/>
      <c r="U76" s="58"/>
      <c r="V76" s="58"/>
    </row>
    <row r="77" spans="1:22" ht="15.75" customHeight="1">
      <c r="A77" s="468" t="s">
        <v>348</v>
      </c>
      <c r="B77" s="204" t="s">
        <v>184</v>
      </c>
      <c r="C77" s="527"/>
      <c r="D77" s="267"/>
      <c r="E77" s="706"/>
      <c r="F77" s="205"/>
      <c r="G77" s="206"/>
      <c r="H77" s="214"/>
      <c r="I77" s="503"/>
      <c r="J77" s="553"/>
      <c r="K77" s="552">
        <f t="shared" si="5"/>
        <v>0</v>
      </c>
      <c r="L77" s="217"/>
      <c r="M77" s="211">
        <f t="shared" si="4"/>
        <v>-46136</v>
      </c>
      <c r="N77" s="683">
        <f t="shared" si="6"/>
        <v>7</v>
      </c>
      <c r="O77" s="212"/>
      <c r="P77" s="544"/>
      <c r="Q77" s="561">
        <f t="shared" si="7"/>
        <v>0</v>
      </c>
      <c r="R77" s="58"/>
      <c r="S77" s="58"/>
      <c r="T77" s="58"/>
      <c r="U77" s="58"/>
      <c r="V77" s="58"/>
    </row>
    <row r="78" spans="1:22" ht="15.75" customHeight="1">
      <c r="A78" s="468" t="s">
        <v>348</v>
      </c>
      <c r="B78" s="204" t="s">
        <v>184</v>
      </c>
      <c r="C78" s="527"/>
      <c r="D78" s="267"/>
      <c r="E78" s="706"/>
      <c r="F78" s="205"/>
      <c r="G78" s="206"/>
      <c r="H78" s="214"/>
      <c r="I78" s="503"/>
      <c r="J78" s="553"/>
      <c r="K78" s="552">
        <f t="shared" si="5"/>
        <v>0</v>
      </c>
      <c r="L78" s="217"/>
      <c r="M78" s="211">
        <f t="shared" si="4"/>
        <v>-46136</v>
      </c>
      <c r="N78" s="683">
        <f t="shared" si="6"/>
        <v>7</v>
      </c>
      <c r="O78" s="212"/>
      <c r="P78" s="544"/>
      <c r="Q78" s="561">
        <f t="shared" si="7"/>
        <v>0</v>
      </c>
      <c r="R78" s="58"/>
      <c r="S78" s="58"/>
      <c r="T78" s="58"/>
      <c r="U78" s="58"/>
      <c r="V78" s="58"/>
    </row>
    <row r="79" spans="1:22" ht="15.75" customHeight="1">
      <c r="A79" s="468" t="s">
        <v>348</v>
      </c>
      <c r="B79" s="204" t="s">
        <v>184</v>
      </c>
      <c r="C79" s="527"/>
      <c r="D79" s="267"/>
      <c r="E79" s="706"/>
      <c r="F79" s="205"/>
      <c r="G79" s="206"/>
      <c r="H79" s="214"/>
      <c r="I79" s="503"/>
      <c r="J79" s="553"/>
      <c r="K79" s="552">
        <f t="shared" si="5"/>
        <v>0</v>
      </c>
      <c r="L79" s="217"/>
      <c r="M79" s="211">
        <f t="shared" si="4"/>
        <v>-46136</v>
      </c>
      <c r="N79" s="683">
        <f t="shared" si="6"/>
        <v>7</v>
      </c>
      <c r="O79" s="212"/>
      <c r="P79" s="544"/>
      <c r="Q79" s="561">
        <f t="shared" si="7"/>
        <v>0</v>
      </c>
      <c r="R79" s="58"/>
      <c r="S79" s="58"/>
      <c r="T79" s="58"/>
      <c r="U79" s="58"/>
      <c r="V79" s="58"/>
    </row>
    <row r="80" spans="1:22" ht="15.75" customHeight="1">
      <c r="A80" s="468" t="s">
        <v>348</v>
      </c>
      <c r="B80" s="204" t="s">
        <v>184</v>
      </c>
      <c r="C80" s="527"/>
      <c r="D80" s="267"/>
      <c r="E80" s="706"/>
      <c r="F80" s="205"/>
      <c r="G80" s="206"/>
      <c r="H80" s="214"/>
      <c r="I80" s="503"/>
      <c r="J80" s="553"/>
      <c r="K80" s="552">
        <f t="shared" si="5"/>
        <v>0</v>
      </c>
      <c r="L80" s="217"/>
      <c r="M80" s="211">
        <f t="shared" si="4"/>
        <v>-46136</v>
      </c>
      <c r="N80" s="683">
        <f t="shared" si="6"/>
        <v>7</v>
      </c>
      <c r="O80" s="212"/>
      <c r="P80" s="544"/>
      <c r="Q80" s="561">
        <f t="shared" si="7"/>
        <v>0</v>
      </c>
      <c r="R80" s="58"/>
      <c r="S80" s="58"/>
      <c r="T80" s="58"/>
      <c r="U80" s="58"/>
      <c r="V80" s="58"/>
    </row>
    <row r="81" spans="1:22" ht="15.75" customHeight="1">
      <c r="A81" s="468" t="s">
        <v>348</v>
      </c>
      <c r="B81" s="204" t="s">
        <v>184</v>
      </c>
      <c r="C81" s="527"/>
      <c r="D81" s="267"/>
      <c r="E81" s="706"/>
      <c r="F81" s="205"/>
      <c r="G81" s="206"/>
      <c r="H81" s="214"/>
      <c r="I81" s="502"/>
      <c r="J81" s="553"/>
      <c r="K81" s="552">
        <f t="shared" si="5"/>
        <v>0</v>
      </c>
      <c r="L81" s="217"/>
      <c r="M81" s="211">
        <f t="shared" si="4"/>
        <v>-46136</v>
      </c>
      <c r="N81" s="683">
        <f t="shared" si="6"/>
        <v>7</v>
      </c>
      <c r="O81" s="212"/>
      <c r="P81" s="544"/>
      <c r="Q81" s="561">
        <f t="shared" si="7"/>
        <v>0</v>
      </c>
      <c r="R81" s="58"/>
      <c r="S81" s="58"/>
      <c r="T81" s="58"/>
      <c r="U81" s="58"/>
      <c r="V81" s="58"/>
    </row>
    <row r="82" spans="1:22" ht="15.75" customHeight="1">
      <c r="A82" s="468" t="s">
        <v>348</v>
      </c>
      <c r="B82" s="204" t="s">
        <v>184</v>
      </c>
      <c r="C82" s="527"/>
      <c r="D82" s="267"/>
      <c r="E82" s="706"/>
      <c r="F82" s="205"/>
      <c r="G82" s="206"/>
      <c r="H82" s="214"/>
      <c r="I82" s="503"/>
      <c r="J82" s="553"/>
      <c r="K82" s="552">
        <f t="shared" si="5"/>
        <v>0</v>
      </c>
      <c r="L82" s="217"/>
      <c r="M82" s="211">
        <f t="shared" si="4"/>
        <v>-46136</v>
      </c>
      <c r="N82" s="683">
        <f t="shared" si="6"/>
        <v>7</v>
      </c>
      <c r="O82" s="212"/>
      <c r="P82" s="544"/>
      <c r="Q82" s="561">
        <f t="shared" si="7"/>
        <v>0</v>
      </c>
      <c r="R82" s="58"/>
      <c r="S82" s="58"/>
      <c r="T82" s="58"/>
      <c r="U82" s="58"/>
      <c r="V82" s="58"/>
    </row>
    <row r="83" spans="1:22" ht="15.75" customHeight="1">
      <c r="A83" s="468" t="s">
        <v>348</v>
      </c>
      <c r="B83" s="204" t="s">
        <v>184</v>
      </c>
      <c r="C83" s="527"/>
      <c r="D83" s="502"/>
      <c r="E83" s="706"/>
      <c r="F83" s="502"/>
      <c r="G83" s="206"/>
      <c r="H83" s="214"/>
      <c r="I83" s="503"/>
      <c r="J83" s="553"/>
      <c r="K83" s="552">
        <f t="shared" si="5"/>
        <v>0</v>
      </c>
      <c r="L83" s="217"/>
      <c r="M83" s="211">
        <f t="shared" si="4"/>
        <v>-46136</v>
      </c>
      <c r="N83" s="683">
        <f t="shared" si="6"/>
        <v>7</v>
      </c>
      <c r="O83" s="212"/>
      <c r="P83" s="544"/>
      <c r="Q83" s="561">
        <f t="shared" si="7"/>
        <v>0</v>
      </c>
      <c r="R83" s="58"/>
      <c r="S83" s="58"/>
      <c r="T83" s="58"/>
      <c r="U83" s="58"/>
      <c r="V83" s="58"/>
    </row>
    <row r="84" spans="1:22" ht="15.75" customHeight="1">
      <c r="A84" s="468" t="s">
        <v>348</v>
      </c>
      <c r="B84" s="204" t="s">
        <v>184</v>
      </c>
      <c r="C84" s="529"/>
      <c r="D84" s="507"/>
      <c r="E84" s="709"/>
      <c r="F84" s="507"/>
      <c r="G84" s="206"/>
      <c r="H84" s="214"/>
      <c r="I84" s="501"/>
      <c r="J84" s="553"/>
      <c r="K84" s="552">
        <f t="shared" si="5"/>
        <v>0</v>
      </c>
      <c r="L84" s="217"/>
      <c r="M84" s="211">
        <f t="shared" si="4"/>
        <v>-46136</v>
      </c>
      <c r="N84" s="683">
        <f t="shared" si="6"/>
        <v>7</v>
      </c>
      <c r="O84" s="212"/>
      <c r="P84" s="544"/>
      <c r="Q84" s="561">
        <f t="shared" si="7"/>
        <v>0</v>
      </c>
      <c r="R84" s="58"/>
      <c r="S84" s="58"/>
      <c r="T84" s="58"/>
      <c r="U84" s="58"/>
      <c r="V84" s="58"/>
    </row>
    <row r="85" spans="1:22" ht="15.75" customHeight="1">
      <c r="A85" s="468" t="s">
        <v>348</v>
      </c>
      <c r="B85" s="204" t="s">
        <v>184</v>
      </c>
      <c r="C85" s="527"/>
      <c r="D85" s="267"/>
      <c r="E85" s="706"/>
      <c r="F85" s="205"/>
      <c r="G85" s="206"/>
      <c r="H85" s="214"/>
      <c r="I85" s="500"/>
      <c r="J85" s="553"/>
      <c r="K85" s="552">
        <f t="shared" si="5"/>
        <v>0</v>
      </c>
      <c r="L85" s="217"/>
      <c r="M85" s="211">
        <f t="shared" si="4"/>
        <v>-46136</v>
      </c>
      <c r="N85" s="683">
        <f t="shared" si="6"/>
        <v>7</v>
      </c>
      <c r="O85" s="212"/>
      <c r="P85" s="544"/>
      <c r="Q85" s="561">
        <f t="shared" si="7"/>
        <v>0</v>
      </c>
      <c r="R85" s="58"/>
      <c r="S85" s="58"/>
      <c r="T85" s="58"/>
      <c r="U85" s="58"/>
      <c r="V85" s="58"/>
    </row>
    <row r="86" spans="1:22" ht="15.75" customHeight="1">
      <c r="A86" s="468" t="s">
        <v>348</v>
      </c>
      <c r="B86" s="204" t="s">
        <v>184</v>
      </c>
      <c r="C86" s="527"/>
      <c r="D86" s="267"/>
      <c r="E86" s="706"/>
      <c r="F86" s="205"/>
      <c r="G86" s="206"/>
      <c r="H86" s="214"/>
      <c r="I86" s="500"/>
      <c r="J86" s="553"/>
      <c r="K86" s="552">
        <f t="shared" si="5"/>
        <v>0</v>
      </c>
      <c r="L86" s="217"/>
      <c r="M86" s="211">
        <f t="shared" si="4"/>
        <v>-46136</v>
      </c>
      <c r="N86" s="683">
        <f t="shared" si="6"/>
        <v>7</v>
      </c>
      <c r="O86" s="212"/>
      <c r="P86" s="544"/>
      <c r="Q86" s="561">
        <f t="shared" si="7"/>
        <v>0</v>
      </c>
      <c r="R86" s="58"/>
      <c r="S86" s="58"/>
      <c r="T86" s="58"/>
      <c r="U86" s="58"/>
      <c r="V86" s="58"/>
    </row>
    <row r="87" spans="1:22" ht="15.75" customHeight="1">
      <c r="A87" s="468" t="s">
        <v>348</v>
      </c>
      <c r="B87" s="204" t="s">
        <v>184</v>
      </c>
      <c r="C87" s="527"/>
      <c r="D87" s="267"/>
      <c r="E87" s="706"/>
      <c r="F87" s="205"/>
      <c r="G87" s="206"/>
      <c r="H87" s="214"/>
      <c r="I87" s="503"/>
      <c r="J87" s="553"/>
      <c r="K87" s="552">
        <f t="shared" si="5"/>
        <v>0</v>
      </c>
      <c r="L87" s="217"/>
      <c r="M87" s="211">
        <f t="shared" si="4"/>
        <v>-46136</v>
      </c>
      <c r="N87" s="683">
        <f t="shared" si="6"/>
        <v>7</v>
      </c>
      <c r="O87" s="212"/>
      <c r="P87" s="58"/>
      <c r="Q87" s="561">
        <f t="shared" si="7"/>
        <v>0</v>
      </c>
      <c r="R87" s="58"/>
      <c r="S87" s="58"/>
      <c r="T87" s="58"/>
      <c r="U87" s="58"/>
      <c r="V87" s="58"/>
    </row>
    <row r="88" spans="1:22" ht="15.75" customHeight="1">
      <c r="A88" s="468" t="s">
        <v>348</v>
      </c>
      <c r="B88" s="204" t="s">
        <v>184</v>
      </c>
      <c r="C88" s="527"/>
      <c r="D88" s="267"/>
      <c r="E88" s="706"/>
      <c r="F88" s="267"/>
      <c r="G88" s="206"/>
      <c r="H88" s="214"/>
      <c r="I88" s="503"/>
      <c r="J88" s="553"/>
      <c r="K88" s="552">
        <f t="shared" si="5"/>
        <v>0</v>
      </c>
      <c r="L88" s="217"/>
      <c r="M88" s="211">
        <f t="shared" si="4"/>
        <v>-46136</v>
      </c>
      <c r="N88" s="683">
        <f t="shared" si="6"/>
        <v>7</v>
      </c>
      <c r="O88" s="212"/>
      <c r="P88" s="544"/>
      <c r="Q88" s="561">
        <f t="shared" si="7"/>
        <v>0</v>
      </c>
      <c r="R88" s="58"/>
      <c r="S88" s="58"/>
      <c r="T88" s="58"/>
      <c r="U88" s="58"/>
      <c r="V88" s="58"/>
    </row>
    <row r="89" spans="1:22" ht="15.75" customHeight="1">
      <c r="A89" s="468" t="s">
        <v>348</v>
      </c>
      <c r="B89" s="204" t="s">
        <v>184</v>
      </c>
      <c r="C89" s="527"/>
      <c r="D89" s="267"/>
      <c r="E89" s="706"/>
      <c r="F89" s="267"/>
      <c r="G89" s="206"/>
      <c r="H89" s="214"/>
      <c r="I89" s="503"/>
      <c r="J89" s="553"/>
      <c r="K89" s="552">
        <f t="shared" si="5"/>
        <v>0</v>
      </c>
      <c r="L89" s="217"/>
      <c r="M89" s="211">
        <f t="shared" si="4"/>
        <v>-46136</v>
      </c>
      <c r="N89" s="683">
        <f t="shared" si="6"/>
        <v>7</v>
      </c>
      <c r="O89" s="212"/>
      <c r="P89" s="544"/>
      <c r="Q89" s="561">
        <f t="shared" si="7"/>
        <v>0</v>
      </c>
      <c r="R89" s="58"/>
      <c r="S89" s="58"/>
      <c r="T89" s="58"/>
      <c r="U89" s="58"/>
      <c r="V89" s="58"/>
    </row>
    <row r="90" spans="1:22" ht="15.75" customHeight="1">
      <c r="A90" s="468" t="s">
        <v>348</v>
      </c>
      <c r="B90" s="204" t="s">
        <v>184</v>
      </c>
      <c r="C90" s="527"/>
      <c r="D90" s="267"/>
      <c r="E90" s="706"/>
      <c r="F90" s="267"/>
      <c r="G90" s="206"/>
      <c r="H90" s="214"/>
      <c r="I90" s="503"/>
      <c r="J90" s="553"/>
      <c r="K90" s="552">
        <f t="shared" si="5"/>
        <v>0</v>
      </c>
      <c r="L90" s="217"/>
      <c r="M90" s="211">
        <f t="shared" si="4"/>
        <v>-46136</v>
      </c>
      <c r="N90" s="683">
        <f t="shared" si="6"/>
        <v>7</v>
      </c>
      <c r="O90" s="212"/>
      <c r="P90" s="544"/>
      <c r="Q90" s="561">
        <f t="shared" si="7"/>
        <v>0</v>
      </c>
      <c r="R90" s="58"/>
      <c r="S90" s="58"/>
      <c r="T90" s="58"/>
      <c r="U90" s="58"/>
      <c r="V90" s="58"/>
    </row>
    <row r="91" spans="1:22" ht="15.75" customHeight="1">
      <c r="A91" s="468" t="s">
        <v>348</v>
      </c>
      <c r="B91" s="204" t="s">
        <v>184</v>
      </c>
      <c r="C91" s="527"/>
      <c r="D91" s="205"/>
      <c r="E91" s="706"/>
      <c r="F91" s="205"/>
      <c r="G91" s="206"/>
      <c r="H91" s="214"/>
      <c r="I91" s="500"/>
      <c r="J91" s="553"/>
      <c r="K91" s="552">
        <f t="shared" si="5"/>
        <v>0</v>
      </c>
      <c r="L91" s="217"/>
      <c r="M91" s="211">
        <f t="shared" si="4"/>
        <v>-46136</v>
      </c>
      <c r="N91" s="683">
        <f t="shared" si="6"/>
        <v>7</v>
      </c>
      <c r="O91" s="212"/>
      <c r="P91" s="544"/>
      <c r="Q91" s="561">
        <f t="shared" si="7"/>
        <v>0</v>
      </c>
      <c r="R91" s="58"/>
      <c r="S91" s="58"/>
      <c r="T91" s="58"/>
      <c r="U91" s="58"/>
      <c r="V91" s="58"/>
    </row>
    <row r="92" spans="1:22" ht="15.75" customHeight="1">
      <c r="A92" s="468" t="s">
        <v>348</v>
      </c>
      <c r="B92" s="204" t="s">
        <v>184</v>
      </c>
      <c r="C92" s="529"/>
      <c r="D92" s="507"/>
      <c r="E92" s="709"/>
      <c r="F92" s="507"/>
      <c r="G92" s="206"/>
      <c r="H92" s="214"/>
      <c r="I92" s="501"/>
      <c r="J92" s="553"/>
      <c r="K92" s="552">
        <f t="shared" si="5"/>
        <v>0</v>
      </c>
      <c r="L92" s="217"/>
      <c r="M92" s="211">
        <f t="shared" si="4"/>
        <v>-46136</v>
      </c>
      <c r="N92" s="683">
        <f t="shared" si="6"/>
        <v>7</v>
      </c>
      <c r="O92" s="212"/>
      <c r="P92" s="544"/>
      <c r="Q92" s="561">
        <f t="shared" si="7"/>
        <v>0</v>
      </c>
      <c r="R92" s="58"/>
      <c r="S92" s="58"/>
      <c r="T92" s="58"/>
      <c r="U92" s="58"/>
      <c r="V92" s="58"/>
    </row>
    <row r="93" spans="1:22" ht="15.75" customHeight="1">
      <c r="A93" s="468" t="s">
        <v>348</v>
      </c>
      <c r="B93" s="204" t="s">
        <v>184</v>
      </c>
      <c r="C93" s="529"/>
      <c r="D93" s="507"/>
      <c r="E93" s="709"/>
      <c r="F93" s="507"/>
      <c r="G93" s="206"/>
      <c r="H93" s="214"/>
      <c r="I93" s="501"/>
      <c r="J93" s="553"/>
      <c r="K93" s="552">
        <f t="shared" si="5"/>
        <v>0</v>
      </c>
      <c r="L93" s="217"/>
      <c r="M93" s="211">
        <f t="shared" si="4"/>
        <v>-46136</v>
      </c>
      <c r="N93" s="683">
        <f t="shared" si="6"/>
        <v>7</v>
      </c>
      <c r="O93" s="212"/>
      <c r="P93" s="544"/>
      <c r="Q93" s="561">
        <f t="shared" si="7"/>
        <v>0</v>
      </c>
      <c r="R93" s="58"/>
      <c r="S93" s="58"/>
      <c r="T93" s="58"/>
      <c r="U93" s="58"/>
      <c r="V93" s="58"/>
    </row>
    <row r="94" spans="1:22" ht="15.75" customHeight="1">
      <c r="A94" s="468" t="s">
        <v>348</v>
      </c>
      <c r="B94" s="204" t="s">
        <v>184</v>
      </c>
      <c r="C94" s="527"/>
      <c r="D94" s="267"/>
      <c r="E94" s="706"/>
      <c r="F94" s="267"/>
      <c r="G94" s="206"/>
      <c r="H94" s="214"/>
      <c r="I94" s="503"/>
      <c r="J94" s="553"/>
      <c r="K94" s="552">
        <f t="shared" si="5"/>
        <v>0</v>
      </c>
      <c r="L94" s="217"/>
      <c r="M94" s="211">
        <f t="shared" si="4"/>
        <v>-46136</v>
      </c>
      <c r="N94" s="683">
        <f t="shared" si="6"/>
        <v>7</v>
      </c>
      <c r="O94" s="212"/>
      <c r="P94" s="544"/>
      <c r="Q94" s="561">
        <f t="shared" si="7"/>
        <v>0</v>
      </c>
      <c r="R94" s="58"/>
      <c r="S94" s="58"/>
      <c r="T94" s="58"/>
      <c r="U94" s="58"/>
      <c r="V94" s="58"/>
    </row>
    <row r="95" spans="1:22" ht="15.75" customHeight="1">
      <c r="A95" s="468" t="s">
        <v>348</v>
      </c>
      <c r="B95" s="204" t="s">
        <v>184</v>
      </c>
      <c r="C95" s="527"/>
      <c r="D95" s="267"/>
      <c r="E95" s="706"/>
      <c r="F95" s="267"/>
      <c r="G95" s="206"/>
      <c r="H95" s="214"/>
      <c r="I95" s="500"/>
      <c r="J95" s="553"/>
      <c r="K95" s="552">
        <f t="shared" si="5"/>
        <v>0</v>
      </c>
      <c r="L95" s="217"/>
      <c r="M95" s="211">
        <f t="shared" si="4"/>
        <v>-46136</v>
      </c>
      <c r="N95" s="683">
        <f t="shared" si="6"/>
        <v>7</v>
      </c>
      <c r="O95" s="212"/>
      <c r="P95" s="544"/>
      <c r="Q95" s="561">
        <f t="shared" si="7"/>
        <v>0</v>
      </c>
      <c r="R95" s="58"/>
      <c r="S95" s="58"/>
      <c r="T95" s="58"/>
      <c r="U95" s="58"/>
      <c r="V95" s="58"/>
    </row>
    <row r="96" spans="1:22" ht="15.75" customHeight="1">
      <c r="A96" s="468" t="s">
        <v>348</v>
      </c>
      <c r="B96" s="204" t="s">
        <v>184</v>
      </c>
      <c r="C96" s="527"/>
      <c r="D96" s="205"/>
      <c r="E96" s="706"/>
      <c r="F96" s="205"/>
      <c r="G96" s="206"/>
      <c r="H96" s="214"/>
      <c r="I96" s="503"/>
      <c r="J96" s="553"/>
      <c r="K96" s="552">
        <f t="shared" si="5"/>
        <v>0</v>
      </c>
      <c r="L96" s="217"/>
      <c r="M96" s="211">
        <f t="shared" si="4"/>
        <v>-46136</v>
      </c>
      <c r="N96" s="683">
        <f t="shared" si="6"/>
        <v>7</v>
      </c>
      <c r="O96" s="212"/>
      <c r="P96" s="544"/>
      <c r="Q96" s="561">
        <f t="shared" si="7"/>
        <v>0</v>
      </c>
      <c r="R96" s="58"/>
      <c r="S96" s="58"/>
      <c r="T96" s="58"/>
      <c r="U96" s="58"/>
      <c r="V96" s="58"/>
    </row>
    <row r="97" spans="1:22" ht="15.75" customHeight="1">
      <c r="A97" s="468" t="s">
        <v>348</v>
      </c>
      <c r="B97" s="204" t="s">
        <v>184</v>
      </c>
      <c r="C97" s="527"/>
      <c r="D97" s="205"/>
      <c r="E97" s="706"/>
      <c r="F97" s="205"/>
      <c r="G97" s="206"/>
      <c r="H97" s="214"/>
      <c r="I97" s="503"/>
      <c r="J97" s="553"/>
      <c r="K97" s="552">
        <f t="shared" si="5"/>
        <v>0</v>
      </c>
      <c r="L97" s="217"/>
      <c r="M97" s="211">
        <f t="shared" si="4"/>
        <v>-46136</v>
      </c>
      <c r="N97" s="683">
        <f t="shared" si="6"/>
        <v>7</v>
      </c>
      <c r="O97" s="212"/>
      <c r="P97" s="544"/>
      <c r="Q97" s="561">
        <f t="shared" si="7"/>
        <v>0</v>
      </c>
      <c r="R97" s="58"/>
      <c r="S97" s="58"/>
      <c r="T97" s="58"/>
      <c r="U97" s="58"/>
      <c r="V97" s="58"/>
    </row>
    <row r="98" spans="1:22" ht="15.75" customHeight="1">
      <c r="A98" s="468" t="s">
        <v>348</v>
      </c>
      <c r="B98" s="204" t="s">
        <v>184</v>
      </c>
      <c r="C98" s="527"/>
      <c r="D98" s="205"/>
      <c r="E98" s="706"/>
      <c r="F98" s="205"/>
      <c r="G98" s="206"/>
      <c r="H98" s="214"/>
      <c r="I98" s="503"/>
      <c r="J98" s="553"/>
      <c r="K98" s="552">
        <f t="shared" si="5"/>
        <v>0</v>
      </c>
      <c r="L98" s="217"/>
      <c r="M98" s="211">
        <f t="shared" si="4"/>
        <v>-46136</v>
      </c>
      <c r="N98" s="683">
        <f t="shared" si="6"/>
        <v>7</v>
      </c>
      <c r="O98" s="212"/>
      <c r="P98" s="544"/>
      <c r="Q98" s="561">
        <f t="shared" si="7"/>
        <v>0</v>
      </c>
      <c r="R98" s="58"/>
      <c r="S98" s="58"/>
      <c r="T98" s="58"/>
      <c r="U98" s="58"/>
      <c r="V98" s="58"/>
    </row>
    <row r="99" spans="1:22" ht="15.75" customHeight="1">
      <c r="A99" s="468" t="s">
        <v>348</v>
      </c>
      <c r="B99" s="204" t="s">
        <v>184</v>
      </c>
      <c r="C99" s="527"/>
      <c r="D99" s="205"/>
      <c r="E99" s="706"/>
      <c r="F99" s="205"/>
      <c r="G99" s="206"/>
      <c r="H99" s="214"/>
      <c r="I99" s="503"/>
      <c r="J99" s="553"/>
      <c r="K99" s="552">
        <f t="shared" si="5"/>
        <v>0</v>
      </c>
      <c r="L99" s="217"/>
      <c r="M99" s="211">
        <f t="shared" si="4"/>
        <v>-46136</v>
      </c>
      <c r="N99" s="683">
        <f t="shared" si="6"/>
        <v>7</v>
      </c>
      <c r="O99" s="212"/>
      <c r="P99" s="544"/>
      <c r="Q99" s="561">
        <f t="shared" si="7"/>
        <v>0</v>
      </c>
      <c r="R99" s="58"/>
      <c r="S99" s="58"/>
      <c r="T99" s="58"/>
      <c r="U99" s="58"/>
      <c r="V99" s="58"/>
    </row>
    <row r="100" spans="1:22" ht="15.75" customHeight="1">
      <c r="A100" s="468" t="s">
        <v>348</v>
      </c>
      <c r="B100" s="204" t="s">
        <v>184</v>
      </c>
      <c r="C100" s="527"/>
      <c r="D100" s="205"/>
      <c r="E100" s="706"/>
      <c r="F100" s="205"/>
      <c r="G100" s="206"/>
      <c r="H100" s="214"/>
      <c r="I100" s="503"/>
      <c r="J100" s="553"/>
      <c r="K100" s="552">
        <f t="shared" si="5"/>
        <v>0</v>
      </c>
      <c r="L100" s="217"/>
      <c r="M100" s="211">
        <f t="shared" si="4"/>
        <v>-46136</v>
      </c>
      <c r="N100" s="683">
        <f t="shared" si="6"/>
        <v>7</v>
      </c>
      <c r="O100" s="212"/>
      <c r="P100" s="544"/>
      <c r="Q100" s="561">
        <f t="shared" si="7"/>
        <v>0</v>
      </c>
      <c r="R100" s="58"/>
      <c r="S100" s="58"/>
      <c r="T100" s="58"/>
      <c r="U100" s="58"/>
      <c r="V100" s="58"/>
    </row>
    <row r="101" spans="1:22" ht="15.75" customHeight="1">
      <c r="A101" s="468" t="s">
        <v>348</v>
      </c>
      <c r="B101" s="204" t="s">
        <v>184</v>
      </c>
      <c r="C101" s="527"/>
      <c r="D101" s="267"/>
      <c r="E101" s="706"/>
      <c r="F101" s="205"/>
      <c r="G101" s="206"/>
      <c r="H101" s="214"/>
      <c r="I101" s="503"/>
      <c r="J101" s="553"/>
      <c r="K101" s="552">
        <f t="shared" si="5"/>
        <v>0</v>
      </c>
      <c r="L101" s="217"/>
      <c r="M101" s="211">
        <f t="shared" si="4"/>
        <v>-46136</v>
      </c>
      <c r="N101" s="683">
        <f t="shared" si="6"/>
        <v>7</v>
      </c>
      <c r="O101" s="212"/>
      <c r="P101" s="544"/>
      <c r="Q101" s="561">
        <f t="shared" si="7"/>
        <v>0</v>
      </c>
      <c r="R101" s="58"/>
      <c r="S101" s="58"/>
      <c r="T101" s="58"/>
      <c r="U101" s="58"/>
      <c r="V101" s="58"/>
    </row>
    <row r="102" spans="1:22" ht="15.75" customHeight="1">
      <c r="A102" s="468" t="s">
        <v>348</v>
      </c>
      <c r="B102" s="204" t="s">
        <v>184</v>
      </c>
      <c r="C102" s="527"/>
      <c r="D102" s="267"/>
      <c r="E102" s="706"/>
      <c r="F102" s="205"/>
      <c r="G102" s="206"/>
      <c r="H102" s="214"/>
      <c r="I102" s="503"/>
      <c r="J102" s="553"/>
      <c r="K102" s="552">
        <f t="shared" si="5"/>
        <v>0</v>
      </c>
      <c r="L102" s="217"/>
      <c r="M102" s="211">
        <f t="shared" si="4"/>
        <v>-46136</v>
      </c>
      <c r="N102" s="683">
        <f t="shared" si="6"/>
        <v>7</v>
      </c>
      <c r="O102" s="212"/>
      <c r="P102" s="544"/>
      <c r="Q102" s="561">
        <f t="shared" si="7"/>
        <v>0</v>
      </c>
      <c r="R102" s="58"/>
      <c r="S102" s="58"/>
      <c r="T102" s="58"/>
      <c r="U102" s="58"/>
      <c r="V102" s="58"/>
    </row>
    <row r="103" spans="1:22" ht="15.75" customHeight="1">
      <c r="A103" s="468" t="s">
        <v>348</v>
      </c>
      <c r="B103" s="204" t="s">
        <v>184</v>
      </c>
      <c r="C103" s="527"/>
      <c r="D103" s="267"/>
      <c r="E103" s="706"/>
      <c r="F103" s="205"/>
      <c r="G103" s="206"/>
      <c r="H103" s="214"/>
      <c r="I103" s="503"/>
      <c r="J103" s="553"/>
      <c r="K103" s="552">
        <f t="shared" si="5"/>
        <v>0</v>
      </c>
      <c r="L103" s="217"/>
      <c r="M103" s="211">
        <f t="shared" si="4"/>
        <v>-46136</v>
      </c>
      <c r="N103" s="683">
        <f t="shared" si="6"/>
        <v>7</v>
      </c>
      <c r="O103" s="212"/>
      <c r="P103" s="544"/>
      <c r="Q103" s="561">
        <f t="shared" si="7"/>
        <v>0</v>
      </c>
      <c r="R103" s="58"/>
      <c r="S103" s="58"/>
      <c r="T103" s="58"/>
      <c r="U103" s="58"/>
      <c r="V103" s="58"/>
    </row>
    <row r="104" spans="1:22" ht="15.75" customHeight="1">
      <c r="A104" s="468" t="s">
        <v>348</v>
      </c>
      <c r="B104" s="204" t="s">
        <v>184</v>
      </c>
      <c r="C104" s="527"/>
      <c r="D104" s="267"/>
      <c r="E104" s="706"/>
      <c r="F104" s="205"/>
      <c r="G104" s="206"/>
      <c r="H104" s="214"/>
      <c r="I104" s="503"/>
      <c r="J104" s="553"/>
      <c r="K104" s="552">
        <f t="shared" si="5"/>
        <v>0</v>
      </c>
      <c r="L104" s="217"/>
      <c r="M104" s="211">
        <f t="shared" si="4"/>
        <v>-46136</v>
      </c>
      <c r="N104" s="683">
        <f t="shared" si="6"/>
        <v>7</v>
      </c>
      <c r="O104" s="212"/>
      <c r="P104" s="544"/>
      <c r="Q104" s="561">
        <f t="shared" si="7"/>
        <v>0</v>
      </c>
      <c r="R104" s="58"/>
      <c r="S104" s="58"/>
      <c r="T104" s="58"/>
      <c r="U104" s="58"/>
      <c r="V104" s="58"/>
    </row>
    <row r="105" spans="1:22" ht="15.75" customHeight="1">
      <c r="A105" s="468" t="s">
        <v>348</v>
      </c>
      <c r="B105" s="204" t="s">
        <v>184</v>
      </c>
      <c r="C105" s="527"/>
      <c r="D105" s="267"/>
      <c r="E105" s="706"/>
      <c r="F105" s="205"/>
      <c r="G105" s="206"/>
      <c r="H105" s="214"/>
      <c r="I105" s="503"/>
      <c r="J105" s="553"/>
      <c r="K105" s="552">
        <f t="shared" si="5"/>
        <v>0</v>
      </c>
      <c r="L105" s="217"/>
      <c r="M105" s="211">
        <f t="shared" si="4"/>
        <v>-46136</v>
      </c>
      <c r="N105" s="683">
        <f t="shared" si="6"/>
        <v>7</v>
      </c>
      <c r="O105" s="212"/>
      <c r="P105" s="544"/>
      <c r="Q105" s="561">
        <f t="shared" si="7"/>
        <v>0</v>
      </c>
      <c r="R105" s="58"/>
      <c r="S105" s="58"/>
      <c r="T105" s="58"/>
      <c r="U105" s="58"/>
      <c r="V105" s="58"/>
    </row>
    <row r="106" spans="1:22" ht="15.75" customHeight="1">
      <c r="A106" s="468" t="s">
        <v>348</v>
      </c>
      <c r="B106" s="204" t="s">
        <v>184</v>
      </c>
      <c r="C106" s="527"/>
      <c r="D106" s="267"/>
      <c r="E106" s="706"/>
      <c r="F106" s="205"/>
      <c r="G106" s="206"/>
      <c r="H106" s="214"/>
      <c r="I106" s="503"/>
      <c r="J106" s="553"/>
      <c r="K106" s="552">
        <f t="shared" si="5"/>
        <v>0</v>
      </c>
      <c r="L106" s="217"/>
      <c r="M106" s="211">
        <f t="shared" si="4"/>
        <v>-46136</v>
      </c>
      <c r="N106" s="683">
        <f t="shared" si="6"/>
        <v>7</v>
      </c>
      <c r="O106" s="212"/>
      <c r="P106" s="544"/>
      <c r="Q106" s="561">
        <f t="shared" si="7"/>
        <v>0</v>
      </c>
      <c r="R106" s="58"/>
      <c r="S106" s="58"/>
      <c r="T106" s="58"/>
      <c r="U106" s="58"/>
      <c r="V106" s="58"/>
    </row>
    <row r="107" spans="1:22" ht="15.75" customHeight="1">
      <c r="A107" s="468" t="s">
        <v>348</v>
      </c>
      <c r="B107" s="204" t="s">
        <v>184</v>
      </c>
      <c r="C107" s="527"/>
      <c r="D107" s="267"/>
      <c r="E107" s="706"/>
      <c r="F107" s="205"/>
      <c r="G107" s="206"/>
      <c r="H107" s="214"/>
      <c r="I107" s="503"/>
      <c r="J107" s="553"/>
      <c r="K107" s="552">
        <f t="shared" si="5"/>
        <v>0</v>
      </c>
      <c r="L107" s="217"/>
      <c r="M107" s="211">
        <f t="shared" si="4"/>
        <v>-46136</v>
      </c>
      <c r="N107" s="683">
        <f t="shared" si="6"/>
        <v>7</v>
      </c>
      <c r="O107" s="212"/>
      <c r="P107" s="544"/>
      <c r="Q107" s="561">
        <f t="shared" si="7"/>
        <v>0</v>
      </c>
      <c r="R107" s="58"/>
      <c r="S107" s="58"/>
      <c r="T107" s="58"/>
      <c r="U107" s="58"/>
      <c r="V107" s="58"/>
    </row>
    <row r="108" spans="1:22" ht="15.75" customHeight="1">
      <c r="A108" s="468" t="s">
        <v>348</v>
      </c>
      <c r="B108" s="204" t="s">
        <v>184</v>
      </c>
      <c r="C108" s="527"/>
      <c r="D108" s="267"/>
      <c r="E108" s="706"/>
      <c r="F108" s="205"/>
      <c r="G108" s="206"/>
      <c r="H108" s="214"/>
      <c r="I108" s="503"/>
      <c r="J108" s="553"/>
      <c r="K108" s="552">
        <f t="shared" si="5"/>
        <v>0</v>
      </c>
      <c r="L108" s="217"/>
      <c r="M108" s="211">
        <f t="shared" si="4"/>
        <v>-46136</v>
      </c>
      <c r="N108" s="683">
        <f t="shared" si="6"/>
        <v>7</v>
      </c>
      <c r="O108" s="212"/>
      <c r="P108" s="544"/>
      <c r="Q108" s="561">
        <f t="shared" si="7"/>
        <v>0</v>
      </c>
      <c r="R108" s="58"/>
      <c r="S108" s="58"/>
      <c r="T108" s="58"/>
      <c r="U108" s="58"/>
      <c r="V108" s="58"/>
    </row>
    <row r="109" spans="1:22" ht="15.75" customHeight="1">
      <c r="A109" s="468" t="s">
        <v>348</v>
      </c>
      <c r="B109" s="204" t="s">
        <v>184</v>
      </c>
      <c r="C109" s="527"/>
      <c r="D109" s="267"/>
      <c r="E109" s="706"/>
      <c r="F109" s="205"/>
      <c r="G109" s="206"/>
      <c r="H109" s="214"/>
      <c r="I109" s="503"/>
      <c r="J109" s="553"/>
      <c r="K109" s="552">
        <f t="shared" si="5"/>
        <v>0</v>
      </c>
      <c r="L109" s="217"/>
      <c r="M109" s="211">
        <f t="shared" si="4"/>
        <v>-46136</v>
      </c>
      <c r="N109" s="683">
        <f t="shared" si="6"/>
        <v>7</v>
      </c>
      <c r="O109" s="212"/>
      <c r="P109" s="544"/>
      <c r="Q109" s="561">
        <f t="shared" si="7"/>
        <v>0</v>
      </c>
      <c r="R109" s="58"/>
      <c r="S109" s="58"/>
      <c r="T109" s="58"/>
      <c r="U109" s="58"/>
      <c r="V109" s="58"/>
    </row>
    <row r="110" spans="1:22" ht="15.75" customHeight="1">
      <c r="A110" s="468" t="s">
        <v>348</v>
      </c>
      <c r="B110" s="204" t="s">
        <v>184</v>
      </c>
      <c r="C110" s="527"/>
      <c r="D110" s="267"/>
      <c r="E110" s="706"/>
      <c r="F110" s="205"/>
      <c r="G110" s="206"/>
      <c r="H110" s="214"/>
      <c r="I110" s="503"/>
      <c r="J110" s="553"/>
      <c r="K110" s="552">
        <f t="shared" si="5"/>
        <v>0</v>
      </c>
      <c r="L110" s="217"/>
      <c r="M110" s="211">
        <f t="shared" si="4"/>
        <v>-46136</v>
      </c>
      <c r="N110" s="683">
        <f t="shared" si="6"/>
        <v>7</v>
      </c>
      <c r="O110" s="212"/>
      <c r="P110" s="544"/>
      <c r="Q110" s="561">
        <f t="shared" si="7"/>
        <v>0</v>
      </c>
      <c r="R110" s="58"/>
      <c r="S110" s="58"/>
      <c r="T110" s="58"/>
      <c r="U110" s="58"/>
      <c r="V110" s="58"/>
    </row>
    <row r="111" spans="1:22" ht="15.75" customHeight="1">
      <c r="A111" s="468" t="s">
        <v>348</v>
      </c>
      <c r="B111" s="204" t="s">
        <v>184</v>
      </c>
      <c r="C111" s="527"/>
      <c r="D111" s="267"/>
      <c r="E111" s="706"/>
      <c r="F111" s="267"/>
      <c r="G111" s="206"/>
      <c r="H111" s="214"/>
      <c r="I111" s="503"/>
      <c r="J111" s="553"/>
      <c r="K111" s="552">
        <f t="shared" si="5"/>
        <v>0</v>
      </c>
      <c r="L111" s="217"/>
      <c r="M111" s="211">
        <f t="shared" si="4"/>
        <v>-46136</v>
      </c>
      <c r="N111" s="683">
        <f t="shared" si="6"/>
        <v>7</v>
      </c>
      <c r="O111" s="212"/>
      <c r="P111" s="544"/>
      <c r="Q111" s="561">
        <f t="shared" si="7"/>
        <v>0</v>
      </c>
      <c r="R111" s="58"/>
      <c r="S111" s="58"/>
      <c r="T111" s="58"/>
      <c r="U111" s="58"/>
      <c r="V111" s="58"/>
    </row>
    <row r="112" spans="1:22" ht="15.75" customHeight="1">
      <c r="A112" s="468" t="s">
        <v>348</v>
      </c>
      <c r="B112" s="204" t="s">
        <v>184</v>
      </c>
      <c r="C112" s="527"/>
      <c r="D112" s="267"/>
      <c r="E112" s="706"/>
      <c r="F112" s="267"/>
      <c r="G112" s="206"/>
      <c r="H112" s="214"/>
      <c r="I112" s="503"/>
      <c r="J112" s="553"/>
      <c r="K112" s="552">
        <f t="shared" si="5"/>
        <v>0</v>
      </c>
      <c r="L112" s="217"/>
      <c r="M112" s="211">
        <f t="shared" si="4"/>
        <v>-46136</v>
      </c>
      <c r="N112" s="683">
        <f t="shared" si="6"/>
        <v>7</v>
      </c>
      <c r="O112" s="212"/>
      <c r="P112" s="544"/>
      <c r="Q112" s="561">
        <f t="shared" si="7"/>
        <v>0</v>
      </c>
      <c r="R112" s="58"/>
      <c r="S112" s="58"/>
      <c r="T112" s="58"/>
      <c r="U112" s="58"/>
      <c r="V112" s="58"/>
    </row>
    <row r="113" spans="1:22" ht="15.75" customHeight="1">
      <c r="A113" s="468" t="s">
        <v>348</v>
      </c>
      <c r="B113" s="204" t="s">
        <v>184</v>
      </c>
      <c r="C113" s="527"/>
      <c r="D113" s="267"/>
      <c r="E113" s="706"/>
      <c r="F113" s="267"/>
      <c r="G113" s="206"/>
      <c r="H113" s="214"/>
      <c r="I113" s="503"/>
      <c r="J113" s="553"/>
      <c r="K113" s="552">
        <f t="shared" si="5"/>
        <v>0</v>
      </c>
      <c r="L113" s="217"/>
      <c r="M113" s="211">
        <f t="shared" si="4"/>
        <v>-46136</v>
      </c>
      <c r="N113" s="683">
        <f t="shared" si="6"/>
        <v>7</v>
      </c>
      <c r="O113" s="212"/>
      <c r="P113" s="544"/>
      <c r="Q113" s="561">
        <f t="shared" si="7"/>
        <v>0</v>
      </c>
      <c r="R113" s="58"/>
      <c r="S113" s="58"/>
      <c r="T113" s="58"/>
      <c r="U113" s="58"/>
      <c r="V113" s="58"/>
    </row>
    <row r="114" spans="1:22" ht="15.75" customHeight="1">
      <c r="A114" s="468" t="s">
        <v>348</v>
      </c>
      <c r="B114" s="204" t="s">
        <v>184</v>
      </c>
      <c r="C114" s="527"/>
      <c r="D114" s="267"/>
      <c r="E114" s="706"/>
      <c r="F114" s="267"/>
      <c r="G114" s="206"/>
      <c r="H114" s="214"/>
      <c r="I114" s="503"/>
      <c r="J114" s="553"/>
      <c r="K114" s="552">
        <f t="shared" si="5"/>
        <v>0</v>
      </c>
      <c r="L114" s="217"/>
      <c r="M114" s="211">
        <f t="shared" si="4"/>
        <v>-46136</v>
      </c>
      <c r="N114" s="683">
        <f t="shared" si="6"/>
        <v>7</v>
      </c>
      <c r="O114" s="212"/>
      <c r="P114" s="544"/>
      <c r="Q114" s="561">
        <f t="shared" si="7"/>
        <v>0</v>
      </c>
      <c r="R114" s="58"/>
      <c r="S114" s="58"/>
      <c r="T114" s="58"/>
      <c r="U114" s="58"/>
      <c r="V114" s="58"/>
    </row>
    <row r="115" spans="1:22" ht="15.75" customHeight="1">
      <c r="A115" s="468" t="s">
        <v>348</v>
      </c>
      <c r="B115" s="204" t="s">
        <v>184</v>
      </c>
      <c r="C115" s="527"/>
      <c r="D115" s="267"/>
      <c r="E115" s="706"/>
      <c r="F115" s="267"/>
      <c r="G115" s="206"/>
      <c r="H115" s="214"/>
      <c r="I115" s="503"/>
      <c r="J115" s="553"/>
      <c r="K115" s="552">
        <f t="shared" si="5"/>
        <v>0</v>
      </c>
      <c r="L115" s="217"/>
      <c r="M115" s="211">
        <f t="shared" si="4"/>
        <v>-46136</v>
      </c>
      <c r="N115" s="683">
        <f t="shared" si="6"/>
        <v>7</v>
      </c>
      <c r="O115" s="212"/>
      <c r="P115" s="544"/>
      <c r="Q115" s="561">
        <f t="shared" si="7"/>
        <v>0</v>
      </c>
      <c r="R115" s="58"/>
      <c r="S115" s="58"/>
      <c r="T115" s="58"/>
      <c r="U115" s="58"/>
      <c r="V115" s="58"/>
    </row>
    <row r="116" spans="1:22" ht="15.75" customHeight="1">
      <c r="A116" s="468" t="s">
        <v>348</v>
      </c>
      <c r="B116" s="204" t="s">
        <v>184</v>
      </c>
      <c r="C116" s="527"/>
      <c r="D116" s="267"/>
      <c r="E116" s="706"/>
      <c r="F116" s="267"/>
      <c r="G116" s="206"/>
      <c r="H116" s="214"/>
      <c r="I116" s="503"/>
      <c r="J116" s="553"/>
      <c r="K116" s="552">
        <f t="shared" si="5"/>
        <v>0</v>
      </c>
      <c r="L116" s="217"/>
      <c r="M116" s="211">
        <f t="shared" si="4"/>
        <v>-46136</v>
      </c>
      <c r="N116" s="683">
        <f t="shared" si="6"/>
        <v>7</v>
      </c>
      <c r="O116" s="212"/>
      <c r="P116" s="544"/>
      <c r="Q116" s="561">
        <f t="shared" si="7"/>
        <v>0</v>
      </c>
      <c r="R116" s="58"/>
      <c r="S116" s="58"/>
      <c r="T116" s="58"/>
      <c r="U116" s="58"/>
      <c r="V116" s="58"/>
    </row>
    <row r="117" spans="1:22" ht="15.75" customHeight="1">
      <c r="A117" s="468" t="s">
        <v>348</v>
      </c>
      <c r="B117" s="204" t="s">
        <v>184</v>
      </c>
      <c r="C117" s="527"/>
      <c r="D117" s="205"/>
      <c r="E117" s="706"/>
      <c r="F117" s="267"/>
      <c r="G117" s="206"/>
      <c r="H117" s="214"/>
      <c r="I117" s="503"/>
      <c r="J117" s="553"/>
      <c r="K117" s="552">
        <f t="shared" si="5"/>
        <v>0</v>
      </c>
      <c r="L117" s="217"/>
      <c r="M117" s="211">
        <f t="shared" si="4"/>
        <v>-46136</v>
      </c>
      <c r="N117" s="683">
        <f t="shared" si="6"/>
        <v>7</v>
      </c>
      <c r="O117" s="212"/>
      <c r="P117" s="544"/>
      <c r="Q117" s="561">
        <f t="shared" si="7"/>
        <v>0</v>
      </c>
      <c r="R117" s="58"/>
      <c r="S117" s="58"/>
      <c r="T117" s="58"/>
      <c r="U117" s="58"/>
      <c r="V117" s="58"/>
    </row>
    <row r="118" spans="1:22" ht="15.75" customHeight="1">
      <c r="A118" s="468" t="s">
        <v>348</v>
      </c>
      <c r="B118" s="204" t="s">
        <v>184</v>
      </c>
      <c r="C118" s="527"/>
      <c r="D118" s="205"/>
      <c r="E118" s="706"/>
      <c r="F118" s="267"/>
      <c r="G118" s="206"/>
      <c r="H118" s="214"/>
      <c r="I118" s="503"/>
      <c r="J118" s="553"/>
      <c r="K118" s="552">
        <f t="shared" si="5"/>
        <v>0</v>
      </c>
      <c r="L118" s="217"/>
      <c r="M118" s="211">
        <f t="shared" si="4"/>
        <v>-46136</v>
      </c>
      <c r="N118" s="683">
        <f t="shared" si="6"/>
        <v>7</v>
      </c>
      <c r="O118" s="212"/>
      <c r="P118" s="544"/>
      <c r="Q118" s="561">
        <f t="shared" si="7"/>
        <v>0</v>
      </c>
      <c r="R118" s="58"/>
      <c r="S118" s="58"/>
      <c r="T118" s="58"/>
      <c r="U118" s="58"/>
      <c r="V118" s="58"/>
    </row>
    <row r="119" spans="1:22" ht="15.75" customHeight="1">
      <c r="A119" s="468" t="s">
        <v>348</v>
      </c>
      <c r="B119" s="204" t="s">
        <v>184</v>
      </c>
      <c r="C119" s="527"/>
      <c r="D119" s="267"/>
      <c r="E119" s="706"/>
      <c r="F119" s="267"/>
      <c r="G119" s="206"/>
      <c r="H119" s="214"/>
      <c r="I119" s="500"/>
      <c r="J119" s="553"/>
      <c r="K119" s="552">
        <f t="shared" si="5"/>
        <v>0</v>
      </c>
      <c r="L119" s="217"/>
      <c r="M119" s="211">
        <f t="shared" si="4"/>
        <v>-46136</v>
      </c>
      <c r="N119" s="683">
        <f t="shared" si="6"/>
        <v>7</v>
      </c>
      <c r="O119" s="212"/>
      <c r="P119" s="544"/>
      <c r="Q119" s="561">
        <f t="shared" si="7"/>
        <v>0</v>
      </c>
      <c r="R119" s="58"/>
      <c r="S119" s="58"/>
      <c r="T119" s="58"/>
      <c r="U119" s="58"/>
      <c r="V119" s="58"/>
    </row>
    <row r="120" spans="1:22" ht="15.75" customHeight="1">
      <c r="A120" s="468" t="s">
        <v>348</v>
      </c>
      <c r="B120" s="204" t="s">
        <v>184</v>
      </c>
      <c r="C120" s="527"/>
      <c r="D120" s="267"/>
      <c r="E120" s="706"/>
      <c r="F120" s="267"/>
      <c r="G120" s="206"/>
      <c r="H120" s="214"/>
      <c r="I120" s="503"/>
      <c r="J120" s="553"/>
      <c r="K120" s="552">
        <f t="shared" si="5"/>
        <v>0</v>
      </c>
      <c r="L120" s="217"/>
      <c r="M120" s="211">
        <f t="shared" si="4"/>
        <v>-46136</v>
      </c>
      <c r="N120" s="683">
        <f t="shared" si="6"/>
        <v>7</v>
      </c>
      <c r="O120" s="212"/>
      <c r="P120" s="58"/>
      <c r="Q120" s="561">
        <f t="shared" si="7"/>
        <v>0</v>
      </c>
      <c r="R120" s="58"/>
      <c r="S120" s="58"/>
      <c r="T120" s="58"/>
      <c r="U120" s="58"/>
      <c r="V120" s="58"/>
    </row>
    <row r="121" spans="1:22" ht="15.75" customHeight="1">
      <c r="A121" s="468" t="s">
        <v>348</v>
      </c>
      <c r="B121" s="204" t="s">
        <v>184</v>
      </c>
      <c r="C121" s="527"/>
      <c r="D121" s="205"/>
      <c r="E121" s="706"/>
      <c r="F121" s="205"/>
      <c r="G121" s="206"/>
      <c r="H121" s="214"/>
      <c r="I121" s="503"/>
      <c r="J121" s="553"/>
      <c r="K121" s="552">
        <f t="shared" si="5"/>
        <v>0</v>
      </c>
      <c r="L121" s="217"/>
      <c r="M121" s="211">
        <f t="shared" si="4"/>
        <v>-46136</v>
      </c>
      <c r="N121" s="683">
        <f t="shared" si="6"/>
        <v>7</v>
      </c>
      <c r="O121" s="212"/>
      <c r="P121" s="544"/>
      <c r="Q121" s="561">
        <f t="shared" si="7"/>
        <v>0</v>
      </c>
      <c r="R121" s="58"/>
      <c r="S121" s="58"/>
      <c r="T121" s="58"/>
      <c r="U121" s="58"/>
      <c r="V121" s="58"/>
    </row>
    <row r="122" spans="1:22" ht="15.75" customHeight="1">
      <c r="A122" s="468" t="s">
        <v>348</v>
      </c>
      <c r="B122" s="204" t="s">
        <v>184</v>
      </c>
      <c r="C122" s="527"/>
      <c r="D122" s="205"/>
      <c r="E122" s="706"/>
      <c r="F122" s="205"/>
      <c r="G122" s="206"/>
      <c r="H122" s="214"/>
      <c r="I122" s="503"/>
      <c r="J122" s="553"/>
      <c r="K122" s="552">
        <f t="shared" si="5"/>
        <v>0</v>
      </c>
      <c r="L122" s="217"/>
      <c r="M122" s="211">
        <f t="shared" si="4"/>
        <v>-46136</v>
      </c>
      <c r="N122" s="683">
        <f t="shared" si="6"/>
        <v>7</v>
      </c>
      <c r="O122" s="212"/>
      <c r="P122" s="544"/>
      <c r="Q122" s="561">
        <f t="shared" si="7"/>
        <v>0</v>
      </c>
      <c r="R122" s="58"/>
      <c r="S122" s="58"/>
      <c r="T122" s="58"/>
      <c r="U122" s="58"/>
      <c r="V122" s="58"/>
    </row>
    <row r="123" spans="1:22" ht="15.75" customHeight="1">
      <c r="A123" s="468" t="s">
        <v>348</v>
      </c>
      <c r="B123" s="204" t="s">
        <v>184</v>
      </c>
      <c r="C123" s="527"/>
      <c r="D123" s="205"/>
      <c r="E123" s="706"/>
      <c r="F123" s="205"/>
      <c r="G123" s="206"/>
      <c r="H123" s="214"/>
      <c r="I123" s="503"/>
      <c r="J123" s="553"/>
      <c r="K123" s="552">
        <f t="shared" si="5"/>
        <v>0</v>
      </c>
      <c r="L123" s="217"/>
      <c r="M123" s="211">
        <f t="shared" si="4"/>
        <v>-46136</v>
      </c>
      <c r="N123" s="683">
        <f t="shared" si="6"/>
        <v>7</v>
      </c>
      <c r="O123" s="212"/>
      <c r="P123" s="544"/>
      <c r="Q123" s="561">
        <f t="shared" si="7"/>
        <v>0</v>
      </c>
      <c r="R123" s="58"/>
      <c r="S123" s="58"/>
      <c r="T123" s="58"/>
      <c r="U123" s="58"/>
      <c r="V123" s="58"/>
    </row>
    <row r="124" spans="1:22" ht="15.75" customHeight="1">
      <c r="A124" s="468" t="s">
        <v>348</v>
      </c>
      <c r="B124" s="204" t="s">
        <v>184</v>
      </c>
      <c r="C124" s="527"/>
      <c r="D124" s="205"/>
      <c r="E124" s="706"/>
      <c r="F124" s="205"/>
      <c r="G124" s="206"/>
      <c r="H124" s="214"/>
      <c r="I124" s="501"/>
      <c r="J124" s="553"/>
      <c r="K124" s="552">
        <f t="shared" si="5"/>
        <v>0</v>
      </c>
      <c r="L124" s="217"/>
      <c r="M124" s="211">
        <f t="shared" si="4"/>
        <v>-46136</v>
      </c>
      <c r="N124" s="683">
        <f t="shared" si="6"/>
        <v>7</v>
      </c>
      <c r="O124" s="212"/>
      <c r="P124" s="544"/>
      <c r="Q124" s="561">
        <f t="shared" si="7"/>
        <v>0</v>
      </c>
      <c r="R124" s="58"/>
      <c r="S124" s="58"/>
      <c r="T124" s="58"/>
      <c r="U124" s="58"/>
      <c r="V124" s="58"/>
    </row>
    <row r="125" spans="1:22" ht="15.75" customHeight="1">
      <c r="A125" s="468" t="s">
        <v>348</v>
      </c>
      <c r="B125" s="204" t="s">
        <v>184</v>
      </c>
      <c r="C125" s="527"/>
      <c r="D125" s="205"/>
      <c r="E125" s="706"/>
      <c r="F125" s="205"/>
      <c r="G125" s="206"/>
      <c r="H125" s="214"/>
      <c r="I125" s="501"/>
      <c r="J125" s="553"/>
      <c r="K125" s="552">
        <f t="shared" si="5"/>
        <v>0</v>
      </c>
      <c r="L125" s="217"/>
      <c r="M125" s="211">
        <f t="shared" si="4"/>
        <v>-46136</v>
      </c>
      <c r="N125" s="683">
        <f t="shared" si="6"/>
        <v>7</v>
      </c>
      <c r="O125" s="212"/>
      <c r="P125" s="544"/>
      <c r="Q125" s="561">
        <f t="shared" si="7"/>
        <v>0</v>
      </c>
      <c r="R125" s="58"/>
      <c r="S125" s="58"/>
      <c r="T125" s="58"/>
      <c r="U125" s="58"/>
      <c r="V125" s="58"/>
    </row>
    <row r="126" spans="1:22" ht="15.75" customHeight="1">
      <c r="A126" s="468" t="s">
        <v>348</v>
      </c>
      <c r="B126" s="204" t="s">
        <v>184</v>
      </c>
      <c r="C126" s="527"/>
      <c r="D126" s="205"/>
      <c r="E126" s="706"/>
      <c r="F126" s="205"/>
      <c r="G126" s="206"/>
      <c r="H126" s="214"/>
      <c r="I126" s="501"/>
      <c r="J126" s="553"/>
      <c r="K126" s="552">
        <f t="shared" si="5"/>
        <v>0</v>
      </c>
      <c r="L126" s="217"/>
      <c r="M126" s="211">
        <f t="shared" si="4"/>
        <v>-46136</v>
      </c>
      <c r="N126" s="683">
        <f t="shared" si="6"/>
        <v>7</v>
      </c>
      <c r="O126" s="212"/>
      <c r="P126" s="544"/>
      <c r="Q126" s="561">
        <f t="shared" si="7"/>
        <v>0</v>
      </c>
      <c r="R126" s="58"/>
      <c r="S126" s="58"/>
      <c r="T126" s="58"/>
      <c r="U126" s="58"/>
      <c r="V126" s="58"/>
    </row>
    <row r="127" spans="1:22" ht="15.75" customHeight="1">
      <c r="A127" s="468" t="s">
        <v>348</v>
      </c>
      <c r="B127" s="204" t="s">
        <v>184</v>
      </c>
      <c r="C127" s="527"/>
      <c r="D127" s="267"/>
      <c r="E127" s="706"/>
      <c r="F127" s="267"/>
      <c r="G127" s="206"/>
      <c r="H127" s="214"/>
      <c r="I127" s="500"/>
      <c r="J127" s="553"/>
      <c r="K127" s="552">
        <f t="shared" si="5"/>
        <v>0</v>
      </c>
      <c r="L127" s="217"/>
      <c r="M127" s="211">
        <f t="shared" si="4"/>
        <v>-46136</v>
      </c>
      <c r="N127" s="683">
        <f t="shared" si="6"/>
        <v>7</v>
      </c>
      <c r="O127" s="212"/>
      <c r="P127" s="544"/>
      <c r="Q127" s="561">
        <f t="shared" si="7"/>
        <v>0</v>
      </c>
      <c r="R127" s="58"/>
      <c r="S127" s="58"/>
      <c r="T127" s="58"/>
      <c r="U127" s="58"/>
      <c r="V127" s="58"/>
    </row>
    <row r="128" spans="1:22" ht="15.75" customHeight="1">
      <c r="A128" s="468" t="s">
        <v>348</v>
      </c>
      <c r="B128" s="204" t="s">
        <v>184</v>
      </c>
      <c r="C128" s="527"/>
      <c r="D128" s="267"/>
      <c r="E128" s="706"/>
      <c r="F128" s="267"/>
      <c r="G128" s="206"/>
      <c r="H128" s="214"/>
      <c r="I128" s="503"/>
      <c r="J128" s="553"/>
      <c r="K128" s="552">
        <f t="shared" si="5"/>
        <v>0</v>
      </c>
      <c r="L128" s="217"/>
      <c r="M128" s="211">
        <f t="shared" si="4"/>
        <v>-46136</v>
      </c>
      <c r="N128" s="683">
        <f t="shared" si="6"/>
        <v>7</v>
      </c>
      <c r="O128" s="212"/>
      <c r="P128" s="544"/>
      <c r="Q128" s="561">
        <f t="shared" si="7"/>
        <v>0</v>
      </c>
      <c r="R128" s="58"/>
      <c r="S128" s="58"/>
      <c r="T128" s="58"/>
      <c r="U128" s="58"/>
      <c r="V128" s="58"/>
    </row>
    <row r="129" spans="1:22" ht="15.75" customHeight="1">
      <c r="A129" s="468" t="s">
        <v>348</v>
      </c>
      <c r="B129" s="204" t="s">
        <v>184</v>
      </c>
      <c r="C129" s="527"/>
      <c r="D129" s="267"/>
      <c r="E129" s="706"/>
      <c r="F129" s="267"/>
      <c r="G129" s="206"/>
      <c r="H129" s="214"/>
      <c r="I129" s="500"/>
      <c r="J129" s="553"/>
      <c r="K129" s="552">
        <f t="shared" si="5"/>
        <v>0</v>
      </c>
      <c r="L129" s="217"/>
      <c r="M129" s="211">
        <f t="shared" si="4"/>
        <v>-46136</v>
      </c>
      <c r="N129" s="683">
        <f t="shared" si="6"/>
        <v>7</v>
      </c>
      <c r="O129" s="212"/>
      <c r="P129" s="544"/>
      <c r="Q129" s="561">
        <f t="shared" si="7"/>
        <v>0</v>
      </c>
      <c r="R129" s="58"/>
      <c r="S129" s="58"/>
      <c r="T129" s="58"/>
      <c r="U129" s="58"/>
      <c r="V129" s="58"/>
    </row>
    <row r="130" spans="1:22" ht="15.75" customHeight="1">
      <c r="A130" s="468" t="s">
        <v>348</v>
      </c>
      <c r="B130" s="204" t="s">
        <v>184</v>
      </c>
      <c r="C130" s="527"/>
      <c r="D130" s="267"/>
      <c r="E130" s="706"/>
      <c r="F130" s="267"/>
      <c r="G130" s="206"/>
      <c r="H130" s="214"/>
      <c r="I130" s="500"/>
      <c r="J130" s="553"/>
      <c r="K130" s="552">
        <f t="shared" si="5"/>
        <v>0</v>
      </c>
      <c r="L130" s="217"/>
      <c r="M130" s="211">
        <f t="shared" si="4"/>
        <v>-46136</v>
      </c>
      <c r="N130" s="683">
        <f t="shared" si="6"/>
        <v>7</v>
      </c>
      <c r="O130" s="212"/>
      <c r="P130" s="544"/>
      <c r="Q130" s="561">
        <f t="shared" si="7"/>
        <v>0</v>
      </c>
      <c r="R130" s="58"/>
      <c r="S130" s="58"/>
      <c r="T130" s="58"/>
      <c r="U130" s="58"/>
      <c r="V130" s="58"/>
    </row>
    <row r="131" spans="1:22" ht="15.75" customHeight="1">
      <c r="A131" s="468" t="s">
        <v>348</v>
      </c>
      <c r="B131" s="204" t="s">
        <v>184</v>
      </c>
      <c r="C131" s="527"/>
      <c r="D131" s="267"/>
      <c r="E131" s="706"/>
      <c r="F131" s="267"/>
      <c r="G131" s="206"/>
      <c r="H131" s="214"/>
      <c r="I131" s="503"/>
      <c r="J131" s="553"/>
      <c r="K131" s="552">
        <f t="shared" si="5"/>
        <v>0</v>
      </c>
      <c r="L131" s="217"/>
      <c r="M131" s="211">
        <f t="shared" si="4"/>
        <v>-46136</v>
      </c>
      <c r="N131" s="683">
        <f t="shared" si="6"/>
        <v>7</v>
      </c>
      <c r="O131" s="212"/>
      <c r="P131" s="544"/>
      <c r="Q131" s="561">
        <f t="shared" si="7"/>
        <v>0</v>
      </c>
      <c r="R131" s="58"/>
      <c r="S131" s="58"/>
      <c r="T131" s="58"/>
      <c r="U131" s="58"/>
      <c r="V131" s="58"/>
    </row>
    <row r="132" spans="1:22" ht="15.75" customHeight="1">
      <c r="A132" s="468" t="s">
        <v>348</v>
      </c>
      <c r="B132" s="204" t="s">
        <v>184</v>
      </c>
      <c r="C132" s="527"/>
      <c r="D132" s="267"/>
      <c r="E132" s="706"/>
      <c r="F132" s="267"/>
      <c r="G132" s="206"/>
      <c r="H132" s="214"/>
      <c r="I132" s="503"/>
      <c r="J132" s="553"/>
      <c r="K132" s="552">
        <f t="shared" si="5"/>
        <v>0</v>
      </c>
      <c r="L132" s="217"/>
      <c r="M132" s="211">
        <f t="shared" si="4"/>
        <v>-46136</v>
      </c>
      <c r="N132" s="683">
        <f t="shared" si="6"/>
        <v>7</v>
      </c>
      <c r="O132" s="212"/>
      <c r="P132" s="544"/>
      <c r="Q132" s="561">
        <f t="shared" si="7"/>
        <v>0</v>
      </c>
      <c r="R132" s="58"/>
      <c r="S132" s="58"/>
      <c r="T132" s="58"/>
      <c r="U132" s="58"/>
      <c r="V132" s="58"/>
    </row>
    <row r="133" spans="1:22" ht="15.75" customHeight="1">
      <c r="A133" s="468" t="s">
        <v>348</v>
      </c>
      <c r="B133" s="204" t="s">
        <v>184</v>
      </c>
      <c r="C133" s="527"/>
      <c r="D133" s="267"/>
      <c r="E133" s="706"/>
      <c r="F133" s="267"/>
      <c r="G133" s="206"/>
      <c r="H133" s="214"/>
      <c r="I133" s="503"/>
      <c r="J133" s="553"/>
      <c r="K133" s="552">
        <f t="shared" si="5"/>
        <v>0</v>
      </c>
      <c r="L133" s="217"/>
      <c r="M133" s="211">
        <f t="shared" si="4"/>
        <v>-46136</v>
      </c>
      <c r="N133" s="683">
        <f t="shared" si="6"/>
        <v>7</v>
      </c>
      <c r="O133" s="212"/>
      <c r="P133" s="544"/>
      <c r="Q133" s="561">
        <f t="shared" si="7"/>
        <v>0</v>
      </c>
      <c r="R133" s="58"/>
      <c r="S133" s="58"/>
      <c r="T133" s="58"/>
      <c r="U133" s="58"/>
      <c r="V133" s="58"/>
    </row>
    <row r="134" spans="1:22" ht="15.75" customHeight="1">
      <c r="A134" s="468" t="s">
        <v>348</v>
      </c>
      <c r="B134" s="204" t="s">
        <v>184</v>
      </c>
      <c r="C134" s="527"/>
      <c r="D134" s="267"/>
      <c r="E134" s="706"/>
      <c r="F134" s="267"/>
      <c r="G134" s="206"/>
      <c r="H134" s="214"/>
      <c r="I134" s="501"/>
      <c r="J134" s="553"/>
      <c r="K134" s="552">
        <f t="shared" si="5"/>
        <v>0</v>
      </c>
      <c r="L134" s="217"/>
      <c r="M134" s="211">
        <f t="shared" si="4"/>
        <v>-46136</v>
      </c>
      <c r="N134" s="683">
        <f t="shared" si="6"/>
        <v>7</v>
      </c>
      <c r="O134" s="212"/>
      <c r="P134" s="544"/>
      <c r="Q134" s="561">
        <f t="shared" si="7"/>
        <v>0</v>
      </c>
      <c r="R134" s="58"/>
      <c r="S134" s="58"/>
      <c r="T134" s="58"/>
      <c r="U134" s="58"/>
      <c r="V134" s="58"/>
    </row>
    <row r="135" spans="1:22" ht="15.75" customHeight="1">
      <c r="A135" s="468" t="s">
        <v>348</v>
      </c>
      <c r="B135" s="204" t="s">
        <v>184</v>
      </c>
      <c r="C135" s="527"/>
      <c r="D135" s="267"/>
      <c r="E135" s="706"/>
      <c r="F135" s="267"/>
      <c r="G135" s="206"/>
      <c r="H135" s="214"/>
      <c r="I135" s="501"/>
      <c r="J135" s="553"/>
      <c r="K135" s="552">
        <f t="shared" si="5"/>
        <v>0</v>
      </c>
      <c r="L135" s="217"/>
      <c r="M135" s="211">
        <f t="shared" si="4"/>
        <v>-46136</v>
      </c>
      <c r="N135" s="683">
        <f t="shared" si="6"/>
        <v>7</v>
      </c>
      <c r="O135" s="212"/>
      <c r="P135" s="544"/>
      <c r="Q135" s="561">
        <f t="shared" si="7"/>
        <v>0</v>
      </c>
      <c r="R135" s="58"/>
      <c r="S135" s="58"/>
      <c r="T135" s="58"/>
      <c r="U135" s="58"/>
      <c r="V135" s="58"/>
    </row>
    <row r="136" spans="1:22" ht="15.75" customHeight="1">
      <c r="A136" s="468" t="s">
        <v>348</v>
      </c>
      <c r="B136" s="204" t="s">
        <v>184</v>
      </c>
      <c r="C136" s="527"/>
      <c r="D136" s="267"/>
      <c r="E136" s="706"/>
      <c r="F136" s="267"/>
      <c r="G136" s="206"/>
      <c r="H136" s="214"/>
      <c r="I136" s="501"/>
      <c r="J136" s="553"/>
      <c r="K136" s="552">
        <f t="shared" si="5"/>
        <v>0</v>
      </c>
      <c r="L136" s="217"/>
      <c r="M136" s="211">
        <f t="shared" si="4"/>
        <v>-46136</v>
      </c>
      <c r="N136" s="683">
        <f t="shared" si="6"/>
        <v>7</v>
      </c>
      <c r="O136" s="212"/>
      <c r="P136" s="544"/>
      <c r="Q136" s="561">
        <f t="shared" si="7"/>
        <v>0</v>
      </c>
      <c r="R136" s="58"/>
      <c r="S136" s="58"/>
      <c r="T136" s="58"/>
      <c r="U136" s="58"/>
      <c r="V136" s="58"/>
    </row>
    <row r="137" spans="1:22" ht="15.75" customHeight="1">
      <c r="A137" s="468" t="s">
        <v>348</v>
      </c>
      <c r="B137" s="204" t="s">
        <v>184</v>
      </c>
      <c r="C137" s="527"/>
      <c r="D137" s="267"/>
      <c r="E137" s="706"/>
      <c r="F137" s="267"/>
      <c r="G137" s="206"/>
      <c r="H137" s="214"/>
      <c r="I137" s="501"/>
      <c r="J137" s="553"/>
      <c r="K137" s="552">
        <f t="shared" si="5"/>
        <v>0</v>
      </c>
      <c r="L137" s="217"/>
      <c r="M137" s="211">
        <f t="shared" ref="M137:M200" si="8">+L137-$E$6</f>
        <v>-46136</v>
      </c>
      <c r="N137" s="683">
        <f t="shared" si="6"/>
        <v>7</v>
      </c>
      <c r="O137" s="212"/>
      <c r="P137" s="544"/>
      <c r="Q137" s="561">
        <f t="shared" si="7"/>
        <v>0</v>
      </c>
      <c r="R137" s="58"/>
      <c r="S137" s="58"/>
      <c r="T137" s="58"/>
      <c r="U137" s="58"/>
      <c r="V137" s="58"/>
    </row>
    <row r="138" spans="1:22" ht="15.75" customHeight="1">
      <c r="A138" s="468" t="s">
        <v>348</v>
      </c>
      <c r="B138" s="204" t="s">
        <v>184</v>
      </c>
      <c r="C138" s="527"/>
      <c r="D138" s="205"/>
      <c r="E138" s="706"/>
      <c r="F138" s="205"/>
      <c r="G138" s="206"/>
      <c r="H138" s="214"/>
      <c r="I138" s="501"/>
      <c r="J138" s="553"/>
      <c r="K138" s="552">
        <f t="shared" ref="K138:K201" si="9">-J138</f>
        <v>0</v>
      </c>
      <c r="L138" s="217"/>
      <c r="M138" s="211">
        <f t="shared" si="8"/>
        <v>-46136</v>
      </c>
      <c r="N138" s="683">
        <f t="shared" ref="N138:N201" si="10">+L138+7</f>
        <v>7</v>
      </c>
      <c r="O138" s="212"/>
      <c r="P138" s="544"/>
      <c r="Q138" s="561">
        <f t="shared" si="7"/>
        <v>0</v>
      </c>
      <c r="R138" s="58"/>
      <c r="S138" s="58"/>
      <c r="T138" s="58"/>
      <c r="U138" s="58"/>
      <c r="V138" s="58"/>
    </row>
    <row r="139" spans="1:22" ht="15.75" customHeight="1">
      <c r="A139" s="468" t="s">
        <v>348</v>
      </c>
      <c r="B139" s="204" t="s">
        <v>184</v>
      </c>
      <c r="C139" s="527"/>
      <c r="D139" s="205"/>
      <c r="E139" s="706"/>
      <c r="F139" s="205"/>
      <c r="G139" s="206"/>
      <c r="H139" s="214"/>
      <c r="I139" s="503"/>
      <c r="J139" s="553"/>
      <c r="K139" s="552">
        <f t="shared" si="9"/>
        <v>0</v>
      </c>
      <c r="L139" s="217"/>
      <c r="M139" s="211">
        <f t="shared" si="8"/>
        <v>-46136</v>
      </c>
      <c r="N139" s="683">
        <f t="shared" si="10"/>
        <v>7</v>
      </c>
      <c r="O139" s="212"/>
      <c r="P139" s="544"/>
      <c r="Q139" s="561">
        <f t="shared" ref="Q139:Q202" si="11">+K139+J139</f>
        <v>0</v>
      </c>
      <c r="R139" s="58"/>
      <c r="S139" s="58"/>
      <c r="T139" s="58"/>
      <c r="U139" s="58"/>
      <c r="V139" s="58"/>
    </row>
    <row r="140" spans="1:22" ht="15.75" customHeight="1">
      <c r="A140" s="468" t="s">
        <v>348</v>
      </c>
      <c r="B140" s="204" t="s">
        <v>184</v>
      </c>
      <c r="C140" s="527"/>
      <c r="D140" s="205"/>
      <c r="E140" s="706"/>
      <c r="F140" s="205"/>
      <c r="G140" s="206"/>
      <c r="H140" s="214"/>
      <c r="I140" s="503"/>
      <c r="J140" s="553"/>
      <c r="K140" s="552">
        <f t="shared" si="9"/>
        <v>0</v>
      </c>
      <c r="L140" s="217"/>
      <c r="M140" s="211">
        <f t="shared" si="8"/>
        <v>-46136</v>
      </c>
      <c r="N140" s="683">
        <f t="shared" si="10"/>
        <v>7</v>
      </c>
      <c r="O140" s="212"/>
      <c r="P140" s="544"/>
      <c r="Q140" s="561">
        <f t="shared" si="11"/>
        <v>0</v>
      </c>
      <c r="R140" s="58"/>
      <c r="S140" s="58"/>
      <c r="T140" s="58"/>
      <c r="U140" s="58"/>
      <c r="V140" s="58"/>
    </row>
    <row r="141" spans="1:22" ht="15.75" customHeight="1">
      <c r="A141" s="468" t="s">
        <v>348</v>
      </c>
      <c r="B141" s="204" t="s">
        <v>184</v>
      </c>
      <c r="C141" s="527"/>
      <c r="D141" s="205"/>
      <c r="E141" s="706"/>
      <c r="F141" s="205"/>
      <c r="G141" s="206"/>
      <c r="H141" s="214"/>
      <c r="I141" s="503"/>
      <c r="J141" s="553"/>
      <c r="K141" s="552">
        <f t="shared" si="9"/>
        <v>0</v>
      </c>
      <c r="L141" s="217"/>
      <c r="M141" s="211">
        <f t="shared" si="8"/>
        <v>-46136</v>
      </c>
      <c r="N141" s="683">
        <f t="shared" si="10"/>
        <v>7</v>
      </c>
      <c r="O141" s="212"/>
      <c r="P141" s="544"/>
      <c r="Q141" s="561">
        <f t="shared" si="11"/>
        <v>0</v>
      </c>
      <c r="R141" s="58"/>
      <c r="S141" s="58"/>
      <c r="T141" s="58"/>
      <c r="U141" s="58"/>
      <c r="V141" s="58"/>
    </row>
    <row r="142" spans="1:22" ht="15.75" customHeight="1">
      <c r="A142" s="468" t="s">
        <v>348</v>
      </c>
      <c r="B142" s="204" t="s">
        <v>184</v>
      </c>
      <c r="C142" s="527"/>
      <c r="D142" s="205"/>
      <c r="E142" s="706"/>
      <c r="F142" s="205"/>
      <c r="G142" s="206"/>
      <c r="H142" s="214"/>
      <c r="I142" s="503"/>
      <c r="J142" s="553"/>
      <c r="K142" s="552">
        <f t="shared" si="9"/>
        <v>0</v>
      </c>
      <c r="L142" s="217"/>
      <c r="M142" s="211">
        <f t="shared" si="8"/>
        <v>-46136</v>
      </c>
      <c r="N142" s="683">
        <f t="shared" si="10"/>
        <v>7</v>
      </c>
      <c r="O142" s="212"/>
      <c r="P142" s="544"/>
      <c r="Q142" s="561">
        <f t="shared" si="11"/>
        <v>0</v>
      </c>
      <c r="R142" s="58"/>
      <c r="S142" s="58"/>
      <c r="T142" s="58"/>
      <c r="U142" s="58"/>
      <c r="V142" s="58"/>
    </row>
    <row r="143" spans="1:22" ht="15.75" customHeight="1">
      <c r="A143" s="468" t="s">
        <v>348</v>
      </c>
      <c r="B143" s="204" t="s">
        <v>184</v>
      </c>
      <c r="C143" s="527"/>
      <c r="D143" s="205"/>
      <c r="E143" s="706"/>
      <c r="F143" s="205"/>
      <c r="G143" s="206"/>
      <c r="H143" s="214"/>
      <c r="I143" s="503"/>
      <c r="J143" s="553"/>
      <c r="K143" s="552">
        <f t="shared" si="9"/>
        <v>0</v>
      </c>
      <c r="L143" s="217"/>
      <c r="M143" s="211">
        <f t="shared" si="8"/>
        <v>-46136</v>
      </c>
      <c r="N143" s="683">
        <f t="shared" si="10"/>
        <v>7</v>
      </c>
      <c r="O143" s="212"/>
      <c r="P143" s="544"/>
      <c r="Q143" s="561">
        <f t="shared" si="11"/>
        <v>0</v>
      </c>
      <c r="R143" s="58"/>
      <c r="S143" s="58"/>
      <c r="T143" s="58"/>
      <c r="U143" s="58"/>
      <c r="V143" s="58"/>
    </row>
    <row r="144" spans="1:22" ht="15.75" customHeight="1">
      <c r="A144" s="468" t="s">
        <v>348</v>
      </c>
      <c r="B144" s="204" t="s">
        <v>184</v>
      </c>
      <c r="C144" s="527"/>
      <c r="D144" s="205"/>
      <c r="E144" s="706"/>
      <c r="F144" s="205"/>
      <c r="G144" s="206"/>
      <c r="H144" s="214"/>
      <c r="I144" s="503"/>
      <c r="J144" s="553"/>
      <c r="K144" s="552">
        <f t="shared" si="9"/>
        <v>0</v>
      </c>
      <c r="L144" s="217"/>
      <c r="M144" s="211">
        <f t="shared" si="8"/>
        <v>-46136</v>
      </c>
      <c r="N144" s="683">
        <f t="shared" si="10"/>
        <v>7</v>
      </c>
      <c r="O144" s="212"/>
      <c r="P144" s="544"/>
      <c r="Q144" s="561">
        <f t="shared" si="11"/>
        <v>0</v>
      </c>
      <c r="R144" s="58"/>
      <c r="S144" s="58"/>
      <c r="T144" s="58"/>
      <c r="U144" s="58"/>
      <c r="V144" s="58"/>
    </row>
    <row r="145" spans="1:22" ht="15.75" customHeight="1">
      <c r="A145" s="468" t="s">
        <v>348</v>
      </c>
      <c r="B145" s="204" t="s">
        <v>184</v>
      </c>
      <c r="C145" s="527"/>
      <c r="D145" s="205"/>
      <c r="E145" s="706"/>
      <c r="F145" s="205"/>
      <c r="G145" s="206"/>
      <c r="H145" s="214"/>
      <c r="I145" s="503"/>
      <c r="J145" s="553"/>
      <c r="K145" s="552">
        <f t="shared" si="9"/>
        <v>0</v>
      </c>
      <c r="L145" s="217"/>
      <c r="M145" s="211">
        <f t="shared" si="8"/>
        <v>-46136</v>
      </c>
      <c r="N145" s="683">
        <f t="shared" si="10"/>
        <v>7</v>
      </c>
      <c r="O145" s="212"/>
      <c r="P145" s="544"/>
      <c r="Q145" s="561">
        <f t="shared" si="11"/>
        <v>0</v>
      </c>
      <c r="R145" s="58"/>
      <c r="S145" s="58"/>
      <c r="T145" s="58"/>
      <c r="U145" s="58"/>
      <c r="V145" s="58"/>
    </row>
    <row r="146" spans="1:22" ht="15.75" customHeight="1">
      <c r="A146" s="468" t="s">
        <v>348</v>
      </c>
      <c r="B146" s="204" t="s">
        <v>184</v>
      </c>
      <c r="C146" s="527"/>
      <c r="D146" s="205"/>
      <c r="E146" s="706"/>
      <c r="F146" s="205"/>
      <c r="G146" s="206"/>
      <c r="H146" s="214"/>
      <c r="I146" s="503"/>
      <c r="J146" s="553"/>
      <c r="K146" s="552">
        <f t="shared" si="9"/>
        <v>0</v>
      </c>
      <c r="L146" s="217"/>
      <c r="M146" s="211">
        <f t="shared" si="8"/>
        <v>-46136</v>
      </c>
      <c r="N146" s="683">
        <f t="shared" si="10"/>
        <v>7</v>
      </c>
      <c r="O146" s="212"/>
      <c r="P146" s="544"/>
      <c r="Q146" s="561">
        <f t="shared" si="11"/>
        <v>0</v>
      </c>
      <c r="R146" s="58"/>
      <c r="S146" s="58"/>
      <c r="T146" s="58"/>
      <c r="U146" s="58"/>
      <c r="V146" s="58"/>
    </row>
    <row r="147" spans="1:22" ht="15.75" customHeight="1">
      <c r="A147" s="468" t="s">
        <v>348</v>
      </c>
      <c r="B147" s="204" t="s">
        <v>184</v>
      </c>
      <c r="C147" s="527"/>
      <c r="D147" s="205"/>
      <c r="E147" s="706"/>
      <c r="F147" s="205"/>
      <c r="G147" s="206"/>
      <c r="H147" s="214"/>
      <c r="I147" s="503"/>
      <c r="J147" s="553"/>
      <c r="K147" s="552">
        <f t="shared" si="9"/>
        <v>0</v>
      </c>
      <c r="L147" s="217"/>
      <c r="M147" s="211">
        <f t="shared" si="8"/>
        <v>-46136</v>
      </c>
      <c r="N147" s="683">
        <f t="shared" si="10"/>
        <v>7</v>
      </c>
      <c r="O147" s="212"/>
      <c r="P147" s="544"/>
      <c r="Q147" s="561">
        <f t="shared" si="11"/>
        <v>0</v>
      </c>
      <c r="R147" s="58"/>
      <c r="S147" s="58"/>
      <c r="T147" s="58"/>
      <c r="U147" s="58"/>
      <c r="V147" s="58"/>
    </row>
    <row r="148" spans="1:22" ht="15.75" customHeight="1">
      <c r="A148" s="468" t="s">
        <v>348</v>
      </c>
      <c r="B148" s="204" t="s">
        <v>184</v>
      </c>
      <c r="C148" s="527"/>
      <c r="D148" s="205"/>
      <c r="E148" s="706"/>
      <c r="F148" s="205"/>
      <c r="G148" s="206"/>
      <c r="H148" s="214"/>
      <c r="I148" s="501"/>
      <c r="J148" s="553"/>
      <c r="K148" s="552">
        <f t="shared" si="9"/>
        <v>0</v>
      </c>
      <c r="L148" s="217"/>
      <c r="M148" s="211">
        <f t="shared" si="8"/>
        <v>-46136</v>
      </c>
      <c r="N148" s="683">
        <f t="shared" si="10"/>
        <v>7</v>
      </c>
      <c r="O148" s="212"/>
      <c r="P148" s="544"/>
      <c r="Q148" s="561">
        <f t="shared" si="11"/>
        <v>0</v>
      </c>
      <c r="R148" s="58"/>
      <c r="S148" s="58"/>
      <c r="T148" s="58"/>
      <c r="U148" s="58"/>
      <c r="V148" s="58"/>
    </row>
    <row r="149" spans="1:22" ht="15.75" customHeight="1">
      <c r="A149" s="468" t="s">
        <v>348</v>
      </c>
      <c r="B149" s="204" t="s">
        <v>184</v>
      </c>
      <c r="C149" s="527"/>
      <c r="D149" s="205"/>
      <c r="E149" s="706"/>
      <c r="F149" s="205"/>
      <c r="G149" s="206"/>
      <c r="H149" s="214"/>
      <c r="I149" s="501"/>
      <c r="J149" s="553"/>
      <c r="K149" s="552">
        <f t="shared" si="9"/>
        <v>0</v>
      </c>
      <c r="L149" s="217"/>
      <c r="M149" s="211">
        <f t="shared" si="8"/>
        <v>-46136</v>
      </c>
      <c r="N149" s="683">
        <f t="shared" si="10"/>
        <v>7</v>
      </c>
      <c r="O149" s="212"/>
      <c r="P149" s="544"/>
      <c r="Q149" s="561">
        <f t="shared" si="11"/>
        <v>0</v>
      </c>
      <c r="R149" s="58"/>
      <c r="S149" s="58"/>
      <c r="T149" s="58"/>
      <c r="U149" s="58"/>
      <c r="V149" s="58"/>
    </row>
    <row r="150" spans="1:22" ht="15.75" customHeight="1">
      <c r="A150" s="468" t="s">
        <v>348</v>
      </c>
      <c r="B150" s="204" t="s">
        <v>184</v>
      </c>
      <c r="C150" s="527"/>
      <c r="D150" s="205"/>
      <c r="E150" s="706"/>
      <c r="F150" s="205"/>
      <c r="G150" s="206"/>
      <c r="H150" s="214"/>
      <c r="I150" s="501"/>
      <c r="J150" s="553"/>
      <c r="K150" s="552">
        <f t="shared" si="9"/>
        <v>0</v>
      </c>
      <c r="L150" s="217"/>
      <c r="M150" s="211">
        <f t="shared" si="8"/>
        <v>-46136</v>
      </c>
      <c r="N150" s="683">
        <f t="shared" si="10"/>
        <v>7</v>
      </c>
      <c r="O150" s="212"/>
      <c r="P150" s="544"/>
      <c r="Q150" s="561">
        <f t="shared" si="11"/>
        <v>0</v>
      </c>
      <c r="R150" s="58"/>
      <c r="S150" s="58"/>
      <c r="T150" s="58"/>
      <c r="U150" s="58"/>
      <c r="V150" s="58"/>
    </row>
    <row r="151" spans="1:22" ht="15.75" customHeight="1">
      <c r="A151" s="468" t="s">
        <v>348</v>
      </c>
      <c r="B151" s="204" t="s">
        <v>184</v>
      </c>
      <c r="C151" s="527"/>
      <c r="D151" s="205"/>
      <c r="E151" s="706"/>
      <c r="F151" s="205"/>
      <c r="G151" s="206"/>
      <c r="H151" s="214"/>
      <c r="I151" s="503"/>
      <c r="J151" s="553"/>
      <c r="K151" s="552">
        <f t="shared" si="9"/>
        <v>0</v>
      </c>
      <c r="L151" s="217"/>
      <c r="M151" s="211">
        <f t="shared" si="8"/>
        <v>-46136</v>
      </c>
      <c r="N151" s="683">
        <f t="shared" si="10"/>
        <v>7</v>
      </c>
      <c r="O151" s="212"/>
      <c r="P151" s="544"/>
      <c r="Q151" s="561">
        <f t="shared" si="11"/>
        <v>0</v>
      </c>
      <c r="R151" s="58"/>
      <c r="S151" s="58"/>
      <c r="T151" s="58"/>
      <c r="U151" s="58"/>
      <c r="V151" s="58"/>
    </row>
    <row r="152" spans="1:22" ht="15.75" customHeight="1">
      <c r="A152" s="468" t="s">
        <v>348</v>
      </c>
      <c r="B152" s="204" t="s">
        <v>184</v>
      </c>
      <c r="C152" s="527"/>
      <c r="D152" s="205"/>
      <c r="E152" s="706"/>
      <c r="F152" s="205"/>
      <c r="G152" s="206"/>
      <c r="H152" s="214"/>
      <c r="I152" s="503"/>
      <c r="J152" s="553"/>
      <c r="K152" s="552">
        <f t="shared" si="9"/>
        <v>0</v>
      </c>
      <c r="L152" s="217"/>
      <c r="M152" s="211">
        <f t="shared" si="8"/>
        <v>-46136</v>
      </c>
      <c r="N152" s="683">
        <f t="shared" si="10"/>
        <v>7</v>
      </c>
      <c r="O152" s="212"/>
      <c r="P152" s="544"/>
      <c r="Q152" s="561">
        <f t="shared" si="11"/>
        <v>0</v>
      </c>
      <c r="R152" s="58"/>
      <c r="S152" s="58"/>
      <c r="T152" s="58"/>
      <c r="U152" s="58"/>
      <c r="V152" s="58"/>
    </row>
    <row r="153" spans="1:22" ht="15.75" customHeight="1">
      <c r="A153" s="468" t="s">
        <v>348</v>
      </c>
      <c r="B153" s="204" t="s">
        <v>184</v>
      </c>
      <c r="C153" s="527"/>
      <c r="D153" s="205"/>
      <c r="E153" s="706"/>
      <c r="F153" s="205"/>
      <c r="G153" s="206"/>
      <c r="H153" s="214"/>
      <c r="I153" s="503"/>
      <c r="J153" s="553"/>
      <c r="K153" s="552">
        <f t="shared" si="9"/>
        <v>0</v>
      </c>
      <c r="L153" s="217"/>
      <c r="M153" s="211">
        <f t="shared" si="8"/>
        <v>-46136</v>
      </c>
      <c r="N153" s="683">
        <f t="shared" si="10"/>
        <v>7</v>
      </c>
      <c r="O153" s="212"/>
      <c r="P153" s="544"/>
      <c r="Q153" s="561">
        <f t="shared" si="11"/>
        <v>0</v>
      </c>
      <c r="R153" s="58"/>
      <c r="S153" s="58"/>
      <c r="T153" s="58"/>
      <c r="U153" s="58"/>
      <c r="V153" s="58"/>
    </row>
    <row r="154" spans="1:22" ht="15.75" customHeight="1">
      <c r="A154" s="468" t="s">
        <v>348</v>
      </c>
      <c r="B154" s="204" t="s">
        <v>184</v>
      </c>
      <c r="C154" s="527"/>
      <c r="D154" s="205"/>
      <c r="E154" s="706"/>
      <c r="F154" s="205"/>
      <c r="G154" s="206"/>
      <c r="H154" s="214"/>
      <c r="I154" s="503"/>
      <c r="J154" s="553"/>
      <c r="K154" s="552">
        <f t="shared" si="9"/>
        <v>0</v>
      </c>
      <c r="L154" s="217"/>
      <c r="M154" s="211">
        <f t="shared" si="8"/>
        <v>-46136</v>
      </c>
      <c r="N154" s="683">
        <f t="shared" si="10"/>
        <v>7</v>
      </c>
      <c r="O154" s="212"/>
      <c r="P154" s="544"/>
      <c r="Q154" s="561">
        <f t="shared" si="11"/>
        <v>0</v>
      </c>
      <c r="R154" s="58"/>
      <c r="S154" s="58"/>
      <c r="T154" s="58"/>
      <c r="U154" s="58"/>
      <c r="V154" s="58"/>
    </row>
    <row r="155" spans="1:22" ht="15.75" customHeight="1">
      <c r="A155" s="468" t="s">
        <v>348</v>
      </c>
      <c r="B155" s="204" t="s">
        <v>184</v>
      </c>
      <c r="C155" s="527"/>
      <c r="D155" s="205"/>
      <c r="E155" s="706"/>
      <c r="F155" s="205"/>
      <c r="G155" s="206"/>
      <c r="H155" s="214"/>
      <c r="I155" s="503"/>
      <c r="J155" s="553"/>
      <c r="K155" s="552">
        <f t="shared" si="9"/>
        <v>0</v>
      </c>
      <c r="L155" s="217"/>
      <c r="M155" s="211">
        <f t="shared" si="8"/>
        <v>-46136</v>
      </c>
      <c r="N155" s="683">
        <f t="shared" si="10"/>
        <v>7</v>
      </c>
      <c r="O155" s="212"/>
      <c r="P155" s="544"/>
      <c r="Q155" s="561">
        <f t="shared" si="11"/>
        <v>0</v>
      </c>
      <c r="R155" s="58"/>
      <c r="S155" s="58"/>
      <c r="T155" s="58"/>
      <c r="U155" s="58"/>
      <c r="V155" s="58"/>
    </row>
    <row r="156" spans="1:22" ht="15.75" customHeight="1">
      <c r="A156" s="468" t="s">
        <v>348</v>
      </c>
      <c r="B156" s="204" t="s">
        <v>184</v>
      </c>
      <c r="C156" s="527"/>
      <c r="D156" s="205"/>
      <c r="E156" s="706"/>
      <c r="F156" s="205"/>
      <c r="G156" s="206"/>
      <c r="H156" s="214"/>
      <c r="I156" s="503"/>
      <c r="J156" s="553"/>
      <c r="K156" s="552">
        <f t="shared" si="9"/>
        <v>0</v>
      </c>
      <c r="L156" s="217"/>
      <c r="M156" s="211">
        <f t="shared" si="8"/>
        <v>-46136</v>
      </c>
      <c r="N156" s="683">
        <f t="shared" si="10"/>
        <v>7</v>
      </c>
      <c r="O156" s="212"/>
      <c r="P156" s="544"/>
      <c r="Q156" s="561">
        <f t="shared" si="11"/>
        <v>0</v>
      </c>
      <c r="R156" s="58"/>
      <c r="S156" s="58"/>
      <c r="T156" s="58"/>
      <c r="U156" s="58"/>
      <c r="V156" s="58"/>
    </row>
    <row r="157" spans="1:22" ht="15.75" customHeight="1">
      <c r="A157" s="468" t="s">
        <v>348</v>
      </c>
      <c r="B157" s="204" t="s">
        <v>184</v>
      </c>
      <c r="C157" s="529"/>
      <c r="D157" s="507"/>
      <c r="E157" s="709"/>
      <c r="F157" s="507"/>
      <c r="G157" s="206"/>
      <c r="H157" s="214"/>
      <c r="I157" s="501"/>
      <c r="J157" s="553"/>
      <c r="K157" s="552">
        <f t="shared" si="9"/>
        <v>0</v>
      </c>
      <c r="L157" s="217"/>
      <c r="M157" s="211">
        <f t="shared" si="8"/>
        <v>-46136</v>
      </c>
      <c r="N157" s="683">
        <f t="shared" si="10"/>
        <v>7</v>
      </c>
      <c r="O157" s="212"/>
      <c r="P157" s="544"/>
      <c r="Q157" s="561">
        <f t="shared" si="11"/>
        <v>0</v>
      </c>
      <c r="R157" s="58"/>
      <c r="S157" s="58"/>
      <c r="T157" s="58"/>
      <c r="U157" s="58"/>
      <c r="V157" s="58"/>
    </row>
    <row r="158" spans="1:22" ht="15.75" customHeight="1">
      <c r="A158" s="468" t="s">
        <v>348</v>
      </c>
      <c r="B158" s="204" t="s">
        <v>184</v>
      </c>
      <c r="C158" s="527"/>
      <c r="D158" s="267"/>
      <c r="E158" s="706"/>
      <c r="F158" s="215"/>
      <c r="G158" s="206"/>
      <c r="H158" s="214"/>
      <c r="I158" s="501"/>
      <c r="J158" s="553"/>
      <c r="K158" s="552">
        <f t="shared" si="9"/>
        <v>0</v>
      </c>
      <c r="L158" s="217"/>
      <c r="M158" s="211">
        <f t="shared" si="8"/>
        <v>-46136</v>
      </c>
      <c r="N158" s="683">
        <f t="shared" si="10"/>
        <v>7</v>
      </c>
      <c r="O158" s="212"/>
      <c r="P158" s="544"/>
      <c r="Q158" s="561">
        <f t="shared" si="11"/>
        <v>0</v>
      </c>
      <c r="R158" s="58"/>
      <c r="S158" s="58"/>
      <c r="T158" s="58"/>
      <c r="U158" s="58"/>
      <c r="V158" s="58"/>
    </row>
    <row r="159" spans="1:22" ht="15.75" customHeight="1">
      <c r="A159" s="468" t="s">
        <v>348</v>
      </c>
      <c r="B159" s="204" t="s">
        <v>184</v>
      </c>
      <c r="C159" s="529"/>
      <c r="D159" s="507"/>
      <c r="E159" s="709"/>
      <c r="F159" s="507"/>
      <c r="G159" s="206"/>
      <c r="H159" s="214"/>
      <c r="I159" s="501"/>
      <c r="J159" s="553"/>
      <c r="K159" s="552">
        <f t="shared" si="9"/>
        <v>0</v>
      </c>
      <c r="L159" s="217"/>
      <c r="M159" s="211">
        <f t="shared" si="8"/>
        <v>-46136</v>
      </c>
      <c r="N159" s="683">
        <f t="shared" si="10"/>
        <v>7</v>
      </c>
      <c r="O159" s="212"/>
      <c r="P159" s="544"/>
      <c r="Q159" s="561">
        <f t="shared" si="11"/>
        <v>0</v>
      </c>
      <c r="R159" s="58"/>
      <c r="S159" s="58"/>
      <c r="T159" s="58"/>
      <c r="U159" s="58"/>
      <c r="V159" s="58"/>
    </row>
    <row r="160" spans="1:22" ht="15.75" customHeight="1">
      <c r="A160" s="468" t="s">
        <v>348</v>
      </c>
      <c r="B160" s="204" t="s">
        <v>184</v>
      </c>
      <c r="C160" s="527"/>
      <c r="D160" s="205"/>
      <c r="E160" s="706"/>
      <c r="F160" s="205"/>
      <c r="G160" s="206"/>
      <c r="H160" s="214"/>
      <c r="I160" s="501"/>
      <c r="J160" s="553"/>
      <c r="K160" s="552">
        <f t="shared" si="9"/>
        <v>0</v>
      </c>
      <c r="L160" s="217"/>
      <c r="M160" s="211">
        <f t="shared" si="8"/>
        <v>-46136</v>
      </c>
      <c r="N160" s="683">
        <f t="shared" si="10"/>
        <v>7</v>
      </c>
      <c r="O160" s="212"/>
      <c r="P160" s="544"/>
      <c r="Q160" s="561">
        <f t="shared" si="11"/>
        <v>0</v>
      </c>
      <c r="R160" s="58"/>
      <c r="S160" s="58"/>
      <c r="T160" s="58"/>
      <c r="U160" s="58"/>
      <c r="V160" s="58"/>
    </row>
    <row r="161" spans="1:22" ht="15.75" customHeight="1">
      <c r="A161" s="468" t="s">
        <v>348</v>
      </c>
      <c r="B161" s="204" t="s">
        <v>184</v>
      </c>
      <c r="C161" s="527"/>
      <c r="D161" s="267"/>
      <c r="E161" s="706"/>
      <c r="F161" s="267"/>
      <c r="G161" s="206"/>
      <c r="H161" s="214"/>
      <c r="I161" s="500"/>
      <c r="J161" s="553"/>
      <c r="K161" s="552">
        <f t="shared" si="9"/>
        <v>0</v>
      </c>
      <c r="L161" s="217"/>
      <c r="M161" s="211">
        <f t="shared" si="8"/>
        <v>-46136</v>
      </c>
      <c r="N161" s="683">
        <f t="shared" si="10"/>
        <v>7</v>
      </c>
      <c r="O161" s="212"/>
      <c r="P161" s="544"/>
      <c r="Q161" s="561">
        <f t="shared" si="11"/>
        <v>0</v>
      </c>
      <c r="R161" s="58"/>
      <c r="S161" s="58"/>
      <c r="T161" s="58"/>
      <c r="U161" s="58"/>
      <c r="V161" s="58"/>
    </row>
    <row r="162" spans="1:22" ht="15.75" customHeight="1">
      <c r="A162" s="468" t="s">
        <v>348</v>
      </c>
      <c r="B162" s="204" t="s">
        <v>184</v>
      </c>
      <c r="C162" s="527"/>
      <c r="D162" s="267"/>
      <c r="E162" s="706"/>
      <c r="F162" s="267"/>
      <c r="G162" s="206"/>
      <c r="H162" s="214"/>
      <c r="I162" s="500"/>
      <c r="J162" s="553"/>
      <c r="K162" s="552">
        <f t="shared" si="9"/>
        <v>0</v>
      </c>
      <c r="L162" s="217"/>
      <c r="M162" s="211">
        <f t="shared" si="8"/>
        <v>-46136</v>
      </c>
      <c r="N162" s="683">
        <f t="shared" si="10"/>
        <v>7</v>
      </c>
      <c r="O162" s="212"/>
      <c r="P162" s="544"/>
      <c r="Q162" s="561">
        <f t="shared" si="11"/>
        <v>0</v>
      </c>
      <c r="R162" s="58"/>
      <c r="S162" s="58"/>
      <c r="T162" s="58"/>
      <c r="U162" s="58"/>
      <c r="V162" s="58"/>
    </row>
    <row r="163" spans="1:22" ht="15.75" customHeight="1">
      <c r="A163" s="468" t="s">
        <v>348</v>
      </c>
      <c r="B163" s="204" t="s">
        <v>184</v>
      </c>
      <c r="C163" s="527"/>
      <c r="D163" s="267"/>
      <c r="E163" s="706"/>
      <c r="F163" s="267"/>
      <c r="G163" s="206"/>
      <c r="H163" s="214"/>
      <c r="I163" s="500"/>
      <c r="J163" s="553"/>
      <c r="K163" s="552">
        <f t="shared" si="9"/>
        <v>0</v>
      </c>
      <c r="L163" s="217"/>
      <c r="M163" s="211">
        <f t="shared" si="8"/>
        <v>-46136</v>
      </c>
      <c r="N163" s="683">
        <f t="shared" si="10"/>
        <v>7</v>
      </c>
      <c r="O163" s="212"/>
      <c r="P163" s="544"/>
      <c r="Q163" s="561">
        <f t="shared" si="11"/>
        <v>0</v>
      </c>
      <c r="R163" s="58"/>
      <c r="S163" s="58"/>
      <c r="T163" s="58"/>
      <c r="U163" s="58"/>
      <c r="V163" s="58"/>
    </row>
    <row r="164" spans="1:22" ht="15.75" customHeight="1">
      <c r="A164" s="468" t="s">
        <v>348</v>
      </c>
      <c r="B164" s="204" t="s">
        <v>184</v>
      </c>
      <c r="C164" s="527"/>
      <c r="D164" s="267"/>
      <c r="E164" s="706"/>
      <c r="F164" s="267"/>
      <c r="G164" s="206"/>
      <c r="H164" s="214"/>
      <c r="I164" s="500"/>
      <c r="J164" s="553"/>
      <c r="K164" s="552">
        <f t="shared" si="9"/>
        <v>0</v>
      </c>
      <c r="L164" s="217"/>
      <c r="M164" s="211">
        <f t="shared" si="8"/>
        <v>-46136</v>
      </c>
      <c r="N164" s="683">
        <f t="shared" si="10"/>
        <v>7</v>
      </c>
      <c r="O164" s="212"/>
      <c r="P164" s="544"/>
      <c r="Q164" s="561">
        <f t="shared" si="11"/>
        <v>0</v>
      </c>
      <c r="R164" s="58"/>
      <c r="S164" s="58"/>
      <c r="T164" s="58"/>
      <c r="U164" s="58"/>
      <c r="V164" s="58"/>
    </row>
    <row r="165" spans="1:22" ht="15.75" customHeight="1">
      <c r="A165" s="468" t="s">
        <v>348</v>
      </c>
      <c r="B165" s="204" t="s">
        <v>184</v>
      </c>
      <c r="C165" s="527"/>
      <c r="D165" s="502"/>
      <c r="E165" s="706"/>
      <c r="F165" s="502"/>
      <c r="G165" s="206"/>
      <c r="H165" s="214"/>
      <c r="I165" s="502"/>
      <c r="J165" s="553"/>
      <c r="K165" s="552">
        <f t="shared" si="9"/>
        <v>0</v>
      </c>
      <c r="L165" s="217"/>
      <c r="M165" s="211">
        <f t="shared" si="8"/>
        <v>-46136</v>
      </c>
      <c r="N165" s="683">
        <f t="shared" si="10"/>
        <v>7</v>
      </c>
      <c r="O165" s="212"/>
      <c r="P165" s="544"/>
      <c r="Q165" s="561">
        <f t="shared" si="11"/>
        <v>0</v>
      </c>
      <c r="R165" s="58"/>
      <c r="S165" s="58"/>
      <c r="T165" s="58"/>
      <c r="U165" s="58"/>
      <c r="V165" s="58"/>
    </row>
    <row r="166" spans="1:22" ht="15.75" customHeight="1">
      <c r="A166" s="468" t="s">
        <v>348</v>
      </c>
      <c r="B166" s="204" t="s">
        <v>184</v>
      </c>
      <c r="C166" s="527"/>
      <c r="D166" s="205"/>
      <c r="E166" s="706"/>
      <c r="F166" s="205"/>
      <c r="G166" s="206"/>
      <c r="H166" s="214"/>
      <c r="I166" s="502"/>
      <c r="J166" s="553"/>
      <c r="K166" s="552">
        <f t="shared" si="9"/>
        <v>0</v>
      </c>
      <c r="L166" s="217"/>
      <c r="M166" s="211">
        <f t="shared" si="8"/>
        <v>-46136</v>
      </c>
      <c r="N166" s="683">
        <f t="shared" si="10"/>
        <v>7</v>
      </c>
      <c r="O166" s="212"/>
      <c r="P166" s="544"/>
      <c r="Q166" s="561">
        <f t="shared" si="11"/>
        <v>0</v>
      </c>
      <c r="R166" s="58"/>
      <c r="S166" s="58"/>
      <c r="T166" s="58"/>
      <c r="U166" s="58"/>
      <c r="V166" s="58"/>
    </row>
    <row r="167" spans="1:22" ht="15.75" customHeight="1">
      <c r="A167" s="468" t="s">
        <v>348</v>
      </c>
      <c r="B167" s="204" t="s">
        <v>184</v>
      </c>
      <c r="C167" s="527"/>
      <c r="D167" s="205"/>
      <c r="E167" s="706"/>
      <c r="F167" s="205"/>
      <c r="G167" s="206"/>
      <c r="H167" s="214"/>
      <c r="I167" s="502"/>
      <c r="J167" s="553"/>
      <c r="K167" s="552">
        <f t="shared" si="9"/>
        <v>0</v>
      </c>
      <c r="L167" s="217"/>
      <c r="M167" s="211">
        <f t="shared" si="8"/>
        <v>-46136</v>
      </c>
      <c r="N167" s="683">
        <f t="shared" si="10"/>
        <v>7</v>
      </c>
      <c r="O167" s="212"/>
      <c r="P167" s="544"/>
      <c r="Q167" s="561">
        <f t="shared" si="11"/>
        <v>0</v>
      </c>
      <c r="R167" s="58"/>
      <c r="S167" s="58"/>
      <c r="T167" s="58"/>
      <c r="U167" s="58"/>
      <c r="V167" s="58"/>
    </row>
    <row r="168" spans="1:22" ht="15.75" customHeight="1">
      <c r="A168" s="468" t="s">
        <v>348</v>
      </c>
      <c r="B168" s="204" t="s">
        <v>184</v>
      </c>
      <c r="C168" s="527"/>
      <c r="D168" s="205"/>
      <c r="E168" s="706"/>
      <c r="F168" s="205"/>
      <c r="G168" s="206"/>
      <c r="H168" s="207"/>
      <c r="I168" s="502"/>
      <c r="J168" s="553"/>
      <c r="K168" s="552">
        <f t="shared" si="9"/>
        <v>0</v>
      </c>
      <c r="L168" s="217"/>
      <c r="M168" s="211">
        <f t="shared" si="8"/>
        <v>-46136</v>
      </c>
      <c r="N168" s="683">
        <f t="shared" si="10"/>
        <v>7</v>
      </c>
      <c r="O168" s="212"/>
      <c r="P168" s="544"/>
      <c r="Q168" s="561">
        <f t="shared" si="11"/>
        <v>0</v>
      </c>
      <c r="R168" s="58"/>
      <c r="S168" s="58"/>
      <c r="T168" s="58"/>
      <c r="U168" s="58"/>
      <c r="V168" s="58"/>
    </row>
    <row r="169" spans="1:22" ht="15.75" customHeight="1">
      <c r="A169" s="468" t="s">
        <v>348</v>
      </c>
      <c r="B169" s="204" t="s">
        <v>184</v>
      </c>
      <c r="C169" s="527"/>
      <c r="D169" s="205"/>
      <c r="E169" s="706"/>
      <c r="F169" s="205"/>
      <c r="G169" s="206"/>
      <c r="H169" s="214"/>
      <c r="I169" s="500"/>
      <c r="J169" s="553"/>
      <c r="K169" s="552">
        <f t="shared" si="9"/>
        <v>0</v>
      </c>
      <c r="L169" s="217"/>
      <c r="M169" s="211">
        <f t="shared" si="8"/>
        <v>-46136</v>
      </c>
      <c r="N169" s="683">
        <f t="shared" si="10"/>
        <v>7</v>
      </c>
      <c r="O169" s="212"/>
      <c r="P169" s="544"/>
      <c r="Q169" s="561">
        <f t="shared" si="11"/>
        <v>0</v>
      </c>
      <c r="R169" s="58"/>
      <c r="S169" s="58"/>
      <c r="T169" s="58"/>
      <c r="U169" s="58"/>
      <c r="V169" s="58"/>
    </row>
    <row r="170" spans="1:22" ht="15.75" customHeight="1">
      <c r="A170" s="468" t="s">
        <v>348</v>
      </c>
      <c r="B170" s="204" t="s">
        <v>184</v>
      </c>
      <c r="C170" s="527"/>
      <c r="D170" s="267"/>
      <c r="E170" s="706"/>
      <c r="F170" s="267"/>
      <c r="G170" s="206"/>
      <c r="H170" s="214"/>
      <c r="I170" s="500"/>
      <c r="J170" s="553"/>
      <c r="K170" s="552">
        <f t="shared" si="9"/>
        <v>0</v>
      </c>
      <c r="L170" s="217"/>
      <c r="M170" s="211">
        <f t="shared" si="8"/>
        <v>-46136</v>
      </c>
      <c r="N170" s="683">
        <f t="shared" si="10"/>
        <v>7</v>
      </c>
      <c r="O170" s="212"/>
      <c r="P170" s="544"/>
      <c r="Q170" s="561">
        <f t="shared" si="11"/>
        <v>0</v>
      </c>
      <c r="R170" s="58"/>
      <c r="S170" s="58"/>
      <c r="T170" s="58"/>
      <c r="U170" s="58"/>
      <c r="V170" s="58"/>
    </row>
    <row r="171" spans="1:22" ht="15.75" customHeight="1">
      <c r="A171" s="468" t="s">
        <v>348</v>
      </c>
      <c r="B171" s="204" t="s">
        <v>184</v>
      </c>
      <c r="C171" s="527"/>
      <c r="D171" s="267"/>
      <c r="E171" s="706"/>
      <c r="F171" s="267"/>
      <c r="G171" s="206"/>
      <c r="H171" s="214"/>
      <c r="I171" s="500"/>
      <c r="J171" s="553"/>
      <c r="K171" s="552">
        <f t="shared" si="9"/>
        <v>0</v>
      </c>
      <c r="L171" s="217"/>
      <c r="M171" s="211">
        <f t="shared" si="8"/>
        <v>-46136</v>
      </c>
      <c r="N171" s="683">
        <f t="shared" si="10"/>
        <v>7</v>
      </c>
      <c r="O171" s="212"/>
      <c r="P171" s="544"/>
      <c r="Q171" s="561">
        <f t="shared" si="11"/>
        <v>0</v>
      </c>
      <c r="R171" s="58"/>
      <c r="S171" s="58"/>
      <c r="T171" s="58"/>
      <c r="U171" s="58"/>
      <c r="V171" s="58"/>
    </row>
    <row r="172" spans="1:22" ht="15.75" customHeight="1">
      <c r="A172" s="468" t="s">
        <v>348</v>
      </c>
      <c r="B172" s="204" t="s">
        <v>184</v>
      </c>
      <c r="C172" s="527"/>
      <c r="D172" s="267"/>
      <c r="E172" s="706"/>
      <c r="F172" s="267"/>
      <c r="G172" s="206"/>
      <c r="H172" s="214"/>
      <c r="I172" s="500"/>
      <c r="J172" s="553"/>
      <c r="K172" s="552">
        <f t="shared" si="9"/>
        <v>0</v>
      </c>
      <c r="L172" s="217"/>
      <c r="M172" s="211">
        <f t="shared" si="8"/>
        <v>-46136</v>
      </c>
      <c r="N172" s="683">
        <f t="shared" si="10"/>
        <v>7</v>
      </c>
      <c r="O172" s="212"/>
      <c r="P172" s="544"/>
      <c r="Q172" s="561">
        <f t="shared" si="11"/>
        <v>0</v>
      </c>
      <c r="R172" s="58"/>
      <c r="S172" s="58"/>
      <c r="T172" s="58"/>
      <c r="U172" s="58"/>
      <c r="V172" s="58"/>
    </row>
    <row r="173" spans="1:22" ht="15.75" customHeight="1">
      <c r="A173" s="468" t="s">
        <v>348</v>
      </c>
      <c r="B173" s="204" t="s">
        <v>184</v>
      </c>
      <c r="C173" s="527"/>
      <c r="D173" s="267"/>
      <c r="E173" s="706"/>
      <c r="F173" s="267"/>
      <c r="G173" s="206"/>
      <c r="H173" s="214"/>
      <c r="I173" s="500"/>
      <c r="J173" s="553"/>
      <c r="K173" s="552">
        <f t="shared" si="9"/>
        <v>0</v>
      </c>
      <c r="L173" s="217"/>
      <c r="M173" s="211">
        <f t="shared" si="8"/>
        <v>-46136</v>
      </c>
      <c r="N173" s="683">
        <f t="shared" si="10"/>
        <v>7</v>
      </c>
      <c r="O173" s="212"/>
      <c r="P173" s="544"/>
      <c r="Q173" s="561">
        <f t="shared" si="11"/>
        <v>0</v>
      </c>
      <c r="R173" s="58"/>
      <c r="S173" s="58"/>
      <c r="T173" s="58"/>
      <c r="U173" s="58"/>
      <c r="V173" s="58"/>
    </row>
    <row r="174" spans="1:22" ht="15.75" customHeight="1">
      <c r="A174" s="468" t="s">
        <v>348</v>
      </c>
      <c r="B174" s="204" t="s">
        <v>184</v>
      </c>
      <c r="C174" s="527"/>
      <c r="D174" s="267"/>
      <c r="E174" s="706"/>
      <c r="F174" s="267"/>
      <c r="G174" s="206"/>
      <c r="H174" s="214"/>
      <c r="I174" s="500"/>
      <c r="J174" s="553"/>
      <c r="K174" s="552">
        <f t="shared" si="9"/>
        <v>0</v>
      </c>
      <c r="L174" s="217"/>
      <c r="M174" s="211">
        <f t="shared" si="8"/>
        <v>-46136</v>
      </c>
      <c r="N174" s="683">
        <f t="shared" si="10"/>
        <v>7</v>
      </c>
      <c r="O174" s="212"/>
      <c r="P174" s="544"/>
      <c r="Q174" s="561">
        <f t="shared" si="11"/>
        <v>0</v>
      </c>
      <c r="R174" s="58"/>
      <c r="S174" s="58"/>
      <c r="T174" s="58"/>
      <c r="U174" s="58"/>
      <c r="V174" s="58"/>
    </row>
    <row r="175" spans="1:22" ht="15.75" customHeight="1">
      <c r="A175" s="468" t="s">
        <v>348</v>
      </c>
      <c r="B175" s="204" t="s">
        <v>184</v>
      </c>
      <c r="C175" s="529"/>
      <c r="D175" s="507"/>
      <c r="E175" s="709"/>
      <c r="F175" s="507"/>
      <c r="G175" s="206"/>
      <c r="H175" s="214"/>
      <c r="I175" s="501"/>
      <c r="J175" s="553"/>
      <c r="K175" s="552">
        <f t="shared" si="9"/>
        <v>0</v>
      </c>
      <c r="L175" s="217"/>
      <c r="M175" s="211">
        <f t="shared" si="8"/>
        <v>-46136</v>
      </c>
      <c r="N175" s="683">
        <f t="shared" si="10"/>
        <v>7</v>
      </c>
      <c r="O175" s="212"/>
      <c r="P175" s="544"/>
      <c r="Q175" s="561">
        <f t="shared" si="11"/>
        <v>0</v>
      </c>
      <c r="R175" s="58"/>
      <c r="S175" s="58"/>
      <c r="T175" s="58"/>
      <c r="U175" s="58"/>
      <c r="V175" s="58"/>
    </row>
    <row r="176" spans="1:22" ht="15.75" customHeight="1">
      <c r="A176" s="468" t="s">
        <v>348</v>
      </c>
      <c r="B176" s="204" t="s">
        <v>184</v>
      </c>
      <c r="C176" s="527"/>
      <c r="D176" s="267"/>
      <c r="E176" s="706"/>
      <c r="F176" s="267"/>
      <c r="G176" s="206"/>
      <c r="H176" s="214"/>
      <c r="I176" s="502"/>
      <c r="J176" s="553"/>
      <c r="K176" s="552">
        <f t="shared" si="9"/>
        <v>0</v>
      </c>
      <c r="L176" s="217"/>
      <c r="M176" s="211">
        <f t="shared" si="8"/>
        <v>-46136</v>
      </c>
      <c r="N176" s="683">
        <f t="shared" si="10"/>
        <v>7</v>
      </c>
      <c r="O176" s="212"/>
      <c r="P176" s="544"/>
      <c r="Q176" s="561">
        <f t="shared" si="11"/>
        <v>0</v>
      </c>
      <c r="R176" s="58"/>
      <c r="S176" s="58"/>
      <c r="T176" s="58"/>
      <c r="U176" s="58"/>
      <c r="V176" s="58"/>
    </row>
    <row r="177" spans="1:22" ht="15.75" customHeight="1">
      <c r="A177" s="468" t="s">
        <v>348</v>
      </c>
      <c r="B177" s="204" t="s">
        <v>184</v>
      </c>
      <c r="C177" s="527"/>
      <c r="D177" s="267"/>
      <c r="E177" s="706"/>
      <c r="F177" s="267"/>
      <c r="G177" s="206"/>
      <c r="H177" s="214"/>
      <c r="I177" s="502"/>
      <c r="J177" s="553"/>
      <c r="K177" s="552">
        <f t="shared" si="9"/>
        <v>0</v>
      </c>
      <c r="L177" s="217"/>
      <c r="M177" s="211">
        <f t="shared" si="8"/>
        <v>-46136</v>
      </c>
      <c r="N177" s="683">
        <f t="shared" si="10"/>
        <v>7</v>
      </c>
      <c r="O177" s="212"/>
      <c r="P177" s="544"/>
      <c r="Q177" s="561">
        <f t="shared" si="11"/>
        <v>0</v>
      </c>
      <c r="R177" s="58"/>
      <c r="S177" s="58"/>
      <c r="T177" s="58"/>
      <c r="U177" s="58"/>
      <c r="V177" s="58"/>
    </row>
    <row r="178" spans="1:22" ht="15.75" customHeight="1">
      <c r="A178" s="468" t="s">
        <v>348</v>
      </c>
      <c r="B178" s="204" t="s">
        <v>184</v>
      </c>
      <c r="C178" s="527"/>
      <c r="D178" s="267"/>
      <c r="E178" s="706"/>
      <c r="F178" s="267"/>
      <c r="G178" s="206"/>
      <c r="H178" s="214"/>
      <c r="I178" s="502"/>
      <c r="J178" s="553"/>
      <c r="K178" s="552">
        <f t="shared" si="9"/>
        <v>0</v>
      </c>
      <c r="L178" s="217"/>
      <c r="M178" s="211">
        <f t="shared" si="8"/>
        <v>-46136</v>
      </c>
      <c r="N178" s="683">
        <f t="shared" si="10"/>
        <v>7</v>
      </c>
      <c r="O178" s="212"/>
      <c r="P178" s="544"/>
      <c r="Q178" s="561">
        <f t="shared" si="11"/>
        <v>0</v>
      </c>
      <c r="R178" s="58"/>
      <c r="S178" s="58"/>
      <c r="T178" s="58"/>
      <c r="U178" s="58"/>
      <c r="V178" s="58"/>
    </row>
    <row r="179" spans="1:22" ht="15.75" customHeight="1">
      <c r="A179" s="468" t="s">
        <v>348</v>
      </c>
      <c r="B179" s="204" t="s">
        <v>184</v>
      </c>
      <c r="C179" s="527"/>
      <c r="D179" s="267"/>
      <c r="E179" s="706"/>
      <c r="F179" s="267"/>
      <c r="G179" s="206"/>
      <c r="H179" s="214"/>
      <c r="I179" s="501"/>
      <c r="J179" s="553"/>
      <c r="K179" s="552">
        <f t="shared" si="9"/>
        <v>0</v>
      </c>
      <c r="L179" s="217"/>
      <c r="M179" s="211">
        <f t="shared" si="8"/>
        <v>-46136</v>
      </c>
      <c r="N179" s="683">
        <f t="shared" si="10"/>
        <v>7</v>
      </c>
      <c r="O179" s="212"/>
      <c r="P179" s="544"/>
      <c r="Q179" s="561">
        <f t="shared" si="11"/>
        <v>0</v>
      </c>
      <c r="R179" s="58"/>
      <c r="S179" s="58"/>
      <c r="T179" s="58"/>
      <c r="U179" s="58"/>
      <c r="V179" s="58"/>
    </row>
    <row r="180" spans="1:22" ht="15.75" customHeight="1">
      <c r="A180" s="468" t="s">
        <v>348</v>
      </c>
      <c r="B180" s="204" t="s">
        <v>184</v>
      </c>
      <c r="C180" s="527"/>
      <c r="D180" s="267"/>
      <c r="E180" s="706"/>
      <c r="F180" s="267"/>
      <c r="G180" s="206"/>
      <c r="H180" s="214"/>
      <c r="I180" s="502"/>
      <c r="J180" s="553"/>
      <c r="K180" s="552">
        <f t="shared" si="9"/>
        <v>0</v>
      </c>
      <c r="L180" s="217"/>
      <c r="M180" s="211">
        <f t="shared" si="8"/>
        <v>-46136</v>
      </c>
      <c r="N180" s="683">
        <f t="shared" si="10"/>
        <v>7</v>
      </c>
      <c r="O180" s="212"/>
      <c r="P180" s="544"/>
      <c r="Q180" s="561">
        <f t="shared" si="11"/>
        <v>0</v>
      </c>
      <c r="R180" s="58"/>
      <c r="S180" s="58"/>
      <c r="T180" s="58"/>
      <c r="U180" s="58"/>
      <c r="V180" s="58"/>
    </row>
    <row r="181" spans="1:22" ht="15.75" customHeight="1">
      <c r="A181" s="468" t="s">
        <v>348</v>
      </c>
      <c r="B181" s="204" t="s">
        <v>184</v>
      </c>
      <c r="C181" s="527"/>
      <c r="D181" s="267"/>
      <c r="E181" s="706"/>
      <c r="F181" s="267"/>
      <c r="G181" s="206"/>
      <c r="H181" s="214"/>
      <c r="I181" s="500"/>
      <c r="J181" s="553"/>
      <c r="K181" s="552">
        <f t="shared" si="9"/>
        <v>0</v>
      </c>
      <c r="L181" s="217"/>
      <c r="M181" s="211">
        <f t="shared" si="8"/>
        <v>-46136</v>
      </c>
      <c r="N181" s="683">
        <f t="shared" si="10"/>
        <v>7</v>
      </c>
      <c r="O181" s="212"/>
      <c r="P181" s="544"/>
      <c r="Q181" s="561">
        <f t="shared" si="11"/>
        <v>0</v>
      </c>
      <c r="R181" s="58"/>
      <c r="S181" s="58"/>
      <c r="T181" s="58"/>
      <c r="U181" s="58"/>
      <c r="V181" s="58"/>
    </row>
    <row r="182" spans="1:22" ht="15.75" customHeight="1">
      <c r="A182" s="468" t="s">
        <v>348</v>
      </c>
      <c r="B182" s="204" t="s">
        <v>184</v>
      </c>
      <c r="C182" s="530"/>
      <c r="D182" s="188"/>
      <c r="E182" s="706"/>
      <c r="F182" s="188"/>
      <c r="G182" s="206"/>
      <c r="H182" s="214"/>
      <c r="I182" s="502"/>
      <c r="J182" s="553"/>
      <c r="K182" s="552">
        <f t="shared" si="9"/>
        <v>0</v>
      </c>
      <c r="L182" s="217"/>
      <c r="M182" s="211">
        <f t="shared" si="8"/>
        <v>-46136</v>
      </c>
      <c r="N182" s="683">
        <f t="shared" si="10"/>
        <v>7</v>
      </c>
      <c r="O182" s="212"/>
      <c r="P182" s="544"/>
      <c r="Q182" s="561">
        <f t="shared" si="11"/>
        <v>0</v>
      </c>
      <c r="R182" s="58"/>
      <c r="S182" s="58"/>
      <c r="T182" s="58"/>
      <c r="U182" s="58"/>
      <c r="V182" s="58"/>
    </row>
    <row r="183" spans="1:22" ht="15.75" customHeight="1">
      <c r="A183" s="468" t="s">
        <v>348</v>
      </c>
      <c r="B183" s="204" t="s">
        <v>184</v>
      </c>
      <c r="C183" s="527"/>
      <c r="D183" s="267"/>
      <c r="E183" s="706"/>
      <c r="F183" s="267"/>
      <c r="G183" s="206"/>
      <c r="H183" s="214"/>
      <c r="I183" s="502"/>
      <c r="J183" s="553"/>
      <c r="K183" s="552">
        <f t="shared" si="9"/>
        <v>0</v>
      </c>
      <c r="L183" s="217"/>
      <c r="M183" s="211">
        <f t="shared" si="8"/>
        <v>-46136</v>
      </c>
      <c r="N183" s="683">
        <f t="shared" si="10"/>
        <v>7</v>
      </c>
      <c r="O183" s="212"/>
      <c r="P183" s="58"/>
      <c r="Q183" s="561">
        <f t="shared" si="11"/>
        <v>0</v>
      </c>
      <c r="R183" s="58"/>
      <c r="S183" s="58"/>
      <c r="T183" s="58"/>
      <c r="U183" s="58"/>
      <c r="V183" s="58"/>
    </row>
    <row r="184" spans="1:22" ht="15.75" customHeight="1">
      <c r="A184" s="468" t="s">
        <v>348</v>
      </c>
      <c r="B184" s="204" t="s">
        <v>184</v>
      </c>
      <c r="C184" s="527"/>
      <c r="D184" s="267"/>
      <c r="E184" s="706"/>
      <c r="F184" s="267"/>
      <c r="G184" s="206"/>
      <c r="H184" s="214"/>
      <c r="I184" s="502"/>
      <c r="J184" s="553"/>
      <c r="K184" s="552">
        <f t="shared" si="9"/>
        <v>0</v>
      </c>
      <c r="L184" s="217"/>
      <c r="M184" s="211">
        <f t="shared" si="8"/>
        <v>-46136</v>
      </c>
      <c r="N184" s="683">
        <f t="shared" si="10"/>
        <v>7</v>
      </c>
      <c r="O184" s="212"/>
      <c r="P184" s="544"/>
      <c r="Q184" s="561">
        <f t="shared" si="11"/>
        <v>0</v>
      </c>
      <c r="R184" s="58"/>
      <c r="S184" s="58"/>
      <c r="T184" s="58"/>
      <c r="U184" s="58"/>
      <c r="V184" s="58"/>
    </row>
    <row r="185" spans="1:22" ht="15.75" customHeight="1">
      <c r="A185" s="468" t="s">
        <v>348</v>
      </c>
      <c r="B185" s="204" t="s">
        <v>184</v>
      </c>
      <c r="C185" s="527"/>
      <c r="D185" s="267"/>
      <c r="E185" s="706"/>
      <c r="F185" s="267"/>
      <c r="G185" s="206"/>
      <c r="H185" s="214"/>
      <c r="I185" s="500"/>
      <c r="J185" s="553"/>
      <c r="K185" s="552">
        <f t="shared" si="9"/>
        <v>0</v>
      </c>
      <c r="L185" s="217"/>
      <c r="M185" s="211">
        <f t="shared" si="8"/>
        <v>-46136</v>
      </c>
      <c r="N185" s="683">
        <f t="shared" si="10"/>
        <v>7</v>
      </c>
      <c r="O185" s="212"/>
      <c r="P185" s="544"/>
      <c r="Q185" s="561">
        <f t="shared" si="11"/>
        <v>0</v>
      </c>
      <c r="R185" s="58"/>
      <c r="S185" s="58"/>
      <c r="T185" s="58"/>
      <c r="U185" s="58"/>
      <c r="V185" s="58"/>
    </row>
    <row r="186" spans="1:22" ht="15.75" customHeight="1">
      <c r="A186" s="468" t="s">
        <v>348</v>
      </c>
      <c r="B186" s="204" t="s">
        <v>184</v>
      </c>
      <c r="C186" s="527"/>
      <c r="D186" s="267"/>
      <c r="E186" s="706"/>
      <c r="F186" s="267"/>
      <c r="G186" s="206"/>
      <c r="H186" s="214"/>
      <c r="I186" s="500"/>
      <c r="J186" s="553"/>
      <c r="K186" s="552">
        <f t="shared" si="9"/>
        <v>0</v>
      </c>
      <c r="L186" s="217"/>
      <c r="M186" s="211">
        <f t="shared" si="8"/>
        <v>-46136</v>
      </c>
      <c r="N186" s="683">
        <f t="shared" si="10"/>
        <v>7</v>
      </c>
      <c r="O186" s="212"/>
      <c r="P186" s="544"/>
      <c r="Q186" s="561">
        <f t="shared" si="11"/>
        <v>0</v>
      </c>
      <c r="R186" s="58"/>
      <c r="S186" s="58"/>
      <c r="T186" s="58"/>
      <c r="U186" s="58"/>
      <c r="V186" s="58"/>
    </row>
    <row r="187" spans="1:22" ht="15.75" customHeight="1">
      <c r="A187" s="468" t="s">
        <v>348</v>
      </c>
      <c r="B187" s="204" t="s">
        <v>184</v>
      </c>
      <c r="C187" s="527"/>
      <c r="D187" s="267"/>
      <c r="E187" s="706"/>
      <c r="F187" s="267"/>
      <c r="G187" s="206"/>
      <c r="H187" s="214"/>
      <c r="I187" s="500"/>
      <c r="J187" s="553"/>
      <c r="K187" s="552">
        <f t="shared" si="9"/>
        <v>0</v>
      </c>
      <c r="L187" s="217"/>
      <c r="M187" s="211">
        <f t="shared" si="8"/>
        <v>-46136</v>
      </c>
      <c r="N187" s="683">
        <f t="shared" si="10"/>
        <v>7</v>
      </c>
      <c r="O187" s="212"/>
      <c r="P187" s="544"/>
      <c r="Q187" s="561">
        <f t="shared" si="11"/>
        <v>0</v>
      </c>
      <c r="R187" s="58"/>
      <c r="S187" s="58"/>
      <c r="T187" s="58"/>
      <c r="U187" s="58"/>
      <c r="V187" s="58"/>
    </row>
    <row r="188" spans="1:22" ht="15.75" customHeight="1">
      <c r="A188" s="468" t="s">
        <v>348</v>
      </c>
      <c r="B188" s="204" t="s">
        <v>184</v>
      </c>
      <c r="C188" s="527"/>
      <c r="D188" s="267"/>
      <c r="E188" s="706"/>
      <c r="F188" s="267"/>
      <c r="G188" s="206"/>
      <c r="H188" s="214"/>
      <c r="I188" s="500"/>
      <c r="J188" s="553"/>
      <c r="K188" s="552">
        <f t="shared" si="9"/>
        <v>0</v>
      </c>
      <c r="L188" s="217"/>
      <c r="M188" s="211">
        <f t="shared" si="8"/>
        <v>-46136</v>
      </c>
      <c r="N188" s="683">
        <f t="shared" si="10"/>
        <v>7</v>
      </c>
      <c r="O188" s="212"/>
      <c r="P188" s="544"/>
      <c r="Q188" s="561">
        <f t="shared" si="11"/>
        <v>0</v>
      </c>
      <c r="R188" s="58"/>
      <c r="S188" s="58"/>
      <c r="T188" s="58"/>
      <c r="U188" s="58"/>
      <c r="V188" s="58"/>
    </row>
    <row r="189" spans="1:22" ht="15.75" customHeight="1">
      <c r="A189" s="468" t="s">
        <v>348</v>
      </c>
      <c r="B189" s="204" t="s">
        <v>184</v>
      </c>
      <c r="C189" s="527"/>
      <c r="D189" s="267"/>
      <c r="E189" s="706"/>
      <c r="F189" s="267"/>
      <c r="G189" s="206"/>
      <c r="H189" s="214"/>
      <c r="I189" s="500"/>
      <c r="J189" s="553"/>
      <c r="K189" s="552">
        <f t="shared" si="9"/>
        <v>0</v>
      </c>
      <c r="L189" s="217"/>
      <c r="M189" s="211">
        <f t="shared" si="8"/>
        <v>-46136</v>
      </c>
      <c r="N189" s="683">
        <f t="shared" si="10"/>
        <v>7</v>
      </c>
      <c r="O189" s="212"/>
      <c r="P189" s="544"/>
      <c r="Q189" s="561">
        <f t="shared" si="11"/>
        <v>0</v>
      </c>
      <c r="R189" s="58"/>
      <c r="S189" s="58"/>
      <c r="T189" s="58"/>
      <c r="U189" s="58"/>
      <c r="V189" s="58"/>
    </row>
    <row r="190" spans="1:22" ht="15.75" customHeight="1">
      <c r="A190" s="468" t="s">
        <v>348</v>
      </c>
      <c r="B190" s="204" t="s">
        <v>184</v>
      </c>
      <c r="C190" s="527"/>
      <c r="D190" s="267"/>
      <c r="E190" s="706"/>
      <c r="F190" s="267"/>
      <c r="G190" s="206"/>
      <c r="H190" s="214"/>
      <c r="I190" s="502"/>
      <c r="J190" s="553"/>
      <c r="K190" s="552">
        <f t="shared" si="9"/>
        <v>0</v>
      </c>
      <c r="L190" s="217"/>
      <c r="M190" s="211">
        <f t="shared" si="8"/>
        <v>-46136</v>
      </c>
      <c r="N190" s="683">
        <f t="shared" si="10"/>
        <v>7</v>
      </c>
      <c r="O190" s="212"/>
      <c r="P190" s="544"/>
      <c r="Q190" s="561">
        <f t="shared" si="11"/>
        <v>0</v>
      </c>
      <c r="R190" s="58"/>
      <c r="S190" s="58"/>
      <c r="T190" s="58"/>
      <c r="U190" s="58"/>
      <c r="V190" s="58"/>
    </row>
    <row r="191" spans="1:22" ht="15.75" customHeight="1">
      <c r="A191" s="468" t="s">
        <v>348</v>
      </c>
      <c r="B191" s="204" t="s">
        <v>184</v>
      </c>
      <c r="C191" s="527"/>
      <c r="D191" s="267"/>
      <c r="E191" s="706"/>
      <c r="F191" s="267"/>
      <c r="G191" s="206"/>
      <c r="H191" s="214"/>
      <c r="I191" s="500"/>
      <c r="J191" s="553"/>
      <c r="K191" s="552">
        <f t="shared" si="9"/>
        <v>0</v>
      </c>
      <c r="L191" s="217"/>
      <c r="M191" s="211">
        <f t="shared" si="8"/>
        <v>-46136</v>
      </c>
      <c r="N191" s="683">
        <f t="shared" si="10"/>
        <v>7</v>
      </c>
      <c r="O191" s="212"/>
      <c r="P191" s="544"/>
      <c r="Q191" s="561">
        <f t="shared" si="11"/>
        <v>0</v>
      </c>
      <c r="R191" s="58"/>
      <c r="S191" s="58"/>
      <c r="T191" s="58"/>
      <c r="U191" s="58"/>
      <c r="V191" s="58"/>
    </row>
    <row r="192" spans="1:22" ht="15.75" customHeight="1">
      <c r="A192" s="468" t="s">
        <v>348</v>
      </c>
      <c r="B192" s="204" t="s">
        <v>184</v>
      </c>
      <c r="C192" s="527"/>
      <c r="D192" s="267"/>
      <c r="E192" s="706"/>
      <c r="F192" s="267"/>
      <c r="G192" s="206"/>
      <c r="H192" s="214"/>
      <c r="I192" s="500"/>
      <c r="J192" s="553"/>
      <c r="K192" s="552">
        <f t="shared" si="9"/>
        <v>0</v>
      </c>
      <c r="L192" s="217"/>
      <c r="M192" s="211">
        <f t="shared" si="8"/>
        <v>-46136</v>
      </c>
      <c r="N192" s="683">
        <f t="shared" si="10"/>
        <v>7</v>
      </c>
      <c r="O192" s="212"/>
      <c r="P192" s="544"/>
      <c r="Q192" s="561">
        <f t="shared" si="11"/>
        <v>0</v>
      </c>
      <c r="R192" s="58"/>
      <c r="S192" s="58"/>
      <c r="T192" s="58"/>
      <c r="U192" s="58"/>
      <c r="V192" s="58"/>
    </row>
    <row r="193" spans="1:22" ht="15.75" customHeight="1">
      <c r="A193" s="468" t="s">
        <v>348</v>
      </c>
      <c r="B193" s="204" t="s">
        <v>184</v>
      </c>
      <c r="C193" s="527"/>
      <c r="D193" s="267"/>
      <c r="E193" s="706"/>
      <c r="F193" s="267"/>
      <c r="G193" s="206"/>
      <c r="H193" s="214"/>
      <c r="I193" s="500"/>
      <c r="J193" s="553"/>
      <c r="K193" s="552">
        <f t="shared" si="9"/>
        <v>0</v>
      </c>
      <c r="L193" s="217"/>
      <c r="M193" s="211">
        <f t="shared" si="8"/>
        <v>-46136</v>
      </c>
      <c r="N193" s="683">
        <f t="shared" si="10"/>
        <v>7</v>
      </c>
      <c r="O193" s="212"/>
      <c r="P193" s="544"/>
      <c r="Q193" s="561">
        <f t="shared" si="11"/>
        <v>0</v>
      </c>
      <c r="R193" s="58"/>
      <c r="S193" s="58"/>
      <c r="T193" s="58"/>
      <c r="U193" s="58"/>
      <c r="V193" s="58"/>
    </row>
    <row r="194" spans="1:22" ht="15.75" customHeight="1">
      <c r="A194" s="468" t="s">
        <v>348</v>
      </c>
      <c r="B194" s="204" t="s">
        <v>184</v>
      </c>
      <c r="C194" s="527"/>
      <c r="D194" s="267"/>
      <c r="E194" s="706"/>
      <c r="F194" s="267"/>
      <c r="G194" s="206"/>
      <c r="H194" s="214"/>
      <c r="I194" s="500"/>
      <c r="J194" s="553"/>
      <c r="K194" s="552">
        <f t="shared" si="9"/>
        <v>0</v>
      </c>
      <c r="L194" s="217"/>
      <c r="M194" s="211">
        <f t="shared" si="8"/>
        <v>-46136</v>
      </c>
      <c r="N194" s="683">
        <f t="shared" si="10"/>
        <v>7</v>
      </c>
      <c r="O194" s="212"/>
      <c r="P194" s="544"/>
      <c r="Q194" s="561">
        <f t="shared" si="11"/>
        <v>0</v>
      </c>
      <c r="R194" s="58"/>
      <c r="S194" s="58"/>
      <c r="T194" s="58"/>
      <c r="U194" s="58"/>
      <c r="V194" s="58"/>
    </row>
    <row r="195" spans="1:22" ht="15.75" customHeight="1">
      <c r="A195" s="468" t="s">
        <v>348</v>
      </c>
      <c r="B195" s="204" t="s">
        <v>184</v>
      </c>
      <c r="C195" s="527"/>
      <c r="D195" s="267"/>
      <c r="E195" s="706"/>
      <c r="F195" s="267"/>
      <c r="G195" s="206"/>
      <c r="H195" s="214"/>
      <c r="I195" s="500"/>
      <c r="J195" s="553"/>
      <c r="K195" s="552">
        <f t="shared" si="9"/>
        <v>0</v>
      </c>
      <c r="L195" s="217"/>
      <c r="M195" s="211">
        <f t="shared" si="8"/>
        <v>-46136</v>
      </c>
      <c r="N195" s="683">
        <f t="shared" si="10"/>
        <v>7</v>
      </c>
      <c r="O195" s="212"/>
      <c r="P195" s="544"/>
      <c r="Q195" s="561">
        <f t="shared" si="11"/>
        <v>0</v>
      </c>
      <c r="R195" s="58"/>
      <c r="S195" s="58"/>
      <c r="T195" s="58"/>
      <c r="U195" s="58"/>
      <c r="V195" s="58"/>
    </row>
    <row r="196" spans="1:22" ht="15.75" customHeight="1">
      <c r="A196" s="468" t="s">
        <v>348</v>
      </c>
      <c r="B196" s="204" t="s">
        <v>184</v>
      </c>
      <c r="C196" s="527"/>
      <c r="D196" s="267"/>
      <c r="E196" s="706"/>
      <c r="F196" s="267"/>
      <c r="G196" s="206"/>
      <c r="H196" s="214"/>
      <c r="I196" s="500"/>
      <c r="J196" s="553"/>
      <c r="K196" s="552">
        <f t="shared" si="9"/>
        <v>0</v>
      </c>
      <c r="L196" s="217"/>
      <c r="M196" s="211">
        <f t="shared" si="8"/>
        <v>-46136</v>
      </c>
      <c r="N196" s="683">
        <f t="shared" si="10"/>
        <v>7</v>
      </c>
      <c r="O196" s="212"/>
      <c r="P196" s="544"/>
      <c r="Q196" s="561">
        <f t="shared" si="11"/>
        <v>0</v>
      </c>
      <c r="R196" s="58"/>
      <c r="S196" s="58"/>
      <c r="T196" s="58"/>
      <c r="U196" s="58"/>
      <c r="V196" s="58"/>
    </row>
    <row r="197" spans="1:22" ht="15.75" customHeight="1">
      <c r="A197" s="468" t="s">
        <v>348</v>
      </c>
      <c r="B197" s="204" t="s">
        <v>184</v>
      </c>
      <c r="C197" s="527"/>
      <c r="D197" s="267"/>
      <c r="E197" s="706"/>
      <c r="F197" s="267"/>
      <c r="G197" s="206"/>
      <c r="H197" s="214"/>
      <c r="I197" s="500"/>
      <c r="J197" s="553"/>
      <c r="K197" s="552">
        <f t="shared" si="9"/>
        <v>0</v>
      </c>
      <c r="L197" s="217"/>
      <c r="M197" s="211">
        <f t="shared" si="8"/>
        <v>-46136</v>
      </c>
      <c r="N197" s="683">
        <f t="shared" si="10"/>
        <v>7</v>
      </c>
      <c r="O197" s="212"/>
      <c r="P197" s="544"/>
      <c r="Q197" s="561">
        <f t="shared" si="11"/>
        <v>0</v>
      </c>
      <c r="R197" s="58"/>
      <c r="S197" s="58"/>
      <c r="T197" s="58"/>
      <c r="U197" s="58"/>
      <c r="V197" s="58"/>
    </row>
    <row r="198" spans="1:22" ht="15.75" customHeight="1">
      <c r="A198" s="468" t="s">
        <v>348</v>
      </c>
      <c r="B198" s="204" t="s">
        <v>184</v>
      </c>
      <c r="C198" s="527"/>
      <c r="D198" s="267"/>
      <c r="E198" s="706"/>
      <c r="F198" s="267"/>
      <c r="G198" s="206"/>
      <c r="H198" s="214"/>
      <c r="I198" s="500"/>
      <c r="J198" s="553"/>
      <c r="K198" s="552">
        <f t="shared" si="9"/>
        <v>0</v>
      </c>
      <c r="L198" s="217"/>
      <c r="M198" s="211">
        <f t="shared" si="8"/>
        <v>-46136</v>
      </c>
      <c r="N198" s="683">
        <f t="shared" si="10"/>
        <v>7</v>
      </c>
      <c r="O198" s="212"/>
      <c r="P198" s="544"/>
      <c r="Q198" s="561">
        <f t="shared" si="11"/>
        <v>0</v>
      </c>
      <c r="R198" s="58"/>
      <c r="S198" s="58"/>
      <c r="T198" s="58"/>
      <c r="U198" s="58"/>
      <c r="V198" s="58"/>
    </row>
    <row r="199" spans="1:22" ht="15.75" customHeight="1">
      <c r="A199" s="468" t="s">
        <v>348</v>
      </c>
      <c r="B199" s="204" t="s">
        <v>184</v>
      </c>
      <c r="C199" s="527"/>
      <c r="D199" s="267"/>
      <c r="E199" s="706"/>
      <c r="F199" s="267"/>
      <c r="G199" s="206"/>
      <c r="H199" s="214"/>
      <c r="I199" s="500"/>
      <c r="J199" s="553"/>
      <c r="K199" s="552">
        <f t="shared" si="9"/>
        <v>0</v>
      </c>
      <c r="L199" s="217"/>
      <c r="M199" s="211">
        <f t="shared" si="8"/>
        <v>-46136</v>
      </c>
      <c r="N199" s="683">
        <f t="shared" si="10"/>
        <v>7</v>
      </c>
      <c r="O199" s="212"/>
      <c r="P199" s="544"/>
      <c r="Q199" s="561">
        <f t="shared" si="11"/>
        <v>0</v>
      </c>
      <c r="R199" s="58"/>
      <c r="S199" s="58"/>
      <c r="T199" s="58"/>
      <c r="U199" s="58"/>
      <c r="V199" s="58"/>
    </row>
    <row r="200" spans="1:22" ht="15.75" customHeight="1">
      <c r="A200" s="468" t="s">
        <v>348</v>
      </c>
      <c r="B200" s="204" t="s">
        <v>184</v>
      </c>
      <c r="C200" s="527"/>
      <c r="D200" s="267"/>
      <c r="E200" s="706"/>
      <c r="F200" s="267"/>
      <c r="G200" s="206"/>
      <c r="H200" s="214"/>
      <c r="I200" s="500"/>
      <c r="J200" s="553"/>
      <c r="K200" s="552">
        <f t="shared" si="9"/>
        <v>0</v>
      </c>
      <c r="L200" s="217"/>
      <c r="M200" s="211">
        <f t="shared" si="8"/>
        <v>-46136</v>
      </c>
      <c r="N200" s="683">
        <f t="shared" si="10"/>
        <v>7</v>
      </c>
      <c r="O200" s="212"/>
      <c r="P200" s="544"/>
      <c r="Q200" s="561">
        <f t="shared" si="11"/>
        <v>0</v>
      </c>
      <c r="R200" s="58"/>
      <c r="S200" s="58"/>
      <c r="T200" s="58"/>
      <c r="U200" s="58"/>
      <c r="V200" s="58"/>
    </row>
    <row r="201" spans="1:22" ht="15.75" customHeight="1">
      <c r="A201" s="468" t="s">
        <v>348</v>
      </c>
      <c r="B201" s="204" t="s">
        <v>184</v>
      </c>
      <c r="C201" s="527"/>
      <c r="D201" s="267"/>
      <c r="E201" s="706"/>
      <c r="F201" s="267"/>
      <c r="G201" s="206"/>
      <c r="H201" s="214"/>
      <c r="I201" s="500"/>
      <c r="J201" s="553"/>
      <c r="K201" s="552">
        <f t="shared" si="9"/>
        <v>0</v>
      </c>
      <c r="L201" s="217"/>
      <c r="M201" s="211">
        <f t="shared" ref="M201:M264" si="12">+L201-$E$6</f>
        <v>-46136</v>
      </c>
      <c r="N201" s="683">
        <f t="shared" si="10"/>
        <v>7</v>
      </c>
      <c r="O201" s="212"/>
      <c r="P201" s="544"/>
      <c r="Q201" s="561">
        <f t="shared" si="11"/>
        <v>0</v>
      </c>
      <c r="R201" s="58"/>
      <c r="S201" s="58"/>
      <c r="T201" s="58"/>
      <c r="U201" s="58"/>
      <c r="V201" s="58"/>
    </row>
    <row r="202" spans="1:22" ht="15.75" customHeight="1">
      <c r="A202" s="468" t="s">
        <v>348</v>
      </c>
      <c r="B202" s="204" t="s">
        <v>184</v>
      </c>
      <c r="C202" s="527"/>
      <c r="D202" s="267"/>
      <c r="E202" s="706"/>
      <c r="F202" s="267"/>
      <c r="G202" s="206"/>
      <c r="H202" s="214"/>
      <c r="I202" s="500"/>
      <c r="J202" s="553"/>
      <c r="K202" s="552">
        <f t="shared" ref="K202:K265" si="13">-J202</f>
        <v>0</v>
      </c>
      <c r="L202" s="217"/>
      <c r="M202" s="211">
        <f t="shared" si="12"/>
        <v>-46136</v>
      </c>
      <c r="N202" s="683">
        <f t="shared" ref="N202:N265" si="14">+L202+7</f>
        <v>7</v>
      </c>
      <c r="O202" s="212"/>
      <c r="P202" s="544"/>
      <c r="Q202" s="561">
        <f t="shared" si="11"/>
        <v>0</v>
      </c>
      <c r="R202" s="58"/>
      <c r="S202" s="58"/>
      <c r="T202" s="58"/>
      <c r="U202" s="58"/>
      <c r="V202" s="58"/>
    </row>
    <row r="203" spans="1:22" ht="15.75" customHeight="1">
      <c r="A203" s="468" t="s">
        <v>348</v>
      </c>
      <c r="B203" s="204" t="s">
        <v>184</v>
      </c>
      <c r="C203" s="527"/>
      <c r="D203" s="267"/>
      <c r="E203" s="706"/>
      <c r="F203" s="267"/>
      <c r="G203" s="206"/>
      <c r="H203" s="214"/>
      <c r="I203" s="500"/>
      <c r="J203" s="553"/>
      <c r="K203" s="552">
        <f t="shared" si="13"/>
        <v>0</v>
      </c>
      <c r="L203" s="217"/>
      <c r="M203" s="211">
        <f t="shared" si="12"/>
        <v>-46136</v>
      </c>
      <c r="N203" s="683">
        <f t="shared" si="14"/>
        <v>7</v>
      </c>
      <c r="O203" s="212"/>
      <c r="P203" s="544"/>
      <c r="Q203" s="561">
        <f t="shared" ref="Q203:Q266" si="15">+K203+J203</f>
        <v>0</v>
      </c>
      <c r="R203" s="58"/>
      <c r="S203" s="58"/>
      <c r="T203" s="58"/>
      <c r="U203" s="58"/>
      <c r="V203" s="58"/>
    </row>
    <row r="204" spans="1:22" ht="15.75" customHeight="1">
      <c r="A204" s="468" t="s">
        <v>348</v>
      </c>
      <c r="B204" s="204" t="s">
        <v>184</v>
      </c>
      <c r="C204" s="527"/>
      <c r="D204" s="267"/>
      <c r="E204" s="706"/>
      <c r="F204" s="267"/>
      <c r="G204" s="206"/>
      <c r="H204" s="214"/>
      <c r="I204" s="500"/>
      <c r="J204" s="553"/>
      <c r="K204" s="552">
        <f t="shared" si="13"/>
        <v>0</v>
      </c>
      <c r="L204" s="217"/>
      <c r="M204" s="211">
        <f t="shared" si="12"/>
        <v>-46136</v>
      </c>
      <c r="N204" s="683">
        <f t="shared" si="14"/>
        <v>7</v>
      </c>
      <c r="O204" s="212"/>
      <c r="P204" s="544"/>
      <c r="Q204" s="561">
        <f t="shared" si="15"/>
        <v>0</v>
      </c>
      <c r="R204" s="58"/>
      <c r="S204" s="58"/>
      <c r="T204" s="58"/>
      <c r="U204" s="58"/>
      <c r="V204" s="58"/>
    </row>
    <row r="205" spans="1:22" ht="15.75" customHeight="1">
      <c r="A205" s="468" t="s">
        <v>348</v>
      </c>
      <c r="B205" s="204" t="s">
        <v>184</v>
      </c>
      <c r="C205" s="527"/>
      <c r="D205" s="267"/>
      <c r="E205" s="706"/>
      <c r="F205" s="267"/>
      <c r="G205" s="206"/>
      <c r="H205" s="214"/>
      <c r="I205" s="502"/>
      <c r="J205" s="553"/>
      <c r="K205" s="552">
        <f t="shared" si="13"/>
        <v>0</v>
      </c>
      <c r="L205" s="217"/>
      <c r="M205" s="211">
        <f t="shared" si="12"/>
        <v>-46136</v>
      </c>
      <c r="N205" s="683">
        <f t="shared" si="14"/>
        <v>7</v>
      </c>
      <c r="O205" s="212"/>
      <c r="P205" s="544"/>
      <c r="Q205" s="561">
        <f t="shared" si="15"/>
        <v>0</v>
      </c>
      <c r="R205" s="58"/>
      <c r="S205" s="58"/>
      <c r="T205" s="58"/>
      <c r="U205" s="58"/>
      <c r="V205" s="58"/>
    </row>
    <row r="206" spans="1:22" ht="15.75" customHeight="1">
      <c r="A206" s="468" t="s">
        <v>348</v>
      </c>
      <c r="B206" s="204" t="s">
        <v>184</v>
      </c>
      <c r="C206" s="527"/>
      <c r="D206" s="267"/>
      <c r="E206" s="706"/>
      <c r="F206" s="267"/>
      <c r="G206" s="206"/>
      <c r="H206" s="214"/>
      <c r="I206" s="502"/>
      <c r="J206" s="553"/>
      <c r="K206" s="552">
        <f t="shared" si="13"/>
        <v>0</v>
      </c>
      <c r="L206" s="217"/>
      <c r="M206" s="211">
        <f t="shared" si="12"/>
        <v>-46136</v>
      </c>
      <c r="N206" s="683">
        <f t="shared" si="14"/>
        <v>7</v>
      </c>
      <c r="O206" s="212"/>
      <c r="P206" s="544"/>
      <c r="Q206" s="561">
        <f t="shared" si="15"/>
        <v>0</v>
      </c>
      <c r="R206" s="58"/>
      <c r="S206" s="58"/>
      <c r="T206" s="58"/>
      <c r="U206" s="58"/>
      <c r="V206" s="58"/>
    </row>
    <row r="207" spans="1:22" ht="15.75" customHeight="1">
      <c r="A207" s="468" t="s">
        <v>348</v>
      </c>
      <c r="B207" s="204" t="s">
        <v>184</v>
      </c>
      <c r="C207" s="527"/>
      <c r="D207" s="267"/>
      <c r="E207" s="706"/>
      <c r="F207" s="267"/>
      <c r="G207" s="206"/>
      <c r="H207" s="214"/>
      <c r="I207" s="502"/>
      <c r="J207" s="553"/>
      <c r="K207" s="552">
        <f t="shared" si="13"/>
        <v>0</v>
      </c>
      <c r="L207" s="217"/>
      <c r="M207" s="211">
        <f t="shared" si="12"/>
        <v>-46136</v>
      </c>
      <c r="N207" s="683">
        <f t="shared" si="14"/>
        <v>7</v>
      </c>
      <c r="O207" s="212"/>
      <c r="P207" s="544"/>
      <c r="Q207" s="561">
        <f t="shared" si="15"/>
        <v>0</v>
      </c>
      <c r="R207" s="58"/>
      <c r="S207" s="58"/>
      <c r="T207" s="58"/>
      <c r="U207" s="58"/>
      <c r="V207" s="58"/>
    </row>
    <row r="208" spans="1:22" ht="15.75" customHeight="1">
      <c r="A208" s="468" t="s">
        <v>348</v>
      </c>
      <c r="B208" s="204" t="s">
        <v>184</v>
      </c>
      <c r="C208" s="527"/>
      <c r="D208" s="267"/>
      <c r="E208" s="706"/>
      <c r="F208" s="267"/>
      <c r="G208" s="206"/>
      <c r="H208" s="214"/>
      <c r="I208" s="502"/>
      <c r="J208" s="553"/>
      <c r="K208" s="552">
        <f t="shared" si="13"/>
        <v>0</v>
      </c>
      <c r="L208" s="217"/>
      <c r="M208" s="211">
        <f t="shared" si="12"/>
        <v>-46136</v>
      </c>
      <c r="N208" s="683">
        <f t="shared" si="14"/>
        <v>7</v>
      </c>
      <c r="O208" s="212"/>
      <c r="P208" s="544"/>
      <c r="Q208" s="561">
        <f t="shared" si="15"/>
        <v>0</v>
      </c>
      <c r="R208" s="58"/>
      <c r="S208" s="58"/>
      <c r="T208" s="58"/>
      <c r="U208" s="58"/>
      <c r="V208" s="58"/>
    </row>
    <row r="209" spans="1:22" ht="15.75" customHeight="1">
      <c r="A209" s="468" t="s">
        <v>348</v>
      </c>
      <c r="B209" s="204" t="s">
        <v>184</v>
      </c>
      <c r="C209" s="527"/>
      <c r="D209" s="267"/>
      <c r="E209" s="706"/>
      <c r="F209" s="205"/>
      <c r="G209" s="206"/>
      <c r="H209" s="214"/>
      <c r="I209" s="502"/>
      <c r="J209" s="553"/>
      <c r="K209" s="552">
        <f t="shared" si="13"/>
        <v>0</v>
      </c>
      <c r="L209" s="217"/>
      <c r="M209" s="211">
        <f t="shared" si="12"/>
        <v>-46136</v>
      </c>
      <c r="N209" s="683">
        <f t="shared" si="14"/>
        <v>7</v>
      </c>
      <c r="O209" s="212"/>
      <c r="P209" s="544"/>
      <c r="Q209" s="561">
        <f t="shared" si="15"/>
        <v>0</v>
      </c>
      <c r="R209" s="58"/>
      <c r="S209" s="58"/>
      <c r="T209" s="58"/>
      <c r="U209" s="58"/>
      <c r="V209" s="58"/>
    </row>
    <row r="210" spans="1:22" ht="15.75" customHeight="1">
      <c r="A210" s="468" t="s">
        <v>348</v>
      </c>
      <c r="B210" s="204" t="s">
        <v>184</v>
      </c>
      <c r="C210" s="527"/>
      <c r="D210" s="267"/>
      <c r="E210" s="706"/>
      <c r="F210" s="205"/>
      <c r="G210" s="206"/>
      <c r="H210" s="214"/>
      <c r="I210" s="502"/>
      <c r="J210" s="553"/>
      <c r="K210" s="552">
        <f t="shared" si="13"/>
        <v>0</v>
      </c>
      <c r="L210" s="217"/>
      <c r="M210" s="211">
        <f t="shared" si="12"/>
        <v>-46136</v>
      </c>
      <c r="N210" s="683">
        <f t="shared" si="14"/>
        <v>7</v>
      </c>
      <c r="O210" s="212"/>
      <c r="P210" s="544"/>
      <c r="Q210" s="561">
        <f t="shared" si="15"/>
        <v>0</v>
      </c>
      <c r="R210" s="58"/>
      <c r="S210" s="58"/>
      <c r="T210" s="58"/>
      <c r="U210" s="58"/>
      <c r="V210" s="58"/>
    </row>
    <row r="211" spans="1:22" ht="15.75" customHeight="1">
      <c r="A211" s="468" t="s">
        <v>348</v>
      </c>
      <c r="B211" s="204" t="s">
        <v>184</v>
      </c>
      <c r="C211" s="527"/>
      <c r="D211" s="267"/>
      <c r="E211" s="706"/>
      <c r="F211" s="205"/>
      <c r="G211" s="206"/>
      <c r="H211" s="214"/>
      <c r="I211" s="502"/>
      <c r="J211" s="553"/>
      <c r="K211" s="552">
        <f t="shared" si="13"/>
        <v>0</v>
      </c>
      <c r="L211" s="217"/>
      <c r="M211" s="211">
        <f t="shared" si="12"/>
        <v>-46136</v>
      </c>
      <c r="N211" s="683">
        <f t="shared" si="14"/>
        <v>7</v>
      </c>
      <c r="O211" s="212"/>
      <c r="P211" s="544"/>
      <c r="Q211" s="561">
        <f t="shared" si="15"/>
        <v>0</v>
      </c>
      <c r="R211" s="58"/>
      <c r="S211" s="58"/>
      <c r="T211" s="58"/>
      <c r="U211" s="58"/>
      <c r="V211" s="58"/>
    </row>
    <row r="212" spans="1:22" ht="15.75" customHeight="1">
      <c r="A212" s="468" t="s">
        <v>348</v>
      </c>
      <c r="B212" s="204" t="s">
        <v>184</v>
      </c>
      <c r="C212" s="527"/>
      <c r="D212" s="267"/>
      <c r="E212" s="706"/>
      <c r="F212" s="205"/>
      <c r="G212" s="206"/>
      <c r="H212" s="214"/>
      <c r="I212" s="502"/>
      <c r="J212" s="553"/>
      <c r="K212" s="552">
        <f t="shared" si="13"/>
        <v>0</v>
      </c>
      <c r="L212" s="217"/>
      <c r="M212" s="211">
        <f t="shared" si="12"/>
        <v>-46136</v>
      </c>
      <c r="N212" s="683">
        <f t="shared" si="14"/>
        <v>7</v>
      </c>
      <c r="O212" s="212"/>
      <c r="P212" s="544"/>
      <c r="Q212" s="561">
        <f t="shared" si="15"/>
        <v>0</v>
      </c>
      <c r="R212" s="58"/>
      <c r="S212" s="58"/>
      <c r="T212" s="58"/>
      <c r="U212" s="58"/>
      <c r="V212" s="58"/>
    </row>
    <row r="213" spans="1:22" ht="15.75" customHeight="1">
      <c r="A213" s="468" t="s">
        <v>348</v>
      </c>
      <c r="B213" s="204" t="s">
        <v>184</v>
      </c>
      <c r="C213" s="527"/>
      <c r="D213" s="267"/>
      <c r="E213" s="706"/>
      <c r="F213" s="205"/>
      <c r="G213" s="206"/>
      <c r="H213" s="214"/>
      <c r="I213" s="502"/>
      <c r="J213" s="553"/>
      <c r="K213" s="552">
        <f t="shared" si="13"/>
        <v>0</v>
      </c>
      <c r="L213" s="217"/>
      <c r="M213" s="211">
        <f t="shared" si="12"/>
        <v>-46136</v>
      </c>
      <c r="N213" s="683">
        <f t="shared" si="14"/>
        <v>7</v>
      </c>
      <c r="O213" s="212"/>
      <c r="P213" s="544"/>
      <c r="Q213" s="561">
        <f t="shared" si="15"/>
        <v>0</v>
      </c>
      <c r="R213" s="58"/>
      <c r="S213" s="58"/>
      <c r="T213" s="58"/>
      <c r="U213" s="58"/>
      <c r="V213" s="58"/>
    </row>
    <row r="214" spans="1:22" ht="15.75" customHeight="1">
      <c r="A214" s="468" t="s">
        <v>348</v>
      </c>
      <c r="B214" s="204" t="s">
        <v>184</v>
      </c>
      <c r="C214" s="527"/>
      <c r="D214" s="267"/>
      <c r="E214" s="706"/>
      <c r="F214" s="205"/>
      <c r="G214" s="206"/>
      <c r="H214" s="214"/>
      <c r="I214" s="502"/>
      <c r="J214" s="553"/>
      <c r="K214" s="552">
        <f t="shared" si="13"/>
        <v>0</v>
      </c>
      <c r="L214" s="217"/>
      <c r="M214" s="211">
        <f t="shared" si="12"/>
        <v>-46136</v>
      </c>
      <c r="N214" s="683">
        <f t="shared" si="14"/>
        <v>7</v>
      </c>
      <c r="O214" s="212"/>
      <c r="P214" s="544"/>
      <c r="Q214" s="561">
        <f t="shared" si="15"/>
        <v>0</v>
      </c>
      <c r="R214" s="58"/>
      <c r="S214" s="58"/>
      <c r="T214" s="58"/>
      <c r="U214" s="58"/>
      <c r="V214" s="58"/>
    </row>
    <row r="215" spans="1:22" ht="15.75" customHeight="1">
      <c r="A215" s="468" t="s">
        <v>348</v>
      </c>
      <c r="B215" s="204" t="s">
        <v>184</v>
      </c>
      <c r="C215" s="527"/>
      <c r="D215" s="267"/>
      <c r="E215" s="706"/>
      <c r="F215" s="205"/>
      <c r="G215" s="206"/>
      <c r="H215" s="214"/>
      <c r="I215" s="502"/>
      <c r="J215" s="553"/>
      <c r="K215" s="552">
        <f t="shared" si="13"/>
        <v>0</v>
      </c>
      <c r="L215" s="217"/>
      <c r="M215" s="211">
        <f t="shared" si="12"/>
        <v>-46136</v>
      </c>
      <c r="N215" s="683">
        <f t="shared" si="14"/>
        <v>7</v>
      </c>
      <c r="O215" s="212"/>
      <c r="P215" s="544"/>
      <c r="Q215" s="561">
        <f t="shared" si="15"/>
        <v>0</v>
      </c>
      <c r="R215" s="58"/>
      <c r="S215" s="58"/>
      <c r="T215" s="58"/>
      <c r="U215" s="58"/>
      <c r="V215" s="58"/>
    </row>
    <row r="216" spans="1:22" ht="15.75" customHeight="1">
      <c r="A216" s="468" t="s">
        <v>348</v>
      </c>
      <c r="B216" s="204" t="s">
        <v>184</v>
      </c>
      <c r="C216" s="527"/>
      <c r="D216" s="267"/>
      <c r="E216" s="706"/>
      <c r="F216" s="205"/>
      <c r="G216" s="206"/>
      <c r="H216" s="214"/>
      <c r="I216" s="502"/>
      <c r="J216" s="553"/>
      <c r="K216" s="552">
        <f t="shared" si="13"/>
        <v>0</v>
      </c>
      <c r="L216" s="217"/>
      <c r="M216" s="211">
        <f t="shared" si="12"/>
        <v>-46136</v>
      </c>
      <c r="N216" s="683">
        <f t="shared" si="14"/>
        <v>7</v>
      </c>
      <c r="O216" s="212"/>
      <c r="P216" s="544"/>
      <c r="Q216" s="561">
        <f t="shared" si="15"/>
        <v>0</v>
      </c>
      <c r="R216" s="58"/>
      <c r="S216" s="58"/>
      <c r="T216" s="58"/>
      <c r="U216" s="58"/>
      <c r="V216" s="58"/>
    </row>
    <row r="217" spans="1:22" ht="15.75" customHeight="1">
      <c r="A217" s="468" t="s">
        <v>348</v>
      </c>
      <c r="B217" s="204" t="s">
        <v>184</v>
      </c>
      <c r="C217" s="527"/>
      <c r="D217" s="267"/>
      <c r="E217" s="706"/>
      <c r="F217" s="267"/>
      <c r="G217" s="206"/>
      <c r="H217" s="214"/>
      <c r="I217" s="500"/>
      <c r="J217" s="553"/>
      <c r="K217" s="552">
        <f t="shared" si="13"/>
        <v>0</v>
      </c>
      <c r="L217" s="217"/>
      <c r="M217" s="211">
        <f t="shared" si="12"/>
        <v>-46136</v>
      </c>
      <c r="N217" s="683">
        <f t="shared" si="14"/>
        <v>7</v>
      </c>
      <c r="O217" s="212"/>
      <c r="P217" s="544"/>
      <c r="Q217" s="561">
        <f t="shared" si="15"/>
        <v>0</v>
      </c>
      <c r="R217" s="58"/>
      <c r="S217" s="58"/>
      <c r="T217" s="58"/>
      <c r="U217" s="58"/>
      <c r="V217" s="58"/>
    </row>
    <row r="218" spans="1:22" ht="15.75" customHeight="1">
      <c r="A218" s="468" t="s">
        <v>348</v>
      </c>
      <c r="B218" s="204" t="s">
        <v>184</v>
      </c>
      <c r="C218" s="527"/>
      <c r="D218" s="267"/>
      <c r="E218" s="706"/>
      <c r="F218" s="267"/>
      <c r="G218" s="206"/>
      <c r="H218" s="214"/>
      <c r="I218" s="500"/>
      <c r="J218" s="553"/>
      <c r="K218" s="552">
        <f t="shared" si="13"/>
        <v>0</v>
      </c>
      <c r="L218" s="217"/>
      <c r="M218" s="211">
        <f t="shared" si="12"/>
        <v>-46136</v>
      </c>
      <c r="N218" s="683">
        <f t="shared" si="14"/>
        <v>7</v>
      </c>
      <c r="O218" s="212"/>
      <c r="P218" s="544"/>
      <c r="Q218" s="561">
        <f t="shared" si="15"/>
        <v>0</v>
      </c>
      <c r="R218" s="58"/>
      <c r="S218" s="58"/>
      <c r="T218" s="58"/>
      <c r="U218" s="58"/>
      <c r="V218" s="58"/>
    </row>
    <row r="219" spans="1:22" ht="15.75" customHeight="1">
      <c r="A219" s="468" t="s">
        <v>348</v>
      </c>
      <c r="B219" s="204" t="s">
        <v>184</v>
      </c>
      <c r="C219" s="527"/>
      <c r="D219" s="267"/>
      <c r="E219" s="706"/>
      <c r="F219" s="267"/>
      <c r="G219" s="206"/>
      <c r="H219" s="214"/>
      <c r="I219" s="500"/>
      <c r="J219" s="553"/>
      <c r="K219" s="552">
        <f t="shared" si="13"/>
        <v>0</v>
      </c>
      <c r="L219" s="217"/>
      <c r="M219" s="211">
        <f t="shared" si="12"/>
        <v>-46136</v>
      </c>
      <c r="N219" s="683">
        <f t="shared" si="14"/>
        <v>7</v>
      </c>
      <c r="O219" s="212"/>
      <c r="P219" s="544"/>
      <c r="Q219" s="561">
        <f t="shared" si="15"/>
        <v>0</v>
      </c>
      <c r="R219" s="58"/>
      <c r="S219" s="58"/>
      <c r="T219" s="58"/>
      <c r="U219" s="58"/>
      <c r="V219" s="58"/>
    </row>
    <row r="220" spans="1:22" ht="15.75" customHeight="1">
      <c r="A220" s="468" t="s">
        <v>348</v>
      </c>
      <c r="B220" s="204" t="s">
        <v>184</v>
      </c>
      <c r="C220" s="527"/>
      <c r="D220" s="267"/>
      <c r="E220" s="706"/>
      <c r="F220" s="205"/>
      <c r="G220" s="206"/>
      <c r="H220" s="214"/>
      <c r="I220" s="501"/>
      <c r="J220" s="553"/>
      <c r="K220" s="552">
        <f t="shared" si="13"/>
        <v>0</v>
      </c>
      <c r="L220" s="217"/>
      <c r="M220" s="211">
        <f t="shared" si="12"/>
        <v>-46136</v>
      </c>
      <c r="N220" s="683">
        <f t="shared" si="14"/>
        <v>7</v>
      </c>
      <c r="O220" s="212"/>
      <c r="P220" s="544"/>
      <c r="Q220" s="561">
        <f t="shared" si="15"/>
        <v>0</v>
      </c>
      <c r="R220" s="58"/>
      <c r="S220" s="58"/>
      <c r="T220" s="58"/>
      <c r="U220" s="58"/>
      <c r="V220" s="58"/>
    </row>
    <row r="221" spans="1:22" ht="15.75" customHeight="1">
      <c r="A221" s="468" t="s">
        <v>348</v>
      </c>
      <c r="B221" s="204" t="s">
        <v>184</v>
      </c>
      <c r="C221" s="527"/>
      <c r="D221" s="267"/>
      <c r="E221" s="706"/>
      <c r="F221" s="205"/>
      <c r="G221" s="206"/>
      <c r="H221" s="214"/>
      <c r="I221" s="501"/>
      <c r="J221" s="553"/>
      <c r="K221" s="552">
        <f t="shared" si="13"/>
        <v>0</v>
      </c>
      <c r="L221" s="217"/>
      <c r="M221" s="211">
        <f t="shared" si="12"/>
        <v>-46136</v>
      </c>
      <c r="N221" s="683">
        <f t="shared" si="14"/>
        <v>7</v>
      </c>
      <c r="O221" s="212"/>
      <c r="P221" s="544"/>
      <c r="Q221" s="561">
        <f t="shared" si="15"/>
        <v>0</v>
      </c>
      <c r="R221" s="58"/>
      <c r="S221" s="58"/>
      <c r="T221" s="58"/>
      <c r="U221" s="58"/>
      <c r="V221" s="58"/>
    </row>
    <row r="222" spans="1:22" ht="15.75" customHeight="1">
      <c r="A222" s="468" t="s">
        <v>348</v>
      </c>
      <c r="B222" s="204" t="s">
        <v>184</v>
      </c>
      <c r="C222" s="529"/>
      <c r="D222" s="507"/>
      <c r="E222" s="709"/>
      <c r="F222" s="507"/>
      <c r="G222" s="206"/>
      <c r="H222" s="214"/>
      <c r="I222" s="501"/>
      <c r="J222" s="553"/>
      <c r="K222" s="552">
        <f t="shared" si="13"/>
        <v>0</v>
      </c>
      <c r="L222" s="217"/>
      <c r="M222" s="211">
        <f t="shared" si="12"/>
        <v>-46136</v>
      </c>
      <c r="N222" s="683">
        <f t="shared" si="14"/>
        <v>7</v>
      </c>
      <c r="O222" s="212"/>
      <c r="P222" s="544"/>
      <c r="Q222" s="561">
        <f t="shared" si="15"/>
        <v>0</v>
      </c>
      <c r="R222" s="58"/>
      <c r="S222" s="58"/>
      <c r="T222" s="58"/>
      <c r="U222" s="58"/>
      <c r="V222" s="58"/>
    </row>
    <row r="223" spans="1:22" ht="15.75" customHeight="1">
      <c r="A223" s="468" t="s">
        <v>348</v>
      </c>
      <c r="B223" s="204" t="s">
        <v>184</v>
      </c>
      <c r="C223" s="530"/>
      <c r="D223" s="267"/>
      <c r="E223" s="706"/>
      <c r="F223" s="215"/>
      <c r="G223" s="206"/>
      <c r="H223" s="494"/>
      <c r="I223" s="502"/>
      <c r="J223" s="553"/>
      <c r="K223" s="552">
        <f t="shared" si="13"/>
        <v>0</v>
      </c>
      <c r="L223" s="217"/>
      <c r="M223" s="211">
        <f t="shared" si="12"/>
        <v>-46136</v>
      </c>
      <c r="N223" s="683">
        <f t="shared" si="14"/>
        <v>7</v>
      </c>
      <c r="O223" s="212"/>
      <c r="P223" s="544"/>
      <c r="Q223" s="561">
        <f t="shared" si="15"/>
        <v>0</v>
      </c>
      <c r="R223" s="58"/>
      <c r="S223" s="58"/>
      <c r="T223" s="58"/>
      <c r="U223" s="58"/>
      <c r="V223" s="58"/>
    </row>
    <row r="224" spans="1:22" ht="15.75" customHeight="1">
      <c r="A224" s="468" t="s">
        <v>348</v>
      </c>
      <c r="B224" s="204" t="s">
        <v>184</v>
      </c>
      <c r="C224" s="527"/>
      <c r="D224" s="267"/>
      <c r="E224" s="706"/>
      <c r="F224" s="267"/>
      <c r="G224" s="206"/>
      <c r="H224" s="214"/>
      <c r="I224" s="503"/>
      <c r="J224" s="553"/>
      <c r="K224" s="552">
        <f t="shared" si="13"/>
        <v>0</v>
      </c>
      <c r="L224" s="217"/>
      <c r="M224" s="211">
        <f t="shared" si="12"/>
        <v>-46136</v>
      </c>
      <c r="N224" s="683">
        <f t="shared" si="14"/>
        <v>7</v>
      </c>
      <c r="O224" s="212"/>
      <c r="P224" s="544"/>
      <c r="Q224" s="561">
        <f t="shared" si="15"/>
        <v>0</v>
      </c>
      <c r="R224" s="58"/>
      <c r="S224" s="58"/>
      <c r="T224" s="58"/>
      <c r="U224" s="58"/>
      <c r="V224" s="58"/>
    </row>
    <row r="225" spans="1:22" ht="15.75" customHeight="1">
      <c r="A225" s="468" t="s">
        <v>348</v>
      </c>
      <c r="B225" s="204" t="s">
        <v>184</v>
      </c>
      <c r="C225" s="527"/>
      <c r="D225" s="267"/>
      <c r="E225" s="706"/>
      <c r="F225" s="267"/>
      <c r="G225" s="206"/>
      <c r="H225" s="214"/>
      <c r="I225" s="502"/>
      <c r="J225" s="553"/>
      <c r="K225" s="552">
        <f t="shared" si="13"/>
        <v>0</v>
      </c>
      <c r="L225" s="217"/>
      <c r="M225" s="211">
        <f t="shared" si="12"/>
        <v>-46136</v>
      </c>
      <c r="N225" s="683">
        <f t="shared" si="14"/>
        <v>7</v>
      </c>
      <c r="O225" s="212"/>
      <c r="P225" s="544"/>
      <c r="Q225" s="561">
        <f t="shared" si="15"/>
        <v>0</v>
      </c>
      <c r="R225" s="58"/>
      <c r="S225" s="58"/>
      <c r="T225" s="58"/>
      <c r="U225" s="58"/>
      <c r="V225" s="58"/>
    </row>
    <row r="226" spans="1:22" ht="15.75" customHeight="1">
      <c r="A226" s="468" t="s">
        <v>348</v>
      </c>
      <c r="B226" s="204" t="s">
        <v>184</v>
      </c>
      <c r="C226" s="527"/>
      <c r="D226" s="267"/>
      <c r="E226" s="706"/>
      <c r="F226" s="267"/>
      <c r="G226" s="206"/>
      <c r="H226" s="214"/>
      <c r="I226" s="502"/>
      <c r="J226" s="553"/>
      <c r="K226" s="552">
        <f t="shared" si="13"/>
        <v>0</v>
      </c>
      <c r="L226" s="217"/>
      <c r="M226" s="211">
        <f t="shared" si="12"/>
        <v>-46136</v>
      </c>
      <c r="N226" s="683">
        <f t="shared" si="14"/>
        <v>7</v>
      </c>
      <c r="O226" s="212"/>
      <c r="P226" s="544"/>
      <c r="Q226" s="561">
        <f t="shared" si="15"/>
        <v>0</v>
      </c>
      <c r="R226" s="58"/>
      <c r="S226" s="58"/>
      <c r="T226" s="58"/>
      <c r="U226" s="58"/>
      <c r="V226" s="58"/>
    </row>
    <row r="227" spans="1:22" ht="15.75" customHeight="1">
      <c r="A227" s="468" t="s">
        <v>348</v>
      </c>
      <c r="B227" s="204" t="s">
        <v>184</v>
      </c>
      <c r="C227" s="527"/>
      <c r="D227" s="267"/>
      <c r="E227" s="706"/>
      <c r="F227" s="267"/>
      <c r="G227" s="206"/>
      <c r="H227" s="214"/>
      <c r="I227" s="502"/>
      <c r="J227" s="553"/>
      <c r="K227" s="552">
        <f t="shared" si="13"/>
        <v>0</v>
      </c>
      <c r="L227" s="217"/>
      <c r="M227" s="211">
        <f t="shared" si="12"/>
        <v>-46136</v>
      </c>
      <c r="N227" s="683">
        <f t="shared" si="14"/>
        <v>7</v>
      </c>
      <c r="O227" s="212"/>
      <c r="P227" s="544"/>
      <c r="Q227" s="561">
        <f t="shared" si="15"/>
        <v>0</v>
      </c>
      <c r="R227" s="58"/>
      <c r="S227" s="58"/>
      <c r="T227" s="58"/>
      <c r="U227" s="58"/>
      <c r="V227" s="58"/>
    </row>
    <row r="228" spans="1:22" ht="15.75" customHeight="1">
      <c r="A228" s="468" t="s">
        <v>348</v>
      </c>
      <c r="B228" s="204" t="s">
        <v>184</v>
      </c>
      <c r="C228" s="527"/>
      <c r="D228" s="267"/>
      <c r="E228" s="706"/>
      <c r="F228" s="267"/>
      <c r="G228" s="206"/>
      <c r="H228" s="214"/>
      <c r="I228" s="502"/>
      <c r="J228" s="553"/>
      <c r="K228" s="552">
        <f t="shared" si="13"/>
        <v>0</v>
      </c>
      <c r="L228" s="217"/>
      <c r="M228" s="211">
        <f t="shared" si="12"/>
        <v>-46136</v>
      </c>
      <c r="N228" s="683">
        <f t="shared" si="14"/>
        <v>7</v>
      </c>
      <c r="O228" s="212"/>
      <c r="P228" s="544"/>
      <c r="Q228" s="561">
        <f t="shared" si="15"/>
        <v>0</v>
      </c>
      <c r="R228" s="58"/>
      <c r="S228" s="58"/>
      <c r="T228" s="58"/>
      <c r="U228" s="58"/>
      <c r="V228" s="58"/>
    </row>
    <row r="229" spans="1:22" ht="15.75" customHeight="1">
      <c r="A229" s="468" t="s">
        <v>348</v>
      </c>
      <c r="B229" s="204" t="s">
        <v>184</v>
      </c>
      <c r="C229" s="527"/>
      <c r="D229" s="267"/>
      <c r="E229" s="706"/>
      <c r="F229" s="267"/>
      <c r="G229" s="206"/>
      <c r="H229" s="214"/>
      <c r="I229" s="502"/>
      <c r="J229" s="553"/>
      <c r="K229" s="552">
        <f t="shared" si="13"/>
        <v>0</v>
      </c>
      <c r="L229" s="217"/>
      <c r="M229" s="211">
        <f t="shared" si="12"/>
        <v>-46136</v>
      </c>
      <c r="N229" s="683">
        <f t="shared" si="14"/>
        <v>7</v>
      </c>
      <c r="O229" s="212"/>
      <c r="P229" s="544"/>
      <c r="Q229" s="561">
        <f t="shared" si="15"/>
        <v>0</v>
      </c>
      <c r="R229" s="58"/>
      <c r="S229" s="58"/>
      <c r="T229" s="58"/>
      <c r="U229" s="58"/>
      <c r="V229" s="58"/>
    </row>
    <row r="230" spans="1:22" ht="15.75" customHeight="1">
      <c r="A230" s="468" t="s">
        <v>348</v>
      </c>
      <c r="B230" s="204" t="s">
        <v>184</v>
      </c>
      <c r="C230" s="527"/>
      <c r="D230" s="267"/>
      <c r="E230" s="706"/>
      <c r="F230" s="267"/>
      <c r="G230" s="206"/>
      <c r="H230" s="214"/>
      <c r="I230" s="502"/>
      <c r="J230" s="553"/>
      <c r="K230" s="552">
        <f t="shared" si="13"/>
        <v>0</v>
      </c>
      <c r="L230" s="217"/>
      <c r="M230" s="211">
        <f t="shared" si="12"/>
        <v>-46136</v>
      </c>
      <c r="N230" s="683">
        <f t="shared" si="14"/>
        <v>7</v>
      </c>
      <c r="O230" s="212"/>
      <c r="P230" s="544"/>
      <c r="Q230" s="561">
        <f t="shared" si="15"/>
        <v>0</v>
      </c>
      <c r="R230" s="58"/>
      <c r="S230" s="58"/>
      <c r="T230" s="58"/>
      <c r="U230" s="58"/>
      <c r="V230" s="58"/>
    </row>
    <row r="231" spans="1:22" ht="15.75" customHeight="1">
      <c r="A231" s="468" t="s">
        <v>348</v>
      </c>
      <c r="B231" s="204" t="s">
        <v>184</v>
      </c>
      <c r="C231" s="527"/>
      <c r="D231" s="267"/>
      <c r="E231" s="706"/>
      <c r="F231" s="267"/>
      <c r="G231" s="206"/>
      <c r="H231" s="214"/>
      <c r="I231" s="502"/>
      <c r="J231" s="553"/>
      <c r="K231" s="552">
        <f t="shared" si="13"/>
        <v>0</v>
      </c>
      <c r="L231" s="217"/>
      <c r="M231" s="211">
        <f t="shared" si="12"/>
        <v>-46136</v>
      </c>
      <c r="N231" s="683">
        <f t="shared" si="14"/>
        <v>7</v>
      </c>
      <c r="O231" s="212"/>
      <c r="P231" s="544"/>
      <c r="Q231" s="561">
        <f t="shared" si="15"/>
        <v>0</v>
      </c>
      <c r="R231" s="58"/>
      <c r="S231" s="58"/>
      <c r="T231" s="58"/>
      <c r="U231" s="58"/>
      <c r="V231" s="58"/>
    </row>
    <row r="232" spans="1:22" ht="15.75" customHeight="1">
      <c r="A232" s="468" t="s">
        <v>348</v>
      </c>
      <c r="B232" s="204" t="s">
        <v>184</v>
      </c>
      <c r="C232" s="527"/>
      <c r="D232" s="267"/>
      <c r="E232" s="706"/>
      <c r="F232" s="267"/>
      <c r="G232" s="206"/>
      <c r="H232" s="214"/>
      <c r="I232" s="502"/>
      <c r="J232" s="553"/>
      <c r="K232" s="552">
        <f t="shared" si="13"/>
        <v>0</v>
      </c>
      <c r="L232" s="217"/>
      <c r="M232" s="211">
        <f t="shared" si="12"/>
        <v>-46136</v>
      </c>
      <c r="N232" s="683">
        <f t="shared" si="14"/>
        <v>7</v>
      </c>
      <c r="O232" s="212"/>
      <c r="P232" s="544"/>
      <c r="Q232" s="561">
        <f t="shared" si="15"/>
        <v>0</v>
      </c>
      <c r="R232" s="58"/>
      <c r="S232" s="58"/>
      <c r="T232" s="58"/>
      <c r="U232" s="58"/>
      <c r="V232" s="58"/>
    </row>
    <row r="233" spans="1:22" ht="15.75" customHeight="1">
      <c r="A233" s="468" t="s">
        <v>348</v>
      </c>
      <c r="B233" s="204" t="s">
        <v>184</v>
      </c>
      <c r="C233" s="527"/>
      <c r="D233" s="267"/>
      <c r="E233" s="706"/>
      <c r="F233" s="267"/>
      <c r="G233" s="206"/>
      <c r="H233" s="214"/>
      <c r="I233" s="501"/>
      <c r="J233" s="553"/>
      <c r="K233" s="552">
        <f t="shared" si="13"/>
        <v>0</v>
      </c>
      <c r="L233" s="217"/>
      <c r="M233" s="211">
        <f t="shared" si="12"/>
        <v>-46136</v>
      </c>
      <c r="N233" s="683">
        <f t="shared" si="14"/>
        <v>7</v>
      </c>
      <c r="O233" s="212"/>
      <c r="P233" s="544"/>
      <c r="Q233" s="561">
        <f t="shared" si="15"/>
        <v>0</v>
      </c>
      <c r="R233" s="58"/>
      <c r="S233" s="58"/>
      <c r="T233" s="58"/>
      <c r="U233" s="58"/>
      <c r="V233" s="58"/>
    </row>
    <row r="234" spans="1:22" ht="15.75" customHeight="1">
      <c r="A234" s="468" t="s">
        <v>348</v>
      </c>
      <c r="B234" s="204" t="s">
        <v>184</v>
      </c>
      <c r="C234" s="527"/>
      <c r="D234" s="267"/>
      <c r="E234" s="706"/>
      <c r="F234" s="267"/>
      <c r="G234" s="206"/>
      <c r="H234" s="214"/>
      <c r="I234" s="502"/>
      <c r="J234" s="553"/>
      <c r="K234" s="552">
        <f t="shared" si="13"/>
        <v>0</v>
      </c>
      <c r="L234" s="217"/>
      <c r="M234" s="211">
        <f t="shared" si="12"/>
        <v>-46136</v>
      </c>
      <c r="N234" s="683">
        <f t="shared" si="14"/>
        <v>7</v>
      </c>
      <c r="O234" s="212"/>
      <c r="P234" s="544"/>
      <c r="Q234" s="561">
        <f t="shared" si="15"/>
        <v>0</v>
      </c>
      <c r="R234" s="58"/>
      <c r="S234" s="58"/>
      <c r="T234" s="58"/>
      <c r="U234" s="58"/>
      <c r="V234" s="58"/>
    </row>
    <row r="235" spans="1:22" ht="15.75" customHeight="1">
      <c r="A235" s="468" t="s">
        <v>348</v>
      </c>
      <c r="B235" s="204" t="s">
        <v>184</v>
      </c>
      <c r="C235" s="527"/>
      <c r="D235" s="267"/>
      <c r="E235" s="706"/>
      <c r="F235" s="267"/>
      <c r="G235" s="206"/>
      <c r="H235" s="214"/>
      <c r="I235" s="502"/>
      <c r="J235" s="553"/>
      <c r="K235" s="552">
        <f t="shared" si="13"/>
        <v>0</v>
      </c>
      <c r="L235" s="217"/>
      <c r="M235" s="211">
        <f t="shared" si="12"/>
        <v>-46136</v>
      </c>
      <c r="N235" s="683">
        <f t="shared" si="14"/>
        <v>7</v>
      </c>
      <c r="O235" s="212"/>
      <c r="P235" s="544"/>
      <c r="Q235" s="561">
        <f t="shared" si="15"/>
        <v>0</v>
      </c>
      <c r="R235" s="58"/>
      <c r="S235" s="58"/>
      <c r="T235" s="58"/>
      <c r="U235" s="58"/>
      <c r="V235" s="58"/>
    </row>
    <row r="236" spans="1:22" ht="15.75" customHeight="1">
      <c r="A236" s="468" t="s">
        <v>348</v>
      </c>
      <c r="B236" s="204" t="s">
        <v>184</v>
      </c>
      <c r="C236" s="527"/>
      <c r="D236" s="267"/>
      <c r="E236" s="706"/>
      <c r="F236" s="267"/>
      <c r="G236" s="206"/>
      <c r="H236" s="214"/>
      <c r="I236" s="503"/>
      <c r="J236" s="553"/>
      <c r="K236" s="552">
        <f t="shared" si="13"/>
        <v>0</v>
      </c>
      <c r="L236" s="217"/>
      <c r="M236" s="211">
        <f t="shared" si="12"/>
        <v>-46136</v>
      </c>
      <c r="N236" s="683">
        <f t="shared" si="14"/>
        <v>7</v>
      </c>
      <c r="O236" s="212"/>
      <c r="P236" s="544"/>
      <c r="Q236" s="561">
        <f t="shared" si="15"/>
        <v>0</v>
      </c>
      <c r="R236" s="58"/>
      <c r="S236" s="58"/>
      <c r="T236" s="58"/>
      <c r="U236" s="58"/>
      <c r="V236" s="58"/>
    </row>
    <row r="237" spans="1:22" ht="15.75" customHeight="1">
      <c r="A237" s="468" t="s">
        <v>348</v>
      </c>
      <c r="B237" s="204" t="s">
        <v>184</v>
      </c>
      <c r="C237" s="527"/>
      <c r="D237" s="267"/>
      <c r="E237" s="706"/>
      <c r="F237" s="267"/>
      <c r="G237" s="206"/>
      <c r="H237" s="214"/>
      <c r="I237" s="502"/>
      <c r="J237" s="553"/>
      <c r="K237" s="552">
        <f t="shared" si="13"/>
        <v>0</v>
      </c>
      <c r="L237" s="217"/>
      <c r="M237" s="211">
        <f t="shared" si="12"/>
        <v>-46136</v>
      </c>
      <c r="N237" s="683">
        <f t="shared" si="14"/>
        <v>7</v>
      </c>
      <c r="O237" s="212"/>
      <c r="P237" s="544"/>
      <c r="Q237" s="561">
        <f t="shared" si="15"/>
        <v>0</v>
      </c>
      <c r="R237" s="58"/>
      <c r="S237" s="58"/>
      <c r="T237" s="58"/>
      <c r="U237" s="58"/>
      <c r="V237" s="58"/>
    </row>
    <row r="238" spans="1:22" ht="15.75" customHeight="1">
      <c r="A238" s="468" t="s">
        <v>348</v>
      </c>
      <c r="B238" s="204" t="s">
        <v>184</v>
      </c>
      <c r="C238" s="527"/>
      <c r="D238" s="267"/>
      <c r="E238" s="706"/>
      <c r="F238" s="267"/>
      <c r="G238" s="206"/>
      <c r="H238" s="214"/>
      <c r="I238" s="502"/>
      <c r="J238" s="553"/>
      <c r="K238" s="552">
        <f t="shared" si="13"/>
        <v>0</v>
      </c>
      <c r="L238" s="217"/>
      <c r="M238" s="211">
        <f t="shared" si="12"/>
        <v>-46136</v>
      </c>
      <c r="N238" s="683">
        <f t="shared" si="14"/>
        <v>7</v>
      </c>
      <c r="O238" s="212"/>
      <c r="P238" s="544"/>
      <c r="Q238" s="561">
        <f t="shared" si="15"/>
        <v>0</v>
      </c>
      <c r="R238" s="58"/>
      <c r="S238" s="58"/>
      <c r="T238" s="58"/>
      <c r="U238" s="58"/>
      <c r="V238" s="58"/>
    </row>
    <row r="239" spans="1:22" ht="15.75" customHeight="1">
      <c r="A239" s="468" t="s">
        <v>348</v>
      </c>
      <c r="B239" s="204" t="s">
        <v>184</v>
      </c>
      <c r="C239" s="527"/>
      <c r="D239" s="267"/>
      <c r="E239" s="706"/>
      <c r="F239" s="267"/>
      <c r="G239" s="206"/>
      <c r="H239" s="214"/>
      <c r="I239" s="503"/>
      <c r="J239" s="553"/>
      <c r="K239" s="552">
        <f t="shared" si="13"/>
        <v>0</v>
      </c>
      <c r="L239" s="217"/>
      <c r="M239" s="211">
        <f t="shared" si="12"/>
        <v>-46136</v>
      </c>
      <c r="N239" s="683">
        <f t="shared" si="14"/>
        <v>7</v>
      </c>
      <c r="O239" s="212"/>
      <c r="P239" s="544"/>
      <c r="Q239" s="561">
        <f t="shared" si="15"/>
        <v>0</v>
      </c>
      <c r="R239" s="58"/>
      <c r="S239" s="58"/>
      <c r="T239" s="58"/>
      <c r="U239" s="58"/>
      <c r="V239" s="58"/>
    </row>
    <row r="240" spans="1:22" ht="15.75" customHeight="1">
      <c r="A240" s="468" t="s">
        <v>348</v>
      </c>
      <c r="B240" s="204" t="s">
        <v>184</v>
      </c>
      <c r="C240" s="527"/>
      <c r="D240" s="267"/>
      <c r="E240" s="706"/>
      <c r="F240" s="267"/>
      <c r="G240" s="206"/>
      <c r="H240" s="214"/>
      <c r="I240" s="502"/>
      <c r="J240" s="553"/>
      <c r="K240" s="552">
        <f t="shared" si="13"/>
        <v>0</v>
      </c>
      <c r="L240" s="217"/>
      <c r="M240" s="211">
        <f t="shared" si="12"/>
        <v>-46136</v>
      </c>
      <c r="N240" s="683">
        <f t="shared" si="14"/>
        <v>7</v>
      </c>
      <c r="O240" s="212"/>
      <c r="P240" s="544"/>
      <c r="Q240" s="561">
        <f t="shared" si="15"/>
        <v>0</v>
      </c>
      <c r="R240" s="58"/>
      <c r="S240" s="58"/>
      <c r="T240" s="58"/>
      <c r="U240" s="58"/>
      <c r="V240" s="58"/>
    </row>
    <row r="241" spans="1:22" ht="15.75" customHeight="1">
      <c r="A241" s="468" t="s">
        <v>348</v>
      </c>
      <c r="B241" s="204" t="s">
        <v>184</v>
      </c>
      <c r="C241" s="527"/>
      <c r="D241" s="267"/>
      <c r="E241" s="706"/>
      <c r="F241" s="267"/>
      <c r="G241" s="206"/>
      <c r="H241" s="214"/>
      <c r="I241" s="503"/>
      <c r="J241" s="553"/>
      <c r="K241" s="552">
        <f t="shared" si="13"/>
        <v>0</v>
      </c>
      <c r="L241" s="217"/>
      <c r="M241" s="211">
        <f t="shared" si="12"/>
        <v>-46136</v>
      </c>
      <c r="N241" s="683">
        <f t="shared" si="14"/>
        <v>7</v>
      </c>
      <c r="O241" s="212"/>
      <c r="P241" s="544"/>
      <c r="Q241" s="561">
        <f t="shared" si="15"/>
        <v>0</v>
      </c>
      <c r="R241" s="58"/>
      <c r="S241" s="58"/>
      <c r="T241" s="58"/>
      <c r="U241" s="58"/>
      <c r="V241" s="58"/>
    </row>
    <row r="242" spans="1:22" ht="15.75" customHeight="1">
      <c r="A242" s="468" t="s">
        <v>348</v>
      </c>
      <c r="B242" s="204" t="s">
        <v>184</v>
      </c>
      <c r="C242" s="527"/>
      <c r="D242" s="267"/>
      <c r="E242" s="706"/>
      <c r="F242" s="267"/>
      <c r="G242" s="206"/>
      <c r="H242" s="214"/>
      <c r="I242" s="502"/>
      <c r="J242" s="553"/>
      <c r="K242" s="552">
        <f t="shared" si="13"/>
        <v>0</v>
      </c>
      <c r="L242" s="217"/>
      <c r="M242" s="211">
        <f t="shared" si="12"/>
        <v>-46136</v>
      </c>
      <c r="N242" s="683">
        <f t="shared" si="14"/>
        <v>7</v>
      </c>
      <c r="O242" s="212"/>
      <c r="P242" s="544"/>
      <c r="Q242" s="561">
        <f t="shared" si="15"/>
        <v>0</v>
      </c>
      <c r="R242" s="58"/>
      <c r="S242" s="58"/>
      <c r="T242" s="58"/>
      <c r="U242" s="58"/>
      <c r="V242" s="58"/>
    </row>
    <row r="243" spans="1:22" ht="15.75" customHeight="1">
      <c r="A243" s="468" t="s">
        <v>348</v>
      </c>
      <c r="B243" s="204" t="s">
        <v>184</v>
      </c>
      <c r="C243" s="527"/>
      <c r="D243" s="267"/>
      <c r="E243" s="706"/>
      <c r="F243" s="267"/>
      <c r="G243" s="206"/>
      <c r="H243" s="214"/>
      <c r="I243" s="502"/>
      <c r="J243" s="553"/>
      <c r="K243" s="552">
        <f t="shared" si="13"/>
        <v>0</v>
      </c>
      <c r="L243" s="217"/>
      <c r="M243" s="211">
        <f t="shared" si="12"/>
        <v>-46136</v>
      </c>
      <c r="N243" s="683">
        <f t="shared" si="14"/>
        <v>7</v>
      </c>
      <c r="O243" s="212"/>
      <c r="P243" s="544"/>
      <c r="Q243" s="561">
        <f t="shared" si="15"/>
        <v>0</v>
      </c>
      <c r="R243" s="58"/>
      <c r="S243" s="58"/>
      <c r="T243" s="58"/>
      <c r="U243" s="58"/>
      <c r="V243" s="58"/>
    </row>
    <row r="244" spans="1:22" ht="15.75" customHeight="1">
      <c r="A244" s="468" t="s">
        <v>348</v>
      </c>
      <c r="B244" s="204" t="s">
        <v>184</v>
      </c>
      <c r="C244" s="527"/>
      <c r="D244" s="267"/>
      <c r="E244" s="706"/>
      <c r="F244" s="267"/>
      <c r="G244" s="206"/>
      <c r="H244" s="214"/>
      <c r="I244" s="502"/>
      <c r="J244" s="553"/>
      <c r="K244" s="552">
        <f t="shared" si="13"/>
        <v>0</v>
      </c>
      <c r="L244" s="217"/>
      <c r="M244" s="211">
        <f t="shared" si="12"/>
        <v>-46136</v>
      </c>
      <c r="N244" s="683">
        <f t="shared" si="14"/>
        <v>7</v>
      </c>
      <c r="O244" s="212"/>
      <c r="P244" s="544"/>
      <c r="Q244" s="561">
        <f t="shared" si="15"/>
        <v>0</v>
      </c>
      <c r="R244" s="58"/>
      <c r="S244" s="58"/>
      <c r="T244" s="58"/>
      <c r="U244" s="58"/>
      <c r="V244" s="58"/>
    </row>
    <row r="245" spans="1:22" ht="15.75" customHeight="1">
      <c r="A245" s="468" t="s">
        <v>348</v>
      </c>
      <c r="B245" s="204" t="s">
        <v>184</v>
      </c>
      <c r="C245" s="527"/>
      <c r="D245" s="267"/>
      <c r="E245" s="706"/>
      <c r="F245" s="267"/>
      <c r="G245" s="206"/>
      <c r="H245" s="214"/>
      <c r="I245" s="502"/>
      <c r="J245" s="553"/>
      <c r="K245" s="552">
        <f t="shared" si="13"/>
        <v>0</v>
      </c>
      <c r="L245" s="217"/>
      <c r="M245" s="211">
        <f t="shared" si="12"/>
        <v>-46136</v>
      </c>
      <c r="N245" s="683">
        <f t="shared" si="14"/>
        <v>7</v>
      </c>
      <c r="O245" s="212"/>
      <c r="P245" s="544"/>
      <c r="Q245" s="561">
        <f t="shared" si="15"/>
        <v>0</v>
      </c>
      <c r="R245" s="58"/>
      <c r="S245" s="58"/>
      <c r="T245" s="58"/>
      <c r="U245" s="58"/>
      <c r="V245" s="58"/>
    </row>
    <row r="246" spans="1:22" ht="15.75" customHeight="1">
      <c r="A246" s="468" t="s">
        <v>348</v>
      </c>
      <c r="B246" s="204" t="s">
        <v>184</v>
      </c>
      <c r="C246" s="527"/>
      <c r="D246" s="267"/>
      <c r="E246" s="706"/>
      <c r="F246" s="267"/>
      <c r="G246" s="206"/>
      <c r="H246" s="214"/>
      <c r="I246" s="501"/>
      <c r="J246" s="553"/>
      <c r="K246" s="552">
        <f t="shared" si="13"/>
        <v>0</v>
      </c>
      <c r="L246" s="217"/>
      <c r="M246" s="211">
        <f t="shared" si="12"/>
        <v>-46136</v>
      </c>
      <c r="N246" s="683">
        <f t="shared" si="14"/>
        <v>7</v>
      </c>
      <c r="O246" s="212"/>
      <c r="P246" s="544"/>
      <c r="Q246" s="561">
        <f t="shared" si="15"/>
        <v>0</v>
      </c>
      <c r="R246" s="58"/>
      <c r="S246" s="58"/>
      <c r="T246" s="58"/>
      <c r="U246" s="58"/>
      <c r="V246" s="58"/>
    </row>
    <row r="247" spans="1:22" ht="15.75" customHeight="1">
      <c r="A247" s="468" t="s">
        <v>348</v>
      </c>
      <c r="B247" s="204" t="s">
        <v>184</v>
      </c>
      <c r="C247" s="527"/>
      <c r="D247" s="267"/>
      <c r="E247" s="706"/>
      <c r="F247" s="267"/>
      <c r="G247" s="206"/>
      <c r="H247" s="214"/>
      <c r="I247" s="502"/>
      <c r="J247" s="553"/>
      <c r="K247" s="552">
        <f t="shared" si="13"/>
        <v>0</v>
      </c>
      <c r="L247" s="217"/>
      <c r="M247" s="211">
        <f t="shared" si="12"/>
        <v>-46136</v>
      </c>
      <c r="N247" s="683">
        <f t="shared" si="14"/>
        <v>7</v>
      </c>
      <c r="O247" s="212"/>
      <c r="P247" s="544"/>
      <c r="Q247" s="561">
        <f t="shared" si="15"/>
        <v>0</v>
      </c>
      <c r="R247" s="58"/>
      <c r="S247" s="58"/>
      <c r="T247" s="58"/>
      <c r="U247" s="58"/>
      <c r="V247" s="58"/>
    </row>
    <row r="248" spans="1:22" ht="15.75" customHeight="1">
      <c r="A248" s="468" t="s">
        <v>348</v>
      </c>
      <c r="B248" s="204" t="s">
        <v>184</v>
      </c>
      <c r="C248" s="529"/>
      <c r="D248" s="507"/>
      <c r="E248" s="709"/>
      <c r="F248" s="507"/>
      <c r="G248" s="206"/>
      <c r="H248" s="214"/>
      <c r="I248" s="501"/>
      <c r="J248" s="553"/>
      <c r="K248" s="552">
        <f t="shared" si="13"/>
        <v>0</v>
      </c>
      <c r="L248" s="217"/>
      <c r="M248" s="211">
        <f t="shared" si="12"/>
        <v>-46136</v>
      </c>
      <c r="N248" s="683">
        <f t="shared" si="14"/>
        <v>7</v>
      </c>
      <c r="O248" s="212"/>
      <c r="P248" s="544"/>
      <c r="Q248" s="561">
        <f t="shared" si="15"/>
        <v>0</v>
      </c>
      <c r="R248" s="58"/>
      <c r="S248" s="58"/>
      <c r="T248" s="58"/>
      <c r="U248" s="58"/>
      <c r="V248" s="58"/>
    </row>
    <row r="249" spans="1:22" s="497" customFormat="1" ht="15.75" customHeight="1">
      <c r="A249" s="468" t="s">
        <v>348</v>
      </c>
      <c r="B249" s="204" t="s">
        <v>184</v>
      </c>
      <c r="C249" s="527"/>
      <c r="D249" s="267"/>
      <c r="E249" s="706"/>
      <c r="F249" s="215"/>
      <c r="G249" s="206"/>
      <c r="H249" s="214"/>
      <c r="I249" s="500"/>
      <c r="J249" s="553"/>
      <c r="K249" s="552">
        <f t="shared" si="13"/>
        <v>0</v>
      </c>
      <c r="L249" s="217"/>
      <c r="M249" s="211">
        <f t="shared" si="12"/>
        <v>-46136</v>
      </c>
      <c r="N249" s="683">
        <f t="shared" si="14"/>
        <v>7</v>
      </c>
      <c r="O249" s="212"/>
      <c r="P249" s="544"/>
      <c r="Q249" s="561">
        <f t="shared" si="15"/>
        <v>0</v>
      </c>
      <c r="R249" s="223"/>
      <c r="S249" s="223"/>
      <c r="T249" s="223"/>
      <c r="U249" s="223"/>
      <c r="V249" s="223"/>
    </row>
    <row r="250" spans="1:22" s="497" customFormat="1" ht="15.75" customHeight="1">
      <c r="A250" s="468" t="s">
        <v>348</v>
      </c>
      <c r="B250" s="204" t="s">
        <v>184</v>
      </c>
      <c r="C250" s="527"/>
      <c r="D250" s="267"/>
      <c r="E250" s="706"/>
      <c r="F250" s="267"/>
      <c r="G250" s="206"/>
      <c r="H250" s="214"/>
      <c r="I250" s="500"/>
      <c r="J250" s="553"/>
      <c r="K250" s="552">
        <f t="shared" si="13"/>
        <v>0</v>
      </c>
      <c r="L250" s="217"/>
      <c r="M250" s="211">
        <f t="shared" si="12"/>
        <v>-46136</v>
      </c>
      <c r="N250" s="683">
        <f t="shared" si="14"/>
        <v>7</v>
      </c>
      <c r="O250" s="212"/>
      <c r="P250" s="544"/>
      <c r="Q250" s="561">
        <f t="shared" si="15"/>
        <v>0</v>
      </c>
      <c r="R250" s="223"/>
      <c r="S250" s="223"/>
      <c r="T250" s="223"/>
      <c r="U250" s="223"/>
      <c r="V250" s="223"/>
    </row>
    <row r="251" spans="1:22" s="497" customFormat="1" ht="15.75" customHeight="1">
      <c r="A251" s="468" t="s">
        <v>348</v>
      </c>
      <c r="B251" s="204" t="s">
        <v>184</v>
      </c>
      <c r="C251" s="527"/>
      <c r="D251" s="267"/>
      <c r="E251" s="706"/>
      <c r="F251" s="215"/>
      <c r="G251" s="206"/>
      <c r="H251" s="214"/>
      <c r="I251" s="502"/>
      <c r="J251" s="553"/>
      <c r="K251" s="552">
        <f t="shared" si="13"/>
        <v>0</v>
      </c>
      <c r="L251" s="217"/>
      <c r="M251" s="211">
        <f t="shared" si="12"/>
        <v>-46136</v>
      </c>
      <c r="N251" s="683">
        <f t="shared" si="14"/>
        <v>7</v>
      </c>
      <c r="O251" s="212"/>
      <c r="P251" s="223"/>
      <c r="Q251" s="561">
        <f t="shared" si="15"/>
        <v>0</v>
      </c>
      <c r="R251" s="223"/>
      <c r="S251" s="223"/>
      <c r="T251" s="223"/>
      <c r="U251" s="223"/>
      <c r="V251" s="223"/>
    </row>
    <row r="252" spans="1:22" s="497" customFormat="1" ht="15.75" customHeight="1">
      <c r="A252" s="468" t="s">
        <v>348</v>
      </c>
      <c r="B252" s="204" t="s">
        <v>184</v>
      </c>
      <c r="C252" s="527"/>
      <c r="D252" s="267"/>
      <c r="E252" s="706"/>
      <c r="F252" s="267"/>
      <c r="G252" s="206"/>
      <c r="H252" s="214"/>
      <c r="I252" s="501"/>
      <c r="J252" s="553"/>
      <c r="K252" s="552">
        <f t="shared" si="13"/>
        <v>0</v>
      </c>
      <c r="L252" s="217"/>
      <c r="M252" s="211">
        <f t="shared" si="12"/>
        <v>-46136</v>
      </c>
      <c r="N252" s="683">
        <f t="shared" si="14"/>
        <v>7</v>
      </c>
      <c r="O252" s="212"/>
      <c r="P252" s="544"/>
      <c r="Q252" s="561">
        <f t="shared" si="15"/>
        <v>0</v>
      </c>
      <c r="R252" s="223"/>
      <c r="S252" s="223"/>
      <c r="T252" s="223"/>
      <c r="U252" s="223"/>
      <c r="V252" s="223"/>
    </row>
    <row r="253" spans="1:22" s="497" customFormat="1" ht="15.75" customHeight="1">
      <c r="A253" s="468" t="s">
        <v>348</v>
      </c>
      <c r="B253" s="204" t="s">
        <v>184</v>
      </c>
      <c r="C253" s="527"/>
      <c r="D253" s="507"/>
      <c r="E253" s="706"/>
      <c r="F253" s="507"/>
      <c r="G253" s="206"/>
      <c r="H253" s="214"/>
      <c r="I253" s="501"/>
      <c r="J253" s="553"/>
      <c r="K253" s="552">
        <f t="shared" si="13"/>
        <v>0</v>
      </c>
      <c r="L253" s="217"/>
      <c r="M253" s="211">
        <f t="shared" si="12"/>
        <v>-46136</v>
      </c>
      <c r="N253" s="683">
        <f t="shared" si="14"/>
        <v>7</v>
      </c>
      <c r="O253" s="212"/>
      <c r="P253" s="544"/>
      <c r="Q253" s="561">
        <f t="shared" si="15"/>
        <v>0</v>
      </c>
      <c r="R253" s="223"/>
      <c r="S253" s="223"/>
      <c r="T253" s="223"/>
      <c r="U253" s="223"/>
      <c r="V253" s="223"/>
    </row>
    <row r="254" spans="1:22" s="497" customFormat="1" ht="15.75" customHeight="1">
      <c r="A254" s="468" t="s">
        <v>348</v>
      </c>
      <c r="B254" s="204" t="s">
        <v>184</v>
      </c>
      <c r="C254" s="527"/>
      <c r="D254" s="205"/>
      <c r="E254" s="706"/>
      <c r="F254" s="267"/>
      <c r="G254" s="206"/>
      <c r="H254" s="214"/>
      <c r="I254" s="501"/>
      <c r="J254" s="553"/>
      <c r="K254" s="552">
        <f t="shared" si="13"/>
        <v>0</v>
      </c>
      <c r="L254" s="217"/>
      <c r="M254" s="211">
        <f t="shared" si="12"/>
        <v>-46136</v>
      </c>
      <c r="N254" s="683">
        <f t="shared" si="14"/>
        <v>7</v>
      </c>
      <c r="O254" s="212"/>
      <c r="P254" s="544"/>
      <c r="Q254" s="561">
        <f t="shared" si="15"/>
        <v>0</v>
      </c>
      <c r="R254" s="223"/>
      <c r="S254" s="223"/>
      <c r="T254" s="223"/>
      <c r="U254" s="223"/>
      <c r="V254" s="223"/>
    </row>
    <row r="255" spans="1:22" s="497" customFormat="1" ht="15.75" customHeight="1">
      <c r="A255" s="468" t="s">
        <v>348</v>
      </c>
      <c r="B255" s="204" t="s">
        <v>184</v>
      </c>
      <c r="C255" s="527"/>
      <c r="D255" s="205"/>
      <c r="E255" s="706"/>
      <c r="F255" s="205"/>
      <c r="G255" s="206"/>
      <c r="H255" s="214"/>
      <c r="I255" s="501"/>
      <c r="J255" s="553"/>
      <c r="K255" s="552">
        <f t="shared" si="13"/>
        <v>0</v>
      </c>
      <c r="L255" s="217"/>
      <c r="M255" s="211">
        <f t="shared" si="12"/>
        <v>-46136</v>
      </c>
      <c r="N255" s="683">
        <f t="shared" si="14"/>
        <v>7</v>
      </c>
      <c r="O255" s="212"/>
      <c r="P255" s="544"/>
      <c r="Q255" s="561">
        <f t="shared" si="15"/>
        <v>0</v>
      </c>
      <c r="R255" s="223"/>
      <c r="S255" s="223"/>
      <c r="T255" s="223"/>
      <c r="U255" s="223"/>
      <c r="V255" s="223"/>
    </row>
    <row r="256" spans="1:22" s="497" customFormat="1" ht="15.75" customHeight="1">
      <c r="A256" s="468" t="s">
        <v>348</v>
      </c>
      <c r="B256" s="204" t="s">
        <v>184</v>
      </c>
      <c r="C256" s="527"/>
      <c r="D256" s="267"/>
      <c r="E256" s="706"/>
      <c r="F256" s="267"/>
      <c r="G256" s="206"/>
      <c r="H256" s="214"/>
      <c r="I256" s="500"/>
      <c r="J256" s="553"/>
      <c r="K256" s="552">
        <f t="shared" si="13"/>
        <v>0</v>
      </c>
      <c r="L256" s="217"/>
      <c r="M256" s="211">
        <f t="shared" si="12"/>
        <v>-46136</v>
      </c>
      <c r="N256" s="683">
        <f t="shared" si="14"/>
        <v>7</v>
      </c>
      <c r="O256" s="212"/>
      <c r="P256" s="544"/>
      <c r="Q256" s="561">
        <f t="shared" si="15"/>
        <v>0</v>
      </c>
      <c r="R256" s="223"/>
      <c r="S256" s="223"/>
      <c r="T256" s="223"/>
      <c r="U256" s="223"/>
      <c r="V256" s="223"/>
    </row>
    <row r="257" spans="1:22" s="497" customFormat="1" ht="15.75" customHeight="1">
      <c r="A257" s="468" t="s">
        <v>348</v>
      </c>
      <c r="B257" s="204" t="s">
        <v>184</v>
      </c>
      <c r="C257" s="527"/>
      <c r="D257" s="267"/>
      <c r="E257" s="706"/>
      <c r="F257" s="267"/>
      <c r="G257" s="206"/>
      <c r="H257" s="214"/>
      <c r="I257" s="500"/>
      <c r="J257" s="553"/>
      <c r="K257" s="552">
        <f t="shared" si="13"/>
        <v>0</v>
      </c>
      <c r="L257" s="217"/>
      <c r="M257" s="211">
        <f t="shared" si="12"/>
        <v>-46136</v>
      </c>
      <c r="N257" s="683">
        <f t="shared" si="14"/>
        <v>7</v>
      </c>
      <c r="O257" s="212"/>
      <c r="P257" s="544"/>
      <c r="Q257" s="561">
        <f t="shared" si="15"/>
        <v>0</v>
      </c>
      <c r="R257" s="223"/>
      <c r="S257" s="223"/>
      <c r="T257" s="223"/>
      <c r="U257" s="223"/>
      <c r="V257" s="223"/>
    </row>
    <row r="258" spans="1:22" s="497" customFormat="1" ht="15.75" customHeight="1">
      <c r="A258" s="468" t="s">
        <v>348</v>
      </c>
      <c r="B258" s="204" t="s">
        <v>184</v>
      </c>
      <c r="C258" s="527"/>
      <c r="D258" s="267"/>
      <c r="E258" s="706"/>
      <c r="F258" s="267"/>
      <c r="G258" s="206"/>
      <c r="H258" s="214"/>
      <c r="I258" s="501"/>
      <c r="J258" s="553"/>
      <c r="K258" s="552">
        <f t="shared" si="13"/>
        <v>0</v>
      </c>
      <c r="L258" s="217"/>
      <c r="M258" s="211">
        <f t="shared" si="12"/>
        <v>-46136</v>
      </c>
      <c r="N258" s="683">
        <f t="shared" si="14"/>
        <v>7</v>
      </c>
      <c r="O258" s="212"/>
      <c r="P258" s="544"/>
      <c r="Q258" s="561">
        <f t="shared" si="15"/>
        <v>0</v>
      </c>
      <c r="R258" s="223"/>
      <c r="S258" s="223"/>
      <c r="T258" s="223"/>
      <c r="U258" s="223"/>
      <c r="V258" s="223"/>
    </row>
    <row r="259" spans="1:22" s="497" customFormat="1" ht="15.75" customHeight="1">
      <c r="A259" s="468" t="s">
        <v>348</v>
      </c>
      <c r="B259" s="204" t="s">
        <v>184</v>
      </c>
      <c r="C259" s="531"/>
      <c r="D259" s="188"/>
      <c r="E259" s="706"/>
      <c r="F259" s="188"/>
      <c r="G259" s="206"/>
      <c r="H259" s="214"/>
      <c r="I259" s="502"/>
      <c r="J259" s="553"/>
      <c r="K259" s="552">
        <f t="shared" si="13"/>
        <v>0</v>
      </c>
      <c r="L259" s="217"/>
      <c r="M259" s="211">
        <f t="shared" si="12"/>
        <v>-46136</v>
      </c>
      <c r="N259" s="683">
        <f t="shared" si="14"/>
        <v>7</v>
      </c>
      <c r="O259" s="212"/>
      <c r="P259" s="544"/>
      <c r="Q259" s="561">
        <f t="shared" si="15"/>
        <v>0</v>
      </c>
      <c r="R259" s="223"/>
      <c r="S259" s="223"/>
      <c r="T259" s="223"/>
      <c r="U259" s="223"/>
      <c r="V259" s="223"/>
    </row>
    <row r="260" spans="1:22" s="497" customFormat="1" ht="15.75" customHeight="1">
      <c r="A260" s="468" t="s">
        <v>348</v>
      </c>
      <c r="B260" s="204" t="s">
        <v>184</v>
      </c>
      <c r="C260" s="531"/>
      <c r="D260" s="188"/>
      <c r="E260" s="706"/>
      <c r="F260" s="188"/>
      <c r="G260" s="206"/>
      <c r="H260" s="214"/>
      <c r="I260" s="502"/>
      <c r="J260" s="553"/>
      <c r="K260" s="552">
        <f t="shared" si="13"/>
        <v>0</v>
      </c>
      <c r="L260" s="217"/>
      <c r="M260" s="211">
        <f t="shared" si="12"/>
        <v>-46136</v>
      </c>
      <c r="N260" s="683">
        <f t="shared" si="14"/>
        <v>7</v>
      </c>
      <c r="O260" s="212"/>
      <c r="P260" s="544"/>
      <c r="Q260" s="561">
        <f t="shared" si="15"/>
        <v>0</v>
      </c>
      <c r="R260" s="223"/>
      <c r="S260" s="223"/>
      <c r="T260" s="223"/>
      <c r="U260" s="223"/>
      <c r="V260" s="223"/>
    </row>
    <row r="261" spans="1:22" s="497" customFormat="1" ht="15.75" customHeight="1">
      <c r="A261" s="468" t="s">
        <v>348</v>
      </c>
      <c r="B261" s="204" t="s">
        <v>184</v>
      </c>
      <c r="C261" s="527"/>
      <c r="D261" s="267"/>
      <c r="E261" s="706"/>
      <c r="F261" s="267"/>
      <c r="G261" s="206"/>
      <c r="H261" s="214"/>
      <c r="I261" s="500"/>
      <c r="J261" s="553"/>
      <c r="K261" s="552">
        <f t="shared" si="13"/>
        <v>0</v>
      </c>
      <c r="L261" s="217"/>
      <c r="M261" s="211">
        <f t="shared" si="12"/>
        <v>-46136</v>
      </c>
      <c r="N261" s="683">
        <f t="shared" si="14"/>
        <v>7</v>
      </c>
      <c r="O261" s="212"/>
      <c r="P261" s="544"/>
      <c r="Q261" s="561">
        <f t="shared" si="15"/>
        <v>0</v>
      </c>
      <c r="R261" s="223"/>
      <c r="S261" s="223"/>
      <c r="T261" s="223"/>
      <c r="U261" s="223"/>
      <c r="V261" s="223"/>
    </row>
    <row r="262" spans="1:22" s="497" customFormat="1" ht="15.75" customHeight="1">
      <c r="A262" s="468" t="s">
        <v>348</v>
      </c>
      <c r="B262" s="204" t="s">
        <v>184</v>
      </c>
      <c r="C262" s="527"/>
      <c r="D262" s="507"/>
      <c r="E262" s="706"/>
      <c r="F262" s="507"/>
      <c r="G262" s="206"/>
      <c r="H262" s="214"/>
      <c r="I262" s="501"/>
      <c r="J262" s="553"/>
      <c r="K262" s="552">
        <f t="shared" si="13"/>
        <v>0</v>
      </c>
      <c r="L262" s="217"/>
      <c r="M262" s="211">
        <f t="shared" si="12"/>
        <v>-46136</v>
      </c>
      <c r="N262" s="683">
        <f t="shared" si="14"/>
        <v>7</v>
      </c>
      <c r="O262" s="212"/>
      <c r="P262" s="544"/>
      <c r="Q262" s="561">
        <f t="shared" si="15"/>
        <v>0</v>
      </c>
      <c r="R262" s="223"/>
      <c r="S262" s="223"/>
      <c r="T262" s="223"/>
      <c r="U262" s="223"/>
      <c r="V262" s="223"/>
    </row>
    <row r="263" spans="1:22" s="497" customFormat="1" ht="15.75" customHeight="1">
      <c r="A263" s="468" t="s">
        <v>348</v>
      </c>
      <c r="B263" s="204" t="s">
        <v>184</v>
      </c>
      <c r="C263" s="527"/>
      <c r="D263" s="267"/>
      <c r="E263" s="706"/>
      <c r="F263" s="267"/>
      <c r="G263" s="206"/>
      <c r="H263" s="214"/>
      <c r="I263" s="501"/>
      <c r="J263" s="553"/>
      <c r="K263" s="552">
        <f t="shared" si="13"/>
        <v>0</v>
      </c>
      <c r="L263" s="217"/>
      <c r="M263" s="211">
        <f t="shared" si="12"/>
        <v>-46136</v>
      </c>
      <c r="N263" s="683">
        <f t="shared" si="14"/>
        <v>7</v>
      </c>
      <c r="O263" s="212"/>
      <c r="P263" s="544"/>
      <c r="Q263" s="561">
        <f t="shared" si="15"/>
        <v>0</v>
      </c>
      <c r="R263" s="223"/>
      <c r="S263" s="223"/>
      <c r="T263" s="223"/>
      <c r="U263" s="223"/>
      <c r="V263" s="223"/>
    </row>
    <row r="264" spans="1:22" s="497" customFormat="1" ht="15.75" customHeight="1">
      <c r="A264" s="468" t="s">
        <v>348</v>
      </c>
      <c r="B264" s="204" t="s">
        <v>184</v>
      </c>
      <c r="C264" s="527"/>
      <c r="D264" s="267"/>
      <c r="E264" s="706"/>
      <c r="F264" s="267"/>
      <c r="G264" s="206"/>
      <c r="H264" s="214"/>
      <c r="I264" s="501"/>
      <c r="J264" s="553"/>
      <c r="K264" s="552">
        <f t="shared" si="13"/>
        <v>0</v>
      </c>
      <c r="L264" s="217"/>
      <c r="M264" s="211">
        <f t="shared" si="12"/>
        <v>-46136</v>
      </c>
      <c r="N264" s="683">
        <f t="shared" si="14"/>
        <v>7</v>
      </c>
      <c r="O264" s="212"/>
      <c r="P264" s="544"/>
      <c r="Q264" s="561">
        <f t="shared" si="15"/>
        <v>0</v>
      </c>
      <c r="R264" s="223"/>
      <c r="S264" s="223"/>
      <c r="T264" s="223"/>
      <c r="U264" s="223"/>
      <c r="V264" s="223"/>
    </row>
    <row r="265" spans="1:22" s="497" customFormat="1" ht="15.75" customHeight="1">
      <c r="A265" s="468" t="s">
        <v>348</v>
      </c>
      <c r="B265" s="204" t="s">
        <v>184</v>
      </c>
      <c r="C265" s="527"/>
      <c r="D265" s="267"/>
      <c r="E265" s="706"/>
      <c r="F265" s="267"/>
      <c r="G265" s="206"/>
      <c r="H265" s="214"/>
      <c r="I265" s="501"/>
      <c r="J265" s="553"/>
      <c r="K265" s="552">
        <f t="shared" si="13"/>
        <v>0</v>
      </c>
      <c r="L265" s="217"/>
      <c r="M265" s="211">
        <f t="shared" ref="M265:M328" si="16">+L265-$E$6</f>
        <v>-46136</v>
      </c>
      <c r="N265" s="683">
        <f t="shared" si="14"/>
        <v>7</v>
      </c>
      <c r="O265" s="212"/>
      <c r="P265" s="544"/>
      <c r="Q265" s="561">
        <f t="shared" si="15"/>
        <v>0</v>
      </c>
      <c r="R265" s="223"/>
      <c r="S265" s="223"/>
      <c r="T265" s="223"/>
      <c r="U265" s="223"/>
      <c r="V265" s="223"/>
    </row>
    <row r="266" spans="1:22" s="497" customFormat="1" ht="15.75" customHeight="1">
      <c r="A266" s="468" t="s">
        <v>348</v>
      </c>
      <c r="B266" s="204" t="s">
        <v>184</v>
      </c>
      <c r="C266" s="527"/>
      <c r="D266" s="267"/>
      <c r="E266" s="706"/>
      <c r="F266" s="267"/>
      <c r="G266" s="206"/>
      <c r="H266" s="214"/>
      <c r="I266" s="501"/>
      <c r="J266" s="553"/>
      <c r="K266" s="552">
        <f t="shared" ref="K266:K329" si="17">-J266</f>
        <v>0</v>
      </c>
      <c r="L266" s="217"/>
      <c r="M266" s="211">
        <f t="shared" si="16"/>
        <v>-46136</v>
      </c>
      <c r="N266" s="683">
        <f t="shared" ref="N266:N329" si="18">+L266+7</f>
        <v>7</v>
      </c>
      <c r="O266" s="212"/>
      <c r="P266" s="544"/>
      <c r="Q266" s="561">
        <f t="shared" si="15"/>
        <v>0</v>
      </c>
      <c r="R266" s="223"/>
      <c r="S266" s="223"/>
      <c r="T266" s="223"/>
      <c r="U266" s="223"/>
      <c r="V266" s="223"/>
    </row>
    <row r="267" spans="1:22" s="497" customFormat="1" ht="15.75" customHeight="1">
      <c r="A267" s="468" t="s">
        <v>348</v>
      </c>
      <c r="B267" s="204" t="s">
        <v>184</v>
      </c>
      <c r="C267" s="527"/>
      <c r="D267" s="267"/>
      <c r="E267" s="706"/>
      <c r="F267" s="267"/>
      <c r="G267" s="206"/>
      <c r="H267" s="214"/>
      <c r="I267" s="501"/>
      <c r="J267" s="553"/>
      <c r="K267" s="552">
        <f t="shared" si="17"/>
        <v>0</v>
      </c>
      <c r="L267" s="217"/>
      <c r="M267" s="211">
        <f t="shared" si="16"/>
        <v>-46136</v>
      </c>
      <c r="N267" s="683">
        <f t="shared" si="18"/>
        <v>7</v>
      </c>
      <c r="O267" s="212"/>
      <c r="P267" s="544"/>
      <c r="Q267" s="561">
        <f t="shared" ref="Q267:Q330" si="19">+K267+J267</f>
        <v>0</v>
      </c>
      <c r="R267" s="223"/>
      <c r="S267" s="223"/>
      <c r="T267" s="223"/>
      <c r="U267" s="223"/>
      <c r="V267" s="223"/>
    </row>
    <row r="268" spans="1:22" s="497" customFormat="1" ht="15.75" customHeight="1">
      <c r="A268" s="468" t="s">
        <v>348</v>
      </c>
      <c r="B268" s="204" t="s">
        <v>184</v>
      </c>
      <c r="C268" s="527"/>
      <c r="D268" s="267"/>
      <c r="E268" s="706"/>
      <c r="F268" s="267"/>
      <c r="G268" s="206"/>
      <c r="H268" s="214"/>
      <c r="I268" s="500"/>
      <c r="J268" s="553"/>
      <c r="K268" s="552">
        <f t="shared" si="17"/>
        <v>0</v>
      </c>
      <c r="L268" s="217"/>
      <c r="M268" s="211">
        <f t="shared" si="16"/>
        <v>-46136</v>
      </c>
      <c r="N268" s="683">
        <f t="shared" si="18"/>
        <v>7</v>
      </c>
      <c r="O268" s="212"/>
      <c r="P268" s="544"/>
      <c r="Q268" s="561">
        <f t="shared" si="19"/>
        <v>0</v>
      </c>
      <c r="R268" s="223"/>
      <c r="S268" s="223"/>
      <c r="T268" s="223"/>
      <c r="U268" s="223"/>
      <c r="V268" s="223"/>
    </row>
    <row r="269" spans="1:22" ht="15.75" customHeight="1">
      <c r="A269" s="468" t="s">
        <v>348</v>
      </c>
      <c r="B269" s="204" t="s">
        <v>184</v>
      </c>
      <c r="C269" s="527"/>
      <c r="D269" s="267"/>
      <c r="E269" s="706"/>
      <c r="F269" s="267"/>
      <c r="G269" s="206"/>
      <c r="H269" s="214"/>
      <c r="I269" s="501"/>
      <c r="J269" s="553"/>
      <c r="K269" s="552">
        <f t="shared" si="17"/>
        <v>0</v>
      </c>
      <c r="L269" s="217"/>
      <c r="M269" s="211">
        <f t="shared" si="16"/>
        <v>-46136</v>
      </c>
      <c r="N269" s="683">
        <f t="shared" si="18"/>
        <v>7</v>
      </c>
      <c r="O269" s="212"/>
      <c r="P269" s="544"/>
      <c r="Q269" s="561">
        <f t="shared" si="19"/>
        <v>0</v>
      </c>
      <c r="R269" s="58"/>
      <c r="S269" s="58"/>
      <c r="T269" s="58"/>
      <c r="U269" s="58"/>
      <c r="V269" s="58"/>
    </row>
    <row r="270" spans="1:22" ht="15.75" customHeight="1">
      <c r="A270" s="468" t="s">
        <v>348</v>
      </c>
      <c r="B270" s="204" t="s">
        <v>184</v>
      </c>
      <c r="C270" s="527"/>
      <c r="D270" s="507"/>
      <c r="E270" s="706"/>
      <c r="F270" s="507"/>
      <c r="G270" s="206"/>
      <c r="H270" s="214"/>
      <c r="I270" s="501"/>
      <c r="J270" s="553"/>
      <c r="K270" s="552">
        <f t="shared" si="17"/>
        <v>0</v>
      </c>
      <c r="L270" s="217"/>
      <c r="M270" s="211">
        <f t="shared" si="16"/>
        <v>-46136</v>
      </c>
      <c r="N270" s="683">
        <f t="shared" si="18"/>
        <v>7</v>
      </c>
      <c r="O270" s="212"/>
      <c r="P270" s="544"/>
      <c r="Q270" s="561">
        <f t="shared" si="19"/>
        <v>0</v>
      </c>
      <c r="R270" s="58"/>
      <c r="S270" s="58"/>
      <c r="T270" s="58"/>
      <c r="U270" s="58"/>
      <c r="V270" s="58"/>
    </row>
    <row r="271" spans="1:22" ht="15.75" customHeight="1">
      <c r="A271" s="468" t="s">
        <v>348</v>
      </c>
      <c r="B271" s="204" t="s">
        <v>184</v>
      </c>
      <c r="C271" s="527"/>
      <c r="D271" s="267"/>
      <c r="E271" s="706"/>
      <c r="F271" s="267"/>
      <c r="G271" s="206"/>
      <c r="H271" s="214"/>
      <c r="I271" s="501"/>
      <c r="J271" s="553"/>
      <c r="K271" s="552">
        <f t="shared" si="17"/>
        <v>0</v>
      </c>
      <c r="L271" s="217"/>
      <c r="M271" s="211">
        <f t="shared" si="16"/>
        <v>-46136</v>
      </c>
      <c r="N271" s="683">
        <f t="shared" si="18"/>
        <v>7</v>
      </c>
      <c r="O271" s="212"/>
      <c r="P271" s="58"/>
      <c r="Q271" s="561">
        <f t="shared" si="19"/>
        <v>0</v>
      </c>
      <c r="R271" s="58"/>
      <c r="S271" s="58"/>
      <c r="T271" s="58"/>
      <c r="U271" s="58"/>
      <c r="V271" s="58"/>
    </row>
    <row r="272" spans="1:22" ht="15.75" customHeight="1">
      <c r="A272" s="468" t="s">
        <v>348</v>
      </c>
      <c r="B272" s="204" t="s">
        <v>184</v>
      </c>
      <c r="C272" s="527"/>
      <c r="D272" s="215"/>
      <c r="E272" s="706"/>
      <c r="F272" s="215"/>
      <c r="G272" s="206"/>
      <c r="H272" s="214"/>
      <c r="I272" s="501"/>
      <c r="J272" s="553"/>
      <c r="K272" s="552">
        <f t="shared" si="17"/>
        <v>0</v>
      </c>
      <c r="L272" s="217"/>
      <c r="M272" s="211">
        <f t="shared" si="16"/>
        <v>-46136</v>
      </c>
      <c r="N272" s="683">
        <f t="shared" si="18"/>
        <v>7</v>
      </c>
      <c r="O272" s="212"/>
      <c r="P272" s="544"/>
      <c r="Q272" s="561">
        <f t="shared" si="19"/>
        <v>0</v>
      </c>
      <c r="R272" s="58"/>
      <c r="S272" s="58"/>
      <c r="T272" s="58"/>
      <c r="U272" s="58"/>
      <c r="V272" s="58"/>
    </row>
    <row r="273" spans="1:22" ht="15.75" customHeight="1">
      <c r="A273" s="468" t="s">
        <v>348</v>
      </c>
      <c r="B273" s="204" t="s">
        <v>184</v>
      </c>
      <c r="C273" s="527"/>
      <c r="D273" s="215"/>
      <c r="E273" s="706"/>
      <c r="F273" s="215"/>
      <c r="G273" s="206"/>
      <c r="H273" s="214"/>
      <c r="I273" s="501"/>
      <c r="J273" s="553"/>
      <c r="K273" s="552">
        <f t="shared" si="17"/>
        <v>0</v>
      </c>
      <c r="L273" s="217"/>
      <c r="M273" s="211">
        <f t="shared" si="16"/>
        <v>-46136</v>
      </c>
      <c r="N273" s="683">
        <f t="shared" si="18"/>
        <v>7</v>
      </c>
      <c r="O273" s="212"/>
      <c r="P273" s="544"/>
      <c r="Q273" s="561">
        <f t="shared" si="19"/>
        <v>0</v>
      </c>
      <c r="R273" s="58"/>
      <c r="S273" s="58"/>
      <c r="T273" s="58"/>
      <c r="U273" s="58"/>
      <c r="V273" s="58"/>
    </row>
    <row r="274" spans="1:22" ht="15.75" customHeight="1">
      <c r="A274" s="468" t="s">
        <v>348</v>
      </c>
      <c r="B274" s="204" t="s">
        <v>184</v>
      </c>
      <c r="C274" s="527"/>
      <c r="D274" s="215"/>
      <c r="E274" s="706"/>
      <c r="F274" s="215"/>
      <c r="G274" s="206"/>
      <c r="H274" s="214"/>
      <c r="I274" s="502"/>
      <c r="J274" s="553"/>
      <c r="K274" s="552">
        <f t="shared" si="17"/>
        <v>0</v>
      </c>
      <c r="L274" s="217"/>
      <c r="M274" s="211">
        <f t="shared" si="16"/>
        <v>-46136</v>
      </c>
      <c r="N274" s="683">
        <f t="shared" si="18"/>
        <v>7</v>
      </c>
      <c r="O274" s="212"/>
      <c r="P274" s="544"/>
      <c r="Q274" s="561">
        <f t="shared" si="19"/>
        <v>0</v>
      </c>
      <c r="R274" s="58"/>
      <c r="S274" s="58"/>
      <c r="T274" s="58"/>
      <c r="U274" s="58"/>
      <c r="V274" s="58"/>
    </row>
    <row r="275" spans="1:22" ht="15.75" customHeight="1">
      <c r="A275" s="468" t="s">
        <v>348</v>
      </c>
      <c r="B275" s="204" t="s">
        <v>184</v>
      </c>
      <c r="C275" s="527"/>
      <c r="D275" s="215"/>
      <c r="E275" s="706"/>
      <c r="F275" s="215"/>
      <c r="G275" s="206"/>
      <c r="H275" s="214"/>
      <c r="I275" s="502"/>
      <c r="J275" s="553"/>
      <c r="K275" s="552">
        <f t="shared" si="17"/>
        <v>0</v>
      </c>
      <c r="L275" s="217"/>
      <c r="M275" s="211">
        <f t="shared" si="16"/>
        <v>-46136</v>
      </c>
      <c r="N275" s="683">
        <f t="shared" si="18"/>
        <v>7</v>
      </c>
      <c r="O275" s="212"/>
      <c r="P275" s="544"/>
      <c r="Q275" s="561">
        <f t="shared" si="19"/>
        <v>0</v>
      </c>
      <c r="R275" s="58"/>
      <c r="S275" s="58"/>
      <c r="T275" s="58"/>
      <c r="U275" s="58"/>
      <c r="V275" s="58"/>
    </row>
    <row r="276" spans="1:22" ht="15.75" customHeight="1">
      <c r="A276" s="468" t="s">
        <v>348</v>
      </c>
      <c r="B276" s="204" t="s">
        <v>184</v>
      </c>
      <c r="C276" s="527"/>
      <c r="D276" s="215"/>
      <c r="E276" s="706"/>
      <c r="F276" s="215"/>
      <c r="G276" s="206"/>
      <c r="H276" s="214"/>
      <c r="I276" s="501"/>
      <c r="J276" s="553"/>
      <c r="K276" s="552">
        <f t="shared" si="17"/>
        <v>0</v>
      </c>
      <c r="L276" s="217"/>
      <c r="M276" s="211">
        <f t="shared" si="16"/>
        <v>-46136</v>
      </c>
      <c r="N276" s="683">
        <f t="shared" si="18"/>
        <v>7</v>
      </c>
      <c r="O276" s="212"/>
      <c r="P276" s="544"/>
      <c r="Q276" s="561">
        <f t="shared" si="19"/>
        <v>0</v>
      </c>
      <c r="R276" s="58"/>
      <c r="S276" s="58"/>
      <c r="T276" s="58"/>
      <c r="U276" s="58"/>
      <c r="V276" s="58"/>
    </row>
    <row r="277" spans="1:22" ht="15.75" customHeight="1">
      <c r="A277" s="468" t="s">
        <v>348</v>
      </c>
      <c r="B277" s="204" t="s">
        <v>184</v>
      </c>
      <c r="C277" s="527"/>
      <c r="D277" s="215"/>
      <c r="E277" s="706"/>
      <c r="F277" s="215"/>
      <c r="G277" s="206"/>
      <c r="H277" s="214"/>
      <c r="I277" s="503"/>
      <c r="J277" s="553"/>
      <c r="K277" s="552">
        <f t="shared" si="17"/>
        <v>0</v>
      </c>
      <c r="L277" s="217"/>
      <c r="M277" s="211">
        <f t="shared" si="16"/>
        <v>-46136</v>
      </c>
      <c r="N277" s="683">
        <f t="shared" si="18"/>
        <v>7</v>
      </c>
      <c r="O277" s="212"/>
      <c r="P277" s="544"/>
      <c r="Q277" s="561">
        <f t="shared" si="19"/>
        <v>0</v>
      </c>
      <c r="R277" s="58"/>
      <c r="S277" s="58"/>
      <c r="T277" s="58"/>
      <c r="U277" s="58"/>
      <c r="V277" s="58"/>
    </row>
    <row r="278" spans="1:22" ht="15.75" customHeight="1">
      <c r="A278" s="468" t="s">
        <v>348</v>
      </c>
      <c r="B278" s="204" t="s">
        <v>184</v>
      </c>
      <c r="C278" s="527"/>
      <c r="D278" s="267"/>
      <c r="E278" s="706"/>
      <c r="F278" s="267"/>
      <c r="G278" s="206"/>
      <c r="H278" s="214"/>
      <c r="I278" s="502"/>
      <c r="J278" s="553"/>
      <c r="K278" s="552">
        <f t="shared" si="17"/>
        <v>0</v>
      </c>
      <c r="L278" s="217"/>
      <c r="M278" s="211">
        <f t="shared" si="16"/>
        <v>-46136</v>
      </c>
      <c r="N278" s="683">
        <f t="shared" si="18"/>
        <v>7</v>
      </c>
      <c r="O278" s="212"/>
      <c r="P278" s="544"/>
      <c r="Q278" s="561">
        <f t="shared" si="19"/>
        <v>0</v>
      </c>
      <c r="R278" s="58"/>
      <c r="S278" s="58"/>
      <c r="T278" s="58"/>
      <c r="U278" s="58"/>
      <c r="V278" s="58"/>
    </row>
    <row r="279" spans="1:22" ht="15" customHeight="1">
      <c r="A279" s="468" t="s">
        <v>348</v>
      </c>
      <c r="B279" s="204" t="s">
        <v>184</v>
      </c>
      <c r="C279" s="527"/>
      <c r="D279" s="267"/>
      <c r="E279" s="706"/>
      <c r="F279" s="267"/>
      <c r="G279" s="206"/>
      <c r="H279" s="214"/>
      <c r="I279" s="502"/>
      <c r="J279" s="553"/>
      <c r="K279" s="552">
        <f t="shared" si="17"/>
        <v>0</v>
      </c>
      <c r="L279" s="217"/>
      <c r="M279" s="211">
        <f t="shared" si="16"/>
        <v>-46136</v>
      </c>
      <c r="N279" s="683">
        <f t="shared" si="18"/>
        <v>7</v>
      </c>
      <c r="O279" s="212"/>
      <c r="P279" s="544"/>
      <c r="Q279" s="561">
        <f t="shared" si="19"/>
        <v>0</v>
      </c>
      <c r="R279" s="58"/>
      <c r="S279" s="58"/>
      <c r="T279" s="58"/>
      <c r="U279" s="58"/>
      <c r="V279" s="58"/>
    </row>
    <row r="280" spans="1:22" ht="15.75" customHeight="1">
      <c r="A280" s="468" t="s">
        <v>348</v>
      </c>
      <c r="B280" s="204" t="s">
        <v>184</v>
      </c>
      <c r="C280" s="527"/>
      <c r="D280" s="215"/>
      <c r="E280" s="706"/>
      <c r="F280" s="215"/>
      <c r="G280" s="206"/>
      <c r="H280" s="214"/>
      <c r="I280" s="502"/>
      <c r="J280" s="553"/>
      <c r="K280" s="552">
        <f t="shared" si="17"/>
        <v>0</v>
      </c>
      <c r="L280" s="217"/>
      <c r="M280" s="211">
        <f t="shared" si="16"/>
        <v>-46136</v>
      </c>
      <c r="N280" s="683">
        <f t="shared" si="18"/>
        <v>7</v>
      </c>
      <c r="O280" s="212"/>
      <c r="P280" s="544"/>
      <c r="Q280" s="561">
        <f t="shared" si="19"/>
        <v>0</v>
      </c>
      <c r="R280" s="58"/>
      <c r="S280" s="58"/>
      <c r="T280" s="58"/>
      <c r="U280" s="58"/>
      <c r="V280" s="58"/>
    </row>
    <row r="281" spans="1:22" ht="15.75" customHeight="1">
      <c r="A281" s="468" t="s">
        <v>348</v>
      </c>
      <c r="B281" s="204" t="s">
        <v>184</v>
      </c>
      <c r="C281" s="527"/>
      <c r="D281" s="215"/>
      <c r="E281" s="706"/>
      <c r="F281" s="215"/>
      <c r="G281" s="206"/>
      <c r="H281" s="214"/>
      <c r="I281" s="502"/>
      <c r="J281" s="553"/>
      <c r="K281" s="552">
        <f t="shared" si="17"/>
        <v>0</v>
      </c>
      <c r="L281" s="217"/>
      <c r="M281" s="211">
        <f t="shared" si="16"/>
        <v>-46136</v>
      </c>
      <c r="N281" s="683">
        <f t="shared" si="18"/>
        <v>7</v>
      </c>
      <c r="O281" s="212"/>
      <c r="P281" s="544"/>
      <c r="Q281" s="561">
        <f t="shared" si="19"/>
        <v>0</v>
      </c>
      <c r="R281" s="58"/>
      <c r="S281" s="58"/>
      <c r="T281" s="58"/>
      <c r="U281" s="58"/>
      <c r="V281" s="58"/>
    </row>
    <row r="282" spans="1:22" ht="15.75" customHeight="1">
      <c r="A282" s="468" t="s">
        <v>348</v>
      </c>
      <c r="B282" s="204" t="s">
        <v>184</v>
      </c>
      <c r="C282" s="532"/>
      <c r="D282" s="216"/>
      <c r="E282" s="706"/>
      <c r="F282" s="216"/>
      <c r="G282" s="218"/>
      <c r="H282" s="219"/>
      <c r="I282" s="502"/>
      <c r="J282" s="553"/>
      <c r="K282" s="552">
        <f t="shared" si="17"/>
        <v>0</v>
      </c>
      <c r="L282" s="217"/>
      <c r="M282" s="211">
        <f t="shared" si="16"/>
        <v>-46136</v>
      </c>
      <c r="N282" s="683">
        <f t="shared" si="18"/>
        <v>7</v>
      </c>
      <c r="O282" s="212"/>
      <c r="P282" s="544"/>
      <c r="Q282" s="561">
        <f t="shared" si="19"/>
        <v>0</v>
      </c>
      <c r="R282" s="58"/>
      <c r="S282" s="58"/>
      <c r="T282" s="58"/>
      <c r="U282" s="58"/>
      <c r="V282" s="58"/>
    </row>
    <row r="283" spans="1:22" ht="15.75" customHeight="1">
      <c r="A283" s="468" t="s">
        <v>348</v>
      </c>
      <c r="B283" s="204" t="s">
        <v>184</v>
      </c>
      <c r="C283" s="527"/>
      <c r="D283" s="205"/>
      <c r="E283" s="706"/>
      <c r="F283" s="205"/>
      <c r="G283" s="206"/>
      <c r="H283" s="214"/>
      <c r="I283" s="502"/>
      <c r="J283" s="553"/>
      <c r="K283" s="552">
        <f t="shared" si="17"/>
        <v>0</v>
      </c>
      <c r="L283" s="217"/>
      <c r="M283" s="211">
        <f t="shared" si="16"/>
        <v>-46136</v>
      </c>
      <c r="N283" s="683">
        <f t="shared" si="18"/>
        <v>7</v>
      </c>
      <c r="O283" s="212"/>
      <c r="P283" s="544"/>
      <c r="Q283" s="561">
        <f t="shared" si="19"/>
        <v>0</v>
      </c>
      <c r="R283" s="58"/>
      <c r="S283" s="58"/>
      <c r="T283" s="58"/>
      <c r="U283" s="58"/>
      <c r="V283" s="58"/>
    </row>
    <row r="284" spans="1:22" ht="15.75" customHeight="1">
      <c r="A284" s="468" t="s">
        <v>348</v>
      </c>
      <c r="B284" s="204" t="s">
        <v>184</v>
      </c>
      <c r="C284" s="527"/>
      <c r="D284" s="205"/>
      <c r="E284" s="706"/>
      <c r="F284" s="205"/>
      <c r="G284" s="206"/>
      <c r="H284" s="214"/>
      <c r="I284" s="502"/>
      <c r="J284" s="553"/>
      <c r="K284" s="552">
        <f t="shared" si="17"/>
        <v>0</v>
      </c>
      <c r="L284" s="217"/>
      <c r="M284" s="211">
        <f t="shared" si="16"/>
        <v>-46136</v>
      </c>
      <c r="N284" s="683">
        <f t="shared" si="18"/>
        <v>7</v>
      </c>
      <c r="O284" s="212"/>
      <c r="P284" s="544"/>
      <c r="Q284" s="561">
        <f t="shared" si="19"/>
        <v>0</v>
      </c>
      <c r="R284" s="58"/>
      <c r="S284" s="58"/>
      <c r="T284" s="58"/>
      <c r="U284" s="58"/>
      <c r="V284" s="58"/>
    </row>
    <row r="285" spans="1:22" ht="15.75" customHeight="1">
      <c r="A285" s="468" t="s">
        <v>348</v>
      </c>
      <c r="B285" s="204" t="s">
        <v>184</v>
      </c>
      <c r="C285" s="527"/>
      <c r="D285" s="205"/>
      <c r="E285" s="706"/>
      <c r="F285" s="205"/>
      <c r="G285" s="206"/>
      <c r="H285" s="214"/>
      <c r="I285" s="502"/>
      <c r="J285" s="553"/>
      <c r="K285" s="552">
        <f t="shared" si="17"/>
        <v>0</v>
      </c>
      <c r="L285" s="217"/>
      <c r="M285" s="211">
        <f t="shared" si="16"/>
        <v>-46136</v>
      </c>
      <c r="N285" s="683">
        <f t="shared" si="18"/>
        <v>7</v>
      </c>
      <c r="O285" s="212"/>
      <c r="P285" s="544"/>
      <c r="Q285" s="561">
        <f t="shared" si="19"/>
        <v>0</v>
      </c>
      <c r="R285" s="58"/>
      <c r="S285" s="58"/>
      <c r="T285" s="58"/>
      <c r="U285" s="58"/>
      <c r="V285" s="58"/>
    </row>
    <row r="286" spans="1:22" ht="15.75" customHeight="1">
      <c r="A286" s="468" t="s">
        <v>348</v>
      </c>
      <c r="B286" s="204" t="s">
        <v>184</v>
      </c>
      <c r="C286" s="527"/>
      <c r="D286" s="205"/>
      <c r="E286" s="706"/>
      <c r="F286" s="205"/>
      <c r="G286" s="206"/>
      <c r="H286" s="214"/>
      <c r="I286" s="502"/>
      <c r="J286" s="553"/>
      <c r="K286" s="552">
        <f t="shared" si="17"/>
        <v>0</v>
      </c>
      <c r="L286" s="217"/>
      <c r="M286" s="211">
        <f t="shared" si="16"/>
        <v>-46136</v>
      </c>
      <c r="N286" s="683">
        <f t="shared" si="18"/>
        <v>7</v>
      </c>
      <c r="O286" s="212"/>
      <c r="P286" s="544"/>
      <c r="Q286" s="561">
        <f t="shared" si="19"/>
        <v>0</v>
      </c>
      <c r="R286" s="58"/>
      <c r="S286" s="58"/>
      <c r="T286" s="58"/>
      <c r="U286" s="58"/>
      <c r="V286" s="58"/>
    </row>
    <row r="287" spans="1:22" ht="15.75" customHeight="1">
      <c r="A287" s="468" t="s">
        <v>348</v>
      </c>
      <c r="B287" s="204" t="s">
        <v>184</v>
      </c>
      <c r="C287" s="527"/>
      <c r="D287" s="205"/>
      <c r="E287" s="706"/>
      <c r="F287" s="205"/>
      <c r="G287" s="206"/>
      <c r="H287" s="214"/>
      <c r="I287" s="502"/>
      <c r="J287" s="553"/>
      <c r="K287" s="552">
        <f t="shared" si="17"/>
        <v>0</v>
      </c>
      <c r="L287" s="217"/>
      <c r="M287" s="211">
        <f t="shared" si="16"/>
        <v>-46136</v>
      </c>
      <c r="N287" s="683">
        <f t="shared" si="18"/>
        <v>7</v>
      </c>
      <c r="O287" s="212"/>
      <c r="P287" s="544"/>
      <c r="Q287" s="561">
        <f t="shared" si="19"/>
        <v>0</v>
      </c>
      <c r="R287" s="58"/>
      <c r="S287" s="58"/>
      <c r="T287" s="58"/>
      <c r="U287" s="58"/>
      <c r="V287" s="58"/>
    </row>
    <row r="288" spans="1:22" ht="15.75" customHeight="1">
      <c r="A288" s="468" t="s">
        <v>348</v>
      </c>
      <c r="B288" s="204" t="s">
        <v>184</v>
      </c>
      <c r="C288" s="527"/>
      <c r="D288" s="205"/>
      <c r="E288" s="706"/>
      <c r="F288" s="205"/>
      <c r="G288" s="206"/>
      <c r="H288" s="214"/>
      <c r="I288" s="501"/>
      <c r="J288" s="553"/>
      <c r="K288" s="552">
        <f t="shared" si="17"/>
        <v>0</v>
      </c>
      <c r="L288" s="217"/>
      <c r="M288" s="211">
        <f t="shared" si="16"/>
        <v>-46136</v>
      </c>
      <c r="N288" s="683">
        <f t="shared" si="18"/>
        <v>7</v>
      </c>
      <c r="O288" s="212"/>
      <c r="P288" s="544"/>
      <c r="Q288" s="561">
        <f t="shared" si="19"/>
        <v>0</v>
      </c>
      <c r="R288" s="58"/>
      <c r="S288" s="58"/>
      <c r="T288" s="58"/>
      <c r="U288" s="58"/>
      <c r="V288" s="58"/>
    </row>
    <row r="289" spans="1:22" ht="15.75" customHeight="1">
      <c r="A289" s="468" t="s">
        <v>348</v>
      </c>
      <c r="B289" s="204" t="s">
        <v>184</v>
      </c>
      <c r="C289" s="527"/>
      <c r="D289" s="205"/>
      <c r="E289" s="706"/>
      <c r="F289" s="205"/>
      <c r="G289" s="206"/>
      <c r="H289" s="214"/>
      <c r="I289" s="501"/>
      <c r="J289" s="553"/>
      <c r="K289" s="552">
        <f t="shared" si="17"/>
        <v>0</v>
      </c>
      <c r="L289" s="217"/>
      <c r="M289" s="211">
        <f t="shared" si="16"/>
        <v>-46136</v>
      </c>
      <c r="N289" s="683">
        <f t="shared" si="18"/>
        <v>7</v>
      </c>
      <c r="O289" s="212"/>
      <c r="P289" s="544"/>
      <c r="Q289" s="561">
        <f t="shared" si="19"/>
        <v>0</v>
      </c>
      <c r="R289" s="58"/>
      <c r="S289" s="58"/>
      <c r="T289" s="58"/>
      <c r="U289" s="58"/>
      <c r="V289" s="58"/>
    </row>
    <row r="290" spans="1:22" ht="15.75" customHeight="1">
      <c r="A290" s="468" t="s">
        <v>348</v>
      </c>
      <c r="B290" s="204" t="s">
        <v>184</v>
      </c>
      <c r="C290" s="527"/>
      <c r="D290" s="205"/>
      <c r="E290" s="706"/>
      <c r="F290" s="205"/>
      <c r="G290" s="206"/>
      <c r="H290" s="214"/>
      <c r="I290" s="501"/>
      <c r="J290" s="553"/>
      <c r="K290" s="552">
        <f t="shared" si="17"/>
        <v>0</v>
      </c>
      <c r="L290" s="217"/>
      <c r="M290" s="211">
        <f t="shared" si="16"/>
        <v>-46136</v>
      </c>
      <c r="N290" s="683">
        <f t="shared" si="18"/>
        <v>7</v>
      </c>
      <c r="O290" s="212"/>
      <c r="P290" s="544"/>
      <c r="Q290" s="561">
        <f t="shared" si="19"/>
        <v>0</v>
      </c>
      <c r="R290" s="58"/>
      <c r="S290" s="58"/>
      <c r="T290" s="58"/>
      <c r="U290" s="58"/>
      <c r="V290" s="58"/>
    </row>
    <row r="291" spans="1:22" ht="15.75" customHeight="1">
      <c r="A291" s="468" t="s">
        <v>348</v>
      </c>
      <c r="B291" s="204" t="s">
        <v>184</v>
      </c>
      <c r="C291" s="527"/>
      <c r="D291" s="205"/>
      <c r="E291" s="706"/>
      <c r="F291" s="205"/>
      <c r="G291" s="206"/>
      <c r="H291" s="214"/>
      <c r="I291" s="501"/>
      <c r="J291" s="553"/>
      <c r="K291" s="552">
        <f t="shared" si="17"/>
        <v>0</v>
      </c>
      <c r="L291" s="217"/>
      <c r="M291" s="211">
        <f t="shared" si="16"/>
        <v>-46136</v>
      </c>
      <c r="N291" s="683">
        <f t="shared" si="18"/>
        <v>7</v>
      </c>
      <c r="O291" s="212"/>
      <c r="P291" s="544"/>
      <c r="Q291" s="561">
        <f t="shared" si="19"/>
        <v>0</v>
      </c>
      <c r="R291" s="58"/>
      <c r="S291" s="58"/>
      <c r="T291" s="58"/>
      <c r="U291" s="58"/>
      <c r="V291" s="58"/>
    </row>
    <row r="292" spans="1:22" ht="15.75" customHeight="1">
      <c r="A292" s="468" t="s">
        <v>348</v>
      </c>
      <c r="B292" s="204" t="s">
        <v>184</v>
      </c>
      <c r="C292" s="527"/>
      <c r="D292" s="205"/>
      <c r="E292" s="706"/>
      <c r="F292" s="205"/>
      <c r="G292" s="206"/>
      <c r="H292" s="214"/>
      <c r="I292" s="501"/>
      <c r="J292" s="553"/>
      <c r="K292" s="552">
        <f t="shared" si="17"/>
        <v>0</v>
      </c>
      <c r="L292" s="217"/>
      <c r="M292" s="211">
        <f t="shared" si="16"/>
        <v>-46136</v>
      </c>
      <c r="N292" s="683">
        <f t="shared" si="18"/>
        <v>7</v>
      </c>
      <c r="O292" s="212"/>
      <c r="P292" s="544"/>
      <c r="Q292" s="561">
        <f t="shared" si="19"/>
        <v>0</v>
      </c>
      <c r="R292" s="58"/>
      <c r="S292" s="58"/>
      <c r="T292" s="58"/>
      <c r="U292" s="58"/>
      <c r="V292" s="58"/>
    </row>
    <row r="293" spans="1:22" ht="15.75" customHeight="1">
      <c r="A293" s="468" t="s">
        <v>348</v>
      </c>
      <c r="B293" s="204" t="s">
        <v>184</v>
      </c>
      <c r="C293" s="527"/>
      <c r="D293" s="188"/>
      <c r="E293" s="706"/>
      <c r="F293" s="188"/>
      <c r="G293" s="206"/>
      <c r="H293" s="214"/>
      <c r="I293" s="502"/>
      <c r="J293" s="553"/>
      <c r="K293" s="552">
        <f t="shared" si="17"/>
        <v>0</v>
      </c>
      <c r="L293" s="217"/>
      <c r="M293" s="211">
        <f t="shared" si="16"/>
        <v>-46136</v>
      </c>
      <c r="N293" s="683">
        <f t="shared" si="18"/>
        <v>7</v>
      </c>
      <c r="O293" s="212"/>
      <c r="P293" s="544"/>
      <c r="Q293" s="561">
        <f t="shared" si="19"/>
        <v>0</v>
      </c>
      <c r="R293" s="58"/>
      <c r="S293" s="58"/>
      <c r="T293" s="58"/>
      <c r="U293" s="58"/>
      <c r="V293" s="58"/>
    </row>
    <row r="294" spans="1:22" ht="15.75" customHeight="1">
      <c r="A294" s="468" t="s">
        <v>348</v>
      </c>
      <c r="B294" s="204" t="s">
        <v>184</v>
      </c>
      <c r="C294" s="527"/>
      <c r="D294" s="205"/>
      <c r="E294" s="706"/>
      <c r="F294" s="205"/>
      <c r="G294" s="206"/>
      <c r="H294" s="214"/>
      <c r="I294" s="501"/>
      <c r="J294" s="553"/>
      <c r="K294" s="552">
        <f t="shared" si="17"/>
        <v>0</v>
      </c>
      <c r="L294" s="217"/>
      <c r="M294" s="211">
        <f t="shared" si="16"/>
        <v>-46136</v>
      </c>
      <c r="N294" s="683">
        <f t="shared" si="18"/>
        <v>7</v>
      </c>
      <c r="O294" s="212"/>
      <c r="P294" s="544"/>
      <c r="Q294" s="561">
        <f t="shared" si="19"/>
        <v>0</v>
      </c>
      <c r="R294" s="58"/>
      <c r="S294" s="58"/>
      <c r="T294" s="58"/>
      <c r="U294" s="58"/>
      <c r="V294" s="58"/>
    </row>
    <row r="295" spans="1:22" ht="15.75" customHeight="1">
      <c r="A295" s="468" t="s">
        <v>348</v>
      </c>
      <c r="B295" s="204" t="s">
        <v>184</v>
      </c>
      <c r="C295" s="529"/>
      <c r="D295" s="507"/>
      <c r="E295" s="709"/>
      <c r="F295" s="507"/>
      <c r="G295" s="206"/>
      <c r="H295" s="214"/>
      <c r="I295" s="501"/>
      <c r="J295" s="553"/>
      <c r="K295" s="552">
        <f t="shared" si="17"/>
        <v>0</v>
      </c>
      <c r="L295" s="217"/>
      <c r="M295" s="211">
        <f t="shared" si="16"/>
        <v>-46136</v>
      </c>
      <c r="N295" s="683">
        <f t="shared" si="18"/>
        <v>7</v>
      </c>
      <c r="O295" s="212"/>
      <c r="P295" s="544"/>
      <c r="Q295" s="561">
        <f t="shared" si="19"/>
        <v>0</v>
      </c>
      <c r="R295" s="58"/>
      <c r="S295" s="58"/>
      <c r="T295" s="58"/>
      <c r="U295" s="58"/>
      <c r="V295" s="58"/>
    </row>
    <row r="296" spans="1:22" ht="15.75" customHeight="1">
      <c r="A296" s="468" t="s">
        <v>348</v>
      </c>
      <c r="B296" s="204" t="s">
        <v>184</v>
      </c>
      <c r="C296" s="527"/>
      <c r="D296" s="205"/>
      <c r="E296" s="706"/>
      <c r="F296" s="267"/>
      <c r="G296" s="206"/>
      <c r="H296" s="214"/>
      <c r="I296" s="501"/>
      <c r="J296" s="553"/>
      <c r="K296" s="552">
        <f t="shared" si="17"/>
        <v>0</v>
      </c>
      <c r="L296" s="217"/>
      <c r="M296" s="211">
        <f t="shared" si="16"/>
        <v>-46136</v>
      </c>
      <c r="N296" s="683">
        <f t="shared" si="18"/>
        <v>7</v>
      </c>
      <c r="O296" s="212"/>
      <c r="P296" s="544"/>
      <c r="Q296" s="561">
        <f t="shared" si="19"/>
        <v>0</v>
      </c>
      <c r="R296" s="58"/>
      <c r="S296" s="58"/>
      <c r="T296" s="58"/>
      <c r="U296" s="58"/>
      <c r="V296" s="58"/>
    </row>
    <row r="297" spans="1:22" ht="15.75" customHeight="1">
      <c r="A297" s="468" t="s">
        <v>348</v>
      </c>
      <c r="B297" s="204" t="s">
        <v>184</v>
      </c>
      <c r="C297" s="527"/>
      <c r="D297" s="205"/>
      <c r="E297" s="706"/>
      <c r="F297" s="267"/>
      <c r="G297" s="206"/>
      <c r="H297" s="214"/>
      <c r="I297" s="501"/>
      <c r="J297" s="553"/>
      <c r="K297" s="552">
        <f t="shared" si="17"/>
        <v>0</v>
      </c>
      <c r="L297" s="217"/>
      <c r="M297" s="211">
        <f t="shared" si="16"/>
        <v>-46136</v>
      </c>
      <c r="N297" s="683">
        <f t="shared" si="18"/>
        <v>7</v>
      </c>
      <c r="O297" s="212"/>
      <c r="P297" s="544"/>
      <c r="Q297" s="561">
        <f t="shared" si="19"/>
        <v>0</v>
      </c>
      <c r="R297" s="58"/>
      <c r="S297" s="58"/>
      <c r="T297" s="58"/>
      <c r="U297" s="58"/>
      <c r="V297" s="58"/>
    </row>
    <row r="298" spans="1:22" ht="15.75" customHeight="1">
      <c r="A298" s="468" t="s">
        <v>348</v>
      </c>
      <c r="B298" s="204" t="s">
        <v>184</v>
      </c>
      <c r="C298" s="527"/>
      <c r="D298" s="267"/>
      <c r="E298" s="706"/>
      <c r="F298" s="267"/>
      <c r="G298" s="206"/>
      <c r="H298" s="214"/>
      <c r="I298" s="503"/>
      <c r="J298" s="553"/>
      <c r="K298" s="552">
        <f t="shared" si="17"/>
        <v>0</v>
      </c>
      <c r="L298" s="217"/>
      <c r="M298" s="211">
        <f t="shared" si="16"/>
        <v>-46136</v>
      </c>
      <c r="N298" s="683">
        <f t="shared" si="18"/>
        <v>7</v>
      </c>
      <c r="O298" s="212"/>
      <c r="P298" s="544"/>
      <c r="Q298" s="561">
        <f t="shared" si="19"/>
        <v>0</v>
      </c>
      <c r="R298" s="58"/>
      <c r="S298" s="58"/>
      <c r="T298" s="58"/>
      <c r="U298" s="58"/>
      <c r="V298" s="58"/>
    </row>
    <row r="299" spans="1:22" ht="15.75" customHeight="1">
      <c r="A299" s="468" t="s">
        <v>348</v>
      </c>
      <c r="B299" s="204" t="s">
        <v>184</v>
      </c>
      <c r="C299" s="527"/>
      <c r="D299" s="267"/>
      <c r="E299" s="706"/>
      <c r="F299" s="267"/>
      <c r="G299" s="206"/>
      <c r="H299" s="214"/>
      <c r="I299" s="502"/>
      <c r="J299" s="553"/>
      <c r="K299" s="552">
        <f t="shared" si="17"/>
        <v>0</v>
      </c>
      <c r="L299" s="217"/>
      <c r="M299" s="211">
        <f t="shared" si="16"/>
        <v>-46136</v>
      </c>
      <c r="N299" s="683">
        <f t="shared" si="18"/>
        <v>7</v>
      </c>
      <c r="O299" s="212"/>
      <c r="P299" s="544"/>
      <c r="Q299" s="561">
        <f t="shared" si="19"/>
        <v>0</v>
      </c>
      <c r="R299" s="58"/>
      <c r="S299" s="58"/>
      <c r="T299" s="58"/>
      <c r="U299" s="58"/>
      <c r="V299" s="58"/>
    </row>
    <row r="300" spans="1:22" ht="15.75" customHeight="1">
      <c r="A300" s="468" t="s">
        <v>348</v>
      </c>
      <c r="B300" s="204" t="s">
        <v>184</v>
      </c>
      <c r="C300" s="529"/>
      <c r="D300" s="507"/>
      <c r="E300" s="709"/>
      <c r="F300" s="507"/>
      <c r="G300" s="206"/>
      <c r="H300" s="214"/>
      <c r="I300" s="501"/>
      <c r="J300" s="553"/>
      <c r="K300" s="552">
        <f t="shared" si="17"/>
        <v>0</v>
      </c>
      <c r="L300" s="217"/>
      <c r="M300" s="211">
        <f t="shared" si="16"/>
        <v>-46136</v>
      </c>
      <c r="N300" s="683">
        <f t="shared" si="18"/>
        <v>7</v>
      </c>
      <c r="O300" s="212"/>
      <c r="P300" s="544"/>
      <c r="Q300" s="561">
        <f t="shared" si="19"/>
        <v>0</v>
      </c>
      <c r="R300" s="58"/>
      <c r="S300" s="58"/>
      <c r="T300" s="58"/>
      <c r="U300" s="58"/>
      <c r="V300" s="58"/>
    </row>
    <row r="301" spans="1:22" ht="15.75" customHeight="1">
      <c r="A301" s="468" t="s">
        <v>348</v>
      </c>
      <c r="B301" s="204" t="s">
        <v>184</v>
      </c>
      <c r="C301" s="529"/>
      <c r="D301" s="507"/>
      <c r="E301" s="709"/>
      <c r="F301" s="507"/>
      <c r="G301" s="206"/>
      <c r="H301" s="214"/>
      <c r="I301" s="501"/>
      <c r="J301" s="553"/>
      <c r="K301" s="552">
        <f t="shared" si="17"/>
        <v>0</v>
      </c>
      <c r="L301" s="217"/>
      <c r="M301" s="211">
        <f t="shared" si="16"/>
        <v>-46136</v>
      </c>
      <c r="N301" s="683">
        <f t="shared" si="18"/>
        <v>7</v>
      </c>
      <c r="O301" s="212"/>
      <c r="P301" s="544"/>
      <c r="Q301" s="561">
        <f t="shared" si="19"/>
        <v>0</v>
      </c>
      <c r="R301" s="58"/>
      <c r="S301" s="58"/>
      <c r="T301" s="58"/>
      <c r="U301" s="58"/>
      <c r="V301" s="58"/>
    </row>
    <row r="302" spans="1:22" ht="15.75" customHeight="1">
      <c r="A302" s="468" t="s">
        <v>348</v>
      </c>
      <c r="B302" s="204" t="s">
        <v>184</v>
      </c>
      <c r="C302" s="527"/>
      <c r="D302" s="267"/>
      <c r="E302" s="706"/>
      <c r="F302" s="267"/>
      <c r="G302" s="206"/>
      <c r="H302" s="214"/>
      <c r="I302" s="502"/>
      <c r="J302" s="553"/>
      <c r="K302" s="552">
        <f t="shared" si="17"/>
        <v>0</v>
      </c>
      <c r="L302" s="217"/>
      <c r="M302" s="211">
        <f t="shared" si="16"/>
        <v>-46136</v>
      </c>
      <c r="N302" s="683">
        <f t="shared" si="18"/>
        <v>7</v>
      </c>
      <c r="O302" s="212"/>
      <c r="P302" s="58"/>
      <c r="Q302" s="561">
        <f t="shared" si="19"/>
        <v>0</v>
      </c>
      <c r="R302" s="58"/>
      <c r="S302" s="58"/>
      <c r="T302" s="58"/>
      <c r="U302" s="58"/>
      <c r="V302" s="58"/>
    </row>
    <row r="303" spans="1:22" ht="15.75" customHeight="1">
      <c r="A303" s="468" t="s">
        <v>348</v>
      </c>
      <c r="B303" s="204" t="s">
        <v>184</v>
      </c>
      <c r="C303" s="529"/>
      <c r="D303" s="507"/>
      <c r="E303" s="709"/>
      <c r="F303" s="507"/>
      <c r="G303" s="206"/>
      <c r="H303" s="214"/>
      <c r="I303" s="501"/>
      <c r="J303" s="553"/>
      <c r="K303" s="552">
        <f t="shared" si="17"/>
        <v>0</v>
      </c>
      <c r="L303" s="217"/>
      <c r="M303" s="211">
        <f t="shared" si="16"/>
        <v>-46136</v>
      </c>
      <c r="N303" s="683">
        <f t="shared" si="18"/>
        <v>7</v>
      </c>
      <c r="O303" s="212"/>
      <c r="P303" s="544"/>
      <c r="Q303" s="561">
        <f t="shared" si="19"/>
        <v>0</v>
      </c>
      <c r="R303" s="58"/>
      <c r="S303" s="58"/>
      <c r="T303" s="58"/>
      <c r="U303" s="58"/>
      <c r="V303" s="58"/>
    </row>
    <row r="304" spans="1:22" ht="15.75" customHeight="1">
      <c r="A304" s="468" t="s">
        <v>348</v>
      </c>
      <c r="B304" s="204" t="s">
        <v>184</v>
      </c>
      <c r="C304" s="527"/>
      <c r="D304" s="267"/>
      <c r="E304" s="706"/>
      <c r="F304" s="267"/>
      <c r="G304" s="206"/>
      <c r="H304" s="214"/>
      <c r="I304" s="501"/>
      <c r="J304" s="553"/>
      <c r="K304" s="552">
        <f t="shared" si="17"/>
        <v>0</v>
      </c>
      <c r="L304" s="217"/>
      <c r="M304" s="211">
        <f t="shared" si="16"/>
        <v>-46136</v>
      </c>
      <c r="N304" s="683">
        <f t="shared" si="18"/>
        <v>7</v>
      </c>
      <c r="O304" s="212"/>
      <c r="P304" s="544"/>
      <c r="Q304" s="561">
        <f t="shared" si="19"/>
        <v>0</v>
      </c>
      <c r="R304" s="58"/>
      <c r="S304" s="58"/>
      <c r="T304" s="58"/>
      <c r="U304" s="58"/>
      <c r="V304" s="58"/>
    </row>
    <row r="305" spans="1:22" ht="15.75" customHeight="1">
      <c r="A305" s="468" t="s">
        <v>348</v>
      </c>
      <c r="B305" s="204" t="s">
        <v>184</v>
      </c>
      <c r="C305" s="527"/>
      <c r="D305" s="267"/>
      <c r="E305" s="706"/>
      <c r="F305" s="267"/>
      <c r="G305" s="206"/>
      <c r="H305" s="214"/>
      <c r="I305" s="501"/>
      <c r="J305" s="553"/>
      <c r="K305" s="552">
        <f t="shared" si="17"/>
        <v>0</v>
      </c>
      <c r="L305" s="217"/>
      <c r="M305" s="211">
        <f t="shared" si="16"/>
        <v>-46136</v>
      </c>
      <c r="N305" s="683">
        <f t="shared" si="18"/>
        <v>7</v>
      </c>
      <c r="O305" s="212"/>
      <c r="P305" s="544"/>
      <c r="Q305" s="561">
        <f t="shared" si="19"/>
        <v>0</v>
      </c>
      <c r="R305" s="58"/>
      <c r="S305" s="58"/>
      <c r="T305" s="58"/>
      <c r="U305" s="58"/>
      <c r="V305" s="58"/>
    </row>
    <row r="306" spans="1:22" ht="15.75" customHeight="1">
      <c r="A306" s="468" t="s">
        <v>348</v>
      </c>
      <c r="B306" s="204" t="s">
        <v>184</v>
      </c>
      <c r="C306" s="527"/>
      <c r="D306" s="205"/>
      <c r="E306" s="706"/>
      <c r="F306" s="267"/>
      <c r="G306" s="206"/>
      <c r="H306" s="214"/>
      <c r="I306" s="501"/>
      <c r="J306" s="553"/>
      <c r="K306" s="552">
        <f t="shared" si="17"/>
        <v>0</v>
      </c>
      <c r="L306" s="217"/>
      <c r="M306" s="211">
        <f t="shared" si="16"/>
        <v>-46136</v>
      </c>
      <c r="N306" s="683">
        <f t="shared" si="18"/>
        <v>7</v>
      </c>
      <c r="O306" s="212"/>
      <c r="P306" s="544"/>
      <c r="Q306" s="561">
        <f t="shared" si="19"/>
        <v>0</v>
      </c>
      <c r="R306" s="58"/>
      <c r="S306" s="58"/>
      <c r="T306" s="58"/>
      <c r="U306" s="58"/>
      <c r="V306" s="58"/>
    </row>
    <row r="307" spans="1:22" ht="15.75" customHeight="1">
      <c r="A307" s="468" t="s">
        <v>348</v>
      </c>
      <c r="B307" s="204" t="s">
        <v>184</v>
      </c>
      <c r="C307" s="527"/>
      <c r="D307" s="205"/>
      <c r="E307" s="706"/>
      <c r="F307" s="205"/>
      <c r="G307" s="206"/>
      <c r="H307" s="214"/>
      <c r="I307" s="501"/>
      <c r="J307" s="553"/>
      <c r="K307" s="552">
        <f t="shared" si="17"/>
        <v>0</v>
      </c>
      <c r="L307" s="217"/>
      <c r="M307" s="211">
        <f t="shared" si="16"/>
        <v>-46136</v>
      </c>
      <c r="N307" s="683">
        <f t="shared" si="18"/>
        <v>7</v>
      </c>
      <c r="O307" s="212"/>
      <c r="P307" s="544"/>
      <c r="Q307" s="561">
        <f t="shared" si="19"/>
        <v>0</v>
      </c>
      <c r="R307" s="58"/>
      <c r="S307" s="58"/>
      <c r="T307" s="58"/>
      <c r="U307" s="58"/>
      <c r="V307" s="58"/>
    </row>
    <row r="308" spans="1:22" ht="15.75" customHeight="1">
      <c r="A308" s="468" t="s">
        <v>348</v>
      </c>
      <c r="B308" s="204" t="s">
        <v>184</v>
      </c>
      <c r="C308" s="527"/>
      <c r="D308" s="267"/>
      <c r="E308" s="706"/>
      <c r="F308" s="267"/>
      <c r="G308" s="206"/>
      <c r="H308" s="214"/>
      <c r="I308" s="502"/>
      <c r="J308" s="553"/>
      <c r="K308" s="552">
        <f t="shared" si="17"/>
        <v>0</v>
      </c>
      <c r="L308" s="217"/>
      <c r="M308" s="211">
        <f t="shared" si="16"/>
        <v>-46136</v>
      </c>
      <c r="N308" s="683">
        <f t="shared" si="18"/>
        <v>7</v>
      </c>
      <c r="O308" s="212"/>
      <c r="P308" s="544"/>
      <c r="Q308" s="561">
        <f t="shared" si="19"/>
        <v>0</v>
      </c>
      <c r="R308" s="58"/>
      <c r="S308" s="58"/>
      <c r="T308" s="58"/>
      <c r="U308" s="58"/>
      <c r="V308" s="58"/>
    </row>
    <row r="309" spans="1:22" ht="15.75" customHeight="1">
      <c r="A309" s="468" t="s">
        <v>348</v>
      </c>
      <c r="B309" s="204" t="s">
        <v>184</v>
      </c>
      <c r="C309" s="527"/>
      <c r="D309" s="267"/>
      <c r="E309" s="706"/>
      <c r="F309" s="267"/>
      <c r="G309" s="206"/>
      <c r="H309" s="214"/>
      <c r="I309" s="503"/>
      <c r="J309" s="553"/>
      <c r="K309" s="552">
        <f t="shared" si="17"/>
        <v>0</v>
      </c>
      <c r="L309" s="217"/>
      <c r="M309" s="211">
        <f t="shared" si="16"/>
        <v>-46136</v>
      </c>
      <c r="N309" s="683">
        <f t="shared" si="18"/>
        <v>7</v>
      </c>
      <c r="O309" s="212"/>
      <c r="P309" s="544"/>
      <c r="Q309" s="561">
        <f t="shared" si="19"/>
        <v>0</v>
      </c>
      <c r="R309" s="58"/>
      <c r="S309" s="58"/>
      <c r="T309" s="58"/>
      <c r="U309" s="58"/>
      <c r="V309" s="58"/>
    </row>
    <row r="310" spans="1:22" ht="15.75" customHeight="1">
      <c r="A310" s="468" t="s">
        <v>348</v>
      </c>
      <c r="B310" s="204" t="s">
        <v>184</v>
      </c>
      <c r="C310" s="527"/>
      <c r="D310" s="267"/>
      <c r="E310" s="706"/>
      <c r="F310" s="267"/>
      <c r="G310" s="206"/>
      <c r="H310" s="214"/>
      <c r="I310" s="503"/>
      <c r="J310" s="553"/>
      <c r="K310" s="552">
        <f t="shared" si="17"/>
        <v>0</v>
      </c>
      <c r="L310" s="217"/>
      <c r="M310" s="211">
        <f t="shared" si="16"/>
        <v>-46136</v>
      </c>
      <c r="N310" s="683">
        <f t="shared" si="18"/>
        <v>7</v>
      </c>
      <c r="O310" s="212"/>
      <c r="P310" s="544"/>
      <c r="Q310" s="561">
        <f t="shared" si="19"/>
        <v>0</v>
      </c>
      <c r="R310" s="58"/>
      <c r="S310" s="58"/>
      <c r="T310" s="58"/>
      <c r="U310" s="58"/>
      <c r="V310" s="58"/>
    </row>
    <row r="311" spans="1:22" ht="15.75" customHeight="1">
      <c r="A311" s="468" t="s">
        <v>348</v>
      </c>
      <c r="B311" s="204" t="s">
        <v>184</v>
      </c>
      <c r="C311" s="527"/>
      <c r="D311" s="267"/>
      <c r="E311" s="706"/>
      <c r="F311" s="267"/>
      <c r="G311" s="206"/>
      <c r="H311" s="214"/>
      <c r="I311" s="502"/>
      <c r="J311" s="553"/>
      <c r="K311" s="552">
        <f t="shared" si="17"/>
        <v>0</v>
      </c>
      <c r="L311" s="217"/>
      <c r="M311" s="211">
        <f t="shared" si="16"/>
        <v>-46136</v>
      </c>
      <c r="N311" s="683">
        <f t="shared" si="18"/>
        <v>7</v>
      </c>
      <c r="O311" s="212"/>
      <c r="P311" s="544"/>
      <c r="Q311" s="561">
        <f t="shared" si="19"/>
        <v>0</v>
      </c>
      <c r="R311" s="58"/>
      <c r="S311" s="58"/>
      <c r="T311" s="58"/>
      <c r="U311" s="58"/>
      <c r="V311" s="58"/>
    </row>
    <row r="312" spans="1:22" ht="15.75" customHeight="1">
      <c r="A312" s="468" t="s">
        <v>348</v>
      </c>
      <c r="B312" s="204" t="s">
        <v>184</v>
      </c>
      <c r="C312" s="527"/>
      <c r="D312" s="267"/>
      <c r="E312" s="706"/>
      <c r="F312" s="205"/>
      <c r="G312" s="206"/>
      <c r="H312" s="214"/>
      <c r="I312" s="502"/>
      <c r="J312" s="553"/>
      <c r="K312" s="552">
        <f t="shared" si="17"/>
        <v>0</v>
      </c>
      <c r="L312" s="217"/>
      <c r="M312" s="211">
        <f t="shared" si="16"/>
        <v>-46136</v>
      </c>
      <c r="N312" s="683">
        <f t="shared" si="18"/>
        <v>7</v>
      </c>
      <c r="O312" s="212"/>
      <c r="P312" s="544"/>
      <c r="Q312" s="561">
        <f t="shared" si="19"/>
        <v>0</v>
      </c>
      <c r="R312" s="58"/>
      <c r="S312" s="58"/>
      <c r="T312" s="58"/>
      <c r="U312" s="58"/>
      <c r="V312" s="58"/>
    </row>
    <row r="313" spans="1:22" ht="15.75" customHeight="1">
      <c r="A313" s="468" t="s">
        <v>348</v>
      </c>
      <c r="B313" s="204" t="s">
        <v>184</v>
      </c>
      <c r="C313" s="527"/>
      <c r="D313" s="267"/>
      <c r="E313" s="706"/>
      <c r="F313" s="205"/>
      <c r="G313" s="206"/>
      <c r="H313" s="214"/>
      <c r="I313" s="502"/>
      <c r="J313" s="553"/>
      <c r="K313" s="552">
        <f t="shared" si="17"/>
        <v>0</v>
      </c>
      <c r="L313" s="217"/>
      <c r="M313" s="211">
        <f t="shared" si="16"/>
        <v>-46136</v>
      </c>
      <c r="N313" s="683">
        <f t="shared" si="18"/>
        <v>7</v>
      </c>
      <c r="O313" s="212"/>
      <c r="P313" s="544"/>
      <c r="Q313" s="561">
        <f t="shared" si="19"/>
        <v>0</v>
      </c>
      <c r="R313" s="58"/>
      <c r="S313" s="58"/>
      <c r="T313" s="58"/>
      <c r="U313" s="58"/>
      <c r="V313" s="58"/>
    </row>
    <row r="314" spans="1:22" ht="15.75" customHeight="1">
      <c r="A314" s="468" t="s">
        <v>348</v>
      </c>
      <c r="B314" s="204" t="s">
        <v>184</v>
      </c>
      <c r="C314" s="527"/>
      <c r="D314" s="188"/>
      <c r="E314" s="706"/>
      <c r="F314" s="188"/>
      <c r="G314" s="206"/>
      <c r="H314" s="214"/>
      <c r="I314" s="502"/>
      <c r="J314" s="553"/>
      <c r="K314" s="552">
        <f t="shared" si="17"/>
        <v>0</v>
      </c>
      <c r="L314" s="217"/>
      <c r="M314" s="211">
        <f t="shared" si="16"/>
        <v>-46136</v>
      </c>
      <c r="N314" s="683">
        <f t="shared" si="18"/>
        <v>7</v>
      </c>
      <c r="O314" s="212"/>
      <c r="P314" s="544"/>
      <c r="Q314" s="561">
        <f t="shared" si="19"/>
        <v>0</v>
      </c>
      <c r="R314" s="58"/>
      <c r="S314" s="58"/>
      <c r="T314" s="58"/>
      <c r="U314" s="58"/>
      <c r="V314" s="58"/>
    </row>
    <row r="315" spans="1:22" ht="15.75" customHeight="1">
      <c r="A315" s="468" t="s">
        <v>348</v>
      </c>
      <c r="B315" s="204" t="s">
        <v>184</v>
      </c>
      <c r="C315" s="527"/>
      <c r="D315" s="267"/>
      <c r="E315" s="706"/>
      <c r="F315" s="267"/>
      <c r="G315" s="206"/>
      <c r="H315" s="214"/>
      <c r="I315" s="501"/>
      <c r="J315" s="553"/>
      <c r="K315" s="552">
        <f t="shared" si="17"/>
        <v>0</v>
      </c>
      <c r="L315" s="217"/>
      <c r="M315" s="211">
        <f t="shared" si="16"/>
        <v>-46136</v>
      </c>
      <c r="N315" s="683">
        <f t="shared" si="18"/>
        <v>7</v>
      </c>
      <c r="O315" s="212"/>
      <c r="P315" s="544"/>
      <c r="Q315" s="561">
        <f t="shared" si="19"/>
        <v>0</v>
      </c>
      <c r="R315" s="58"/>
      <c r="S315" s="58"/>
      <c r="T315" s="58"/>
      <c r="U315" s="58"/>
      <c r="V315" s="58"/>
    </row>
    <row r="316" spans="1:22" ht="15.75" customHeight="1">
      <c r="A316" s="468" t="s">
        <v>348</v>
      </c>
      <c r="B316" s="204" t="s">
        <v>184</v>
      </c>
      <c r="C316" s="527"/>
      <c r="D316" s="267"/>
      <c r="E316" s="706"/>
      <c r="F316" s="267"/>
      <c r="G316" s="206"/>
      <c r="H316" s="214"/>
      <c r="I316" s="503"/>
      <c r="J316" s="553"/>
      <c r="K316" s="552">
        <f t="shared" si="17"/>
        <v>0</v>
      </c>
      <c r="L316" s="217"/>
      <c r="M316" s="211">
        <f t="shared" si="16"/>
        <v>-46136</v>
      </c>
      <c r="N316" s="683">
        <f t="shared" si="18"/>
        <v>7</v>
      </c>
      <c r="O316" s="212"/>
      <c r="P316" s="544"/>
      <c r="Q316" s="561">
        <f t="shared" si="19"/>
        <v>0</v>
      </c>
      <c r="R316" s="58"/>
      <c r="S316" s="58"/>
      <c r="T316" s="58"/>
      <c r="U316" s="58"/>
      <c r="V316" s="58"/>
    </row>
    <row r="317" spans="1:22" ht="15.75" customHeight="1">
      <c r="A317" s="468" t="s">
        <v>348</v>
      </c>
      <c r="B317" s="204" t="s">
        <v>184</v>
      </c>
      <c r="C317" s="527"/>
      <c r="D317" s="267"/>
      <c r="E317" s="706"/>
      <c r="F317" s="267"/>
      <c r="G317" s="206"/>
      <c r="H317" s="214"/>
      <c r="I317" s="502"/>
      <c r="J317" s="553"/>
      <c r="K317" s="552">
        <f t="shared" si="17"/>
        <v>0</v>
      </c>
      <c r="L317" s="217"/>
      <c r="M317" s="211">
        <f t="shared" si="16"/>
        <v>-46136</v>
      </c>
      <c r="N317" s="683">
        <f t="shared" si="18"/>
        <v>7</v>
      </c>
      <c r="O317" s="212"/>
      <c r="P317" s="544"/>
      <c r="Q317" s="561">
        <f t="shared" si="19"/>
        <v>0</v>
      </c>
      <c r="R317" s="58"/>
      <c r="S317" s="58"/>
      <c r="T317" s="58"/>
      <c r="U317" s="58"/>
      <c r="V317" s="58"/>
    </row>
    <row r="318" spans="1:22" ht="15.75" customHeight="1">
      <c r="A318" s="468" t="s">
        <v>348</v>
      </c>
      <c r="B318" s="204" t="s">
        <v>184</v>
      </c>
      <c r="C318" s="527"/>
      <c r="D318" s="267"/>
      <c r="E318" s="706"/>
      <c r="F318" s="267"/>
      <c r="G318" s="206"/>
      <c r="H318" s="214"/>
      <c r="I318" s="503"/>
      <c r="J318" s="553"/>
      <c r="K318" s="552">
        <f t="shared" si="17"/>
        <v>0</v>
      </c>
      <c r="L318" s="217"/>
      <c r="M318" s="211">
        <f t="shared" si="16"/>
        <v>-46136</v>
      </c>
      <c r="N318" s="683">
        <f t="shared" si="18"/>
        <v>7</v>
      </c>
      <c r="O318" s="212"/>
      <c r="P318" s="544"/>
      <c r="Q318" s="561">
        <f t="shared" si="19"/>
        <v>0</v>
      </c>
      <c r="R318" s="58"/>
      <c r="S318" s="58"/>
      <c r="T318" s="58"/>
      <c r="U318" s="58"/>
      <c r="V318" s="58"/>
    </row>
    <row r="319" spans="1:22" ht="15.75" customHeight="1">
      <c r="A319" s="468" t="s">
        <v>348</v>
      </c>
      <c r="B319" s="204" t="s">
        <v>184</v>
      </c>
      <c r="C319" s="529"/>
      <c r="D319" s="507"/>
      <c r="E319" s="709"/>
      <c r="F319" s="507"/>
      <c r="G319" s="206"/>
      <c r="H319" s="214"/>
      <c r="I319" s="501"/>
      <c r="J319" s="553"/>
      <c r="K319" s="552">
        <f t="shared" si="17"/>
        <v>0</v>
      </c>
      <c r="L319" s="217"/>
      <c r="M319" s="211">
        <f t="shared" si="16"/>
        <v>-46136</v>
      </c>
      <c r="N319" s="683">
        <f t="shared" si="18"/>
        <v>7</v>
      </c>
      <c r="O319" s="212"/>
      <c r="P319" s="544"/>
      <c r="Q319" s="561">
        <f t="shared" si="19"/>
        <v>0</v>
      </c>
      <c r="R319" s="58"/>
      <c r="S319" s="58"/>
      <c r="T319" s="58"/>
      <c r="U319" s="58"/>
      <c r="V319" s="58"/>
    </row>
    <row r="320" spans="1:22" ht="15.75" customHeight="1">
      <c r="A320" s="468" t="s">
        <v>348</v>
      </c>
      <c r="B320" s="204" t="s">
        <v>184</v>
      </c>
      <c r="C320" s="527"/>
      <c r="D320" s="267"/>
      <c r="E320" s="706"/>
      <c r="F320" s="267"/>
      <c r="G320" s="206"/>
      <c r="H320" s="214"/>
      <c r="I320" s="502"/>
      <c r="J320" s="553"/>
      <c r="K320" s="552">
        <f t="shared" si="17"/>
        <v>0</v>
      </c>
      <c r="L320" s="217"/>
      <c r="M320" s="211">
        <f t="shared" si="16"/>
        <v>-46136</v>
      </c>
      <c r="N320" s="683">
        <f t="shared" si="18"/>
        <v>7</v>
      </c>
      <c r="O320" s="212"/>
      <c r="P320" s="58"/>
      <c r="Q320" s="561">
        <f t="shared" si="19"/>
        <v>0</v>
      </c>
      <c r="R320" s="58"/>
      <c r="S320" s="58"/>
      <c r="T320" s="58"/>
      <c r="U320" s="58"/>
      <c r="V320" s="58"/>
    </row>
    <row r="321" spans="1:22" ht="15.75" customHeight="1">
      <c r="A321" s="468" t="s">
        <v>348</v>
      </c>
      <c r="B321" s="204" t="s">
        <v>184</v>
      </c>
      <c r="C321" s="527"/>
      <c r="D321" s="267"/>
      <c r="E321" s="706"/>
      <c r="F321" s="267"/>
      <c r="G321" s="206"/>
      <c r="H321" s="214"/>
      <c r="I321" s="502"/>
      <c r="J321" s="553"/>
      <c r="K321" s="552">
        <f t="shared" si="17"/>
        <v>0</v>
      </c>
      <c r="L321" s="217"/>
      <c r="M321" s="211">
        <f t="shared" si="16"/>
        <v>-46136</v>
      </c>
      <c r="N321" s="683">
        <f t="shared" si="18"/>
        <v>7</v>
      </c>
      <c r="O321" s="212"/>
      <c r="P321" s="544"/>
      <c r="Q321" s="561">
        <f t="shared" si="19"/>
        <v>0</v>
      </c>
      <c r="R321" s="58"/>
      <c r="S321" s="58"/>
      <c r="T321" s="58"/>
      <c r="U321" s="58"/>
      <c r="V321" s="58"/>
    </row>
    <row r="322" spans="1:22" ht="15.75" customHeight="1">
      <c r="A322" s="468" t="s">
        <v>348</v>
      </c>
      <c r="B322" s="204" t="s">
        <v>184</v>
      </c>
      <c r="C322" s="527"/>
      <c r="D322" s="267"/>
      <c r="E322" s="706"/>
      <c r="F322" s="267"/>
      <c r="G322" s="206"/>
      <c r="H322" s="214"/>
      <c r="I322" s="503"/>
      <c r="J322" s="553"/>
      <c r="K322" s="552">
        <f t="shared" si="17"/>
        <v>0</v>
      </c>
      <c r="L322" s="217"/>
      <c r="M322" s="211">
        <f t="shared" si="16"/>
        <v>-46136</v>
      </c>
      <c r="N322" s="683">
        <f t="shared" si="18"/>
        <v>7</v>
      </c>
      <c r="O322" s="212"/>
      <c r="P322" s="544"/>
      <c r="Q322" s="561">
        <f t="shared" si="19"/>
        <v>0</v>
      </c>
      <c r="R322" s="58"/>
      <c r="S322" s="58"/>
      <c r="T322" s="58"/>
      <c r="U322" s="58"/>
      <c r="V322" s="58"/>
    </row>
    <row r="323" spans="1:22" ht="15.75" customHeight="1">
      <c r="A323" s="468" t="s">
        <v>348</v>
      </c>
      <c r="B323" s="204" t="s">
        <v>184</v>
      </c>
      <c r="C323" s="527"/>
      <c r="D323" s="267"/>
      <c r="E323" s="706"/>
      <c r="F323" s="267"/>
      <c r="G323" s="206"/>
      <c r="H323" s="214"/>
      <c r="I323" s="503"/>
      <c r="J323" s="553"/>
      <c r="K323" s="552">
        <f t="shared" si="17"/>
        <v>0</v>
      </c>
      <c r="L323" s="217"/>
      <c r="M323" s="211">
        <f t="shared" si="16"/>
        <v>-46136</v>
      </c>
      <c r="N323" s="683">
        <f t="shared" si="18"/>
        <v>7</v>
      </c>
      <c r="O323" s="212"/>
      <c r="P323" s="544"/>
      <c r="Q323" s="561">
        <f t="shared" si="19"/>
        <v>0</v>
      </c>
      <c r="R323" s="58"/>
      <c r="S323" s="58"/>
      <c r="T323" s="58"/>
      <c r="U323" s="58"/>
      <c r="V323" s="58"/>
    </row>
    <row r="324" spans="1:22" ht="15.75" customHeight="1">
      <c r="A324" s="468" t="s">
        <v>348</v>
      </c>
      <c r="B324" s="204" t="s">
        <v>184</v>
      </c>
      <c r="C324" s="527"/>
      <c r="D324" s="267"/>
      <c r="E324" s="706"/>
      <c r="F324" s="267"/>
      <c r="G324" s="206"/>
      <c r="H324" s="214"/>
      <c r="I324" s="502"/>
      <c r="J324" s="553"/>
      <c r="K324" s="552">
        <f t="shared" si="17"/>
        <v>0</v>
      </c>
      <c r="L324" s="217"/>
      <c r="M324" s="211">
        <f t="shared" si="16"/>
        <v>-46136</v>
      </c>
      <c r="N324" s="683">
        <f t="shared" si="18"/>
        <v>7</v>
      </c>
      <c r="O324" s="212"/>
      <c r="P324" s="544"/>
      <c r="Q324" s="561">
        <f t="shared" si="19"/>
        <v>0</v>
      </c>
      <c r="R324" s="58"/>
      <c r="S324" s="58"/>
      <c r="T324" s="58"/>
      <c r="U324" s="58"/>
      <c r="V324" s="58"/>
    </row>
    <row r="325" spans="1:22" ht="15.75" customHeight="1">
      <c r="A325" s="468" t="s">
        <v>348</v>
      </c>
      <c r="B325" s="204" t="s">
        <v>184</v>
      </c>
      <c r="C325" s="527"/>
      <c r="D325" s="267"/>
      <c r="E325" s="706"/>
      <c r="F325" s="267"/>
      <c r="G325" s="206"/>
      <c r="H325" s="214"/>
      <c r="I325" s="503"/>
      <c r="J325" s="553"/>
      <c r="K325" s="552">
        <f t="shared" si="17"/>
        <v>0</v>
      </c>
      <c r="L325" s="217"/>
      <c r="M325" s="211">
        <f t="shared" si="16"/>
        <v>-46136</v>
      </c>
      <c r="N325" s="683">
        <f t="shared" si="18"/>
        <v>7</v>
      </c>
      <c r="O325" s="212"/>
      <c r="P325" s="544"/>
      <c r="Q325" s="561">
        <f t="shared" si="19"/>
        <v>0</v>
      </c>
      <c r="R325" s="58"/>
      <c r="S325" s="58"/>
      <c r="T325" s="58"/>
      <c r="U325" s="58"/>
      <c r="V325" s="58"/>
    </row>
    <row r="326" spans="1:22" ht="15.75" customHeight="1">
      <c r="A326" s="468" t="s">
        <v>348</v>
      </c>
      <c r="B326" s="204" t="s">
        <v>184</v>
      </c>
      <c r="C326" s="527"/>
      <c r="D326" s="267"/>
      <c r="E326" s="706"/>
      <c r="F326" s="267"/>
      <c r="G326" s="206"/>
      <c r="H326" s="214"/>
      <c r="I326" s="502"/>
      <c r="J326" s="553"/>
      <c r="K326" s="552">
        <f t="shared" si="17"/>
        <v>0</v>
      </c>
      <c r="L326" s="217"/>
      <c r="M326" s="211">
        <f t="shared" si="16"/>
        <v>-46136</v>
      </c>
      <c r="N326" s="683">
        <f t="shared" si="18"/>
        <v>7</v>
      </c>
      <c r="O326" s="212"/>
      <c r="P326" s="544"/>
      <c r="Q326" s="561">
        <f t="shared" si="19"/>
        <v>0</v>
      </c>
      <c r="R326" s="58"/>
      <c r="S326" s="58"/>
      <c r="T326" s="58"/>
      <c r="U326" s="58"/>
      <c r="V326" s="58"/>
    </row>
    <row r="327" spans="1:22" ht="15.75" customHeight="1">
      <c r="A327" s="468" t="s">
        <v>348</v>
      </c>
      <c r="B327" s="204" t="s">
        <v>184</v>
      </c>
      <c r="C327" s="527"/>
      <c r="D327" s="267"/>
      <c r="E327" s="706"/>
      <c r="F327" s="267"/>
      <c r="G327" s="206"/>
      <c r="H327" s="214"/>
      <c r="I327" s="502"/>
      <c r="J327" s="553"/>
      <c r="K327" s="552">
        <f t="shared" si="17"/>
        <v>0</v>
      </c>
      <c r="L327" s="217"/>
      <c r="M327" s="211">
        <f t="shared" si="16"/>
        <v>-46136</v>
      </c>
      <c r="N327" s="683">
        <f t="shared" si="18"/>
        <v>7</v>
      </c>
      <c r="O327" s="212"/>
      <c r="P327" s="544"/>
      <c r="Q327" s="561">
        <f t="shared" si="19"/>
        <v>0</v>
      </c>
      <c r="R327" s="58"/>
      <c r="S327" s="58"/>
      <c r="T327" s="58"/>
      <c r="U327" s="58"/>
      <c r="V327" s="58"/>
    </row>
    <row r="328" spans="1:22" ht="15.75" customHeight="1">
      <c r="A328" s="468" t="s">
        <v>348</v>
      </c>
      <c r="B328" s="204" t="s">
        <v>184</v>
      </c>
      <c r="C328" s="527"/>
      <c r="D328" s="267"/>
      <c r="E328" s="706"/>
      <c r="F328" s="267"/>
      <c r="G328" s="206"/>
      <c r="H328" s="214"/>
      <c r="I328" s="502"/>
      <c r="J328" s="553"/>
      <c r="K328" s="552">
        <f t="shared" si="17"/>
        <v>0</v>
      </c>
      <c r="L328" s="217"/>
      <c r="M328" s="211">
        <f t="shared" si="16"/>
        <v>-46136</v>
      </c>
      <c r="N328" s="683">
        <f t="shared" si="18"/>
        <v>7</v>
      </c>
      <c r="O328" s="212"/>
      <c r="P328" s="544"/>
      <c r="Q328" s="561">
        <f t="shared" si="19"/>
        <v>0</v>
      </c>
      <c r="R328" s="58"/>
      <c r="S328" s="58"/>
      <c r="T328" s="58"/>
      <c r="U328" s="58"/>
      <c r="V328" s="58"/>
    </row>
    <row r="329" spans="1:22" ht="15.75" customHeight="1">
      <c r="A329" s="468" t="s">
        <v>348</v>
      </c>
      <c r="B329" s="204" t="s">
        <v>184</v>
      </c>
      <c r="C329" s="527"/>
      <c r="D329" s="267"/>
      <c r="E329" s="706"/>
      <c r="F329" s="267"/>
      <c r="G329" s="206"/>
      <c r="H329" s="214"/>
      <c r="I329" s="502"/>
      <c r="J329" s="553"/>
      <c r="K329" s="552">
        <f t="shared" si="17"/>
        <v>0</v>
      </c>
      <c r="L329" s="217"/>
      <c r="M329" s="211">
        <f t="shared" ref="M329:M392" si="20">+L329-$E$6</f>
        <v>-46136</v>
      </c>
      <c r="N329" s="683">
        <f t="shared" si="18"/>
        <v>7</v>
      </c>
      <c r="O329" s="212"/>
      <c r="P329" s="544"/>
      <c r="Q329" s="561">
        <f t="shared" si="19"/>
        <v>0</v>
      </c>
      <c r="R329" s="58"/>
      <c r="S329" s="58"/>
      <c r="T329" s="58"/>
      <c r="U329" s="58"/>
      <c r="V329" s="58"/>
    </row>
    <row r="330" spans="1:22" ht="15.75" customHeight="1">
      <c r="A330" s="468" t="s">
        <v>348</v>
      </c>
      <c r="B330" s="204" t="s">
        <v>184</v>
      </c>
      <c r="C330" s="527"/>
      <c r="D330" s="267"/>
      <c r="E330" s="706"/>
      <c r="F330" s="267"/>
      <c r="G330" s="206"/>
      <c r="H330" s="214"/>
      <c r="I330" s="503"/>
      <c r="J330" s="553"/>
      <c r="K330" s="552">
        <f t="shared" ref="K330:K393" si="21">-J330</f>
        <v>0</v>
      </c>
      <c r="L330" s="217"/>
      <c r="M330" s="211">
        <f t="shared" si="20"/>
        <v>-46136</v>
      </c>
      <c r="N330" s="683">
        <f t="shared" ref="N330:N393" si="22">+L330+7</f>
        <v>7</v>
      </c>
      <c r="O330" s="212"/>
      <c r="P330" s="544"/>
      <c r="Q330" s="561">
        <f t="shared" si="19"/>
        <v>0</v>
      </c>
      <c r="R330" s="58"/>
      <c r="S330" s="58"/>
      <c r="T330" s="58"/>
      <c r="U330" s="58"/>
      <c r="V330" s="58"/>
    </row>
    <row r="331" spans="1:22" ht="15.75" customHeight="1">
      <c r="A331" s="468" t="s">
        <v>348</v>
      </c>
      <c r="B331" s="204" t="s">
        <v>184</v>
      </c>
      <c r="C331" s="527"/>
      <c r="D331" s="267"/>
      <c r="E331" s="706"/>
      <c r="F331" s="267"/>
      <c r="G331" s="206"/>
      <c r="H331" s="214"/>
      <c r="I331" s="500"/>
      <c r="J331" s="553"/>
      <c r="K331" s="552">
        <f t="shared" si="21"/>
        <v>0</v>
      </c>
      <c r="L331" s="217"/>
      <c r="M331" s="211">
        <f t="shared" si="20"/>
        <v>-46136</v>
      </c>
      <c r="N331" s="683">
        <f t="shared" si="22"/>
        <v>7</v>
      </c>
      <c r="O331" s="212"/>
      <c r="P331" s="544"/>
      <c r="Q331" s="561">
        <f t="shared" ref="Q331:Q394" si="23">+K331+J331</f>
        <v>0</v>
      </c>
      <c r="R331" s="58"/>
      <c r="S331" s="58"/>
      <c r="T331" s="58"/>
      <c r="U331" s="58"/>
      <c r="V331" s="58"/>
    </row>
    <row r="332" spans="1:22" ht="15.75" customHeight="1">
      <c r="A332" s="468" t="s">
        <v>348</v>
      </c>
      <c r="B332" s="204" t="s">
        <v>184</v>
      </c>
      <c r="C332" s="527"/>
      <c r="D332" s="267"/>
      <c r="E332" s="706"/>
      <c r="F332" s="267"/>
      <c r="G332" s="206"/>
      <c r="H332" s="214"/>
      <c r="I332" s="502"/>
      <c r="J332" s="553"/>
      <c r="K332" s="552">
        <f t="shared" si="21"/>
        <v>0</v>
      </c>
      <c r="L332" s="217"/>
      <c r="M332" s="211">
        <f t="shared" si="20"/>
        <v>-46136</v>
      </c>
      <c r="N332" s="683">
        <f t="shared" si="22"/>
        <v>7</v>
      </c>
      <c r="O332" s="212"/>
      <c r="P332" s="544"/>
      <c r="Q332" s="561">
        <f t="shared" si="23"/>
        <v>0</v>
      </c>
      <c r="R332" s="58"/>
      <c r="S332" s="58"/>
      <c r="T332" s="58"/>
      <c r="U332" s="58"/>
      <c r="V332" s="58"/>
    </row>
    <row r="333" spans="1:22" ht="15.75" customHeight="1">
      <c r="A333" s="468" t="s">
        <v>348</v>
      </c>
      <c r="B333" s="204" t="s">
        <v>184</v>
      </c>
      <c r="C333" s="527"/>
      <c r="D333" s="267"/>
      <c r="E333" s="706"/>
      <c r="F333" s="267"/>
      <c r="G333" s="206"/>
      <c r="H333" s="214"/>
      <c r="I333" s="502"/>
      <c r="J333" s="553"/>
      <c r="K333" s="552">
        <f t="shared" si="21"/>
        <v>0</v>
      </c>
      <c r="L333" s="217"/>
      <c r="M333" s="211">
        <f t="shared" si="20"/>
        <v>-46136</v>
      </c>
      <c r="N333" s="683">
        <f t="shared" si="22"/>
        <v>7</v>
      </c>
      <c r="O333" s="212"/>
      <c r="P333" s="544"/>
      <c r="Q333" s="561">
        <f t="shared" si="23"/>
        <v>0</v>
      </c>
      <c r="R333" s="58"/>
      <c r="S333" s="58"/>
      <c r="T333" s="58"/>
      <c r="U333" s="58"/>
      <c r="V333" s="58"/>
    </row>
    <row r="334" spans="1:22" ht="15.75" customHeight="1">
      <c r="A334" s="468" t="s">
        <v>348</v>
      </c>
      <c r="B334" s="204" t="s">
        <v>184</v>
      </c>
      <c r="C334" s="527"/>
      <c r="D334" s="267"/>
      <c r="E334" s="706"/>
      <c r="F334" s="267"/>
      <c r="G334" s="206"/>
      <c r="H334" s="214"/>
      <c r="I334" s="501"/>
      <c r="J334" s="553"/>
      <c r="K334" s="552">
        <f t="shared" si="21"/>
        <v>0</v>
      </c>
      <c r="L334" s="217"/>
      <c r="M334" s="211">
        <f t="shared" si="20"/>
        <v>-46136</v>
      </c>
      <c r="N334" s="683">
        <f t="shared" si="22"/>
        <v>7</v>
      </c>
      <c r="O334" s="212"/>
      <c r="P334" s="544"/>
      <c r="Q334" s="561">
        <f t="shared" si="23"/>
        <v>0</v>
      </c>
      <c r="R334" s="58"/>
      <c r="S334" s="58"/>
      <c r="T334" s="58"/>
      <c r="U334" s="58"/>
      <c r="V334" s="58"/>
    </row>
    <row r="335" spans="1:22" ht="15.75" customHeight="1">
      <c r="A335" s="468" t="s">
        <v>348</v>
      </c>
      <c r="B335" s="204" t="s">
        <v>184</v>
      </c>
      <c r="C335" s="527"/>
      <c r="D335" s="267"/>
      <c r="E335" s="706"/>
      <c r="F335" s="267"/>
      <c r="G335" s="206"/>
      <c r="H335" s="214"/>
      <c r="I335" s="503"/>
      <c r="J335" s="553"/>
      <c r="K335" s="552">
        <f t="shared" si="21"/>
        <v>0</v>
      </c>
      <c r="L335" s="217"/>
      <c r="M335" s="211">
        <f t="shared" si="20"/>
        <v>-46136</v>
      </c>
      <c r="N335" s="683">
        <f t="shared" si="22"/>
        <v>7</v>
      </c>
      <c r="O335" s="212"/>
      <c r="P335" s="544"/>
      <c r="Q335" s="561">
        <f t="shared" si="23"/>
        <v>0</v>
      </c>
      <c r="R335" s="58"/>
      <c r="S335" s="58"/>
      <c r="T335" s="58"/>
      <c r="U335" s="58"/>
      <c r="V335" s="58"/>
    </row>
    <row r="336" spans="1:22" ht="15.75" customHeight="1">
      <c r="A336" s="468" t="s">
        <v>348</v>
      </c>
      <c r="B336" s="204" t="s">
        <v>184</v>
      </c>
      <c r="C336" s="527"/>
      <c r="D336" s="267"/>
      <c r="E336" s="706"/>
      <c r="F336" s="267"/>
      <c r="G336" s="206"/>
      <c r="H336" s="214"/>
      <c r="I336" s="502"/>
      <c r="J336" s="553"/>
      <c r="K336" s="552">
        <f t="shared" si="21"/>
        <v>0</v>
      </c>
      <c r="L336" s="217"/>
      <c r="M336" s="211">
        <f t="shared" si="20"/>
        <v>-46136</v>
      </c>
      <c r="N336" s="683">
        <f t="shared" si="22"/>
        <v>7</v>
      </c>
      <c r="O336" s="212"/>
      <c r="P336" s="544"/>
      <c r="Q336" s="561">
        <f t="shared" si="23"/>
        <v>0</v>
      </c>
      <c r="R336" s="58"/>
      <c r="S336" s="58"/>
      <c r="T336" s="58"/>
      <c r="U336" s="58"/>
      <c r="V336" s="58"/>
    </row>
    <row r="337" spans="1:22" ht="15.75" customHeight="1">
      <c r="A337" s="468" t="s">
        <v>348</v>
      </c>
      <c r="B337" s="204" t="s">
        <v>184</v>
      </c>
      <c r="C337" s="527"/>
      <c r="D337" s="205"/>
      <c r="E337" s="706"/>
      <c r="F337" s="205"/>
      <c r="G337" s="206"/>
      <c r="H337" s="214"/>
      <c r="I337" s="502"/>
      <c r="J337" s="553"/>
      <c r="K337" s="552">
        <f t="shared" si="21"/>
        <v>0</v>
      </c>
      <c r="L337" s="217"/>
      <c r="M337" s="211">
        <f t="shared" si="20"/>
        <v>-46136</v>
      </c>
      <c r="N337" s="683">
        <f t="shared" si="22"/>
        <v>7</v>
      </c>
      <c r="O337" s="212"/>
      <c r="P337" s="544"/>
      <c r="Q337" s="561">
        <f t="shared" si="23"/>
        <v>0</v>
      </c>
      <c r="R337" s="58"/>
      <c r="S337" s="58"/>
      <c r="T337" s="58"/>
      <c r="U337" s="58"/>
      <c r="V337" s="58"/>
    </row>
    <row r="338" spans="1:22" ht="15.75" customHeight="1">
      <c r="A338" s="468" t="s">
        <v>348</v>
      </c>
      <c r="B338" s="204" t="s">
        <v>184</v>
      </c>
      <c r="C338" s="527"/>
      <c r="D338" s="205"/>
      <c r="E338" s="706"/>
      <c r="F338" s="205"/>
      <c r="G338" s="206"/>
      <c r="H338" s="214"/>
      <c r="I338" s="501"/>
      <c r="J338" s="553"/>
      <c r="K338" s="552">
        <f t="shared" si="21"/>
        <v>0</v>
      </c>
      <c r="L338" s="217"/>
      <c r="M338" s="211">
        <f t="shared" si="20"/>
        <v>-46136</v>
      </c>
      <c r="N338" s="683">
        <f t="shared" si="22"/>
        <v>7</v>
      </c>
      <c r="O338" s="212"/>
      <c r="P338" s="544"/>
      <c r="Q338" s="561">
        <f t="shared" si="23"/>
        <v>0</v>
      </c>
      <c r="R338" s="58"/>
      <c r="S338" s="58"/>
      <c r="T338" s="58"/>
      <c r="U338" s="58"/>
      <c r="V338" s="58"/>
    </row>
    <row r="339" spans="1:22" ht="15.75" customHeight="1">
      <c r="A339" s="468" t="s">
        <v>348</v>
      </c>
      <c r="B339" s="204" t="s">
        <v>184</v>
      </c>
      <c r="C339" s="527"/>
      <c r="D339" s="205"/>
      <c r="E339" s="706"/>
      <c r="F339" s="205"/>
      <c r="G339" s="206"/>
      <c r="H339" s="214"/>
      <c r="I339" s="502"/>
      <c r="J339" s="553"/>
      <c r="K339" s="552">
        <f t="shared" si="21"/>
        <v>0</v>
      </c>
      <c r="L339" s="217"/>
      <c r="M339" s="211">
        <f t="shared" si="20"/>
        <v>-46136</v>
      </c>
      <c r="N339" s="683">
        <f t="shared" si="22"/>
        <v>7</v>
      </c>
      <c r="O339" s="212"/>
      <c r="P339" s="544"/>
      <c r="Q339" s="561">
        <f t="shared" si="23"/>
        <v>0</v>
      </c>
      <c r="R339" s="58"/>
      <c r="S339" s="58"/>
      <c r="T339" s="58"/>
      <c r="U339" s="58"/>
      <c r="V339" s="58"/>
    </row>
    <row r="340" spans="1:22" ht="15.75" customHeight="1">
      <c r="A340" s="468" t="s">
        <v>348</v>
      </c>
      <c r="B340" s="204" t="s">
        <v>184</v>
      </c>
      <c r="C340" s="527"/>
      <c r="D340" s="205"/>
      <c r="E340" s="706"/>
      <c r="F340" s="205"/>
      <c r="G340" s="206"/>
      <c r="H340" s="214"/>
      <c r="I340" s="502"/>
      <c r="J340" s="553"/>
      <c r="K340" s="552">
        <f t="shared" si="21"/>
        <v>0</v>
      </c>
      <c r="L340" s="217"/>
      <c r="M340" s="211">
        <f t="shared" si="20"/>
        <v>-46136</v>
      </c>
      <c r="N340" s="683">
        <f t="shared" si="22"/>
        <v>7</v>
      </c>
      <c r="O340" s="212"/>
      <c r="P340" s="544"/>
      <c r="Q340" s="561">
        <f t="shared" si="23"/>
        <v>0</v>
      </c>
      <c r="R340" s="58"/>
      <c r="S340" s="58"/>
      <c r="T340" s="58"/>
      <c r="U340" s="58"/>
      <c r="V340" s="58"/>
    </row>
    <row r="341" spans="1:22" ht="15.75" customHeight="1">
      <c r="A341" s="468" t="s">
        <v>348</v>
      </c>
      <c r="B341" s="204" t="s">
        <v>184</v>
      </c>
      <c r="C341" s="527"/>
      <c r="D341" s="205"/>
      <c r="E341" s="706"/>
      <c r="F341" s="205"/>
      <c r="G341" s="206"/>
      <c r="H341" s="214"/>
      <c r="I341" s="502"/>
      <c r="J341" s="553"/>
      <c r="K341" s="552">
        <f t="shared" si="21"/>
        <v>0</v>
      </c>
      <c r="L341" s="217"/>
      <c r="M341" s="211">
        <f t="shared" si="20"/>
        <v>-46136</v>
      </c>
      <c r="N341" s="683">
        <f t="shared" si="22"/>
        <v>7</v>
      </c>
      <c r="O341" s="212"/>
      <c r="P341" s="544"/>
      <c r="Q341" s="561">
        <f t="shared" si="23"/>
        <v>0</v>
      </c>
      <c r="R341" s="58"/>
      <c r="S341" s="58"/>
      <c r="T341" s="58"/>
      <c r="U341" s="58"/>
      <c r="V341" s="58"/>
    </row>
    <row r="342" spans="1:22" ht="15.75" customHeight="1">
      <c r="A342" s="468" t="s">
        <v>348</v>
      </c>
      <c r="B342" s="204" t="s">
        <v>184</v>
      </c>
      <c r="C342" s="527"/>
      <c r="D342" s="205"/>
      <c r="E342" s="706"/>
      <c r="F342" s="205"/>
      <c r="G342" s="206"/>
      <c r="H342" s="214"/>
      <c r="I342" s="502"/>
      <c r="J342" s="553"/>
      <c r="K342" s="552">
        <f t="shared" si="21"/>
        <v>0</v>
      </c>
      <c r="L342" s="217"/>
      <c r="M342" s="211">
        <f t="shared" si="20"/>
        <v>-46136</v>
      </c>
      <c r="N342" s="683">
        <f t="shared" si="22"/>
        <v>7</v>
      </c>
      <c r="O342" s="212"/>
      <c r="P342" s="544"/>
      <c r="Q342" s="561">
        <f t="shared" si="23"/>
        <v>0</v>
      </c>
      <c r="R342" s="58"/>
      <c r="S342" s="58"/>
      <c r="T342" s="58"/>
      <c r="U342" s="58"/>
      <c r="V342" s="58"/>
    </row>
    <row r="343" spans="1:22" ht="15.75" customHeight="1">
      <c r="A343" s="468" t="s">
        <v>348</v>
      </c>
      <c r="B343" s="204" t="s">
        <v>184</v>
      </c>
      <c r="C343" s="531"/>
      <c r="D343" s="188"/>
      <c r="E343" s="706"/>
      <c r="F343" s="188"/>
      <c r="G343" s="206"/>
      <c r="H343" s="214"/>
      <c r="I343" s="502"/>
      <c r="J343" s="553"/>
      <c r="K343" s="552">
        <f t="shared" si="21"/>
        <v>0</v>
      </c>
      <c r="L343" s="217"/>
      <c r="M343" s="211">
        <f t="shared" si="20"/>
        <v>-46136</v>
      </c>
      <c r="N343" s="683">
        <f t="shared" si="22"/>
        <v>7</v>
      </c>
      <c r="O343" s="212"/>
      <c r="P343" s="544"/>
      <c r="Q343" s="561">
        <f t="shared" si="23"/>
        <v>0</v>
      </c>
      <c r="R343" s="58"/>
      <c r="S343" s="58"/>
      <c r="T343" s="58"/>
      <c r="U343" s="58"/>
      <c r="V343" s="58"/>
    </row>
    <row r="344" spans="1:22" ht="15.75" customHeight="1">
      <c r="A344" s="468" t="s">
        <v>348</v>
      </c>
      <c r="B344" s="204" t="s">
        <v>184</v>
      </c>
      <c r="C344" s="527"/>
      <c r="D344" s="205"/>
      <c r="E344" s="706"/>
      <c r="F344" s="205"/>
      <c r="G344" s="206"/>
      <c r="H344" s="214"/>
      <c r="I344" s="502"/>
      <c r="J344" s="553"/>
      <c r="K344" s="552">
        <f t="shared" si="21"/>
        <v>0</v>
      </c>
      <c r="L344" s="217"/>
      <c r="M344" s="211">
        <f t="shared" si="20"/>
        <v>-46136</v>
      </c>
      <c r="N344" s="683">
        <f t="shared" si="22"/>
        <v>7</v>
      </c>
      <c r="O344" s="212"/>
      <c r="P344" s="544"/>
      <c r="Q344" s="561">
        <f t="shared" si="23"/>
        <v>0</v>
      </c>
      <c r="R344" s="58"/>
      <c r="S344" s="58"/>
      <c r="T344" s="58"/>
      <c r="U344" s="58"/>
      <c r="V344" s="58"/>
    </row>
    <row r="345" spans="1:22" ht="15.75" customHeight="1">
      <c r="A345" s="468" t="s">
        <v>348</v>
      </c>
      <c r="B345" s="204" t="s">
        <v>184</v>
      </c>
      <c r="C345" s="527"/>
      <c r="D345" s="205"/>
      <c r="E345" s="706"/>
      <c r="F345" s="205"/>
      <c r="G345" s="206"/>
      <c r="H345" s="214"/>
      <c r="I345" s="502"/>
      <c r="J345" s="553"/>
      <c r="K345" s="552">
        <f t="shared" si="21"/>
        <v>0</v>
      </c>
      <c r="L345" s="217"/>
      <c r="M345" s="211">
        <f t="shared" si="20"/>
        <v>-46136</v>
      </c>
      <c r="N345" s="683">
        <f t="shared" si="22"/>
        <v>7</v>
      </c>
      <c r="O345" s="212"/>
      <c r="P345" s="544"/>
      <c r="Q345" s="561">
        <f t="shared" si="23"/>
        <v>0</v>
      </c>
      <c r="R345" s="58"/>
      <c r="S345" s="58"/>
      <c r="T345" s="58"/>
      <c r="U345" s="58"/>
      <c r="V345" s="58"/>
    </row>
    <row r="346" spans="1:22" ht="15.75" customHeight="1">
      <c r="A346" s="468" t="s">
        <v>348</v>
      </c>
      <c r="B346" s="204" t="s">
        <v>184</v>
      </c>
      <c r="C346" s="527"/>
      <c r="D346" s="205"/>
      <c r="E346" s="706"/>
      <c r="F346" s="205"/>
      <c r="G346" s="206"/>
      <c r="H346" s="214"/>
      <c r="I346" s="502"/>
      <c r="J346" s="553"/>
      <c r="K346" s="552">
        <f t="shared" si="21"/>
        <v>0</v>
      </c>
      <c r="L346" s="217"/>
      <c r="M346" s="211">
        <f t="shared" si="20"/>
        <v>-46136</v>
      </c>
      <c r="N346" s="683">
        <f t="shared" si="22"/>
        <v>7</v>
      </c>
      <c r="O346" s="212"/>
      <c r="P346" s="544"/>
      <c r="Q346" s="561">
        <f t="shared" si="23"/>
        <v>0</v>
      </c>
      <c r="R346" s="58"/>
      <c r="S346" s="58"/>
      <c r="T346" s="58"/>
      <c r="U346" s="58"/>
      <c r="V346" s="58"/>
    </row>
    <row r="347" spans="1:22" ht="15.75" customHeight="1">
      <c r="A347" s="468" t="s">
        <v>348</v>
      </c>
      <c r="B347" s="204" t="s">
        <v>184</v>
      </c>
      <c r="C347" s="527"/>
      <c r="D347" s="205"/>
      <c r="E347" s="706"/>
      <c r="F347" s="205"/>
      <c r="G347" s="206"/>
      <c r="H347" s="214"/>
      <c r="I347" s="502"/>
      <c r="J347" s="553"/>
      <c r="K347" s="552">
        <f t="shared" si="21"/>
        <v>0</v>
      </c>
      <c r="L347" s="217"/>
      <c r="M347" s="211">
        <f t="shared" si="20"/>
        <v>-46136</v>
      </c>
      <c r="N347" s="683">
        <f t="shared" si="22"/>
        <v>7</v>
      </c>
      <c r="O347" s="212"/>
      <c r="P347" s="544"/>
      <c r="Q347" s="561">
        <f t="shared" si="23"/>
        <v>0</v>
      </c>
      <c r="R347" s="58"/>
      <c r="S347" s="58"/>
      <c r="T347" s="58"/>
      <c r="U347" s="58"/>
      <c r="V347" s="58"/>
    </row>
    <row r="348" spans="1:22" ht="15.75" customHeight="1">
      <c r="A348" s="468" t="s">
        <v>348</v>
      </c>
      <c r="B348" s="204" t="s">
        <v>184</v>
      </c>
      <c r="C348" s="529"/>
      <c r="D348" s="507"/>
      <c r="E348" s="709"/>
      <c r="F348" s="507"/>
      <c r="G348" s="206"/>
      <c r="H348" s="214"/>
      <c r="I348" s="501"/>
      <c r="J348" s="553"/>
      <c r="K348" s="552">
        <f t="shared" si="21"/>
        <v>0</v>
      </c>
      <c r="L348" s="217"/>
      <c r="M348" s="211">
        <f t="shared" si="20"/>
        <v>-46136</v>
      </c>
      <c r="N348" s="683">
        <f t="shared" si="22"/>
        <v>7</v>
      </c>
      <c r="O348" s="212"/>
      <c r="P348" s="544"/>
      <c r="Q348" s="561">
        <f t="shared" si="23"/>
        <v>0</v>
      </c>
      <c r="R348" s="58"/>
      <c r="S348" s="58"/>
      <c r="T348" s="58"/>
      <c r="U348" s="58"/>
      <c r="V348" s="58"/>
    </row>
    <row r="349" spans="1:22" ht="15.75" customHeight="1">
      <c r="A349" s="468" t="s">
        <v>348</v>
      </c>
      <c r="B349" s="204" t="s">
        <v>184</v>
      </c>
      <c r="C349" s="527"/>
      <c r="D349" s="267"/>
      <c r="E349" s="706"/>
      <c r="F349" s="267"/>
      <c r="G349" s="206"/>
      <c r="H349" s="214"/>
      <c r="I349" s="500"/>
      <c r="J349" s="553"/>
      <c r="K349" s="552">
        <f t="shared" si="21"/>
        <v>0</v>
      </c>
      <c r="L349" s="217"/>
      <c r="M349" s="211">
        <f t="shared" si="20"/>
        <v>-46136</v>
      </c>
      <c r="N349" s="683">
        <f t="shared" si="22"/>
        <v>7</v>
      </c>
      <c r="O349" s="212"/>
      <c r="P349" s="544"/>
      <c r="Q349" s="561">
        <f t="shared" si="23"/>
        <v>0</v>
      </c>
      <c r="R349" s="58"/>
      <c r="S349" s="58"/>
      <c r="T349" s="58"/>
      <c r="U349" s="58"/>
      <c r="V349" s="58"/>
    </row>
    <row r="350" spans="1:22" ht="15.75" customHeight="1">
      <c r="A350" s="468" t="s">
        <v>348</v>
      </c>
      <c r="B350" s="204" t="s">
        <v>184</v>
      </c>
      <c r="C350" s="527"/>
      <c r="D350" s="267"/>
      <c r="E350" s="706"/>
      <c r="F350" s="267"/>
      <c r="G350" s="206"/>
      <c r="H350" s="214"/>
      <c r="I350" s="500"/>
      <c r="J350" s="553"/>
      <c r="K350" s="552">
        <f t="shared" si="21"/>
        <v>0</v>
      </c>
      <c r="L350" s="217"/>
      <c r="M350" s="211">
        <f t="shared" si="20"/>
        <v>-46136</v>
      </c>
      <c r="N350" s="683">
        <f t="shared" si="22"/>
        <v>7</v>
      </c>
      <c r="O350" s="212"/>
      <c r="P350" s="544"/>
      <c r="Q350" s="561">
        <f t="shared" si="23"/>
        <v>0</v>
      </c>
      <c r="R350" s="58"/>
      <c r="S350" s="58"/>
      <c r="T350" s="58"/>
      <c r="U350" s="58"/>
      <c r="V350" s="58"/>
    </row>
    <row r="351" spans="1:22" ht="15.75" customHeight="1">
      <c r="A351" s="468" t="s">
        <v>348</v>
      </c>
      <c r="B351" s="204" t="s">
        <v>184</v>
      </c>
      <c r="C351" s="527"/>
      <c r="D351" s="267"/>
      <c r="E351" s="706"/>
      <c r="F351" s="267"/>
      <c r="G351" s="206"/>
      <c r="H351" s="214"/>
      <c r="I351" s="500"/>
      <c r="J351" s="553"/>
      <c r="K351" s="552">
        <f t="shared" si="21"/>
        <v>0</v>
      </c>
      <c r="L351" s="217"/>
      <c r="M351" s="211">
        <f t="shared" si="20"/>
        <v>-46136</v>
      </c>
      <c r="N351" s="683">
        <f t="shared" si="22"/>
        <v>7</v>
      </c>
      <c r="O351" s="212"/>
      <c r="P351" s="544"/>
      <c r="Q351" s="561">
        <f t="shared" si="23"/>
        <v>0</v>
      </c>
      <c r="R351" s="58"/>
      <c r="S351" s="58"/>
      <c r="T351" s="58"/>
      <c r="U351" s="58"/>
      <c r="V351" s="58"/>
    </row>
    <row r="352" spans="1:22" ht="15.75" customHeight="1">
      <c r="A352" s="468" t="s">
        <v>348</v>
      </c>
      <c r="B352" s="204" t="s">
        <v>184</v>
      </c>
      <c r="C352" s="527"/>
      <c r="D352" s="267"/>
      <c r="E352" s="706"/>
      <c r="F352" s="267"/>
      <c r="G352" s="206"/>
      <c r="H352" s="214"/>
      <c r="I352" s="500"/>
      <c r="J352" s="553"/>
      <c r="K352" s="552">
        <f t="shared" si="21"/>
        <v>0</v>
      </c>
      <c r="L352" s="217"/>
      <c r="M352" s="211">
        <f t="shared" si="20"/>
        <v>-46136</v>
      </c>
      <c r="N352" s="683">
        <f t="shared" si="22"/>
        <v>7</v>
      </c>
      <c r="O352" s="212"/>
      <c r="P352" s="544"/>
      <c r="Q352" s="561">
        <f t="shared" si="23"/>
        <v>0</v>
      </c>
      <c r="R352" s="58"/>
      <c r="S352" s="58"/>
      <c r="T352" s="58"/>
      <c r="U352" s="58"/>
      <c r="V352" s="58"/>
    </row>
    <row r="353" spans="1:22" ht="15.75" customHeight="1">
      <c r="A353" s="468" t="s">
        <v>348</v>
      </c>
      <c r="B353" s="204" t="s">
        <v>184</v>
      </c>
      <c r="C353" s="527"/>
      <c r="D353" s="267"/>
      <c r="E353" s="706"/>
      <c r="F353" s="267"/>
      <c r="G353" s="206"/>
      <c r="H353" s="214"/>
      <c r="I353" s="500"/>
      <c r="J353" s="553"/>
      <c r="K353" s="552">
        <f t="shared" si="21"/>
        <v>0</v>
      </c>
      <c r="L353" s="217"/>
      <c r="M353" s="211">
        <f t="shared" si="20"/>
        <v>-46136</v>
      </c>
      <c r="N353" s="683">
        <f t="shared" si="22"/>
        <v>7</v>
      </c>
      <c r="O353" s="212"/>
      <c r="P353" s="544"/>
      <c r="Q353" s="561">
        <f t="shared" si="23"/>
        <v>0</v>
      </c>
      <c r="R353" s="58"/>
      <c r="S353" s="58"/>
      <c r="T353" s="58"/>
      <c r="U353" s="58"/>
      <c r="V353" s="58"/>
    </row>
    <row r="354" spans="1:22" ht="15.75" customHeight="1">
      <c r="A354" s="468" t="s">
        <v>348</v>
      </c>
      <c r="B354" s="204" t="s">
        <v>184</v>
      </c>
      <c r="C354" s="527"/>
      <c r="D354" s="267"/>
      <c r="E354" s="706"/>
      <c r="F354" s="267"/>
      <c r="G354" s="206"/>
      <c r="H354" s="214"/>
      <c r="I354" s="500"/>
      <c r="J354" s="553"/>
      <c r="K354" s="552">
        <f t="shared" si="21"/>
        <v>0</v>
      </c>
      <c r="L354" s="217"/>
      <c r="M354" s="211">
        <f t="shared" si="20"/>
        <v>-46136</v>
      </c>
      <c r="N354" s="683">
        <f t="shared" si="22"/>
        <v>7</v>
      </c>
      <c r="O354" s="212"/>
      <c r="P354" s="544"/>
      <c r="Q354" s="561">
        <f t="shared" si="23"/>
        <v>0</v>
      </c>
      <c r="R354" s="58"/>
      <c r="S354" s="58"/>
      <c r="T354" s="58"/>
      <c r="U354" s="58"/>
      <c r="V354" s="58"/>
    </row>
    <row r="355" spans="1:22" ht="15.75" customHeight="1">
      <c r="A355" s="468" t="s">
        <v>348</v>
      </c>
      <c r="B355" s="204" t="s">
        <v>184</v>
      </c>
      <c r="C355" s="527"/>
      <c r="D355" s="267"/>
      <c r="E355" s="706"/>
      <c r="F355" s="267"/>
      <c r="G355" s="206"/>
      <c r="H355" s="214"/>
      <c r="I355" s="500"/>
      <c r="J355" s="553"/>
      <c r="K355" s="552">
        <f t="shared" si="21"/>
        <v>0</v>
      </c>
      <c r="L355" s="217"/>
      <c r="M355" s="211">
        <f t="shared" si="20"/>
        <v>-46136</v>
      </c>
      <c r="N355" s="683">
        <f t="shared" si="22"/>
        <v>7</v>
      </c>
      <c r="O355" s="212"/>
      <c r="P355" s="544"/>
      <c r="Q355" s="561">
        <f t="shared" si="23"/>
        <v>0</v>
      </c>
      <c r="R355" s="58"/>
      <c r="S355" s="58"/>
      <c r="T355" s="58"/>
      <c r="U355" s="58"/>
      <c r="V355" s="58"/>
    </row>
    <row r="356" spans="1:22" ht="15.75" customHeight="1">
      <c r="A356" s="468" t="s">
        <v>348</v>
      </c>
      <c r="B356" s="204" t="s">
        <v>184</v>
      </c>
      <c r="C356" s="527"/>
      <c r="D356" s="267"/>
      <c r="E356" s="706"/>
      <c r="F356" s="267"/>
      <c r="G356" s="206"/>
      <c r="H356" s="214"/>
      <c r="I356" s="500"/>
      <c r="J356" s="553"/>
      <c r="K356" s="552">
        <f t="shared" si="21"/>
        <v>0</v>
      </c>
      <c r="L356" s="217"/>
      <c r="M356" s="211">
        <f t="shared" si="20"/>
        <v>-46136</v>
      </c>
      <c r="N356" s="683">
        <f t="shared" si="22"/>
        <v>7</v>
      </c>
      <c r="O356" s="212"/>
      <c r="P356" s="544"/>
      <c r="Q356" s="561">
        <f t="shared" si="23"/>
        <v>0</v>
      </c>
      <c r="R356" s="58"/>
      <c r="S356" s="58"/>
      <c r="T356" s="58"/>
      <c r="U356" s="58"/>
      <c r="V356" s="58"/>
    </row>
    <row r="357" spans="1:22" ht="15.75" customHeight="1">
      <c r="A357" s="468" t="s">
        <v>348</v>
      </c>
      <c r="B357" s="204" t="s">
        <v>184</v>
      </c>
      <c r="C357" s="527"/>
      <c r="D357" s="267"/>
      <c r="E357" s="706"/>
      <c r="F357" s="267"/>
      <c r="G357" s="206"/>
      <c r="H357" s="214"/>
      <c r="I357" s="500"/>
      <c r="J357" s="553"/>
      <c r="K357" s="552">
        <f t="shared" si="21"/>
        <v>0</v>
      </c>
      <c r="L357" s="217"/>
      <c r="M357" s="211">
        <f t="shared" si="20"/>
        <v>-46136</v>
      </c>
      <c r="N357" s="683">
        <f t="shared" si="22"/>
        <v>7</v>
      </c>
      <c r="O357" s="212"/>
      <c r="P357" s="544"/>
      <c r="Q357" s="561">
        <f t="shared" si="23"/>
        <v>0</v>
      </c>
      <c r="R357" s="58"/>
      <c r="S357" s="58"/>
      <c r="T357" s="58"/>
      <c r="U357" s="58"/>
      <c r="V357" s="58"/>
    </row>
    <row r="358" spans="1:22" ht="15.75" customHeight="1">
      <c r="A358" s="468" t="s">
        <v>348</v>
      </c>
      <c r="B358" s="204" t="s">
        <v>184</v>
      </c>
      <c r="C358" s="527"/>
      <c r="D358" s="267"/>
      <c r="E358" s="706"/>
      <c r="F358" s="267"/>
      <c r="G358" s="206"/>
      <c r="H358" s="214"/>
      <c r="I358" s="500"/>
      <c r="J358" s="553"/>
      <c r="K358" s="552">
        <f t="shared" si="21"/>
        <v>0</v>
      </c>
      <c r="L358" s="217"/>
      <c r="M358" s="211">
        <f t="shared" si="20"/>
        <v>-46136</v>
      </c>
      <c r="N358" s="683">
        <f t="shared" si="22"/>
        <v>7</v>
      </c>
      <c r="O358" s="212"/>
      <c r="P358" s="544"/>
      <c r="Q358" s="561">
        <f t="shared" si="23"/>
        <v>0</v>
      </c>
      <c r="R358" s="58"/>
      <c r="S358" s="58"/>
      <c r="T358" s="58"/>
      <c r="U358" s="58"/>
      <c r="V358" s="58"/>
    </row>
    <row r="359" spans="1:22" ht="15.75" customHeight="1">
      <c r="A359" s="468" t="s">
        <v>348</v>
      </c>
      <c r="B359" s="204" t="s">
        <v>184</v>
      </c>
      <c r="C359" s="527"/>
      <c r="D359" s="267"/>
      <c r="E359" s="706"/>
      <c r="F359" s="267"/>
      <c r="G359" s="206"/>
      <c r="H359" s="214"/>
      <c r="I359" s="500"/>
      <c r="J359" s="553"/>
      <c r="K359" s="552">
        <f t="shared" si="21"/>
        <v>0</v>
      </c>
      <c r="L359" s="217"/>
      <c r="M359" s="211">
        <f t="shared" si="20"/>
        <v>-46136</v>
      </c>
      <c r="N359" s="683">
        <f t="shared" si="22"/>
        <v>7</v>
      </c>
      <c r="O359" s="212"/>
      <c r="P359" s="544"/>
      <c r="Q359" s="561">
        <f t="shared" si="23"/>
        <v>0</v>
      </c>
      <c r="R359" s="58"/>
      <c r="S359" s="58"/>
      <c r="T359" s="58"/>
      <c r="U359" s="58"/>
      <c r="V359" s="58"/>
    </row>
    <row r="360" spans="1:22" ht="15.75" customHeight="1">
      <c r="A360" s="468" t="s">
        <v>348</v>
      </c>
      <c r="B360" s="204" t="s">
        <v>184</v>
      </c>
      <c r="C360" s="527"/>
      <c r="D360" s="267"/>
      <c r="E360" s="706"/>
      <c r="F360" s="267"/>
      <c r="G360" s="206"/>
      <c r="H360" s="214"/>
      <c r="I360" s="500"/>
      <c r="J360" s="553"/>
      <c r="K360" s="552">
        <f t="shared" si="21"/>
        <v>0</v>
      </c>
      <c r="L360" s="217"/>
      <c r="M360" s="211">
        <f t="shared" si="20"/>
        <v>-46136</v>
      </c>
      <c r="N360" s="683">
        <f t="shared" si="22"/>
        <v>7</v>
      </c>
      <c r="O360" s="212"/>
      <c r="P360" s="544"/>
      <c r="Q360" s="561">
        <f t="shared" si="23"/>
        <v>0</v>
      </c>
      <c r="R360" s="58"/>
      <c r="S360" s="58"/>
      <c r="T360" s="58"/>
      <c r="U360" s="58"/>
      <c r="V360" s="58"/>
    </row>
    <row r="361" spans="1:22" ht="15.75" customHeight="1">
      <c r="A361" s="468" t="s">
        <v>348</v>
      </c>
      <c r="B361" s="204" t="s">
        <v>184</v>
      </c>
      <c r="C361" s="527"/>
      <c r="D361" s="267"/>
      <c r="E361" s="706"/>
      <c r="F361" s="267"/>
      <c r="G361" s="206"/>
      <c r="H361" s="214"/>
      <c r="I361" s="500"/>
      <c r="J361" s="553"/>
      <c r="K361" s="552">
        <f t="shared" si="21"/>
        <v>0</v>
      </c>
      <c r="L361" s="217"/>
      <c r="M361" s="211">
        <f t="shared" si="20"/>
        <v>-46136</v>
      </c>
      <c r="N361" s="683">
        <f t="shared" si="22"/>
        <v>7</v>
      </c>
      <c r="O361" s="212"/>
      <c r="P361" s="544"/>
      <c r="Q361" s="561">
        <f t="shared" si="23"/>
        <v>0</v>
      </c>
      <c r="R361" s="58"/>
      <c r="S361" s="58"/>
      <c r="T361" s="58"/>
      <c r="U361" s="58"/>
      <c r="V361" s="58"/>
    </row>
    <row r="362" spans="1:22" ht="15.75" customHeight="1">
      <c r="A362" s="468" t="s">
        <v>348</v>
      </c>
      <c r="B362" s="204" t="s">
        <v>184</v>
      </c>
      <c r="C362" s="527"/>
      <c r="D362" s="267"/>
      <c r="E362" s="706"/>
      <c r="F362" s="267"/>
      <c r="G362" s="206"/>
      <c r="H362" s="214"/>
      <c r="I362" s="500"/>
      <c r="J362" s="553"/>
      <c r="K362" s="552">
        <f t="shared" si="21"/>
        <v>0</v>
      </c>
      <c r="L362" s="217"/>
      <c r="M362" s="211">
        <f t="shared" si="20"/>
        <v>-46136</v>
      </c>
      <c r="N362" s="683">
        <f t="shared" si="22"/>
        <v>7</v>
      </c>
      <c r="O362" s="212"/>
      <c r="P362" s="544"/>
      <c r="Q362" s="561">
        <f t="shared" si="23"/>
        <v>0</v>
      </c>
      <c r="R362" s="58"/>
      <c r="S362" s="58"/>
      <c r="T362" s="58"/>
      <c r="U362" s="58"/>
      <c r="V362" s="58"/>
    </row>
    <row r="363" spans="1:22" ht="15.75" customHeight="1">
      <c r="A363" s="468" t="s">
        <v>348</v>
      </c>
      <c r="B363" s="204" t="s">
        <v>184</v>
      </c>
      <c r="C363" s="527"/>
      <c r="D363" s="267"/>
      <c r="E363" s="706"/>
      <c r="F363" s="267"/>
      <c r="G363" s="206"/>
      <c r="H363" s="214"/>
      <c r="I363" s="500"/>
      <c r="J363" s="553"/>
      <c r="K363" s="552">
        <f t="shared" si="21"/>
        <v>0</v>
      </c>
      <c r="L363" s="217"/>
      <c r="M363" s="211">
        <f t="shared" si="20"/>
        <v>-46136</v>
      </c>
      <c r="N363" s="683">
        <f t="shared" si="22"/>
        <v>7</v>
      </c>
      <c r="O363" s="212"/>
      <c r="P363" s="544"/>
      <c r="Q363" s="561">
        <f t="shared" si="23"/>
        <v>0</v>
      </c>
      <c r="R363" s="58"/>
      <c r="S363" s="58"/>
      <c r="T363" s="58"/>
      <c r="U363" s="58"/>
      <c r="V363" s="58"/>
    </row>
    <row r="364" spans="1:22" ht="15.75" customHeight="1">
      <c r="A364" s="468" t="s">
        <v>348</v>
      </c>
      <c r="B364" s="204" t="s">
        <v>184</v>
      </c>
      <c r="C364" s="527"/>
      <c r="D364" s="267"/>
      <c r="E364" s="706"/>
      <c r="F364" s="267"/>
      <c r="G364" s="206"/>
      <c r="H364" s="214"/>
      <c r="I364" s="500"/>
      <c r="J364" s="553"/>
      <c r="K364" s="552">
        <f t="shared" si="21"/>
        <v>0</v>
      </c>
      <c r="L364" s="217"/>
      <c r="M364" s="211">
        <f t="shared" si="20"/>
        <v>-46136</v>
      </c>
      <c r="N364" s="683">
        <f t="shared" si="22"/>
        <v>7</v>
      </c>
      <c r="O364" s="212"/>
      <c r="P364" s="544"/>
      <c r="Q364" s="561">
        <f t="shared" si="23"/>
        <v>0</v>
      </c>
      <c r="R364" s="58"/>
      <c r="S364" s="58"/>
      <c r="T364" s="58"/>
      <c r="U364" s="58"/>
      <c r="V364" s="58"/>
    </row>
    <row r="365" spans="1:22" ht="15.75" customHeight="1">
      <c r="A365" s="468" t="s">
        <v>348</v>
      </c>
      <c r="B365" s="204" t="s">
        <v>184</v>
      </c>
      <c r="C365" s="527"/>
      <c r="D365" s="267"/>
      <c r="E365" s="706"/>
      <c r="F365" s="267"/>
      <c r="G365" s="206"/>
      <c r="H365" s="214"/>
      <c r="I365" s="500"/>
      <c r="J365" s="553"/>
      <c r="K365" s="552">
        <f t="shared" si="21"/>
        <v>0</v>
      </c>
      <c r="L365" s="217"/>
      <c r="M365" s="211">
        <f t="shared" si="20"/>
        <v>-46136</v>
      </c>
      <c r="N365" s="683">
        <f t="shared" si="22"/>
        <v>7</v>
      </c>
      <c r="O365" s="212"/>
      <c r="P365" s="544"/>
      <c r="Q365" s="561">
        <f t="shared" si="23"/>
        <v>0</v>
      </c>
      <c r="R365" s="58"/>
      <c r="S365" s="58"/>
      <c r="T365" s="58"/>
      <c r="U365" s="58"/>
      <c r="V365" s="58"/>
    </row>
    <row r="366" spans="1:22" ht="15.75" customHeight="1">
      <c r="A366" s="468" t="s">
        <v>348</v>
      </c>
      <c r="B366" s="204" t="s">
        <v>184</v>
      </c>
      <c r="C366" s="527"/>
      <c r="D366" s="267"/>
      <c r="E366" s="706"/>
      <c r="F366" s="267"/>
      <c r="G366" s="206"/>
      <c r="H366" s="214"/>
      <c r="I366" s="500"/>
      <c r="J366" s="553"/>
      <c r="K366" s="552">
        <f t="shared" si="21"/>
        <v>0</v>
      </c>
      <c r="L366" s="217"/>
      <c r="M366" s="211">
        <f t="shared" si="20"/>
        <v>-46136</v>
      </c>
      <c r="N366" s="683">
        <f t="shared" si="22"/>
        <v>7</v>
      </c>
      <c r="O366" s="212"/>
      <c r="P366" s="544"/>
      <c r="Q366" s="561">
        <f t="shared" si="23"/>
        <v>0</v>
      </c>
      <c r="R366" s="58"/>
      <c r="S366" s="58"/>
      <c r="T366" s="58"/>
      <c r="U366" s="58"/>
      <c r="V366" s="58"/>
    </row>
    <row r="367" spans="1:22" ht="15.75" customHeight="1">
      <c r="A367" s="468" t="s">
        <v>348</v>
      </c>
      <c r="B367" s="204" t="s">
        <v>184</v>
      </c>
      <c r="C367" s="527"/>
      <c r="D367" s="267"/>
      <c r="E367" s="706"/>
      <c r="F367" s="267"/>
      <c r="G367" s="206"/>
      <c r="H367" s="214"/>
      <c r="I367" s="500"/>
      <c r="J367" s="553"/>
      <c r="K367" s="552">
        <f t="shared" si="21"/>
        <v>0</v>
      </c>
      <c r="L367" s="217"/>
      <c r="M367" s="211">
        <f t="shared" si="20"/>
        <v>-46136</v>
      </c>
      <c r="N367" s="683">
        <f t="shared" si="22"/>
        <v>7</v>
      </c>
      <c r="O367" s="212"/>
      <c r="P367" s="544"/>
      <c r="Q367" s="561">
        <f t="shared" si="23"/>
        <v>0</v>
      </c>
      <c r="R367" s="58"/>
      <c r="S367" s="58"/>
      <c r="T367" s="58"/>
      <c r="U367" s="58"/>
      <c r="V367" s="58"/>
    </row>
    <row r="368" spans="1:22" ht="15.75" customHeight="1">
      <c r="A368" s="468" t="s">
        <v>348</v>
      </c>
      <c r="B368" s="204" t="s">
        <v>184</v>
      </c>
      <c r="C368" s="527"/>
      <c r="D368" s="267"/>
      <c r="E368" s="706"/>
      <c r="F368" s="267"/>
      <c r="G368" s="206"/>
      <c r="H368" s="214"/>
      <c r="I368" s="500"/>
      <c r="J368" s="553"/>
      <c r="K368" s="552">
        <f t="shared" si="21"/>
        <v>0</v>
      </c>
      <c r="L368" s="217"/>
      <c r="M368" s="211">
        <f t="shared" si="20"/>
        <v>-46136</v>
      </c>
      <c r="N368" s="683">
        <f t="shared" si="22"/>
        <v>7</v>
      </c>
      <c r="O368" s="212"/>
      <c r="P368" s="544"/>
      <c r="Q368" s="561">
        <f t="shared" si="23"/>
        <v>0</v>
      </c>
      <c r="R368" s="58"/>
      <c r="S368" s="58"/>
      <c r="T368" s="58"/>
      <c r="U368" s="58"/>
      <c r="V368" s="58"/>
    </row>
    <row r="369" spans="1:22" ht="15.75" customHeight="1">
      <c r="A369" s="468" t="s">
        <v>348</v>
      </c>
      <c r="B369" s="204" t="s">
        <v>184</v>
      </c>
      <c r="C369" s="527"/>
      <c r="D369" s="267"/>
      <c r="E369" s="706"/>
      <c r="F369" s="267"/>
      <c r="G369" s="206"/>
      <c r="H369" s="214"/>
      <c r="I369" s="500"/>
      <c r="J369" s="553"/>
      <c r="K369" s="552">
        <f t="shared" si="21"/>
        <v>0</v>
      </c>
      <c r="L369" s="217"/>
      <c r="M369" s="211">
        <f t="shared" si="20"/>
        <v>-46136</v>
      </c>
      <c r="N369" s="683">
        <f t="shared" si="22"/>
        <v>7</v>
      </c>
      <c r="O369" s="212"/>
      <c r="P369" s="544"/>
      <c r="Q369" s="561">
        <f t="shared" si="23"/>
        <v>0</v>
      </c>
      <c r="R369" s="58"/>
      <c r="S369" s="58"/>
      <c r="T369" s="58"/>
      <c r="U369" s="58"/>
      <c r="V369" s="58"/>
    </row>
    <row r="370" spans="1:22" ht="15.75" customHeight="1">
      <c r="A370" s="468" t="s">
        <v>348</v>
      </c>
      <c r="B370" s="204" t="s">
        <v>184</v>
      </c>
      <c r="C370" s="527"/>
      <c r="D370" s="267"/>
      <c r="E370" s="706"/>
      <c r="F370" s="267"/>
      <c r="G370" s="206"/>
      <c r="H370" s="214"/>
      <c r="I370" s="500"/>
      <c r="J370" s="553"/>
      <c r="K370" s="552">
        <f t="shared" si="21"/>
        <v>0</v>
      </c>
      <c r="L370" s="217"/>
      <c r="M370" s="211">
        <f t="shared" si="20"/>
        <v>-46136</v>
      </c>
      <c r="N370" s="683">
        <f t="shared" si="22"/>
        <v>7</v>
      </c>
      <c r="O370" s="212"/>
      <c r="P370" s="544"/>
      <c r="Q370" s="561">
        <f t="shared" si="23"/>
        <v>0</v>
      </c>
      <c r="R370" s="58"/>
      <c r="S370" s="58"/>
      <c r="T370" s="58"/>
      <c r="U370" s="58"/>
      <c r="V370" s="58"/>
    </row>
    <row r="371" spans="1:22" ht="15.75" customHeight="1">
      <c r="A371" s="468" t="s">
        <v>348</v>
      </c>
      <c r="B371" s="204" t="s">
        <v>184</v>
      </c>
      <c r="C371" s="527"/>
      <c r="D371" s="267"/>
      <c r="E371" s="706"/>
      <c r="F371" s="267"/>
      <c r="G371" s="206"/>
      <c r="H371" s="214"/>
      <c r="I371" s="500"/>
      <c r="J371" s="553"/>
      <c r="K371" s="552">
        <f t="shared" si="21"/>
        <v>0</v>
      </c>
      <c r="L371" s="217"/>
      <c r="M371" s="211">
        <f t="shared" si="20"/>
        <v>-46136</v>
      </c>
      <c r="N371" s="683">
        <f t="shared" si="22"/>
        <v>7</v>
      </c>
      <c r="O371" s="212"/>
      <c r="P371" s="544"/>
      <c r="Q371" s="561">
        <f t="shared" si="23"/>
        <v>0</v>
      </c>
      <c r="R371" s="58"/>
      <c r="S371" s="58"/>
      <c r="T371" s="58"/>
      <c r="U371" s="58"/>
      <c r="V371" s="58"/>
    </row>
    <row r="372" spans="1:22" ht="15.75" customHeight="1">
      <c r="A372" s="468" t="s">
        <v>348</v>
      </c>
      <c r="B372" s="204" t="s">
        <v>184</v>
      </c>
      <c r="C372" s="527"/>
      <c r="D372" s="267"/>
      <c r="E372" s="706"/>
      <c r="F372" s="267"/>
      <c r="G372" s="206"/>
      <c r="H372" s="214"/>
      <c r="I372" s="500"/>
      <c r="J372" s="553"/>
      <c r="K372" s="552">
        <f t="shared" si="21"/>
        <v>0</v>
      </c>
      <c r="L372" s="217"/>
      <c r="M372" s="211">
        <f t="shared" si="20"/>
        <v>-46136</v>
      </c>
      <c r="N372" s="683">
        <f t="shared" si="22"/>
        <v>7</v>
      </c>
      <c r="O372" s="212"/>
      <c r="P372" s="544"/>
      <c r="Q372" s="561">
        <f t="shared" si="23"/>
        <v>0</v>
      </c>
      <c r="R372" s="58"/>
      <c r="S372" s="58"/>
      <c r="T372" s="58"/>
      <c r="U372" s="58"/>
      <c r="V372" s="58"/>
    </row>
    <row r="373" spans="1:22" ht="15.75" customHeight="1">
      <c r="A373" s="468" t="s">
        <v>348</v>
      </c>
      <c r="B373" s="204" t="s">
        <v>184</v>
      </c>
      <c r="C373" s="527"/>
      <c r="D373" s="267"/>
      <c r="E373" s="706"/>
      <c r="F373" s="267"/>
      <c r="G373" s="206"/>
      <c r="H373" s="214"/>
      <c r="I373" s="500"/>
      <c r="J373" s="553"/>
      <c r="K373" s="552">
        <f t="shared" si="21"/>
        <v>0</v>
      </c>
      <c r="L373" s="217"/>
      <c r="M373" s="211">
        <f t="shared" si="20"/>
        <v>-46136</v>
      </c>
      <c r="N373" s="683">
        <f t="shared" si="22"/>
        <v>7</v>
      </c>
      <c r="O373" s="212"/>
      <c r="P373" s="544"/>
      <c r="Q373" s="561">
        <f t="shared" si="23"/>
        <v>0</v>
      </c>
      <c r="R373" s="58"/>
      <c r="S373" s="58"/>
      <c r="T373" s="58"/>
      <c r="U373" s="58"/>
      <c r="V373" s="58"/>
    </row>
    <row r="374" spans="1:22" ht="15.75" customHeight="1">
      <c r="A374" s="468" t="s">
        <v>348</v>
      </c>
      <c r="B374" s="204" t="s">
        <v>184</v>
      </c>
      <c r="C374" s="527"/>
      <c r="D374" s="267"/>
      <c r="E374" s="706"/>
      <c r="F374" s="267"/>
      <c r="G374" s="206"/>
      <c r="H374" s="214"/>
      <c r="I374" s="500"/>
      <c r="J374" s="553"/>
      <c r="K374" s="552">
        <f t="shared" si="21"/>
        <v>0</v>
      </c>
      <c r="L374" s="217"/>
      <c r="M374" s="211">
        <f t="shared" si="20"/>
        <v>-46136</v>
      </c>
      <c r="N374" s="683">
        <f t="shared" si="22"/>
        <v>7</v>
      </c>
      <c r="O374" s="212"/>
      <c r="P374" s="544"/>
      <c r="Q374" s="561">
        <f t="shared" si="23"/>
        <v>0</v>
      </c>
      <c r="R374" s="58"/>
      <c r="S374" s="58"/>
      <c r="T374" s="58"/>
      <c r="U374" s="58"/>
      <c r="V374" s="58"/>
    </row>
    <row r="375" spans="1:22" ht="15.75" customHeight="1">
      <c r="A375" s="468" t="s">
        <v>348</v>
      </c>
      <c r="B375" s="204" t="s">
        <v>184</v>
      </c>
      <c r="C375" s="527"/>
      <c r="D375" s="267"/>
      <c r="E375" s="706"/>
      <c r="F375" s="267"/>
      <c r="G375" s="206"/>
      <c r="H375" s="214"/>
      <c r="I375" s="500"/>
      <c r="J375" s="553"/>
      <c r="K375" s="552">
        <f t="shared" si="21"/>
        <v>0</v>
      </c>
      <c r="L375" s="217"/>
      <c r="M375" s="211">
        <f t="shared" si="20"/>
        <v>-46136</v>
      </c>
      <c r="N375" s="683">
        <f t="shared" si="22"/>
        <v>7</v>
      </c>
      <c r="O375" s="212"/>
      <c r="P375" s="544"/>
      <c r="Q375" s="561">
        <f t="shared" si="23"/>
        <v>0</v>
      </c>
      <c r="R375" s="58"/>
      <c r="S375" s="58"/>
      <c r="T375" s="58"/>
      <c r="U375" s="58"/>
      <c r="V375" s="58"/>
    </row>
    <row r="376" spans="1:22" ht="15.75" customHeight="1">
      <c r="A376" s="468" t="s">
        <v>348</v>
      </c>
      <c r="B376" s="204" t="s">
        <v>184</v>
      </c>
      <c r="C376" s="527"/>
      <c r="D376" s="267"/>
      <c r="E376" s="706"/>
      <c r="F376" s="267"/>
      <c r="G376" s="206"/>
      <c r="H376" s="214"/>
      <c r="I376" s="500"/>
      <c r="J376" s="553"/>
      <c r="K376" s="552">
        <f t="shared" si="21"/>
        <v>0</v>
      </c>
      <c r="L376" s="217"/>
      <c r="M376" s="211">
        <f t="shared" si="20"/>
        <v>-46136</v>
      </c>
      <c r="N376" s="683">
        <f t="shared" si="22"/>
        <v>7</v>
      </c>
      <c r="O376" s="212"/>
      <c r="P376" s="544"/>
      <c r="Q376" s="561">
        <f t="shared" si="23"/>
        <v>0</v>
      </c>
      <c r="R376" s="58"/>
      <c r="S376" s="58"/>
      <c r="T376" s="58"/>
      <c r="U376" s="58"/>
      <c r="V376" s="58"/>
    </row>
    <row r="377" spans="1:22" ht="15.75" customHeight="1">
      <c r="A377" s="468" t="s">
        <v>348</v>
      </c>
      <c r="B377" s="204" t="s">
        <v>184</v>
      </c>
      <c r="C377" s="527"/>
      <c r="D377" s="267"/>
      <c r="E377" s="706"/>
      <c r="F377" s="267"/>
      <c r="G377" s="206"/>
      <c r="H377" s="214"/>
      <c r="I377" s="500"/>
      <c r="J377" s="553"/>
      <c r="K377" s="552">
        <f t="shared" si="21"/>
        <v>0</v>
      </c>
      <c r="L377" s="217"/>
      <c r="M377" s="211">
        <f t="shared" si="20"/>
        <v>-46136</v>
      </c>
      <c r="N377" s="683">
        <f t="shared" si="22"/>
        <v>7</v>
      </c>
      <c r="O377" s="212"/>
      <c r="P377" s="544"/>
      <c r="Q377" s="561">
        <f t="shared" si="23"/>
        <v>0</v>
      </c>
      <c r="R377" s="58"/>
      <c r="S377" s="58"/>
      <c r="T377" s="58"/>
      <c r="U377" s="58"/>
      <c r="V377" s="58"/>
    </row>
    <row r="378" spans="1:22" ht="15.75" customHeight="1">
      <c r="A378" s="468" t="s">
        <v>348</v>
      </c>
      <c r="B378" s="204" t="s">
        <v>184</v>
      </c>
      <c r="C378" s="527"/>
      <c r="D378" s="267"/>
      <c r="E378" s="706"/>
      <c r="F378" s="267"/>
      <c r="G378" s="206"/>
      <c r="H378" s="214"/>
      <c r="I378" s="501"/>
      <c r="J378" s="553"/>
      <c r="K378" s="552">
        <f t="shared" si="21"/>
        <v>0</v>
      </c>
      <c r="L378" s="217"/>
      <c r="M378" s="211">
        <f t="shared" si="20"/>
        <v>-46136</v>
      </c>
      <c r="N378" s="683">
        <f t="shared" si="22"/>
        <v>7</v>
      </c>
      <c r="O378" s="212"/>
      <c r="P378" s="544"/>
      <c r="Q378" s="561">
        <f t="shared" si="23"/>
        <v>0</v>
      </c>
      <c r="R378" s="58"/>
      <c r="S378" s="58"/>
      <c r="T378" s="58"/>
      <c r="U378" s="58"/>
      <c r="V378" s="58"/>
    </row>
    <row r="379" spans="1:22" ht="15.75" customHeight="1">
      <c r="A379" s="468" t="s">
        <v>348</v>
      </c>
      <c r="B379" s="204" t="s">
        <v>184</v>
      </c>
      <c r="C379" s="527"/>
      <c r="D379" s="267"/>
      <c r="E379" s="706"/>
      <c r="F379" s="267"/>
      <c r="G379" s="206"/>
      <c r="H379" s="214"/>
      <c r="I379" s="500"/>
      <c r="J379" s="553"/>
      <c r="K379" s="552">
        <f t="shared" si="21"/>
        <v>0</v>
      </c>
      <c r="L379" s="217"/>
      <c r="M379" s="211">
        <f t="shared" si="20"/>
        <v>-46136</v>
      </c>
      <c r="N379" s="683">
        <f t="shared" si="22"/>
        <v>7</v>
      </c>
      <c r="O379" s="212"/>
      <c r="P379" s="544"/>
      <c r="Q379" s="561">
        <f t="shared" si="23"/>
        <v>0</v>
      </c>
      <c r="R379" s="58"/>
      <c r="S379" s="58"/>
      <c r="T379" s="58"/>
      <c r="U379" s="58"/>
      <c r="V379" s="58"/>
    </row>
    <row r="380" spans="1:22" ht="15.75" customHeight="1">
      <c r="A380" s="468" t="s">
        <v>348</v>
      </c>
      <c r="B380" s="204" t="s">
        <v>184</v>
      </c>
      <c r="C380" s="527"/>
      <c r="D380" s="267"/>
      <c r="E380" s="706"/>
      <c r="F380" s="267"/>
      <c r="G380" s="206"/>
      <c r="H380" s="214"/>
      <c r="I380" s="503"/>
      <c r="J380" s="553"/>
      <c r="K380" s="552">
        <f t="shared" si="21"/>
        <v>0</v>
      </c>
      <c r="L380" s="217"/>
      <c r="M380" s="211">
        <f t="shared" si="20"/>
        <v>-46136</v>
      </c>
      <c r="N380" s="683">
        <f t="shared" si="22"/>
        <v>7</v>
      </c>
      <c r="O380" s="212"/>
      <c r="P380" s="544"/>
      <c r="Q380" s="561">
        <f t="shared" si="23"/>
        <v>0</v>
      </c>
      <c r="R380" s="58"/>
      <c r="S380" s="58"/>
      <c r="T380" s="58"/>
      <c r="U380" s="58"/>
      <c r="V380" s="58"/>
    </row>
    <row r="381" spans="1:22" ht="15.75" customHeight="1">
      <c r="A381" s="468" t="s">
        <v>348</v>
      </c>
      <c r="B381" s="204" t="s">
        <v>184</v>
      </c>
      <c r="C381" s="527"/>
      <c r="D381" s="267"/>
      <c r="E381" s="706"/>
      <c r="F381" s="267"/>
      <c r="G381" s="206"/>
      <c r="H381" s="214"/>
      <c r="I381" s="503"/>
      <c r="J381" s="553"/>
      <c r="K381" s="552">
        <f t="shared" si="21"/>
        <v>0</v>
      </c>
      <c r="L381" s="217"/>
      <c r="M381" s="211">
        <f t="shared" si="20"/>
        <v>-46136</v>
      </c>
      <c r="N381" s="683">
        <f t="shared" si="22"/>
        <v>7</v>
      </c>
      <c r="O381" s="212"/>
      <c r="P381" s="544"/>
      <c r="Q381" s="561">
        <f t="shared" si="23"/>
        <v>0</v>
      </c>
      <c r="R381" s="58"/>
      <c r="S381" s="58"/>
      <c r="T381" s="58"/>
      <c r="U381" s="58"/>
      <c r="V381" s="58"/>
    </row>
    <row r="382" spans="1:22" ht="15.75" customHeight="1">
      <c r="A382" s="468" t="s">
        <v>348</v>
      </c>
      <c r="B382" s="204" t="s">
        <v>184</v>
      </c>
      <c r="C382" s="527"/>
      <c r="D382" s="267"/>
      <c r="E382" s="706"/>
      <c r="F382" s="267"/>
      <c r="G382" s="206"/>
      <c r="H382" s="214"/>
      <c r="I382" s="503"/>
      <c r="J382" s="553"/>
      <c r="K382" s="552">
        <f t="shared" si="21"/>
        <v>0</v>
      </c>
      <c r="L382" s="217"/>
      <c r="M382" s="211">
        <f t="shared" si="20"/>
        <v>-46136</v>
      </c>
      <c r="N382" s="683">
        <f t="shared" si="22"/>
        <v>7</v>
      </c>
      <c r="O382" s="212"/>
      <c r="P382" s="544"/>
      <c r="Q382" s="561">
        <f t="shared" si="23"/>
        <v>0</v>
      </c>
      <c r="R382" s="58"/>
      <c r="S382" s="58"/>
      <c r="T382" s="58"/>
      <c r="U382" s="58"/>
      <c r="V382" s="58"/>
    </row>
    <row r="383" spans="1:22" ht="15.75" customHeight="1">
      <c r="A383" s="468" t="s">
        <v>348</v>
      </c>
      <c r="B383" s="204" t="s">
        <v>184</v>
      </c>
      <c r="C383" s="527"/>
      <c r="D383" s="267"/>
      <c r="E383" s="706"/>
      <c r="F383" s="267"/>
      <c r="G383" s="206"/>
      <c r="H383" s="214"/>
      <c r="I383" s="503"/>
      <c r="J383" s="553"/>
      <c r="K383" s="552">
        <f t="shared" si="21"/>
        <v>0</v>
      </c>
      <c r="L383" s="217"/>
      <c r="M383" s="211">
        <f t="shared" si="20"/>
        <v>-46136</v>
      </c>
      <c r="N383" s="683">
        <f t="shared" si="22"/>
        <v>7</v>
      </c>
      <c r="O383" s="212"/>
      <c r="P383" s="544"/>
      <c r="Q383" s="561">
        <f t="shared" si="23"/>
        <v>0</v>
      </c>
      <c r="R383" s="58"/>
      <c r="S383" s="58"/>
      <c r="T383" s="58"/>
      <c r="U383" s="58"/>
      <c r="V383" s="58"/>
    </row>
    <row r="384" spans="1:22" ht="15.75" customHeight="1">
      <c r="A384" s="468" t="s">
        <v>348</v>
      </c>
      <c r="B384" s="204" t="s">
        <v>184</v>
      </c>
      <c r="C384" s="527"/>
      <c r="D384" s="267"/>
      <c r="E384" s="706"/>
      <c r="F384" s="267"/>
      <c r="G384" s="206"/>
      <c r="H384" s="214"/>
      <c r="I384" s="500"/>
      <c r="J384" s="553"/>
      <c r="K384" s="552">
        <f t="shared" si="21"/>
        <v>0</v>
      </c>
      <c r="L384" s="217"/>
      <c r="M384" s="211">
        <f t="shared" si="20"/>
        <v>-46136</v>
      </c>
      <c r="N384" s="683">
        <f t="shared" si="22"/>
        <v>7</v>
      </c>
      <c r="O384" s="212"/>
      <c r="P384" s="544"/>
      <c r="Q384" s="561">
        <f t="shared" si="23"/>
        <v>0</v>
      </c>
      <c r="R384" s="58"/>
      <c r="S384" s="58"/>
      <c r="T384" s="58"/>
      <c r="U384" s="58"/>
      <c r="V384" s="58"/>
    </row>
    <row r="385" spans="1:22" ht="15.75" customHeight="1">
      <c r="A385" s="468" t="s">
        <v>348</v>
      </c>
      <c r="B385" s="204" t="s">
        <v>184</v>
      </c>
      <c r="C385" s="527"/>
      <c r="D385" s="267"/>
      <c r="E385" s="706"/>
      <c r="F385" s="267"/>
      <c r="G385" s="206"/>
      <c r="H385" s="214"/>
      <c r="I385" s="502"/>
      <c r="J385" s="553"/>
      <c r="K385" s="552">
        <f t="shared" si="21"/>
        <v>0</v>
      </c>
      <c r="L385" s="217"/>
      <c r="M385" s="211">
        <f t="shared" si="20"/>
        <v>-46136</v>
      </c>
      <c r="N385" s="683">
        <f t="shared" si="22"/>
        <v>7</v>
      </c>
      <c r="O385" s="212"/>
      <c r="P385" s="58"/>
      <c r="Q385" s="561">
        <f t="shared" si="23"/>
        <v>0</v>
      </c>
      <c r="R385" s="58"/>
      <c r="S385" s="58"/>
      <c r="T385" s="58"/>
      <c r="U385" s="58"/>
      <c r="V385" s="58"/>
    </row>
    <row r="386" spans="1:22" ht="15.75" customHeight="1">
      <c r="A386" s="468" t="s">
        <v>348</v>
      </c>
      <c r="B386" s="204" t="s">
        <v>184</v>
      </c>
      <c r="C386" s="527"/>
      <c r="D386" s="267"/>
      <c r="E386" s="706"/>
      <c r="F386" s="267"/>
      <c r="G386" s="206"/>
      <c r="H386" s="214"/>
      <c r="I386" s="502"/>
      <c r="J386" s="553"/>
      <c r="K386" s="552">
        <f t="shared" si="21"/>
        <v>0</v>
      </c>
      <c r="L386" s="217"/>
      <c r="M386" s="211">
        <f t="shared" si="20"/>
        <v>-46136</v>
      </c>
      <c r="N386" s="683">
        <f t="shared" si="22"/>
        <v>7</v>
      </c>
      <c r="O386" s="212"/>
      <c r="P386" s="544"/>
      <c r="Q386" s="561">
        <f t="shared" si="23"/>
        <v>0</v>
      </c>
      <c r="R386" s="58"/>
      <c r="S386" s="58"/>
      <c r="T386" s="58"/>
      <c r="U386" s="58"/>
      <c r="V386" s="58"/>
    </row>
    <row r="387" spans="1:22" ht="15.75" customHeight="1">
      <c r="A387" s="468" t="s">
        <v>348</v>
      </c>
      <c r="B387" s="204" t="s">
        <v>184</v>
      </c>
      <c r="C387" s="527"/>
      <c r="D387" s="267"/>
      <c r="E387" s="706"/>
      <c r="F387" s="267"/>
      <c r="G387" s="206"/>
      <c r="H387" s="214"/>
      <c r="I387" s="502"/>
      <c r="J387" s="553"/>
      <c r="K387" s="552">
        <f t="shared" si="21"/>
        <v>0</v>
      </c>
      <c r="L387" s="217"/>
      <c r="M387" s="211">
        <f t="shared" si="20"/>
        <v>-46136</v>
      </c>
      <c r="N387" s="683">
        <f t="shared" si="22"/>
        <v>7</v>
      </c>
      <c r="O387" s="212"/>
      <c r="P387" s="544"/>
      <c r="Q387" s="561">
        <f t="shared" si="23"/>
        <v>0</v>
      </c>
      <c r="R387" s="58"/>
      <c r="S387" s="58"/>
      <c r="T387" s="58"/>
      <c r="U387" s="58"/>
      <c r="V387" s="58"/>
    </row>
    <row r="388" spans="1:22" ht="15.75" customHeight="1">
      <c r="A388" s="468" t="s">
        <v>348</v>
      </c>
      <c r="B388" s="204" t="s">
        <v>184</v>
      </c>
      <c r="C388" s="527"/>
      <c r="D388" s="267"/>
      <c r="E388" s="706"/>
      <c r="F388" s="267"/>
      <c r="G388" s="206"/>
      <c r="H388" s="214"/>
      <c r="I388" s="503"/>
      <c r="J388" s="553"/>
      <c r="K388" s="552">
        <f t="shared" si="21"/>
        <v>0</v>
      </c>
      <c r="L388" s="217"/>
      <c r="M388" s="211">
        <f t="shared" si="20"/>
        <v>-46136</v>
      </c>
      <c r="N388" s="683">
        <f t="shared" si="22"/>
        <v>7</v>
      </c>
      <c r="O388" s="212"/>
      <c r="P388" s="544"/>
      <c r="Q388" s="561">
        <f t="shared" si="23"/>
        <v>0</v>
      </c>
      <c r="R388" s="58"/>
      <c r="S388" s="58"/>
      <c r="T388" s="58"/>
      <c r="U388" s="58"/>
      <c r="V388" s="58"/>
    </row>
    <row r="389" spans="1:22" ht="15.75" customHeight="1">
      <c r="A389" s="468" t="s">
        <v>348</v>
      </c>
      <c r="B389" s="204" t="s">
        <v>184</v>
      </c>
      <c r="C389" s="529"/>
      <c r="D389" s="507"/>
      <c r="E389" s="709"/>
      <c r="F389" s="507"/>
      <c r="G389" s="206"/>
      <c r="H389" s="214"/>
      <c r="I389" s="501"/>
      <c r="J389" s="553"/>
      <c r="K389" s="552">
        <f t="shared" si="21"/>
        <v>0</v>
      </c>
      <c r="L389" s="217"/>
      <c r="M389" s="211">
        <f t="shared" si="20"/>
        <v>-46136</v>
      </c>
      <c r="N389" s="683">
        <f t="shared" si="22"/>
        <v>7</v>
      </c>
      <c r="O389" s="212"/>
      <c r="P389" s="544"/>
      <c r="Q389" s="561">
        <f t="shared" si="23"/>
        <v>0</v>
      </c>
      <c r="R389" s="58"/>
      <c r="S389" s="58"/>
      <c r="T389" s="58"/>
      <c r="U389" s="58"/>
      <c r="V389" s="58"/>
    </row>
    <row r="390" spans="1:22" ht="15.75" customHeight="1">
      <c r="A390" s="468" t="s">
        <v>348</v>
      </c>
      <c r="B390" s="204" t="s">
        <v>184</v>
      </c>
      <c r="C390" s="527"/>
      <c r="D390" s="267"/>
      <c r="E390" s="706"/>
      <c r="F390" s="267"/>
      <c r="G390" s="206"/>
      <c r="H390" s="214"/>
      <c r="I390" s="502"/>
      <c r="J390" s="553"/>
      <c r="K390" s="552">
        <f t="shared" si="21"/>
        <v>0</v>
      </c>
      <c r="L390" s="217"/>
      <c r="M390" s="211">
        <f t="shared" si="20"/>
        <v>-46136</v>
      </c>
      <c r="N390" s="683">
        <f t="shared" si="22"/>
        <v>7</v>
      </c>
      <c r="O390" s="212"/>
      <c r="P390" s="544"/>
      <c r="Q390" s="561">
        <f t="shared" si="23"/>
        <v>0</v>
      </c>
      <c r="R390" s="58"/>
      <c r="S390" s="58"/>
      <c r="T390" s="58"/>
      <c r="U390" s="58"/>
      <c r="V390" s="58"/>
    </row>
    <row r="391" spans="1:22" ht="15.75" customHeight="1">
      <c r="A391" s="468" t="s">
        <v>348</v>
      </c>
      <c r="B391" s="204" t="s">
        <v>184</v>
      </c>
      <c r="C391" s="527"/>
      <c r="D391" s="267"/>
      <c r="E391" s="706"/>
      <c r="F391" s="267"/>
      <c r="G391" s="206"/>
      <c r="H391" s="214"/>
      <c r="I391" s="502"/>
      <c r="J391" s="553"/>
      <c r="K391" s="552">
        <f t="shared" si="21"/>
        <v>0</v>
      </c>
      <c r="L391" s="217"/>
      <c r="M391" s="211">
        <f t="shared" si="20"/>
        <v>-46136</v>
      </c>
      <c r="N391" s="683">
        <f t="shared" si="22"/>
        <v>7</v>
      </c>
      <c r="O391" s="212"/>
      <c r="P391" s="544"/>
      <c r="Q391" s="561">
        <f t="shared" si="23"/>
        <v>0</v>
      </c>
      <c r="R391" s="58"/>
      <c r="S391" s="58"/>
      <c r="T391" s="58"/>
      <c r="U391" s="58"/>
      <c r="V391" s="58"/>
    </row>
    <row r="392" spans="1:22" ht="15.75" customHeight="1">
      <c r="A392" s="468" t="s">
        <v>348</v>
      </c>
      <c r="B392" s="204" t="s">
        <v>184</v>
      </c>
      <c r="C392" s="527"/>
      <c r="D392" s="267"/>
      <c r="E392" s="706"/>
      <c r="F392" s="267"/>
      <c r="G392" s="206"/>
      <c r="H392" s="214"/>
      <c r="I392" s="501"/>
      <c r="J392" s="553"/>
      <c r="K392" s="552">
        <f t="shared" si="21"/>
        <v>0</v>
      </c>
      <c r="L392" s="217"/>
      <c r="M392" s="211">
        <f t="shared" si="20"/>
        <v>-46136</v>
      </c>
      <c r="N392" s="683">
        <f t="shared" si="22"/>
        <v>7</v>
      </c>
      <c r="O392" s="212"/>
      <c r="P392" s="544"/>
      <c r="Q392" s="561">
        <f t="shared" si="23"/>
        <v>0</v>
      </c>
      <c r="R392" s="58"/>
      <c r="S392" s="58"/>
      <c r="T392" s="58"/>
      <c r="U392" s="58"/>
      <c r="V392" s="58"/>
    </row>
    <row r="393" spans="1:22" ht="15.75" customHeight="1">
      <c r="A393" s="468" t="s">
        <v>348</v>
      </c>
      <c r="B393" s="204" t="s">
        <v>184</v>
      </c>
      <c r="C393" s="527"/>
      <c r="D393" s="267"/>
      <c r="E393" s="706"/>
      <c r="F393" s="267"/>
      <c r="G393" s="206"/>
      <c r="H393" s="214"/>
      <c r="I393" s="503"/>
      <c r="J393" s="553"/>
      <c r="K393" s="552">
        <f t="shared" si="21"/>
        <v>0</v>
      </c>
      <c r="L393" s="217"/>
      <c r="M393" s="211">
        <f t="shared" ref="M393:M456" si="24">+L393-$E$6</f>
        <v>-46136</v>
      </c>
      <c r="N393" s="683">
        <f t="shared" si="22"/>
        <v>7</v>
      </c>
      <c r="O393" s="212"/>
      <c r="P393" s="544"/>
      <c r="Q393" s="561">
        <f t="shared" si="23"/>
        <v>0</v>
      </c>
      <c r="R393" s="58"/>
      <c r="S393" s="58"/>
      <c r="T393" s="58"/>
      <c r="U393" s="58"/>
      <c r="V393" s="58"/>
    </row>
    <row r="394" spans="1:22" ht="15.75" customHeight="1">
      <c r="A394" s="468" t="s">
        <v>348</v>
      </c>
      <c r="B394" s="204" t="s">
        <v>184</v>
      </c>
      <c r="C394" s="527"/>
      <c r="D394" s="267"/>
      <c r="E394" s="706"/>
      <c r="F394" s="267"/>
      <c r="G394" s="206"/>
      <c r="H394" s="214"/>
      <c r="I394" s="502"/>
      <c r="J394" s="553"/>
      <c r="K394" s="552">
        <f t="shared" ref="K394:K457" si="25">-J394</f>
        <v>0</v>
      </c>
      <c r="L394" s="217"/>
      <c r="M394" s="211">
        <f t="shared" si="24"/>
        <v>-46136</v>
      </c>
      <c r="N394" s="683">
        <f t="shared" ref="N394:N457" si="26">+L394+7</f>
        <v>7</v>
      </c>
      <c r="O394" s="212"/>
      <c r="P394" s="544"/>
      <c r="Q394" s="561">
        <f t="shared" si="23"/>
        <v>0</v>
      </c>
      <c r="R394" s="58"/>
      <c r="S394" s="58"/>
      <c r="T394" s="58"/>
      <c r="U394" s="58"/>
      <c r="V394" s="58"/>
    </row>
    <row r="395" spans="1:22" ht="15.75" customHeight="1">
      <c r="A395" s="468" t="s">
        <v>348</v>
      </c>
      <c r="B395" s="204" t="s">
        <v>184</v>
      </c>
      <c r="C395" s="527"/>
      <c r="D395" s="267"/>
      <c r="E395" s="706"/>
      <c r="F395" s="205"/>
      <c r="G395" s="206"/>
      <c r="H395" s="214"/>
      <c r="I395" s="501"/>
      <c r="J395" s="553"/>
      <c r="K395" s="552">
        <f t="shared" si="25"/>
        <v>0</v>
      </c>
      <c r="L395" s="217"/>
      <c r="M395" s="211">
        <f t="shared" si="24"/>
        <v>-46136</v>
      </c>
      <c r="N395" s="683">
        <f t="shared" si="26"/>
        <v>7</v>
      </c>
      <c r="O395" s="212"/>
      <c r="P395" s="544"/>
      <c r="Q395" s="561">
        <f t="shared" ref="Q395:Q458" si="27">+K395+J395</f>
        <v>0</v>
      </c>
      <c r="R395" s="58"/>
      <c r="S395" s="58"/>
      <c r="T395" s="58"/>
      <c r="U395" s="58"/>
      <c r="V395" s="58"/>
    </row>
    <row r="396" spans="1:22" ht="15.75" customHeight="1">
      <c r="A396" s="468" t="s">
        <v>348</v>
      </c>
      <c r="B396" s="204" t="s">
        <v>184</v>
      </c>
      <c r="C396" s="531"/>
      <c r="D396" s="188"/>
      <c r="E396" s="706"/>
      <c r="F396" s="188"/>
      <c r="G396" s="206"/>
      <c r="H396" s="214"/>
      <c r="I396" s="502"/>
      <c r="J396" s="553"/>
      <c r="K396" s="552">
        <f t="shared" si="25"/>
        <v>0</v>
      </c>
      <c r="L396" s="217"/>
      <c r="M396" s="211">
        <f t="shared" si="24"/>
        <v>-46136</v>
      </c>
      <c r="N396" s="683">
        <f t="shared" si="26"/>
        <v>7</v>
      </c>
      <c r="O396" s="212"/>
      <c r="P396" s="544"/>
      <c r="Q396" s="561">
        <f t="shared" si="27"/>
        <v>0</v>
      </c>
      <c r="R396" s="58"/>
      <c r="S396" s="58"/>
      <c r="T396" s="58"/>
      <c r="U396" s="58"/>
      <c r="V396" s="58"/>
    </row>
    <row r="397" spans="1:22" ht="15.75" customHeight="1">
      <c r="A397" s="468" t="s">
        <v>348</v>
      </c>
      <c r="B397" s="204" t="s">
        <v>184</v>
      </c>
      <c r="C397" s="527"/>
      <c r="D397" s="267"/>
      <c r="E397" s="706"/>
      <c r="F397" s="267"/>
      <c r="G397" s="206"/>
      <c r="H397" s="214"/>
      <c r="I397" s="500"/>
      <c r="J397" s="553"/>
      <c r="K397" s="552">
        <f t="shared" si="25"/>
        <v>0</v>
      </c>
      <c r="L397" s="217"/>
      <c r="M397" s="211">
        <f t="shared" si="24"/>
        <v>-46136</v>
      </c>
      <c r="N397" s="683">
        <f t="shared" si="26"/>
        <v>7</v>
      </c>
      <c r="O397" s="212"/>
      <c r="P397" s="544"/>
      <c r="Q397" s="561">
        <f t="shared" si="27"/>
        <v>0</v>
      </c>
      <c r="R397" s="58"/>
      <c r="S397" s="58"/>
      <c r="T397" s="58"/>
      <c r="U397" s="58"/>
      <c r="V397" s="58"/>
    </row>
    <row r="398" spans="1:22" ht="15.75" customHeight="1">
      <c r="A398" s="468" t="s">
        <v>348</v>
      </c>
      <c r="B398" s="204" t="s">
        <v>184</v>
      </c>
      <c r="C398" s="527"/>
      <c r="D398" s="267"/>
      <c r="E398" s="706"/>
      <c r="F398" s="267"/>
      <c r="G398" s="206"/>
      <c r="H398" s="214"/>
      <c r="I398" s="500"/>
      <c r="J398" s="553"/>
      <c r="K398" s="552">
        <f t="shared" si="25"/>
        <v>0</v>
      </c>
      <c r="L398" s="217"/>
      <c r="M398" s="211">
        <f t="shared" si="24"/>
        <v>-46136</v>
      </c>
      <c r="N398" s="683">
        <f t="shared" si="26"/>
        <v>7</v>
      </c>
      <c r="O398" s="212"/>
      <c r="P398" s="544"/>
      <c r="Q398" s="561">
        <f t="shared" si="27"/>
        <v>0</v>
      </c>
      <c r="R398" s="58"/>
      <c r="S398" s="58"/>
      <c r="T398" s="58"/>
      <c r="U398" s="58"/>
      <c r="V398" s="58"/>
    </row>
    <row r="399" spans="1:22" ht="15.75" customHeight="1">
      <c r="A399" s="468" t="s">
        <v>348</v>
      </c>
      <c r="B399" s="204" t="s">
        <v>184</v>
      </c>
      <c r="C399" s="527"/>
      <c r="D399" s="205"/>
      <c r="E399" s="706"/>
      <c r="F399" s="205"/>
      <c r="G399" s="206"/>
      <c r="H399" s="214"/>
      <c r="I399" s="500"/>
      <c r="J399" s="553"/>
      <c r="K399" s="552">
        <f t="shared" si="25"/>
        <v>0</v>
      </c>
      <c r="L399" s="217"/>
      <c r="M399" s="211">
        <f t="shared" si="24"/>
        <v>-46136</v>
      </c>
      <c r="N399" s="683">
        <f t="shared" si="26"/>
        <v>7</v>
      </c>
      <c r="O399" s="212"/>
      <c r="P399" s="544"/>
      <c r="Q399" s="561">
        <f t="shared" si="27"/>
        <v>0</v>
      </c>
      <c r="R399" s="58"/>
      <c r="S399" s="58"/>
      <c r="T399" s="58"/>
      <c r="U399" s="58"/>
      <c r="V399" s="58"/>
    </row>
    <row r="400" spans="1:22" ht="15.75" customHeight="1">
      <c r="A400" s="468" t="s">
        <v>348</v>
      </c>
      <c r="B400" s="204" t="s">
        <v>184</v>
      </c>
      <c r="C400" s="527"/>
      <c r="D400" s="267"/>
      <c r="E400" s="706"/>
      <c r="F400" s="205"/>
      <c r="G400" s="206"/>
      <c r="H400" s="214"/>
      <c r="I400" s="502"/>
      <c r="J400" s="553"/>
      <c r="K400" s="552">
        <f t="shared" si="25"/>
        <v>0</v>
      </c>
      <c r="L400" s="217"/>
      <c r="M400" s="211">
        <f t="shared" si="24"/>
        <v>-46136</v>
      </c>
      <c r="N400" s="683">
        <f t="shared" si="26"/>
        <v>7</v>
      </c>
      <c r="O400" s="212"/>
      <c r="P400" s="544"/>
      <c r="Q400" s="561">
        <f t="shared" si="27"/>
        <v>0</v>
      </c>
      <c r="R400" s="58"/>
      <c r="S400" s="58"/>
      <c r="T400" s="58"/>
      <c r="U400" s="58"/>
      <c r="V400" s="58"/>
    </row>
    <row r="401" spans="1:22" ht="15.75" customHeight="1">
      <c r="A401" s="468" t="s">
        <v>348</v>
      </c>
      <c r="B401" s="204" t="s">
        <v>184</v>
      </c>
      <c r="C401" s="527"/>
      <c r="D401" s="267"/>
      <c r="E401" s="706"/>
      <c r="F401" s="205"/>
      <c r="G401" s="206"/>
      <c r="H401" s="214"/>
      <c r="I401" s="502"/>
      <c r="J401" s="553"/>
      <c r="K401" s="552">
        <f t="shared" si="25"/>
        <v>0</v>
      </c>
      <c r="L401" s="217"/>
      <c r="M401" s="211">
        <f t="shared" si="24"/>
        <v>-46136</v>
      </c>
      <c r="N401" s="683">
        <f t="shared" si="26"/>
        <v>7</v>
      </c>
      <c r="O401" s="212"/>
      <c r="P401" s="544"/>
      <c r="Q401" s="561">
        <f t="shared" si="27"/>
        <v>0</v>
      </c>
      <c r="R401" s="58"/>
      <c r="S401" s="58"/>
      <c r="T401" s="58"/>
      <c r="U401" s="58"/>
      <c r="V401" s="58"/>
    </row>
    <row r="402" spans="1:22" ht="15.75" customHeight="1">
      <c r="A402" s="468" t="s">
        <v>348</v>
      </c>
      <c r="B402" s="204" t="s">
        <v>184</v>
      </c>
      <c r="C402" s="527"/>
      <c r="D402" s="267"/>
      <c r="E402" s="706"/>
      <c r="F402" s="205"/>
      <c r="G402" s="206"/>
      <c r="H402" s="214"/>
      <c r="I402" s="502"/>
      <c r="J402" s="553"/>
      <c r="K402" s="552">
        <f t="shared" si="25"/>
        <v>0</v>
      </c>
      <c r="L402" s="217"/>
      <c r="M402" s="211">
        <f t="shared" si="24"/>
        <v>-46136</v>
      </c>
      <c r="N402" s="683">
        <f t="shared" si="26"/>
        <v>7</v>
      </c>
      <c r="O402" s="212"/>
      <c r="P402" s="544"/>
      <c r="Q402" s="561">
        <f t="shared" si="27"/>
        <v>0</v>
      </c>
      <c r="R402" s="58"/>
      <c r="S402" s="58"/>
      <c r="T402" s="58"/>
      <c r="U402" s="58"/>
      <c r="V402" s="58"/>
    </row>
    <row r="403" spans="1:22" ht="15.75" customHeight="1">
      <c r="A403" s="468" t="s">
        <v>348</v>
      </c>
      <c r="B403" s="204" t="s">
        <v>184</v>
      </c>
      <c r="C403" s="527"/>
      <c r="D403" s="267"/>
      <c r="E403" s="706"/>
      <c r="F403" s="205"/>
      <c r="G403" s="206"/>
      <c r="H403" s="214"/>
      <c r="I403" s="502"/>
      <c r="J403" s="553"/>
      <c r="K403" s="552">
        <f t="shared" si="25"/>
        <v>0</v>
      </c>
      <c r="L403" s="217"/>
      <c r="M403" s="211">
        <f t="shared" si="24"/>
        <v>-46136</v>
      </c>
      <c r="N403" s="683">
        <f t="shared" si="26"/>
        <v>7</v>
      </c>
      <c r="O403" s="212"/>
      <c r="P403" s="544"/>
      <c r="Q403" s="561">
        <f t="shared" si="27"/>
        <v>0</v>
      </c>
      <c r="R403" s="58"/>
      <c r="S403" s="58"/>
      <c r="T403" s="58"/>
      <c r="U403" s="58"/>
      <c r="V403" s="58"/>
    </row>
    <row r="404" spans="1:22" ht="15.75" customHeight="1">
      <c r="A404" s="468" t="s">
        <v>348</v>
      </c>
      <c r="B404" s="204" t="s">
        <v>184</v>
      </c>
      <c r="C404" s="527"/>
      <c r="D404" s="267"/>
      <c r="E404" s="706"/>
      <c r="F404" s="205"/>
      <c r="G404" s="206"/>
      <c r="H404" s="214"/>
      <c r="I404" s="502"/>
      <c r="J404" s="553"/>
      <c r="K404" s="552">
        <f t="shared" si="25"/>
        <v>0</v>
      </c>
      <c r="L404" s="217"/>
      <c r="M404" s="211">
        <f t="shared" si="24"/>
        <v>-46136</v>
      </c>
      <c r="N404" s="683">
        <f t="shared" si="26"/>
        <v>7</v>
      </c>
      <c r="O404" s="212"/>
      <c r="P404" s="544"/>
      <c r="Q404" s="561">
        <f t="shared" si="27"/>
        <v>0</v>
      </c>
      <c r="R404" s="58"/>
      <c r="S404" s="58"/>
      <c r="T404" s="58"/>
      <c r="U404" s="58"/>
      <c r="V404" s="58"/>
    </row>
    <row r="405" spans="1:22" ht="15.75" customHeight="1">
      <c r="A405" s="468" t="s">
        <v>348</v>
      </c>
      <c r="B405" s="204" t="s">
        <v>184</v>
      </c>
      <c r="C405" s="527"/>
      <c r="D405" s="267"/>
      <c r="E405" s="706"/>
      <c r="F405" s="205"/>
      <c r="G405" s="206"/>
      <c r="H405" s="214"/>
      <c r="I405" s="502"/>
      <c r="J405" s="553"/>
      <c r="K405" s="552">
        <f t="shared" si="25"/>
        <v>0</v>
      </c>
      <c r="L405" s="217"/>
      <c r="M405" s="211">
        <f t="shared" si="24"/>
        <v>-46136</v>
      </c>
      <c r="N405" s="683">
        <f t="shared" si="26"/>
        <v>7</v>
      </c>
      <c r="O405" s="212"/>
      <c r="P405" s="544"/>
      <c r="Q405" s="561">
        <f t="shared" si="27"/>
        <v>0</v>
      </c>
      <c r="R405" s="58"/>
      <c r="S405" s="58"/>
      <c r="T405" s="58"/>
      <c r="U405" s="58"/>
      <c r="V405" s="58"/>
    </row>
    <row r="406" spans="1:22" ht="15.75" customHeight="1">
      <c r="A406" s="468" t="s">
        <v>348</v>
      </c>
      <c r="B406" s="204" t="s">
        <v>184</v>
      </c>
      <c r="C406" s="527"/>
      <c r="D406" s="267"/>
      <c r="E406" s="706"/>
      <c r="F406" s="267"/>
      <c r="G406" s="206"/>
      <c r="H406" s="214"/>
      <c r="I406" s="502"/>
      <c r="J406" s="553"/>
      <c r="K406" s="552">
        <f t="shared" si="25"/>
        <v>0</v>
      </c>
      <c r="L406" s="217"/>
      <c r="M406" s="211">
        <f t="shared" si="24"/>
        <v>-46136</v>
      </c>
      <c r="N406" s="683">
        <f t="shared" si="26"/>
        <v>7</v>
      </c>
      <c r="O406" s="212"/>
      <c r="P406" s="544"/>
      <c r="Q406" s="561">
        <f t="shared" si="27"/>
        <v>0</v>
      </c>
      <c r="R406" s="58"/>
      <c r="S406" s="58"/>
      <c r="T406" s="58"/>
      <c r="U406" s="58"/>
      <c r="V406" s="58"/>
    </row>
    <row r="407" spans="1:22" ht="15.75" customHeight="1">
      <c r="A407" s="468" t="s">
        <v>348</v>
      </c>
      <c r="B407" s="204" t="s">
        <v>184</v>
      </c>
      <c r="C407" s="527"/>
      <c r="D407" s="267"/>
      <c r="E407" s="706"/>
      <c r="F407" s="267"/>
      <c r="G407" s="206"/>
      <c r="H407" s="214"/>
      <c r="I407" s="502"/>
      <c r="J407" s="553"/>
      <c r="K407" s="552">
        <f t="shared" si="25"/>
        <v>0</v>
      </c>
      <c r="L407" s="217"/>
      <c r="M407" s="211">
        <f t="shared" si="24"/>
        <v>-46136</v>
      </c>
      <c r="N407" s="683">
        <f t="shared" si="26"/>
        <v>7</v>
      </c>
      <c r="O407" s="212"/>
      <c r="P407" s="544"/>
      <c r="Q407" s="561">
        <f t="shared" si="27"/>
        <v>0</v>
      </c>
      <c r="R407" s="58"/>
      <c r="S407" s="58"/>
      <c r="T407" s="58"/>
      <c r="U407" s="58"/>
      <c r="V407" s="58"/>
    </row>
    <row r="408" spans="1:22" ht="15.75" customHeight="1">
      <c r="A408" s="468" t="s">
        <v>348</v>
      </c>
      <c r="B408" s="204" t="s">
        <v>184</v>
      </c>
      <c r="C408" s="527"/>
      <c r="D408" s="267"/>
      <c r="E408" s="706"/>
      <c r="F408" s="267"/>
      <c r="G408" s="206"/>
      <c r="H408" s="214"/>
      <c r="I408" s="502"/>
      <c r="J408" s="553"/>
      <c r="K408" s="552">
        <f t="shared" si="25"/>
        <v>0</v>
      </c>
      <c r="L408" s="217"/>
      <c r="M408" s="211">
        <f t="shared" si="24"/>
        <v>-46136</v>
      </c>
      <c r="N408" s="683">
        <f t="shared" si="26"/>
        <v>7</v>
      </c>
      <c r="O408" s="212"/>
      <c r="P408" s="544"/>
      <c r="Q408" s="561">
        <f t="shared" si="27"/>
        <v>0</v>
      </c>
      <c r="R408" s="58"/>
      <c r="S408" s="58"/>
      <c r="T408" s="58"/>
      <c r="U408" s="58"/>
      <c r="V408" s="58"/>
    </row>
    <row r="409" spans="1:22" ht="15.75" customHeight="1">
      <c r="A409" s="468" t="s">
        <v>348</v>
      </c>
      <c r="B409" s="204" t="s">
        <v>184</v>
      </c>
      <c r="C409" s="527"/>
      <c r="D409" s="267"/>
      <c r="E409" s="706"/>
      <c r="F409" s="205"/>
      <c r="G409" s="206"/>
      <c r="H409" s="214"/>
      <c r="I409" s="502"/>
      <c r="J409" s="553"/>
      <c r="K409" s="552">
        <f t="shared" si="25"/>
        <v>0</v>
      </c>
      <c r="L409" s="217"/>
      <c r="M409" s="211">
        <f t="shared" si="24"/>
        <v>-46136</v>
      </c>
      <c r="N409" s="683">
        <f t="shared" si="26"/>
        <v>7</v>
      </c>
      <c r="O409" s="212"/>
      <c r="P409" s="544"/>
      <c r="Q409" s="561">
        <f t="shared" si="27"/>
        <v>0</v>
      </c>
      <c r="R409" s="58"/>
      <c r="S409" s="58"/>
      <c r="T409" s="58"/>
      <c r="U409" s="58"/>
      <c r="V409" s="58"/>
    </row>
    <row r="410" spans="1:22" ht="15.75" customHeight="1">
      <c r="A410" s="468" t="s">
        <v>348</v>
      </c>
      <c r="B410" s="204" t="s">
        <v>184</v>
      </c>
      <c r="C410" s="527"/>
      <c r="D410" s="267"/>
      <c r="E410" s="706"/>
      <c r="F410" s="205"/>
      <c r="G410" s="206"/>
      <c r="H410" s="214"/>
      <c r="I410" s="502"/>
      <c r="J410" s="553"/>
      <c r="K410" s="552">
        <f t="shared" si="25"/>
        <v>0</v>
      </c>
      <c r="L410" s="217"/>
      <c r="M410" s="211">
        <f t="shared" si="24"/>
        <v>-46136</v>
      </c>
      <c r="N410" s="683">
        <f t="shared" si="26"/>
        <v>7</v>
      </c>
      <c r="O410" s="212"/>
      <c r="P410" s="544"/>
      <c r="Q410" s="561">
        <f t="shared" si="27"/>
        <v>0</v>
      </c>
      <c r="R410" s="58"/>
      <c r="S410" s="58"/>
      <c r="T410" s="58"/>
      <c r="U410" s="58"/>
      <c r="V410" s="58"/>
    </row>
    <row r="411" spans="1:22" ht="15.75" customHeight="1">
      <c r="A411" s="468" t="s">
        <v>348</v>
      </c>
      <c r="B411" s="204" t="s">
        <v>184</v>
      </c>
      <c r="C411" s="527"/>
      <c r="D411" s="267"/>
      <c r="E411" s="706"/>
      <c r="F411" s="205"/>
      <c r="G411" s="206"/>
      <c r="H411" s="214"/>
      <c r="I411" s="502"/>
      <c r="J411" s="553"/>
      <c r="K411" s="552">
        <f t="shared" si="25"/>
        <v>0</v>
      </c>
      <c r="L411" s="217"/>
      <c r="M411" s="211">
        <f t="shared" si="24"/>
        <v>-46136</v>
      </c>
      <c r="N411" s="683">
        <f t="shared" si="26"/>
        <v>7</v>
      </c>
      <c r="O411" s="212"/>
      <c r="P411" s="544"/>
      <c r="Q411" s="561">
        <f t="shared" si="27"/>
        <v>0</v>
      </c>
      <c r="R411" s="58"/>
      <c r="S411" s="58"/>
      <c r="T411" s="58"/>
      <c r="U411" s="58"/>
      <c r="V411" s="58"/>
    </row>
    <row r="412" spans="1:22" ht="15.75" customHeight="1">
      <c r="A412" s="468" t="s">
        <v>348</v>
      </c>
      <c r="B412" s="204" t="s">
        <v>184</v>
      </c>
      <c r="C412" s="527"/>
      <c r="D412" s="267"/>
      <c r="E412" s="706"/>
      <c r="F412" s="205"/>
      <c r="G412" s="206"/>
      <c r="H412" s="214"/>
      <c r="I412" s="502"/>
      <c r="J412" s="553"/>
      <c r="K412" s="552">
        <f t="shared" si="25"/>
        <v>0</v>
      </c>
      <c r="L412" s="217"/>
      <c r="M412" s="211">
        <f t="shared" si="24"/>
        <v>-46136</v>
      </c>
      <c r="N412" s="683">
        <f t="shared" si="26"/>
        <v>7</v>
      </c>
      <c r="O412" s="212"/>
      <c r="P412" s="544"/>
      <c r="Q412" s="561">
        <f t="shared" si="27"/>
        <v>0</v>
      </c>
      <c r="R412" s="58"/>
      <c r="S412" s="58"/>
      <c r="T412" s="58"/>
      <c r="U412" s="58"/>
      <c r="V412" s="58"/>
    </row>
    <row r="413" spans="1:22" ht="15.75" customHeight="1">
      <c r="A413" s="468" t="s">
        <v>348</v>
      </c>
      <c r="B413" s="204" t="s">
        <v>184</v>
      </c>
      <c r="C413" s="527"/>
      <c r="D413" s="267"/>
      <c r="E413" s="706"/>
      <c r="F413" s="205"/>
      <c r="G413" s="206"/>
      <c r="H413" s="214"/>
      <c r="I413" s="502"/>
      <c r="J413" s="553"/>
      <c r="K413" s="552">
        <f t="shared" si="25"/>
        <v>0</v>
      </c>
      <c r="L413" s="217"/>
      <c r="M413" s="211">
        <f t="shared" si="24"/>
        <v>-46136</v>
      </c>
      <c r="N413" s="683">
        <f t="shared" si="26"/>
        <v>7</v>
      </c>
      <c r="O413" s="212"/>
      <c r="P413" s="544"/>
      <c r="Q413" s="561">
        <f t="shared" si="27"/>
        <v>0</v>
      </c>
      <c r="R413" s="58"/>
      <c r="S413" s="58"/>
      <c r="T413" s="58"/>
      <c r="U413" s="58"/>
      <c r="V413" s="58"/>
    </row>
    <row r="414" spans="1:22" ht="15.75" customHeight="1">
      <c r="A414" s="468" t="s">
        <v>348</v>
      </c>
      <c r="B414" s="204" t="s">
        <v>184</v>
      </c>
      <c r="C414" s="527"/>
      <c r="D414" s="267"/>
      <c r="E414" s="706"/>
      <c r="F414" s="205"/>
      <c r="G414" s="206"/>
      <c r="H414" s="214"/>
      <c r="I414" s="502"/>
      <c r="J414" s="553"/>
      <c r="K414" s="552">
        <f t="shared" si="25"/>
        <v>0</v>
      </c>
      <c r="L414" s="217"/>
      <c r="M414" s="211">
        <f t="shared" si="24"/>
        <v>-46136</v>
      </c>
      <c r="N414" s="683">
        <f t="shared" si="26"/>
        <v>7</v>
      </c>
      <c r="O414" s="212"/>
      <c r="P414" s="544"/>
      <c r="Q414" s="561">
        <f t="shared" si="27"/>
        <v>0</v>
      </c>
      <c r="R414" s="58"/>
      <c r="S414" s="58"/>
      <c r="T414" s="58"/>
      <c r="U414" s="58"/>
      <c r="V414" s="58"/>
    </row>
    <row r="415" spans="1:22" ht="15.75" customHeight="1">
      <c r="A415" s="468" t="s">
        <v>348</v>
      </c>
      <c r="B415" s="204" t="s">
        <v>184</v>
      </c>
      <c r="C415" s="527"/>
      <c r="D415" s="267"/>
      <c r="E415" s="706"/>
      <c r="F415" s="215"/>
      <c r="G415" s="206"/>
      <c r="H415" s="214"/>
      <c r="I415" s="502"/>
      <c r="J415" s="553"/>
      <c r="K415" s="552">
        <f t="shared" si="25"/>
        <v>0</v>
      </c>
      <c r="L415" s="217"/>
      <c r="M415" s="211">
        <f t="shared" si="24"/>
        <v>-46136</v>
      </c>
      <c r="N415" s="683">
        <f t="shared" si="26"/>
        <v>7</v>
      </c>
      <c r="O415" s="212"/>
      <c r="P415" s="544"/>
      <c r="Q415" s="561">
        <f t="shared" si="27"/>
        <v>0</v>
      </c>
      <c r="R415" s="58"/>
      <c r="S415" s="58"/>
      <c r="T415" s="58"/>
      <c r="U415" s="58"/>
      <c r="V415" s="58"/>
    </row>
    <row r="416" spans="1:22" ht="15.75" customHeight="1">
      <c r="A416" s="468" t="s">
        <v>348</v>
      </c>
      <c r="B416" s="204" t="s">
        <v>184</v>
      </c>
      <c r="C416" s="527"/>
      <c r="D416" s="267"/>
      <c r="E416" s="706"/>
      <c r="F416" s="215"/>
      <c r="G416" s="206"/>
      <c r="H416" s="214"/>
      <c r="I416" s="502"/>
      <c r="J416" s="553"/>
      <c r="K416" s="552">
        <f t="shared" si="25"/>
        <v>0</v>
      </c>
      <c r="L416" s="217"/>
      <c r="M416" s="211">
        <f t="shared" si="24"/>
        <v>-46136</v>
      </c>
      <c r="N416" s="683">
        <f t="shared" si="26"/>
        <v>7</v>
      </c>
      <c r="O416" s="212"/>
      <c r="P416" s="544"/>
      <c r="Q416" s="561">
        <f t="shared" si="27"/>
        <v>0</v>
      </c>
      <c r="R416" s="58"/>
      <c r="S416" s="58"/>
      <c r="T416" s="58"/>
      <c r="U416" s="58"/>
      <c r="V416" s="58"/>
    </row>
    <row r="417" spans="1:22" ht="15.75" customHeight="1">
      <c r="A417" s="468" t="s">
        <v>348</v>
      </c>
      <c r="B417" s="204" t="s">
        <v>184</v>
      </c>
      <c r="C417" s="527"/>
      <c r="D417" s="267"/>
      <c r="E417" s="706"/>
      <c r="F417" s="215"/>
      <c r="G417" s="206"/>
      <c r="H417" s="214"/>
      <c r="I417" s="502"/>
      <c r="J417" s="553"/>
      <c r="K417" s="552">
        <f t="shared" si="25"/>
        <v>0</v>
      </c>
      <c r="L417" s="217"/>
      <c r="M417" s="211">
        <f t="shared" si="24"/>
        <v>-46136</v>
      </c>
      <c r="N417" s="683">
        <f t="shared" si="26"/>
        <v>7</v>
      </c>
      <c r="O417" s="212"/>
      <c r="P417" s="544"/>
      <c r="Q417" s="561">
        <f t="shared" si="27"/>
        <v>0</v>
      </c>
      <c r="R417" s="58"/>
      <c r="S417" s="58"/>
      <c r="T417" s="58"/>
      <c r="U417" s="58"/>
      <c r="V417" s="58"/>
    </row>
    <row r="418" spans="1:22" ht="15.75" customHeight="1">
      <c r="A418" s="468" t="s">
        <v>348</v>
      </c>
      <c r="B418" s="204" t="s">
        <v>184</v>
      </c>
      <c r="C418" s="527"/>
      <c r="D418" s="267"/>
      <c r="E418" s="706"/>
      <c r="F418" s="215"/>
      <c r="G418" s="206"/>
      <c r="H418" s="214"/>
      <c r="I418" s="502"/>
      <c r="J418" s="553"/>
      <c r="K418" s="552">
        <f t="shared" si="25"/>
        <v>0</v>
      </c>
      <c r="L418" s="217"/>
      <c r="M418" s="211">
        <f t="shared" si="24"/>
        <v>-46136</v>
      </c>
      <c r="N418" s="683">
        <f t="shared" si="26"/>
        <v>7</v>
      </c>
      <c r="O418" s="212"/>
      <c r="P418" s="544"/>
      <c r="Q418" s="561">
        <f t="shared" si="27"/>
        <v>0</v>
      </c>
      <c r="R418" s="58"/>
      <c r="S418" s="58"/>
      <c r="T418" s="58"/>
      <c r="U418" s="58"/>
      <c r="V418" s="58"/>
    </row>
    <row r="419" spans="1:22" ht="15.75" customHeight="1">
      <c r="A419" s="468" t="s">
        <v>348</v>
      </c>
      <c r="B419" s="204" t="s">
        <v>184</v>
      </c>
      <c r="C419" s="527"/>
      <c r="D419" s="267"/>
      <c r="E419" s="706"/>
      <c r="F419" s="215"/>
      <c r="G419" s="206"/>
      <c r="H419" s="214"/>
      <c r="I419" s="502"/>
      <c r="J419" s="553"/>
      <c r="K419" s="552">
        <f t="shared" si="25"/>
        <v>0</v>
      </c>
      <c r="L419" s="217"/>
      <c r="M419" s="211">
        <f t="shared" si="24"/>
        <v>-46136</v>
      </c>
      <c r="N419" s="683">
        <f t="shared" si="26"/>
        <v>7</v>
      </c>
      <c r="O419" s="212"/>
      <c r="P419" s="544"/>
      <c r="Q419" s="561">
        <f t="shared" si="27"/>
        <v>0</v>
      </c>
      <c r="R419" s="58"/>
      <c r="S419" s="58"/>
      <c r="T419" s="58"/>
      <c r="U419" s="58"/>
      <c r="V419" s="58"/>
    </row>
    <row r="420" spans="1:22" ht="15.75" customHeight="1">
      <c r="A420" s="468" t="s">
        <v>348</v>
      </c>
      <c r="B420" s="204" t="s">
        <v>184</v>
      </c>
      <c r="C420" s="527"/>
      <c r="D420" s="267"/>
      <c r="E420" s="706"/>
      <c r="F420" s="215"/>
      <c r="G420" s="206"/>
      <c r="H420" s="214"/>
      <c r="I420" s="502"/>
      <c r="J420" s="553"/>
      <c r="K420" s="552">
        <f t="shared" si="25"/>
        <v>0</v>
      </c>
      <c r="L420" s="217"/>
      <c r="M420" s="211">
        <f t="shared" si="24"/>
        <v>-46136</v>
      </c>
      <c r="N420" s="683">
        <f t="shared" si="26"/>
        <v>7</v>
      </c>
      <c r="O420" s="212"/>
      <c r="P420" s="544"/>
      <c r="Q420" s="561">
        <f t="shared" si="27"/>
        <v>0</v>
      </c>
      <c r="R420" s="58"/>
      <c r="S420" s="58"/>
      <c r="T420" s="58"/>
      <c r="U420" s="58"/>
      <c r="V420" s="58"/>
    </row>
    <row r="421" spans="1:22" ht="15.75" customHeight="1">
      <c r="A421" s="468" t="s">
        <v>348</v>
      </c>
      <c r="B421" s="204" t="s">
        <v>184</v>
      </c>
      <c r="C421" s="527"/>
      <c r="D421" s="267"/>
      <c r="E421" s="706"/>
      <c r="F421" s="215"/>
      <c r="G421" s="206"/>
      <c r="H421" s="214"/>
      <c r="I421" s="502"/>
      <c r="J421" s="553"/>
      <c r="K421" s="552">
        <f t="shared" si="25"/>
        <v>0</v>
      </c>
      <c r="L421" s="217"/>
      <c r="M421" s="211">
        <f t="shared" si="24"/>
        <v>-46136</v>
      </c>
      <c r="N421" s="683">
        <f t="shared" si="26"/>
        <v>7</v>
      </c>
      <c r="O421" s="212"/>
      <c r="P421" s="544"/>
      <c r="Q421" s="561">
        <f t="shared" si="27"/>
        <v>0</v>
      </c>
      <c r="R421" s="58"/>
      <c r="S421" s="58"/>
      <c r="T421" s="58"/>
      <c r="U421" s="58"/>
      <c r="V421" s="58"/>
    </row>
    <row r="422" spans="1:22" ht="15.75" customHeight="1">
      <c r="A422" s="468" t="s">
        <v>348</v>
      </c>
      <c r="B422" s="204" t="s">
        <v>184</v>
      </c>
      <c r="C422" s="527"/>
      <c r="D422" s="267"/>
      <c r="E422" s="706"/>
      <c r="F422" s="215"/>
      <c r="G422" s="206"/>
      <c r="H422" s="214"/>
      <c r="I422" s="502"/>
      <c r="J422" s="553"/>
      <c r="K422" s="552">
        <f t="shared" si="25"/>
        <v>0</v>
      </c>
      <c r="L422" s="217"/>
      <c r="M422" s="211">
        <f t="shared" si="24"/>
        <v>-46136</v>
      </c>
      <c r="N422" s="683">
        <f t="shared" si="26"/>
        <v>7</v>
      </c>
      <c r="O422" s="212"/>
      <c r="P422" s="544"/>
      <c r="Q422" s="561">
        <f t="shared" si="27"/>
        <v>0</v>
      </c>
      <c r="R422" s="58"/>
      <c r="S422" s="58"/>
      <c r="T422" s="58"/>
      <c r="U422" s="58"/>
      <c r="V422" s="58"/>
    </row>
    <row r="423" spans="1:22" ht="15.75" customHeight="1">
      <c r="A423" s="468" t="s">
        <v>348</v>
      </c>
      <c r="B423" s="204" t="s">
        <v>184</v>
      </c>
      <c r="C423" s="527"/>
      <c r="D423" s="267"/>
      <c r="E423" s="706"/>
      <c r="F423" s="215"/>
      <c r="G423" s="206"/>
      <c r="H423" s="214"/>
      <c r="I423" s="502"/>
      <c r="J423" s="553"/>
      <c r="K423" s="552">
        <f t="shared" si="25"/>
        <v>0</v>
      </c>
      <c r="L423" s="217"/>
      <c r="M423" s="211">
        <f t="shared" si="24"/>
        <v>-46136</v>
      </c>
      <c r="N423" s="683">
        <f t="shared" si="26"/>
        <v>7</v>
      </c>
      <c r="O423" s="212"/>
      <c r="P423" s="544"/>
      <c r="Q423" s="561">
        <f t="shared" si="27"/>
        <v>0</v>
      </c>
      <c r="R423" s="58"/>
      <c r="S423" s="58"/>
      <c r="T423" s="58"/>
      <c r="U423" s="58"/>
      <c r="V423" s="58"/>
    </row>
    <row r="424" spans="1:22" ht="15.75" customHeight="1">
      <c r="A424" s="468" t="s">
        <v>348</v>
      </c>
      <c r="B424" s="204" t="s">
        <v>184</v>
      </c>
      <c r="C424" s="527"/>
      <c r="D424" s="267"/>
      <c r="E424" s="706"/>
      <c r="F424" s="215"/>
      <c r="G424" s="206"/>
      <c r="H424" s="214"/>
      <c r="I424" s="502"/>
      <c r="J424" s="553"/>
      <c r="K424" s="552">
        <f t="shared" si="25"/>
        <v>0</v>
      </c>
      <c r="L424" s="217"/>
      <c r="M424" s="211">
        <f t="shared" si="24"/>
        <v>-46136</v>
      </c>
      <c r="N424" s="683">
        <f t="shared" si="26"/>
        <v>7</v>
      </c>
      <c r="O424" s="212"/>
      <c r="P424" s="544"/>
      <c r="Q424" s="561">
        <f t="shared" si="27"/>
        <v>0</v>
      </c>
      <c r="R424" s="58"/>
      <c r="S424" s="58"/>
      <c r="T424" s="58"/>
      <c r="U424" s="58"/>
      <c r="V424" s="58"/>
    </row>
    <row r="425" spans="1:22" ht="15.75" customHeight="1">
      <c r="A425" s="468" t="s">
        <v>348</v>
      </c>
      <c r="B425" s="204" t="s">
        <v>184</v>
      </c>
      <c r="C425" s="527"/>
      <c r="D425" s="267"/>
      <c r="E425" s="706"/>
      <c r="F425" s="215"/>
      <c r="G425" s="206"/>
      <c r="H425" s="214"/>
      <c r="I425" s="502"/>
      <c r="J425" s="553"/>
      <c r="K425" s="552">
        <f t="shared" si="25"/>
        <v>0</v>
      </c>
      <c r="L425" s="217"/>
      <c r="M425" s="211">
        <f t="shared" si="24"/>
        <v>-46136</v>
      </c>
      <c r="N425" s="683">
        <f t="shared" si="26"/>
        <v>7</v>
      </c>
      <c r="O425" s="212"/>
      <c r="P425" s="544"/>
      <c r="Q425" s="561">
        <f t="shared" si="27"/>
        <v>0</v>
      </c>
      <c r="R425" s="58"/>
      <c r="S425" s="58"/>
      <c r="T425" s="58"/>
      <c r="U425" s="58"/>
      <c r="V425" s="58"/>
    </row>
    <row r="426" spans="1:22" ht="15.75" customHeight="1">
      <c r="A426" s="468" t="s">
        <v>348</v>
      </c>
      <c r="B426" s="204" t="s">
        <v>184</v>
      </c>
      <c r="C426" s="527"/>
      <c r="D426" s="267"/>
      <c r="E426" s="706"/>
      <c r="F426" s="215"/>
      <c r="G426" s="206"/>
      <c r="H426" s="214"/>
      <c r="I426" s="502"/>
      <c r="J426" s="553"/>
      <c r="K426" s="552">
        <f t="shared" si="25"/>
        <v>0</v>
      </c>
      <c r="L426" s="217"/>
      <c r="M426" s="211">
        <f t="shared" si="24"/>
        <v>-46136</v>
      </c>
      <c r="N426" s="683">
        <f t="shared" si="26"/>
        <v>7</v>
      </c>
      <c r="O426" s="212"/>
      <c r="P426" s="544"/>
      <c r="Q426" s="561">
        <f t="shared" si="27"/>
        <v>0</v>
      </c>
      <c r="R426" s="58"/>
      <c r="S426" s="58"/>
      <c r="T426" s="58"/>
      <c r="U426" s="58"/>
      <c r="V426" s="58"/>
    </row>
    <row r="427" spans="1:22" ht="15.75" customHeight="1">
      <c r="A427" s="468" t="s">
        <v>348</v>
      </c>
      <c r="B427" s="204" t="s">
        <v>184</v>
      </c>
      <c r="C427" s="527"/>
      <c r="D427" s="267"/>
      <c r="E427" s="706"/>
      <c r="F427" s="215"/>
      <c r="G427" s="206"/>
      <c r="H427" s="214"/>
      <c r="I427" s="502"/>
      <c r="J427" s="553"/>
      <c r="K427" s="552">
        <f t="shared" si="25"/>
        <v>0</v>
      </c>
      <c r="L427" s="217"/>
      <c r="M427" s="211">
        <f t="shared" si="24"/>
        <v>-46136</v>
      </c>
      <c r="N427" s="683">
        <f t="shared" si="26"/>
        <v>7</v>
      </c>
      <c r="O427" s="212"/>
      <c r="P427" s="544"/>
      <c r="Q427" s="561">
        <f t="shared" si="27"/>
        <v>0</v>
      </c>
      <c r="R427" s="58"/>
      <c r="S427" s="58"/>
      <c r="T427" s="58"/>
      <c r="U427" s="58"/>
      <c r="V427" s="58"/>
    </row>
    <row r="428" spans="1:22" ht="15.75" customHeight="1">
      <c r="A428" s="468" t="s">
        <v>348</v>
      </c>
      <c r="B428" s="204" t="s">
        <v>184</v>
      </c>
      <c r="C428" s="527"/>
      <c r="D428" s="267"/>
      <c r="E428" s="706"/>
      <c r="F428" s="215"/>
      <c r="G428" s="206"/>
      <c r="H428" s="214"/>
      <c r="I428" s="502"/>
      <c r="J428" s="553"/>
      <c r="K428" s="552">
        <f t="shared" si="25"/>
        <v>0</v>
      </c>
      <c r="L428" s="217"/>
      <c r="M428" s="211">
        <f t="shared" si="24"/>
        <v>-46136</v>
      </c>
      <c r="N428" s="683">
        <f t="shared" si="26"/>
        <v>7</v>
      </c>
      <c r="O428" s="212"/>
      <c r="P428" s="544"/>
      <c r="Q428" s="561">
        <f t="shared" si="27"/>
        <v>0</v>
      </c>
      <c r="R428" s="58"/>
      <c r="S428" s="58"/>
      <c r="T428" s="58"/>
      <c r="U428" s="58"/>
      <c r="V428" s="58"/>
    </row>
    <row r="429" spans="1:22" ht="15.75" customHeight="1">
      <c r="A429" s="468" t="s">
        <v>348</v>
      </c>
      <c r="B429" s="204" t="s">
        <v>184</v>
      </c>
      <c r="C429" s="527"/>
      <c r="D429" s="267"/>
      <c r="E429" s="706"/>
      <c r="F429" s="205"/>
      <c r="G429" s="206"/>
      <c r="H429" s="214"/>
      <c r="I429" s="502"/>
      <c r="J429" s="553"/>
      <c r="K429" s="552">
        <f t="shared" si="25"/>
        <v>0</v>
      </c>
      <c r="L429" s="217"/>
      <c r="M429" s="211">
        <f t="shared" si="24"/>
        <v>-46136</v>
      </c>
      <c r="N429" s="683">
        <f t="shared" si="26"/>
        <v>7</v>
      </c>
      <c r="O429" s="212"/>
      <c r="P429" s="544"/>
      <c r="Q429" s="561">
        <f t="shared" si="27"/>
        <v>0</v>
      </c>
      <c r="R429" s="58"/>
      <c r="S429" s="58"/>
      <c r="T429" s="58"/>
      <c r="U429" s="58"/>
      <c r="V429" s="58"/>
    </row>
    <row r="430" spans="1:22" ht="15.75" customHeight="1">
      <c r="A430" s="468" t="s">
        <v>348</v>
      </c>
      <c r="B430" s="204" t="s">
        <v>184</v>
      </c>
      <c r="C430" s="527"/>
      <c r="D430" s="267"/>
      <c r="E430" s="706"/>
      <c r="F430" s="205"/>
      <c r="G430" s="206"/>
      <c r="H430" s="214"/>
      <c r="I430" s="502"/>
      <c r="J430" s="553"/>
      <c r="K430" s="552">
        <f t="shared" si="25"/>
        <v>0</v>
      </c>
      <c r="L430" s="217"/>
      <c r="M430" s="211">
        <f t="shared" si="24"/>
        <v>-46136</v>
      </c>
      <c r="N430" s="683">
        <f t="shared" si="26"/>
        <v>7</v>
      </c>
      <c r="O430" s="212"/>
      <c r="P430" s="544"/>
      <c r="Q430" s="561">
        <f t="shared" si="27"/>
        <v>0</v>
      </c>
      <c r="R430" s="58"/>
      <c r="S430" s="58"/>
      <c r="T430" s="58"/>
      <c r="U430" s="58"/>
      <c r="V430" s="58"/>
    </row>
    <row r="431" spans="1:22" ht="15.75" customHeight="1">
      <c r="A431" s="468" t="s">
        <v>348</v>
      </c>
      <c r="B431" s="204" t="s">
        <v>184</v>
      </c>
      <c r="C431" s="527"/>
      <c r="D431" s="267"/>
      <c r="E431" s="706"/>
      <c r="F431" s="205"/>
      <c r="G431" s="206"/>
      <c r="H431" s="214"/>
      <c r="I431" s="503"/>
      <c r="J431" s="553"/>
      <c r="K431" s="552">
        <f t="shared" si="25"/>
        <v>0</v>
      </c>
      <c r="L431" s="217"/>
      <c r="M431" s="211">
        <f t="shared" si="24"/>
        <v>-46136</v>
      </c>
      <c r="N431" s="683">
        <f t="shared" si="26"/>
        <v>7</v>
      </c>
      <c r="O431" s="212"/>
      <c r="P431" s="544"/>
      <c r="Q431" s="561">
        <f t="shared" si="27"/>
        <v>0</v>
      </c>
      <c r="R431" s="58"/>
      <c r="S431" s="58"/>
      <c r="T431" s="58"/>
      <c r="U431" s="58"/>
      <c r="V431" s="58"/>
    </row>
    <row r="432" spans="1:22" ht="15.75" customHeight="1">
      <c r="A432" s="468" t="s">
        <v>348</v>
      </c>
      <c r="B432" s="204" t="s">
        <v>184</v>
      </c>
      <c r="C432" s="527"/>
      <c r="D432" s="267"/>
      <c r="E432" s="706"/>
      <c r="F432" s="205"/>
      <c r="G432" s="206"/>
      <c r="H432" s="214"/>
      <c r="I432" s="502"/>
      <c r="J432" s="553"/>
      <c r="K432" s="552">
        <f t="shared" si="25"/>
        <v>0</v>
      </c>
      <c r="L432" s="217"/>
      <c r="M432" s="211">
        <f t="shared" si="24"/>
        <v>-46136</v>
      </c>
      <c r="N432" s="683">
        <f t="shared" si="26"/>
        <v>7</v>
      </c>
      <c r="O432" s="212"/>
      <c r="P432" s="544"/>
      <c r="Q432" s="561">
        <f t="shared" si="27"/>
        <v>0</v>
      </c>
      <c r="R432" s="58"/>
      <c r="S432" s="58"/>
      <c r="T432" s="58"/>
      <c r="U432" s="58"/>
      <c r="V432" s="58"/>
    </row>
    <row r="433" spans="1:22" ht="15.75" customHeight="1">
      <c r="A433" s="468" t="s">
        <v>348</v>
      </c>
      <c r="B433" s="204" t="s">
        <v>184</v>
      </c>
      <c r="C433" s="527"/>
      <c r="D433" s="267"/>
      <c r="E433" s="706"/>
      <c r="F433" s="205"/>
      <c r="G433" s="206"/>
      <c r="H433" s="214"/>
      <c r="I433" s="503"/>
      <c r="J433" s="553"/>
      <c r="K433" s="552">
        <f t="shared" si="25"/>
        <v>0</v>
      </c>
      <c r="L433" s="217"/>
      <c r="M433" s="211">
        <f t="shared" si="24"/>
        <v>-46136</v>
      </c>
      <c r="N433" s="683">
        <f t="shared" si="26"/>
        <v>7</v>
      </c>
      <c r="O433" s="212"/>
      <c r="P433" s="544"/>
      <c r="Q433" s="561">
        <f t="shared" si="27"/>
        <v>0</v>
      </c>
      <c r="R433" s="58"/>
      <c r="S433" s="58"/>
      <c r="T433" s="58"/>
      <c r="U433" s="58"/>
      <c r="V433" s="58"/>
    </row>
    <row r="434" spans="1:22" ht="15.75" customHeight="1">
      <c r="A434" s="468" t="s">
        <v>348</v>
      </c>
      <c r="B434" s="204" t="s">
        <v>184</v>
      </c>
      <c r="C434" s="527"/>
      <c r="D434" s="267"/>
      <c r="E434" s="706"/>
      <c r="F434" s="205"/>
      <c r="G434" s="206"/>
      <c r="H434" s="214"/>
      <c r="I434" s="503"/>
      <c r="J434" s="553"/>
      <c r="K434" s="552">
        <f t="shared" si="25"/>
        <v>0</v>
      </c>
      <c r="L434" s="217"/>
      <c r="M434" s="211">
        <f t="shared" si="24"/>
        <v>-46136</v>
      </c>
      <c r="N434" s="683">
        <f t="shared" si="26"/>
        <v>7</v>
      </c>
      <c r="O434" s="212"/>
      <c r="P434" s="544"/>
      <c r="Q434" s="561">
        <f t="shared" si="27"/>
        <v>0</v>
      </c>
      <c r="R434" s="58"/>
      <c r="S434" s="58"/>
      <c r="T434" s="58"/>
      <c r="U434" s="58"/>
      <c r="V434" s="58"/>
    </row>
    <row r="435" spans="1:22" ht="15.75" customHeight="1">
      <c r="A435" s="468" t="s">
        <v>348</v>
      </c>
      <c r="B435" s="204" t="s">
        <v>184</v>
      </c>
      <c r="C435" s="527"/>
      <c r="D435" s="267"/>
      <c r="E435" s="706"/>
      <c r="F435" s="205"/>
      <c r="G435" s="206"/>
      <c r="H435" s="214"/>
      <c r="I435" s="503"/>
      <c r="J435" s="553"/>
      <c r="K435" s="552">
        <f t="shared" si="25"/>
        <v>0</v>
      </c>
      <c r="L435" s="217"/>
      <c r="M435" s="211">
        <f t="shared" si="24"/>
        <v>-46136</v>
      </c>
      <c r="N435" s="683">
        <f t="shared" si="26"/>
        <v>7</v>
      </c>
      <c r="O435" s="212"/>
      <c r="P435" s="544"/>
      <c r="Q435" s="561">
        <f t="shared" si="27"/>
        <v>0</v>
      </c>
      <c r="R435" s="58"/>
      <c r="S435" s="58"/>
      <c r="T435" s="58"/>
      <c r="U435" s="58"/>
      <c r="V435" s="58"/>
    </row>
    <row r="436" spans="1:22" ht="15.75" customHeight="1">
      <c r="A436" s="468" t="s">
        <v>348</v>
      </c>
      <c r="B436" s="204" t="s">
        <v>184</v>
      </c>
      <c r="C436" s="527"/>
      <c r="D436" s="267"/>
      <c r="E436" s="706"/>
      <c r="F436" s="205"/>
      <c r="G436" s="206"/>
      <c r="H436" s="214"/>
      <c r="I436" s="503"/>
      <c r="J436" s="553"/>
      <c r="K436" s="552">
        <f t="shared" si="25"/>
        <v>0</v>
      </c>
      <c r="L436" s="217"/>
      <c r="M436" s="211">
        <f t="shared" si="24"/>
        <v>-46136</v>
      </c>
      <c r="N436" s="683">
        <f t="shared" si="26"/>
        <v>7</v>
      </c>
      <c r="O436" s="212"/>
      <c r="P436" s="544"/>
      <c r="Q436" s="561">
        <f t="shared" si="27"/>
        <v>0</v>
      </c>
      <c r="R436" s="58"/>
      <c r="S436" s="58"/>
      <c r="T436" s="58"/>
      <c r="U436" s="58"/>
      <c r="V436" s="58"/>
    </row>
    <row r="437" spans="1:22" ht="15.75" customHeight="1">
      <c r="A437" s="468" t="s">
        <v>348</v>
      </c>
      <c r="B437" s="204" t="s">
        <v>184</v>
      </c>
      <c r="C437" s="527"/>
      <c r="D437" s="267"/>
      <c r="E437" s="706"/>
      <c r="F437" s="205"/>
      <c r="G437" s="206"/>
      <c r="H437" s="214"/>
      <c r="I437" s="502"/>
      <c r="J437" s="553"/>
      <c r="K437" s="552">
        <f t="shared" si="25"/>
        <v>0</v>
      </c>
      <c r="L437" s="217"/>
      <c r="M437" s="211">
        <f t="shared" si="24"/>
        <v>-46136</v>
      </c>
      <c r="N437" s="683">
        <f t="shared" si="26"/>
        <v>7</v>
      </c>
      <c r="O437" s="212"/>
      <c r="P437" s="544"/>
      <c r="Q437" s="561">
        <f t="shared" si="27"/>
        <v>0</v>
      </c>
      <c r="R437" s="58"/>
      <c r="S437" s="58"/>
      <c r="T437" s="58"/>
      <c r="U437" s="58"/>
      <c r="V437" s="58"/>
    </row>
    <row r="438" spans="1:22" ht="15.75" customHeight="1">
      <c r="A438" s="468" t="s">
        <v>348</v>
      </c>
      <c r="B438" s="204" t="s">
        <v>184</v>
      </c>
      <c r="C438" s="527"/>
      <c r="D438" s="267"/>
      <c r="E438" s="706"/>
      <c r="F438" s="205"/>
      <c r="G438" s="206"/>
      <c r="H438" s="214"/>
      <c r="I438" s="503"/>
      <c r="J438" s="553"/>
      <c r="K438" s="552">
        <f t="shared" si="25"/>
        <v>0</v>
      </c>
      <c r="L438" s="217"/>
      <c r="M438" s="211">
        <f t="shared" si="24"/>
        <v>-46136</v>
      </c>
      <c r="N438" s="683">
        <f t="shared" si="26"/>
        <v>7</v>
      </c>
      <c r="O438" s="212"/>
      <c r="P438" s="544"/>
      <c r="Q438" s="561">
        <f t="shared" si="27"/>
        <v>0</v>
      </c>
      <c r="R438" s="58"/>
      <c r="S438" s="58"/>
      <c r="T438" s="58"/>
      <c r="U438" s="58"/>
      <c r="V438" s="58"/>
    </row>
    <row r="439" spans="1:22" ht="15.75" customHeight="1">
      <c r="A439" s="468" t="s">
        <v>348</v>
      </c>
      <c r="B439" s="204" t="s">
        <v>184</v>
      </c>
      <c r="C439" s="527"/>
      <c r="D439" s="267"/>
      <c r="E439" s="706"/>
      <c r="F439" s="205"/>
      <c r="G439" s="206"/>
      <c r="H439" s="214"/>
      <c r="I439" s="503"/>
      <c r="J439" s="553"/>
      <c r="K439" s="552">
        <f t="shared" si="25"/>
        <v>0</v>
      </c>
      <c r="L439" s="217"/>
      <c r="M439" s="211">
        <f t="shared" si="24"/>
        <v>-46136</v>
      </c>
      <c r="N439" s="683">
        <f t="shared" si="26"/>
        <v>7</v>
      </c>
      <c r="O439" s="212"/>
      <c r="P439" s="544"/>
      <c r="Q439" s="561">
        <f t="shared" si="27"/>
        <v>0</v>
      </c>
      <c r="R439" s="58"/>
      <c r="S439" s="58"/>
      <c r="T439" s="58"/>
      <c r="U439" s="58"/>
      <c r="V439" s="58"/>
    </row>
    <row r="440" spans="1:22" ht="15.75" customHeight="1">
      <c r="A440" s="468" t="s">
        <v>348</v>
      </c>
      <c r="B440" s="204" t="s">
        <v>184</v>
      </c>
      <c r="C440" s="527"/>
      <c r="D440" s="267"/>
      <c r="E440" s="706"/>
      <c r="F440" s="205"/>
      <c r="G440" s="206"/>
      <c r="H440" s="214"/>
      <c r="I440" s="502"/>
      <c r="J440" s="553"/>
      <c r="K440" s="552">
        <f t="shared" si="25"/>
        <v>0</v>
      </c>
      <c r="L440" s="217"/>
      <c r="M440" s="211">
        <f t="shared" si="24"/>
        <v>-46136</v>
      </c>
      <c r="N440" s="683">
        <f t="shared" si="26"/>
        <v>7</v>
      </c>
      <c r="O440" s="212"/>
      <c r="P440" s="544"/>
      <c r="Q440" s="561">
        <f t="shared" si="27"/>
        <v>0</v>
      </c>
      <c r="R440" s="58"/>
      <c r="S440" s="58"/>
      <c r="T440" s="58"/>
      <c r="U440" s="58"/>
      <c r="V440" s="58"/>
    </row>
    <row r="441" spans="1:22" ht="15.75" customHeight="1">
      <c r="A441" s="468" t="s">
        <v>348</v>
      </c>
      <c r="B441" s="204" t="s">
        <v>184</v>
      </c>
      <c r="C441" s="527"/>
      <c r="D441" s="267"/>
      <c r="E441" s="706"/>
      <c r="F441" s="205"/>
      <c r="G441" s="206"/>
      <c r="H441" s="214"/>
      <c r="I441" s="502"/>
      <c r="J441" s="553"/>
      <c r="K441" s="552">
        <f t="shared" si="25"/>
        <v>0</v>
      </c>
      <c r="L441" s="217"/>
      <c r="M441" s="211">
        <f t="shared" si="24"/>
        <v>-46136</v>
      </c>
      <c r="N441" s="683">
        <f t="shared" si="26"/>
        <v>7</v>
      </c>
      <c r="O441" s="212"/>
      <c r="P441" s="544"/>
      <c r="Q441" s="561">
        <f t="shared" si="27"/>
        <v>0</v>
      </c>
      <c r="R441" s="58"/>
      <c r="S441" s="58"/>
      <c r="T441" s="58"/>
      <c r="U441" s="58"/>
      <c r="V441" s="58"/>
    </row>
    <row r="442" spans="1:22" ht="15.75" customHeight="1">
      <c r="A442" s="468" t="s">
        <v>348</v>
      </c>
      <c r="B442" s="204" t="s">
        <v>184</v>
      </c>
      <c r="C442" s="527"/>
      <c r="D442" s="267"/>
      <c r="E442" s="706"/>
      <c r="F442" s="267"/>
      <c r="G442" s="206"/>
      <c r="H442" s="214"/>
      <c r="I442" s="502"/>
      <c r="J442" s="553"/>
      <c r="K442" s="552">
        <f t="shared" si="25"/>
        <v>0</v>
      </c>
      <c r="L442" s="217"/>
      <c r="M442" s="211">
        <f t="shared" si="24"/>
        <v>-46136</v>
      </c>
      <c r="N442" s="683">
        <f t="shared" si="26"/>
        <v>7</v>
      </c>
      <c r="O442" s="212"/>
      <c r="P442" s="544"/>
      <c r="Q442" s="561">
        <f t="shared" si="27"/>
        <v>0</v>
      </c>
      <c r="R442" s="58"/>
      <c r="S442" s="58"/>
      <c r="T442" s="58"/>
      <c r="U442" s="58"/>
      <c r="V442" s="58"/>
    </row>
    <row r="443" spans="1:22" ht="15.75" customHeight="1">
      <c r="A443" s="468" t="s">
        <v>348</v>
      </c>
      <c r="B443" s="204" t="s">
        <v>184</v>
      </c>
      <c r="C443" s="527"/>
      <c r="D443" s="267"/>
      <c r="E443" s="706"/>
      <c r="F443" s="267"/>
      <c r="G443" s="206"/>
      <c r="H443" s="214"/>
      <c r="I443" s="500"/>
      <c r="J443" s="553"/>
      <c r="K443" s="552">
        <f t="shared" si="25"/>
        <v>0</v>
      </c>
      <c r="L443" s="217"/>
      <c r="M443" s="211">
        <f t="shared" si="24"/>
        <v>-46136</v>
      </c>
      <c r="N443" s="683">
        <f t="shared" si="26"/>
        <v>7</v>
      </c>
      <c r="O443" s="212"/>
      <c r="P443" s="544"/>
      <c r="Q443" s="561">
        <f t="shared" si="27"/>
        <v>0</v>
      </c>
      <c r="R443" s="58"/>
      <c r="S443" s="58"/>
      <c r="T443" s="58"/>
      <c r="U443" s="58"/>
      <c r="V443" s="58"/>
    </row>
    <row r="444" spans="1:22" ht="15.75" customHeight="1">
      <c r="A444" s="468" t="s">
        <v>348</v>
      </c>
      <c r="B444" s="204" t="s">
        <v>184</v>
      </c>
      <c r="C444" s="527"/>
      <c r="D444" s="267"/>
      <c r="E444" s="706"/>
      <c r="F444" s="267"/>
      <c r="G444" s="206"/>
      <c r="H444" s="214"/>
      <c r="I444" s="500"/>
      <c r="J444" s="553"/>
      <c r="K444" s="552">
        <f t="shared" si="25"/>
        <v>0</v>
      </c>
      <c r="L444" s="217"/>
      <c r="M444" s="211">
        <f t="shared" si="24"/>
        <v>-46136</v>
      </c>
      <c r="N444" s="683">
        <f t="shared" si="26"/>
        <v>7</v>
      </c>
      <c r="O444" s="212"/>
      <c r="P444" s="544"/>
      <c r="Q444" s="561">
        <f t="shared" si="27"/>
        <v>0</v>
      </c>
      <c r="R444" s="58"/>
      <c r="S444" s="58"/>
      <c r="T444" s="58"/>
      <c r="U444" s="58"/>
      <c r="V444" s="58"/>
    </row>
    <row r="445" spans="1:22" ht="15.75" customHeight="1">
      <c r="A445" s="468" t="s">
        <v>348</v>
      </c>
      <c r="B445" s="204" t="s">
        <v>184</v>
      </c>
      <c r="C445" s="527"/>
      <c r="D445" s="267"/>
      <c r="E445" s="706"/>
      <c r="F445" s="267"/>
      <c r="G445" s="206"/>
      <c r="H445" s="214"/>
      <c r="I445" s="500"/>
      <c r="J445" s="553"/>
      <c r="K445" s="552">
        <f t="shared" si="25"/>
        <v>0</v>
      </c>
      <c r="L445" s="217"/>
      <c r="M445" s="211">
        <f t="shared" si="24"/>
        <v>-46136</v>
      </c>
      <c r="N445" s="683">
        <f t="shared" si="26"/>
        <v>7</v>
      </c>
      <c r="O445" s="212"/>
      <c r="P445" s="544"/>
      <c r="Q445" s="561">
        <f t="shared" si="27"/>
        <v>0</v>
      </c>
      <c r="R445" s="58"/>
      <c r="S445" s="58"/>
      <c r="T445" s="58"/>
      <c r="U445" s="58"/>
      <c r="V445" s="58"/>
    </row>
    <row r="446" spans="1:22" ht="15.75" customHeight="1">
      <c r="A446" s="468" t="s">
        <v>348</v>
      </c>
      <c r="B446" s="204" t="s">
        <v>184</v>
      </c>
      <c r="C446" s="527"/>
      <c r="D446" s="267"/>
      <c r="E446" s="706"/>
      <c r="F446" s="205"/>
      <c r="G446" s="206"/>
      <c r="H446" s="214"/>
      <c r="I446" s="502"/>
      <c r="J446" s="553"/>
      <c r="K446" s="552">
        <f t="shared" si="25"/>
        <v>0</v>
      </c>
      <c r="L446" s="217"/>
      <c r="M446" s="211">
        <f t="shared" si="24"/>
        <v>-46136</v>
      </c>
      <c r="N446" s="683">
        <f t="shared" si="26"/>
        <v>7</v>
      </c>
      <c r="O446" s="212"/>
      <c r="P446" s="58"/>
      <c r="Q446" s="561">
        <f t="shared" si="27"/>
        <v>0</v>
      </c>
      <c r="R446" s="58"/>
      <c r="S446" s="58"/>
      <c r="T446" s="58"/>
      <c r="U446" s="58"/>
      <c r="V446" s="58"/>
    </row>
    <row r="447" spans="1:22" ht="15.75" customHeight="1">
      <c r="A447" s="468" t="s">
        <v>348</v>
      </c>
      <c r="B447" s="204" t="s">
        <v>184</v>
      </c>
      <c r="C447" s="527"/>
      <c r="D447" s="205"/>
      <c r="E447" s="706"/>
      <c r="F447" s="205"/>
      <c r="G447" s="206"/>
      <c r="H447" s="214"/>
      <c r="I447" s="209"/>
      <c r="J447" s="553"/>
      <c r="K447" s="552">
        <f t="shared" si="25"/>
        <v>0</v>
      </c>
      <c r="L447" s="217"/>
      <c r="M447" s="211">
        <f t="shared" si="24"/>
        <v>-46136</v>
      </c>
      <c r="N447" s="683">
        <f t="shared" si="26"/>
        <v>7</v>
      </c>
      <c r="O447" s="212"/>
      <c r="P447" s="544"/>
      <c r="Q447" s="561">
        <f t="shared" si="27"/>
        <v>0</v>
      </c>
      <c r="R447" s="58"/>
      <c r="S447" s="58"/>
      <c r="T447" s="58"/>
      <c r="U447" s="58"/>
      <c r="V447" s="58"/>
    </row>
    <row r="448" spans="1:22" ht="15.75" customHeight="1">
      <c r="A448" s="468" t="s">
        <v>348</v>
      </c>
      <c r="B448" s="204" t="s">
        <v>184</v>
      </c>
      <c r="C448" s="527"/>
      <c r="D448" s="205"/>
      <c r="E448" s="706"/>
      <c r="F448" s="205"/>
      <c r="G448" s="206"/>
      <c r="H448" s="214"/>
      <c r="I448" s="209"/>
      <c r="J448" s="553"/>
      <c r="K448" s="552">
        <f t="shared" si="25"/>
        <v>0</v>
      </c>
      <c r="L448" s="217"/>
      <c r="M448" s="211">
        <f t="shared" si="24"/>
        <v>-46136</v>
      </c>
      <c r="N448" s="683">
        <f t="shared" si="26"/>
        <v>7</v>
      </c>
      <c r="O448" s="212"/>
      <c r="P448" s="544"/>
      <c r="Q448" s="561">
        <f t="shared" si="27"/>
        <v>0</v>
      </c>
      <c r="R448" s="58"/>
      <c r="S448" s="58"/>
      <c r="T448" s="58"/>
      <c r="U448" s="58"/>
      <c r="V448" s="58"/>
    </row>
    <row r="449" spans="1:22" ht="15.75" customHeight="1">
      <c r="A449" s="468" t="s">
        <v>348</v>
      </c>
      <c r="B449" s="204" t="s">
        <v>184</v>
      </c>
      <c r="C449" s="527"/>
      <c r="D449" s="205"/>
      <c r="E449" s="706"/>
      <c r="F449" s="205"/>
      <c r="G449" s="206"/>
      <c r="H449" s="214"/>
      <c r="I449" s="209"/>
      <c r="J449" s="553"/>
      <c r="K449" s="552">
        <f t="shared" si="25"/>
        <v>0</v>
      </c>
      <c r="L449" s="217"/>
      <c r="M449" s="211">
        <f t="shared" si="24"/>
        <v>-46136</v>
      </c>
      <c r="N449" s="683">
        <f t="shared" si="26"/>
        <v>7</v>
      </c>
      <c r="O449" s="212"/>
      <c r="P449" s="544"/>
      <c r="Q449" s="561">
        <f t="shared" si="27"/>
        <v>0</v>
      </c>
      <c r="R449" s="58"/>
      <c r="S449" s="58"/>
      <c r="T449" s="58"/>
      <c r="U449" s="58"/>
      <c r="V449" s="58"/>
    </row>
    <row r="450" spans="1:22" ht="15.75" customHeight="1">
      <c r="A450" s="468" t="s">
        <v>348</v>
      </c>
      <c r="B450" s="204" t="s">
        <v>184</v>
      </c>
      <c r="C450" s="527"/>
      <c r="D450" s="205"/>
      <c r="E450" s="706"/>
      <c r="F450" s="205"/>
      <c r="G450" s="206"/>
      <c r="H450" s="214"/>
      <c r="I450" s="209"/>
      <c r="J450" s="553"/>
      <c r="K450" s="552">
        <f t="shared" si="25"/>
        <v>0</v>
      </c>
      <c r="L450" s="217"/>
      <c r="M450" s="211">
        <f t="shared" si="24"/>
        <v>-46136</v>
      </c>
      <c r="N450" s="683">
        <f t="shared" si="26"/>
        <v>7</v>
      </c>
      <c r="O450" s="212"/>
      <c r="P450" s="544"/>
      <c r="Q450" s="561">
        <f t="shared" si="27"/>
        <v>0</v>
      </c>
      <c r="R450" s="58"/>
      <c r="S450" s="58"/>
      <c r="T450" s="58"/>
      <c r="U450" s="58"/>
      <c r="V450" s="58"/>
    </row>
    <row r="451" spans="1:22" ht="15.75" customHeight="1">
      <c r="A451" s="468" t="s">
        <v>348</v>
      </c>
      <c r="B451" s="204" t="s">
        <v>184</v>
      </c>
      <c r="C451" s="527"/>
      <c r="D451" s="205"/>
      <c r="E451" s="706"/>
      <c r="F451" s="205"/>
      <c r="G451" s="206"/>
      <c r="H451" s="214"/>
      <c r="I451" s="209"/>
      <c r="J451" s="553"/>
      <c r="K451" s="552">
        <f t="shared" si="25"/>
        <v>0</v>
      </c>
      <c r="L451" s="217"/>
      <c r="M451" s="211">
        <f t="shared" si="24"/>
        <v>-46136</v>
      </c>
      <c r="N451" s="683">
        <f t="shared" si="26"/>
        <v>7</v>
      </c>
      <c r="O451" s="212"/>
      <c r="P451" s="544"/>
      <c r="Q451" s="561">
        <f t="shared" si="27"/>
        <v>0</v>
      </c>
      <c r="R451" s="58"/>
      <c r="S451" s="58"/>
      <c r="T451" s="58"/>
      <c r="U451" s="58"/>
      <c r="V451" s="58"/>
    </row>
    <row r="452" spans="1:22" ht="15.75" customHeight="1">
      <c r="A452" s="468" t="s">
        <v>348</v>
      </c>
      <c r="B452" s="204" t="s">
        <v>184</v>
      </c>
      <c r="C452" s="527"/>
      <c r="D452" s="205"/>
      <c r="E452" s="706"/>
      <c r="F452" s="205"/>
      <c r="G452" s="206"/>
      <c r="H452" s="214"/>
      <c r="I452" s="209"/>
      <c r="J452" s="553"/>
      <c r="K452" s="552">
        <f t="shared" si="25"/>
        <v>0</v>
      </c>
      <c r="L452" s="217"/>
      <c r="M452" s="211">
        <f t="shared" si="24"/>
        <v>-46136</v>
      </c>
      <c r="N452" s="683">
        <f t="shared" si="26"/>
        <v>7</v>
      </c>
      <c r="O452" s="212"/>
      <c r="P452" s="544"/>
      <c r="Q452" s="561">
        <f t="shared" si="27"/>
        <v>0</v>
      </c>
      <c r="R452" s="58"/>
      <c r="S452" s="58"/>
      <c r="T452" s="58"/>
      <c r="U452" s="58"/>
      <c r="V452" s="58"/>
    </row>
    <row r="453" spans="1:22" ht="15.75" customHeight="1">
      <c r="A453" s="468" t="s">
        <v>348</v>
      </c>
      <c r="B453" s="204" t="s">
        <v>184</v>
      </c>
      <c r="C453" s="527"/>
      <c r="D453" s="205"/>
      <c r="E453" s="706"/>
      <c r="F453" s="205"/>
      <c r="G453" s="206"/>
      <c r="H453" s="214"/>
      <c r="I453" s="209"/>
      <c r="J453" s="553"/>
      <c r="K453" s="552">
        <f t="shared" si="25"/>
        <v>0</v>
      </c>
      <c r="L453" s="217"/>
      <c r="M453" s="211">
        <f t="shared" si="24"/>
        <v>-46136</v>
      </c>
      <c r="N453" s="683">
        <f t="shared" si="26"/>
        <v>7</v>
      </c>
      <c r="O453" s="212"/>
      <c r="P453" s="544"/>
      <c r="Q453" s="561">
        <f t="shared" si="27"/>
        <v>0</v>
      </c>
      <c r="R453" s="58"/>
      <c r="S453" s="58"/>
      <c r="T453" s="58"/>
      <c r="U453" s="58"/>
      <c r="V453" s="58"/>
    </row>
    <row r="454" spans="1:22" ht="15.75" customHeight="1">
      <c r="A454" s="468" t="s">
        <v>348</v>
      </c>
      <c r="B454" s="204" t="s">
        <v>184</v>
      </c>
      <c r="C454" s="527"/>
      <c r="D454" s="205"/>
      <c r="E454" s="706"/>
      <c r="F454" s="205"/>
      <c r="G454" s="206"/>
      <c r="H454" s="214"/>
      <c r="I454" s="209"/>
      <c r="J454" s="553"/>
      <c r="K454" s="552">
        <f t="shared" si="25"/>
        <v>0</v>
      </c>
      <c r="L454" s="217"/>
      <c r="M454" s="211">
        <f t="shared" si="24"/>
        <v>-46136</v>
      </c>
      <c r="N454" s="683">
        <f t="shared" si="26"/>
        <v>7</v>
      </c>
      <c r="O454" s="212"/>
      <c r="P454" s="544"/>
      <c r="Q454" s="561">
        <f t="shared" si="27"/>
        <v>0</v>
      </c>
      <c r="R454" s="58"/>
      <c r="S454" s="58"/>
      <c r="T454" s="58"/>
      <c r="U454" s="58"/>
      <c r="V454" s="58"/>
    </row>
    <row r="455" spans="1:22" ht="15.75" customHeight="1">
      <c r="A455" s="468" t="s">
        <v>348</v>
      </c>
      <c r="B455" s="204" t="s">
        <v>184</v>
      </c>
      <c r="C455" s="527"/>
      <c r="D455" s="205"/>
      <c r="E455" s="706"/>
      <c r="F455" s="205"/>
      <c r="G455" s="206"/>
      <c r="H455" s="214"/>
      <c r="I455" s="209"/>
      <c r="J455" s="553"/>
      <c r="K455" s="552">
        <f t="shared" si="25"/>
        <v>0</v>
      </c>
      <c r="L455" s="217"/>
      <c r="M455" s="211">
        <f t="shared" si="24"/>
        <v>-46136</v>
      </c>
      <c r="N455" s="683">
        <f t="shared" si="26"/>
        <v>7</v>
      </c>
      <c r="O455" s="212"/>
      <c r="P455" s="544"/>
      <c r="Q455" s="561">
        <f t="shared" si="27"/>
        <v>0</v>
      </c>
      <c r="R455" s="58"/>
      <c r="S455" s="58"/>
      <c r="T455" s="58"/>
      <c r="U455" s="58"/>
      <c r="V455" s="58"/>
    </row>
    <row r="456" spans="1:22" ht="15.75" customHeight="1">
      <c r="A456" s="468" t="s">
        <v>348</v>
      </c>
      <c r="B456" s="204" t="s">
        <v>184</v>
      </c>
      <c r="C456" s="527"/>
      <c r="D456" s="205"/>
      <c r="E456" s="706"/>
      <c r="F456" s="205"/>
      <c r="G456" s="206"/>
      <c r="H456" s="214"/>
      <c r="I456" s="209"/>
      <c r="J456" s="553"/>
      <c r="K456" s="552">
        <f t="shared" si="25"/>
        <v>0</v>
      </c>
      <c r="L456" s="217"/>
      <c r="M456" s="211">
        <f t="shared" si="24"/>
        <v>-46136</v>
      </c>
      <c r="N456" s="683">
        <f t="shared" si="26"/>
        <v>7</v>
      </c>
      <c r="O456" s="212"/>
      <c r="P456" s="544"/>
      <c r="Q456" s="561">
        <f t="shared" si="27"/>
        <v>0</v>
      </c>
      <c r="R456" s="58"/>
      <c r="S456" s="58"/>
      <c r="T456" s="58"/>
      <c r="U456" s="58"/>
      <c r="V456" s="58"/>
    </row>
    <row r="457" spans="1:22" ht="15.75" customHeight="1">
      <c r="A457" s="468" t="s">
        <v>348</v>
      </c>
      <c r="B457" s="204" t="s">
        <v>184</v>
      </c>
      <c r="C457" s="527"/>
      <c r="D457" s="205"/>
      <c r="E457" s="706"/>
      <c r="F457" s="205"/>
      <c r="G457" s="206"/>
      <c r="H457" s="214"/>
      <c r="I457" s="209"/>
      <c r="J457" s="553"/>
      <c r="K457" s="552">
        <f t="shared" si="25"/>
        <v>0</v>
      </c>
      <c r="L457" s="217"/>
      <c r="M457" s="211">
        <f t="shared" ref="M457:M520" si="28">+L457-$E$6</f>
        <v>-46136</v>
      </c>
      <c r="N457" s="683">
        <f t="shared" si="26"/>
        <v>7</v>
      </c>
      <c r="O457" s="212"/>
      <c r="P457" s="544"/>
      <c r="Q457" s="561">
        <f t="shared" si="27"/>
        <v>0</v>
      </c>
      <c r="R457" s="58"/>
      <c r="S457" s="58"/>
      <c r="T457" s="58"/>
      <c r="U457" s="58"/>
      <c r="V457" s="58"/>
    </row>
    <row r="458" spans="1:22" ht="15.75" customHeight="1">
      <c r="A458" s="468" t="s">
        <v>348</v>
      </c>
      <c r="B458" s="204" t="s">
        <v>184</v>
      </c>
      <c r="C458" s="527"/>
      <c r="D458" s="205"/>
      <c r="E458" s="706"/>
      <c r="F458" s="205"/>
      <c r="G458" s="206"/>
      <c r="H458" s="214"/>
      <c r="I458" s="209"/>
      <c r="J458" s="553"/>
      <c r="K458" s="552">
        <f t="shared" ref="K458:K521" si="29">-J458</f>
        <v>0</v>
      </c>
      <c r="L458" s="217"/>
      <c r="M458" s="211">
        <f t="shared" si="28"/>
        <v>-46136</v>
      </c>
      <c r="N458" s="683">
        <f t="shared" ref="N458:N521" si="30">+L458+7</f>
        <v>7</v>
      </c>
      <c r="O458" s="212"/>
      <c r="P458" s="544"/>
      <c r="Q458" s="561">
        <f t="shared" si="27"/>
        <v>0</v>
      </c>
      <c r="R458" s="58"/>
      <c r="S458" s="58"/>
      <c r="T458" s="58"/>
      <c r="U458" s="58"/>
      <c r="V458" s="58"/>
    </row>
    <row r="459" spans="1:22" ht="15.75" customHeight="1">
      <c r="A459" s="468" t="s">
        <v>348</v>
      </c>
      <c r="B459" s="204" t="s">
        <v>184</v>
      </c>
      <c r="C459" s="527"/>
      <c r="D459" s="205"/>
      <c r="E459" s="706"/>
      <c r="F459" s="205"/>
      <c r="G459" s="206"/>
      <c r="H459" s="214"/>
      <c r="I459" s="209"/>
      <c r="J459" s="553"/>
      <c r="K459" s="552">
        <f t="shared" si="29"/>
        <v>0</v>
      </c>
      <c r="L459" s="217"/>
      <c r="M459" s="211">
        <f t="shared" si="28"/>
        <v>-46136</v>
      </c>
      <c r="N459" s="683">
        <f t="shared" si="30"/>
        <v>7</v>
      </c>
      <c r="O459" s="212"/>
      <c r="P459" s="544"/>
      <c r="Q459" s="561">
        <f t="shared" ref="Q459:Q522" si="31">+K459+J459</f>
        <v>0</v>
      </c>
      <c r="R459" s="58"/>
      <c r="S459" s="58"/>
      <c r="T459" s="58"/>
      <c r="U459" s="58"/>
      <c r="V459" s="58"/>
    </row>
    <row r="460" spans="1:22" ht="15.75" customHeight="1">
      <c r="A460" s="468" t="s">
        <v>348</v>
      </c>
      <c r="B460" s="204" t="s">
        <v>184</v>
      </c>
      <c r="C460" s="527"/>
      <c r="D460" s="205"/>
      <c r="E460" s="706"/>
      <c r="F460" s="205"/>
      <c r="G460" s="206"/>
      <c r="H460" s="214"/>
      <c r="I460" s="209"/>
      <c r="J460" s="553"/>
      <c r="K460" s="552">
        <f t="shared" si="29"/>
        <v>0</v>
      </c>
      <c r="L460" s="217"/>
      <c r="M460" s="211">
        <f t="shared" si="28"/>
        <v>-46136</v>
      </c>
      <c r="N460" s="683">
        <f t="shared" si="30"/>
        <v>7</v>
      </c>
      <c r="O460" s="212"/>
      <c r="P460" s="544"/>
      <c r="Q460" s="561">
        <f t="shared" si="31"/>
        <v>0</v>
      </c>
      <c r="R460" s="58"/>
      <c r="S460" s="58"/>
      <c r="T460" s="58"/>
      <c r="U460" s="58"/>
      <c r="V460" s="58"/>
    </row>
    <row r="461" spans="1:22" ht="15.75" customHeight="1">
      <c r="A461" s="468" t="s">
        <v>348</v>
      </c>
      <c r="B461" s="204" t="s">
        <v>184</v>
      </c>
      <c r="C461" s="527"/>
      <c r="D461" s="205"/>
      <c r="E461" s="706"/>
      <c r="F461" s="205"/>
      <c r="G461" s="206"/>
      <c r="H461" s="214"/>
      <c r="I461" s="209"/>
      <c r="J461" s="553"/>
      <c r="K461" s="552">
        <f t="shared" si="29"/>
        <v>0</v>
      </c>
      <c r="L461" s="217"/>
      <c r="M461" s="211">
        <f t="shared" si="28"/>
        <v>-46136</v>
      </c>
      <c r="N461" s="683">
        <f t="shared" si="30"/>
        <v>7</v>
      </c>
      <c r="O461" s="212"/>
      <c r="P461" s="544"/>
      <c r="Q461" s="561">
        <f t="shared" si="31"/>
        <v>0</v>
      </c>
      <c r="R461" s="58"/>
      <c r="S461" s="58"/>
      <c r="T461" s="58"/>
      <c r="U461" s="58"/>
      <c r="V461" s="58"/>
    </row>
    <row r="462" spans="1:22" ht="15.75" customHeight="1">
      <c r="A462" s="468" t="s">
        <v>348</v>
      </c>
      <c r="B462" s="204" t="s">
        <v>184</v>
      </c>
      <c r="C462" s="527"/>
      <c r="D462" s="507"/>
      <c r="E462" s="709"/>
      <c r="F462" s="507"/>
      <c r="G462" s="206"/>
      <c r="H462" s="214"/>
      <c r="I462" s="501"/>
      <c r="J462" s="553"/>
      <c r="K462" s="552">
        <f t="shared" si="29"/>
        <v>0</v>
      </c>
      <c r="L462" s="217"/>
      <c r="M462" s="211">
        <f t="shared" si="28"/>
        <v>-46136</v>
      </c>
      <c r="N462" s="683">
        <f t="shared" si="30"/>
        <v>7</v>
      </c>
      <c r="O462" s="212"/>
      <c r="P462" s="544"/>
      <c r="Q462" s="561">
        <f t="shared" si="31"/>
        <v>0</v>
      </c>
      <c r="R462" s="58"/>
      <c r="S462" s="58"/>
      <c r="T462" s="58"/>
      <c r="U462" s="58"/>
      <c r="V462" s="58"/>
    </row>
    <row r="463" spans="1:22" ht="15.75" customHeight="1">
      <c r="A463" s="468" t="s">
        <v>348</v>
      </c>
      <c r="B463" s="204" t="s">
        <v>184</v>
      </c>
      <c r="C463" s="527"/>
      <c r="D463" s="215"/>
      <c r="E463" s="706"/>
      <c r="F463" s="215"/>
      <c r="G463" s="206"/>
      <c r="H463" s="214"/>
      <c r="I463" s="502"/>
      <c r="J463" s="553"/>
      <c r="K463" s="552">
        <f t="shared" si="29"/>
        <v>0</v>
      </c>
      <c r="L463" s="217"/>
      <c r="M463" s="211">
        <f t="shared" si="28"/>
        <v>-46136</v>
      </c>
      <c r="N463" s="683">
        <f t="shared" si="30"/>
        <v>7</v>
      </c>
      <c r="O463" s="212"/>
      <c r="P463" s="544"/>
      <c r="Q463" s="561">
        <f t="shared" si="31"/>
        <v>0</v>
      </c>
      <c r="R463" s="58"/>
      <c r="S463" s="58"/>
      <c r="T463" s="58"/>
      <c r="U463" s="58"/>
      <c r="V463" s="58"/>
    </row>
    <row r="464" spans="1:22" ht="15.75" customHeight="1">
      <c r="A464" s="468" t="s">
        <v>348</v>
      </c>
      <c r="B464" s="204" t="s">
        <v>184</v>
      </c>
      <c r="C464" s="527"/>
      <c r="D464" s="215"/>
      <c r="E464" s="706"/>
      <c r="F464" s="215"/>
      <c r="G464" s="206"/>
      <c r="H464" s="214"/>
      <c r="I464" s="502"/>
      <c r="J464" s="553"/>
      <c r="K464" s="552">
        <f t="shared" si="29"/>
        <v>0</v>
      </c>
      <c r="L464" s="217"/>
      <c r="M464" s="211">
        <f t="shared" si="28"/>
        <v>-46136</v>
      </c>
      <c r="N464" s="683">
        <f t="shared" si="30"/>
        <v>7</v>
      </c>
      <c r="O464" s="212"/>
      <c r="P464" s="544"/>
      <c r="Q464" s="561">
        <f t="shared" si="31"/>
        <v>0</v>
      </c>
      <c r="R464" s="58"/>
      <c r="S464" s="58"/>
      <c r="T464" s="58"/>
      <c r="U464" s="58"/>
      <c r="V464" s="58"/>
    </row>
    <row r="465" spans="1:22" ht="15.75" customHeight="1">
      <c r="A465" s="468" t="s">
        <v>348</v>
      </c>
      <c r="B465" s="204" t="s">
        <v>184</v>
      </c>
      <c r="C465" s="527"/>
      <c r="D465" s="267"/>
      <c r="E465" s="706"/>
      <c r="F465" s="267"/>
      <c r="G465" s="206"/>
      <c r="H465" s="214"/>
      <c r="I465" s="502"/>
      <c r="J465" s="553"/>
      <c r="K465" s="552">
        <f t="shared" si="29"/>
        <v>0</v>
      </c>
      <c r="L465" s="217"/>
      <c r="M465" s="211">
        <f t="shared" si="28"/>
        <v>-46136</v>
      </c>
      <c r="N465" s="683">
        <f t="shared" si="30"/>
        <v>7</v>
      </c>
      <c r="O465" s="212"/>
      <c r="P465" s="544"/>
      <c r="Q465" s="561">
        <f t="shared" si="31"/>
        <v>0</v>
      </c>
      <c r="R465" s="58"/>
      <c r="S465" s="58"/>
      <c r="T465" s="58"/>
      <c r="U465" s="58"/>
      <c r="V465" s="58"/>
    </row>
    <row r="466" spans="1:22" ht="15.75" customHeight="1">
      <c r="A466" s="468" t="s">
        <v>348</v>
      </c>
      <c r="B466" s="204" t="s">
        <v>184</v>
      </c>
      <c r="C466" s="527"/>
      <c r="D466" s="267"/>
      <c r="E466" s="706"/>
      <c r="F466" s="267"/>
      <c r="G466" s="206"/>
      <c r="H466" s="214"/>
      <c r="I466" s="502"/>
      <c r="J466" s="553"/>
      <c r="K466" s="552">
        <f t="shared" si="29"/>
        <v>0</v>
      </c>
      <c r="L466" s="217"/>
      <c r="M466" s="211">
        <f t="shared" si="28"/>
        <v>-46136</v>
      </c>
      <c r="N466" s="683">
        <f t="shared" si="30"/>
        <v>7</v>
      </c>
      <c r="O466" s="212"/>
      <c r="P466" s="544"/>
      <c r="Q466" s="561">
        <f t="shared" si="31"/>
        <v>0</v>
      </c>
      <c r="R466" s="58"/>
      <c r="S466" s="58"/>
      <c r="T466" s="58"/>
      <c r="U466" s="58"/>
      <c r="V466" s="58"/>
    </row>
    <row r="467" spans="1:22" ht="15.75" customHeight="1">
      <c r="A467" s="468" t="s">
        <v>348</v>
      </c>
      <c r="B467" s="204" t="s">
        <v>184</v>
      </c>
      <c r="C467" s="527"/>
      <c r="D467" s="267"/>
      <c r="E467" s="706"/>
      <c r="F467" s="215"/>
      <c r="G467" s="206"/>
      <c r="H467" s="214"/>
      <c r="I467" s="503"/>
      <c r="J467" s="553"/>
      <c r="K467" s="552">
        <f t="shared" si="29"/>
        <v>0</v>
      </c>
      <c r="L467" s="217"/>
      <c r="M467" s="211">
        <f t="shared" si="28"/>
        <v>-46136</v>
      </c>
      <c r="N467" s="683">
        <f t="shared" si="30"/>
        <v>7</v>
      </c>
      <c r="O467" s="212"/>
      <c r="P467" s="58"/>
      <c r="Q467" s="561">
        <f t="shared" si="31"/>
        <v>0</v>
      </c>
      <c r="R467" s="58"/>
      <c r="S467" s="58"/>
      <c r="T467" s="58"/>
      <c r="U467" s="58"/>
      <c r="V467" s="58"/>
    </row>
    <row r="468" spans="1:22" ht="15.75" customHeight="1">
      <c r="A468" s="468" t="s">
        <v>348</v>
      </c>
      <c r="B468" s="204" t="s">
        <v>184</v>
      </c>
      <c r="C468" s="529"/>
      <c r="D468" s="205"/>
      <c r="E468" s="706"/>
      <c r="F468" s="205"/>
      <c r="G468" s="206"/>
      <c r="H468" s="214"/>
      <c r="I468" s="502"/>
      <c r="J468" s="553"/>
      <c r="K468" s="552">
        <f t="shared" si="29"/>
        <v>0</v>
      </c>
      <c r="L468" s="217"/>
      <c r="M468" s="211">
        <f t="shared" si="28"/>
        <v>-46136</v>
      </c>
      <c r="N468" s="683">
        <f t="shared" si="30"/>
        <v>7</v>
      </c>
      <c r="O468" s="212"/>
      <c r="P468" s="544"/>
      <c r="Q468" s="561">
        <f t="shared" si="31"/>
        <v>0</v>
      </c>
      <c r="R468" s="58"/>
      <c r="S468" s="58"/>
      <c r="T468" s="58"/>
      <c r="U468" s="58"/>
      <c r="V468" s="58"/>
    </row>
    <row r="469" spans="1:22" ht="15.75" customHeight="1">
      <c r="A469" s="468" t="s">
        <v>348</v>
      </c>
      <c r="B469" s="204" t="s">
        <v>184</v>
      </c>
      <c r="C469" s="529"/>
      <c r="D469" s="205"/>
      <c r="E469" s="706"/>
      <c r="F469" s="205"/>
      <c r="G469" s="206"/>
      <c r="H469" s="214"/>
      <c r="I469" s="502"/>
      <c r="J469" s="553"/>
      <c r="K469" s="552">
        <f t="shared" si="29"/>
        <v>0</v>
      </c>
      <c r="L469" s="217"/>
      <c r="M469" s="211">
        <f t="shared" si="28"/>
        <v>-46136</v>
      </c>
      <c r="N469" s="683">
        <f t="shared" si="30"/>
        <v>7</v>
      </c>
      <c r="O469" s="212"/>
      <c r="P469" s="544"/>
      <c r="Q469" s="561">
        <f t="shared" si="31"/>
        <v>0</v>
      </c>
      <c r="R469" s="58"/>
      <c r="S469" s="58"/>
      <c r="T469" s="58"/>
      <c r="U469" s="58"/>
      <c r="V469" s="58"/>
    </row>
    <row r="470" spans="1:22" ht="15.75" customHeight="1">
      <c r="A470" s="468" t="s">
        <v>348</v>
      </c>
      <c r="B470" s="204" t="s">
        <v>184</v>
      </c>
      <c r="C470" s="529"/>
      <c r="D470" s="205"/>
      <c r="E470" s="706"/>
      <c r="F470" s="205"/>
      <c r="G470" s="206"/>
      <c r="H470" s="214"/>
      <c r="I470" s="502"/>
      <c r="J470" s="553"/>
      <c r="K470" s="552">
        <f t="shared" si="29"/>
        <v>0</v>
      </c>
      <c r="L470" s="217"/>
      <c r="M470" s="211">
        <f t="shared" si="28"/>
        <v>-46136</v>
      </c>
      <c r="N470" s="683">
        <f t="shared" si="30"/>
        <v>7</v>
      </c>
      <c r="O470" s="212"/>
      <c r="P470" s="544"/>
      <c r="Q470" s="561">
        <f t="shared" si="31"/>
        <v>0</v>
      </c>
      <c r="R470" s="58"/>
      <c r="S470" s="58"/>
      <c r="T470" s="58"/>
      <c r="U470" s="58"/>
      <c r="V470" s="58"/>
    </row>
    <row r="471" spans="1:22" ht="15.75" customHeight="1">
      <c r="A471" s="468" t="s">
        <v>348</v>
      </c>
      <c r="B471" s="204" t="s">
        <v>184</v>
      </c>
      <c r="C471" s="527"/>
      <c r="D471" s="205"/>
      <c r="E471" s="706"/>
      <c r="F471" s="205"/>
      <c r="G471" s="206"/>
      <c r="H471" s="214"/>
      <c r="I471" s="502"/>
      <c r="J471" s="553"/>
      <c r="K471" s="552">
        <f t="shared" si="29"/>
        <v>0</v>
      </c>
      <c r="L471" s="217"/>
      <c r="M471" s="211">
        <f t="shared" si="28"/>
        <v>-46136</v>
      </c>
      <c r="N471" s="683">
        <f t="shared" si="30"/>
        <v>7</v>
      </c>
      <c r="O471" s="212"/>
      <c r="P471" s="544"/>
      <c r="Q471" s="561">
        <f t="shared" si="31"/>
        <v>0</v>
      </c>
      <c r="R471" s="58"/>
      <c r="S471" s="58"/>
      <c r="T471" s="58"/>
      <c r="U471" s="58"/>
      <c r="V471" s="58"/>
    </row>
    <row r="472" spans="1:22" ht="15.75" customHeight="1">
      <c r="A472" s="468" t="s">
        <v>348</v>
      </c>
      <c r="B472" s="204" t="s">
        <v>184</v>
      </c>
      <c r="C472" s="527"/>
      <c r="D472" s="205"/>
      <c r="E472" s="706"/>
      <c r="F472" s="205"/>
      <c r="G472" s="206"/>
      <c r="H472" s="214"/>
      <c r="I472" s="501"/>
      <c r="J472" s="553"/>
      <c r="K472" s="552">
        <f t="shared" si="29"/>
        <v>0</v>
      </c>
      <c r="L472" s="217"/>
      <c r="M472" s="211">
        <f t="shared" si="28"/>
        <v>-46136</v>
      </c>
      <c r="N472" s="683">
        <f t="shared" si="30"/>
        <v>7</v>
      </c>
      <c r="O472" s="212"/>
      <c r="P472" s="544"/>
      <c r="Q472" s="561">
        <f t="shared" si="31"/>
        <v>0</v>
      </c>
      <c r="R472" s="58"/>
      <c r="S472" s="58"/>
      <c r="T472" s="58"/>
      <c r="U472" s="58"/>
      <c r="V472" s="58"/>
    </row>
    <row r="473" spans="1:22" ht="15.75" customHeight="1">
      <c r="A473" s="468" t="s">
        <v>348</v>
      </c>
      <c r="B473" s="204" t="s">
        <v>184</v>
      </c>
      <c r="C473" s="527"/>
      <c r="D473" s="205"/>
      <c r="E473" s="706"/>
      <c r="F473" s="205"/>
      <c r="G473" s="206"/>
      <c r="H473" s="214"/>
      <c r="I473" s="502"/>
      <c r="J473" s="553"/>
      <c r="K473" s="552">
        <f t="shared" si="29"/>
        <v>0</v>
      </c>
      <c r="L473" s="217"/>
      <c r="M473" s="211">
        <f t="shared" si="28"/>
        <v>-46136</v>
      </c>
      <c r="N473" s="683">
        <f t="shared" si="30"/>
        <v>7</v>
      </c>
      <c r="O473" s="212"/>
      <c r="P473" s="544"/>
      <c r="Q473" s="561">
        <f t="shared" si="31"/>
        <v>0</v>
      </c>
      <c r="R473" s="58"/>
      <c r="S473" s="58"/>
      <c r="T473" s="58"/>
      <c r="U473" s="58"/>
      <c r="V473" s="58"/>
    </row>
    <row r="474" spans="1:22" ht="15.75" customHeight="1">
      <c r="A474" s="468" t="s">
        <v>348</v>
      </c>
      <c r="B474" s="204" t="s">
        <v>184</v>
      </c>
      <c r="C474" s="527"/>
      <c r="D474" s="205"/>
      <c r="E474" s="706"/>
      <c r="F474" s="205"/>
      <c r="G474" s="206"/>
      <c r="H474" s="214"/>
      <c r="I474" s="502"/>
      <c r="J474" s="553"/>
      <c r="K474" s="552">
        <f t="shared" si="29"/>
        <v>0</v>
      </c>
      <c r="L474" s="217"/>
      <c r="M474" s="211">
        <f t="shared" si="28"/>
        <v>-46136</v>
      </c>
      <c r="N474" s="683">
        <f t="shared" si="30"/>
        <v>7</v>
      </c>
      <c r="O474" s="212"/>
      <c r="P474" s="544"/>
      <c r="Q474" s="561">
        <f t="shared" si="31"/>
        <v>0</v>
      </c>
      <c r="R474" s="58"/>
      <c r="S474" s="58"/>
      <c r="T474" s="58"/>
      <c r="U474" s="58"/>
      <c r="V474" s="58"/>
    </row>
    <row r="475" spans="1:22" ht="15.75" customHeight="1">
      <c r="A475" s="468" t="s">
        <v>348</v>
      </c>
      <c r="B475" s="204" t="s">
        <v>184</v>
      </c>
      <c r="C475" s="527"/>
      <c r="D475" s="205"/>
      <c r="E475" s="706"/>
      <c r="F475" s="205"/>
      <c r="G475" s="206"/>
      <c r="H475" s="214"/>
      <c r="I475" s="503"/>
      <c r="J475" s="553"/>
      <c r="K475" s="552">
        <f t="shared" si="29"/>
        <v>0</v>
      </c>
      <c r="L475" s="217"/>
      <c r="M475" s="211">
        <f t="shared" si="28"/>
        <v>-46136</v>
      </c>
      <c r="N475" s="683">
        <f t="shared" si="30"/>
        <v>7</v>
      </c>
      <c r="O475" s="212"/>
      <c r="P475" s="544"/>
      <c r="Q475" s="561">
        <f t="shared" si="31"/>
        <v>0</v>
      </c>
      <c r="R475" s="58"/>
      <c r="S475" s="58"/>
      <c r="T475" s="58"/>
      <c r="U475" s="58"/>
      <c r="V475" s="58"/>
    </row>
    <row r="476" spans="1:22" ht="15.75" customHeight="1">
      <c r="A476" s="468" t="s">
        <v>348</v>
      </c>
      <c r="B476" s="204" t="s">
        <v>184</v>
      </c>
      <c r="C476" s="527"/>
      <c r="D476" s="205"/>
      <c r="E476" s="706"/>
      <c r="F476" s="205"/>
      <c r="G476" s="206"/>
      <c r="H476" s="214"/>
      <c r="I476" s="502"/>
      <c r="J476" s="553"/>
      <c r="K476" s="552">
        <f t="shared" si="29"/>
        <v>0</v>
      </c>
      <c r="L476" s="217"/>
      <c r="M476" s="211">
        <f t="shared" si="28"/>
        <v>-46136</v>
      </c>
      <c r="N476" s="683">
        <f t="shared" si="30"/>
        <v>7</v>
      </c>
      <c r="O476" s="212"/>
      <c r="P476" s="544"/>
      <c r="Q476" s="561">
        <f t="shared" si="31"/>
        <v>0</v>
      </c>
      <c r="R476" s="58"/>
      <c r="S476" s="58"/>
      <c r="T476" s="58"/>
      <c r="U476" s="58"/>
      <c r="V476" s="58"/>
    </row>
    <row r="477" spans="1:22" ht="15.75" customHeight="1">
      <c r="A477" s="468" t="s">
        <v>348</v>
      </c>
      <c r="B477" s="204" t="s">
        <v>184</v>
      </c>
      <c r="C477" s="527"/>
      <c r="D477" s="205"/>
      <c r="E477" s="706"/>
      <c r="F477" s="205"/>
      <c r="G477" s="206"/>
      <c r="H477" s="214"/>
      <c r="I477" s="502"/>
      <c r="J477" s="553"/>
      <c r="K477" s="552">
        <f t="shared" si="29"/>
        <v>0</v>
      </c>
      <c r="L477" s="217"/>
      <c r="M477" s="211">
        <f t="shared" si="28"/>
        <v>-46136</v>
      </c>
      <c r="N477" s="683">
        <f t="shared" si="30"/>
        <v>7</v>
      </c>
      <c r="O477" s="212"/>
      <c r="P477" s="544"/>
      <c r="Q477" s="561">
        <f t="shared" si="31"/>
        <v>0</v>
      </c>
      <c r="R477" s="58"/>
      <c r="S477" s="58"/>
      <c r="T477" s="58"/>
      <c r="U477" s="58"/>
      <c r="V477" s="58"/>
    </row>
    <row r="478" spans="1:22" ht="15.75" customHeight="1">
      <c r="A478" s="468" t="s">
        <v>348</v>
      </c>
      <c r="B478" s="204" t="s">
        <v>184</v>
      </c>
      <c r="C478" s="527"/>
      <c r="D478" s="205"/>
      <c r="E478" s="706"/>
      <c r="F478" s="205"/>
      <c r="G478" s="206"/>
      <c r="H478" s="214"/>
      <c r="I478" s="502"/>
      <c r="J478" s="553"/>
      <c r="K478" s="552">
        <f t="shared" si="29"/>
        <v>0</v>
      </c>
      <c r="L478" s="217"/>
      <c r="M478" s="211">
        <f t="shared" si="28"/>
        <v>-46136</v>
      </c>
      <c r="N478" s="683">
        <f t="shared" si="30"/>
        <v>7</v>
      </c>
      <c r="O478" s="212"/>
      <c r="P478" s="544"/>
      <c r="Q478" s="561">
        <f t="shared" si="31"/>
        <v>0</v>
      </c>
      <c r="R478" s="58"/>
      <c r="S478" s="58"/>
      <c r="T478" s="58"/>
      <c r="U478" s="58"/>
      <c r="V478" s="58"/>
    </row>
    <row r="479" spans="1:22" ht="15.75" customHeight="1">
      <c r="A479" s="468" t="s">
        <v>348</v>
      </c>
      <c r="B479" s="204" t="s">
        <v>184</v>
      </c>
      <c r="C479" s="527"/>
      <c r="D479" s="267"/>
      <c r="E479" s="706"/>
      <c r="F479" s="267"/>
      <c r="G479" s="206"/>
      <c r="H479" s="214"/>
      <c r="I479" s="502"/>
      <c r="J479" s="553"/>
      <c r="K479" s="552">
        <f t="shared" si="29"/>
        <v>0</v>
      </c>
      <c r="L479" s="217"/>
      <c r="M479" s="211">
        <f t="shared" si="28"/>
        <v>-46136</v>
      </c>
      <c r="N479" s="683">
        <f t="shared" si="30"/>
        <v>7</v>
      </c>
      <c r="O479" s="212"/>
      <c r="P479" s="544"/>
      <c r="Q479" s="561">
        <f t="shared" si="31"/>
        <v>0</v>
      </c>
      <c r="R479" s="58"/>
      <c r="S479" s="58"/>
      <c r="T479" s="58"/>
      <c r="U479" s="58"/>
      <c r="V479" s="58"/>
    </row>
    <row r="480" spans="1:22" ht="15.75" customHeight="1">
      <c r="A480" s="468" t="s">
        <v>348</v>
      </c>
      <c r="B480" s="204" t="s">
        <v>184</v>
      </c>
      <c r="C480" s="527"/>
      <c r="D480" s="267"/>
      <c r="E480" s="706"/>
      <c r="F480" s="267"/>
      <c r="G480" s="206"/>
      <c r="H480" s="214"/>
      <c r="I480" s="502"/>
      <c r="J480" s="553"/>
      <c r="K480" s="552">
        <f t="shared" si="29"/>
        <v>0</v>
      </c>
      <c r="L480" s="217"/>
      <c r="M480" s="211">
        <f t="shared" si="28"/>
        <v>-46136</v>
      </c>
      <c r="N480" s="683">
        <f t="shared" si="30"/>
        <v>7</v>
      </c>
      <c r="O480" s="212"/>
      <c r="P480" s="544"/>
      <c r="Q480" s="561">
        <f t="shared" si="31"/>
        <v>0</v>
      </c>
      <c r="R480" s="58"/>
      <c r="S480" s="58"/>
      <c r="T480" s="58"/>
      <c r="U480" s="58"/>
      <c r="V480" s="58"/>
    </row>
    <row r="481" spans="1:22" ht="15.75" customHeight="1">
      <c r="A481" s="468" t="s">
        <v>348</v>
      </c>
      <c r="B481" s="204" t="s">
        <v>184</v>
      </c>
      <c r="C481" s="527"/>
      <c r="D481" s="267"/>
      <c r="E481" s="706"/>
      <c r="F481" s="267"/>
      <c r="G481" s="206"/>
      <c r="H481" s="214"/>
      <c r="I481" s="502"/>
      <c r="J481" s="553"/>
      <c r="K481" s="552">
        <f t="shared" si="29"/>
        <v>0</v>
      </c>
      <c r="L481" s="217"/>
      <c r="M481" s="211">
        <f t="shared" si="28"/>
        <v>-46136</v>
      </c>
      <c r="N481" s="683">
        <f t="shared" si="30"/>
        <v>7</v>
      </c>
      <c r="O481" s="212"/>
      <c r="P481" s="544"/>
      <c r="Q481" s="561">
        <f t="shared" si="31"/>
        <v>0</v>
      </c>
      <c r="R481" s="58"/>
      <c r="S481" s="58"/>
      <c r="T481" s="58"/>
      <c r="U481" s="58"/>
      <c r="V481" s="58"/>
    </row>
    <row r="482" spans="1:22" ht="15.75" customHeight="1">
      <c r="A482" s="468" t="s">
        <v>348</v>
      </c>
      <c r="B482" s="204" t="s">
        <v>184</v>
      </c>
      <c r="C482" s="527"/>
      <c r="D482" s="267"/>
      <c r="E482" s="706"/>
      <c r="F482" s="267"/>
      <c r="G482" s="206"/>
      <c r="H482" s="214"/>
      <c r="I482" s="502"/>
      <c r="J482" s="553"/>
      <c r="K482" s="552">
        <f t="shared" si="29"/>
        <v>0</v>
      </c>
      <c r="L482" s="217"/>
      <c r="M482" s="211">
        <f t="shared" si="28"/>
        <v>-46136</v>
      </c>
      <c r="N482" s="683">
        <f t="shared" si="30"/>
        <v>7</v>
      </c>
      <c r="O482" s="212"/>
      <c r="P482" s="544"/>
      <c r="Q482" s="561">
        <f t="shared" si="31"/>
        <v>0</v>
      </c>
      <c r="R482" s="58"/>
      <c r="S482" s="58"/>
      <c r="T482" s="58"/>
      <c r="U482" s="58"/>
      <c r="V482" s="58"/>
    </row>
    <row r="483" spans="1:22" ht="15.75" customHeight="1">
      <c r="A483" s="468" t="s">
        <v>348</v>
      </c>
      <c r="B483" s="204" t="s">
        <v>184</v>
      </c>
      <c r="C483" s="527"/>
      <c r="D483" s="267"/>
      <c r="E483" s="706"/>
      <c r="F483" s="267"/>
      <c r="G483" s="206"/>
      <c r="H483" s="214"/>
      <c r="I483" s="502"/>
      <c r="J483" s="553"/>
      <c r="K483" s="552">
        <f t="shared" si="29"/>
        <v>0</v>
      </c>
      <c r="L483" s="217"/>
      <c r="M483" s="211">
        <f t="shared" si="28"/>
        <v>-46136</v>
      </c>
      <c r="N483" s="683">
        <f t="shared" si="30"/>
        <v>7</v>
      </c>
      <c r="O483" s="212"/>
      <c r="P483" s="544"/>
      <c r="Q483" s="561">
        <f t="shared" si="31"/>
        <v>0</v>
      </c>
      <c r="R483" s="58"/>
      <c r="S483" s="58"/>
      <c r="T483" s="58"/>
      <c r="U483" s="58"/>
      <c r="V483" s="58"/>
    </row>
    <row r="484" spans="1:22" ht="15.75" customHeight="1">
      <c r="A484" s="468" t="s">
        <v>348</v>
      </c>
      <c r="B484" s="204" t="s">
        <v>184</v>
      </c>
      <c r="C484" s="527"/>
      <c r="D484" s="267"/>
      <c r="E484" s="706"/>
      <c r="F484" s="267"/>
      <c r="G484" s="206"/>
      <c r="H484" s="214"/>
      <c r="I484" s="502"/>
      <c r="J484" s="553"/>
      <c r="K484" s="552">
        <f t="shared" si="29"/>
        <v>0</v>
      </c>
      <c r="L484" s="217"/>
      <c r="M484" s="211">
        <f t="shared" si="28"/>
        <v>-46136</v>
      </c>
      <c r="N484" s="683">
        <f t="shared" si="30"/>
        <v>7</v>
      </c>
      <c r="O484" s="212"/>
      <c r="P484" s="544"/>
      <c r="Q484" s="561">
        <f t="shared" si="31"/>
        <v>0</v>
      </c>
      <c r="R484" s="58"/>
      <c r="S484" s="58"/>
      <c r="T484" s="58"/>
      <c r="U484" s="58"/>
      <c r="V484" s="58"/>
    </row>
    <row r="485" spans="1:22" ht="15.75" customHeight="1">
      <c r="A485" s="468" t="s">
        <v>348</v>
      </c>
      <c r="B485" s="204" t="s">
        <v>184</v>
      </c>
      <c r="C485" s="527"/>
      <c r="D485" s="267"/>
      <c r="E485" s="706"/>
      <c r="F485" s="267"/>
      <c r="G485" s="206"/>
      <c r="H485" s="214"/>
      <c r="I485" s="502"/>
      <c r="J485" s="553"/>
      <c r="K485" s="552">
        <f t="shared" si="29"/>
        <v>0</v>
      </c>
      <c r="L485" s="217"/>
      <c r="M485" s="211">
        <f t="shared" si="28"/>
        <v>-46136</v>
      </c>
      <c r="N485" s="683">
        <f t="shared" si="30"/>
        <v>7</v>
      </c>
      <c r="O485" s="212"/>
      <c r="P485" s="544"/>
      <c r="Q485" s="561">
        <f t="shared" si="31"/>
        <v>0</v>
      </c>
      <c r="R485" s="58"/>
      <c r="S485" s="58"/>
      <c r="T485" s="58"/>
      <c r="U485" s="58"/>
      <c r="V485" s="58"/>
    </row>
    <row r="486" spans="1:22" ht="15.75" customHeight="1">
      <c r="A486" s="468" t="s">
        <v>348</v>
      </c>
      <c r="B486" s="204" t="s">
        <v>184</v>
      </c>
      <c r="C486" s="527"/>
      <c r="D486" s="267"/>
      <c r="E486" s="706"/>
      <c r="F486" s="267"/>
      <c r="G486" s="206"/>
      <c r="H486" s="214"/>
      <c r="I486" s="502"/>
      <c r="J486" s="553"/>
      <c r="K486" s="552">
        <f t="shared" si="29"/>
        <v>0</v>
      </c>
      <c r="L486" s="217"/>
      <c r="M486" s="211">
        <f t="shared" si="28"/>
        <v>-46136</v>
      </c>
      <c r="N486" s="683">
        <f t="shared" si="30"/>
        <v>7</v>
      </c>
      <c r="O486" s="212"/>
      <c r="P486" s="544"/>
      <c r="Q486" s="561">
        <f t="shared" si="31"/>
        <v>0</v>
      </c>
      <c r="R486" s="58"/>
      <c r="S486" s="58"/>
      <c r="T486" s="58"/>
      <c r="U486" s="58"/>
      <c r="V486" s="58"/>
    </row>
    <row r="487" spans="1:22" ht="15.75" customHeight="1">
      <c r="A487" s="468" t="s">
        <v>348</v>
      </c>
      <c r="B487" s="204" t="s">
        <v>184</v>
      </c>
      <c r="C487" s="527"/>
      <c r="D487" s="267"/>
      <c r="E487" s="706"/>
      <c r="F487" s="267"/>
      <c r="G487" s="206"/>
      <c r="H487" s="214"/>
      <c r="I487" s="502"/>
      <c r="J487" s="553"/>
      <c r="K487" s="552">
        <f t="shared" si="29"/>
        <v>0</v>
      </c>
      <c r="L487" s="217"/>
      <c r="M487" s="211">
        <f t="shared" si="28"/>
        <v>-46136</v>
      </c>
      <c r="N487" s="683">
        <f t="shared" si="30"/>
        <v>7</v>
      </c>
      <c r="O487" s="212"/>
      <c r="P487" s="544"/>
      <c r="Q487" s="561">
        <f t="shared" si="31"/>
        <v>0</v>
      </c>
      <c r="R487" s="58"/>
      <c r="S487" s="58"/>
      <c r="T487" s="58"/>
      <c r="U487" s="58"/>
      <c r="V487" s="58"/>
    </row>
    <row r="488" spans="1:22" ht="15.75" customHeight="1">
      <c r="A488" s="468" t="s">
        <v>348</v>
      </c>
      <c r="B488" s="204" t="s">
        <v>184</v>
      </c>
      <c r="C488" s="527"/>
      <c r="D488" s="267"/>
      <c r="E488" s="706"/>
      <c r="F488" s="267"/>
      <c r="G488" s="206"/>
      <c r="H488" s="214"/>
      <c r="I488" s="501"/>
      <c r="J488" s="553"/>
      <c r="K488" s="552">
        <f t="shared" si="29"/>
        <v>0</v>
      </c>
      <c r="L488" s="217"/>
      <c r="M488" s="211">
        <f t="shared" si="28"/>
        <v>-46136</v>
      </c>
      <c r="N488" s="683">
        <f t="shared" si="30"/>
        <v>7</v>
      </c>
      <c r="O488" s="212"/>
      <c r="P488" s="544"/>
      <c r="Q488" s="561">
        <f t="shared" si="31"/>
        <v>0</v>
      </c>
      <c r="R488" s="58"/>
      <c r="S488" s="58"/>
      <c r="T488" s="58"/>
      <c r="U488" s="58"/>
      <c r="V488" s="58"/>
    </row>
    <row r="489" spans="1:22" ht="15.75" customHeight="1">
      <c r="A489" s="468" t="s">
        <v>348</v>
      </c>
      <c r="B489" s="204" t="s">
        <v>184</v>
      </c>
      <c r="C489" s="527"/>
      <c r="D489" s="267"/>
      <c r="E489" s="706"/>
      <c r="F489" s="267"/>
      <c r="G489" s="206"/>
      <c r="H489" s="214"/>
      <c r="I489" s="501"/>
      <c r="J489" s="553"/>
      <c r="K489" s="552">
        <f t="shared" si="29"/>
        <v>0</v>
      </c>
      <c r="L489" s="217"/>
      <c r="M489" s="211">
        <f t="shared" si="28"/>
        <v>-46136</v>
      </c>
      <c r="N489" s="683">
        <f t="shared" si="30"/>
        <v>7</v>
      </c>
      <c r="O489" s="212"/>
      <c r="P489" s="544"/>
      <c r="Q489" s="561">
        <f t="shared" si="31"/>
        <v>0</v>
      </c>
      <c r="R489" s="58"/>
      <c r="S489" s="58"/>
      <c r="T489" s="58"/>
      <c r="U489" s="58"/>
      <c r="V489" s="58"/>
    </row>
    <row r="490" spans="1:22" ht="15.75" customHeight="1">
      <c r="A490" s="468" t="s">
        <v>348</v>
      </c>
      <c r="B490" s="204" t="s">
        <v>184</v>
      </c>
      <c r="C490" s="527"/>
      <c r="D490" s="267"/>
      <c r="E490" s="706"/>
      <c r="F490" s="267"/>
      <c r="G490" s="206"/>
      <c r="H490" s="214"/>
      <c r="I490" s="502"/>
      <c r="J490" s="553"/>
      <c r="K490" s="552">
        <f t="shared" si="29"/>
        <v>0</v>
      </c>
      <c r="L490" s="217"/>
      <c r="M490" s="211">
        <f t="shared" si="28"/>
        <v>-46136</v>
      </c>
      <c r="N490" s="683">
        <f t="shared" si="30"/>
        <v>7</v>
      </c>
      <c r="O490" s="212"/>
      <c r="P490" s="544"/>
      <c r="Q490" s="561">
        <f t="shared" si="31"/>
        <v>0</v>
      </c>
      <c r="R490" s="58"/>
      <c r="S490" s="58"/>
      <c r="T490" s="58"/>
      <c r="U490" s="58"/>
      <c r="V490" s="58"/>
    </row>
    <row r="491" spans="1:22" ht="15.75" customHeight="1">
      <c r="A491" s="468" t="s">
        <v>348</v>
      </c>
      <c r="B491" s="204" t="s">
        <v>184</v>
      </c>
      <c r="C491" s="527"/>
      <c r="D491" s="267"/>
      <c r="E491" s="706"/>
      <c r="F491" s="267"/>
      <c r="G491" s="206"/>
      <c r="H491" s="214"/>
      <c r="I491" s="502"/>
      <c r="J491" s="553"/>
      <c r="K491" s="552">
        <f t="shared" si="29"/>
        <v>0</v>
      </c>
      <c r="L491" s="217"/>
      <c r="M491" s="211">
        <f t="shared" si="28"/>
        <v>-46136</v>
      </c>
      <c r="N491" s="683">
        <f t="shared" si="30"/>
        <v>7</v>
      </c>
      <c r="O491" s="212"/>
      <c r="P491" s="544"/>
      <c r="Q491" s="561">
        <f t="shared" si="31"/>
        <v>0</v>
      </c>
      <c r="R491" s="58"/>
      <c r="S491" s="58"/>
      <c r="T491" s="58"/>
      <c r="U491" s="58"/>
      <c r="V491" s="58"/>
    </row>
    <row r="492" spans="1:22" ht="15.75" customHeight="1">
      <c r="A492" s="468" t="s">
        <v>348</v>
      </c>
      <c r="B492" s="204" t="s">
        <v>184</v>
      </c>
      <c r="C492" s="527"/>
      <c r="D492" s="267"/>
      <c r="E492" s="706"/>
      <c r="F492" s="267"/>
      <c r="G492" s="206"/>
      <c r="H492" s="214"/>
      <c r="I492" s="503"/>
      <c r="J492" s="553"/>
      <c r="K492" s="552">
        <f t="shared" si="29"/>
        <v>0</v>
      </c>
      <c r="L492" s="217"/>
      <c r="M492" s="211">
        <f t="shared" si="28"/>
        <v>-46136</v>
      </c>
      <c r="N492" s="683">
        <f t="shared" si="30"/>
        <v>7</v>
      </c>
      <c r="O492" s="212"/>
      <c r="P492" s="544"/>
      <c r="Q492" s="561">
        <f t="shared" si="31"/>
        <v>0</v>
      </c>
      <c r="R492" s="58"/>
      <c r="S492" s="58"/>
      <c r="T492" s="58"/>
      <c r="U492" s="58"/>
      <c r="V492" s="58"/>
    </row>
    <row r="493" spans="1:22" ht="15.75" customHeight="1">
      <c r="A493" s="468" t="s">
        <v>348</v>
      </c>
      <c r="B493" s="204" t="s">
        <v>184</v>
      </c>
      <c r="C493" s="527"/>
      <c r="D493" s="267"/>
      <c r="E493" s="706"/>
      <c r="F493" s="267"/>
      <c r="G493" s="206"/>
      <c r="H493" s="214"/>
      <c r="I493" s="502"/>
      <c r="J493" s="553"/>
      <c r="K493" s="552">
        <f t="shared" si="29"/>
        <v>0</v>
      </c>
      <c r="L493" s="217"/>
      <c r="M493" s="211">
        <f t="shared" si="28"/>
        <v>-46136</v>
      </c>
      <c r="N493" s="683">
        <f t="shared" si="30"/>
        <v>7</v>
      </c>
      <c r="O493" s="212"/>
      <c r="P493" s="544"/>
      <c r="Q493" s="561">
        <f t="shared" si="31"/>
        <v>0</v>
      </c>
      <c r="R493" s="58"/>
      <c r="S493" s="58"/>
      <c r="T493" s="58"/>
      <c r="U493" s="58"/>
      <c r="V493" s="58"/>
    </row>
    <row r="494" spans="1:22" ht="15.75" customHeight="1">
      <c r="A494" s="468" t="s">
        <v>348</v>
      </c>
      <c r="B494" s="204" t="s">
        <v>184</v>
      </c>
      <c r="C494" s="527"/>
      <c r="D494" s="267"/>
      <c r="E494" s="706"/>
      <c r="F494" s="267"/>
      <c r="G494" s="206"/>
      <c r="H494" s="214"/>
      <c r="I494" s="503"/>
      <c r="J494" s="553"/>
      <c r="K494" s="552">
        <f t="shared" si="29"/>
        <v>0</v>
      </c>
      <c r="L494" s="217"/>
      <c r="M494" s="211">
        <f t="shared" si="28"/>
        <v>-46136</v>
      </c>
      <c r="N494" s="683">
        <f t="shared" si="30"/>
        <v>7</v>
      </c>
      <c r="O494" s="212"/>
      <c r="P494" s="544"/>
      <c r="Q494" s="561">
        <f t="shared" si="31"/>
        <v>0</v>
      </c>
      <c r="R494" s="58"/>
      <c r="S494" s="58"/>
      <c r="T494" s="58"/>
      <c r="U494" s="58"/>
      <c r="V494" s="58"/>
    </row>
    <row r="495" spans="1:22" ht="15.75" customHeight="1">
      <c r="A495" s="468" t="s">
        <v>348</v>
      </c>
      <c r="B495" s="204" t="s">
        <v>184</v>
      </c>
      <c r="C495" s="527"/>
      <c r="D495" s="267"/>
      <c r="E495" s="706"/>
      <c r="F495" s="267"/>
      <c r="G495" s="206"/>
      <c r="H495" s="214"/>
      <c r="I495" s="502"/>
      <c r="J495" s="553"/>
      <c r="K495" s="552">
        <f t="shared" si="29"/>
        <v>0</v>
      </c>
      <c r="L495" s="217"/>
      <c r="M495" s="211">
        <f t="shared" si="28"/>
        <v>-46136</v>
      </c>
      <c r="N495" s="683">
        <f t="shared" si="30"/>
        <v>7</v>
      </c>
      <c r="O495" s="212"/>
      <c r="P495" s="544"/>
      <c r="Q495" s="561">
        <f t="shared" si="31"/>
        <v>0</v>
      </c>
      <c r="R495" s="58"/>
      <c r="S495" s="58"/>
      <c r="T495" s="58"/>
      <c r="U495" s="58"/>
      <c r="V495" s="58"/>
    </row>
    <row r="496" spans="1:22" ht="15.75" customHeight="1">
      <c r="A496" s="468" t="s">
        <v>348</v>
      </c>
      <c r="B496" s="204" t="s">
        <v>184</v>
      </c>
      <c r="C496" s="527"/>
      <c r="D496" s="267"/>
      <c r="E496" s="706"/>
      <c r="F496" s="267"/>
      <c r="G496" s="206"/>
      <c r="H496" s="214"/>
      <c r="I496" s="502"/>
      <c r="J496" s="553"/>
      <c r="K496" s="552">
        <f t="shared" si="29"/>
        <v>0</v>
      </c>
      <c r="L496" s="217"/>
      <c r="M496" s="211">
        <f t="shared" si="28"/>
        <v>-46136</v>
      </c>
      <c r="N496" s="683">
        <f t="shared" si="30"/>
        <v>7</v>
      </c>
      <c r="O496" s="212"/>
      <c r="P496" s="544"/>
      <c r="Q496" s="561">
        <f t="shared" si="31"/>
        <v>0</v>
      </c>
      <c r="R496" s="58"/>
      <c r="S496" s="58"/>
      <c r="T496" s="58"/>
      <c r="U496" s="58"/>
      <c r="V496" s="58"/>
    </row>
    <row r="497" spans="1:22" ht="15.75" customHeight="1">
      <c r="A497" s="468" t="s">
        <v>348</v>
      </c>
      <c r="B497" s="204" t="s">
        <v>184</v>
      </c>
      <c r="C497" s="527"/>
      <c r="D497" s="502"/>
      <c r="E497" s="706"/>
      <c r="F497" s="502"/>
      <c r="G497" s="206"/>
      <c r="H497" s="214"/>
      <c r="I497" s="501"/>
      <c r="J497" s="553"/>
      <c r="K497" s="552">
        <f t="shared" si="29"/>
        <v>0</v>
      </c>
      <c r="L497" s="217"/>
      <c r="M497" s="211">
        <f t="shared" si="28"/>
        <v>-46136</v>
      </c>
      <c r="N497" s="683">
        <f t="shared" si="30"/>
        <v>7</v>
      </c>
      <c r="O497" s="212"/>
      <c r="P497" s="544"/>
      <c r="Q497" s="561">
        <f t="shared" si="31"/>
        <v>0</v>
      </c>
      <c r="R497" s="58"/>
      <c r="S497" s="58"/>
      <c r="T497" s="58"/>
      <c r="U497" s="58"/>
      <c r="V497" s="58"/>
    </row>
    <row r="498" spans="1:22" ht="15.75" customHeight="1">
      <c r="A498" s="468" t="s">
        <v>348</v>
      </c>
      <c r="B498" s="204" t="s">
        <v>184</v>
      </c>
      <c r="C498" s="527"/>
      <c r="D498" s="267"/>
      <c r="E498" s="706"/>
      <c r="F498" s="267"/>
      <c r="G498" s="206"/>
      <c r="H498" s="214"/>
      <c r="I498" s="502"/>
      <c r="J498" s="553"/>
      <c r="K498" s="552">
        <f t="shared" si="29"/>
        <v>0</v>
      </c>
      <c r="L498" s="217"/>
      <c r="M498" s="211">
        <f t="shared" si="28"/>
        <v>-46136</v>
      </c>
      <c r="N498" s="683">
        <f t="shared" si="30"/>
        <v>7</v>
      </c>
      <c r="O498" s="212"/>
      <c r="P498" s="544"/>
      <c r="Q498" s="561">
        <f t="shared" si="31"/>
        <v>0</v>
      </c>
      <c r="R498" s="58"/>
      <c r="S498" s="58"/>
      <c r="T498" s="58"/>
      <c r="U498" s="58"/>
      <c r="V498" s="58"/>
    </row>
    <row r="499" spans="1:22" ht="15.75" customHeight="1">
      <c r="A499" s="468" t="s">
        <v>348</v>
      </c>
      <c r="B499" s="204" t="s">
        <v>184</v>
      </c>
      <c r="C499" s="527"/>
      <c r="D499" s="267"/>
      <c r="E499" s="706"/>
      <c r="F499" s="267"/>
      <c r="G499" s="206"/>
      <c r="H499" s="214"/>
      <c r="I499" s="502"/>
      <c r="J499" s="553"/>
      <c r="K499" s="552">
        <f t="shared" si="29"/>
        <v>0</v>
      </c>
      <c r="L499" s="217"/>
      <c r="M499" s="211">
        <f t="shared" si="28"/>
        <v>-46136</v>
      </c>
      <c r="N499" s="683">
        <f t="shared" si="30"/>
        <v>7</v>
      </c>
      <c r="O499" s="212"/>
      <c r="P499" s="544"/>
      <c r="Q499" s="561">
        <f t="shared" si="31"/>
        <v>0</v>
      </c>
      <c r="R499" s="58"/>
      <c r="S499" s="58"/>
      <c r="T499" s="58"/>
      <c r="U499" s="58"/>
      <c r="V499" s="58"/>
    </row>
    <row r="500" spans="1:22" ht="15.75" customHeight="1">
      <c r="A500" s="468" t="s">
        <v>348</v>
      </c>
      <c r="B500" s="204" t="s">
        <v>184</v>
      </c>
      <c r="C500" s="527"/>
      <c r="D500" s="267"/>
      <c r="E500" s="706"/>
      <c r="F500" s="267"/>
      <c r="G500" s="206"/>
      <c r="H500" s="214"/>
      <c r="I500" s="503"/>
      <c r="J500" s="553"/>
      <c r="K500" s="552">
        <f t="shared" si="29"/>
        <v>0</v>
      </c>
      <c r="L500" s="217"/>
      <c r="M500" s="211">
        <f t="shared" si="28"/>
        <v>-46136</v>
      </c>
      <c r="N500" s="683">
        <f t="shared" si="30"/>
        <v>7</v>
      </c>
      <c r="O500" s="212"/>
      <c r="P500" s="544"/>
      <c r="Q500" s="561">
        <f t="shared" si="31"/>
        <v>0</v>
      </c>
      <c r="R500" s="58"/>
      <c r="S500" s="58"/>
      <c r="T500" s="58"/>
      <c r="U500" s="58"/>
      <c r="V500" s="58"/>
    </row>
    <row r="501" spans="1:22" ht="15.75" customHeight="1">
      <c r="A501" s="468" t="s">
        <v>348</v>
      </c>
      <c r="B501" s="204" t="s">
        <v>184</v>
      </c>
      <c r="C501" s="527"/>
      <c r="D501" s="205"/>
      <c r="E501" s="706"/>
      <c r="F501" s="267"/>
      <c r="G501" s="206"/>
      <c r="H501" s="214"/>
      <c r="I501" s="501"/>
      <c r="J501" s="553"/>
      <c r="K501" s="552">
        <f t="shared" si="29"/>
        <v>0</v>
      </c>
      <c r="L501" s="217"/>
      <c r="M501" s="211">
        <f t="shared" si="28"/>
        <v>-46136</v>
      </c>
      <c r="N501" s="683">
        <f t="shared" si="30"/>
        <v>7</v>
      </c>
      <c r="O501" s="212"/>
      <c r="P501" s="544"/>
      <c r="Q501" s="561">
        <f t="shared" si="31"/>
        <v>0</v>
      </c>
      <c r="R501" s="58"/>
      <c r="S501" s="58"/>
      <c r="T501" s="58"/>
      <c r="U501" s="58"/>
      <c r="V501" s="58"/>
    </row>
    <row r="502" spans="1:22" ht="15.75" customHeight="1">
      <c r="A502" s="468" t="s">
        <v>348</v>
      </c>
      <c r="B502" s="204" t="s">
        <v>184</v>
      </c>
      <c r="C502" s="527"/>
      <c r="D502" s="205"/>
      <c r="E502" s="706"/>
      <c r="F502" s="205"/>
      <c r="G502" s="206"/>
      <c r="H502" s="214"/>
      <c r="I502" s="503"/>
      <c r="J502" s="553"/>
      <c r="K502" s="552">
        <f t="shared" si="29"/>
        <v>0</v>
      </c>
      <c r="L502" s="217"/>
      <c r="M502" s="211">
        <f t="shared" si="28"/>
        <v>-46136</v>
      </c>
      <c r="N502" s="683">
        <f t="shared" si="30"/>
        <v>7</v>
      </c>
      <c r="O502" s="212"/>
      <c r="P502" s="544"/>
      <c r="Q502" s="561">
        <f t="shared" si="31"/>
        <v>0</v>
      </c>
      <c r="R502" s="58"/>
      <c r="S502" s="58"/>
      <c r="T502" s="58"/>
      <c r="U502" s="58"/>
      <c r="V502" s="58"/>
    </row>
    <row r="503" spans="1:22" ht="15.75" customHeight="1">
      <c r="A503" s="468" t="s">
        <v>348</v>
      </c>
      <c r="B503" s="204" t="s">
        <v>184</v>
      </c>
      <c r="C503" s="527"/>
      <c r="D503" s="205"/>
      <c r="E503" s="706"/>
      <c r="F503" s="205"/>
      <c r="G503" s="206"/>
      <c r="H503" s="214"/>
      <c r="I503" s="502"/>
      <c r="J503" s="553"/>
      <c r="K503" s="552">
        <f t="shared" si="29"/>
        <v>0</v>
      </c>
      <c r="L503" s="217"/>
      <c r="M503" s="211">
        <f t="shared" si="28"/>
        <v>-46136</v>
      </c>
      <c r="N503" s="683">
        <f t="shared" si="30"/>
        <v>7</v>
      </c>
      <c r="O503" s="212"/>
      <c r="P503" s="544"/>
      <c r="Q503" s="561">
        <f t="shared" si="31"/>
        <v>0</v>
      </c>
      <c r="R503" s="58"/>
      <c r="S503" s="58"/>
      <c r="T503" s="58"/>
      <c r="U503" s="58"/>
      <c r="V503" s="58"/>
    </row>
    <row r="504" spans="1:22" ht="15.75" customHeight="1">
      <c r="A504" s="468" t="s">
        <v>348</v>
      </c>
      <c r="B504" s="204" t="s">
        <v>184</v>
      </c>
      <c r="C504" s="527"/>
      <c r="D504" s="205"/>
      <c r="E504" s="706"/>
      <c r="F504" s="205"/>
      <c r="G504" s="206"/>
      <c r="H504" s="214"/>
      <c r="I504" s="502"/>
      <c r="J504" s="553"/>
      <c r="K504" s="552">
        <f t="shared" si="29"/>
        <v>0</v>
      </c>
      <c r="L504" s="217"/>
      <c r="M504" s="211">
        <f t="shared" si="28"/>
        <v>-46136</v>
      </c>
      <c r="N504" s="683">
        <f t="shared" si="30"/>
        <v>7</v>
      </c>
      <c r="O504" s="212"/>
      <c r="P504" s="544"/>
      <c r="Q504" s="561">
        <f t="shared" si="31"/>
        <v>0</v>
      </c>
      <c r="R504" s="58"/>
      <c r="S504" s="58"/>
      <c r="T504" s="58"/>
      <c r="U504" s="58"/>
      <c r="V504" s="58"/>
    </row>
    <row r="505" spans="1:22" ht="15.75" customHeight="1">
      <c r="A505" s="468" t="s">
        <v>348</v>
      </c>
      <c r="B505" s="204" t="s">
        <v>184</v>
      </c>
      <c r="C505" s="527"/>
      <c r="D505" s="205"/>
      <c r="E505" s="706"/>
      <c r="F505" s="205"/>
      <c r="G505" s="206"/>
      <c r="H505" s="214"/>
      <c r="I505" s="501"/>
      <c r="J505" s="553"/>
      <c r="K505" s="552">
        <f t="shared" si="29"/>
        <v>0</v>
      </c>
      <c r="L505" s="217"/>
      <c r="M505" s="211">
        <f t="shared" si="28"/>
        <v>-46136</v>
      </c>
      <c r="N505" s="683">
        <f t="shared" si="30"/>
        <v>7</v>
      </c>
      <c r="O505" s="212"/>
      <c r="P505" s="544"/>
      <c r="Q505" s="561">
        <f t="shared" si="31"/>
        <v>0</v>
      </c>
      <c r="R505" s="58"/>
      <c r="S505" s="58"/>
      <c r="T505" s="58"/>
      <c r="U505" s="58"/>
      <c r="V505" s="58"/>
    </row>
    <row r="506" spans="1:22" ht="15.75" customHeight="1">
      <c r="A506" s="468" t="s">
        <v>348</v>
      </c>
      <c r="B506" s="204" t="s">
        <v>184</v>
      </c>
      <c r="C506" s="527"/>
      <c r="D506" s="205"/>
      <c r="E506" s="706"/>
      <c r="F506" s="205"/>
      <c r="G506" s="206"/>
      <c r="H506" s="214"/>
      <c r="I506" s="502"/>
      <c r="J506" s="553"/>
      <c r="K506" s="552">
        <f t="shared" si="29"/>
        <v>0</v>
      </c>
      <c r="L506" s="217"/>
      <c r="M506" s="211">
        <f t="shared" si="28"/>
        <v>-46136</v>
      </c>
      <c r="N506" s="683">
        <f t="shared" si="30"/>
        <v>7</v>
      </c>
      <c r="O506" s="212"/>
      <c r="P506" s="544"/>
      <c r="Q506" s="561">
        <f t="shared" si="31"/>
        <v>0</v>
      </c>
      <c r="R506" s="58"/>
      <c r="S506" s="58"/>
      <c r="T506" s="58"/>
      <c r="U506" s="58"/>
      <c r="V506" s="58"/>
    </row>
    <row r="507" spans="1:22" ht="15.75" customHeight="1">
      <c r="A507" s="468" t="s">
        <v>348</v>
      </c>
      <c r="B507" s="204" t="s">
        <v>184</v>
      </c>
      <c r="C507" s="527"/>
      <c r="D507" s="205"/>
      <c r="E507" s="706"/>
      <c r="F507" s="205"/>
      <c r="G507" s="206"/>
      <c r="H507" s="214"/>
      <c r="I507" s="502"/>
      <c r="J507" s="553"/>
      <c r="K507" s="552">
        <f t="shared" si="29"/>
        <v>0</v>
      </c>
      <c r="L507" s="217"/>
      <c r="M507" s="211">
        <f t="shared" si="28"/>
        <v>-46136</v>
      </c>
      <c r="N507" s="683">
        <f t="shared" si="30"/>
        <v>7</v>
      </c>
      <c r="O507" s="212"/>
      <c r="P507" s="544"/>
      <c r="Q507" s="561">
        <f t="shared" si="31"/>
        <v>0</v>
      </c>
      <c r="R507" s="58"/>
      <c r="S507" s="58"/>
      <c r="T507" s="58"/>
      <c r="U507" s="58"/>
      <c r="V507" s="58"/>
    </row>
    <row r="508" spans="1:22" ht="15.75" customHeight="1">
      <c r="A508" s="468" t="s">
        <v>348</v>
      </c>
      <c r="B508" s="204" t="s">
        <v>184</v>
      </c>
      <c r="C508" s="527"/>
      <c r="D508" s="205"/>
      <c r="E508" s="706"/>
      <c r="F508" s="205"/>
      <c r="G508" s="206"/>
      <c r="H508" s="214"/>
      <c r="I508" s="502"/>
      <c r="J508" s="553"/>
      <c r="K508" s="552">
        <f t="shared" si="29"/>
        <v>0</v>
      </c>
      <c r="L508" s="217"/>
      <c r="M508" s="211">
        <f t="shared" si="28"/>
        <v>-46136</v>
      </c>
      <c r="N508" s="683">
        <f t="shared" si="30"/>
        <v>7</v>
      </c>
      <c r="O508" s="212"/>
      <c r="P508" s="544"/>
      <c r="Q508" s="561">
        <f t="shared" si="31"/>
        <v>0</v>
      </c>
      <c r="R508" s="58"/>
      <c r="S508" s="58"/>
      <c r="T508" s="58"/>
      <c r="U508" s="58"/>
      <c r="V508" s="58"/>
    </row>
    <row r="509" spans="1:22" ht="15.75" customHeight="1">
      <c r="A509" s="468" t="s">
        <v>348</v>
      </c>
      <c r="B509" s="204" t="s">
        <v>184</v>
      </c>
      <c r="C509" s="527"/>
      <c r="D509" s="205"/>
      <c r="E509" s="706"/>
      <c r="F509" s="205"/>
      <c r="G509" s="206"/>
      <c r="H509" s="214"/>
      <c r="I509" s="502"/>
      <c r="J509" s="553"/>
      <c r="K509" s="552">
        <f t="shared" si="29"/>
        <v>0</v>
      </c>
      <c r="L509" s="217"/>
      <c r="M509" s="211">
        <f t="shared" si="28"/>
        <v>-46136</v>
      </c>
      <c r="N509" s="683">
        <f t="shared" si="30"/>
        <v>7</v>
      </c>
      <c r="O509" s="212"/>
      <c r="P509" s="544"/>
      <c r="Q509" s="561">
        <f t="shared" si="31"/>
        <v>0</v>
      </c>
      <c r="R509" s="58"/>
      <c r="S509" s="58"/>
      <c r="T509" s="58"/>
      <c r="U509" s="58"/>
      <c r="V509" s="58"/>
    </row>
    <row r="510" spans="1:22" ht="15.75" customHeight="1">
      <c r="A510" s="468" t="s">
        <v>348</v>
      </c>
      <c r="B510" s="204" t="s">
        <v>184</v>
      </c>
      <c r="C510" s="527"/>
      <c r="D510" s="215"/>
      <c r="E510" s="706"/>
      <c r="F510" s="215"/>
      <c r="G510" s="206"/>
      <c r="H510" s="214"/>
      <c r="I510" s="502"/>
      <c r="J510" s="553"/>
      <c r="K510" s="552">
        <f t="shared" si="29"/>
        <v>0</v>
      </c>
      <c r="L510" s="217"/>
      <c r="M510" s="211">
        <f t="shared" si="28"/>
        <v>-46136</v>
      </c>
      <c r="N510" s="683">
        <f t="shared" si="30"/>
        <v>7</v>
      </c>
      <c r="O510" s="212"/>
      <c r="P510" s="544"/>
      <c r="Q510" s="561">
        <f t="shared" si="31"/>
        <v>0</v>
      </c>
      <c r="R510" s="58"/>
      <c r="S510" s="58"/>
      <c r="T510" s="58"/>
      <c r="U510" s="58"/>
      <c r="V510" s="58"/>
    </row>
    <row r="511" spans="1:22" ht="15.75" customHeight="1">
      <c r="A511" s="468" t="s">
        <v>348</v>
      </c>
      <c r="B511" s="204" t="s">
        <v>184</v>
      </c>
      <c r="C511" s="527"/>
      <c r="D511" s="215"/>
      <c r="E511" s="706"/>
      <c r="F511" s="215"/>
      <c r="G511" s="206"/>
      <c r="H511" s="214"/>
      <c r="I511" s="502"/>
      <c r="J511" s="553"/>
      <c r="K511" s="552">
        <f t="shared" si="29"/>
        <v>0</v>
      </c>
      <c r="L511" s="217"/>
      <c r="M511" s="211">
        <f t="shared" si="28"/>
        <v>-46136</v>
      </c>
      <c r="N511" s="683">
        <f t="shared" si="30"/>
        <v>7</v>
      </c>
      <c r="O511" s="212"/>
      <c r="P511" s="544"/>
      <c r="Q511" s="561">
        <f t="shared" si="31"/>
        <v>0</v>
      </c>
      <c r="R511" s="58"/>
      <c r="S511" s="58"/>
      <c r="T511" s="58"/>
      <c r="U511" s="58"/>
      <c r="V511" s="58"/>
    </row>
    <row r="512" spans="1:22" ht="15.75" customHeight="1">
      <c r="A512" s="468" t="s">
        <v>348</v>
      </c>
      <c r="B512" s="204" t="s">
        <v>184</v>
      </c>
      <c r="C512" s="527"/>
      <c r="D512" s="215"/>
      <c r="E512" s="706"/>
      <c r="F512" s="215"/>
      <c r="G512" s="206"/>
      <c r="H512" s="214"/>
      <c r="I512" s="502"/>
      <c r="J512" s="553"/>
      <c r="K512" s="552">
        <f t="shared" si="29"/>
        <v>0</v>
      </c>
      <c r="L512" s="217"/>
      <c r="M512" s="211">
        <f t="shared" si="28"/>
        <v>-46136</v>
      </c>
      <c r="N512" s="683">
        <f t="shared" si="30"/>
        <v>7</v>
      </c>
      <c r="O512" s="212"/>
      <c r="P512" s="544"/>
      <c r="Q512" s="561">
        <f t="shared" si="31"/>
        <v>0</v>
      </c>
      <c r="R512" s="58"/>
      <c r="S512" s="58"/>
      <c r="T512" s="58"/>
      <c r="U512" s="58"/>
      <c r="V512" s="58"/>
    </row>
    <row r="513" spans="1:22" ht="15.75" customHeight="1">
      <c r="A513" s="468" t="s">
        <v>348</v>
      </c>
      <c r="B513" s="204" t="s">
        <v>184</v>
      </c>
      <c r="C513" s="527"/>
      <c r="D513" s="215"/>
      <c r="E513" s="706"/>
      <c r="F513" s="215"/>
      <c r="G513" s="206"/>
      <c r="H513" s="214"/>
      <c r="I513" s="502"/>
      <c r="J513" s="553"/>
      <c r="K513" s="552">
        <f t="shared" si="29"/>
        <v>0</v>
      </c>
      <c r="L513" s="217"/>
      <c r="M513" s="211">
        <f t="shared" si="28"/>
        <v>-46136</v>
      </c>
      <c r="N513" s="683">
        <f t="shared" si="30"/>
        <v>7</v>
      </c>
      <c r="O513" s="212"/>
      <c r="P513" s="544"/>
      <c r="Q513" s="561">
        <f t="shared" si="31"/>
        <v>0</v>
      </c>
      <c r="R513" s="58"/>
      <c r="S513" s="58"/>
      <c r="T513" s="58"/>
      <c r="U513" s="58"/>
      <c r="V513" s="58"/>
    </row>
    <row r="514" spans="1:22" ht="15.75" customHeight="1">
      <c r="A514" s="468" t="s">
        <v>348</v>
      </c>
      <c r="B514" s="204" t="s">
        <v>184</v>
      </c>
      <c r="C514" s="527"/>
      <c r="D514" s="215"/>
      <c r="E514" s="706"/>
      <c r="F514" s="215"/>
      <c r="G514" s="206"/>
      <c r="H514" s="214"/>
      <c r="I514" s="502"/>
      <c r="J514" s="553"/>
      <c r="K514" s="552">
        <f t="shared" si="29"/>
        <v>0</v>
      </c>
      <c r="L514" s="217"/>
      <c r="M514" s="211">
        <f t="shared" si="28"/>
        <v>-46136</v>
      </c>
      <c r="N514" s="683">
        <f t="shared" si="30"/>
        <v>7</v>
      </c>
      <c r="O514" s="212"/>
      <c r="P514" s="544"/>
      <c r="Q514" s="561">
        <f t="shared" si="31"/>
        <v>0</v>
      </c>
      <c r="R514" s="58"/>
      <c r="S514" s="58"/>
      <c r="T514" s="58"/>
      <c r="U514" s="58"/>
      <c r="V514" s="58"/>
    </row>
    <row r="515" spans="1:22" ht="15.75" customHeight="1">
      <c r="A515" s="468" t="s">
        <v>348</v>
      </c>
      <c r="B515" s="204" t="s">
        <v>184</v>
      </c>
      <c r="C515" s="527"/>
      <c r="D515" s="215"/>
      <c r="E515" s="706"/>
      <c r="F515" s="215"/>
      <c r="G515" s="206"/>
      <c r="H515" s="214"/>
      <c r="I515" s="502"/>
      <c r="J515" s="553"/>
      <c r="K515" s="552">
        <f t="shared" si="29"/>
        <v>0</v>
      </c>
      <c r="L515" s="217"/>
      <c r="M515" s="211">
        <f t="shared" si="28"/>
        <v>-46136</v>
      </c>
      <c r="N515" s="683">
        <f t="shared" si="30"/>
        <v>7</v>
      </c>
      <c r="O515" s="212"/>
      <c r="P515" s="544"/>
      <c r="Q515" s="561">
        <f t="shared" si="31"/>
        <v>0</v>
      </c>
      <c r="R515" s="58"/>
      <c r="S515" s="58"/>
      <c r="T515" s="58"/>
      <c r="U515" s="58"/>
      <c r="V515" s="58"/>
    </row>
    <row r="516" spans="1:22" ht="15.75" customHeight="1">
      <c r="A516" s="468" t="s">
        <v>348</v>
      </c>
      <c r="B516" s="204" t="s">
        <v>184</v>
      </c>
      <c r="C516" s="527"/>
      <c r="D516" s="215"/>
      <c r="E516" s="706"/>
      <c r="F516" s="215"/>
      <c r="G516" s="206"/>
      <c r="H516" s="214"/>
      <c r="I516" s="502"/>
      <c r="J516" s="553"/>
      <c r="K516" s="552">
        <f t="shared" si="29"/>
        <v>0</v>
      </c>
      <c r="L516" s="217"/>
      <c r="M516" s="211">
        <f t="shared" si="28"/>
        <v>-46136</v>
      </c>
      <c r="N516" s="683">
        <f t="shared" si="30"/>
        <v>7</v>
      </c>
      <c r="O516" s="212"/>
      <c r="P516" s="544"/>
      <c r="Q516" s="561">
        <f t="shared" si="31"/>
        <v>0</v>
      </c>
      <c r="R516" s="58"/>
      <c r="S516" s="58"/>
      <c r="T516" s="58"/>
      <c r="U516" s="58"/>
      <c r="V516" s="58"/>
    </row>
    <row r="517" spans="1:22" ht="15.75" customHeight="1">
      <c r="A517" s="468" t="s">
        <v>348</v>
      </c>
      <c r="B517" s="204" t="s">
        <v>184</v>
      </c>
      <c r="C517" s="527"/>
      <c r="D517" s="215"/>
      <c r="E517" s="706"/>
      <c r="F517" s="215"/>
      <c r="G517" s="206"/>
      <c r="H517" s="214"/>
      <c r="I517" s="502"/>
      <c r="J517" s="553"/>
      <c r="K517" s="552">
        <f t="shared" si="29"/>
        <v>0</v>
      </c>
      <c r="L517" s="217"/>
      <c r="M517" s="211">
        <f t="shared" si="28"/>
        <v>-46136</v>
      </c>
      <c r="N517" s="683">
        <f t="shared" si="30"/>
        <v>7</v>
      </c>
      <c r="O517" s="212"/>
      <c r="P517" s="544"/>
      <c r="Q517" s="561">
        <f t="shared" si="31"/>
        <v>0</v>
      </c>
      <c r="R517" s="58"/>
      <c r="S517" s="58"/>
      <c r="T517" s="58"/>
      <c r="U517" s="58"/>
      <c r="V517" s="58"/>
    </row>
    <row r="518" spans="1:22" ht="15.75" customHeight="1">
      <c r="A518" s="468" t="s">
        <v>348</v>
      </c>
      <c r="B518" s="204" t="s">
        <v>184</v>
      </c>
      <c r="C518" s="527"/>
      <c r="D518" s="215"/>
      <c r="E518" s="706"/>
      <c r="F518" s="215"/>
      <c r="G518" s="206"/>
      <c r="H518" s="214"/>
      <c r="I518" s="502"/>
      <c r="J518" s="553"/>
      <c r="K518" s="552">
        <f t="shared" si="29"/>
        <v>0</v>
      </c>
      <c r="L518" s="217"/>
      <c r="M518" s="211">
        <f t="shared" si="28"/>
        <v>-46136</v>
      </c>
      <c r="N518" s="683">
        <f t="shared" si="30"/>
        <v>7</v>
      </c>
      <c r="O518" s="212"/>
      <c r="P518" s="544"/>
      <c r="Q518" s="561">
        <f t="shared" si="31"/>
        <v>0</v>
      </c>
      <c r="R518" s="58"/>
      <c r="S518" s="58"/>
      <c r="T518" s="58"/>
      <c r="U518" s="58"/>
      <c r="V518" s="58"/>
    </row>
    <row r="519" spans="1:22" ht="15.75" customHeight="1">
      <c r="A519" s="468" t="s">
        <v>348</v>
      </c>
      <c r="B519" s="204" t="s">
        <v>184</v>
      </c>
      <c r="C519" s="527"/>
      <c r="D519" s="215"/>
      <c r="E519" s="706"/>
      <c r="F519" s="215"/>
      <c r="G519" s="206"/>
      <c r="H519" s="214"/>
      <c r="I519" s="502"/>
      <c r="J519" s="553"/>
      <c r="K519" s="552">
        <f t="shared" si="29"/>
        <v>0</v>
      </c>
      <c r="L519" s="217"/>
      <c r="M519" s="211">
        <f t="shared" si="28"/>
        <v>-46136</v>
      </c>
      <c r="N519" s="683">
        <f t="shared" si="30"/>
        <v>7</v>
      </c>
      <c r="O519" s="212"/>
      <c r="P519" s="544"/>
      <c r="Q519" s="561">
        <f t="shared" si="31"/>
        <v>0</v>
      </c>
      <c r="R519" s="58"/>
      <c r="S519" s="58"/>
      <c r="T519" s="58"/>
      <c r="U519" s="58"/>
      <c r="V519" s="58"/>
    </row>
    <row r="520" spans="1:22" ht="15.75" customHeight="1">
      <c r="A520" s="468" t="s">
        <v>348</v>
      </c>
      <c r="B520" s="204" t="s">
        <v>184</v>
      </c>
      <c r="C520" s="527"/>
      <c r="D520" s="215"/>
      <c r="E520" s="706"/>
      <c r="F520" s="215"/>
      <c r="G520" s="206"/>
      <c r="H520" s="214"/>
      <c r="I520" s="502"/>
      <c r="J520" s="553"/>
      <c r="K520" s="552">
        <f t="shared" si="29"/>
        <v>0</v>
      </c>
      <c r="L520" s="217"/>
      <c r="M520" s="211">
        <f t="shared" si="28"/>
        <v>-46136</v>
      </c>
      <c r="N520" s="683">
        <f t="shared" si="30"/>
        <v>7</v>
      </c>
      <c r="O520" s="212"/>
      <c r="P520" s="544"/>
      <c r="Q520" s="561">
        <f t="shared" si="31"/>
        <v>0</v>
      </c>
      <c r="R520" s="58"/>
      <c r="S520" s="58"/>
      <c r="T520" s="58"/>
      <c r="U520" s="58"/>
      <c r="V520" s="58"/>
    </row>
    <row r="521" spans="1:22" ht="15.75" customHeight="1">
      <c r="A521" s="468" t="s">
        <v>348</v>
      </c>
      <c r="B521" s="204" t="s">
        <v>184</v>
      </c>
      <c r="C521" s="527"/>
      <c r="D521" s="267"/>
      <c r="E521" s="706"/>
      <c r="F521" s="215"/>
      <c r="G521" s="206"/>
      <c r="H521" s="214"/>
      <c r="I521" s="502"/>
      <c r="J521" s="553"/>
      <c r="K521" s="552">
        <f t="shared" si="29"/>
        <v>0</v>
      </c>
      <c r="L521" s="217"/>
      <c r="M521" s="211">
        <f t="shared" ref="M521:M584" si="32">+L521-$E$6</f>
        <v>-46136</v>
      </c>
      <c r="N521" s="683">
        <f t="shared" si="30"/>
        <v>7</v>
      </c>
      <c r="O521" s="212"/>
      <c r="P521" s="58"/>
      <c r="Q521" s="561">
        <f t="shared" si="31"/>
        <v>0</v>
      </c>
      <c r="R521" s="58"/>
      <c r="S521" s="58"/>
      <c r="T521" s="58"/>
      <c r="U521" s="58"/>
      <c r="V521" s="58"/>
    </row>
    <row r="522" spans="1:22" ht="15.75" customHeight="1">
      <c r="A522" s="468" t="s">
        <v>348</v>
      </c>
      <c r="B522" s="204" t="s">
        <v>184</v>
      </c>
      <c r="C522" s="527"/>
      <c r="D522" s="267"/>
      <c r="E522" s="706"/>
      <c r="F522" s="215"/>
      <c r="G522" s="206"/>
      <c r="H522" s="214"/>
      <c r="I522" s="502"/>
      <c r="J522" s="553"/>
      <c r="K522" s="552">
        <f t="shared" ref="K522:K585" si="33">-J522</f>
        <v>0</v>
      </c>
      <c r="L522" s="217"/>
      <c r="M522" s="211">
        <f t="shared" si="32"/>
        <v>-46136</v>
      </c>
      <c r="N522" s="683">
        <f t="shared" ref="N522:N585" si="34">+L522+7</f>
        <v>7</v>
      </c>
      <c r="O522" s="212"/>
      <c r="P522" s="544"/>
      <c r="Q522" s="561">
        <f t="shared" si="31"/>
        <v>0</v>
      </c>
      <c r="R522" s="58"/>
      <c r="S522" s="58"/>
      <c r="T522" s="58"/>
      <c r="U522" s="58"/>
      <c r="V522" s="58"/>
    </row>
    <row r="523" spans="1:22" ht="15.75" customHeight="1">
      <c r="A523" s="468" t="s">
        <v>348</v>
      </c>
      <c r="B523" s="204" t="s">
        <v>184</v>
      </c>
      <c r="C523" s="527"/>
      <c r="D523" s="267"/>
      <c r="E523" s="706"/>
      <c r="F523" s="215"/>
      <c r="G523" s="206"/>
      <c r="H523" s="214"/>
      <c r="I523" s="501"/>
      <c r="J523" s="553"/>
      <c r="K523" s="552">
        <f t="shared" si="33"/>
        <v>0</v>
      </c>
      <c r="L523" s="217"/>
      <c r="M523" s="211">
        <f t="shared" si="32"/>
        <v>-46136</v>
      </c>
      <c r="N523" s="683">
        <f t="shared" si="34"/>
        <v>7</v>
      </c>
      <c r="O523" s="212"/>
      <c r="P523" s="544"/>
      <c r="Q523" s="561">
        <f t="shared" ref="Q523:Q586" si="35">+K523+J523</f>
        <v>0</v>
      </c>
      <c r="R523" s="58"/>
      <c r="S523" s="58"/>
      <c r="T523" s="58"/>
      <c r="U523" s="58"/>
      <c r="V523" s="58"/>
    </row>
    <row r="524" spans="1:22" ht="15.75" customHeight="1">
      <c r="A524" s="468" t="s">
        <v>348</v>
      </c>
      <c r="B524" s="204" t="s">
        <v>184</v>
      </c>
      <c r="C524" s="527"/>
      <c r="D524" s="267"/>
      <c r="E524" s="706"/>
      <c r="F524" s="215"/>
      <c r="G524" s="206"/>
      <c r="H524" s="214"/>
      <c r="I524" s="501"/>
      <c r="J524" s="553"/>
      <c r="K524" s="552">
        <f t="shared" si="33"/>
        <v>0</v>
      </c>
      <c r="L524" s="217"/>
      <c r="M524" s="211">
        <f t="shared" si="32"/>
        <v>-46136</v>
      </c>
      <c r="N524" s="683">
        <f t="shared" si="34"/>
        <v>7</v>
      </c>
      <c r="O524" s="212"/>
      <c r="P524" s="544"/>
      <c r="Q524" s="561">
        <f t="shared" si="35"/>
        <v>0</v>
      </c>
      <c r="R524" s="58"/>
      <c r="S524" s="58"/>
      <c r="T524" s="58"/>
      <c r="U524" s="58"/>
      <c r="V524" s="58"/>
    </row>
    <row r="525" spans="1:22" ht="15.75" customHeight="1">
      <c r="A525" s="468" t="s">
        <v>348</v>
      </c>
      <c r="B525" s="204" t="s">
        <v>184</v>
      </c>
      <c r="C525" s="527"/>
      <c r="D525" s="267"/>
      <c r="E525" s="706"/>
      <c r="F525" s="215"/>
      <c r="G525" s="206"/>
      <c r="H525" s="214"/>
      <c r="I525" s="502"/>
      <c r="J525" s="553"/>
      <c r="K525" s="552">
        <f t="shared" si="33"/>
        <v>0</v>
      </c>
      <c r="L525" s="217"/>
      <c r="M525" s="211">
        <f t="shared" si="32"/>
        <v>-46136</v>
      </c>
      <c r="N525" s="683">
        <f t="shared" si="34"/>
        <v>7</v>
      </c>
      <c r="O525" s="212"/>
      <c r="P525" s="544"/>
      <c r="Q525" s="561">
        <f t="shared" si="35"/>
        <v>0</v>
      </c>
      <c r="R525" s="58"/>
      <c r="S525" s="58"/>
      <c r="T525" s="58"/>
      <c r="U525" s="58"/>
      <c r="V525" s="58"/>
    </row>
    <row r="526" spans="1:22" ht="15.75" customHeight="1">
      <c r="A526" s="468" t="s">
        <v>348</v>
      </c>
      <c r="B526" s="204" t="s">
        <v>184</v>
      </c>
      <c r="C526" s="527"/>
      <c r="D526" s="267"/>
      <c r="E526" s="706"/>
      <c r="F526" s="215"/>
      <c r="G526" s="206"/>
      <c r="H526" s="214"/>
      <c r="I526" s="503"/>
      <c r="J526" s="553"/>
      <c r="K526" s="552">
        <f t="shared" si="33"/>
        <v>0</v>
      </c>
      <c r="L526" s="217"/>
      <c r="M526" s="211">
        <f t="shared" si="32"/>
        <v>-46136</v>
      </c>
      <c r="N526" s="683">
        <f t="shared" si="34"/>
        <v>7</v>
      </c>
      <c r="O526" s="212"/>
      <c r="P526" s="544"/>
      <c r="Q526" s="561">
        <f t="shared" si="35"/>
        <v>0</v>
      </c>
      <c r="R526" s="58"/>
      <c r="S526" s="58"/>
      <c r="T526" s="58"/>
      <c r="U526" s="58"/>
      <c r="V526" s="58"/>
    </row>
    <row r="527" spans="1:22" ht="15.75" customHeight="1">
      <c r="A527" s="468" t="s">
        <v>348</v>
      </c>
      <c r="B527" s="204" t="s">
        <v>184</v>
      </c>
      <c r="C527" s="527"/>
      <c r="D527" s="267"/>
      <c r="E527" s="706"/>
      <c r="F527" s="215"/>
      <c r="G527" s="206"/>
      <c r="H527" s="214"/>
      <c r="I527" s="503"/>
      <c r="J527" s="553"/>
      <c r="K527" s="552">
        <f t="shared" si="33"/>
        <v>0</v>
      </c>
      <c r="L527" s="217"/>
      <c r="M527" s="211">
        <f t="shared" si="32"/>
        <v>-46136</v>
      </c>
      <c r="N527" s="683">
        <f t="shared" si="34"/>
        <v>7</v>
      </c>
      <c r="O527" s="212"/>
      <c r="P527" s="544"/>
      <c r="Q527" s="561">
        <f t="shared" si="35"/>
        <v>0</v>
      </c>
      <c r="R527" s="58"/>
      <c r="S527" s="58"/>
      <c r="T527" s="58"/>
      <c r="U527" s="58"/>
      <c r="V527" s="58"/>
    </row>
    <row r="528" spans="1:22" ht="15.75" customHeight="1">
      <c r="A528" s="468" t="s">
        <v>348</v>
      </c>
      <c r="B528" s="204" t="s">
        <v>184</v>
      </c>
      <c r="C528" s="527"/>
      <c r="D528" s="267"/>
      <c r="E528" s="706"/>
      <c r="F528" s="215"/>
      <c r="G528" s="206"/>
      <c r="H528" s="214"/>
      <c r="I528" s="503"/>
      <c r="J528" s="553"/>
      <c r="K528" s="552">
        <f t="shared" si="33"/>
        <v>0</v>
      </c>
      <c r="L528" s="217"/>
      <c r="M528" s="211">
        <f t="shared" si="32"/>
        <v>-46136</v>
      </c>
      <c r="N528" s="683">
        <f t="shared" si="34"/>
        <v>7</v>
      </c>
      <c r="O528" s="212"/>
      <c r="P528" s="544"/>
      <c r="Q528" s="561">
        <f t="shared" si="35"/>
        <v>0</v>
      </c>
      <c r="R528" s="58"/>
      <c r="S528" s="58"/>
      <c r="T528" s="58"/>
      <c r="U528" s="58"/>
      <c r="V528" s="58"/>
    </row>
    <row r="529" spans="1:22" ht="15.75" customHeight="1">
      <c r="A529" s="468" t="s">
        <v>348</v>
      </c>
      <c r="B529" s="204" t="s">
        <v>184</v>
      </c>
      <c r="C529" s="527"/>
      <c r="D529" s="267"/>
      <c r="E529" s="706"/>
      <c r="F529" s="267"/>
      <c r="G529" s="206"/>
      <c r="H529" s="214"/>
      <c r="I529" s="503"/>
      <c r="J529" s="553"/>
      <c r="K529" s="552">
        <f t="shared" si="33"/>
        <v>0</v>
      </c>
      <c r="L529" s="217"/>
      <c r="M529" s="211">
        <f t="shared" si="32"/>
        <v>-46136</v>
      </c>
      <c r="N529" s="683">
        <f t="shared" si="34"/>
        <v>7</v>
      </c>
      <c r="O529" s="212"/>
      <c r="P529" s="544"/>
      <c r="Q529" s="561">
        <f t="shared" si="35"/>
        <v>0</v>
      </c>
      <c r="R529" s="58"/>
      <c r="S529" s="58"/>
      <c r="T529" s="58"/>
      <c r="U529" s="58"/>
      <c r="V529" s="58"/>
    </row>
    <row r="530" spans="1:22" ht="15.75" customHeight="1">
      <c r="A530" s="468" t="s">
        <v>348</v>
      </c>
      <c r="B530" s="204" t="s">
        <v>184</v>
      </c>
      <c r="C530" s="527"/>
      <c r="D530" s="267"/>
      <c r="E530" s="706"/>
      <c r="F530" s="267"/>
      <c r="G530" s="206"/>
      <c r="H530" s="214"/>
      <c r="I530" s="503"/>
      <c r="J530" s="553"/>
      <c r="K530" s="552">
        <f t="shared" si="33"/>
        <v>0</v>
      </c>
      <c r="L530" s="217"/>
      <c r="M530" s="211">
        <f t="shared" si="32"/>
        <v>-46136</v>
      </c>
      <c r="N530" s="683">
        <f t="shared" si="34"/>
        <v>7</v>
      </c>
      <c r="O530" s="212"/>
      <c r="P530" s="544"/>
      <c r="Q530" s="561">
        <f t="shared" si="35"/>
        <v>0</v>
      </c>
      <c r="R530" s="58"/>
      <c r="S530" s="58"/>
      <c r="T530" s="58"/>
      <c r="U530" s="58"/>
      <c r="V530" s="58"/>
    </row>
    <row r="531" spans="1:22" ht="15.75" customHeight="1">
      <c r="A531" s="468" t="s">
        <v>348</v>
      </c>
      <c r="B531" s="204" t="s">
        <v>184</v>
      </c>
      <c r="C531" s="527"/>
      <c r="D531" s="267"/>
      <c r="E531" s="706"/>
      <c r="F531" s="267"/>
      <c r="G531" s="206"/>
      <c r="H531" s="214"/>
      <c r="I531" s="502"/>
      <c r="J531" s="553"/>
      <c r="K531" s="552">
        <f t="shared" si="33"/>
        <v>0</v>
      </c>
      <c r="L531" s="217"/>
      <c r="M531" s="211">
        <f t="shared" si="32"/>
        <v>-46136</v>
      </c>
      <c r="N531" s="683">
        <f t="shared" si="34"/>
        <v>7</v>
      </c>
      <c r="O531" s="212"/>
      <c r="P531" s="544"/>
      <c r="Q531" s="561">
        <f t="shared" si="35"/>
        <v>0</v>
      </c>
      <c r="R531" s="58"/>
      <c r="S531" s="58"/>
      <c r="T531" s="58"/>
      <c r="U531" s="58"/>
      <c r="V531" s="58"/>
    </row>
    <row r="532" spans="1:22" ht="15.75" customHeight="1">
      <c r="A532" s="468" t="s">
        <v>348</v>
      </c>
      <c r="B532" s="204" t="s">
        <v>184</v>
      </c>
      <c r="C532" s="527"/>
      <c r="D532" s="267"/>
      <c r="E532" s="706"/>
      <c r="F532" s="267"/>
      <c r="G532" s="206"/>
      <c r="H532" s="214"/>
      <c r="I532" s="502"/>
      <c r="J532" s="553"/>
      <c r="K532" s="552">
        <f t="shared" si="33"/>
        <v>0</v>
      </c>
      <c r="L532" s="217"/>
      <c r="M532" s="211">
        <f t="shared" si="32"/>
        <v>-46136</v>
      </c>
      <c r="N532" s="683">
        <f t="shared" si="34"/>
        <v>7</v>
      </c>
      <c r="O532" s="212"/>
      <c r="P532" s="544"/>
      <c r="Q532" s="561">
        <f t="shared" si="35"/>
        <v>0</v>
      </c>
      <c r="R532" s="58"/>
      <c r="S532" s="58"/>
      <c r="T532" s="58"/>
      <c r="U532" s="58"/>
      <c r="V532" s="58"/>
    </row>
    <row r="533" spans="1:22" ht="15.75" customHeight="1">
      <c r="A533" s="468" t="s">
        <v>348</v>
      </c>
      <c r="B533" s="204" t="s">
        <v>184</v>
      </c>
      <c r="C533" s="527"/>
      <c r="D533" s="267"/>
      <c r="E533" s="706"/>
      <c r="F533" s="215"/>
      <c r="G533" s="206"/>
      <c r="H533" s="214"/>
      <c r="I533" s="502"/>
      <c r="J533" s="553"/>
      <c r="K533" s="552">
        <f t="shared" si="33"/>
        <v>0</v>
      </c>
      <c r="L533" s="217"/>
      <c r="M533" s="211">
        <f t="shared" si="32"/>
        <v>-46136</v>
      </c>
      <c r="N533" s="683">
        <f t="shared" si="34"/>
        <v>7</v>
      </c>
      <c r="O533" s="212"/>
      <c r="P533" s="544"/>
      <c r="Q533" s="561">
        <f t="shared" si="35"/>
        <v>0</v>
      </c>
      <c r="R533" s="58"/>
      <c r="S533" s="58"/>
      <c r="T533" s="58"/>
      <c r="U533" s="58"/>
      <c r="V533" s="58"/>
    </row>
    <row r="534" spans="1:22" ht="15.75" customHeight="1">
      <c r="A534" s="468" t="s">
        <v>348</v>
      </c>
      <c r="B534" s="204" t="s">
        <v>184</v>
      </c>
      <c r="C534" s="527"/>
      <c r="D534" s="267"/>
      <c r="E534" s="706"/>
      <c r="F534" s="215"/>
      <c r="G534" s="206"/>
      <c r="H534" s="214"/>
      <c r="I534" s="502"/>
      <c r="J534" s="553"/>
      <c r="K534" s="552">
        <f t="shared" si="33"/>
        <v>0</v>
      </c>
      <c r="L534" s="217"/>
      <c r="M534" s="211">
        <f t="shared" si="32"/>
        <v>-46136</v>
      </c>
      <c r="N534" s="683">
        <f t="shared" si="34"/>
        <v>7</v>
      </c>
      <c r="O534" s="212"/>
      <c r="P534" s="544"/>
      <c r="Q534" s="561">
        <f t="shared" si="35"/>
        <v>0</v>
      </c>
      <c r="R534" s="58"/>
      <c r="S534" s="58"/>
      <c r="T534" s="58"/>
      <c r="U534" s="58"/>
      <c r="V534" s="58"/>
    </row>
    <row r="535" spans="1:22" ht="15.75" customHeight="1">
      <c r="A535" s="468" t="s">
        <v>348</v>
      </c>
      <c r="B535" s="204" t="s">
        <v>184</v>
      </c>
      <c r="C535" s="527"/>
      <c r="D535" s="267"/>
      <c r="E535" s="706"/>
      <c r="F535" s="215"/>
      <c r="G535" s="206"/>
      <c r="H535" s="214"/>
      <c r="I535" s="502"/>
      <c r="J535" s="553"/>
      <c r="K535" s="552">
        <f t="shared" si="33"/>
        <v>0</v>
      </c>
      <c r="L535" s="217"/>
      <c r="M535" s="211">
        <f t="shared" si="32"/>
        <v>-46136</v>
      </c>
      <c r="N535" s="683">
        <f t="shared" si="34"/>
        <v>7</v>
      </c>
      <c r="O535" s="212"/>
      <c r="P535" s="544"/>
      <c r="Q535" s="561">
        <f t="shared" si="35"/>
        <v>0</v>
      </c>
      <c r="R535" s="58"/>
      <c r="S535" s="58"/>
      <c r="T535" s="58"/>
      <c r="U535" s="58"/>
      <c r="V535" s="58"/>
    </row>
    <row r="536" spans="1:22" ht="15.75" customHeight="1">
      <c r="A536" s="468" t="s">
        <v>348</v>
      </c>
      <c r="B536" s="204" t="s">
        <v>184</v>
      </c>
      <c r="C536" s="527"/>
      <c r="D536" s="267"/>
      <c r="E536" s="706"/>
      <c r="F536" s="215"/>
      <c r="G536" s="206"/>
      <c r="H536" s="214"/>
      <c r="I536" s="502"/>
      <c r="J536" s="553"/>
      <c r="K536" s="552">
        <f t="shared" si="33"/>
        <v>0</v>
      </c>
      <c r="L536" s="217"/>
      <c r="M536" s="211">
        <f t="shared" si="32"/>
        <v>-46136</v>
      </c>
      <c r="N536" s="683">
        <f t="shared" si="34"/>
        <v>7</v>
      </c>
      <c r="O536" s="212"/>
      <c r="P536" s="544"/>
      <c r="Q536" s="561">
        <f t="shared" si="35"/>
        <v>0</v>
      </c>
      <c r="R536" s="58"/>
      <c r="S536" s="58"/>
      <c r="T536" s="58"/>
      <c r="U536" s="58"/>
      <c r="V536" s="58"/>
    </row>
    <row r="537" spans="1:22" ht="15.75" customHeight="1">
      <c r="A537" s="468" t="s">
        <v>348</v>
      </c>
      <c r="B537" s="204" t="s">
        <v>184</v>
      </c>
      <c r="C537" s="527"/>
      <c r="D537" s="267"/>
      <c r="E537" s="706"/>
      <c r="F537" s="215"/>
      <c r="G537" s="206"/>
      <c r="H537" s="214"/>
      <c r="I537" s="502"/>
      <c r="J537" s="553"/>
      <c r="K537" s="552">
        <f t="shared" si="33"/>
        <v>0</v>
      </c>
      <c r="L537" s="217"/>
      <c r="M537" s="211">
        <f t="shared" si="32"/>
        <v>-46136</v>
      </c>
      <c r="N537" s="683">
        <f t="shared" si="34"/>
        <v>7</v>
      </c>
      <c r="O537" s="212"/>
      <c r="P537" s="544"/>
      <c r="Q537" s="561">
        <f t="shared" si="35"/>
        <v>0</v>
      </c>
      <c r="R537" s="58"/>
      <c r="S537" s="58"/>
      <c r="T537" s="58"/>
      <c r="U537" s="58"/>
      <c r="V537" s="58"/>
    </row>
    <row r="538" spans="1:22" ht="15.75" customHeight="1">
      <c r="A538" s="468" t="s">
        <v>348</v>
      </c>
      <c r="B538" s="204" t="s">
        <v>184</v>
      </c>
      <c r="C538" s="527"/>
      <c r="D538" s="507"/>
      <c r="E538" s="709"/>
      <c r="F538" s="507"/>
      <c r="G538" s="206"/>
      <c r="H538" s="214"/>
      <c r="I538" s="501"/>
      <c r="J538" s="553"/>
      <c r="K538" s="552">
        <f t="shared" si="33"/>
        <v>0</v>
      </c>
      <c r="L538" s="217"/>
      <c r="M538" s="211">
        <f t="shared" si="32"/>
        <v>-46136</v>
      </c>
      <c r="N538" s="683">
        <f t="shared" si="34"/>
        <v>7</v>
      </c>
      <c r="O538" s="212"/>
      <c r="P538" s="544"/>
      <c r="Q538" s="561">
        <f t="shared" si="35"/>
        <v>0</v>
      </c>
      <c r="R538" s="58"/>
      <c r="S538" s="58"/>
      <c r="T538" s="58"/>
      <c r="U538" s="58"/>
      <c r="V538" s="58"/>
    </row>
    <row r="539" spans="1:22" ht="15.75" customHeight="1">
      <c r="A539" s="468" t="s">
        <v>348</v>
      </c>
      <c r="B539" s="204" t="s">
        <v>184</v>
      </c>
      <c r="C539" s="527"/>
      <c r="D539" s="267"/>
      <c r="E539" s="706"/>
      <c r="F539" s="215"/>
      <c r="G539" s="206"/>
      <c r="H539" s="214"/>
      <c r="I539" s="502"/>
      <c r="J539" s="553"/>
      <c r="K539" s="552">
        <f t="shared" si="33"/>
        <v>0</v>
      </c>
      <c r="L539" s="217"/>
      <c r="M539" s="211">
        <f t="shared" si="32"/>
        <v>-46136</v>
      </c>
      <c r="N539" s="683">
        <f t="shared" si="34"/>
        <v>7</v>
      </c>
      <c r="O539" s="212"/>
      <c r="P539" s="544"/>
      <c r="Q539" s="561">
        <f t="shared" si="35"/>
        <v>0</v>
      </c>
      <c r="R539" s="58"/>
      <c r="S539" s="58"/>
      <c r="T539" s="58"/>
      <c r="U539" s="58"/>
      <c r="V539" s="58"/>
    </row>
    <row r="540" spans="1:22" ht="15.75" customHeight="1">
      <c r="A540" s="468" t="s">
        <v>348</v>
      </c>
      <c r="B540" s="204" t="s">
        <v>184</v>
      </c>
      <c r="C540" s="527"/>
      <c r="D540" s="267"/>
      <c r="E540" s="706"/>
      <c r="F540" s="215"/>
      <c r="G540" s="206"/>
      <c r="H540" s="214"/>
      <c r="I540" s="502"/>
      <c r="J540" s="553"/>
      <c r="K540" s="552">
        <f t="shared" si="33"/>
        <v>0</v>
      </c>
      <c r="L540" s="217"/>
      <c r="M540" s="211">
        <f t="shared" si="32"/>
        <v>-46136</v>
      </c>
      <c r="N540" s="683">
        <f t="shared" si="34"/>
        <v>7</v>
      </c>
      <c r="O540" s="212"/>
      <c r="P540" s="544"/>
      <c r="Q540" s="561">
        <f t="shared" si="35"/>
        <v>0</v>
      </c>
      <c r="R540" s="58"/>
      <c r="S540" s="58"/>
      <c r="T540" s="58"/>
      <c r="U540" s="58"/>
      <c r="V540" s="58"/>
    </row>
    <row r="541" spans="1:22" ht="15.75" customHeight="1">
      <c r="A541" s="468" t="s">
        <v>348</v>
      </c>
      <c r="B541" s="204" t="s">
        <v>184</v>
      </c>
      <c r="C541" s="527"/>
      <c r="D541" s="502"/>
      <c r="E541" s="706"/>
      <c r="F541" s="502"/>
      <c r="G541" s="206"/>
      <c r="H541" s="214"/>
      <c r="I541" s="502"/>
      <c r="J541" s="553"/>
      <c r="K541" s="552">
        <f t="shared" si="33"/>
        <v>0</v>
      </c>
      <c r="L541" s="217"/>
      <c r="M541" s="211">
        <f t="shared" si="32"/>
        <v>-46136</v>
      </c>
      <c r="N541" s="683">
        <f t="shared" si="34"/>
        <v>7</v>
      </c>
      <c r="O541" s="212"/>
      <c r="P541" s="544"/>
      <c r="Q541" s="561">
        <f t="shared" si="35"/>
        <v>0</v>
      </c>
      <c r="R541" s="58"/>
      <c r="S541" s="58"/>
      <c r="T541" s="58"/>
      <c r="U541" s="58"/>
      <c r="V541" s="58"/>
    </row>
    <row r="542" spans="1:22" ht="15.75" customHeight="1">
      <c r="A542" s="468" t="s">
        <v>348</v>
      </c>
      <c r="B542" s="204" t="s">
        <v>184</v>
      </c>
      <c r="C542" s="527"/>
      <c r="D542" s="267"/>
      <c r="E542" s="706"/>
      <c r="F542" s="205"/>
      <c r="G542" s="206"/>
      <c r="H542" s="214"/>
      <c r="I542" s="502"/>
      <c r="J542" s="554"/>
      <c r="K542" s="552">
        <f t="shared" si="33"/>
        <v>0</v>
      </c>
      <c r="L542" s="217"/>
      <c r="M542" s="211">
        <f t="shared" si="32"/>
        <v>-46136</v>
      </c>
      <c r="N542" s="683">
        <f t="shared" si="34"/>
        <v>7</v>
      </c>
      <c r="O542" s="212"/>
      <c r="P542" s="58"/>
      <c r="Q542" s="561">
        <f t="shared" si="35"/>
        <v>0</v>
      </c>
      <c r="R542" s="58"/>
      <c r="S542" s="58"/>
      <c r="T542" s="58"/>
      <c r="U542" s="58"/>
      <c r="V542" s="58"/>
    </row>
    <row r="543" spans="1:22" ht="15.75" customHeight="1">
      <c r="A543" s="468" t="s">
        <v>348</v>
      </c>
      <c r="B543" s="204" t="s">
        <v>184</v>
      </c>
      <c r="C543" s="527"/>
      <c r="D543" s="507"/>
      <c r="E543" s="709"/>
      <c r="F543" s="507"/>
      <c r="G543" s="206"/>
      <c r="H543" s="214"/>
      <c r="I543" s="501"/>
      <c r="J543" s="554"/>
      <c r="K543" s="552">
        <f t="shared" si="33"/>
        <v>0</v>
      </c>
      <c r="L543" s="217"/>
      <c r="M543" s="211">
        <f t="shared" si="32"/>
        <v>-46136</v>
      </c>
      <c r="N543" s="683">
        <f t="shared" si="34"/>
        <v>7</v>
      </c>
      <c r="O543" s="212"/>
      <c r="P543" s="544"/>
      <c r="Q543" s="561">
        <f t="shared" si="35"/>
        <v>0</v>
      </c>
      <c r="R543" s="58"/>
      <c r="S543" s="58"/>
      <c r="T543" s="58"/>
      <c r="U543" s="58"/>
      <c r="V543" s="58"/>
    </row>
    <row r="544" spans="1:22" ht="15.75" customHeight="1">
      <c r="A544" s="468" t="s">
        <v>348</v>
      </c>
      <c r="B544" s="204" t="s">
        <v>184</v>
      </c>
      <c r="C544" s="527"/>
      <c r="D544" s="507"/>
      <c r="E544" s="709"/>
      <c r="F544" s="507"/>
      <c r="G544" s="206"/>
      <c r="H544" s="214"/>
      <c r="I544" s="501"/>
      <c r="J544" s="554"/>
      <c r="K544" s="552">
        <f t="shared" si="33"/>
        <v>0</v>
      </c>
      <c r="L544" s="217"/>
      <c r="M544" s="211">
        <f t="shared" si="32"/>
        <v>-46136</v>
      </c>
      <c r="N544" s="683">
        <f t="shared" si="34"/>
        <v>7</v>
      </c>
      <c r="O544" s="212"/>
      <c r="P544" s="544"/>
      <c r="Q544" s="561">
        <f t="shared" si="35"/>
        <v>0</v>
      </c>
      <c r="R544" s="58"/>
      <c r="S544" s="58"/>
      <c r="T544" s="58"/>
      <c r="U544" s="58"/>
      <c r="V544" s="58"/>
    </row>
    <row r="545" spans="1:22" ht="15.75" customHeight="1">
      <c r="A545" s="468" t="s">
        <v>348</v>
      </c>
      <c r="B545" s="204" t="s">
        <v>184</v>
      </c>
      <c r="C545" s="527"/>
      <c r="D545" s="205"/>
      <c r="E545" s="706"/>
      <c r="F545" s="205"/>
      <c r="G545" s="206"/>
      <c r="H545" s="214"/>
      <c r="I545" s="502"/>
      <c r="J545" s="554"/>
      <c r="K545" s="552">
        <f t="shared" si="33"/>
        <v>0</v>
      </c>
      <c r="L545" s="217"/>
      <c r="M545" s="211">
        <f t="shared" si="32"/>
        <v>-46136</v>
      </c>
      <c r="N545" s="683">
        <f t="shared" si="34"/>
        <v>7</v>
      </c>
      <c r="O545" s="212"/>
      <c r="P545" s="544"/>
      <c r="Q545" s="561">
        <f t="shared" si="35"/>
        <v>0</v>
      </c>
      <c r="R545" s="58"/>
      <c r="S545" s="58"/>
      <c r="T545" s="58"/>
      <c r="U545" s="58"/>
      <c r="V545" s="58"/>
    </row>
    <row r="546" spans="1:22" ht="15.75" customHeight="1">
      <c r="A546" s="468" t="s">
        <v>348</v>
      </c>
      <c r="B546" s="204" t="s">
        <v>184</v>
      </c>
      <c r="C546" s="527"/>
      <c r="D546" s="205"/>
      <c r="E546" s="706"/>
      <c r="F546" s="205"/>
      <c r="G546" s="206"/>
      <c r="H546" s="214"/>
      <c r="I546" s="502"/>
      <c r="J546" s="554"/>
      <c r="K546" s="552">
        <f t="shared" si="33"/>
        <v>0</v>
      </c>
      <c r="L546" s="217"/>
      <c r="M546" s="211">
        <f t="shared" si="32"/>
        <v>-46136</v>
      </c>
      <c r="N546" s="683">
        <f t="shared" si="34"/>
        <v>7</v>
      </c>
      <c r="O546" s="212"/>
      <c r="P546" s="544"/>
      <c r="Q546" s="561">
        <f t="shared" si="35"/>
        <v>0</v>
      </c>
      <c r="R546" s="58"/>
      <c r="S546" s="58"/>
      <c r="T546" s="58"/>
      <c r="U546" s="58"/>
      <c r="V546" s="58"/>
    </row>
    <row r="547" spans="1:22" ht="15.75" customHeight="1">
      <c r="A547" s="468" t="s">
        <v>348</v>
      </c>
      <c r="B547" s="204" t="s">
        <v>184</v>
      </c>
      <c r="C547" s="527"/>
      <c r="D547" s="205"/>
      <c r="E547" s="706"/>
      <c r="F547" s="205"/>
      <c r="G547" s="206"/>
      <c r="H547" s="214"/>
      <c r="I547" s="502"/>
      <c r="J547" s="554"/>
      <c r="K547" s="552">
        <f t="shared" si="33"/>
        <v>0</v>
      </c>
      <c r="L547" s="217"/>
      <c r="M547" s="211">
        <f t="shared" si="32"/>
        <v>-46136</v>
      </c>
      <c r="N547" s="683">
        <f t="shared" si="34"/>
        <v>7</v>
      </c>
      <c r="O547" s="212"/>
      <c r="P547" s="544"/>
      <c r="Q547" s="561">
        <f t="shared" si="35"/>
        <v>0</v>
      </c>
      <c r="R547" s="58"/>
      <c r="S547" s="58"/>
      <c r="T547" s="58"/>
      <c r="U547" s="58"/>
      <c r="V547" s="58"/>
    </row>
    <row r="548" spans="1:22" ht="15.75" customHeight="1">
      <c r="A548" s="468" t="s">
        <v>348</v>
      </c>
      <c r="B548" s="204" t="s">
        <v>184</v>
      </c>
      <c r="C548" s="527"/>
      <c r="D548" s="205"/>
      <c r="E548" s="706"/>
      <c r="F548" s="205"/>
      <c r="G548" s="206"/>
      <c r="H548" s="214"/>
      <c r="I548" s="502"/>
      <c r="J548" s="554"/>
      <c r="K548" s="552">
        <f t="shared" si="33"/>
        <v>0</v>
      </c>
      <c r="L548" s="217"/>
      <c r="M548" s="211">
        <f t="shared" si="32"/>
        <v>-46136</v>
      </c>
      <c r="N548" s="683">
        <f t="shared" si="34"/>
        <v>7</v>
      </c>
      <c r="O548" s="212"/>
      <c r="P548" s="544"/>
      <c r="Q548" s="561">
        <f t="shared" si="35"/>
        <v>0</v>
      </c>
      <c r="R548" s="58"/>
      <c r="S548" s="58"/>
      <c r="T548" s="58"/>
      <c r="U548" s="58"/>
      <c r="V548" s="58"/>
    </row>
    <row r="549" spans="1:22" ht="15.75" customHeight="1">
      <c r="A549" s="468" t="s">
        <v>348</v>
      </c>
      <c r="B549" s="204" t="s">
        <v>184</v>
      </c>
      <c r="C549" s="527"/>
      <c r="D549" s="205"/>
      <c r="E549" s="706"/>
      <c r="F549" s="205"/>
      <c r="G549" s="206"/>
      <c r="H549" s="214"/>
      <c r="I549" s="502"/>
      <c r="J549" s="554"/>
      <c r="K549" s="552">
        <f t="shared" si="33"/>
        <v>0</v>
      </c>
      <c r="L549" s="217"/>
      <c r="M549" s="211">
        <f t="shared" si="32"/>
        <v>-46136</v>
      </c>
      <c r="N549" s="683">
        <f t="shared" si="34"/>
        <v>7</v>
      </c>
      <c r="O549" s="212"/>
      <c r="P549" s="544"/>
      <c r="Q549" s="561">
        <f t="shared" si="35"/>
        <v>0</v>
      </c>
      <c r="R549" s="58"/>
      <c r="S549" s="58"/>
      <c r="T549" s="58"/>
      <c r="U549" s="58"/>
      <c r="V549" s="58"/>
    </row>
    <row r="550" spans="1:22" ht="15.75" customHeight="1">
      <c r="A550" s="468" t="s">
        <v>348</v>
      </c>
      <c r="B550" s="204" t="s">
        <v>184</v>
      </c>
      <c r="C550" s="527"/>
      <c r="D550" s="205"/>
      <c r="E550" s="706"/>
      <c r="F550" s="205"/>
      <c r="G550" s="206"/>
      <c r="H550" s="214"/>
      <c r="I550" s="502"/>
      <c r="J550" s="554"/>
      <c r="K550" s="552">
        <f t="shared" si="33"/>
        <v>0</v>
      </c>
      <c r="L550" s="217"/>
      <c r="M550" s="211">
        <f t="shared" si="32"/>
        <v>-46136</v>
      </c>
      <c r="N550" s="683">
        <f t="shared" si="34"/>
        <v>7</v>
      </c>
      <c r="O550" s="212"/>
      <c r="P550" s="544"/>
      <c r="Q550" s="561">
        <f t="shared" si="35"/>
        <v>0</v>
      </c>
      <c r="R550" s="58"/>
      <c r="S550" s="58"/>
      <c r="T550" s="58"/>
      <c r="U550" s="58"/>
      <c r="V550" s="58"/>
    </row>
    <row r="551" spans="1:22" ht="15.75" customHeight="1">
      <c r="A551" s="468" t="s">
        <v>348</v>
      </c>
      <c r="B551" s="204" t="s">
        <v>184</v>
      </c>
      <c r="C551" s="527"/>
      <c r="D551" s="205"/>
      <c r="E551" s="706"/>
      <c r="F551" s="205"/>
      <c r="G551" s="206"/>
      <c r="H551" s="214"/>
      <c r="I551" s="502"/>
      <c r="J551" s="554"/>
      <c r="K551" s="552">
        <f t="shared" si="33"/>
        <v>0</v>
      </c>
      <c r="L551" s="217"/>
      <c r="M551" s="211">
        <f t="shared" si="32"/>
        <v>-46136</v>
      </c>
      <c r="N551" s="683">
        <f t="shared" si="34"/>
        <v>7</v>
      </c>
      <c r="O551" s="212"/>
      <c r="P551" s="544"/>
      <c r="Q551" s="561">
        <f t="shared" si="35"/>
        <v>0</v>
      </c>
      <c r="R551" s="58"/>
      <c r="S551" s="58"/>
      <c r="T551" s="58"/>
      <c r="U551" s="58"/>
      <c r="V551" s="58"/>
    </row>
    <row r="552" spans="1:22" ht="15.75" customHeight="1">
      <c r="A552" s="468" t="s">
        <v>348</v>
      </c>
      <c r="B552" s="204" t="s">
        <v>184</v>
      </c>
      <c r="C552" s="527"/>
      <c r="D552" s="188"/>
      <c r="E552" s="706"/>
      <c r="F552" s="188"/>
      <c r="G552" s="206"/>
      <c r="H552" s="214"/>
      <c r="I552" s="502"/>
      <c r="J552" s="554"/>
      <c r="K552" s="552">
        <f t="shared" si="33"/>
        <v>0</v>
      </c>
      <c r="L552" s="217"/>
      <c r="M552" s="211">
        <f t="shared" si="32"/>
        <v>-46136</v>
      </c>
      <c r="N552" s="683">
        <f t="shared" si="34"/>
        <v>7</v>
      </c>
      <c r="O552" s="212"/>
      <c r="P552" s="544"/>
      <c r="Q552" s="561">
        <f t="shared" si="35"/>
        <v>0</v>
      </c>
      <c r="R552" s="58"/>
      <c r="S552" s="58"/>
      <c r="T552" s="58"/>
      <c r="U552" s="58"/>
      <c r="V552" s="58"/>
    </row>
    <row r="553" spans="1:22" ht="15.75" customHeight="1">
      <c r="A553" s="468" t="s">
        <v>348</v>
      </c>
      <c r="B553" s="204" t="s">
        <v>184</v>
      </c>
      <c r="C553" s="527"/>
      <c r="D553" s="205"/>
      <c r="E553" s="706"/>
      <c r="F553" s="205"/>
      <c r="G553" s="206"/>
      <c r="H553" s="214"/>
      <c r="I553" s="502"/>
      <c r="J553" s="554"/>
      <c r="K553" s="552">
        <f t="shared" si="33"/>
        <v>0</v>
      </c>
      <c r="L553" s="217"/>
      <c r="M553" s="211">
        <f t="shared" si="32"/>
        <v>-46136</v>
      </c>
      <c r="N553" s="683">
        <f t="shared" si="34"/>
        <v>7</v>
      </c>
      <c r="O553" s="212"/>
      <c r="P553" s="544"/>
      <c r="Q553" s="561">
        <f t="shared" si="35"/>
        <v>0</v>
      </c>
      <c r="R553" s="58"/>
      <c r="S553" s="58"/>
      <c r="T553" s="58"/>
      <c r="U553" s="58"/>
      <c r="V553" s="58"/>
    </row>
    <row r="554" spans="1:22" ht="15.75" customHeight="1">
      <c r="A554" s="468" t="s">
        <v>348</v>
      </c>
      <c r="B554" s="204" t="s">
        <v>184</v>
      </c>
      <c r="C554" s="527"/>
      <c r="D554" s="205"/>
      <c r="E554" s="706"/>
      <c r="F554" s="205"/>
      <c r="G554" s="206"/>
      <c r="H554" s="214"/>
      <c r="I554" s="502"/>
      <c r="J554" s="554"/>
      <c r="K554" s="552">
        <f t="shared" si="33"/>
        <v>0</v>
      </c>
      <c r="L554" s="217"/>
      <c r="M554" s="211">
        <f t="shared" si="32"/>
        <v>-46136</v>
      </c>
      <c r="N554" s="683">
        <f t="shared" si="34"/>
        <v>7</v>
      </c>
      <c r="O554" s="212"/>
      <c r="P554" s="544"/>
      <c r="Q554" s="561">
        <f t="shared" si="35"/>
        <v>0</v>
      </c>
      <c r="R554" s="58"/>
      <c r="S554" s="58"/>
      <c r="T554" s="58"/>
      <c r="U554" s="58"/>
      <c r="V554" s="58"/>
    </row>
    <row r="555" spans="1:22" ht="15.75" customHeight="1">
      <c r="A555" s="468" t="s">
        <v>348</v>
      </c>
      <c r="B555" s="204" t="s">
        <v>184</v>
      </c>
      <c r="C555" s="527"/>
      <c r="D555" s="205"/>
      <c r="E555" s="706"/>
      <c r="F555" s="205"/>
      <c r="G555" s="206"/>
      <c r="H555" s="214"/>
      <c r="I555" s="502"/>
      <c r="J555" s="554"/>
      <c r="K555" s="552">
        <f t="shared" si="33"/>
        <v>0</v>
      </c>
      <c r="L555" s="217"/>
      <c r="M555" s="211">
        <f t="shared" si="32"/>
        <v>-46136</v>
      </c>
      <c r="N555" s="683">
        <f t="shared" si="34"/>
        <v>7</v>
      </c>
      <c r="O555" s="212"/>
      <c r="P555" s="544"/>
      <c r="Q555" s="561">
        <f t="shared" si="35"/>
        <v>0</v>
      </c>
      <c r="R555" s="58"/>
      <c r="S555" s="58"/>
      <c r="T555" s="58"/>
      <c r="U555" s="58"/>
      <c r="V555" s="58"/>
    </row>
    <row r="556" spans="1:22" ht="15.75" customHeight="1">
      <c r="A556" s="468" t="s">
        <v>348</v>
      </c>
      <c r="B556" s="204" t="s">
        <v>184</v>
      </c>
      <c r="C556" s="527"/>
      <c r="D556" s="205"/>
      <c r="E556" s="706"/>
      <c r="F556" s="205"/>
      <c r="G556" s="206"/>
      <c r="H556" s="214"/>
      <c r="I556" s="502"/>
      <c r="J556" s="554"/>
      <c r="K556" s="552">
        <f t="shared" si="33"/>
        <v>0</v>
      </c>
      <c r="L556" s="217"/>
      <c r="M556" s="211">
        <f t="shared" si="32"/>
        <v>-46136</v>
      </c>
      <c r="N556" s="683">
        <f t="shared" si="34"/>
        <v>7</v>
      </c>
      <c r="O556" s="212"/>
      <c r="P556" s="544"/>
      <c r="Q556" s="561">
        <f t="shared" si="35"/>
        <v>0</v>
      </c>
      <c r="R556" s="58"/>
      <c r="S556" s="58"/>
      <c r="T556" s="58"/>
      <c r="U556" s="58"/>
      <c r="V556" s="58"/>
    </row>
    <row r="557" spans="1:22" ht="15.75" customHeight="1">
      <c r="A557" s="468" t="s">
        <v>348</v>
      </c>
      <c r="B557" s="204" t="s">
        <v>184</v>
      </c>
      <c r="C557" s="527"/>
      <c r="D557" s="205"/>
      <c r="E557" s="706"/>
      <c r="F557" s="205"/>
      <c r="G557" s="206"/>
      <c r="H557" s="214"/>
      <c r="I557" s="503"/>
      <c r="J557" s="554"/>
      <c r="K557" s="552">
        <f t="shared" si="33"/>
        <v>0</v>
      </c>
      <c r="L557" s="217"/>
      <c r="M557" s="211">
        <f t="shared" si="32"/>
        <v>-46136</v>
      </c>
      <c r="N557" s="683">
        <f t="shared" si="34"/>
        <v>7</v>
      </c>
      <c r="O557" s="212"/>
      <c r="P557" s="544"/>
      <c r="Q557" s="561">
        <f t="shared" si="35"/>
        <v>0</v>
      </c>
      <c r="R557" s="58"/>
      <c r="S557" s="58"/>
      <c r="T557" s="58"/>
      <c r="U557" s="58"/>
      <c r="V557" s="58"/>
    </row>
    <row r="558" spans="1:22" ht="15.75" customHeight="1">
      <c r="A558" s="468" t="s">
        <v>348</v>
      </c>
      <c r="B558" s="204" t="s">
        <v>184</v>
      </c>
      <c r="C558" s="527"/>
      <c r="D558" s="205"/>
      <c r="E558" s="706"/>
      <c r="F558" s="205"/>
      <c r="G558" s="206"/>
      <c r="H558" s="214"/>
      <c r="I558" s="502"/>
      <c r="J558" s="554"/>
      <c r="K558" s="552">
        <f t="shared" si="33"/>
        <v>0</v>
      </c>
      <c r="L558" s="217"/>
      <c r="M558" s="211">
        <f t="shared" si="32"/>
        <v>-46136</v>
      </c>
      <c r="N558" s="683">
        <f t="shared" si="34"/>
        <v>7</v>
      </c>
      <c r="O558" s="212"/>
      <c r="P558" s="544"/>
      <c r="Q558" s="561">
        <f t="shared" si="35"/>
        <v>0</v>
      </c>
      <c r="R558" s="58"/>
      <c r="S558" s="58"/>
      <c r="T558" s="58"/>
      <c r="U558" s="58"/>
      <c r="V558" s="58"/>
    </row>
    <row r="559" spans="1:22" ht="15.75" customHeight="1">
      <c r="A559" s="468" t="s">
        <v>348</v>
      </c>
      <c r="B559" s="204" t="s">
        <v>184</v>
      </c>
      <c r="C559" s="527"/>
      <c r="D559" s="205"/>
      <c r="E559" s="706"/>
      <c r="F559" s="205"/>
      <c r="G559" s="206"/>
      <c r="H559" s="214"/>
      <c r="I559" s="502"/>
      <c r="J559" s="554"/>
      <c r="K559" s="552">
        <f t="shared" si="33"/>
        <v>0</v>
      </c>
      <c r="L559" s="217"/>
      <c r="M559" s="211">
        <f t="shared" si="32"/>
        <v>-46136</v>
      </c>
      <c r="N559" s="683">
        <f t="shared" si="34"/>
        <v>7</v>
      </c>
      <c r="O559" s="212"/>
      <c r="P559" s="544"/>
      <c r="Q559" s="561">
        <f t="shared" si="35"/>
        <v>0</v>
      </c>
      <c r="R559" s="58"/>
      <c r="S559" s="58"/>
      <c r="T559" s="58"/>
      <c r="U559" s="58"/>
      <c r="V559" s="58"/>
    </row>
    <row r="560" spans="1:22" ht="15.75" customHeight="1">
      <c r="A560" s="468" t="s">
        <v>348</v>
      </c>
      <c r="B560" s="204" t="s">
        <v>184</v>
      </c>
      <c r="C560" s="527"/>
      <c r="D560" s="205"/>
      <c r="E560" s="706"/>
      <c r="F560" s="205"/>
      <c r="G560" s="206"/>
      <c r="H560" s="214"/>
      <c r="I560" s="502"/>
      <c r="J560" s="554"/>
      <c r="K560" s="552">
        <f t="shared" si="33"/>
        <v>0</v>
      </c>
      <c r="L560" s="217"/>
      <c r="M560" s="211">
        <f t="shared" si="32"/>
        <v>-46136</v>
      </c>
      <c r="N560" s="683">
        <f t="shared" si="34"/>
        <v>7</v>
      </c>
      <c r="O560" s="212"/>
      <c r="P560" s="544"/>
      <c r="Q560" s="561">
        <f t="shared" si="35"/>
        <v>0</v>
      </c>
      <c r="R560" s="58"/>
      <c r="S560" s="58"/>
      <c r="T560" s="58"/>
      <c r="U560" s="58"/>
      <c r="V560" s="58"/>
    </row>
    <row r="561" spans="1:22" ht="15.75" customHeight="1">
      <c r="A561" s="468" t="s">
        <v>348</v>
      </c>
      <c r="B561" s="204" t="s">
        <v>184</v>
      </c>
      <c r="C561" s="527"/>
      <c r="D561" s="205"/>
      <c r="E561" s="706"/>
      <c r="F561" s="205"/>
      <c r="G561" s="206"/>
      <c r="H561" s="214"/>
      <c r="I561" s="501"/>
      <c r="J561" s="554"/>
      <c r="K561" s="552">
        <f t="shared" si="33"/>
        <v>0</v>
      </c>
      <c r="L561" s="217"/>
      <c r="M561" s="211">
        <f t="shared" si="32"/>
        <v>-46136</v>
      </c>
      <c r="N561" s="683">
        <f t="shared" si="34"/>
        <v>7</v>
      </c>
      <c r="O561" s="212"/>
      <c r="P561" s="544"/>
      <c r="Q561" s="561">
        <f t="shared" si="35"/>
        <v>0</v>
      </c>
      <c r="R561" s="58"/>
      <c r="S561" s="58"/>
      <c r="T561" s="58"/>
      <c r="U561" s="58"/>
      <c r="V561" s="58"/>
    </row>
    <row r="562" spans="1:22" ht="15.75" customHeight="1">
      <c r="A562" s="468" t="s">
        <v>348</v>
      </c>
      <c r="B562" s="204" t="s">
        <v>184</v>
      </c>
      <c r="C562" s="527"/>
      <c r="D562" s="205"/>
      <c r="E562" s="706"/>
      <c r="F562" s="205"/>
      <c r="G562" s="206"/>
      <c r="H562" s="214"/>
      <c r="I562" s="501"/>
      <c r="J562" s="554"/>
      <c r="K562" s="552">
        <f t="shared" si="33"/>
        <v>0</v>
      </c>
      <c r="L562" s="217"/>
      <c r="M562" s="211">
        <f t="shared" si="32"/>
        <v>-46136</v>
      </c>
      <c r="N562" s="683">
        <f t="shared" si="34"/>
        <v>7</v>
      </c>
      <c r="O562" s="212"/>
      <c r="P562" s="544"/>
      <c r="Q562" s="561">
        <f t="shared" si="35"/>
        <v>0</v>
      </c>
      <c r="R562" s="58"/>
      <c r="S562" s="58"/>
      <c r="T562" s="58"/>
      <c r="U562" s="58"/>
      <c r="V562" s="58"/>
    </row>
    <row r="563" spans="1:22" ht="15.75" customHeight="1">
      <c r="A563" s="468" t="s">
        <v>348</v>
      </c>
      <c r="B563" s="204" t="s">
        <v>184</v>
      </c>
      <c r="C563" s="527"/>
      <c r="D563" s="205"/>
      <c r="E563" s="706"/>
      <c r="F563" s="205"/>
      <c r="G563" s="206"/>
      <c r="H563" s="214"/>
      <c r="I563" s="502"/>
      <c r="J563" s="554"/>
      <c r="K563" s="552">
        <f t="shared" si="33"/>
        <v>0</v>
      </c>
      <c r="L563" s="217"/>
      <c r="M563" s="211">
        <f t="shared" si="32"/>
        <v>-46136</v>
      </c>
      <c r="N563" s="683">
        <f t="shared" si="34"/>
        <v>7</v>
      </c>
      <c r="O563" s="212"/>
      <c r="P563" s="544"/>
      <c r="Q563" s="561">
        <f t="shared" si="35"/>
        <v>0</v>
      </c>
      <c r="R563" s="58"/>
      <c r="S563" s="58"/>
      <c r="T563" s="58"/>
      <c r="U563" s="58"/>
      <c r="V563" s="58"/>
    </row>
    <row r="564" spans="1:22" ht="15.75" customHeight="1">
      <c r="A564" s="468" t="s">
        <v>348</v>
      </c>
      <c r="B564" s="204" t="s">
        <v>184</v>
      </c>
      <c r="C564" s="527"/>
      <c r="D564" s="205"/>
      <c r="E564" s="706"/>
      <c r="F564" s="205"/>
      <c r="G564" s="206"/>
      <c r="H564" s="214"/>
      <c r="I564" s="502"/>
      <c r="J564" s="554"/>
      <c r="K564" s="552">
        <f t="shared" si="33"/>
        <v>0</v>
      </c>
      <c r="L564" s="217"/>
      <c r="M564" s="211">
        <f t="shared" si="32"/>
        <v>-46136</v>
      </c>
      <c r="N564" s="683">
        <f t="shared" si="34"/>
        <v>7</v>
      </c>
      <c r="O564" s="212"/>
      <c r="P564" s="544"/>
      <c r="Q564" s="561">
        <f t="shared" si="35"/>
        <v>0</v>
      </c>
      <c r="R564" s="58"/>
      <c r="S564" s="58"/>
      <c r="T564" s="58"/>
      <c r="U564" s="58"/>
      <c r="V564" s="58"/>
    </row>
    <row r="565" spans="1:22" ht="15.75" customHeight="1">
      <c r="A565" s="468" t="s">
        <v>348</v>
      </c>
      <c r="B565" s="204" t="s">
        <v>184</v>
      </c>
      <c r="C565" s="527"/>
      <c r="D565" s="205"/>
      <c r="E565" s="706"/>
      <c r="F565" s="205"/>
      <c r="G565" s="206"/>
      <c r="H565" s="214"/>
      <c r="I565" s="502"/>
      <c r="J565" s="554"/>
      <c r="K565" s="552">
        <f t="shared" si="33"/>
        <v>0</v>
      </c>
      <c r="L565" s="217"/>
      <c r="M565" s="211">
        <f t="shared" si="32"/>
        <v>-46136</v>
      </c>
      <c r="N565" s="683">
        <f t="shared" si="34"/>
        <v>7</v>
      </c>
      <c r="O565" s="212"/>
      <c r="P565" s="544"/>
      <c r="Q565" s="561">
        <f t="shared" si="35"/>
        <v>0</v>
      </c>
      <c r="R565" s="58"/>
      <c r="S565" s="58"/>
      <c r="T565" s="58"/>
      <c r="U565" s="58"/>
      <c r="V565" s="58"/>
    </row>
    <row r="566" spans="1:22" ht="15.75" customHeight="1">
      <c r="A566" s="468" t="s">
        <v>348</v>
      </c>
      <c r="B566" s="204" t="s">
        <v>184</v>
      </c>
      <c r="C566" s="527"/>
      <c r="D566" s="205"/>
      <c r="E566" s="706"/>
      <c r="F566" s="205"/>
      <c r="G566" s="206"/>
      <c r="H566" s="214"/>
      <c r="I566" s="502"/>
      <c r="J566" s="554"/>
      <c r="K566" s="552">
        <f t="shared" si="33"/>
        <v>0</v>
      </c>
      <c r="L566" s="217"/>
      <c r="M566" s="211">
        <f t="shared" si="32"/>
        <v>-46136</v>
      </c>
      <c r="N566" s="683">
        <f t="shared" si="34"/>
        <v>7</v>
      </c>
      <c r="O566" s="212"/>
      <c r="P566" s="544"/>
      <c r="Q566" s="561">
        <f t="shared" si="35"/>
        <v>0</v>
      </c>
      <c r="R566" s="58"/>
      <c r="S566" s="58"/>
      <c r="T566" s="58"/>
      <c r="U566" s="58"/>
      <c r="V566" s="58"/>
    </row>
    <row r="567" spans="1:22" ht="15.75" customHeight="1">
      <c r="A567" s="468" t="s">
        <v>348</v>
      </c>
      <c r="B567" s="204" t="s">
        <v>184</v>
      </c>
      <c r="C567" s="527"/>
      <c r="D567" s="205"/>
      <c r="E567" s="706"/>
      <c r="F567" s="205"/>
      <c r="G567" s="206"/>
      <c r="H567" s="214"/>
      <c r="I567" s="502"/>
      <c r="J567" s="554"/>
      <c r="K567" s="552">
        <f t="shared" si="33"/>
        <v>0</v>
      </c>
      <c r="L567" s="217"/>
      <c r="M567" s="211">
        <f t="shared" si="32"/>
        <v>-46136</v>
      </c>
      <c r="N567" s="683">
        <f t="shared" si="34"/>
        <v>7</v>
      </c>
      <c r="O567" s="212"/>
      <c r="P567" s="544"/>
      <c r="Q567" s="561">
        <f t="shared" si="35"/>
        <v>0</v>
      </c>
      <c r="R567" s="58"/>
      <c r="S567" s="58"/>
      <c r="T567" s="58"/>
      <c r="U567" s="58"/>
      <c r="V567" s="58"/>
    </row>
    <row r="568" spans="1:22" ht="15.75" customHeight="1">
      <c r="A568" s="468" t="s">
        <v>348</v>
      </c>
      <c r="B568" s="204" t="s">
        <v>184</v>
      </c>
      <c r="C568" s="527"/>
      <c r="D568" s="205"/>
      <c r="E568" s="706"/>
      <c r="F568" s="205"/>
      <c r="G568" s="206"/>
      <c r="H568" s="214"/>
      <c r="I568" s="502"/>
      <c r="J568" s="554"/>
      <c r="K568" s="552">
        <f t="shared" si="33"/>
        <v>0</v>
      </c>
      <c r="L568" s="217"/>
      <c r="M568" s="211">
        <f t="shared" si="32"/>
        <v>-46136</v>
      </c>
      <c r="N568" s="683">
        <f t="shared" si="34"/>
        <v>7</v>
      </c>
      <c r="O568" s="212"/>
      <c r="P568" s="544"/>
      <c r="Q568" s="561">
        <f t="shared" si="35"/>
        <v>0</v>
      </c>
      <c r="R568" s="58"/>
      <c r="S568" s="58"/>
      <c r="T568" s="58"/>
      <c r="U568" s="58"/>
      <c r="V568" s="58"/>
    </row>
    <row r="569" spans="1:22" ht="15.75" customHeight="1">
      <c r="A569" s="468" t="s">
        <v>348</v>
      </c>
      <c r="B569" s="204" t="s">
        <v>184</v>
      </c>
      <c r="C569" s="527"/>
      <c r="D569" s="267"/>
      <c r="E569" s="706"/>
      <c r="F569" s="267"/>
      <c r="G569" s="206"/>
      <c r="H569" s="214"/>
      <c r="I569" s="502"/>
      <c r="J569" s="554"/>
      <c r="K569" s="552">
        <f t="shared" si="33"/>
        <v>0</v>
      </c>
      <c r="L569" s="217"/>
      <c r="M569" s="211">
        <f t="shared" si="32"/>
        <v>-46136</v>
      </c>
      <c r="N569" s="683">
        <f t="shared" si="34"/>
        <v>7</v>
      </c>
      <c r="O569" s="212"/>
      <c r="P569" s="544"/>
      <c r="Q569" s="561">
        <f t="shared" si="35"/>
        <v>0</v>
      </c>
      <c r="R569" s="58"/>
      <c r="S569" s="58"/>
      <c r="T569" s="58"/>
      <c r="U569" s="58"/>
      <c r="V569" s="58"/>
    </row>
    <row r="570" spans="1:22" ht="15.75" customHeight="1">
      <c r="A570" s="468" t="s">
        <v>348</v>
      </c>
      <c r="B570" s="204" t="s">
        <v>184</v>
      </c>
      <c r="C570" s="527"/>
      <c r="D570" s="267"/>
      <c r="E570" s="706"/>
      <c r="F570" s="267"/>
      <c r="G570" s="206"/>
      <c r="H570" s="214"/>
      <c r="I570" s="502"/>
      <c r="J570" s="554"/>
      <c r="K570" s="552">
        <f t="shared" si="33"/>
        <v>0</v>
      </c>
      <c r="L570" s="217"/>
      <c r="M570" s="211">
        <f t="shared" si="32"/>
        <v>-46136</v>
      </c>
      <c r="N570" s="683">
        <f t="shared" si="34"/>
        <v>7</v>
      </c>
      <c r="O570" s="212"/>
      <c r="P570" s="544"/>
      <c r="Q570" s="561">
        <f t="shared" si="35"/>
        <v>0</v>
      </c>
      <c r="R570" s="58"/>
      <c r="S570" s="58"/>
      <c r="T570" s="58"/>
      <c r="U570" s="58"/>
      <c r="V570" s="58"/>
    </row>
    <row r="571" spans="1:22" ht="15.75" customHeight="1">
      <c r="A571" s="468" t="s">
        <v>348</v>
      </c>
      <c r="B571" s="204" t="s">
        <v>184</v>
      </c>
      <c r="C571" s="527"/>
      <c r="D571" s="267"/>
      <c r="E571" s="706"/>
      <c r="F571" s="267"/>
      <c r="G571" s="206"/>
      <c r="H571" s="214"/>
      <c r="I571" s="501"/>
      <c r="J571" s="554"/>
      <c r="K571" s="552">
        <f t="shared" si="33"/>
        <v>0</v>
      </c>
      <c r="L571" s="217"/>
      <c r="M571" s="211">
        <f t="shared" si="32"/>
        <v>-46136</v>
      </c>
      <c r="N571" s="683">
        <f t="shared" si="34"/>
        <v>7</v>
      </c>
      <c r="O571" s="212"/>
      <c r="P571" s="544"/>
      <c r="Q571" s="561">
        <f t="shared" si="35"/>
        <v>0</v>
      </c>
      <c r="R571" s="58"/>
      <c r="S571" s="58"/>
      <c r="T571" s="58"/>
      <c r="U571" s="58"/>
      <c r="V571" s="58"/>
    </row>
    <row r="572" spans="1:22" ht="15.75" customHeight="1">
      <c r="A572" s="468" t="s">
        <v>348</v>
      </c>
      <c r="B572" s="204" t="s">
        <v>184</v>
      </c>
      <c r="C572" s="527"/>
      <c r="D572" s="267"/>
      <c r="E572" s="706"/>
      <c r="F572" s="267"/>
      <c r="G572" s="206"/>
      <c r="H572" s="214"/>
      <c r="I572" s="502"/>
      <c r="J572" s="554"/>
      <c r="K572" s="552">
        <f t="shared" si="33"/>
        <v>0</v>
      </c>
      <c r="L572" s="217"/>
      <c r="M572" s="211">
        <f t="shared" si="32"/>
        <v>-46136</v>
      </c>
      <c r="N572" s="683">
        <f t="shared" si="34"/>
        <v>7</v>
      </c>
      <c r="O572" s="212"/>
      <c r="P572" s="544"/>
      <c r="Q572" s="561">
        <f t="shared" si="35"/>
        <v>0</v>
      </c>
      <c r="R572" s="58"/>
      <c r="S572" s="58"/>
      <c r="T572" s="58"/>
      <c r="U572" s="58"/>
      <c r="V572" s="58"/>
    </row>
    <row r="573" spans="1:22" ht="15.75" customHeight="1">
      <c r="A573" s="468" t="s">
        <v>348</v>
      </c>
      <c r="B573" s="204" t="s">
        <v>184</v>
      </c>
      <c r="C573" s="531"/>
      <c r="D573" s="188"/>
      <c r="E573" s="706"/>
      <c r="F573" s="188"/>
      <c r="G573" s="206"/>
      <c r="H573" s="700"/>
      <c r="I573" s="502"/>
      <c r="J573" s="554"/>
      <c r="K573" s="552">
        <f t="shared" si="33"/>
        <v>0</v>
      </c>
      <c r="L573" s="217"/>
      <c r="M573" s="211">
        <f t="shared" si="32"/>
        <v>-46136</v>
      </c>
      <c r="N573" s="683">
        <f t="shared" si="34"/>
        <v>7</v>
      </c>
      <c r="O573" s="212"/>
      <c r="P573" s="544"/>
      <c r="Q573" s="561">
        <f t="shared" si="35"/>
        <v>0</v>
      </c>
      <c r="R573" s="58"/>
      <c r="S573" s="58"/>
      <c r="T573" s="58"/>
      <c r="U573" s="58"/>
      <c r="V573" s="58"/>
    </row>
    <row r="574" spans="1:22" ht="15.75" customHeight="1">
      <c r="A574" s="468" t="s">
        <v>348</v>
      </c>
      <c r="B574" s="204" t="s">
        <v>184</v>
      </c>
      <c r="C574" s="527"/>
      <c r="D574" s="267"/>
      <c r="E574" s="706"/>
      <c r="F574" s="267"/>
      <c r="G574" s="206"/>
      <c r="H574" s="214"/>
      <c r="I574" s="502"/>
      <c r="J574" s="554"/>
      <c r="K574" s="552">
        <f t="shared" si="33"/>
        <v>0</v>
      </c>
      <c r="L574" s="217"/>
      <c r="M574" s="211">
        <f t="shared" si="32"/>
        <v>-46136</v>
      </c>
      <c r="N574" s="683">
        <f t="shared" si="34"/>
        <v>7</v>
      </c>
      <c r="O574" s="212"/>
      <c r="P574" s="544"/>
      <c r="Q574" s="561">
        <f t="shared" si="35"/>
        <v>0</v>
      </c>
      <c r="R574" s="58"/>
      <c r="S574" s="58"/>
      <c r="T574" s="58"/>
      <c r="U574" s="58"/>
      <c r="V574" s="58"/>
    </row>
    <row r="575" spans="1:22" ht="15.75" customHeight="1">
      <c r="A575" s="468" t="s">
        <v>348</v>
      </c>
      <c r="B575" s="204" t="s">
        <v>184</v>
      </c>
      <c r="C575" s="527"/>
      <c r="D575" s="267"/>
      <c r="E575" s="706"/>
      <c r="F575" s="267"/>
      <c r="G575" s="206"/>
      <c r="H575" s="214"/>
      <c r="I575" s="502"/>
      <c r="J575" s="554"/>
      <c r="K575" s="552">
        <f t="shared" si="33"/>
        <v>0</v>
      </c>
      <c r="L575" s="217"/>
      <c r="M575" s="211">
        <f t="shared" si="32"/>
        <v>-46136</v>
      </c>
      <c r="N575" s="683">
        <f t="shared" si="34"/>
        <v>7</v>
      </c>
      <c r="O575" s="212"/>
      <c r="P575" s="544"/>
      <c r="Q575" s="561">
        <f t="shared" si="35"/>
        <v>0</v>
      </c>
      <c r="R575" s="58"/>
      <c r="S575" s="58"/>
      <c r="T575" s="58"/>
      <c r="U575" s="58"/>
      <c r="V575" s="58"/>
    </row>
    <row r="576" spans="1:22" ht="15.75" customHeight="1">
      <c r="A576" s="468" t="s">
        <v>348</v>
      </c>
      <c r="B576" s="204" t="s">
        <v>184</v>
      </c>
      <c r="C576" s="527"/>
      <c r="D576" s="267"/>
      <c r="E576" s="706"/>
      <c r="F576" s="267"/>
      <c r="G576" s="206"/>
      <c r="H576" s="214"/>
      <c r="I576" s="502"/>
      <c r="J576" s="554"/>
      <c r="K576" s="552">
        <f t="shared" si="33"/>
        <v>0</v>
      </c>
      <c r="L576" s="217"/>
      <c r="M576" s="211">
        <f t="shared" si="32"/>
        <v>-46136</v>
      </c>
      <c r="N576" s="683">
        <f t="shared" si="34"/>
        <v>7</v>
      </c>
      <c r="O576" s="212"/>
      <c r="P576" s="544"/>
      <c r="Q576" s="561">
        <f t="shared" si="35"/>
        <v>0</v>
      </c>
      <c r="R576" s="58"/>
      <c r="S576" s="58"/>
      <c r="T576" s="58"/>
      <c r="U576" s="58"/>
      <c r="V576" s="58"/>
    </row>
    <row r="577" spans="1:22" ht="15.75" customHeight="1">
      <c r="A577" s="468" t="s">
        <v>348</v>
      </c>
      <c r="B577" s="204" t="s">
        <v>184</v>
      </c>
      <c r="C577" s="527"/>
      <c r="D577" s="205"/>
      <c r="E577" s="706"/>
      <c r="F577" s="205"/>
      <c r="G577" s="206"/>
      <c r="H577" s="214"/>
      <c r="I577" s="503"/>
      <c r="J577" s="554"/>
      <c r="K577" s="552">
        <f t="shared" si="33"/>
        <v>0</v>
      </c>
      <c r="L577" s="217"/>
      <c r="M577" s="211">
        <f t="shared" si="32"/>
        <v>-46136</v>
      </c>
      <c r="N577" s="683">
        <f t="shared" si="34"/>
        <v>7</v>
      </c>
      <c r="O577" s="212"/>
      <c r="P577" s="544"/>
      <c r="Q577" s="561">
        <f t="shared" si="35"/>
        <v>0</v>
      </c>
      <c r="R577" s="58"/>
      <c r="S577" s="58"/>
      <c r="T577" s="58"/>
      <c r="U577" s="58"/>
      <c r="V577" s="58"/>
    </row>
    <row r="578" spans="1:22" ht="15.75" customHeight="1">
      <c r="A578" s="468" t="s">
        <v>348</v>
      </c>
      <c r="B578" s="204" t="s">
        <v>184</v>
      </c>
      <c r="C578" s="527"/>
      <c r="D578" s="205"/>
      <c r="E578" s="706"/>
      <c r="F578" s="205"/>
      <c r="G578" s="206"/>
      <c r="H578" s="214"/>
      <c r="I578" s="503"/>
      <c r="J578" s="554"/>
      <c r="K578" s="552">
        <f t="shared" si="33"/>
        <v>0</v>
      </c>
      <c r="L578" s="217"/>
      <c r="M578" s="211">
        <f t="shared" si="32"/>
        <v>-46136</v>
      </c>
      <c r="N578" s="683">
        <f t="shared" si="34"/>
        <v>7</v>
      </c>
      <c r="O578" s="212"/>
      <c r="P578" s="544"/>
      <c r="Q578" s="561">
        <f t="shared" si="35"/>
        <v>0</v>
      </c>
      <c r="R578" s="58"/>
      <c r="S578" s="58"/>
      <c r="T578" s="58"/>
      <c r="U578" s="58"/>
      <c r="V578" s="58"/>
    </row>
    <row r="579" spans="1:22" ht="15.75" customHeight="1">
      <c r="A579" s="468" t="s">
        <v>348</v>
      </c>
      <c r="B579" s="204" t="s">
        <v>184</v>
      </c>
      <c r="C579" s="527"/>
      <c r="D579" s="267"/>
      <c r="E579" s="706"/>
      <c r="F579" s="267"/>
      <c r="G579" s="206"/>
      <c r="H579" s="494"/>
      <c r="I579" s="502"/>
      <c r="J579" s="554"/>
      <c r="K579" s="552">
        <f t="shared" si="33"/>
        <v>0</v>
      </c>
      <c r="L579" s="217"/>
      <c r="M579" s="211">
        <f t="shared" si="32"/>
        <v>-46136</v>
      </c>
      <c r="N579" s="683">
        <f t="shared" si="34"/>
        <v>7</v>
      </c>
      <c r="O579" s="212"/>
      <c r="P579" s="544"/>
      <c r="Q579" s="561">
        <f t="shared" si="35"/>
        <v>0</v>
      </c>
      <c r="R579" s="58"/>
      <c r="S579" s="58"/>
      <c r="T579" s="58"/>
      <c r="U579" s="58"/>
      <c r="V579" s="58"/>
    </row>
    <row r="580" spans="1:22" ht="15.75" customHeight="1">
      <c r="A580" s="468" t="s">
        <v>348</v>
      </c>
      <c r="B580" s="204" t="s">
        <v>184</v>
      </c>
      <c r="C580" s="527"/>
      <c r="D580" s="267"/>
      <c r="E580" s="706"/>
      <c r="F580" s="267"/>
      <c r="G580" s="206"/>
      <c r="H580" s="494"/>
      <c r="I580" s="502"/>
      <c r="J580" s="554"/>
      <c r="K580" s="552">
        <f t="shared" si="33"/>
        <v>0</v>
      </c>
      <c r="L580" s="217"/>
      <c r="M580" s="211">
        <f t="shared" si="32"/>
        <v>-46136</v>
      </c>
      <c r="N580" s="683">
        <f t="shared" si="34"/>
        <v>7</v>
      </c>
      <c r="O580" s="212"/>
      <c r="P580" s="544"/>
      <c r="Q580" s="561">
        <f t="shared" si="35"/>
        <v>0</v>
      </c>
      <c r="R580" s="58"/>
      <c r="S580" s="58"/>
      <c r="T580" s="58"/>
      <c r="U580" s="58"/>
      <c r="V580" s="58"/>
    </row>
    <row r="581" spans="1:22" ht="15.75" customHeight="1">
      <c r="A581" s="468" t="s">
        <v>348</v>
      </c>
      <c r="B581" s="204" t="s">
        <v>184</v>
      </c>
      <c r="C581" s="527"/>
      <c r="D581" s="267"/>
      <c r="E581" s="706"/>
      <c r="F581" s="267"/>
      <c r="G581" s="206"/>
      <c r="H581" s="494"/>
      <c r="I581" s="502"/>
      <c r="J581" s="554"/>
      <c r="K581" s="552">
        <f t="shared" si="33"/>
        <v>0</v>
      </c>
      <c r="L581" s="217"/>
      <c r="M581" s="211">
        <f t="shared" si="32"/>
        <v>-46136</v>
      </c>
      <c r="N581" s="683">
        <f t="shared" si="34"/>
        <v>7</v>
      </c>
      <c r="O581" s="212"/>
      <c r="P581" s="544"/>
      <c r="Q581" s="561">
        <f t="shared" si="35"/>
        <v>0</v>
      </c>
      <c r="R581" s="58"/>
      <c r="S581" s="58"/>
      <c r="T581" s="58"/>
      <c r="U581" s="58"/>
      <c r="V581" s="58"/>
    </row>
    <row r="582" spans="1:22" ht="15.75" customHeight="1">
      <c r="A582" s="468" t="s">
        <v>348</v>
      </c>
      <c r="B582" s="204" t="s">
        <v>184</v>
      </c>
      <c r="C582" s="527"/>
      <c r="D582" s="267"/>
      <c r="E582" s="706"/>
      <c r="F582" s="267"/>
      <c r="G582" s="206"/>
      <c r="H582" s="494"/>
      <c r="I582" s="502"/>
      <c r="J582" s="554"/>
      <c r="K582" s="552">
        <f t="shared" si="33"/>
        <v>0</v>
      </c>
      <c r="L582" s="217"/>
      <c r="M582" s="211">
        <f t="shared" si="32"/>
        <v>-46136</v>
      </c>
      <c r="N582" s="683">
        <f t="shared" si="34"/>
        <v>7</v>
      </c>
      <c r="O582" s="212"/>
      <c r="P582" s="544"/>
      <c r="Q582" s="561">
        <f t="shared" si="35"/>
        <v>0</v>
      </c>
      <c r="R582" s="58"/>
      <c r="S582" s="58"/>
      <c r="T582" s="58"/>
      <c r="U582" s="58"/>
      <c r="V582" s="58"/>
    </row>
    <row r="583" spans="1:22" ht="15.75" customHeight="1">
      <c r="A583" s="468" t="s">
        <v>348</v>
      </c>
      <c r="B583" s="204" t="s">
        <v>184</v>
      </c>
      <c r="C583" s="527"/>
      <c r="D583" s="267"/>
      <c r="E583" s="706"/>
      <c r="F583" s="267"/>
      <c r="G583" s="206"/>
      <c r="H583" s="494"/>
      <c r="I583" s="502"/>
      <c r="J583" s="554"/>
      <c r="K583" s="552">
        <f t="shared" si="33"/>
        <v>0</v>
      </c>
      <c r="L583" s="217"/>
      <c r="M583" s="211">
        <f t="shared" si="32"/>
        <v>-46136</v>
      </c>
      <c r="N583" s="683">
        <f t="shared" si="34"/>
        <v>7</v>
      </c>
      <c r="O583" s="212"/>
      <c r="P583" s="544"/>
      <c r="Q583" s="561">
        <f t="shared" si="35"/>
        <v>0</v>
      </c>
      <c r="R583" s="58"/>
      <c r="S583" s="58"/>
      <c r="T583" s="58"/>
      <c r="U583" s="58"/>
      <c r="V583" s="58"/>
    </row>
    <row r="584" spans="1:22" ht="15.75" customHeight="1">
      <c r="A584" s="468" t="s">
        <v>348</v>
      </c>
      <c r="B584" s="204" t="s">
        <v>184</v>
      </c>
      <c r="C584" s="527"/>
      <c r="D584" s="267"/>
      <c r="E584" s="706"/>
      <c r="F584" s="267"/>
      <c r="G584" s="206"/>
      <c r="H584" s="494"/>
      <c r="I584" s="502"/>
      <c r="J584" s="554"/>
      <c r="K584" s="552">
        <f t="shared" si="33"/>
        <v>0</v>
      </c>
      <c r="L584" s="217"/>
      <c r="M584" s="211">
        <f t="shared" si="32"/>
        <v>-46136</v>
      </c>
      <c r="N584" s="683">
        <f t="shared" si="34"/>
        <v>7</v>
      </c>
      <c r="O584" s="212"/>
      <c r="P584" s="544"/>
      <c r="Q584" s="561">
        <f t="shared" si="35"/>
        <v>0</v>
      </c>
      <c r="R584" s="58"/>
      <c r="S584" s="58"/>
      <c r="T584" s="58"/>
      <c r="U584" s="58"/>
      <c r="V584" s="58"/>
    </row>
    <row r="585" spans="1:22" ht="15.75" customHeight="1">
      <c r="A585" s="468" t="s">
        <v>348</v>
      </c>
      <c r="B585" s="204" t="s">
        <v>184</v>
      </c>
      <c r="C585" s="527"/>
      <c r="D585" s="267"/>
      <c r="E585" s="706"/>
      <c r="F585" s="267"/>
      <c r="G585" s="206"/>
      <c r="H585" s="214"/>
      <c r="I585" s="503"/>
      <c r="J585" s="554"/>
      <c r="K585" s="552">
        <f t="shared" si="33"/>
        <v>0</v>
      </c>
      <c r="L585" s="217"/>
      <c r="M585" s="211">
        <f t="shared" ref="M585:M648" si="36">+L585-$E$6</f>
        <v>-46136</v>
      </c>
      <c r="N585" s="683">
        <f t="shared" si="34"/>
        <v>7</v>
      </c>
      <c r="O585" s="212"/>
      <c r="P585" s="544"/>
      <c r="Q585" s="561">
        <f t="shared" si="35"/>
        <v>0</v>
      </c>
      <c r="R585" s="58"/>
      <c r="S585" s="58"/>
      <c r="T585" s="58"/>
      <c r="U585" s="58"/>
      <c r="V585" s="58"/>
    </row>
    <row r="586" spans="1:22" ht="15.75" customHeight="1">
      <c r="A586" s="468" t="s">
        <v>348</v>
      </c>
      <c r="B586" s="204" t="s">
        <v>184</v>
      </c>
      <c r="C586" s="527"/>
      <c r="D586" s="267"/>
      <c r="E586" s="706"/>
      <c r="F586" s="267"/>
      <c r="G586" s="206"/>
      <c r="H586" s="214"/>
      <c r="I586" s="536"/>
      <c r="J586" s="554"/>
      <c r="K586" s="552">
        <f t="shared" ref="K586:K649" si="37">-J586</f>
        <v>0</v>
      </c>
      <c r="L586" s="217"/>
      <c r="M586" s="211">
        <f t="shared" si="36"/>
        <v>-46136</v>
      </c>
      <c r="N586" s="683">
        <f t="shared" ref="N586:N649" si="38">+L586+7</f>
        <v>7</v>
      </c>
      <c r="O586" s="212"/>
      <c r="P586" s="544"/>
      <c r="Q586" s="561">
        <f t="shared" si="35"/>
        <v>0</v>
      </c>
      <c r="R586" s="58"/>
      <c r="S586" s="58"/>
      <c r="T586" s="58"/>
      <c r="U586" s="58"/>
      <c r="V586" s="58"/>
    </row>
    <row r="587" spans="1:22" ht="15.75" customHeight="1">
      <c r="A587" s="468" t="s">
        <v>348</v>
      </c>
      <c r="B587" s="204" t="s">
        <v>184</v>
      </c>
      <c r="C587" s="527"/>
      <c r="D587" s="267"/>
      <c r="E587" s="706"/>
      <c r="F587" s="267"/>
      <c r="G587" s="206"/>
      <c r="H587" s="214"/>
      <c r="I587" s="502"/>
      <c r="J587" s="554"/>
      <c r="K587" s="552">
        <f t="shared" si="37"/>
        <v>0</v>
      </c>
      <c r="L587" s="217"/>
      <c r="M587" s="211">
        <f t="shared" si="36"/>
        <v>-46136</v>
      </c>
      <c r="N587" s="683">
        <f t="shared" si="38"/>
        <v>7</v>
      </c>
      <c r="O587" s="212"/>
      <c r="P587" s="544"/>
      <c r="Q587" s="561">
        <f t="shared" ref="Q587:Q650" si="39">+K587+J587</f>
        <v>0</v>
      </c>
      <c r="R587" s="58"/>
      <c r="S587" s="58"/>
      <c r="T587" s="58"/>
      <c r="U587" s="58"/>
      <c r="V587" s="58"/>
    </row>
    <row r="588" spans="1:22" ht="15.75" customHeight="1">
      <c r="A588" s="468" t="s">
        <v>348</v>
      </c>
      <c r="B588" s="204" t="s">
        <v>184</v>
      </c>
      <c r="C588" s="527"/>
      <c r="D588" s="267"/>
      <c r="E588" s="706"/>
      <c r="F588" s="267"/>
      <c r="G588" s="206"/>
      <c r="H588" s="214"/>
      <c r="I588" s="502"/>
      <c r="J588" s="554"/>
      <c r="K588" s="552">
        <f t="shared" si="37"/>
        <v>0</v>
      </c>
      <c r="L588" s="217"/>
      <c r="M588" s="211">
        <f t="shared" si="36"/>
        <v>-46136</v>
      </c>
      <c r="N588" s="683">
        <f t="shared" si="38"/>
        <v>7</v>
      </c>
      <c r="O588" s="212"/>
      <c r="P588" s="544"/>
      <c r="Q588" s="561">
        <f t="shared" si="39"/>
        <v>0</v>
      </c>
      <c r="R588" s="58"/>
      <c r="S588" s="58"/>
      <c r="T588" s="58"/>
      <c r="U588" s="58"/>
      <c r="V588" s="58"/>
    </row>
    <row r="589" spans="1:22" ht="15.75" customHeight="1">
      <c r="A589" s="468" t="s">
        <v>348</v>
      </c>
      <c r="B589" s="204" t="s">
        <v>184</v>
      </c>
      <c r="C589" s="527"/>
      <c r="D589" s="267"/>
      <c r="E589" s="706"/>
      <c r="F589" s="267"/>
      <c r="G589" s="206"/>
      <c r="H589" s="214"/>
      <c r="I589" s="502"/>
      <c r="J589" s="554"/>
      <c r="K589" s="552">
        <f t="shared" si="37"/>
        <v>0</v>
      </c>
      <c r="L589" s="217"/>
      <c r="M589" s="211">
        <f t="shared" si="36"/>
        <v>-46136</v>
      </c>
      <c r="N589" s="683">
        <f t="shared" si="38"/>
        <v>7</v>
      </c>
      <c r="O589" s="212"/>
      <c r="P589" s="544"/>
      <c r="Q589" s="561">
        <f t="shared" si="39"/>
        <v>0</v>
      </c>
      <c r="R589" s="58"/>
      <c r="S589" s="58"/>
      <c r="T589" s="58"/>
      <c r="U589" s="58"/>
      <c r="V589" s="58"/>
    </row>
    <row r="590" spans="1:22" ht="15.75" customHeight="1">
      <c r="A590" s="468" t="s">
        <v>348</v>
      </c>
      <c r="B590" s="204" t="s">
        <v>184</v>
      </c>
      <c r="C590" s="527"/>
      <c r="D590" s="267"/>
      <c r="E590" s="706"/>
      <c r="F590" s="267"/>
      <c r="G590" s="206"/>
      <c r="H590" s="214"/>
      <c r="I590" s="502"/>
      <c r="J590" s="554"/>
      <c r="K590" s="552">
        <f t="shared" si="37"/>
        <v>0</v>
      </c>
      <c r="L590" s="217"/>
      <c r="M590" s="211">
        <f t="shared" si="36"/>
        <v>-46136</v>
      </c>
      <c r="N590" s="683">
        <f t="shared" si="38"/>
        <v>7</v>
      </c>
      <c r="O590" s="212"/>
      <c r="P590" s="544"/>
      <c r="Q590" s="561">
        <f t="shared" si="39"/>
        <v>0</v>
      </c>
      <c r="R590" s="58"/>
      <c r="S590" s="58"/>
      <c r="T590" s="58"/>
      <c r="U590" s="58"/>
      <c r="V590" s="58"/>
    </row>
    <row r="591" spans="1:22" ht="15.75" customHeight="1">
      <c r="A591" s="468" t="s">
        <v>348</v>
      </c>
      <c r="B591" s="204" t="s">
        <v>184</v>
      </c>
      <c r="C591" s="527"/>
      <c r="D591" s="267"/>
      <c r="E591" s="706"/>
      <c r="F591" s="267"/>
      <c r="G591" s="206"/>
      <c r="H591" s="214"/>
      <c r="I591" s="502"/>
      <c r="J591" s="554"/>
      <c r="K591" s="552">
        <f t="shared" si="37"/>
        <v>0</v>
      </c>
      <c r="L591" s="217"/>
      <c r="M591" s="211">
        <f t="shared" si="36"/>
        <v>-46136</v>
      </c>
      <c r="N591" s="683">
        <f t="shared" si="38"/>
        <v>7</v>
      </c>
      <c r="O591" s="212"/>
      <c r="P591" s="544"/>
      <c r="Q591" s="561">
        <f t="shared" si="39"/>
        <v>0</v>
      </c>
      <c r="R591" s="58"/>
      <c r="S591" s="58"/>
      <c r="T591" s="58"/>
      <c r="U591" s="58"/>
      <c r="V591" s="58"/>
    </row>
    <row r="592" spans="1:22" ht="15.75" customHeight="1">
      <c r="A592" s="468" t="s">
        <v>348</v>
      </c>
      <c r="B592" s="204" t="s">
        <v>184</v>
      </c>
      <c r="C592" s="527"/>
      <c r="D592" s="267"/>
      <c r="E592" s="706"/>
      <c r="F592" s="205"/>
      <c r="G592" s="206"/>
      <c r="H592" s="214"/>
      <c r="I592" s="503"/>
      <c r="J592" s="554"/>
      <c r="K592" s="552">
        <f t="shared" si="37"/>
        <v>0</v>
      </c>
      <c r="L592" s="217"/>
      <c r="M592" s="211">
        <f t="shared" si="36"/>
        <v>-46136</v>
      </c>
      <c r="N592" s="683">
        <f t="shared" si="38"/>
        <v>7</v>
      </c>
      <c r="O592" s="212"/>
      <c r="P592" s="58"/>
      <c r="Q592" s="561">
        <f t="shared" si="39"/>
        <v>0</v>
      </c>
      <c r="R592" s="58"/>
      <c r="S592" s="58"/>
      <c r="T592" s="58"/>
      <c r="U592" s="58"/>
      <c r="V592" s="58"/>
    </row>
    <row r="593" spans="1:22" ht="15.75" customHeight="1">
      <c r="A593" s="468" t="s">
        <v>348</v>
      </c>
      <c r="B593" s="204" t="s">
        <v>184</v>
      </c>
      <c r="C593" s="527"/>
      <c r="D593" s="267"/>
      <c r="E593" s="706"/>
      <c r="F593" s="267"/>
      <c r="G593" s="206"/>
      <c r="H593" s="540"/>
      <c r="I593" s="502"/>
      <c r="J593" s="555"/>
      <c r="K593" s="552">
        <f t="shared" si="37"/>
        <v>0</v>
      </c>
      <c r="L593" s="217"/>
      <c r="M593" s="211">
        <f t="shared" si="36"/>
        <v>-46136</v>
      </c>
      <c r="N593" s="683">
        <f t="shared" si="38"/>
        <v>7</v>
      </c>
      <c r="O593" s="212"/>
      <c r="P593" s="544"/>
      <c r="Q593" s="561">
        <f t="shared" si="39"/>
        <v>0</v>
      </c>
      <c r="R593" s="58"/>
      <c r="S593" s="58"/>
      <c r="T593" s="58"/>
      <c r="U593" s="58"/>
      <c r="V593" s="58"/>
    </row>
    <row r="594" spans="1:22" ht="15.75" customHeight="1">
      <c r="A594" s="468" t="s">
        <v>348</v>
      </c>
      <c r="B594" s="204" t="s">
        <v>184</v>
      </c>
      <c r="C594" s="527"/>
      <c r="D594" s="267"/>
      <c r="E594" s="706"/>
      <c r="F594" s="205"/>
      <c r="G594" s="206"/>
      <c r="H594" s="540"/>
      <c r="I594" s="502"/>
      <c r="J594" s="555"/>
      <c r="K594" s="552">
        <f t="shared" si="37"/>
        <v>0</v>
      </c>
      <c r="L594" s="217"/>
      <c r="M594" s="211">
        <f t="shared" si="36"/>
        <v>-46136</v>
      </c>
      <c r="N594" s="683">
        <f t="shared" si="38"/>
        <v>7</v>
      </c>
      <c r="O594" s="212"/>
      <c r="P594" s="544"/>
      <c r="Q594" s="561">
        <f t="shared" si="39"/>
        <v>0</v>
      </c>
      <c r="R594" s="58"/>
      <c r="S594" s="58"/>
      <c r="T594" s="58"/>
      <c r="U594" s="58"/>
      <c r="V594" s="58"/>
    </row>
    <row r="595" spans="1:22" ht="15.75" customHeight="1">
      <c r="A595" s="468" t="s">
        <v>348</v>
      </c>
      <c r="B595" s="204" t="s">
        <v>184</v>
      </c>
      <c r="C595" s="527"/>
      <c r="D595" s="267"/>
      <c r="E595" s="706"/>
      <c r="F595" s="205"/>
      <c r="G595" s="206"/>
      <c r="H595" s="540"/>
      <c r="I595" s="500"/>
      <c r="J595" s="555"/>
      <c r="K595" s="552">
        <f t="shared" si="37"/>
        <v>0</v>
      </c>
      <c r="L595" s="217"/>
      <c r="M595" s="211">
        <f t="shared" si="36"/>
        <v>-46136</v>
      </c>
      <c r="N595" s="683">
        <f t="shared" si="38"/>
        <v>7</v>
      </c>
      <c r="O595" s="212"/>
      <c r="P595" s="544"/>
      <c r="Q595" s="561">
        <f t="shared" si="39"/>
        <v>0</v>
      </c>
      <c r="R595" s="58"/>
      <c r="S595" s="58"/>
      <c r="T595" s="58"/>
      <c r="U595" s="58"/>
      <c r="V595" s="58"/>
    </row>
    <row r="596" spans="1:22" ht="15.75" customHeight="1">
      <c r="A596" s="468" t="s">
        <v>348</v>
      </c>
      <c r="B596" s="204" t="s">
        <v>184</v>
      </c>
      <c r="C596" s="527"/>
      <c r="D596" s="267"/>
      <c r="E596" s="706"/>
      <c r="F596" s="205"/>
      <c r="G596" s="206"/>
      <c r="H596" s="540"/>
      <c r="I596" s="502"/>
      <c r="J596" s="555"/>
      <c r="K596" s="552">
        <f t="shared" si="37"/>
        <v>0</v>
      </c>
      <c r="L596" s="217"/>
      <c r="M596" s="211">
        <f t="shared" si="36"/>
        <v>-46136</v>
      </c>
      <c r="N596" s="683">
        <f t="shared" si="38"/>
        <v>7</v>
      </c>
      <c r="O596" s="212"/>
      <c r="P596" s="544"/>
      <c r="Q596" s="561">
        <f t="shared" si="39"/>
        <v>0</v>
      </c>
      <c r="R596" s="58"/>
      <c r="S596" s="58"/>
      <c r="T596" s="58"/>
      <c r="U596" s="58"/>
      <c r="V596" s="58"/>
    </row>
    <row r="597" spans="1:22" ht="15.75" customHeight="1">
      <c r="A597" s="468" t="s">
        <v>348</v>
      </c>
      <c r="B597" s="204" t="s">
        <v>184</v>
      </c>
      <c r="C597" s="527"/>
      <c r="D597" s="267"/>
      <c r="E597" s="706"/>
      <c r="F597" s="205"/>
      <c r="G597" s="206"/>
      <c r="H597" s="540"/>
      <c r="I597" s="502"/>
      <c r="J597" s="555"/>
      <c r="K597" s="552">
        <f t="shared" si="37"/>
        <v>0</v>
      </c>
      <c r="L597" s="217"/>
      <c r="M597" s="211">
        <f t="shared" si="36"/>
        <v>-46136</v>
      </c>
      <c r="N597" s="683">
        <f t="shared" si="38"/>
        <v>7</v>
      </c>
      <c r="O597" s="212"/>
      <c r="P597" s="544"/>
      <c r="Q597" s="561">
        <f t="shared" si="39"/>
        <v>0</v>
      </c>
      <c r="R597" s="58"/>
      <c r="S597" s="58"/>
      <c r="T597" s="58"/>
      <c r="U597" s="58"/>
      <c r="V597" s="58"/>
    </row>
    <row r="598" spans="1:22" ht="15.75" customHeight="1">
      <c r="A598" s="468" t="s">
        <v>348</v>
      </c>
      <c r="B598" s="204" t="s">
        <v>184</v>
      </c>
      <c r="C598" s="527"/>
      <c r="D598" s="267"/>
      <c r="E598" s="706"/>
      <c r="F598" s="205"/>
      <c r="G598" s="206"/>
      <c r="H598" s="540"/>
      <c r="I598" s="501"/>
      <c r="J598" s="555"/>
      <c r="K598" s="552">
        <f t="shared" si="37"/>
        <v>0</v>
      </c>
      <c r="L598" s="217"/>
      <c r="M598" s="211">
        <f t="shared" si="36"/>
        <v>-46136</v>
      </c>
      <c r="N598" s="683">
        <f t="shared" si="38"/>
        <v>7</v>
      </c>
      <c r="O598" s="212"/>
      <c r="P598" s="544"/>
      <c r="Q598" s="561">
        <f t="shared" si="39"/>
        <v>0</v>
      </c>
      <c r="R598" s="58"/>
      <c r="S598" s="58"/>
      <c r="T598" s="58"/>
      <c r="U598" s="58"/>
      <c r="V598" s="58"/>
    </row>
    <row r="599" spans="1:22" ht="15.75" customHeight="1">
      <c r="A599" s="468" t="s">
        <v>348</v>
      </c>
      <c r="B599" s="204" t="s">
        <v>184</v>
      </c>
      <c r="C599" s="527"/>
      <c r="D599" s="267"/>
      <c r="E599" s="706"/>
      <c r="F599" s="205"/>
      <c r="G599" s="206"/>
      <c r="H599" s="540"/>
      <c r="I599" s="502"/>
      <c r="J599" s="555"/>
      <c r="K599" s="552">
        <f t="shared" si="37"/>
        <v>0</v>
      </c>
      <c r="L599" s="217"/>
      <c r="M599" s="211">
        <f t="shared" si="36"/>
        <v>-46136</v>
      </c>
      <c r="N599" s="683">
        <f t="shared" si="38"/>
        <v>7</v>
      </c>
      <c r="O599" s="212"/>
      <c r="P599" s="544"/>
      <c r="Q599" s="561">
        <f t="shared" si="39"/>
        <v>0</v>
      </c>
      <c r="R599" s="58"/>
      <c r="S599" s="58"/>
      <c r="T599" s="58"/>
      <c r="U599" s="58"/>
      <c r="V599" s="58"/>
    </row>
    <row r="600" spans="1:22" ht="15.75" customHeight="1">
      <c r="A600" s="468" t="s">
        <v>348</v>
      </c>
      <c r="B600" s="204" t="s">
        <v>184</v>
      </c>
      <c r="C600" s="527"/>
      <c r="D600" s="267"/>
      <c r="E600" s="706"/>
      <c r="F600" s="267"/>
      <c r="G600" s="206"/>
      <c r="H600" s="540"/>
      <c r="I600" s="500"/>
      <c r="J600" s="555"/>
      <c r="K600" s="552">
        <f t="shared" si="37"/>
        <v>0</v>
      </c>
      <c r="L600" s="217"/>
      <c r="M600" s="211">
        <f t="shared" si="36"/>
        <v>-46136</v>
      </c>
      <c r="N600" s="683">
        <f t="shared" si="38"/>
        <v>7</v>
      </c>
      <c r="O600" s="212"/>
      <c r="P600" s="544"/>
      <c r="Q600" s="561">
        <f t="shared" si="39"/>
        <v>0</v>
      </c>
      <c r="R600" s="58"/>
      <c r="S600" s="58"/>
      <c r="T600" s="58"/>
      <c r="U600" s="58"/>
      <c r="V600" s="58"/>
    </row>
    <row r="601" spans="1:22" ht="15.75" customHeight="1">
      <c r="A601" s="468" t="s">
        <v>348</v>
      </c>
      <c r="B601" s="204" t="s">
        <v>184</v>
      </c>
      <c r="C601" s="527"/>
      <c r="D601" s="267"/>
      <c r="E601" s="706"/>
      <c r="F601" s="267"/>
      <c r="G601" s="206"/>
      <c r="H601" s="540"/>
      <c r="I601" s="502"/>
      <c r="J601" s="555"/>
      <c r="K601" s="552">
        <f t="shared" si="37"/>
        <v>0</v>
      </c>
      <c r="L601" s="217"/>
      <c r="M601" s="211">
        <f t="shared" si="36"/>
        <v>-46136</v>
      </c>
      <c r="N601" s="683">
        <f t="shared" si="38"/>
        <v>7</v>
      </c>
      <c r="O601" s="212"/>
      <c r="P601" s="544"/>
      <c r="Q601" s="561">
        <f t="shared" si="39"/>
        <v>0</v>
      </c>
      <c r="R601" s="58"/>
      <c r="S601" s="58"/>
      <c r="T601" s="58"/>
      <c r="U601" s="58"/>
      <c r="V601" s="58"/>
    </row>
    <row r="602" spans="1:22" ht="15.75" customHeight="1">
      <c r="A602" s="468" t="s">
        <v>348</v>
      </c>
      <c r="B602" s="204" t="s">
        <v>184</v>
      </c>
      <c r="C602" s="527"/>
      <c r="D602" s="267"/>
      <c r="E602" s="706"/>
      <c r="F602" s="267"/>
      <c r="G602" s="206"/>
      <c r="H602" s="540"/>
      <c r="I602" s="502"/>
      <c r="J602" s="555"/>
      <c r="K602" s="552">
        <f t="shared" si="37"/>
        <v>0</v>
      </c>
      <c r="L602" s="217"/>
      <c r="M602" s="211">
        <f t="shared" si="36"/>
        <v>-46136</v>
      </c>
      <c r="N602" s="683">
        <f t="shared" si="38"/>
        <v>7</v>
      </c>
      <c r="O602" s="212"/>
      <c r="P602" s="544"/>
      <c r="Q602" s="561">
        <f t="shared" si="39"/>
        <v>0</v>
      </c>
      <c r="R602" s="58"/>
      <c r="S602" s="58"/>
      <c r="T602" s="58"/>
      <c r="U602" s="58"/>
      <c r="V602" s="58"/>
    </row>
    <row r="603" spans="1:22" ht="15.75" customHeight="1">
      <c r="A603" s="468" t="s">
        <v>348</v>
      </c>
      <c r="B603" s="204" t="s">
        <v>184</v>
      </c>
      <c r="C603" s="527"/>
      <c r="D603" s="267"/>
      <c r="E603" s="706"/>
      <c r="F603" s="267"/>
      <c r="G603" s="206"/>
      <c r="H603" s="494"/>
      <c r="I603" s="502"/>
      <c r="J603" s="555"/>
      <c r="K603" s="552">
        <f t="shared" si="37"/>
        <v>0</v>
      </c>
      <c r="L603" s="217"/>
      <c r="M603" s="211">
        <f t="shared" si="36"/>
        <v>-46136</v>
      </c>
      <c r="N603" s="683">
        <f t="shared" si="38"/>
        <v>7</v>
      </c>
      <c r="O603" s="212"/>
      <c r="P603" s="544"/>
      <c r="Q603" s="561">
        <f t="shared" si="39"/>
        <v>0</v>
      </c>
      <c r="R603" s="58"/>
      <c r="S603" s="58"/>
      <c r="T603" s="58"/>
      <c r="U603" s="58"/>
      <c r="V603" s="58"/>
    </row>
    <row r="604" spans="1:22" ht="15.75" customHeight="1">
      <c r="A604" s="468" t="s">
        <v>348</v>
      </c>
      <c r="B604" s="204" t="s">
        <v>184</v>
      </c>
      <c r="C604" s="527"/>
      <c r="D604" s="267"/>
      <c r="E604" s="706"/>
      <c r="F604" s="205"/>
      <c r="G604" s="206"/>
      <c r="H604" s="540"/>
      <c r="I604" s="502"/>
      <c r="J604" s="555"/>
      <c r="K604" s="552">
        <f t="shared" si="37"/>
        <v>0</v>
      </c>
      <c r="L604" s="217"/>
      <c r="M604" s="211">
        <f t="shared" si="36"/>
        <v>-46136</v>
      </c>
      <c r="N604" s="683">
        <f t="shared" si="38"/>
        <v>7</v>
      </c>
      <c r="O604" s="212"/>
      <c r="P604" s="544"/>
      <c r="Q604" s="561">
        <f t="shared" si="39"/>
        <v>0</v>
      </c>
      <c r="R604" s="58"/>
      <c r="S604" s="58"/>
      <c r="T604" s="58"/>
      <c r="U604" s="58"/>
      <c r="V604" s="58"/>
    </row>
    <row r="605" spans="1:22" ht="15.75" customHeight="1">
      <c r="A605" s="468" t="s">
        <v>348</v>
      </c>
      <c r="B605" s="204" t="s">
        <v>184</v>
      </c>
      <c r="C605" s="527"/>
      <c r="D605" s="205"/>
      <c r="E605" s="706"/>
      <c r="F605" s="205"/>
      <c r="G605" s="206"/>
      <c r="H605" s="540"/>
      <c r="I605" s="502"/>
      <c r="J605" s="555"/>
      <c r="K605" s="552">
        <f t="shared" si="37"/>
        <v>0</v>
      </c>
      <c r="L605" s="217"/>
      <c r="M605" s="211">
        <f t="shared" si="36"/>
        <v>-46136</v>
      </c>
      <c r="N605" s="683">
        <f t="shared" si="38"/>
        <v>7</v>
      </c>
      <c r="O605" s="212"/>
      <c r="P605" s="544"/>
      <c r="Q605" s="561">
        <f t="shared" si="39"/>
        <v>0</v>
      </c>
      <c r="R605" s="58"/>
      <c r="S605" s="58"/>
      <c r="T605" s="58"/>
      <c r="U605" s="58"/>
      <c r="V605" s="58"/>
    </row>
    <row r="606" spans="1:22" ht="15.75" customHeight="1">
      <c r="A606" s="468" t="s">
        <v>348</v>
      </c>
      <c r="B606" s="204" t="s">
        <v>184</v>
      </c>
      <c r="C606" s="527"/>
      <c r="D606" s="205"/>
      <c r="E606" s="706"/>
      <c r="F606" s="267"/>
      <c r="G606" s="206"/>
      <c r="H606" s="540"/>
      <c r="I606" s="502"/>
      <c r="J606" s="555"/>
      <c r="K606" s="552">
        <f t="shared" si="37"/>
        <v>0</v>
      </c>
      <c r="L606" s="217"/>
      <c r="M606" s="211">
        <f t="shared" si="36"/>
        <v>-46136</v>
      </c>
      <c r="N606" s="683">
        <f t="shared" si="38"/>
        <v>7</v>
      </c>
      <c r="O606" s="212"/>
      <c r="P606" s="544"/>
      <c r="Q606" s="561">
        <f t="shared" si="39"/>
        <v>0</v>
      </c>
      <c r="R606" s="58"/>
      <c r="S606" s="58"/>
      <c r="T606" s="58"/>
      <c r="U606" s="58"/>
      <c r="V606" s="58"/>
    </row>
    <row r="607" spans="1:22" ht="15.75" customHeight="1">
      <c r="A607" s="468" t="s">
        <v>348</v>
      </c>
      <c r="B607" s="204" t="s">
        <v>184</v>
      </c>
      <c r="C607" s="527"/>
      <c r="D607" s="205"/>
      <c r="E607" s="706"/>
      <c r="F607" s="205"/>
      <c r="G607" s="206"/>
      <c r="H607" s="540"/>
      <c r="I607" s="501"/>
      <c r="J607" s="555"/>
      <c r="K607" s="552">
        <f t="shared" si="37"/>
        <v>0</v>
      </c>
      <c r="L607" s="217"/>
      <c r="M607" s="211">
        <f t="shared" si="36"/>
        <v>-46136</v>
      </c>
      <c r="N607" s="683">
        <f t="shared" si="38"/>
        <v>7</v>
      </c>
      <c r="O607" s="212"/>
      <c r="P607" s="544"/>
      <c r="Q607" s="561">
        <f t="shared" si="39"/>
        <v>0</v>
      </c>
      <c r="R607" s="58"/>
      <c r="S607" s="58"/>
      <c r="T607" s="58"/>
      <c r="U607" s="58"/>
      <c r="V607" s="58"/>
    </row>
    <row r="608" spans="1:22" ht="15.75" customHeight="1">
      <c r="A608" s="468" t="s">
        <v>348</v>
      </c>
      <c r="B608" s="204" t="s">
        <v>184</v>
      </c>
      <c r="C608" s="527"/>
      <c r="D608" s="205"/>
      <c r="E608" s="706"/>
      <c r="F608" s="205"/>
      <c r="G608" s="206"/>
      <c r="H608" s="540"/>
      <c r="I608" s="502"/>
      <c r="J608" s="555"/>
      <c r="K608" s="552">
        <f t="shared" si="37"/>
        <v>0</v>
      </c>
      <c r="L608" s="217"/>
      <c r="M608" s="211">
        <f t="shared" si="36"/>
        <v>-46136</v>
      </c>
      <c r="N608" s="683">
        <f t="shared" si="38"/>
        <v>7</v>
      </c>
      <c r="O608" s="212"/>
      <c r="P608" s="544"/>
      <c r="Q608" s="561">
        <f t="shared" si="39"/>
        <v>0</v>
      </c>
      <c r="R608" s="58"/>
      <c r="S608" s="58"/>
      <c r="T608" s="58"/>
      <c r="U608" s="58"/>
      <c r="V608" s="58"/>
    </row>
    <row r="609" spans="1:22" ht="15.75" customHeight="1">
      <c r="A609" s="468" t="s">
        <v>348</v>
      </c>
      <c r="B609" s="204" t="s">
        <v>184</v>
      </c>
      <c r="C609" s="527"/>
      <c r="D609" s="220"/>
      <c r="E609" s="706"/>
      <c r="F609" s="205"/>
      <c r="G609" s="206"/>
      <c r="H609" s="540"/>
      <c r="I609" s="502"/>
      <c r="J609" s="555"/>
      <c r="K609" s="552">
        <f t="shared" si="37"/>
        <v>0</v>
      </c>
      <c r="L609" s="217"/>
      <c r="M609" s="211">
        <f t="shared" si="36"/>
        <v>-46136</v>
      </c>
      <c r="N609" s="683">
        <f t="shared" si="38"/>
        <v>7</v>
      </c>
      <c r="O609" s="212"/>
      <c r="P609" s="544"/>
      <c r="Q609" s="561">
        <f t="shared" si="39"/>
        <v>0</v>
      </c>
      <c r="R609" s="58"/>
      <c r="S609" s="58"/>
      <c r="T609" s="58"/>
      <c r="U609" s="58"/>
      <c r="V609" s="58"/>
    </row>
    <row r="610" spans="1:22" ht="15.75" customHeight="1">
      <c r="A610" s="468" t="s">
        <v>348</v>
      </c>
      <c r="B610" s="204" t="s">
        <v>184</v>
      </c>
      <c r="C610" s="527"/>
      <c r="D610" s="188"/>
      <c r="E610" s="706"/>
      <c r="F610" s="188"/>
      <c r="G610" s="206"/>
      <c r="H610" s="486"/>
      <c r="I610" s="502"/>
      <c r="J610" s="555"/>
      <c r="K610" s="552">
        <f t="shared" si="37"/>
        <v>0</v>
      </c>
      <c r="L610" s="217"/>
      <c r="M610" s="211">
        <f t="shared" si="36"/>
        <v>-46136</v>
      </c>
      <c r="N610" s="683">
        <f t="shared" si="38"/>
        <v>7</v>
      </c>
      <c r="O610" s="212"/>
      <c r="P610" s="544"/>
      <c r="Q610" s="561">
        <f t="shared" si="39"/>
        <v>0</v>
      </c>
      <c r="R610" s="58"/>
      <c r="S610" s="58"/>
      <c r="T610" s="58"/>
      <c r="U610" s="58"/>
      <c r="V610" s="58"/>
    </row>
    <row r="611" spans="1:22" ht="15.75" customHeight="1">
      <c r="A611" s="468" t="s">
        <v>348</v>
      </c>
      <c r="B611" s="204" t="s">
        <v>184</v>
      </c>
      <c r="C611" s="527"/>
      <c r="D611" s="188"/>
      <c r="E611" s="706"/>
      <c r="F611" s="188"/>
      <c r="G611" s="206"/>
      <c r="H611" s="540"/>
      <c r="I611" s="500"/>
      <c r="J611" s="555"/>
      <c r="K611" s="552">
        <f t="shared" si="37"/>
        <v>0</v>
      </c>
      <c r="L611" s="217"/>
      <c r="M611" s="211">
        <f t="shared" si="36"/>
        <v>-46136</v>
      </c>
      <c r="N611" s="683">
        <f t="shared" si="38"/>
        <v>7</v>
      </c>
      <c r="O611" s="212"/>
      <c r="P611" s="544"/>
      <c r="Q611" s="561">
        <f t="shared" si="39"/>
        <v>0</v>
      </c>
      <c r="R611" s="58"/>
      <c r="S611" s="58"/>
      <c r="T611" s="58"/>
      <c r="U611" s="58"/>
      <c r="V611" s="58"/>
    </row>
    <row r="612" spans="1:22" ht="15.75" customHeight="1">
      <c r="A612" s="468" t="s">
        <v>348</v>
      </c>
      <c r="B612" s="204" t="s">
        <v>184</v>
      </c>
      <c r="C612" s="527"/>
      <c r="D612" s="188"/>
      <c r="E612" s="706"/>
      <c r="F612" s="188"/>
      <c r="G612" s="206"/>
      <c r="H612" s="540"/>
      <c r="I612" s="500"/>
      <c r="J612" s="555"/>
      <c r="K612" s="552">
        <f t="shared" si="37"/>
        <v>0</v>
      </c>
      <c r="L612" s="217"/>
      <c r="M612" s="211">
        <f t="shared" si="36"/>
        <v>-46136</v>
      </c>
      <c r="N612" s="683">
        <f t="shared" si="38"/>
        <v>7</v>
      </c>
      <c r="O612" s="212"/>
      <c r="P612" s="544"/>
      <c r="Q612" s="561">
        <f t="shared" si="39"/>
        <v>0</v>
      </c>
      <c r="R612" s="58"/>
      <c r="S612" s="58"/>
      <c r="T612" s="58"/>
      <c r="U612" s="58"/>
      <c r="V612" s="58"/>
    </row>
    <row r="613" spans="1:22" ht="15.75" customHeight="1">
      <c r="A613" s="468" t="s">
        <v>348</v>
      </c>
      <c r="B613" s="204" t="s">
        <v>184</v>
      </c>
      <c r="C613" s="527"/>
      <c r="D613" s="188"/>
      <c r="E613" s="706"/>
      <c r="F613" s="188"/>
      <c r="G613" s="206"/>
      <c r="H613" s="540"/>
      <c r="I613" s="500"/>
      <c r="J613" s="555"/>
      <c r="K613" s="552">
        <f t="shared" si="37"/>
        <v>0</v>
      </c>
      <c r="L613" s="217"/>
      <c r="M613" s="211">
        <f t="shared" si="36"/>
        <v>-46136</v>
      </c>
      <c r="N613" s="683">
        <f t="shared" si="38"/>
        <v>7</v>
      </c>
      <c r="O613" s="212"/>
      <c r="P613" s="544"/>
      <c r="Q613" s="561">
        <f t="shared" si="39"/>
        <v>0</v>
      </c>
      <c r="R613" s="58"/>
      <c r="S613" s="58"/>
      <c r="T613" s="58"/>
      <c r="U613" s="58"/>
      <c r="V613" s="58"/>
    </row>
    <row r="614" spans="1:22" ht="15.75" customHeight="1">
      <c r="A614" s="468" t="s">
        <v>348</v>
      </c>
      <c r="B614" s="204" t="s">
        <v>184</v>
      </c>
      <c r="C614" s="527"/>
      <c r="D614" s="188"/>
      <c r="E614" s="706"/>
      <c r="F614" s="188"/>
      <c r="G614" s="206"/>
      <c r="H614" s="540"/>
      <c r="I614" s="500"/>
      <c r="J614" s="555"/>
      <c r="K614" s="552">
        <f t="shared" si="37"/>
        <v>0</v>
      </c>
      <c r="L614" s="217"/>
      <c r="M614" s="211">
        <f t="shared" si="36"/>
        <v>-46136</v>
      </c>
      <c r="N614" s="683">
        <f t="shared" si="38"/>
        <v>7</v>
      </c>
      <c r="O614" s="212"/>
      <c r="P614" s="544"/>
      <c r="Q614" s="561">
        <f t="shared" si="39"/>
        <v>0</v>
      </c>
      <c r="R614" s="58"/>
      <c r="S614" s="58"/>
      <c r="T614" s="58"/>
      <c r="U614" s="58"/>
      <c r="V614" s="58"/>
    </row>
    <row r="615" spans="1:22" ht="15.75" customHeight="1">
      <c r="A615" s="468" t="s">
        <v>348</v>
      </c>
      <c r="B615" s="204" t="s">
        <v>184</v>
      </c>
      <c r="C615" s="527"/>
      <c r="D615" s="502"/>
      <c r="E615" s="706"/>
      <c r="F615" s="502"/>
      <c r="G615" s="206"/>
      <c r="H615" s="540"/>
      <c r="I615" s="500"/>
      <c r="J615" s="555"/>
      <c r="K615" s="552">
        <f t="shared" si="37"/>
        <v>0</v>
      </c>
      <c r="L615" s="217"/>
      <c r="M615" s="211">
        <f t="shared" si="36"/>
        <v>-46136</v>
      </c>
      <c r="N615" s="683">
        <f t="shared" si="38"/>
        <v>7</v>
      </c>
      <c r="O615" s="212"/>
      <c r="P615" s="544"/>
      <c r="Q615" s="561">
        <f t="shared" si="39"/>
        <v>0</v>
      </c>
      <c r="R615" s="58"/>
      <c r="S615" s="58"/>
      <c r="T615" s="58"/>
      <c r="U615" s="58"/>
      <c r="V615" s="58"/>
    </row>
    <row r="616" spans="1:22" ht="15.75" customHeight="1">
      <c r="A616" s="468" t="s">
        <v>348</v>
      </c>
      <c r="B616" s="204" t="s">
        <v>184</v>
      </c>
      <c r="C616" s="527"/>
      <c r="D616" s="267"/>
      <c r="E616" s="706"/>
      <c r="F616" s="267"/>
      <c r="G616" s="206"/>
      <c r="H616" s="214"/>
      <c r="I616" s="502"/>
      <c r="J616" s="555"/>
      <c r="K616" s="552">
        <f t="shared" si="37"/>
        <v>0</v>
      </c>
      <c r="L616" s="217"/>
      <c r="M616" s="211">
        <f t="shared" si="36"/>
        <v>-46136</v>
      </c>
      <c r="N616" s="683">
        <f t="shared" si="38"/>
        <v>7</v>
      </c>
      <c r="O616" s="212"/>
      <c r="P616" s="544"/>
      <c r="Q616" s="561">
        <f t="shared" si="39"/>
        <v>0</v>
      </c>
      <c r="R616" s="58"/>
      <c r="S616" s="58"/>
      <c r="T616" s="58"/>
      <c r="U616" s="58"/>
      <c r="V616" s="58"/>
    </row>
    <row r="617" spans="1:22" ht="15.75" customHeight="1">
      <c r="A617" s="468" t="s">
        <v>348</v>
      </c>
      <c r="B617" s="204" t="s">
        <v>184</v>
      </c>
      <c r="C617" s="527"/>
      <c r="D617" s="188"/>
      <c r="E617" s="706"/>
      <c r="F617" s="188"/>
      <c r="G617" s="206"/>
      <c r="H617" s="214"/>
      <c r="I617" s="503"/>
      <c r="J617" s="554"/>
      <c r="K617" s="552">
        <f t="shared" si="37"/>
        <v>0</v>
      </c>
      <c r="L617" s="217"/>
      <c r="M617" s="211">
        <f t="shared" si="36"/>
        <v>-46136</v>
      </c>
      <c r="N617" s="683">
        <f t="shared" si="38"/>
        <v>7</v>
      </c>
      <c r="O617" s="212"/>
      <c r="P617" s="58"/>
      <c r="Q617" s="561">
        <f t="shared" si="39"/>
        <v>0</v>
      </c>
      <c r="R617" s="58"/>
      <c r="S617" s="58"/>
      <c r="T617" s="58"/>
      <c r="U617" s="58"/>
      <c r="V617" s="58"/>
    </row>
    <row r="618" spans="1:22" ht="15.75" customHeight="1">
      <c r="A618" s="468" t="s">
        <v>348</v>
      </c>
      <c r="B618" s="204" t="s">
        <v>184</v>
      </c>
      <c r="C618" s="527"/>
      <c r="D618" s="205"/>
      <c r="E618" s="706"/>
      <c r="F618" s="205"/>
      <c r="G618" s="206"/>
      <c r="H618" s="214"/>
      <c r="I618" s="503"/>
      <c r="J618" s="554"/>
      <c r="K618" s="552">
        <f t="shared" si="37"/>
        <v>0</v>
      </c>
      <c r="L618" s="217"/>
      <c r="M618" s="211">
        <f t="shared" si="36"/>
        <v>-46136</v>
      </c>
      <c r="N618" s="683">
        <f t="shared" si="38"/>
        <v>7</v>
      </c>
      <c r="O618" s="212"/>
      <c r="P618" s="544"/>
      <c r="Q618" s="561">
        <f t="shared" si="39"/>
        <v>0</v>
      </c>
      <c r="R618" s="58"/>
      <c r="S618" s="58"/>
      <c r="T618" s="58"/>
      <c r="U618" s="58"/>
      <c r="V618" s="58"/>
    </row>
    <row r="619" spans="1:22" ht="15.75" customHeight="1">
      <c r="A619" s="468" t="s">
        <v>348</v>
      </c>
      <c r="B619" s="204" t="s">
        <v>184</v>
      </c>
      <c r="C619" s="527"/>
      <c r="D619" s="267"/>
      <c r="E619" s="706"/>
      <c r="F619" s="267"/>
      <c r="G619" s="206"/>
      <c r="H619" s="214"/>
      <c r="I619" s="503"/>
      <c r="J619" s="554"/>
      <c r="K619" s="552">
        <f t="shared" si="37"/>
        <v>0</v>
      </c>
      <c r="L619" s="217"/>
      <c r="M619" s="211">
        <f t="shared" si="36"/>
        <v>-46136</v>
      </c>
      <c r="N619" s="683">
        <f t="shared" si="38"/>
        <v>7</v>
      </c>
      <c r="O619" s="212"/>
      <c r="P619" s="544"/>
      <c r="Q619" s="561">
        <f t="shared" si="39"/>
        <v>0</v>
      </c>
      <c r="R619" s="58"/>
      <c r="S619" s="58"/>
      <c r="T619" s="58"/>
      <c r="U619" s="58"/>
      <c r="V619" s="58"/>
    </row>
    <row r="620" spans="1:22" ht="15.75" customHeight="1">
      <c r="A620" s="468" t="s">
        <v>348</v>
      </c>
      <c r="B620" s="204" t="s">
        <v>184</v>
      </c>
      <c r="C620" s="527"/>
      <c r="D620" s="267"/>
      <c r="E620" s="706"/>
      <c r="F620" s="267"/>
      <c r="G620" s="206"/>
      <c r="H620" s="214"/>
      <c r="I620" s="503"/>
      <c r="J620" s="554"/>
      <c r="K620" s="552">
        <f t="shared" si="37"/>
        <v>0</v>
      </c>
      <c r="L620" s="217"/>
      <c r="M620" s="211">
        <f t="shared" si="36"/>
        <v>-46136</v>
      </c>
      <c r="N620" s="683">
        <f t="shared" si="38"/>
        <v>7</v>
      </c>
      <c r="O620" s="212"/>
      <c r="P620" s="544"/>
      <c r="Q620" s="561">
        <f t="shared" si="39"/>
        <v>0</v>
      </c>
      <c r="R620" s="58"/>
      <c r="S620" s="58"/>
      <c r="T620" s="58"/>
      <c r="U620" s="58"/>
      <c r="V620" s="58"/>
    </row>
    <row r="621" spans="1:22" ht="15.75" customHeight="1">
      <c r="A621" s="468" t="s">
        <v>348</v>
      </c>
      <c r="B621" s="204" t="s">
        <v>184</v>
      </c>
      <c r="C621" s="527"/>
      <c r="D621" s="267"/>
      <c r="E621" s="706"/>
      <c r="F621" s="267"/>
      <c r="G621" s="206"/>
      <c r="H621" s="214"/>
      <c r="I621" s="501"/>
      <c r="J621" s="554"/>
      <c r="K621" s="552">
        <f t="shared" si="37"/>
        <v>0</v>
      </c>
      <c r="L621" s="217"/>
      <c r="M621" s="211">
        <f t="shared" si="36"/>
        <v>-46136</v>
      </c>
      <c r="N621" s="683">
        <f t="shared" si="38"/>
        <v>7</v>
      </c>
      <c r="O621" s="212"/>
      <c r="P621" s="544"/>
      <c r="Q621" s="561">
        <f t="shared" si="39"/>
        <v>0</v>
      </c>
      <c r="R621" s="58"/>
      <c r="S621" s="58"/>
      <c r="T621" s="58"/>
      <c r="U621" s="58"/>
      <c r="V621" s="58"/>
    </row>
    <row r="622" spans="1:22" ht="15.75" customHeight="1">
      <c r="A622" s="468" t="s">
        <v>348</v>
      </c>
      <c r="B622" s="204" t="s">
        <v>184</v>
      </c>
      <c r="C622" s="527"/>
      <c r="D622" s="267"/>
      <c r="E622" s="706"/>
      <c r="F622" s="267"/>
      <c r="G622" s="206"/>
      <c r="H622" s="214"/>
      <c r="I622" s="502"/>
      <c r="J622" s="554"/>
      <c r="K622" s="552">
        <f t="shared" si="37"/>
        <v>0</v>
      </c>
      <c r="L622" s="217"/>
      <c r="M622" s="211">
        <f t="shared" si="36"/>
        <v>-46136</v>
      </c>
      <c r="N622" s="683">
        <f t="shared" si="38"/>
        <v>7</v>
      </c>
      <c r="O622" s="212"/>
      <c r="P622" s="544"/>
      <c r="Q622" s="561">
        <f t="shared" si="39"/>
        <v>0</v>
      </c>
      <c r="R622" s="58"/>
      <c r="S622" s="58"/>
      <c r="T622" s="58"/>
      <c r="U622" s="58"/>
      <c r="V622" s="58"/>
    </row>
    <row r="623" spans="1:22" ht="15.75" customHeight="1">
      <c r="A623" s="468" t="s">
        <v>348</v>
      </c>
      <c r="B623" s="204" t="s">
        <v>184</v>
      </c>
      <c r="C623" s="527"/>
      <c r="D623" s="188"/>
      <c r="E623" s="706"/>
      <c r="F623" s="188"/>
      <c r="G623" s="206"/>
      <c r="H623" s="214"/>
      <c r="I623" s="503"/>
      <c r="J623" s="554"/>
      <c r="K623" s="552">
        <f t="shared" si="37"/>
        <v>0</v>
      </c>
      <c r="L623" s="217"/>
      <c r="M623" s="211">
        <f t="shared" si="36"/>
        <v>-46136</v>
      </c>
      <c r="N623" s="683">
        <f t="shared" si="38"/>
        <v>7</v>
      </c>
      <c r="O623" s="212"/>
      <c r="P623" s="544"/>
      <c r="Q623" s="561">
        <f t="shared" si="39"/>
        <v>0</v>
      </c>
      <c r="R623" s="58"/>
      <c r="S623" s="58"/>
      <c r="T623" s="58"/>
      <c r="U623" s="58"/>
      <c r="V623" s="58"/>
    </row>
    <row r="624" spans="1:22" ht="15.75" customHeight="1">
      <c r="A624" s="468" t="s">
        <v>348</v>
      </c>
      <c r="B624" s="204" t="s">
        <v>184</v>
      </c>
      <c r="C624" s="527"/>
      <c r="D624" s="188"/>
      <c r="E624" s="706"/>
      <c r="F624" s="188"/>
      <c r="G624" s="206"/>
      <c r="H624" s="214"/>
      <c r="I624" s="503"/>
      <c r="J624" s="554"/>
      <c r="K624" s="552">
        <f t="shared" si="37"/>
        <v>0</v>
      </c>
      <c r="L624" s="217"/>
      <c r="M624" s="211">
        <f t="shared" si="36"/>
        <v>-46136</v>
      </c>
      <c r="N624" s="683">
        <f t="shared" si="38"/>
        <v>7</v>
      </c>
      <c r="O624" s="212"/>
      <c r="P624" s="544"/>
      <c r="Q624" s="561">
        <f t="shared" si="39"/>
        <v>0</v>
      </c>
      <c r="R624" s="58"/>
      <c r="S624" s="58"/>
      <c r="T624" s="58"/>
      <c r="U624" s="58"/>
      <c r="V624" s="58"/>
    </row>
    <row r="625" spans="1:22" ht="15.75" customHeight="1">
      <c r="A625" s="468" t="s">
        <v>348</v>
      </c>
      <c r="B625" s="204" t="s">
        <v>184</v>
      </c>
      <c r="C625" s="527"/>
      <c r="D625" s="188"/>
      <c r="E625" s="706"/>
      <c r="F625" s="188"/>
      <c r="G625" s="206"/>
      <c r="H625" s="214"/>
      <c r="I625" s="501"/>
      <c r="J625" s="554"/>
      <c r="K625" s="552">
        <f t="shared" si="37"/>
        <v>0</v>
      </c>
      <c r="L625" s="217"/>
      <c r="M625" s="211">
        <f t="shared" si="36"/>
        <v>-46136</v>
      </c>
      <c r="N625" s="683">
        <f t="shared" si="38"/>
        <v>7</v>
      </c>
      <c r="O625" s="212"/>
      <c r="P625" s="544"/>
      <c r="Q625" s="561">
        <f t="shared" si="39"/>
        <v>0</v>
      </c>
      <c r="R625" s="58"/>
      <c r="S625" s="58"/>
      <c r="T625" s="58"/>
      <c r="U625" s="58"/>
      <c r="V625" s="58"/>
    </row>
    <row r="626" spans="1:22" ht="15.75" customHeight="1">
      <c r="A626" s="468" t="s">
        <v>348</v>
      </c>
      <c r="B626" s="204" t="s">
        <v>184</v>
      </c>
      <c r="C626" s="527"/>
      <c r="D626" s="188"/>
      <c r="E626" s="706"/>
      <c r="F626" s="188"/>
      <c r="G626" s="206"/>
      <c r="H626" s="214"/>
      <c r="I626" s="502"/>
      <c r="J626" s="554"/>
      <c r="K626" s="552">
        <f t="shared" si="37"/>
        <v>0</v>
      </c>
      <c r="L626" s="217"/>
      <c r="M626" s="211">
        <f t="shared" si="36"/>
        <v>-46136</v>
      </c>
      <c r="N626" s="683">
        <f t="shared" si="38"/>
        <v>7</v>
      </c>
      <c r="O626" s="212"/>
      <c r="P626" s="544"/>
      <c r="Q626" s="561">
        <f t="shared" si="39"/>
        <v>0</v>
      </c>
      <c r="R626" s="58"/>
      <c r="S626" s="58"/>
      <c r="T626" s="58"/>
      <c r="U626" s="58"/>
      <c r="V626" s="58"/>
    </row>
    <row r="627" spans="1:22" ht="15.75" customHeight="1">
      <c r="A627" s="468" t="s">
        <v>348</v>
      </c>
      <c r="B627" s="204" t="s">
        <v>184</v>
      </c>
      <c r="C627" s="527"/>
      <c r="D627" s="188"/>
      <c r="E627" s="706"/>
      <c r="F627" s="188"/>
      <c r="G627" s="206"/>
      <c r="H627" s="214"/>
      <c r="I627" s="502"/>
      <c r="J627" s="554"/>
      <c r="K627" s="552">
        <f t="shared" si="37"/>
        <v>0</v>
      </c>
      <c r="L627" s="217"/>
      <c r="M627" s="211">
        <f t="shared" si="36"/>
        <v>-46136</v>
      </c>
      <c r="N627" s="683">
        <f t="shared" si="38"/>
        <v>7</v>
      </c>
      <c r="O627" s="212"/>
      <c r="P627" s="544"/>
      <c r="Q627" s="561">
        <f t="shared" si="39"/>
        <v>0</v>
      </c>
      <c r="R627" s="58"/>
      <c r="S627" s="58"/>
      <c r="T627" s="58"/>
      <c r="U627" s="58"/>
      <c r="V627" s="58"/>
    </row>
    <row r="628" spans="1:22" ht="15.75" customHeight="1">
      <c r="A628" s="468" t="s">
        <v>348</v>
      </c>
      <c r="B628" s="204" t="s">
        <v>184</v>
      </c>
      <c r="C628" s="527"/>
      <c r="D628" s="188"/>
      <c r="E628" s="706"/>
      <c r="F628" s="188"/>
      <c r="G628" s="206"/>
      <c r="H628" s="214"/>
      <c r="I628" s="503"/>
      <c r="J628" s="554"/>
      <c r="K628" s="552">
        <f t="shared" si="37"/>
        <v>0</v>
      </c>
      <c r="L628" s="217"/>
      <c r="M628" s="211">
        <f t="shared" si="36"/>
        <v>-46136</v>
      </c>
      <c r="N628" s="683">
        <f t="shared" si="38"/>
        <v>7</v>
      </c>
      <c r="O628" s="212"/>
      <c r="P628" s="544"/>
      <c r="Q628" s="561">
        <f t="shared" si="39"/>
        <v>0</v>
      </c>
      <c r="R628" s="58"/>
      <c r="S628" s="58"/>
      <c r="T628" s="58"/>
      <c r="U628" s="58"/>
      <c r="V628" s="58"/>
    </row>
    <row r="629" spans="1:22" ht="15.75" customHeight="1">
      <c r="A629" s="468" t="s">
        <v>348</v>
      </c>
      <c r="B629" s="204" t="s">
        <v>184</v>
      </c>
      <c r="C629" s="527"/>
      <c r="D629" s="188"/>
      <c r="E629" s="706"/>
      <c r="F629" s="188"/>
      <c r="G629" s="206"/>
      <c r="H629" s="214"/>
      <c r="I629" s="502"/>
      <c r="J629" s="554"/>
      <c r="K629" s="552">
        <f t="shared" si="37"/>
        <v>0</v>
      </c>
      <c r="L629" s="217"/>
      <c r="M629" s="211">
        <f t="shared" si="36"/>
        <v>-46136</v>
      </c>
      <c r="N629" s="683">
        <f t="shared" si="38"/>
        <v>7</v>
      </c>
      <c r="O629" s="212"/>
      <c r="P629" s="544"/>
      <c r="Q629" s="561">
        <f t="shared" si="39"/>
        <v>0</v>
      </c>
      <c r="R629" s="58"/>
      <c r="S629" s="58"/>
      <c r="T629" s="58"/>
      <c r="U629" s="58"/>
      <c r="V629" s="58"/>
    </row>
    <row r="630" spans="1:22" ht="15.75" customHeight="1">
      <c r="A630" s="468" t="s">
        <v>348</v>
      </c>
      <c r="B630" s="204" t="s">
        <v>184</v>
      </c>
      <c r="C630" s="527"/>
      <c r="D630" s="188"/>
      <c r="E630" s="706"/>
      <c r="F630" s="188"/>
      <c r="G630" s="206"/>
      <c r="H630" s="214"/>
      <c r="I630" s="502"/>
      <c r="J630" s="554"/>
      <c r="K630" s="552">
        <f t="shared" si="37"/>
        <v>0</v>
      </c>
      <c r="L630" s="217"/>
      <c r="M630" s="211">
        <f t="shared" si="36"/>
        <v>-46136</v>
      </c>
      <c r="N630" s="683">
        <f t="shared" si="38"/>
        <v>7</v>
      </c>
      <c r="O630" s="212"/>
      <c r="P630" s="544"/>
      <c r="Q630" s="561">
        <f t="shared" si="39"/>
        <v>0</v>
      </c>
      <c r="R630" s="58"/>
      <c r="S630" s="58"/>
      <c r="T630" s="58"/>
      <c r="U630" s="58"/>
      <c r="V630" s="58"/>
    </row>
    <row r="631" spans="1:22" ht="15.75" customHeight="1">
      <c r="A631" s="468" t="s">
        <v>348</v>
      </c>
      <c r="B631" s="204" t="s">
        <v>184</v>
      </c>
      <c r="C631" s="527"/>
      <c r="D631" s="205"/>
      <c r="E631" s="706"/>
      <c r="F631" s="205"/>
      <c r="G631" s="206"/>
      <c r="H631" s="214"/>
      <c r="I631" s="502"/>
      <c r="J631" s="554"/>
      <c r="K631" s="552">
        <f t="shared" si="37"/>
        <v>0</v>
      </c>
      <c r="L631" s="217"/>
      <c r="M631" s="211">
        <f t="shared" si="36"/>
        <v>-46136</v>
      </c>
      <c r="N631" s="683">
        <f t="shared" si="38"/>
        <v>7</v>
      </c>
      <c r="O631" s="212"/>
      <c r="P631" s="544"/>
      <c r="Q631" s="561">
        <f t="shared" si="39"/>
        <v>0</v>
      </c>
      <c r="R631" s="58"/>
      <c r="S631" s="58"/>
      <c r="T631" s="58"/>
      <c r="U631" s="58"/>
      <c r="V631" s="58"/>
    </row>
    <row r="632" spans="1:22" ht="15.75" customHeight="1">
      <c r="A632" s="468" t="s">
        <v>348</v>
      </c>
      <c r="B632" s="204" t="s">
        <v>184</v>
      </c>
      <c r="C632" s="527"/>
      <c r="D632" s="215"/>
      <c r="E632" s="706"/>
      <c r="F632" s="215"/>
      <c r="G632" s="206"/>
      <c r="H632" s="214"/>
      <c r="I632" s="502"/>
      <c r="J632" s="554"/>
      <c r="K632" s="552">
        <f t="shared" si="37"/>
        <v>0</v>
      </c>
      <c r="L632" s="217"/>
      <c r="M632" s="211">
        <f t="shared" si="36"/>
        <v>-46136</v>
      </c>
      <c r="N632" s="683">
        <f t="shared" si="38"/>
        <v>7</v>
      </c>
      <c r="O632" s="212"/>
      <c r="P632" s="544"/>
      <c r="Q632" s="561">
        <f t="shared" si="39"/>
        <v>0</v>
      </c>
      <c r="R632" s="58"/>
      <c r="S632" s="58"/>
      <c r="T632" s="58"/>
      <c r="U632" s="58"/>
      <c r="V632" s="58"/>
    </row>
    <row r="633" spans="1:22" ht="15.75" customHeight="1">
      <c r="A633" s="468" t="s">
        <v>348</v>
      </c>
      <c r="B633" s="204" t="s">
        <v>184</v>
      </c>
      <c r="C633" s="527"/>
      <c r="D633" s="215"/>
      <c r="E633" s="706"/>
      <c r="F633" s="215"/>
      <c r="G633" s="206"/>
      <c r="H633" s="214"/>
      <c r="I633" s="503"/>
      <c r="J633" s="554"/>
      <c r="K633" s="552">
        <f t="shared" si="37"/>
        <v>0</v>
      </c>
      <c r="L633" s="217"/>
      <c r="M633" s="211">
        <f t="shared" si="36"/>
        <v>-46136</v>
      </c>
      <c r="N633" s="683">
        <f t="shared" si="38"/>
        <v>7</v>
      </c>
      <c r="O633" s="212"/>
      <c r="P633" s="544"/>
      <c r="Q633" s="561">
        <f t="shared" si="39"/>
        <v>0</v>
      </c>
      <c r="R633" s="58"/>
      <c r="S633" s="58"/>
      <c r="T633" s="58"/>
      <c r="U633" s="58"/>
      <c r="V633" s="58"/>
    </row>
    <row r="634" spans="1:22" ht="15.75" customHeight="1">
      <c r="A634" s="468" t="s">
        <v>348</v>
      </c>
      <c r="B634" s="204" t="s">
        <v>184</v>
      </c>
      <c r="C634" s="527"/>
      <c r="D634" s="215"/>
      <c r="E634" s="706"/>
      <c r="F634" s="215"/>
      <c r="G634" s="206"/>
      <c r="H634" s="214"/>
      <c r="I634" s="503"/>
      <c r="J634" s="554"/>
      <c r="K634" s="552">
        <f t="shared" si="37"/>
        <v>0</v>
      </c>
      <c r="L634" s="217"/>
      <c r="M634" s="211">
        <f t="shared" si="36"/>
        <v>-46136</v>
      </c>
      <c r="N634" s="683">
        <f t="shared" si="38"/>
        <v>7</v>
      </c>
      <c r="O634" s="212"/>
      <c r="P634" s="544"/>
      <c r="Q634" s="561">
        <f t="shared" si="39"/>
        <v>0</v>
      </c>
      <c r="R634" s="58"/>
      <c r="S634" s="58"/>
      <c r="T634" s="58"/>
      <c r="U634" s="58"/>
      <c r="V634" s="58"/>
    </row>
    <row r="635" spans="1:22" ht="15.75" customHeight="1">
      <c r="A635" s="468" t="s">
        <v>348</v>
      </c>
      <c r="B635" s="204" t="s">
        <v>184</v>
      </c>
      <c r="C635" s="527"/>
      <c r="D635" s="215"/>
      <c r="E635" s="706"/>
      <c r="F635" s="215"/>
      <c r="G635" s="206"/>
      <c r="H635" s="214"/>
      <c r="I635" s="503"/>
      <c r="J635" s="554"/>
      <c r="K635" s="552">
        <f t="shared" si="37"/>
        <v>0</v>
      </c>
      <c r="L635" s="217"/>
      <c r="M635" s="211">
        <f t="shared" si="36"/>
        <v>-46136</v>
      </c>
      <c r="N635" s="683">
        <f t="shared" si="38"/>
        <v>7</v>
      </c>
      <c r="O635" s="212"/>
      <c r="P635" s="544"/>
      <c r="Q635" s="561">
        <f t="shared" si="39"/>
        <v>0</v>
      </c>
      <c r="R635" s="58"/>
      <c r="S635" s="58"/>
      <c r="T635" s="58"/>
      <c r="U635" s="58"/>
      <c r="V635" s="58"/>
    </row>
    <row r="636" spans="1:22" ht="15.75" customHeight="1">
      <c r="A636" s="468" t="s">
        <v>348</v>
      </c>
      <c r="B636" s="204" t="s">
        <v>184</v>
      </c>
      <c r="C636" s="527"/>
      <c r="D636" s="215"/>
      <c r="E636" s="706"/>
      <c r="F636" s="215"/>
      <c r="G636" s="206"/>
      <c r="H636" s="214"/>
      <c r="I636" s="501"/>
      <c r="J636" s="554"/>
      <c r="K636" s="552">
        <f t="shared" si="37"/>
        <v>0</v>
      </c>
      <c r="L636" s="217"/>
      <c r="M636" s="211">
        <f t="shared" si="36"/>
        <v>-46136</v>
      </c>
      <c r="N636" s="683">
        <f t="shared" si="38"/>
        <v>7</v>
      </c>
      <c r="O636" s="212"/>
      <c r="P636" s="544"/>
      <c r="Q636" s="561">
        <f t="shared" si="39"/>
        <v>0</v>
      </c>
      <c r="R636" s="58"/>
      <c r="S636" s="58"/>
      <c r="T636" s="58"/>
      <c r="U636" s="58"/>
      <c r="V636" s="58"/>
    </row>
    <row r="637" spans="1:22" ht="15.75" customHeight="1">
      <c r="A637" s="468" t="s">
        <v>348</v>
      </c>
      <c r="B637" s="204" t="s">
        <v>184</v>
      </c>
      <c r="C637" s="527"/>
      <c r="D637" s="215"/>
      <c r="E637" s="706"/>
      <c r="F637" s="215"/>
      <c r="G637" s="206"/>
      <c r="H637" s="214"/>
      <c r="I637" s="502"/>
      <c r="J637" s="554"/>
      <c r="K637" s="552">
        <f t="shared" si="37"/>
        <v>0</v>
      </c>
      <c r="L637" s="217"/>
      <c r="M637" s="211">
        <f t="shared" si="36"/>
        <v>-46136</v>
      </c>
      <c r="N637" s="683">
        <f t="shared" si="38"/>
        <v>7</v>
      </c>
      <c r="O637" s="212"/>
      <c r="P637" s="544"/>
      <c r="Q637" s="561">
        <f t="shared" si="39"/>
        <v>0</v>
      </c>
      <c r="R637" s="58"/>
      <c r="S637" s="58"/>
      <c r="T637" s="58"/>
      <c r="U637" s="58"/>
      <c r="V637" s="58"/>
    </row>
    <row r="638" spans="1:22" ht="15.75" customHeight="1">
      <c r="A638" s="468" t="s">
        <v>348</v>
      </c>
      <c r="B638" s="204" t="s">
        <v>184</v>
      </c>
      <c r="C638" s="527"/>
      <c r="D638" s="215"/>
      <c r="E638" s="706"/>
      <c r="F638" s="215"/>
      <c r="G638" s="206"/>
      <c r="H638" s="214"/>
      <c r="I638" s="502"/>
      <c r="J638" s="554"/>
      <c r="K638" s="552">
        <f t="shared" si="37"/>
        <v>0</v>
      </c>
      <c r="L638" s="217"/>
      <c r="M638" s="211">
        <f t="shared" si="36"/>
        <v>-46136</v>
      </c>
      <c r="N638" s="683">
        <f t="shared" si="38"/>
        <v>7</v>
      </c>
      <c r="O638" s="212"/>
      <c r="P638" s="544"/>
      <c r="Q638" s="561">
        <f t="shared" si="39"/>
        <v>0</v>
      </c>
      <c r="R638" s="58"/>
      <c r="S638" s="58"/>
      <c r="T638" s="58"/>
      <c r="U638" s="58"/>
      <c r="V638" s="58"/>
    </row>
    <row r="639" spans="1:22" ht="15.75" customHeight="1">
      <c r="A639" s="468" t="s">
        <v>348</v>
      </c>
      <c r="B639" s="204" t="s">
        <v>184</v>
      </c>
      <c r="C639" s="527"/>
      <c r="D639" s="267"/>
      <c r="E639" s="706"/>
      <c r="F639" s="267"/>
      <c r="G639" s="206"/>
      <c r="H639" s="214"/>
      <c r="I639" s="502"/>
      <c r="J639" s="554"/>
      <c r="K639" s="552">
        <f t="shared" si="37"/>
        <v>0</v>
      </c>
      <c r="L639" s="217"/>
      <c r="M639" s="211">
        <f t="shared" si="36"/>
        <v>-46136</v>
      </c>
      <c r="N639" s="683">
        <f t="shared" si="38"/>
        <v>7</v>
      </c>
      <c r="O639" s="212"/>
      <c r="P639" s="544"/>
      <c r="Q639" s="561">
        <f t="shared" si="39"/>
        <v>0</v>
      </c>
      <c r="R639" s="58"/>
      <c r="S639" s="58"/>
      <c r="T639" s="58"/>
      <c r="U639" s="58"/>
      <c r="V639" s="58"/>
    </row>
    <row r="640" spans="1:22" ht="15.75" customHeight="1">
      <c r="A640" s="468" t="s">
        <v>348</v>
      </c>
      <c r="B640" s="204" t="s">
        <v>184</v>
      </c>
      <c r="C640" s="527"/>
      <c r="D640" s="267"/>
      <c r="E640" s="706"/>
      <c r="F640" s="267"/>
      <c r="G640" s="206"/>
      <c r="H640" s="214"/>
      <c r="I640" s="502"/>
      <c r="J640" s="554"/>
      <c r="K640" s="552">
        <f t="shared" si="37"/>
        <v>0</v>
      </c>
      <c r="L640" s="217"/>
      <c r="M640" s="211">
        <f t="shared" si="36"/>
        <v>-46136</v>
      </c>
      <c r="N640" s="683">
        <f t="shared" si="38"/>
        <v>7</v>
      </c>
      <c r="O640" s="212"/>
      <c r="P640" s="544"/>
      <c r="Q640" s="561">
        <f t="shared" si="39"/>
        <v>0</v>
      </c>
      <c r="R640" s="58"/>
      <c r="S640" s="58"/>
      <c r="T640" s="58"/>
      <c r="U640" s="58"/>
      <c r="V640" s="58"/>
    </row>
    <row r="641" spans="1:22" ht="15.75" customHeight="1">
      <c r="A641" s="468" t="s">
        <v>348</v>
      </c>
      <c r="B641" s="204" t="s">
        <v>184</v>
      </c>
      <c r="C641" s="527"/>
      <c r="D641" s="267"/>
      <c r="E641" s="706"/>
      <c r="F641" s="215"/>
      <c r="G641" s="206"/>
      <c r="H641" s="214"/>
      <c r="I641" s="502"/>
      <c r="J641" s="554"/>
      <c r="K641" s="552">
        <f t="shared" si="37"/>
        <v>0</v>
      </c>
      <c r="L641" s="217"/>
      <c r="M641" s="211">
        <f t="shared" si="36"/>
        <v>-46136</v>
      </c>
      <c r="N641" s="683">
        <f t="shared" si="38"/>
        <v>7</v>
      </c>
      <c r="O641" s="212"/>
      <c r="P641" s="544"/>
      <c r="Q641" s="561">
        <f t="shared" si="39"/>
        <v>0</v>
      </c>
      <c r="R641" s="58"/>
      <c r="S641" s="58"/>
      <c r="T641" s="58"/>
      <c r="U641" s="58"/>
      <c r="V641" s="58"/>
    </row>
    <row r="642" spans="1:22" ht="15.75" customHeight="1">
      <c r="A642" s="468" t="s">
        <v>348</v>
      </c>
      <c r="B642" s="204" t="s">
        <v>184</v>
      </c>
      <c r="C642" s="527"/>
      <c r="D642" s="267"/>
      <c r="E642" s="706"/>
      <c r="F642" s="205"/>
      <c r="G642" s="206"/>
      <c r="H642" s="214"/>
      <c r="I642" s="503"/>
      <c r="J642" s="554"/>
      <c r="K642" s="552">
        <f t="shared" si="37"/>
        <v>0</v>
      </c>
      <c r="L642" s="217"/>
      <c r="M642" s="211">
        <f t="shared" si="36"/>
        <v>-46136</v>
      </c>
      <c r="N642" s="683">
        <f t="shared" si="38"/>
        <v>7</v>
      </c>
      <c r="O642" s="212"/>
      <c r="P642" s="544"/>
      <c r="Q642" s="561">
        <f t="shared" si="39"/>
        <v>0</v>
      </c>
      <c r="R642" s="58"/>
      <c r="S642" s="58"/>
      <c r="T642" s="58"/>
      <c r="U642" s="58"/>
      <c r="V642" s="58"/>
    </row>
    <row r="643" spans="1:22" ht="15.75" customHeight="1">
      <c r="A643" s="468" t="s">
        <v>348</v>
      </c>
      <c r="B643" s="204" t="s">
        <v>184</v>
      </c>
      <c r="C643" s="527"/>
      <c r="D643" s="267"/>
      <c r="E643" s="706"/>
      <c r="F643" s="205"/>
      <c r="G643" s="206"/>
      <c r="H643" s="214"/>
      <c r="I643" s="502"/>
      <c r="J643" s="554"/>
      <c r="K643" s="552">
        <f t="shared" si="37"/>
        <v>0</v>
      </c>
      <c r="L643" s="217"/>
      <c r="M643" s="211">
        <f t="shared" si="36"/>
        <v>-46136</v>
      </c>
      <c r="N643" s="683">
        <f t="shared" si="38"/>
        <v>7</v>
      </c>
      <c r="O643" s="212"/>
      <c r="P643" s="544"/>
      <c r="Q643" s="561">
        <f t="shared" si="39"/>
        <v>0</v>
      </c>
      <c r="R643" s="58"/>
      <c r="S643" s="58"/>
      <c r="T643" s="58"/>
      <c r="U643" s="58"/>
      <c r="V643" s="58"/>
    </row>
    <row r="644" spans="1:22" ht="15.75" customHeight="1">
      <c r="A644" s="468" t="s">
        <v>348</v>
      </c>
      <c r="B644" s="204" t="s">
        <v>184</v>
      </c>
      <c r="C644" s="527"/>
      <c r="D644" s="205"/>
      <c r="E644" s="706"/>
      <c r="F644" s="205"/>
      <c r="G644" s="206"/>
      <c r="H644" s="214"/>
      <c r="I644" s="502"/>
      <c r="J644" s="554"/>
      <c r="K644" s="552">
        <f t="shared" si="37"/>
        <v>0</v>
      </c>
      <c r="L644" s="217"/>
      <c r="M644" s="211">
        <f t="shared" si="36"/>
        <v>-46136</v>
      </c>
      <c r="N644" s="683">
        <f t="shared" si="38"/>
        <v>7</v>
      </c>
      <c r="O644" s="212"/>
      <c r="P644" s="58"/>
      <c r="Q644" s="561">
        <f t="shared" si="39"/>
        <v>0</v>
      </c>
      <c r="R644" s="58"/>
      <c r="S644" s="58"/>
      <c r="T644" s="58"/>
      <c r="U644" s="58"/>
      <c r="V644" s="58"/>
    </row>
    <row r="645" spans="1:22" ht="15.75" customHeight="1">
      <c r="A645" s="468" t="s">
        <v>348</v>
      </c>
      <c r="B645" s="204" t="s">
        <v>184</v>
      </c>
      <c r="C645" s="527"/>
      <c r="D645" s="267"/>
      <c r="E645" s="706"/>
      <c r="F645" s="267"/>
      <c r="G645" s="206"/>
      <c r="H645" s="214"/>
      <c r="I645" s="502"/>
      <c r="J645" s="554"/>
      <c r="K645" s="552">
        <f t="shared" si="37"/>
        <v>0</v>
      </c>
      <c r="L645" s="217"/>
      <c r="M645" s="211">
        <f t="shared" si="36"/>
        <v>-46136</v>
      </c>
      <c r="N645" s="683">
        <f t="shared" si="38"/>
        <v>7</v>
      </c>
      <c r="O645" s="212"/>
      <c r="P645" s="544"/>
      <c r="Q645" s="561">
        <f t="shared" si="39"/>
        <v>0</v>
      </c>
      <c r="R645" s="58"/>
      <c r="S645" s="58"/>
      <c r="T645" s="58"/>
      <c r="U645" s="58"/>
      <c r="V645" s="58"/>
    </row>
    <row r="646" spans="1:22" ht="15.75" customHeight="1">
      <c r="A646" s="468" t="s">
        <v>348</v>
      </c>
      <c r="B646" s="204" t="s">
        <v>184</v>
      </c>
      <c r="C646" s="527"/>
      <c r="D646" s="188"/>
      <c r="E646" s="706"/>
      <c r="F646" s="188"/>
      <c r="G646" s="206"/>
      <c r="H646" s="214"/>
      <c r="I646" s="502"/>
      <c r="J646" s="554"/>
      <c r="K646" s="552">
        <f t="shared" si="37"/>
        <v>0</v>
      </c>
      <c r="L646" s="217"/>
      <c r="M646" s="211">
        <f t="shared" si="36"/>
        <v>-46136</v>
      </c>
      <c r="N646" s="683">
        <f t="shared" si="38"/>
        <v>7</v>
      </c>
      <c r="O646" s="212"/>
      <c r="P646" s="544"/>
      <c r="Q646" s="561">
        <f t="shared" si="39"/>
        <v>0</v>
      </c>
      <c r="R646" s="58"/>
      <c r="S646" s="58"/>
      <c r="T646" s="58"/>
      <c r="U646" s="58"/>
      <c r="V646" s="58"/>
    </row>
    <row r="647" spans="1:22" ht="15.75" customHeight="1">
      <c r="A647" s="468" t="s">
        <v>348</v>
      </c>
      <c r="B647" s="204" t="s">
        <v>184</v>
      </c>
      <c r="C647" s="527"/>
      <c r="D647" s="188"/>
      <c r="E647" s="706"/>
      <c r="F647" s="188"/>
      <c r="G647" s="206"/>
      <c r="H647" s="214"/>
      <c r="I647" s="502"/>
      <c r="J647" s="554"/>
      <c r="K647" s="552">
        <f t="shared" si="37"/>
        <v>0</v>
      </c>
      <c r="L647" s="217"/>
      <c r="M647" s="211">
        <f t="shared" si="36"/>
        <v>-46136</v>
      </c>
      <c r="N647" s="683">
        <f t="shared" si="38"/>
        <v>7</v>
      </c>
      <c r="O647" s="212"/>
      <c r="P647" s="544"/>
      <c r="Q647" s="561">
        <f t="shared" si="39"/>
        <v>0</v>
      </c>
      <c r="R647" s="58"/>
      <c r="S647" s="58"/>
      <c r="T647" s="58"/>
      <c r="U647" s="58"/>
      <c r="V647" s="58"/>
    </row>
    <row r="648" spans="1:22" ht="15.75" customHeight="1">
      <c r="A648" s="468" t="s">
        <v>348</v>
      </c>
      <c r="B648" s="204" t="s">
        <v>184</v>
      </c>
      <c r="C648" s="527"/>
      <c r="D648" s="188"/>
      <c r="E648" s="706"/>
      <c r="F648" s="188"/>
      <c r="G648" s="206"/>
      <c r="H648" s="214"/>
      <c r="I648" s="502"/>
      <c r="J648" s="554"/>
      <c r="K648" s="552">
        <f t="shared" si="37"/>
        <v>0</v>
      </c>
      <c r="L648" s="217"/>
      <c r="M648" s="211">
        <f t="shared" si="36"/>
        <v>-46136</v>
      </c>
      <c r="N648" s="683">
        <f t="shared" si="38"/>
        <v>7</v>
      </c>
      <c r="O648" s="212"/>
      <c r="P648" s="544"/>
      <c r="Q648" s="561">
        <f t="shared" si="39"/>
        <v>0</v>
      </c>
      <c r="R648" s="58"/>
      <c r="S648" s="58"/>
      <c r="T648" s="58"/>
      <c r="U648" s="58"/>
      <c r="V648" s="58"/>
    </row>
    <row r="649" spans="1:22" ht="15.75" customHeight="1">
      <c r="A649" s="468" t="s">
        <v>348</v>
      </c>
      <c r="B649" s="204" t="s">
        <v>184</v>
      </c>
      <c r="C649" s="527"/>
      <c r="D649" s="188"/>
      <c r="E649" s="706"/>
      <c r="F649" s="188"/>
      <c r="G649" s="206"/>
      <c r="H649" s="214"/>
      <c r="I649" s="502"/>
      <c r="J649" s="554"/>
      <c r="K649" s="552">
        <f t="shared" si="37"/>
        <v>0</v>
      </c>
      <c r="L649" s="217"/>
      <c r="M649" s="211">
        <f t="shared" ref="M649:M712" si="40">+L649-$E$6</f>
        <v>-46136</v>
      </c>
      <c r="N649" s="683">
        <f t="shared" si="38"/>
        <v>7</v>
      </c>
      <c r="O649" s="212"/>
      <c r="P649" s="544"/>
      <c r="Q649" s="561">
        <f t="shared" si="39"/>
        <v>0</v>
      </c>
      <c r="R649" s="58"/>
      <c r="S649" s="58"/>
      <c r="T649" s="58"/>
      <c r="U649" s="58"/>
      <c r="V649" s="58"/>
    </row>
    <row r="650" spans="1:22" ht="14.25" customHeight="1">
      <c r="A650" s="468" t="s">
        <v>348</v>
      </c>
      <c r="B650" s="204" t="s">
        <v>184</v>
      </c>
      <c r="C650" s="527"/>
      <c r="D650" s="188"/>
      <c r="E650" s="706"/>
      <c r="F650" s="188"/>
      <c r="G650" s="206"/>
      <c r="H650" s="214"/>
      <c r="I650" s="502"/>
      <c r="J650" s="554"/>
      <c r="K650" s="552">
        <f t="shared" ref="K650:K713" si="41">-J650</f>
        <v>0</v>
      </c>
      <c r="L650" s="217"/>
      <c r="M650" s="211">
        <f t="shared" si="40"/>
        <v>-46136</v>
      </c>
      <c r="N650" s="683">
        <f t="shared" ref="N650:N713" si="42">+L650+7</f>
        <v>7</v>
      </c>
      <c r="O650" s="212"/>
      <c r="P650" s="544"/>
      <c r="Q650" s="561">
        <f t="shared" si="39"/>
        <v>0</v>
      </c>
      <c r="R650" s="58"/>
      <c r="S650" s="58"/>
      <c r="T650" s="58"/>
      <c r="U650" s="58"/>
      <c r="V650" s="58"/>
    </row>
    <row r="651" spans="1:22" ht="14.25" customHeight="1">
      <c r="A651" s="468" t="s">
        <v>348</v>
      </c>
      <c r="B651" s="204" t="s">
        <v>184</v>
      </c>
      <c r="C651" s="527"/>
      <c r="D651" s="188"/>
      <c r="E651" s="706"/>
      <c r="F651" s="188"/>
      <c r="G651" s="206"/>
      <c r="H651" s="214"/>
      <c r="I651" s="502"/>
      <c r="J651" s="554"/>
      <c r="K651" s="552">
        <f t="shared" si="41"/>
        <v>0</v>
      </c>
      <c r="L651" s="217"/>
      <c r="M651" s="211">
        <f t="shared" si="40"/>
        <v>-46136</v>
      </c>
      <c r="N651" s="683">
        <f t="shared" si="42"/>
        <v>7</v>
      </c>
      <c r="O651" s="212"/>
      <c r="P651" s="544"/>
      <c r="Q651" s="561">
        <f t="shared" ref="Q651:Q714" si="43">+K651+J651</f>
        <v>0</v>
      </c>
      <c r="R651" s="58"/>
      <c r="S651" s="58"/>
      <c r="T651" s="58"/>
      <c r="U651" s="58"/>
      <c r="V651" s="58"/>
    </row>
    <row r="652" spans="1:22" ht="14.25" customHeight="1">
      <c r="A652" s="468" t="s">
        <v>348</v>
      </c>
      <c r="B652" s="204" t="s">
        <v>184</v>
      </c>
      <c r="C652" s="527"/>
      <c r="D652" s="188"/>
      <c r="E652" s="706"/>
      <c r="F652" s="188"/>
      <c r="G652" s="206"/>
      <c r="H652" s="214"/>
      <c r="I652" s="502"/>
      <c r="J652" s="554"/>
      <c r="K652" s="552">
        <f t="shared" si="41"/>
        <v>0</v>
      </c>
      <c r="L652" s="217"/>
      <c r="M652" s="211">
        <f t="shared" si="40"/>
        <v>-46136</v>
      </c>
      <c r="N652" s="683">
        <f t="shared" si="42"/>
        <v>7</v>
      </c>
      <c r="O652" s="212"/>
      <c r="P652" s="544"/>
      <c r="Q652" s="561">
        <f t="shared" si="43"/>
        <v>0</v>
      </c>
      <c r="R652" s="58"/>
      <c r="S652" s="58"/>
      <c r="T652" s="58"/>
      <c r="U652" s="58"/>
      <c r="V652" s="58"/>
    </row>
    <row r="653" spans="1:22" ht="14.25" customHeight="1">
      <c r="A653" s="468" t="s">
        <v>348</v>
      </c>
      <c r="B653" s="204" t="s">
        <v>184</v>
      </c>
      <c r="C653" s="527"/>
      <c r="D653" s="188"/>
      <c r="E653" s="706"/>
      <c r="F653" s="188"/>
      <c r="G653" s="206"/>
      <c r="H653" s="214"/>
      <c r="I653" s="502"/>
      <c r="J653" s="554"/>
      <c r="K653" s="552">
        <f t="shared" si="41"/>
        <v>0</v>
      </c>
      <c r="L653" s="217"/>
      <c r="M653" s="211">
        <f t="shared" si="40"/>
        <v>-46136</v>
      </c>
      <c r="N653" s="683">
        <f t="shared" si="42"/>
        <v>7</v>
      </c>
      <c r="O653" s="212"/>
      <c r="P653" s="544"/>
      <c r="Q653" s="561">
        <f t="shared" si="43"/>
        <v>0</v>
      </c>
      <c r="R653" s="58"/>
      <c r="S653" s="58"/>
      <c r="T653" s="58"/>
      <c r="U653" s="58"/>
      <c r="V653" s="58"/>
    </row>
    <row r="654" spans="1:22" ht="14.25" customHeight="1">
      <c r="A654" s="468" t="s">
        <v>348</v>
      </c>
      <c r="B654" s="204" t="s">
        <v>184</v>
      </c>
      <c r="C654" s="527"/>
      <c r="D654" s="208"/>
      <c r="E654" s="710"/>
      <c r="F654" s="208"/>
      <c r="G654" s="218"/>
      <c r="H654" s="214"/>
      <c r="I654" s="501"/>
      <c r="J654" s="554"/>
      <c r="K654" s="552">
        <f t="shared" si="41"/>
        <v>0</v>
      </c>
      <c r="L654" s="217"/>
      <c r="M654" s="211">
        <f t="shared" si="40"/>
        <v>-46136</v>
      </c>
      <c r="N654" s="683">
        <f t="shared" si="42"/>
        <v>7</v>
      </c>
      <c r="O654" s="212"/>
      <c r="P654" s="544"/>
      <c r="Q654" s="561">
        <f t="shared" si="43"/>
        <v>0</v>
      </c>
      <c r="R654" s="58"/>
      <c r="S654" s="58"/>
      <c r="T654" s="58"/>
      <c r="U654" s="58"/>
      <c r="V654" s="58"/>
    </row>
    <row r="655" spans="1:22" ht="14.25" customHeight="1">
      <c r="A655" s="468" t="s">
        <v>348</v>
      </c>
      <c r="B655" s="204" t="s">
        <v>184</v>
      </c>
      <c r="C655" s="527"/>
      <c r="D655" s="188"/>
      <c r="E655" s="706"/>
      <c r="F655" s="188"/>
      <c r="G655" s="206"/>
      <c r="H655" s="214"/>
      <c r="I655" s="502"/>
      <c r="J655" s="554"/>
      <c r="K655" s="552">
        <f t="shared" si="41"/>
        <v>0</v>
      </c>
      <c r="L655" s="217"/>
      <c r="M655" s="211">
        <f t="shared" si="40"/>
        <v>-46136</v>
      </c>
      <c r="N655" s="683">
        <f t="shared" si="42"/>
        <v>7</v>
      </c>
      <c r="O655" s="212"/>
      <c r="P655" s="544"/>
      <c r="Q655" s="561">
        <f t="shared" si="43"/>
        <v>0</v>
      </c>
      <c r="R655" s="58"/>
      <c r="S655" s="58"/>
      <c r="T655" s="58"/>
      <c r="U655" s="58"/>
      <c r="V655" s="58"/>
    </row>
    <row r="656" spans="1:22" ht="14.25" customHeight="1">
      <c r="A656" s="468" t="s">
        <v>348</v>
      </c>
      <c r="B656" s="204" t="s">
        <v>184</v>
      </c>
      <c r="C656" s="527"/>
      <c r="D656" s="188"/>
      <c r="E656" s="706"/>
      <c r="F656" s="188"/>
      <c r="G656" s="206"/>
      <c r="H656" s="214"/>
      <c r="I656" s="502"/>
      <c r="J656" s="554"/>
      <c r="K656" s="552">
        <f t="shared" si="41"/>
        <v>0</v>
      </c>
      <c r="L656" s="217"/>
      <c r="M656" s="211">
        <f t="shared" si="40"/>
        <v>-46136</v>
      </c>
      <c r="N656" s="683">
        <f t="shared" si="42"/>
        <v>7</v>
      </c>
      <c r="O656" s="212"/>
      <c r="P656" s="544"/>
      <c r="Q656" s="561">
        <f t="shared" si="43"/>
        <v>0</v>
      </c>
      <c r="R656" s="58"/>
      <c r="S656" s="58"/>
      <c r="T656" s="58"/>
      <c r="U656" s="58"/>
      <c r="V656" s="58"/>
    </row>
    <row r="657" spans="1:22" ht="14.25" customHeight="1">
      <c r="A657" s="468" t="s">
        <v>348</v>
      </c>
      <c r="B657" s="204" t="s">
        <v>184</v>
      </c>
      <c r="C657" s="527"/>
      <c r="D657" s="215"/>
      <c r="E657" s="706"/>
      <c r="F657" s="215"/>
      <c r="G657" s="206"/>
      <c r="H657" s="214"/>
      <c r="I657" s="502"/>
      <c r="J657" s="554"/>
      <c r="K657" s="552">
        <f t="shared" si="41"/>
        <v>0</v>
      </c>
      <c r="L657" s="217"/>
      <c r="M657" s="211">
        <f t="shared" si="40"/>
        <v>-46136</v>
      </c>
      <c r="N657" s="683">
        <f t="shared" si="42"/>
        <v>7</v>
      </c>
      <c r="O657" s="212"/>
      <c r="P657" s="544"/>
      <c r="Q657" s="561">
        <f t="shared" si="43"/>
        <v>0</v>
      </c>
      <c r="R657" s="58"/>
      <c r="S657" s="58"/>
      <c r="T657" s="58"/>
      <c r="U657" s="58"/>
      <c r="V657" s="58"/>
    </row>
    <row r="658" spans="1:22" ht="14.25" customHeight="1">
      <c r="A658" s="468" t="s">
        <v>348</v>
      </c>
      <c r="B658" s="204" t="s">
        <v>184</v>
      </c>
      <c r="C658" s="527"/>
      <c r="D658" s="215"/>
      <c r="E658" s="706"/>
      <c r="F658" s="215"/>
      <c r="G658" s="206"/>
      <c r="H658" s="214"/>
      <c r="I658" s="502"/>
      <c r="J658" s="554"/>
      <c r="K658" s="552">
        <f t="shared" si="41"/>
        <v>0</v>
      </c>
      <c r="L658" s="217"/>
      <c r="M658" s="211">
        <f t="shared" si="40"/>
        <v>-46136</v>
      </c>
      <c r="N658" s="683">
        <f t="shared" si="42"/>
        <v>7</v>
      </c>
      <c r="O658" s="212"/>
      <c r="P658" s="544"/>
      <c r="Q658" s="561">
        <f t="shared" si="43"/>
        <v>0</v>
      </c>
      <c r="R658" s="58"/>
      <c r="S658" s="58"/>
      <c r="T658" s="58"/>
      <c r="U658" s="58"/>
      <c r="V658" s="58"/>
    </row>
    <row r="659" spans="1:22" ht="14.25" customHeight="1">
      <c r="A659" s="468" t="s">
        <v>348</v>
      </c>
      <c r="B659" s="204" t="s">
        <v>184</v>
      </c>
      <c r="C659" s="527"/>
      <c r="D659" s="215"/>
      <c r="E659" s="706"/>
      <c r="F659" s="215"/>
      <c r="G659" s="206"/>
      <c r="H659" s="214"/>
      <c r="I659" s="503"/>
      <c r="J659" s="554"/>
      <c r="K659" s="552">
        <f t="shared" si="41"/>
        <v>0</v>
      </c>
      <c r="L659" s="217"/>
      <c r="M659" s="211">
        <f t="shared" si="40"/>
        <v>-46136</v>
      </c>
      <c r="N659" s="683">
        <f t="shared" si="42"/>
        <v>7</v>
      </c>
      <c r="O659" s="212"/>
      <c r="P659" s="544"/>
      <c r="Q659" s="561">
        <f t="shared" si="43"/>
        <v>0</v>
      </c>
      <c r="R659" s="58"/>
      <c r="S659" s="58"/>
      <c r="T659" s="58"/>
      <c r="U659" s="58"/>
      <c r="V659" s="58"/>
    </row>
    <row r="660" spans="1:22" ht="14.25" customHeight="1">
      <c r="A660" s="468" t="s">
        <v>348</v>
      </c>
      <c r="B660" s="204" t="s">
        <v>184</v>
      </c>
      <c r="C660" s="527"/>
      <c r="D660" s="215"/>
      <c r="E660" s="706"/>
      <c r="F660" s="215"/>
      <c r="G660" s="206"/>
      <c r="H660" s="214"/>
      <c r="I660" s="503"/>
      <c r="J660" s="554"/>
      <c r="K660" s="552">
        <f t="shared" si="41"/>
        <v>0</v>
      </c>
      <c r="L660" s="217"/>
      <c r="M660" s="211">
        <f t="shared" si="40"/>
        <v>-46136</v>
      </c>
      <c r="N660" s="683">
        <f t="shared" si="42"/>
        <v>7</v>
      </c>
      <c r="O660" s="212"/>
      <c r="P660" s="544"/>
      <c r="Q660" s="561">
        <f t="shared" si="43"/>
        <v>0</v>
      </c>
      <c r="R660" s="58"/>
      <c r="S660" s="58"/>
      <c r="T660" s="58"/>
      <c r="U660" s="58"/>
      <c r="V660" s="58"/>
    </row>
    <row r="661" spans="1:22" ht="14.25" customHeight="1">
      <c r="A661" s="468" t="s">
        <v>348</v>
      </c>
      <c r="B661" s="204" t="s">
        <v>184</v>
      </c>
      <c r="C661" s="527"/>
      <c r="D661" s="215"/>
      <c r="E661" s="706"/>
      <c r="F661" s="215"/>
      <c r="G661" s="206"/>
      <c r="H661" s="214"/>
      <c r="I661" s="503"/>
      <c r="J661" s="554"/>
      <c r="K661" s="552">
        <f t="shared" si="41"/>
        <v>0</v>
      </c>
      <c r="L661" s="217"/>
      <c r="M661" s="211">
        <f t="shared" si="40"/>
        <v>-46136</v>
      </c>
      <c r="N661" s="683">
        <f t="shared" si="42"/>
        <v>7</v>
      </c>
      <c r="O661" s="212"/>
      <c r="P661" s="544"/>
      <c r="Q661" s="561">
        <f t="shared" si="43"/>
        <v>0</v>
      </c>
      <c r="R661" s="58"/>
      <c r="S661" s="58"/>
      <c r="T661" s="58"/>
      <c r="U661" s="58"/>
      <c r="V661" s="58"/>
    </row>
    <row r="662" spans="1:22" ht="14.25" customHeight="1">
      <c r="A662" s="468" t="s">
        <v>348</v>
      </c>
      <c r="B662" s="204" t="s">
        <v>184</v>
      </c>
      <c r="C662" s="527"/>
      <c r="D662" s="215"/>
      <c r="E662" s="706"/>
      <c r="F662" s="215"/>
      <c r="G662" s="206"/>
      <c r="H662" s="214"/>
      <c r="I662" s="502"/>
      <c r="J662" s="554"/>
      <c r="K662" s="552">
        <f t="shared" si="41"/>
        <v>0</v>
      </c>
      <c r="L662" s="217"/>
      <c r="M662" s="211">
        <f t="shared" si="40"/>
        <v>-46136</v>
      </c>
      <c r="N662" s="683">
        <f t="shared" si="42"/>
        <v>7</v>
      </c>
      <c r="O662" s="212"/>
      <c r="P662" s="544"/>
      <c r="Q662" s="561">
        <f t="shared" si="43"/>
        <v>0</v>
      </c>
      <c r="R662" s="58"/>
      <c r="S662" s="58"/>
      <c r="T662" s="58"/>
      <c r="U662" s="58"/>
      <c r="V662" s="58"/>
    </row>
    <row r="663" spans="1:22" ht="14.25" customHeight="1">
      <c r="A663" s="468" t="s">
        <v>348</v>
      </c>
      <c r="B663" s="204" t="s">
        <v>184</v>
      </c>
      <c r="C663" s="527"/>
      <c r="D663" s="215"/>
      <c r="E663" s="706"/>
      <c r="F663" s="215"/>
      <c r="G663" s="206"/>
      <c r="H663" s="214"/>
      <c r="I663" s="517"/>
      <c r="J663" s="554"/>
      <c r="K663" s="552">
        <f t="shared" si="41"/>
        <v>0</v>
      </c>
      <c r="L663" s="217"/>
      <c r="M663" s="211">
        <f t="shared" si="40"/>
        <v>-46136</v>
      </c>
      <c r="N663" s="683">
        <f t="shared" si="42"/>
        <v>7</v>
      </c>
      <c r="O663" s="212"/>
      <c r="P663" s="544"/>
      <c r="Q663" s="561">
        <f t="shared" si="43"/>
        <v>0</v>
      </c>
      <c r="R663" s="58"/>
      <c r="S663" s="58"/>
      <c r="T663" s="58"/>
      <c r="U663" s="58"/>
      <c r="V663" s="58"/>
    </row>
    <row r="664" spans="1:22" ht="14.25" customHeight="1">
      <c r="A664" s="468" t="s">
        <v>348</v>
      </c>
      <c r="B664" s="204" t="s">
        <v>184</v>
      </c>
      <c r="C664" s="527"/>
      <c r="D664" s="215"/>
      <c r="E664" s="706"/>
      <c r="F664" s="215"/>
      <c r="G664" s="206"/>
      <c r="H664" s="214"/>
      <c r="I664" s="503"/>
      <c r="J664" s="554"/>
      <c r="K664" s="552">
        <f t="shared" si="41"/>
        <v>0</v>
      </c>
      <c r="L664" s="217"/>
      <c r="M664" s="211">
        <f t="shared" si="40"/>
        <v>-46136</v>
      </c>
      <c r="N664" s="683">
        <f t="shared" si="42"/>
        <v>7</v>
      </c>
      <c r="O664" s="212"/>
      <c r="P664" s="544"/>
      <c r="Q664" s="561">
        <f t="shared" si="43"/>
        <v>0</v>
      </c>
      <c r="R664" s="58"/>
      <c r="S664" s="58"/>
      <c r="T664" s="58"/>
      <c r="U664" s="58"/>
      <c r="V664" s="58"/>
    </row>
    <row r="665" spans="1:22" ht="14.25" customHeight="1">
      <c r="A665" s="468" t="s">
        <v>348</v>
      </c>
      <c r="B665" s="204" t="s">
        <v>184</v>
      </c>
      <c r="C665" s="527"/>
      <c r="D665" s="215"/>
      <c r="E665" s="706"/>
      <c r="F665" s="215"/>
      <c r="G665" s="206"/>
      <c r="H665" s="214"/>
      <c r="I665" s="500"/>
      <c r="J665" s="554"/>
      <c r="K665" s="552">
        <f t="shared" si="41"/>
        <v>0</v>
      </c>
      <c r="L665" s="217"/>
      <c r="M665" s="211">
        <f t="shared" si="40"/>
        <v>-46136</v>
      </c>
      <c r="N665" s="683">
        <f t="shared" si="42"/>
        <v>7</v>
      </c>
      <c r="O665" s="212"/>
      <c r="P665" s="544"/>
      <c r="Q665" s="561">
        <f t="shared" si="43"/>
        <v>0</v>
      </c>
      <c r="R665" s="58"/>
      <c r="S665" s="58"/>
      <c r="T665" s="58"/>
      <c r="U665" s="58"/>
      <c r="V665" s="58"/>
    </row>
    <row r="666" spans="1:22" ht="14.25" customHeight="1">
      <c r="A666" s="468" t="s">
        <v>348</v>
      </c>
      <c r="B666" s="204" t="s">
        <v>184</v>
      </c>
      <c r="C666" s="527"/>
      <c r="D666" s="215"/>
      <c r="E666" s="706"/>
      <c r="F666" s="215"/>
      <c r="G666" s="206"/>
      <c r="H666" s="214"/>
      <c r="I666" s="502"/>
      <c r="J666" s="554"/>
      <c r="K666" s="552">
        <f t="shared" si="41"/>
        <v>0</v>
      </c>
      <c r="L666" s="217"/>
      <c r="M666" s="211">
        <f t="shared" si="40"/>
        <v>-46136</v>
      </c>
      <c r="N666" s="683">
        <f t="shared" si="42"/>
        <v>7</v>
      </c>
      <c r="O666" s="212"/>
      <c r="P666" s="544"/>
      <c r="Q666" s="561">
        <f t="shared" si="43"/>
        <v>0</v>
      </c>
      <c r="R666" s="58"/>
      <c r="S666" s="58"/>
      <c r="T666" s="58"/>
      <c r="U666" s="58"/>
      <c r="V666" s="58"/>
    </row>
    <row r="667" spans="1:22" ht="14.25" customHeight="1">
      <c r="A667" s="468" t="s">
        <v>348</v>
      </c>
      <c r="B667" s="204" t="s">
        <v>184</v>
      </c>
      <c r="C667" s="527"/>
      <c r="D667" s="215"/>
      <c r="E667" s="706"/>
      <c r="F667" s="215"/>
      <c r="G667" s="206"/>
      <c r="H667" s="214"/>
      <c r="I667" s="503"/>
      <c r="J667" s="554"/>
      <c r="K667" s="552">
        <f t="shared" si="41"/>
        <v>0</v>
      </c>
      <c r="L667" s="217"/>
      <c r="M667" s="211">
        <f t="shared" si="40"/>
        <v>-46136</v>
      </c>
      <c r="N667" s="683">
        <f t="shared" si="42"/>
        <v>7</v>
      </c>
      <c r="O667" s="212"/>
      <c r="P667" s="544"/>
      <c r="Q667" s="561">
        <f t="shared" si="43"/>
        <v>0</v>
      </c>
      <c r="R667" s="58"/>
      <c r="S667" s="58"/>
      <c r="T667" s="58"/>
      <c r="U667" s="58"/>
      <c r="V667" s="58"/>
    </row>
    <row r="668" spans="1:22" ht="14.25" customHeight="1">
      <c r="A668" s="468" t="s">
        <v>348</v>
      </c>
      <c r="B668" s="204" t="s">
        <v>184</v>
      </c>
      <c r="C668" s="527"/>
      <c r="D668" s="215"/>
      <c r="E668" s="706"/>
      <c r="F668" s="215"/>
      <c r="G668" s="206"/>
      <c r="H668" s="214"/>
      <c r="I668" s="501"/>
      <c r="J668" s="554"/>
      <c r="K668" s="552">
        <f t="shared" si="41"/>
        <v>0</v>
      </c>
      <c r="L668" s="217"/>
      <c r="M668" s="211">
        <f t="shared" si="40"/>
        <v>-46136</v>
      </c>
      <c r="N668" s="683">
        <f t="shared" si="42"/>
        <v>7</v>
      </c>
      <c r="O668" s="212"/>
      <c r="P668" s="544"/>
      <c r="Q668" s="561">
        <f t="shared" si="43"/>
        <v>0</v>
      </c>
      <c r="R668" s="58"/>
      <c r="S668" s="58"/>
      <c r="T668" s="58"/>
      <c r="U668" s="58"/>
      <c r="V668" s="58"/>
    </row>
    <row r="669" spans="1:22" ht="14.25" customHeight="1">
      <c r="A669" s="468" t="s">
        <v>348</v>
      </c>
      <c r="B669" s="204" t="s">
        <v>184</v>
      </c>
      <c r="C669" s="527"/>
      <c r="D669" s="215"/>
      <c r="E669" s="706"/>
      <c r="F669" s="215"/>
      <c r="G669" s="206"/>
      <c r="H669" s="214"/>
      <c r="I669" s="502"/>
      <c r="J669" s="554"/>
      <c r="K669" s="552">
        <f t="shared" si="41"/>
        <v>0</v>
      </c>
      <c r="L669" s="217"/>
      <c r="M669" s="211">
        <f t="shared" si="40"/>
        <v>-46136</v>
      </c>
      <c r="N669" s="683">
        <f t="shared" si="42"/>
        <v>7</v>
      </c>
      <c r="O669" s="212"/>
      <c r="P669" s="544"/>
      <c r="Q669" s="561">
        <f t="shared" si="43"/>
        <v>0</v>
      </c>
      <c r="R669" s="58"/>
      <c r="S669" s="58"/>
      <c r="T669" s="58"/>
      <c r="U669" s="58"/>
      <c r="V669" s="58"/>
    </row>
    <row r="670" spans="1:22" ht="14.25" customHeight="1">
      <c r="A670" s="468" t="s">
        <v>348</v>
      </c>
      <c r="B670" s="204" t="s">
        <v>184</v>
      </c>
      <c r="C670" s="527"/>
      <c r="D670" s="215"/>
      <c r="E670" s="706"/>
      <c r="F670" s="215"/>
      <c r="G670" s="206"/>
      <c r="H670" s="214"/>
      <c r="I670" s="503"/>
      <c r="J670" s="554"/>
      <c r="K670" s="552">
        <f t="shared" si="41"/>
        <v>0</v>
      </c>
      <c r="L670" s="217"/>
      <c r="M670" s="211">
        <f t="shared" si="40"/>
        <v>-46136</v>
      </c>
      <c r="N670" s="683">
        <f t="shared" si="42"/>
        <v>7</v>
      </c>
      <c r="O670" s="212"/>
      <c r="P670" s="544"/>
      <c r="Q670" s="561">
        <f t="shared" si="43"/>
        <v>0</v>
      </c>
      <c r="R670" s="58"/>
      <c r="S670" s="58"/>
      <c r="T670" s="58"/>
      <c r="U670" s="58"/>
      <c r="V670" s="58"/>
    </row>
    <row r="671" spans="1:22" ht="14.25" customHeight="1">
      <c r="A671" s="468" t="s">
        <v>348</v>
      </c>
      <c r="B671" s="204" t="s">
        <v>184</v>
      </c>
      <c r="C671" s="527"/>
      <c r="D671" s="215"/>
      <c r="E671" s="706"/>
      <c r="F671" s="215"/>
      <c r="G671" s="206"/>
      <c r="H671" s="214"/>
      <c r="I671" s="503"/>
      <c r="J671" s="554"/>
      <c r="K671" s="552">
        <f t="shared" si="41"/>
        <v>0</v>
      </c>
      <c r="L671" s="217"/>
      <c r="M671" s="211">
        <f t="shared" si="40"/>
        <v>-46136</v>
      </c>
      <c r="N671" s="683">
        <f t="shared" si="42"/>
        <v>7</v>
      </c>
      <c r="O671" s="212"/>
      <c r="P671" s="544"/>
      <c r="Q671" s="561">
        <f t="shared" si="43"/>
        <v>0</v>
      </c>
      <c r="R671" s="58"/>
      <c r="S671" s="58"/>
      <c r="T671" s="58"/>
      <c r="U671" s="58"/>
      <c r="V671" s="58"/>
    </row>
    <row r="672" spans="1:22" ht="14.25" customHeight="1">
      <c r="A672" s="468" t="s">
        <v>348</v>
      </c>
      <c r="B672" s="204" t="s">
        <v>184</v>
      </c>
      <c r="C672" s="527"/>
      <c r="D672" s="215"/>
      <c r="E672" s="706"/>
      <c r="F672" s="215"/>
      <c r="G672" s="206"/>
      <c r="H672" s="214"/>
      <c r="I672" s="503"/>
      <c r="J672" s="554"/>
      <c r="K672" s="552">
        <f t="shared" si="41"/>
        <v>0</v>
      </c>
      <c r="L672" s="217"/>
      <c r="M672" s="211">
        <f t="shared" si="40"/>
        <v>-46136</v>
      </c>
      <c r="N672" s="683">
        <f t="shared" si="42"/>
        <v>7</v>
      </c>
      <c r="O672" s="212"/>
      <c r="P672" s="544"/>
      <c r="Q672" s="561">
        <f t="shared" si="43"/>
        <v>0</v>
      </c>
      <c r="R672" s="58"/>
      <c r="S672" s="58"/>
      <c r="T672" s="58"/>
      <c r="U672" s="58"/>
      <c r="V672" s="58"/>
    </row>
    <row r="673" spans="1:22" ht="14.25" customHeight="1">
      <c r="A673" s="468" t="s">
        <v>348</v>
      </c>
      <c r="B673" s="204" t="s">
        <v>184</v>
      </c>
      <c r="C673" s="527"/>
      <c r="D673" s="215"/>
      <c r="E673" s="706"/>
      <c r="F673" s="215"/>
      <c r="G673" s="206"/>
      <c r="H673" s="214"/>
      <c r="I673" s="500"/>
      <c r="J673" s="554"/>
      <c r="K673" s="552">
        <f t="shared" si="41"/>
        <v>0</v>
      </c>
      <c r="L673" s="217"/>
      <c r="M673" s="211">
        <f t="shared" si="40"/>
        <v>-46136</v>
      </c>
      <c r="N673" s="683">
        <f t="shared" si="42"/>
        <v>7</v>
      </c>
      <c r="O673" s="212"/>
      <c r="P673" s="544"/>
      <c r="Q673" s="561">
        <f t="shared" si="43"/>
        <v>0</v>
      </c>
      <c r="R673" s="58"/>
      <c r="S673" s="58"/>
      <c r="T673" s="58"/>
      <c r="U673" s="58"/>
      <c r="V673" s="58"/>
    </row>
    <row r="674" spans="1:22" ht="14.25" customHeight="1">
      <c r="A674" s="468" t="s">
        <v>348</v>
      </c>
      <c r="B674" s="204" t="s">
        <v>184</v>
      </c>
      <c r="C674" s="527"/>
      <c r="D674" s="215"/>
      <c r="E674" s="706"/>
      <c r="F674" s="215"/>
      <c r="G674" s="206"/>
      <c r="H674" s="214"/>
      <c r="I674" s="502"/>
      <c r="J674" s="554"/>
      <c r="K674" s="552">
        <f t="shared" si="41"/>
        <v>0</v>
      </c>
      <c r="L674" s="217"/>
      <c r="M674" s="211">
        <f t="shared" si="40"/>
        <v>-46136</v>
      </c>
      <c r="N674" s="683">
        <f t="shared" si="42"/>
        <v>7</v>
      </c>
      <c r="O674" s="212"/>
      <c r="P674" s="544"/>
      <c r="Q674" s="561">
        <f t="shared" si="43"/>
        <v>0</v>
      </c>
      <c r="R674" s="58"/>
      <c r="S674" s="58"/>
      <c r="T674" s="58"/>
      <c r="U674" s="58"/>
      <c r="V674" s="58"/>
    </row>
    <row r="675" spans="1:22" ht="14.25" customHeight="1">
      <c r="A675" s="468" t="s">
        <v>348</v>
      </c>
      <c r="B675" s="204" t="s">
        <v>184</v>
      </c>
      <c r="C675" s="527"/>
      <c r="D675" s="188"/>
      <c r="E675" s="706"/>
      <c r="F675" s="188"/>
      <c r="G675" s="206"/>
      <c r="H675" s="214"/>
      <c r="I675" s="500"/>
      <c r="J675" s="554"/>
      <c r="K675" s="552">
        <f t="shared" si="41"/>
        <v>0</v>
      </c>
      <c r="L675" s="217"/>
      <c r="M675" s="211">
        <f t="shared" si="40"/>
        <v>-46136</v>
      </c>
      <c r="N675" s="683">
        <f t="shared" si="42"/>
        <v>7</v>
      </c>
      <c r="O675" s="212"/>
      <c r="P675" s="544"/>
      <c r="Q675" s="561">
        <f t="shared" si="43"/>
        <v>0</v>
      </c>
      <c r="R675" s="58"/>
      <c r="S675" s="58"/>
      <c r="T675" s="58"/>
      <c r="U675" s="58"/>
      <c r="V675" s="58"/>
    </row>
    <row r="676" spans="1:22" ht="14.25" customHeight="1">
      <c r="A676" s="468" t="s">
        <v>348</v>
      </c>
      <c r="B676" s="204" t="s">
        <v>184</v>
      </c>
      <c r="C676" s="527"/>
      <c r="D676" s="188"/>
      <c r="E676" s="706"/>
      <c r="F676" s="188"/>
      <c r="G676" s="206"/>
      <c r="H676" s="214"/>
      <c r="I676" s="501"/>
      <c r="J676" s="554"/>
      <c r="K676" s="552">
        <f t="shared" si="41"/>
        <v>0</v>
      </c>
      <c r="L676" s="217"/>
      <c r="M676" s="211">
        <f t="shared" si="40"/>
        <v>-46136</v>
      </c>
      <c r="N676" s="683">
        <f t="shared" si="42"/>
        <v>7</v>
      </c>
      <c r="O676" s="212"/>
      <c r="P676" s="544"/>
      <c r="Q676" s="561">
        <f t="shared" si="43"/>
        <v>0</v>
      </c>
      <c r="R676" s="58"/>
      <c r="S676" s="58"/>
      <c r="T676" s="58"/>
      <c r="U676" s="58"/>
      <c r="V676" s="58"/>
    </row>
    <row r="677" spans="1:22" ht="14.25" customHeight="1">
      <c r="A677" s="468" t="s">
        <v>348</v>
      </c>
      <c r="B677" s="204" t="s">
        <v>184</v>
      </c>
      <c r="C677" s="527"/>
      <c r="D677" s="188"/>
      <c r="E677" s="706"/>
      <c r="F677" s="188"/>
      <c r="G677" s="206"/>
      <c r="H677" s="214"/>
      <c r="I677" s="502"/>
      <c r="J677" s="554"/>
      <c r="K677" s="552">
        <f t="shared" si="41"/>
        <v>0</v>
      </c>
      <c r="L677" s="217"/>
      <c r="M677" s="211">
        <f t="shared" si="40"/>
        <v>-46136</v>
      </c>
      <c r="N677" s="683">
        <f t="shared" si="42"/>
        <v>7</v>
      </c>
      <c r="O677" s="212"/>
      <c r="P677" s="544"/>
      <c r="Q677" s="561">
        <f t="shared" si="43"/>
        <v>0</v>
      </c>
      <c r="R677" s="58"/>
      <c r="S677" s="58"/>
      <c r="T677" s="58"/>
      <c r="U677" s="58"/>
      <c r="V677" s="58"/>
    </row>
    <row r="678" spans="1:22" ht="14.25" customHeight="1">
      <c r="A678" s="468" t="s">
        <v>348</v>
      </c>
      <c r="B678" s="204" t="s">
        <v>184</v>
      </c>
      <c r="C678" s="527"/>
      <c r="D678" s="188"/>
      <c r="E678" s="706"/>
      <c r="F678" s="188"/>
      <c r="G678" s="206"/>
      <c r="H678" s="214"/>
      <c r="I678" s="502"/>
      <c r="J678" s="554"/>
      <c r="K678" s="552">
        <f t="shared" si="41"/>
        <v>0</v>
      </c>
      <c r="L678" s="217"/>
      <c r="M678" s="211">
        <f t="shared" si="40"/>
        <v>-46136</v>
      </c>
      <c r="N678" s="683">
        <f t="shared" si="42"/>
        <v>7</v>
      </c>
      <c r="O678" s="212"/>
      <c r="P678" s="544"/>
      <c r="Q678" s="561">
        <f t="shared" si="43"/>
        <v>0</v>
      </c>
      <c r="R678" s="58"/>
      <c r="S678" s="58"/>
      <c r="T678" s="58"/>
      <c r="U678" s="58"/>
      <c r="V678" s="58"/>
    </row>
    <row r="679" spans="1:22" ht="14.25" customHeight="1">
      <c r="A679" s="468" t="s">
        <v>348</v>
      </c>
      <c r="B679" s="204" t="s">
        <v>184</v>
      </c>
      <c r="C679" s="527"/>
      <c r="D679" s="188"/>
      <c r="E679" s="706"/>
      <c r="F679" s="188"/>
      <c r="G679" s="206"/>
      <c r="H679" s="214"/>
      <c r="I679" s="502"/>
      <c r="J679" s="554"/>
      <c r="K679" s="552">
        <f t="shared" si="41"/>
        <v>0</v>
      </c>
      <c r="L679" s="217"/>
      <c r="M679" s="211">
        <f t="shared" si="40"/>
        <v>-46136</v>
      </c>
      <c r="N679" s="683">
        <f t="shared" si="42"/>
        <v>7</v>
      </c>
      <c r="O679" s="212"/>
      <c r="P679" s="544"/>
      <c r="Q679" s="561">
        <f t="shared" si="43"/>
        <v>0</v>
      </c>
      <c r="R679" s="58"/>
      <c r="S679" s="58"/>
      <c r="T679" s="58"/>
      <c r="U679" s="58"/>
      <c r="V679" s="58"/>
    </row>
    <row r="680" spans="1:22" ht="14.25" customHeight="1">
      <c r="A680" s="468" t="s">
        <v>348</v>
      </c>
      <c r="B680" s="204" t="s">
        <v>184</v>
      </c>
      <c r="C680" s="527"/>
      <c r="D680" s="188"/>
      <c r="E680" s="706"/>
      <c r="F680" s="188"/>
      <c r="G680" s="206"/>
      <c r="H680" s="214"/>
      <c r="I680" s="502"/>
      <c r="J680" s="554"/>
      <c r="K680" s="552">
        <f t="shared" si="41"/>
        <v>0</v>
      </c>
      <c r="L680" s="217"/>
      <c r="M680" s="211">
        <f t="shared" si="40"/>
        <v>-46136</v>
      </c>
      <c r="N680" s="683">
        <f t="shared" si="42"/>
        <v>7</v>
      </c>
      <c r="O680" s="212"/>
      <c r="P680" s="544"/>
      <c r="Q680" s="561">
        <f t="shared" si="43"/>
        <v>0</v>
      </c>
      <c r="R680" s="58"/>
      <c r="S680" s="58"/>
      <c r="T680" s="58"/>
      <c r="U680" s="58"/>
      <c r="V680" s="58"/>
    </row>
    <row r="681" spans="1:22" ht="14.25" customHeight="1">
      <c r="A681" s="468" t="s">
        <v>348</v>
      </c>
      <c r="B681" s="204" t="s">
        <v>184</v>
      </c>
      <c r="C681" s="527"/>
      <c r="D681" s="188"/>
      <c r="E681" s="706"/>
      <c r="F681" s="188"/>
      <c r="G681" s="206"/>
      <c r="H681" s="214"/>
      <c r="I681" s="502"/>
      <c r="J681" s="554"/>
      <c r="K681" s="552">
        <f t="shared" si="41"/>
        <v>0</v>
      </c>
      <c r="L681" s="217"/>
      <c r="M681" s="211">
        <f t="shared" si="40"/>
        <v>-46136</v>
      </c>
      <c r="N681" s="683">
        <f t="shared" si="42"/>
        <v>7</v>
      </c>
      <c r="O681" s="212"/>
      <c r="P681" s="544"/>
      <c r="Q681" s="561">
        <f t="shared" si="43"/>
        <v>0</v>
      </c>
      <c r="R681" s="58"/>
      <c r="S681" s="58"/>
      <c r="T681" s="58"/>
      <c r="U681" s="58"/>
      <c r="V681" s="58"/>
    </row>
    <row r="682" spans="1:22" ht="14.25" customHeight="1">
      <c r="A682" s="468" t="s">
        <v>348</v>
      </c>
      <c r="B682" s="204" t="s">
        <v>184</v>
      </c>
      <c r="C682" s="527"/>
      <c r="D682" s="188"/>
      <c r="E682" s="706"/>
      <c r="F682" s="188"/>
      <c r="G682" s="206"/>
      <c r="H682" s="214"/>
      <c r="I682" s="503"/>
      <c r="J682" s="554"/>
      <c r="K682" s="552">
        <f t="shared" si="41"/>
        <v>0</v>
      </c>
      <c r="L682" s="217"/>
      <c r="M682" s="211">
        <f t="shared" si="40"/>
        <v>-46136</v>
      </c>
      <c r="N682" s="683">
        <f t="shared" si="42"/>
        <v>7</v>
      </c>
      <c r="O682" s="212"/>
      <c r="P682" s="544"/>
      <c r="Q682" s="561">
        <f t="shared" si="43"/>
        <v>0</v>
      </c>
      <c r="R682" s="58"/>
      <c r="S682" s="58"/>
      <c r="T682" s="58"/>
      <c r="U682" s="58"/>
      <c r="V682" s="58"/>
    </row>
    <row r="683" spans="1:22" ht="14.25" customHeight="1">
      <c r="A683" s="468" t="s">
        <v>348</v>
      </c>
      <c r="B683" s="204" t="s">
        <v>184</v>
      </c>
      <c r="C683" s="527"/>
      <c r="D683" s="188"/>
      <c r="E683" s="706"/>
      <c r="F683" s="188"/>
      <c r="G683" s="206"/>
      <c r="H683" s="214"/>
      <c r="I683" s="503"/>
      <c r="J683" s="554"/>
      <c r="K683" s="552">
        <f t="shared" si="41"/>
        <v>0</v>
      </c>
      <c r="L683" s="217"/>
      <c r="M683" s="211">
        <f t="shared" si="40"/>
        <v>-46136</v>
      </c>
      <c r="N683" s="683">
        <f t="shared" si="42"/>
        <v>7</v>
      </c>
      <c r="O683" s="212"/>
      <c r="P683" s="544"/>
      <c r="Q683" s="561">
        <f t="shared" si="43"/>
        <v>0</v>
      </c>
      <c r="R683" s="58"/>
      <c r="S683" s="58"/>
      <c r="T683" s="58"/>
      <c r="U683" s="58"/>
      <c r="V683" s="58"/>
    </row>
    <row r="684" spans="1:22" ht="14.25" customHeight="1">
      <c r="A684" s="468" t="s">
        <v>348</v>
      </c>
      <c r="B684" s="204" t="s">
        <v>184</v>
      </c>
      <c r="C684" s="527"/>
      <c r="D684" s="188"/>
      <c r="E684" s="706"/>
      <c r="F684" s="188"/>
      <c r="G684" s="206"/>
      <c r="H684" s="214"/>
      <c r="I684" s="503"/>
      <c r="J684" s="554"/>
      <c r="K684" s="552">
        <f t="shared" si="41"/>
        <v>0</v>
      </c>
      <c r="L684" s="217"/>
      <c r="M684" s="211">
        <f t="shared" si="40"/>
        <v>-46136</v>
      </c>
      <c r="N684" s="683">
        <f t="shared" si="42"/>
        <v>7</v>
      </c>
      <c r="O684" s="212"/>
      <c r="P684" s="544"/>
      <c r="Q684" s="561">
        <f t="shared" si="43"/>
        <v>0</v>
      </c>
      <c r="R684" s="58"/>
      <c r="S684" s="58"/>
      <c r="T684" s="58"/>
      <c r="U684" s="58"/>
      <c r="V684" s="58"/>
    </row>
    <row r="685" spans="1:22" ht="14.25" customHeight="1">
      <c r="A685" s="468" t="s">
        <v>348</v>
      </c>
      <c r="B685" s="204" t="s">
        <v>184</v>
      </c>
      <c r="C685" s="527"/>
      <c r="D685" s="188"/>
      <c r="E685" s="706"/>
      <c r="F685" s="188"/>
      <c r="G685" s="206"/>
      <c r="H685" s="214"/>
      <c r="I685" s="503"/>
      <c r="J685" s="554"/>
      <c r="K685" s="552">
        <f t="shared" si="41"/>
        <v>0</v>
      </c>
      <c r="L685" s="217"/>
      <c r="M685" s="211">
        <f t="shared" si="40"/>
        <v>-46136</v>
      </c>
      <c r="N685" s="683">
        <f t="shared" si="42"/>
        <v>7</v>
      </c>
      <c r="O685" s="212"/>
      <c r="P685" s="544"/>
      <c r="Q685" s="561">
        <f t="shared" si="43"/>
        <v>0</v>
      </c>
      <c r="R685" s="58"/>
      <c r="S685" s="58"/>
      <c r="T685" s="58"/>
      <c r="U685" s="58"/>
      <c r="V685" s="58"/>
    </row>
    <row r="686" spans="1:22" ht="14.25" customHeight="1">
      <c r="A686" s="468" t="s">
        <v>348</v>
      </c>
      <c r="B686" s="204" t="s">
        <v>184</v>
      </c>
      <c r="C686" s="527"/>
      <c r="D686" s="188"/>
      <c r="E686" s="706"/>
      <c r="F686" s="188"/>
      <c r="G686" s="206"/>
      <c r="H686" s="214"/>
      <c r="I686" s="500"/>
      <c r="J686" s="554"/>
      <c r="K686" s="552">
        <f t="shared" si="41"/>
        <v>0</v>
      </c>
      <c r="L686" s="217"/>
      <c r="M686" s="211">
        <f t="shared" si="40"/>
        <v>-46136</v>
      </c>
      <c r="N686" s="683">
        <f t="shared" si="42"/>
        <v>7</v>
      </c>
      <c r="O686" s="212"/>
      <c r="P686" s="544"/>
      <c r="Q686" s="561">
        <f t="shared" si="43"/>
        <v>0</v>
      </c>
      <c r="R686" s="58"/>
      <c r="S686" s="58"/>
      <c r="T686" s="58"/>
      <c r="U686" s="58"/>
      <c r="V686" s="58"/>
    </row>
    <row r="687" spans="1:22" ht="14.25" customHeight="1">
      <c r="A687" s="468" t="s">
        <v>348</v>
      </c>
      <c r="B687" s="204" t="s">
        <v>184</v>
      </c>
      <c r="C687" s="527"/>
      <c r="D687" s="188"/>
      <c r="E687" s="706"/>
      <c r="F687" s="188"/>
      <c r="G687" s="206"/>
      <c r="H687" s="214"/>
      <c r="I687" s="501"/>
      <c r="J687" s="554"/>
      <c r="K687" s="552">
        <f t="shared" si="41"/>
        <v>0</v>
      </c>
      <c r="L687" s="217"/>
      <c r="M687" s="211">
        <f t="shared" si="40"/>
        <v>-46136</v>
      </c>
      <c r="N687" s="683">
        <f t="shared" si="42"/>
        <v>7</v>
      </c>
      <c r="O687" s="212"/>
      <c r="P687" s="544"/>
      <c r="Q687" s="561">
        <f t="shared" si="43"/>
        <v>0</v>
      </c>
      <c r="R687" s="58"/>
      <c r="S687" s="58"/>
      <c r="T687" s="58"/>
      <c r="U687" s="58"/>
      <c r="V687" s="58"/>
    </row>
    <row r="688" spans="1:22" ht="14.25" customHeight="1">
      <c r="A688" s="468" t="s">
        <v>348</v>
      </c>
      <c r="B688" s="204" t="s">
        <v>184</v>
      </c>
      <c r="C688" s="527"/>
      <c r="D688" s="188"/>
      <c r="E688" s="706"/>
      <c r="F688" s="188"/>
      <c r="G688" s="206"/>
      <c r="H688" s="214"/>
      <c r="I688" s="503"/>
      <c r="J688" s="554"/>
      <c r="K688" s="552">
        <f t="shared" si="41"/>
        <v>0</v>
      </c>
      <c r="L688" s="217"/>
      <c r="M688" s="211">
        <f t="shared" si="40"/>
        <v>-46136</v>
      </c>
      <c r="N688" s="683">
        <f t="shared" si="42"/>
        <v>7</v>
      </c>
      <c r="O688" s="212"/>
      <c r="P688" s="544"/>
      <c r="Q688" s="561">
        <f t="shared" si="43"/>
        <v>0</v>
      </c>
      <c r="R688" s="58"/>
      <c r="S688" s="58"/>
      <c r="T688" s="58"/>
      <c r="U688" s="58"/>
      <c r="V688" s="58"/>
    </row>
    <row r="689" spans="1:22" ht="14.25" customHeight="1">
      <c r="A689" s="468" t="s">
        <v>348</v>
      </c>
      <c r="B689" s="204" t="s">
        <v>184</v>
      </c>
      <c r="C689" s="527"/>
      <c r="D689" s="188"/>
      <c r="E689" s="706"/>
      <c r="F689" s="188"/>
      <c r="G689" s="206"/>
      <c r="H689" s="214"/>
      <c r="I689" s="503"/>
      <c r="J689" s="554"/>
      <c r="K689" s="552">
        <f t="shared" si="41"/>
        <v>0</v>
      </c>
      <c r="L689" s="217"/>
      <c r="M689" s="211">
        <f t="shared" si="40"/>
        <v>-46136</v>
      </c>
      <c r="N689" s="683">
        <f t="shared" si="42"/>
        <v>7</v>
      </c>
      <c r="O689" s="212"/>
      <c r="P689" s="544"/>
      <c r="Q689" s="561">
        <f t="shared" si="43"/>
        <v>0</v>
      </c>
      <c r="R689" s="58"/>
      <c r="S689" s="58"/>
      <c r="T689" s="58"/>
      <c r="U689" s="58"/>
      <c r="V689" s="58"/>
    </row>
    <row r="690" spans="1:22" ht="14.25" customHeight="1">
      <c r="A690" s="468" t="s">
        <v>348</v>
      </c>
      <c r="B690" s="204" t="s">
        <v>184</v>
      </c>
      <c r="C690" s="527"/>
      <c r="D690" s="188"/>
      <c r="E690" s="706"/>
      <c r="F690" s="188"/>
      <c r="G690" s="206"/>
      <c r="H690" s="214"/>
      <c r="I690" s="503"/>
      <c r="J690" s="554"/>
      <c r="K690" s="552">
        <f t="shared" si="41"/>
        <v>0</v>
      </c>
      <c r="L690" s="217"/>
      <c r="M690" s="211">
        <f t="shared" si="40"/>
        <v>-46136</v>
      </c>
      <c r="N690" s="683">
        <f t="shared" si="42"/>
        <v>7</v>
      </c>
      <c r="O690" s="212"/>
      <c r="P690" s="544"/>
      <c r="Q690" s="561">
        <f t="shared" si="43"/>
        <v>0</v>
      </c>
      <c r="R690" s="58"/>
      <c r="S690" s="58"/>
      <c r="T690" s="58"/>
      <c r="U690" s="58"/>
      <c r="V690" s="58"/>
    </row>
    <row r="691" spans="1:22" ht="14.25" customHeight="1">
      <c r="A691" s="468" t="s">
        <v>348</v>
      </c>
      <c r="B691" s="204" t="s">
        <v>184</v>
      </c>
      <c r="C691" s="527"/>
      <c r="D691" s="188"/>
      <c r="E691" s="706"/>
      <c r="F691" s="188"/>
      <c r="G691" s="206"/>
      <c r="H691" s="214"/>
      <c r="I691" s="503"/>
      <c r="J691" s="554"/>
      <c r="K691" s="552">
        <f t="shared" si="41"/>
        <v>0</v>
      </c>
      <c r="L691" s="217"/>
      <c r="M691" s="211">
        <f t="shared" si="40"/>
        <v>-46136</v>
      </c>
      <c r="N691" s="683">
        <f t="shared" si="42"/>
        <v>7</v>
      </c>
      <c r="O691" s="212"/>
      <c r="P691" s="544"/>
      <c r="Q691" s="561">
        <f t="shared" si="43"/>
        <v>0</v>
      </c>
      <c r="R691" s="58"/>
      <c r="S691" s="58"/>
      <c r="T691" s="58"/>
      <c r="U691" s="58"/>
      <c r="V691" s="58"/>
    </row>
    <row r="692" spans="1:22" ht="15.75" customHeight="1">
      <c r="A692" s="468" t="s">
        <v>348</v>
      </c>
      <c r="B692" s="204" t="s">
        <v>184</v>
      </c>
      <c r="C692" s="527"/>
      <c r="D692" s="188"/>
      <c r="E692" s="706"/>
      <c r="F692" s="188"/>
      <c r="G692" s="206"/>
      <c r="H692" s="214"/>
      <c r="I692" s="503"/>
      <c r="J692" s="554"/>
      <c r="K692" s="552">
        <f t="shared" si="41"/>
        <v>0</v>
      </c>
      <c r="L692" s="217"/>
      <c r="M692" s="211">
        <f t="shared" si="40"/>
        <v>-46136</v>
      </c>
      <c r="N692" s="683">
        <f t="shared" si="42"/>
        <v>7</v>
      </c>
      <c r="O692" s="212"/>
      <c r="P692" s="544"/>
      <c r="Q692" s="561">
        <f t="shared" si="43"/>
        <v>0</v>
      </c>
      <c r="R692" s="58"/>
      <c r="S692" s="58"/>
      <c r="T692" s="58"/>
      <c r="U692" s="58"/>
      <c r="V692" s="58"/>
    </row>
    <row r="693" spans="1:22" ht="15.75" customHeight="1">
      <c r="A693" s="468" t="s">
        <v>348</v>
      </c>
      <c r="B693" s="204" t="s">
        <v>184</v>
      </c>
      <c r="C693" s="527"/>
      <c r="D693" s="188"/>
      <c r="E693" s="706"/>
      <c r="F693" s="188"/>
      <c r="G693" s="206"/>
      <c r="H693" s="214"/>
      <c r="I693" s="501"/>
      <c r="J693" s="554"/>
      <c r="K693" s="552">
        <f t="shared" si="41"/>
        <v>0</v>
      </c>
      <c r="L693" s="217"/>
      <c r="M693" s="211">
        <f t="shared" si="40"/>
        <v>-46136</v>
      </c>
      <c r="N693" s="683">
        <f t="shared" si="42"/>
        <v>7</v>
      </c>
      <c r="O693" s="212"/>
      <c r="P693" s="544"/>
      <c r="Q693" s="561">
        <f t="shared" si="43"/>
        <v>0</v>
      </c>
      <c r="R693" s="58"/>
      <c r="S693" s="58"/>
      <c r="T693" s="58"/>
      <c r="U693" s="58"/>
      <c r="V693" s="58"/>
    </row>
    <row r="694" spans="1:22" ht="15.75" customHeight="1">
      <c r="A694" s="468" t="s">
        <v>348</v>
      </c>
      <c r="B694" s="204" t="s">
        <v>184</v>
      </c>
      <c r="C694" s="527"/>
      <c r="D694" s="188"/>
      <c r="E694" s="706"/>
      <c r="F694" s="188"/>
      <c r="G694" s="206"/>
      <c r="H694" s="214"/>
      <c r="I694" s="501"/>
      <c r="J694" s="554"/>
      <c r="K694" s="552">
        <f t="shared" si="41"/>
        <v>0</v>
      </c>
      <c r="L694" s="217"/>
      <c r="M694" s="211">
        <f t="shared" si="40"/>
        <v>-46136</v>
      </c>
      <c r="N694" s="683">
        <f t="shared" si="42"/>
        <v>7</v>
      </c>
      <c r="O694" s="212"/>
      <c r="P694" s="544"/>
      <c r="Q694" s="561">
        <f t="shared" si="43"/>
        <v>0</v>
      </c>
      <c r="R694" s="58"/>
      <c r="S694" s="58"/>
      <c r="T694" s="58"/>
      <c r="U694" s="58"/>
      <c r="V694" s="58"/>
    </row>
    <row r="695" spans="1:22" ht="15.75" customHeight="1">
      <c r="A695" s="468" t="s">
        <v>348</v>
      </c>
      <c r="B695" s="204" t="s">
        <v>184</v>
      </c>
      <c r="C695" s="527"/>
      <c r="D695" s="188"/>
      <c r="E695" s="706"/>
      <c r="F695" s="188"/>
      <c r="G695" s="206"/>
      <c r="H695" s="214"/>
      <c r="I695" s="501"/>
      <c r="J695" s="554"/>
      <c r="K695" s="552">
        <f t="shared" si="41"/>
        <v>0</v>
      </c>
      <c r="L695" s="217"/>
      <c r="M695" s="211">
        <f t="shared" si="40"/>
        <v>-46136</v>
      </c>
      <c r="N695" s="683">
        <f t="shared" si="42"/>
        <v>7</v>
      </c>
      <c r="O695" s="212"/>
      <c r="P695" s="544"/>
      <c r="Q695" s="561">
        <f t="shared" si="43"/>
        <v>0</v>
      </c>
      <c r="R695" s="58"/>
      <c r="S695" s="58"/>
      <c r="T695" s="58"/>
      <c r="U695" s="58"/>
      <c r="V695" s="58"/>
    </row>
    <row r="696" spans="1:22" ht="15.75" customHeight="1">
      <c r="A696" s="468" t="s">
        <v>348</v>
      </c>
      <c r="B696" s="204" t="s">
        <v>184</v>
      </c>
      <c r="C696" s="527"/>
      <c r="D696" s="205"/>
      <c r="E696" s="706"/>
      <c r="F696" s="205"/>
      <c r="G696" s="206"/>
      <c r="H696" s="214"/>
      <c r="I696" s="503"/>
      <c r="J696" s="554"/>
      <c r="K696" s="552">
        <f t="shared" si="41"/>
        <v>0</v>
      </c>
      <c r="L696" s="217"/>
      <c r="M696" s="211">
        <f t="shared" si="40"/>
        <v>-46136</v>
      </c>
      <c r="N696" s="683">
        <f t="shared" si="42"/>
        <v>7</v>
      </c>
      <c r="O696" s="212"/>
      <c r="P696" s="544"/>
      <c r="Q696" s="561">
        <f t="shared" si="43"/>
        <v>0</v>
      </c>
      <c r="R696" s="58"/>
      <c r="S696" s="58"/>
      <c r="T696" s="58"/>
      <c r="U696" s="58"/>
      <c r="V696" s="58"/>
    </row>
    <row r="697" spans="1:22" ht="15.75" customHeight="1">
      <c r="A697" s="468" t="s">
        <v>348</v>
      </c>
      <c r="B697" s="204" t="s">
        <v>184</v>
      </c>
      <c r="C697" s="527"/>
      <c r="D697" s="205"/>
      <c r="E697" s="706"/>
      <c r="F697" s="205"/>
      <c r="G697" s="206"/>
      <c r="H697" s="214"/>
      <c r="I697" s="503"/>
      <c r="J697" s="554"/>
      <c r="K697" s="552">
        <f t="shared" si="41"/>
        <v>0</v>
      </c>
      <c r="L697" s="217"/>
      <c r="M697" s="211">
        <f t="shared" si="40"/>
        <v>-46136</v>
      </c>
      <c r="N697" s="683">
        <f t="shared" si="42"/>
        <v>7</v>
      </c>
      <c r="O697" s="212"/>
      <c r="P697" s="544"/>
      <c r="Q697" s="561">
        <f t="shared" si="43"/>
        <v>0</v>
      </c>
      <c r="R697" s="58"/>
      <c r="S697" s="58"/>
      <c r="T697" s="58"/>
      <c r="U697" s="58"/>
      <c r="V697" s="58"/>
    </row>
    <row r="698" spans="1:22" ht="15.75" customHeight="1">
      <c r="A698" s="468" t="s">
        <v>348</v>
      </c>
      <c r="B698" s="204" t="s">
        <v>184</v>
      </c>
      <c r="C698" s="527"/>
      <c r="D698" s="205"/>
      <c r="E698" s="706"/>
      <c r="F698" s="205"/>
      <c r="G698" s="206"/>
      <c r="H698" s="214"/>
      <c r="I698" s="503"/>
      <c r="J698" s="554"/>
      <c r="K698" s="552">
        <f t="shared" si="41"/>
        <v>0</v>
      </c>
      <c r="L698" s="217"/>
      <c r="M698" s="211">
        <f t="shared" si="40"/>
        <v>-46136</v>
      </c>
      <c r="N698" s="683">
        <f t="shared" si="42"/>
        <v>7</v>
      </c>
      <c r="O698" s="212"/>
      <c r="P698" s="544"/>
      <c r="Q698" s="561">
        <f t="shared" si="43"/>
        <v>0</v>
      </c>
      <c r="R698" s="58"/>
      <c r="S698" s="58"/>
      <c r="T698" s="58"/>
      <c r="U698" s="58"/>
      <c r="V698" s="58"/>
    </row>
    <row r="699" spans="1:22" ht="15.75" customHeight="1">
      <c r="A699" s="468" t="s">
        <v>348</v>
      </c>
      <c r="B699" s="204" t="s">
        <v>184</v>
      </c>
      <c r="C699" s="527"/>
      <c r="D699" s="267"/>
      <c r="E699" s="706"/>
      <c r="F699" s="267"/>
      <c r="G699" s="206"/>
      <c r="H699" s="214"/>
      <c r="I699" s="503"/>
      <c r="J699" s="554"/>
      <c r="K699" s="552">
        <f t="shared" si="41"/>
        <v>0</v>
      </c>
      <c r="L699" s="217"/>
      <c r="M699" s="211">
        <f t="shared" si="40"/>
        <v>-46136</v>
      </c>
      <c r="N699" s="683">
        <f t="shared" si="42"/>
        <v>7</v>
      </c>
      <c r="O699" s="212"/>
      <c r="P699" s="544"/>
      <c r="Q699" s="561">
        <f t="shared" si="43"/>
        <v>0</v>
      </c>
      <c r="R699" s="58"/>
      <c r="S699" s="58"/>
      <c r="T699" s="58"/>
      <c r="U699" s="58"/>
      <c r="V699" s="58"/>
    </row>
    <row r="700" spans="1:22" ht="15.75" customHeight="1">
      <c r="A700" s="468" t="s">
        <v>348</v>
      </c>
      <c r="B700" s="204" t="s">
        <v>184</v>
      </c>
      <c r="C700" s="527"/>
      <c r="D700" s="205"/>
      <c r="E700" s="706"/>
      <c r="F700" s="205"/>
      <c r="G700" s="206"/>
      <c r="H700" s="214"/>
      <c r="I700" s="503"/>
      <c r="J700" s="554"/>
      <c r="K700" s="552">
        <f t="shared" si="41"/>
        <v>0</v>
      </c>
      <c r="L700" s="217"/>
      <c r="M700" s="211">
        <f t="shared" si="40"/>
        <v>-46136</v>
      </c>
      <c r="N700" s="683">
        <f t="shared" si="42"/>
        <v>7</v>
      </c>
      <c r="O700" s="212"/>
      <c r="P700" s="544"/>
      <c r="Q700" s="561">
        <f t="shared" si="43"/>
        <v>0</v>
      </c>
      <c r="R700" s="58"/>
      <c r="S700" s="58"/>
      <c r="T700" s="58"/>
      <c r="U700" s="58"/>
      <c r="V700" s="58"/>
    </row>
    <row r="701" spans="1:22" ht="15.75" customHeight="1">
      <c r="A701" s="468" t="s">
        <v>348</v>
      </c>
      <c r="B701" s="204" t="s">
        <v>184</v>
      </c>
      <c r="C701" s="527"/>
      <c r="D701" s="205"/>
      <c r="E701" s="706"/>
      <c r="F701" s="205"/>
      <c r="G701" s="206"/>
      <c r="H701" s="214"/>
      <c r="I701" s="503"/>
      <c r="J701" s="554"/>
      <c r="K701" s="552">
        <f t="shared" si="41"/>
        <v>0</v>
      </c>
      <c r="L701" s="217"/>
      <c r="M701" s="211">
        <f t="shared" si="40"/>
        <v>-46136</v>
      </c>
      <c r="N701" s="683">
        <f t="shared" si="42"/>
        <v>7</v>
      </c>
      <c r="O701" s="212"/>
      <c r="P701" s="544"/>
      <c r="Q701" s="561">
        <f t="shared" si="43"/>
        <v>0</v>
      </c>
      <c r="R701" s="58"/>
      <c r="S701" s="58"/>
      <c r="T701" s="58"/>
      <c r="U701" s="58"/>
      <c r="V701" s="58"/>
    </row>
    <row r="702" spans="1:22" ht="15.75" customHeight="1">
      <c r="A702" s="468" t="s">
        <v>348</v>
      </c>
      <c r="B702" s="204" t="s">
        <v>184</v>
      </c>
      <c r="C702" s="527"/>
      <c r="D702" s="205"/>
      <c r="E702" s="706"/>
      <c r="F702" s="205"/>
      <c r="G702" s="206"/>
      <c r="H702" s="214"/>
      <c r="I702" s="503"/>
      <c r="J702" s="554"/>
      <c r="K702" s="552">
        <f t="shared" si="41"/>
        <v>0</v>
      </c>
      <c r="L702" s="217"/>
      <c r="M702" s="211">
        <f t="shared" si="40"/>
        <v>-46136</v>
      </c>
      <c r="N702" s="683">
        <f t="shared" si="42"/>
        <v>7</v>
      </c>
      <c r="O702" s="212"/>
      <c r="P702" s="544"/>
      <c r="Q702" s="561">
        <f t="shared" si="43"/>
        <v>0</v>
      </c>
      <c r="R702" s="58"/>
      <c r="S702" s="58"/>
      <c r="T702" s="58"/>
      <c r="U702" s="58"/>
      <c r="V702" s="58"/>
    </row>
    <row r="703" spans="1:22" ht="15.75" customHeight="1">
      <c r="A703" s="468" t="s">
        <v>348</v>
      </c>
      <c r="B703" s="204" t="s">
        <v>184</v>
      </c>
      <c r="C703" s="527"/>
      <c r="D703" s="188"/>
      <c r="E703" s="706"/>
      <c r="F703" s="205"/>
      <c r="G703" s="206"/>
      <c r="H703" s="214"/>
      <c r="I703" s="502"/>
      <c r="J703" s="554"/>
      <c r="K703" s="552">
        <f t="shared" si="41"/>
        <v>0</v>
      </c>
      <c r="L703" s="217"/>
      <c r="M703" s="211">
        <f t="shared" si="40"/>
        <v>-46136</v>
      </c>
      <c r="N703" s="683">
        <f t="shared" si="42"/>
        <v>7</v>
      </c>
      <c r="O703" s="212"/>
      <c r="P703" s="544"/>
      <c r="Q703" s="561">
        <f t="shared" si="43"/>
        <v>0</v>
      </c>
      <c r="R703" s="58"/>
      <c r="S703" s="58"/>
      <c r="T703" s="58"/>
      <c r="U703" s="58"/>
      <c r="V703" s="58"/>
    </row>
    <row r="704" spans="1:22" ht="15.75" customHeight="1">
      <c r="A704" s="468" t="s">
        <v>348</v>
      </c>
      <c r="B704" s="204" t="s">
        <v>184</v>
      </c>
      <c r="C704" s="527"/>
      <c r="D704" s="188"/>
      <c r="E704" s="706"/>
      <c r="F704" s="205"/>
      <c r="G704" s="206"/>
      <c r="H704" s="214"/>
      <c r="I704" s="502"/>
      <c r="J704" s="554"/>
      <c r="K704" s="552">
        <f t="shared" si="41"/>
        <v>0</v>
      </c>
      <c r="L704" s="217"/>
      <c r="M704" s="211">
        <f t="shared" si="40"/>
        <v>-46136</v>
      </c>
      <c r="N704" s="683">
        <f t="shared" si="42"/>
        <v>7</v>
      </c>
      <c r="O704" s="212"/>
      <c r="P704" s="544"/>
      <c r="Q704" s="561">
        <f t="shared" si="43"/>
        <v>0</v>
      </c>
      <c r="R704" s="58"/>
      <c r="S704" s="58"/>
      <c r="T704" s="58"/>
      <c r="U704" s="58"/>
      <c r="V704" s="58"/>
    </row>
    <row r="705" spans="1:22" ht="15.75" customHeight="1">
      <c r="A705" s="468" t="s">
        <v>348</v>
      </c>
      <c r="B705" s="204" t="s">
        <v>184</v>
      </c>
      <c r="C705" s="527"/>
      <c r="D705" s="267"/>
      <c r="E705" s="706"/>
      <c r="F705" s="267"/>
      <c r="G705" s="206"/>
      <c r="H705" s="214"/>
      <c r="I705" s="501"/>
      <c r="J705" s="554"/>
      <c r="K705" s="552">
        <f t="shared" si="41"/>
        <v>0</v>
      </c>
      <c r="L705" s="217"/>
      <c r="M705" s="211">
        <f t="shared" si="40"/>
        <v>-46136</v>
      </c>
      <c r="N705" s="683">
        <f t="shared" si="42"/>
        <v>7</v>
      </c>
      <c r="O705" s="212"/>
      <c r="P705" s="544"/>
      <c r="Q705" s="561">
        <f t="shared" si="43"/>
        <v>0</v>
      </c>
      <c r="R705" s="58"/>
      <c r="S705" s="58"/>
      <c r="T705" s="58"/>
      <c r="U705" s="58"/>
      <c r="V705" s="58"/>
    </row>
    <row r="706" spans="1:22" ht="15.75" customHeight="1">
      <c r="A706" s="468" t="s">
        <v>348</v>
      </c>
      <c r="B706" s="204" t="s">
        <v>184</v>
      </c>
      <c r="C706" s="527"/>
      <c r="D706" s="267"/>
      <c r="E706" s="706"/>
      <c r="F706" s="267"/>
      <c r="G706" s="206"/>
      <c r="H706" s="214"/>
      <c r="I706" s="503"/>
      <c r="J706" s="554"/>
      <c r="K706" s="552">
        <f t="shared" si="41"/>
        <v>0</v>
      </c>
      <c r="L706" s="217"/>
      <c r="M706" s="211">
        <f t="shared" si="40"/>
        <v>-46136</v>
      </c>
      <c r="N706" s="683">
        <f t="shared" si="42"/>
        <v>7</v>
      </c>
      <c r="O706" s="212"/>
      <c r="P706" s="544"/>
      <c r="Q706" s="561">
        <f t="shared" si="43"/>
        <v>0</v>
      </c>
      <c r="R706" s="58"/>
      <c r="S706" s="58"/>
      <c r="T706" s="58"/>
      <c r="U706" s="58"/>
      <c r="V706" s="58"/>
    </row>
    <row r="707" spans="1:22" ht="15.75" customHeight="1">
      <c r="A707" s="468" t="s">
        <v>348</v>
      </c>
      <c r="B707" s="204" t="s">
        <v>184</v>
      </c>
      <c r="C707" s="527"/>
      <c r="D707" s="267"/>
      <c r="E707" s="706"/>
      <c r="F707" s="267"/>
      <c r="G707" s="206"/>
      <c r="H707" s="214"/>
      <c r="I707" s="503"/>
      <c r="J707" s="554"/>
      <c r="K707" s="552">
        <f t="shared" si="41"/>
        <v>0</v>
      </c>
      <c r="L707" s="217"/>
      <c r="M707" s="211">
        <f t="shared" si="40"/>
        <v>-46136</v>
      </c>
      <c r="N707" s="683">
        <f t="shared" si="42"/>
        <v>7</v>
      </c>
      <c r="O707" s="212"/>
      <c r="P707" s="544"/>
      <c r="Q707" s="561">
        <f t="shared" si="43"/>
        <v>0</v>
      </c>
      <c r="R707" s="58"/>
      <c r="S707" s="58"/>
      <c r="T707" s="58"/>
      <c r="U707" s="58"/>
      <c r="V707" s="58"/>
    </row>
    <row r="708" spans="1:22" ht="15.75" customHeight="1">
      <c r="A708" s="468" t="s">
        <v>348</v>
      </c>
      <c r="B708" s="204" t="s">
        <v>184</v>
      </c>
      <c r="C708" s="527"/>
      <c r="D708" s="205"/>
      <c r="E708" s="706"/>
      <c r="F708" s="267"/>
      <c r="G708" s="206"/>
      <c r="H708" s="268"/>
      <c r="I708" s="503"/>
      <c r="J708" s="554"/>
      <c r="K708" s="552">
        <f t="shared" si="41"/>
        <v>0</v>
      </c>
      <c r="L708" s="217"/>
      <c r="M708" s="211">
        <f t="shared" si="40"/>
        <v>-46136</v>
      </c>
      <c r="N708" s="683">
        <f t="shared" si="42"/>
        <v>7</v>
      </c>
      <c r="O708" s="212"/>
      <c r="P708" s="544"/>
      <c r="Q708" s="561">
        <f t="shared" si="43"/>
        <v>0</v>
      </c>
      <c r="R708" s="58"/>
      <c r="S708" s="58"/>
      <c r="T708" s="58"/>
      <c r="U708" s="58"/>
      <c r="V708" s="58"/>
    </row>
    <row r="709" spans="1:22" ht="15.75" customHeight="1">
      <c r="A709" s="468" t="s">
        <v>348</v>
      </c>
      <c r="B709" s="204" t="s">
        <v>184</v>
      </c>
      <c r="C709" s="527"/>
      <c r="D709" s="205"/>
      <c r="E709" s="706"/>
      <c r="F709" s="267"/>
      <c r="G709" s="206"/>
      <c r="H709" s="268"/>
      <c r="I709" s="503"/>
      <c r="J709" s="554"/>
      <c r="K709" s="552">
        <f t="shared" si="41"/>
        <v>0</v>
      </c>
      <c r="L709" s="217"/>
      <c r="M709" s="211">
        <f t="shared" si="40"/>
        <v>-46136</v>
      </c>
      <c r="N709" s="683">
        <f t="shared" si="42"/>
        <v>7</v>
      </c>
      <c r="O709" s="212"/>
      <c r="P709" s="544"/>
      <c r="Q709" s="561">
        <f t="shared" si="43"/>
        <v>0</v>
      </c>
      <c r="R709" s="58"/>
      <c r="S709" s="58"/>
      <c r="T709" s="58"/>
      <c r="U709" s="58"/>
      <c r="V709" s="58"/>
    </row>
    <row r="710" spans="1:22" ht="15.75" customHeight="1">
      <c r="A710" s="468" t="s">
        <v>348</v>
      </c>
      <c r="B710" s="204" t="s">
        <v>184</v>
      </c>
      <c r="C710" s="527"/>
      <c r="D710" s="205"/>
      <c r="E710" s="706"/>
      <c r="F710" s="267"/>
      <c r="G710" s="206"/>
      <c r="H710" s="268"/>
      <c r="I710" s="503"/>
      <c r="J710" s="554"/>
      <c r="K710" s="552">
        <f t="shared" si="41"/>
        <v>0</v>
      </c>
      <c r="L710" s="217"/>
      <c r="M710" s="211">
        <f t="shared" si="40"/>
        <v>-46136</v>
      </c>
      <c r="N710" s="683">
        <f t="shared" si="42"/>
        <v>7</v>
      </c>
      <c r="O710" s="212"/>
      <c r="P710" s="544"/>
      <c r="Q710" s="561">
        <f t="shared" si="43"/>
        <v>0</v>
      </c>
      <c r="R710" s="58"/>
      <c r="S710" s="58"/>
      <c r="T710" s="58"/>
      <c r="U710" s="58"/>
      <c r="V710" s="58"/>
    </row>
    <row r="711" spans="1:22" ht="15.75" customHeight="1">
      <c r="A711" s="468" t="s">
        <v>348</v>
      </c>
      <c r="B711" s="204" t="s">
        <v>184</v>
      </c>
      <c r="C711" s="527"/>
      <c r="D711" s="205"/>
      <c r="E711" s="706"/>
      <c r="F711" s="267"/>
      <c r="G711" s="206"/>
      <c r="H711" s="268"/>
      <c r="I711" s="503"/>
      <c r="J711" s="554"/>
      <c r="K711" s="552">
        <f t="shared" si="41"/>
        <v>0</v>
      </c>
      <c r="L711" s="217"/>
      <c r="M711" s="211">
        <f t="shared" si="40"/>
        <v>-46136</v>
      </c>
      <c r="N711" s="683">
        <f t="shared" si="42"/>
        <v>7</v>
      </c>
      <c r="O711" s="212"/>
      <c r="P711" s="544"/>
      <c r="Q711" s="561">
        <f t="shared" si="43"/>
        <v>0</v>
      </c>
      <c r="R711" s="58"/>
      <c r="S711" s="58"/>
      <c r="T711" s="58"/>
      <c r="U711" s="58"/>
      <c r="V711" s="58"/>
    </row>
    <row r="712" spans="1:22" ht="15.75" customHeight="1">
      <c r="A712" s="468" t="s">
        <v>348</v>
      </c>
      <c r="B712" s="204" t="s">
        <v>184</v>
      </c>
      <c r="C712" s="527"/>
      <c r="D712" s="205"/>
      <c r="E712" s="706"/>
      <c r="F712" s="267"/>
      <c r="G712" s="206"/>
      <c r="H712" s="268"/>
      <c r="I712" s="503"/>
      <c r="J712" s="554"/>
      <c r="K712" s="552">
        <f t="shared" si="41"/>
        <v>0</v>
      </c>
      <c r="L712" s="217"/>
      <c r="M712" s="211">
        <f t="shared" si="40"/>
        <v>-46136</v>
      </c>
      <c r="N712" s="683">
        <f t="shared" si="42"/>
        <v>7</v>
      </c>
      <c r="O712" s="212"/>
      <c r="P712" s="544"/>
      <c r="Q712" s="561">
        <f t="shared" si="43"/>
        <v>0</v>
      </c>
      <c r="R712" s="58"/>
      <c r="S712" s="58"/>
      <c r="T712" s="58"/>
      <c r="U712" s="58"/>
      <c r="V712" s="58"/>
    </row>
    <row r="713" spans="1:22" ht="15.75" customHeight="1">
      <c r="A713" s="468" t="s">
        <v>348</v>
      </c>
      <c r="B713" s="204" t="s">
        <v>184</v>
      </c>
      <c r="C713" s="527"/>
      <c r="D713" s="205"/>
      <c r="E713" s="706"/>
      <c r="F713" s="267"/>
      <c r="G713" s="206"/>
      <c r="H713" s="268"/>
      <c r="I713" s="503"/>
      <c r="J713" s="554"/>
      <c r="K713" s="552">
        <f t="shared" si="41"/>
        <v>0</v>
      </c>
      <c r="L713" s="217"/>
      <c r="M713" s="211">
        <f t="shared" ref="M713:M776" si="44">+L713-$E$6</f>
        <v>-46136</v>
      </c>
      <c r="N713" s="683">
        <f t="shared" si="42"/>
        <v>7</v>
      </c>
      <c r="O713" s="212"/>
      <c r="P713" s="544"/>
      <c r="Q713" s="561">
        <f t="shared" si="43"/>
        <v>0</v>
      </c>
      <c r="R713" s="58"/>
      <c r="S713" s="58"/>
      <c r="T713" s="58"/>
      <c r="U713" s="58"/>
      <c r="V713" s="58"/>
    </row>
    <row r="714" spans="1:22" ht="15.75" customHeight="1">
      <c r="A714" s="468" t="s">
        <v>348</v>
      </c>
      <c r="B714" s="204" t="s">
        <v>184</v>
      </c>
      <c r="C714" s="527"/>
      <c r="D714" s="205"/>
      <c r="E714" s="706"/>
      <c r="F714" s="205"/>
      <c r="G714" s="206"/>
      <c r="H714" s="268"/>
      <c r="I714" s="503"/>
      <c r="J714" s="554"/>
      <c r="K714" s="552">
        <f t="shared" ref="K714:K777" si="45">-J714</f>
        <v>0</v>
      </c>
      <c r="L714" s="217"/>
      <c r="M714" s="211">
        <f t="shared" si="44"/>
        <v>-46136</v>
      </c>
      <c r="N714" s="683">
        <f t="shared" ref="N714:N777" si="46">+L714+7</f>
        <v>7</v>
      </c>
      <c r="O714" s="212"/>
      <c r="P714" s="544"/>
      <c r="Q714" s="561">
        <f t="shared" si="43"/>
        <v>0</v>
      </c>
      <c r="R714" s="58"/>
      <c r="S714" s="58"/>
      <c r="T714" s="58"/>
      <c r="U714" s="58"/>
      <c r="V714" s="58"/>
    </row>
    <row r="715" spans="1:22" ht="15.75" customHeight="1">
      <c r="A715" s="468" t="s">
        <v>348</v>
      </c>
      <c r="B715" s="204" t="s">
        <v>184</v>
      </c>
      <c r="C715" s="527"/>
      <c r="D715" s="267"/>
      <c r="E715" s="706"/>
      <c r="F715" s="267"/>
      <c r="G715" s="206"/>
      <c r="H715" s="268"/>
      <c r="I715" s="503"/>
      <c r="J715" s="554"/>
      <c r="K715" s="552">
        <f t="shared" si="45"/>
        <v>0</v>
      </c>
      <c r="L715" s="217"/>
      <c r="M715" s="211">
        <f t="shared" si="44"/>
        <v>-46136</v>
      </c>
      <c r="N715" s="683">
        <f t="shared" si="46"/>
        <v>7</v>
      </c>
      <c r="O715" s="212"/>
      <c r="P715" s="544"/>
      <c r="Q715" s="561">
        <f t="shared" ref="Q715:Q804" si="47">+K715+J715</f>
        <v>0</v>
      </c>
      <c r="R715" s="58"/>
      <c r="S715" s="58"/>
      <c r="T715" s="58"/>
      <c r="U715" s="58"/>
      <c r="V715" s="58"/>
    </row>
    <row r="716" spans="1:22" ht="15.75" customHeight="1">
      <c r="A716" s="468" t="s">
        <v>348</v>
      </c>
      <c r="B716" s="204" t="s">
        <v>184</v>
      </c>
      <c r="C716" s="527"/>
      <c r="D716" s="267"/>
      <c r="E716" s="706"/>
      <c r="F716" s="267"/>
      <c r="G716" s="206"/>
      <c r="H716" s="268"/>
      <c r="I716" s="501"/>
      <c r="J716" s="554"/>
      <c r="K716" s="552">
        <f t="shared" si="45"/>
        <v>0</v>
      </c>
      <c r="L716" s="217"/>
      <c r="M716" s="211">
        <f t="shared" si="44"/>
        <v>-46136</v>
      </c>
      <c r="N716" s="683">
        <f t="shared" si="46"/>
        <v>7</v>
      </c>
      <c r="O716" s="212"/>
      <c r="P716" s="544"/>
      <c r="Q716" s="561">
        <f t="shared" si="47"/>
        <v>0</v>
      </c>
      <c r="R716" s="58"/>
      <c r="S716" s="58"/>
      <c r="T716" s="58"/>
      <c r="U716" s="58"/>
      <c r="V716" s="58"/>
    </row>
    <row r="717" spans="1:22" ht="15.75" customHeight="1">
      <c r="A717" s="468" t="s">
        <v>348</v>
      </c>
      <c r="B717" s="204" t="s">
        <v>184</v>
      </c>
      <c r="C717" s="527"/>
      <c r="D717" s="267"/>
      <c r="E717" s="706"/>
      <c r="F717" s="267"/>
      <c r="G717" s="206"/>
      <c r="H717" s="268"/>
      <c r="I717" s="501"/>
      <c r="J717" s="554"/>
      <c r="K717" s="552">
        <f t="shared" si="45"/>
        <v>0</v>
      </c>
      <c r="L717" s="217"/>
      <c r="M717" s="211">
        <f t="shared" si="44"/>
        <v>-46136</v>
      </c>
      <c r="N717" s="683">
        <f t="shared" si="46"/>
        <v>7</v>
      </c>
      <c r="O717" s="212"/>
      <c r="P717" s="544"/>
      <c r="Q717" s="561">
        <f t="shared" si="47"/>
        <v>0</v>
      </c>
      <c r="R717" s="58"/>
      <c r="S717" s="58"/>
      <c r="T717" s="58"/>
      <c r="U717" s="58"/>
      <c r="V717" s="58"/>
    </row>
    <row r="718" spans="1:22" ht="15.75" customHeight="1">
      <c r="A718" s="468" t="s">
        <v>348</v>
      </c>
      <c r="B718" s="204" t="s">
        <v>184</v>
      </c>
      <c r="C718" s="527"/>
      <c r="D718" s="267"/>
      <c r="E718" s="706"/>
      <c r="F718" s="267"/>
      <c r="G718" s="206"/>
      <c r="H718" s="268"/>
      <c r="I718" s="503"/>
      <c r="J718" s="554"/>
      <c r="K718" s="552">
        <f t="shared" si="45"/>
        <v>0</v>
      </c>
      <c r="L718" s="217"/>
      <c r="M718" s="211">
        <f t="shared" si="44"/>
        <v>-46136</v>
      </c>
      <c r="N718" s="683">
        <f t="shared" si="46"/>
        <v>7</v>
      </c>
      <c r="O718" s="212"/>
      <c r="P718" s="544"/>
      <c r="Q718" s="561">
        <f t="shared" si="47"/>
        <v>0</v>
      </c>
      <c r="R718" s="58"/>
      <c r="S718" s="58"/>
      <c r="T718" s="58"/>
      <c r="U718" s="58"/>
      <c r="V718" s="58"/>
    </row>
    <row r="719" spans="1:22" ht="15.75" customHeight="1">
      <c r="A719" s="468" t="s">
        <v>348</v>
      </c>
      <c r="B719" s="204" t="s">
        <v>184</v>
      </c>
      <c r="C719" s="527"/>
      <c r="D719" s="267"/>
      <c r="E719" s="706"/>
      <c r="F719" s="267"/>
      <c r="G719" s="206"/>
      <c r="H719" s="268"/>
      <c r="I719" s="503"/>
      <c r="J719" s="554"/>
      <c r="K719" s="552">
        <f t="shared" si="45"/>
        <v>0</v>
      </c>
      <c r="L719" s="217"/>
      <c r="M719" s="211">
        <f t="shared" si="44"/>
        <v>-46136</v>
      </c>
      <c r="N719" s="683">
        <f t="shared" si="46"/>
        <v>7</v>
      </c>
      <c r="O719" s="212"/>
      <c r="P719" s="544"/>
      <c r="Q719" s="561">
        <f t="shared" si="47"/>
        <v>0</v>
      </c>
      <c r="R719" s="58"/>
      <c r="S719" s="58"/>
      <c r="T719" s="58"/>
      <c r="U719" s="58"/>
      <c r="V719" s="58"/>
    </row>
    <row r="720" spans="1:22" ht="15.75" customHeight="1">
      <c r="A720" s="468" t="s">
        <v>348</v>
      </c>
      <c r="B720" s="204" t="s">
        <v>184</v>
      </c>
      <c r="C720" s="527"/>
      <c r="D720" s="267"/>
      <c r="E720" s="706"/>
      <c r="F720" s="267"/>
      <c r="G720" s="206"/>
      <c r="H720" s="268"/>
      <c r="I720" s="503"/>
      <c r="J720" s="554"/>
      <c r="K720" s="552">
        <f t="shared" si="45"/>
        <v>0</v>
      </c>
      <c r="L720" s="217"/>
      <c r="M720" s="211">
        <f t="shared" si="44"/>
        <v>-46136</v>
      </c>
      <c r="N720" s="683">
        <f t="shared" si="46"/>
        <v>7</v>
      </c>
      <c r="O720" s="212"/>
      <c r="P720" s="544"/>
      <c r="Q720" s="561">
        <f t="shared" si="47"/>
        <v>0</v>
      </c>
      <c r="R720" s="58"/>
      <c r="S720" s="58"/>
      <c r="T720" s="58"/>
      <c r="U720" s="58"/>
      <c r="V720" s="58"/>
    </row>
    <row r="721" spans="1:22" ht="15.75" customHeight="1">
      <c r="A721" s="468" t="s">
        <v>348</v>
      </c>
      <c r="B721" s="204" t="s">
        <v>184</v>
      </c>
      <c r="C721" s="527"/>
      <c r="D721" s="205"/>
      <c r="E721" s="706"/>
      <c r="F721" s="267"/>
      <c r="G721" s="206"/>
      <c r="H721" s="214"/>
      <c r="I721" s="503"/>
      <c r="J721" s="554"/>
      <c r="K721" s="552">
        <f t="shared" si="45"/>
        <v>0</v>
      </c>
      <c r="L721" s="217"/>
      <c r="M721" s="211">
        <f t="shared" si="44"/>
        <v>-46136</v>
      </c>
      <c r="N721" s="683">
        <f t="shared" si="46"/>
        <v>7</v>
      </c>
      <c r="O721" s="212"/>
      <c r="P721" s="58"/>
      <c r="Q721" s="561">
        <f t="shared" si="47"/>
        <v>0</v>
      </c>
      <c r="R721" s="58"/>
      <c r="S721" s="58"/>
      <c r="T721" s="58"/>
      <c r="U721" s="58"/>
      <c r="V721" s="58"/>
    </row>
    <row r="722" spans="1:22" ht="15.75" customHeight="1">
      <c r="A722" s="468" t="s">
        <v>348</v>
      </c>
      <c r="B722" s="204" t="s">
        <v>184</v>
      </c>
      <c r="C722" s="527"/>
      <c r="D722" s="205"/>
      <c r="E722" s="706"/>
      <c r="F722" s="267"/>
      <c r="G722" s="206"/>
      <c r="H722" s="268"/>
      <c r="I722" s="501"/>
      <c r="J722" s="554"/>
      <c r="K722" s="552">
        <f t="shared" si="45"/>
        <v>0</v>
      </c>
      <c r="L722" s="217"/>
      <c r="M722" s="211">
        <f t="shared" si="44"/>
        <v>-46136</v>
      </c>
      <c r="N722" s="683">
        <f t="shared" si="46"/>
        <v>7</v>
      </c>
      <c r="O722" s="212"/>
      <c r="P722" s="544"/>
      <c r="Q722" s="561">
        <f t="shared" si="47"/>
        <v>0</v>
      </c>
      <c r="R722" s="58"/>
      <c r="S722" s="58"/>
      <c r="T722" s="58"/>
      <c r="U722" s="58"/>
      <c r="V722" s="58"/>
    </row>
    <row r="723" spans="1:22" ht="15.75" customHeight="1">
      <c r="A723" s="468" t="s">
        <v>348</v>
      </c>
      <c r="B723" s="204" t="s">
        <v>184</v>
      </c>
      <c r="C723" s="527"/>
      <c r="D723" s="205"/>
      <c r="E723" s="706"/>
      <c r="F723" s="267"/>
      <c r="G723" s="206"/>
      <c r="H723" s="268"/>
      <c r="I723" s="503"/>
      <c r="J723" s="554"/>
      <c r="K723" s="552">
        <f t="shared" si="45"/>
        <v>0</v>
      </c>
      <c r="L723" s="217"/>
      <c r="M723" s="211">
        <f t="shared" si="44"/>
        <v>-46136</v>
      </c>
      <c r="N723" s="683">
        <f t="shared" si="46"/>
        <v>7</v>
      </c>
      <c r="O723" s="212"/>
      <c r="P723" s="544"/>
      <c r="Q723" s="561">
        <f t="shared" si="47"/>
        <v>0</v>
      </c>
      <c r="R723" s="58"/>
      <c r="S723" s="58"/>
      <c r="T723" s="58"/>
      <c r="U723" s="58"/>
      <c r="V723" s="58"/>
    </row>
    <row r="724" spans="1:22" ht="15.75" customHeight="1">
      <c r="A724" s="468" t="s">
        <v>348</v>
      </c>
      <c r="B724" s="204" t="s">
        <v>184</v>
      </c>
      <c r="C724" s="527"/>
      <c r="D724" s="267"/>
      <c r="E724" s="706"/>
      <c r="F724" s="267"/>
      <c r="G724" s="206"/>
      <c r="H724" s="268"/>
      <c r="I724" s="503"/>
      <c r="J724" s="554"/>
      <c r="K724" s="552">
        <f t="shared" si="45"/>
        <v>0</v>
      </c>
      <c r="L724" s="217"/>
      <c r="M724" s="211">
        <f t="shared" si="44"/>
        <v>-46136</v>
      </c>
      <c r="N724" s="683">
        <f t="shared" si="46"/>
        <v>7</v>
      </c>
      <c r="O724" s="212"/>
      <c r="P724" s="544"/>
      <c r="Q724" s="561">
        <f t="shared" si="47"/>
        <v>0</v>
      </c>
      <c r="R724" s="58"/>
      <c r="S724" s="58"/>
      <c r="T724" s="58"/>
      <c r="U724" s="58"/>
      <c r="V724" s="58"/>
    </row>
    <row r="725" spans="1:22" ht="15.75" customHeight="1">
      <c r="A725" s="468" t="s">
        <v>348</v>
      </c>
      <c r="B725" s="204" t="s">
        <v>184</v>
      </c>
      <c r="C725" s="527"/>
      <c r="D725" s="205"/>
      <c r="E725" s="706"/>
      <c r="F725" s="205"/>
      <c r="G725" s="206"/>
      <c r="H725" s="268"/>
      <c r="I725" s="503"/>
      <c r="J725" s="554"/>
      <c r="K725" s="552">
        <f t="shared" si="45"/>
        <v>0</v>
      </c>
      <c r="L725" s="217"/>
      <c r="M725" s="211">
        <f t="shared" si="44"/>
        <v>-46136</v>
      </c>
      <c r="N725" s="683">
        <f t="shared" si="46"/>
        <v>7</v>
      </c>
      <c r="O725" s="212"/>
      <c r="P725" s="544"/>
      <c r="Q725" s="561">
        <f t="shared" si="47"/>
        <v>0</v>
      </c>
      <c r="R725" s="58"/>
      <c r="S725" s="58"/>
      <c r="T725" s="58"/>
      <c r="U725" s="58"/>
      <c r="V725" s="58"/>
    </row>
    <row r="726" spans="1:22" ht="15.75" customHeight="1">
      <c r="A726" s="468" t="s">
        <v>348</v>
      </c>
      <c r="B726" s="204" t="s">
        <v>184</v>
      </c>
      <c r="C726" s="527"/>
      <c r="D726" s="205"/>
      <c r="E726" s="706"/>
      <c r="F726" s="205"/>
      <c r="G726" s="206"/>
      <c r="H726" s="268"/>
      <c r="I726" s="501"/>
      <c r="J726" s="554"/>
      <c r="K726" s="552">
        <f t="shared" si="45"/>
        <v>0</v>
      </c>
      <c r="L726" s="217"/>
      <c r="M726" s="211">
        <f t="shared" si="44"/>
        <v>-46136</v>
      </c>
      <c r="N726" s="683">
        <f t="shared" si="46"/>
        <v>7</v>
      </c>
      <c r="O726" s="212"/>
      <c r="P726" s="544"/>
      <c r="Q726" s="561">
        <f t="shared" si="47"/>
        <v>0</v>
      </c>
      <c r="R726" s="58"/>
      <c r="S726" s="58"/>
      <c r="T726" s="58"/>
      <c r="U726" s="58"/>
      <c r="V726" s="58"/>
    </row>
    <row r="727" spans="1:22" ht="15.75" customHeight="1">
      <c r="A727" s="468" t="s">
        <v>348</v>
      </c>
      <c r="B727" s="204" t="s">
        <v>184</v>
      </c>
      <c r="C727" s="527"/>
      <c r="D727" s="205"/>
      <c r="E727" s="706"/>
      <c r="F727" s="205"/>
      <c r="G727" s="206"/>
      <c r="H727" s="268"/>
      <c r="I727" s="503"/>
      <c r="J727" s="554"/>
      <c r="K727" s="552">
        <f t="shared" si="45"/>
        <v>0</v>
      </c>
      <c r="L727" s="217"/>
      <c r="M727" s="211">
        <f t="shared" si="44"/>
        <v>-46136</v>
      </c>
      <c r="N727" s="683">
        <f t="shared" si="46"/>
        <v>7</v>
      </c>
      <c r="O727" s="212"/>
      <c r="P727" s="544"/>
      <c r="Q727" s="561">
        <f t="shared" si="47"/>
        <v>0</v>
      </c>
      <c r="R727" s="58"/>
      <c r="S727" s="58"/>
      <c r="T727" s="58"/>
      <c r="U727" s="58"/>
      <c r="V727" s="58"/>
    </row>
    <row r="728" spans="1:22" ht="15.75" customHeight="1">
      <c r="A728" s="468" t="s">
        <v>348</v>
      </c>
      <c r="B728" s="204" t="s">
        <v>184</v>
      </c>
      <c r="C728" s="527"/>
      <c r="D728" s="205"/>
      <c r="E728" s="706"/>
      <c r="F728" s="205"/>
      <c r="G728" s="206"/>
      <c r="H728" s="268"/>
      <c r="I728" s="503"/>
      <c r="J728" s="554"/>
      <c r="K728" s="552">
        <f t="shared" si="45"/>
        <v>0</v>
      </c>
      <c r="L728" s="217"/>
      <c r="M728" s="211">
        <f t="shared" si="44"/>
        <v>-46136</v>
      </c>
      <c r="N728" s="683">
        <f t="shared" si="46"/>
        <v>7</v>
      </c>
      <c r="O728" s="212"/>
      <c r="P728" s="544"/>
      <c r="Q728" s="561">
        <f t="shared" si="47"/>
        <v>0</v>
      </c>
      <c r="R728" s="58"/>
      <c r="S728" s="58"/>
      <c r="T728" s="58"/>
      <c r="U728" s="58"/>
      <c r="V728" s="58"/>
    </row>
    <row r="729" spans="1:22" ht="15.75" customHeight="1">
      <c r="A729" s="468" t="s">
        <v>348</v>
      </c>
      <c r="B729" s="204" t="s">
        <v>184</v>
      </c>
      <c r="C729" s="527"/>
      <c r="D729" s="269"/>
      <c r="E729" s="706"/>
      <c r="F729" s="188"/>
      <c r="G729" s="206"/>
      <c r="H729" s="268"/>
      <c r="I729" s="503"/>
      <c r="J729" s="554"/>
      <c r="K729" s="552">
        <f t="shared" si="45"/>
        <v>0</v>
      </c>
      <c r="L729" s="217"/>
      <c r="M729" s="211">
        <f t="shared" si="44"/>
        <v>-46136</v>
      </c>
      <c r="N729" s="683">
        <f t="shared" si="46"/>
        <v>7</v>
      </c>
      <c r="O729" s="212"/>
      <c r="P729" s="544"/>
      <c r="Q729" s="561">
        <f t="shared" si="47"/>
        <v>0</v>
      </c>
      <c r="R729" s="58"/>
      <c r="S729" s="58"/>
      <c r="T729" s="58"/>
      <c r="U729" s="58"/>
      <c r="V729" s="58"/>
    </row>
    <row r="730" spans="1:22" ht="15.75" customHeight="1">
      <c r="A730" s="468" t="s">
        <v>348</v>
      </c>
      <c r="B730" s="204" t="s">
        <v>184</v>
      </c>
      <c r="C730" s="527"/>
      <c r="D730" s="205"/>
      <c r="E730" s="706"/>
      <c r="F730" s="205"/>
      <c r="G730" s="206"/>
      <c r="H730" s="268"/>
      <c r="I730" s="501"/>
      <c r="J730" s="554"/>
      <c r="K730" s="552">
        <f t="shared" si="45"/>
        <v>0</v>
      </c>
      <c r="L730" s="217"/>
      <c r="M730" s="211">
        <f t="shared" si="44"/>
        <v>-46136</v>
      </c>
      <c r="N730" s="683">
        <f t="shared" si="46"/>
        <v>7</v>
      </c>
      <c r="O730" s="212"/>
      <c r="P730" s="544"/>
      <c r="Q730" s="561">
        <f t="shared" si="47"/>
        <v>0</v>
      </c>
      <c r="R730" s="58"/>
      <c r="S730" s="58"/>
      <c r="T730" s="58"/>
      <c r="U730" s="58"/>
      <c r="V730" s="58"/>
    </row>
    <row r="731" spans="1:22" ht="15.75" customHeight="1">
      <c r="A731" s="468" t="s">
        <v>348</v>
      </c>
      <c r="B731" s="204" t="s">
        <v>184</v>
      </c>
      <c r="C731" s="527"/>
      <c r="D731" s="502"/>
      <c r="E731" s="706"/>
      <c r="F731" s="502"/>
      <c r="G731" s="206"/>
      <c r="H731" s="268"/>
      <c r="I731" s="501"/>
      <c r="J731" s="554"/>
      <c r="K731" s="552">
        <f t="shared" si="45"/>
        <v>0</v>
      </c>
      <c r="L731" s="217"/>
      <c r="M731" s="211">
        <f t="shared" si="44"/>
        <v>-46136</v>
      </c>
      <c r="N731" s="683">
        <f t="shared" si="46"/>
        <v>7</v>
      </c>
      <c r="O731" s="212"/>
      <c r="P731" s="544"/>
      <c r="Q731" s="561">
        <f t="shared" si="47"/>
        <v>0</v>
      </c>
      <c r="R731" s="58"/>
      <c r="S731" s="58"/>
      <c r="T731" s="58"/>
      <c r="U731" s="58"/>
      <c r="V731" s="58"/>
    </row>
    <row r="732" spans="1:22" ht="15.75" customHeight="1">
      <c r="A732" s="468" t="s">
        <v>348</v>
      </c>
      <c r="B732" s="204" t="s">
        <v>184</v>
      </c>
      <c r="C732" s="527"/>
      <c r="D732" s="267"/>
      <c r="E732" s="706"/>
      <c r="F732" s="267"/>
      <c r="G732" s="206"/>
      <c r="H732" s="268"/>
      <c r="I732" s="503"/>
      <c r="J732" s="554"/>
      <c r="K732" s="552">
        <f t="shared" si="45"/>
        <v>0</v>
      </c>
      <c r="L732" s="217"/>
      <c r="M732" s="211">
        <f t="shared" si="44"/>
        <v>-46136</v>
      </c>
      <c r="N732" s="683">
        <f t="shared" si="46"/>
        <v>7</v>
      </c>
      <c r="O732" s="212"/>
      <c r="P732" s="544"/>
      <c r="Q732" s="561">
        <f t="shared" si="47"/>
        <v>0</v>
      </c>
      <c r="R732" s="58"/>
      <c r="S732" s="58"/>
      <c r="T732" s="58"/>
      <c r="U732" s="58"/>
      <c r="V732" s="58"/>
    </row>
    <row r="733" spans="1:22" ht="15.75" customHeight="1">
      <c r="A733" s="468" t="s">
        <v>348</v>
      </c>
      <c r="B733" s="204" t="s">
        <v>184</v>
      </c>
      <c r="C733" s="527"/>
      <c r="D733" s="267"/>
      <c r="E733" s="706"/>
      <c r="F733" s="267"/>
      <c r="G733" s="206"/>
      <c r="H733" s="268"/>
      <c r="I733" s="501"/>
      <c r="J733" s="554"/>
      <c r="K733" s="552">
        <f t="shared" si="45"/>
        <v>0</v>
      </c>
      <c r="L733" s="217"/>
      <c r="M733" s="211">
        <f t="shared" si="44"/>
        <v>-46136</v>
      </c>
      <c r="N733" s="683">
        <f t="shared" si="46"/>
        <v>7</v>
      </c>
      <c r="O733" s="212"/>
      <c r="P733" s="544"/>
      <c r="Q733" s="561">
        <f t="shared" si="47"/>
        <v>0</v>
      </c>
      <c r="R733" s="58"/>
      <c r="S733" s="58"/>
      <c r="T733" s="58"/>
      <c r="U733" s="58"/>
      <c r="V733" s="58"/>
    </row>
    <row r="734" spans="1:22" ht="15.75" customHeight="1">
      <c r="A734" s="468" t="s">
        <v>348</v>
      </c>
      <c r="B734" s="204" t="s">
        <v>184</v>
      </c>
      <c r="C734" s="527"/>
      <c r="D734" s="267"/>
      <c r="E734" s="706"/>
      <c r="F734" s="267"/>
      <c r="G734" s="206"/>
      <c r="H734" s="268"/>
      <c r="I734" s="503"/>
      <c r="J734" s="554"/>
      <c r="K734" s="552">
        <f t="shared" si="45"/>
        <v>0</v>
      </c>
      <c r="L734" s="217"/>
      <c r="M734" s="211">
        <f t="shared" si="44"/>
        <v>-46136</v>
      </c>
      <c r="N734" s="683">
        <f t="shared" si="46"/>
        <v>7</v>
      </c>
      <c r="O734" s="212"/>
      <c r="P734" s="544"/>
      <c r="Q734" s="561">
        <f t="shared" si="47"/>
        <v>0</v>
      </c>
      <c r="R734" s="58"/>
      <c r="S734" s="58"/>
      <c r="T734" s="58"/>
      <c r="U734" s="58"/>
      <c r="V734" s="58"/>
    </row>
    <row r="735" spans="1:22" ht="15.75" customHeight="1">
      <c r="A735" s="468" t="s">
        <v>348</v>
      </c>
      <c r="B735" s="204" t="s">
        <v>184</v>
      </c>
      <c r="C735" s="527"/>
      <c r="D735" s="267"/>
      <c r="E735" s="706"/>
      <c r="F735" s="267"/>
      <c r="G735" s="206"/>
      <c r="H735" s="268"/>
      <c r="I735" s="501"/>
      <c r="J735" s="554"/>
      <c r="K735" s="552">
        <f t="shared" si="45"/>
        <v>0</v>
      </c>
      <c r="L735" s="217"/>
      <c r="M735" s="211">
        <f t="shared" si="44"/>
        <v>-46136</v>
      </c>
      <c r="N735" s="683">
        <f t="shared" si="46"/>
        <v>7</v>
      </c>
      <c r="O735" s="212"/>
      <c r="P735" s="544"/>
      <c r="Q735" s="561">
        <f t="shared" si="47"/>
        <v>0</v>
      </c>
      <c r="R735" s="58"/>
      <c r="S735" s="58"/>
      <c r="T735" s="58"/>
      <c r="U735" s="58"/>
      <c r="V735" s="58"/>
    </row>
    <row r="736" spans="1:22" ht="15.75" customHeight="1">
      <c r="A736" s="468" t="s">
        <v>348</v>
      </c>
      <c r="B736" s="204" t="s">
        <v>184</v>
      </c>
      <c r="C736" s="527"/>
      <c r="D736" s="215"/>
      <c r="E736" s="706"/>
      <c r="F736" s="215"/>
      <c r="G736" s="206"/>
      <c r="H736" s="214"/>
      <c r="I736" s="503"/>
      <c r="J736" s="554"/>
      <c r="K736" s="552">
        <f t="shared" si="45"/>
        <v>0</v>
      </c>
      <c r="L736" s="217"/>
      <c r="M736" s="211">
        <f t="shared" si="44"/>
        <v>-46136</v>
      </c>
      <c r="N736" s="683">
        <f t="shared" si="46"/>
        <v>7</v>
      </c>
      <c r="O736" s="212"/>
      <c r="P736" s="544"/>
      <c r="Q736" s="561">
        <f t="shared" si="47"/>
        <v>0</v>
      </c>
      <c r="R736" s="58"/>
      <c r="S736" s="58"/>
      <c r="T736" s="58"/>
      <c r="U736" s="58"/>
      <c r="V736" s="58"/>
    </row>
    <row r="737" spans="1:22" ht="15.75" customHeight="1">
      <c r="A737" s="468" t="s">
        <v>348</v>
      </c>
      <c r="B737" s="204" t="s">
        <v>184</v>
      </c>
      <c r="C737" s="527"/>
      <c r="D737" s="215"/>
      <c r="E737" s="706"/>
      <c r="F737" s="205"/>
      <c r="G737" s="206"/>
      <c r="H737" s="214"/>
      <c r="I737" s="501"/>
      <c r="J737" s="554"/>
      <c r="K737" s="552">
        <f t="shared" si="45"/>
        <v>0</v>
      </c>
      <c r="L737" s="217"/>
      <c r="M737" s="211">
        <f t="shared" si="44"/>
        <v>-46136</v>
      </c>
      <c r="N737" s="683">
        <f t="shared" si="46"/>
        <v>7</v>
      </c>
      <c r="O737" s="212"/>
      <c r="P737" s="544"/>
      <c r="Q737" s="561">
        <f t="shared" si="47"/>
        <v>0</v>
      </c>
      <c r="R737" s="58"/>
      <c r="S737" s="58"/>
      <c r="T737" s="58"/>
      <c r="U737" s="58"/>
      <c r="V737" s="58"/>
    </row>
    <row r="738" spans="1:22" ht="15.75" customHeight="1">
      <c r="A738" s="468" t="s">
        <v>348</v>
      </c>
      <c r="B738" s="204" t="s">
        <v>184</v>
      </c>
      <c r="C738" s="527"/>
      <c r="D738" s="215"/>
      <c r="E738" s="706"/>
      <c r="F738" s="205"/>
      <c r="G738" s="206"/>
      <c r="H738" s="214"/>
      <c r="I738" s="501"/>
      <c r="J738" s="554"/>
      <c r="K738" s="552">
        <f t="shared" si="45"/>
        <v>0</v>
      </c>
      <c r="L738" s="217"/>
      <c r="M738" s="211">
        <f t="shared" si="44"/>
        <v>-46136</v>
      </c>
      <c r="N738" s="683">
        <f t="shared" si="46"/>
        <v>7</v>
      </c>
      <c r="O738" s="212"/>
      <c r="P738" s="544"/>
      <c r="Q738" s="561">
        <f t="shared" si="47"/>
        <v>0</v>
      </c>
      <c r="R738" s="58"/>
      <c r="S738" s="58"/>
      <c r="T738" s="58"/>
      <c r="U738" s="58"/>
      <c r="V738" s="58"/>
    </row>
    <row r="739" spans="1:22" ht="15.75" customHeight="1">
      <c r="A739" s="468" t="s">
        <v>348</v>
      </c>
      <c r="B739" s="204" t="s">
        <v>184</v>
      </c>
      <c r="C739" s="527"/>
      <c r="D739" s="215"/>
      <c r="E739" s="706"/>
      <c r="F739" s="205"/>
      <c r="G739" s="206"/>
      <c r="H739" s="214"/>
      <c r="I739" s="501"/>
      <c r="J739" s="554"/>
      <c r="K739" s="552">
        <f t="shared" si="45"/>
        <v>0</v>
      </c>
      <c r="L739" s="217"/>
      <c r="M739" s="211">
        <f t="shared" si="44"/>
        <v>-46136</v>
      </c>
      <c r="N739" s="683">
        <f t="shared" si="46"/>
        <v>7</v>
      </c>
      <c r="O739" s="212"/>
      <c r="P739" s="544"/>
      <c r="Q739" s="561">
        <f t="shared" si="47"/>
        <v>0</v>
      </c>
      <c r="R739" s="58"/>
      <c r="S739" s="58"/>
      <c r="T739" s="58"/>
      <c r="U739" s="58"/>
      <c r="V739" s="58"/>
    </row>
    <row r="740" spans="1:22" ht="15.75" customHeight="1">
      <c r="A740" s="468" t="s">
        <v>348</v>
      </c>
      <c r="B740" s="204" t="s">
        <v>184</v>
      </c>
      <c r="C740" s="527"/>
      <c r="D740" s="215"/>
      <c r="E740" s="706"/>
      <c r="F740" s="205"/>
      <c r="G740" s="206"/>
      <c r="H740" s="214"/>
      <c r="I740" s="503"/>
      <c r="J740" s="554"/>
      <c r="K740" s="552">
        <f t="shared" si="45"/>
        <v>0</v>
      </c>
      <c r="L740" s="217"/>
      <c r="M740" s="211">
        <f t="shared" si="44"/>
        <v>-46136</v>
      </c>
      <c r="N740" s="683">
        <f t="shared" si="46"/>
        <v>7</v>
      </c>
      <c r="O740" s="212"/>
      <c r="P740" s="544"/>
      <c r="Q740" s="561">
        <f t="shared" si="47"/>
        <v>0</v>
      </c>
      <c r="R740" s="58"/>
      <c r="S740" s="58"/>
      <c r="T740" s="58"/>
      <c r="U740" s="58"/>
      <c r="V740" s="58"/>
    </row>
    <row r="741" spans="1:22" ht="15.75" customHeight="1">
      <c r="A741" s="468" t="s">
        <v>348</v>
      </c>
      <c r="B741" s="204" t="s">
        <v>184</v>
      </c>
      <c r="C741" s="527"/>
      <c r="D741" s="215"/>
      <c r="E741" s="706"/>
      <c r="F741" s="205"/>
      <c r="G741" s="206"/>
      <c r="H741" s="214"/>
      <c r="I741" s="503"/>
      <c r="J741" s="554"/>
      <c r="K741" s="552">
        <f t="shared" si="45"/>
        <v>0</v>
      </c>
      <c r="L741" s="217"/>
      <c r="M741" s="211">
        <f t="shared" si="44"/>
        <v>-46136</v>
      </c>
      <c r="N741" s="683">
        <f t="shared" si="46"/>
        <v>7</v>
      </c>
      <c r="O741" s="212"/>
      <c r="P741" s="544"/>
      <c r="Q741" s="561">
        <f t="shared" si="47"/>
        <v>0</v>
      </c>
      <c r="R741" s="58"/>
      <c r="S741" s="58"/>
      <c r="T741" s="58"/>
      <c r="U741" s="58"/>
      <c r="V741" s="58"/>
    </row>
    <row r="742" spans="1:22" ht="15.75" customHeight="1">
      <c r="A742" s="468" t="s">
        <v>348</v>
      </c>
      <c r="B742" s="204" t="s">
        <v>184</v>
      </c>
      <c r="C742" s="527"/>
      <c r="D742" s="267"/>
      <c r="E742" s="706"/>
      <c r="F742" s="267"/>
      <c r="G742" s="206"/>
      <c r="H742" s="214"/>
      <c r="I742" s="501"/>
      <c r="J742" s="554"/>
      <c r="K742" s="552">
        <f t="shared" si="45"/>
        <v>0</v>
      </c>
      <c r="L742" s="217"/>
      <c r="M742" s="211">
        <f t="shared" si="44"/>
        <v>-46136</v>
      </c>
      <c r="N742" s="683">
        <f t="shared" si="46"/>
        <v>7</v>
      </c>
      <c r="O742" s="212"/>
      <c r="P742" s="544"/>
      <c r="Q742" s="561">
        <f t="shared" si="47"/>
        <v>0</v>
      </c>
      <c r="R742" s="58"/>
      <c r="S742" s="58"/>
      <c r="T742" s="58"/>
      <c r="U742" s="58"/>
      <c r="V742" s="58"/>
    </row>
    <row r="743" spans="1:22" ht="15.75" customHeight="1">
      <c r="A743" s="468" t="s">
        <v>348</v>
      </c>
      <c r="B743" s="204" t="s">
        <v>184</v>
      </c>
      <c r="C743" s="527"/>
      <c r="D743" s="215"/>
      <c r="E743" s="706"/>
      <c r="F743" s="205"/>
      <c r="G743" s="206"/>
      <c r="H743" s="214"/>
      <c r="I743" s="503"/>
      <c r="J743" s="554"/>
      <c r="K743" s="552">
        <f t="shared" si="45"/>
        <v>0</v>
      </c>
      <c r="L743" s="217"/>
      <c r="M743" s="211">
        <f t="shared" si="44"/>
        <v>-46136</v>
      </c>
      <c r="N743" s="683">
        <f t="shared" si="46"/>
        <v>7</v>
      </c>
      <c r="O743" s="212"/>
      <c r="P743" s="544"/>
      <c r="Q743" s="561">
        <f t="shared" si="47"/>
        <v>0</v>
      </c>
      <c r="R743" s="58"/>
      <c r="S743" s="58"/>
      <c r="T743" s="58"/>
      <c r="U743" s="58"/>
      <c r="V743" s="58"/>
    </row>
    <row r="744" spans="1:22" ht="15.75" customHeight="1">
      <c r="A744" s="468" t="s">
        <v>348</v>
      </c>
      <c r="B744" s="204" t="s">
        <v>184</v>
      </c>
      <c r="C744" s="527"/>
      <c r="D744" s="215"/>
      <c r="E744" s="706"/>
      <c r="F744" s="205"/>
      <c r="G744" s="206"/>
      <c r="H744" s="214"/>
      <c r="I744" s="503"/>
      <c r="J744" s="554"/>
      <c r="K744" s="552">
        <f t="shared" si="45"/>
        <v>0</v>
      </c>
      <c r="L744" s="217"/>
      <c r="M744" s="211">
        <f t="shared" si="44"/>
        <v>-46136</v>
      </c>
      <c r="N744" s="683">
        <f t="shared" si="46"/>
        <v>7</v>
      </c>
      <c r="O744" s="212"/>
      <c r="P744" s="544"/>
      <c r="Q744" s="561">
        <f t="shared" si="47"/>
        <v>0</v>
      </c>
      <c r="R744" s="58"/>
      <c r="S744" s="58"/>
      <c r="T744" s="58"/>
      <c r="U744" s="58"/>
      <c r="V744" s="58"/>
    </row>
    <row r="745" spans="1:22" ht="15.75" customHeight="1">
      <c r="A745" s="468" t="s">
        <v>348</v>
      </c>
      <c r="B745" s="204" t="s">
        <v>184</v>
      </c>
      <c r="C745" s="527"/>
      <c r="D745" s="215"/>
      <c r="E745" s="706"/>
      <c r="F745" s="205"/>
      <c r="G745" s="206"/>
      <c r="H745" s="214"/>
      <c r="I745" s="501"/>
      <c r="J745" s="554"/>
      <c r="K745" s="552">
        <f t="shared" si="45"/>
        <v>0</v>
      </c>
      <c r="L745" s="217"/>
      <c r="M745" s="211">
        <f t="shared" si="44"/>
        <v>-46136</v>
      </c>
      <c r="N745" s="683">
        <f t="shared" si="46"/>
        <v>7</v>
      </c>
      <c r="O745" s="212"/>
      <c r="P745" s="544"/>
      <c r="Q745" s="561">
        <f t="shared" si="47"/>
        <v>0</v>
      </c>
      <c r="R745" s="58"/>
      <c r="S745" s="58"/>
      <c r="T745" s="58"/>
      <c r="U745" s="58"/>
      <c r="V745" s="58"/>
    </row>
    <row r="746" spans="1:22" ht="15.75" customHeight="1">
      <c r="A746" s="468" t="s">
        <v>348</v>
      </c>
      <c r="B746" s="204" t="s">
        <v>184</v>
      </c>
      <c r="C746" s="527"/>
      <c r="D746" s="215"/>
      <c r="E746" s="706"/>
      <c r="F746" s="205"/>
      <c r="G746" s="206"/>
      <c r="H746" s="214"/>
      <c r="I746" s="501"/>
      <c r="J746" s="554"/>
      <c r="K746" s="552">
        <f t="shared" si="45"/>
        <v>0</v>
      </c>
      <c r="L746" s="217"/>
      <c r="M746" s="211">
        <f t="shared" si="44"/>
        <v>-46136</v>
      </c>
      <c r="N746" s="683">
        <f t="shared" si="46"/>
        <v>7</v>
      </c>
      <c r="O746" s="212"/>
      <c r="P746" s="544"/>
      <c r="Q746" s="561">
        <f t="shared" si="47"/>
        <v>0</v>
      </c>
      <c r="R746" s="58"/>
      <c r="S746" s="58"/>
      <c r="T746" s="58"/>
      <c r="U746" s="58"/>
      <c r="V746" s="58"/>
    </row>
    <row r="747" spans="1:22" ht="15.75" customHeight="1">
      <c r="A747" s="468" t="s">
        <v>348</v>
      </c>
      <c r="B747" s="204" t="s">
        <v>184</v>
      </c>
      <c r="C747" s="527"/>
      <c r="D747" s="215"/>
      <c r="E747" s="706"/>
      <c r="F747" s="205"/>
      <c r="G747" s="206"/>
      <c r="H747" s="214"/>
      <c r="I747" s="501"/>
      <c r="J747" s="554"/>
      <c r="K747" s="552">
        <f t="shared" si="45"/>
        <v>0</v>
      </c>
      <c r="L747" s="217"/>
      <c r="M747" s="211">
        <f t="shared" si="44"/>
        <v>-46136</v>
      </c>
      <c r="N747" s="683">
        <f t="shared" si="46"/>
        <v>7</v>
      </c>
      <c r="O747" s="212"/>
      <c r="P747" s="544"/>
      <c r="Q747" s="561">
        <f t="shared" si="47"/>
        <v>0</v>
      </c>
      <c r="R747" s="58"/>
      <c r="S747" s="58"/>
      <c r="T747" s="58"/>
      <c r="U747" s="58"/>
      <c r="V747" s="58"/>
    </row>
    <row r="748" spans="1:22" ht="15.75" customHeight="1">
      <c r="A748" s="468" t="s">
        <v>348</v>
      </c>
      <c r="B748" s="204" t="s">
        <v>184</v>
      </c>
      <c r="C748" s="527"/>
      <c r="D748" s="215"/>
      <c r="E748" s="706"/>
      <c r="F748" s="205"/>
      <c r="G748" s="206"/>
      <c r="H748" s="214"/>
      <c r="I748" s="501"/>
      <c r="J748" s="554"/>
      <c r="K748" s="552">
        <f t="shared" si="45"/>
        <v>0</v>
      </c>
      <c r="L748" s="217"/>
      <c r="M748" s="211">
        <f t="shared" si="44"/>
        <v>-46136</v>
      </c>
      <c r="N748" s="683">
        <f t="shared" si="46"/>
        <v>7</v>
      </c>
      <c r="O748" s="212"/>
      <c r="P748" s="544"/>
      <c r="Q748" s="561">
        <f t="shared" si="47"/>
        <v>0</v>
      </c>
      <c r="R748" s="58"/>
      <c r="S748" s="58"/>
      <c r="T748" s="58"/>
      <c r="U748" s="58"/>
      <c r="V748" s="58"/>
    </row>
    <row r="749" spans="1:22" ht="15.75" customHeight="1">
      <c r="A749" s="468" t="s">
        <v>348</v>
      </c>
      <c r="B749" s="204" t="s">
        <v>184</v>
      </c>
      <c r="C749" s="527"/>
      <c r="D749" s="215"/>
      <c r="E749" s="706"/>
      <c r="F749" s="205"/>
      <c r="G749" s="206"/>
      <c r="H749" s="214"/>
      <c r="I749" s="502"/>
      <c r="J749" s="554"/>
      <c r="K749" s="552">
        <f t="shared" si="45"/>
        <v>0</v>
      </c>
      <c r="L749" s="217"/>
      <c r="M749" s="211">
        <f t="shared" si="44"/>
        <v>-46136</v>
      </c>
      <c r="N749" s="683">
        <f t="shared" si="46"/>
        <v>7</v>
      </c>
      <c r="O749" s="212"/>
      <c r="P749" s="544"/>
      <c r="Q749" s="561">
        <f t="shared" si="47"/>
        <v>0</v>
      </c>
      <c r="R749" s="58"/>
      <c r="S749" s="58"/>
      <c r="T749" s="58"/>
      <c r="U749" s="58"/>
      <c r="V749" s="58"/>
    </row>
    <row r="750" spans="1:22" ht="15.75" customHeight="1">
      <c r="A750" s="468" t="s">
        <v>348</v>
      </c>
      <c r="B750" s="204" t="s">
        <v>184</v>
      </c>
      <c r="C750" s="527"/>
      <c r="D750" s="215"/>
      <c r="E750" s="706"/>
      <c r="F750" s="205"/>
      <c r="G750" s="486"/>
      <c r="H750" s="214"/>
      <c r="I750" s="503"/>
      <c r="J750" s="554"/>
      <c r="K750" s="552">
        <f t="shared" si="45"/>
        <v>0</v>
      </c>
      <c r="L750" s="217"/>
      <c r="M750" s="211">
        <f t="shared" si="44"/>
        <v>-46136</v>
      </c>
      <c r="N750" s="683">
        <f t="shared" si="46"/>
        <v>7</v>
      </c>
      <c r="O750" s="212"/>
      <c r="P750" s="544"/>
      <c r="Q750" s="561">
        <f t="shared" si="47"/>
        <v>0</v>
      </c>
      <c r="R750" s="58"/>
      <c r="S750" s="58"/>
      <c r="T750" s="58"/>
      <c r="U750" s="58"/>
      <c r="V750" s="58"/>
    </row>
    <row r="751" spans="1:22" ht="15.75" customHeight="1">
      <c r="A751" s="468" t="s">
        <v>348</v>
      </c>
      <c r="B751" s="204" t="s">
        <v>184</v>
      </c>
      <c r="C751" s="527"/>
      <c r="D751" s="267"/>
      <c r="E751" s="706"/>
      <c r="F751" s="188"/>
      <c r="G751" s="206"/>
      <c r="H751" s="214"/>
      <c r="I751" s="503"/>
      <c r="J751" s="554"/>
      <c r="K751" s="552">
        <f t="shared" si="45"/>
        <v>0</v>
      </c>
      <c r="L751" s="217"/>
      <c r="M751" s="211">
        <f t="shared" si="44"/>
        <v>-46136</v>
      </c>
      <c r="N751" s="683">
        <f t="shared" si="46"/>
        <v>7</v>
      </c>
      <c r="O751" s="212"/>
      <c r="P751" s="544"/>
      <c r="Q751" s="561">
        <f t="shared" si="47"/>
        <v>0</v>
      </c>
      <c r="R751" s="58"/>
      <c r="S751" s="58"/>
      <c r="T751" s="58"/>
      <c r="U751" s="58"/>
      <c r="V751" s="58"/>
    </row>
    <row r="752" spans="1:22" ht="15.75" customHeight="1">
      <c r="A752" s="468" t="s">
        <v>348</v>
      </c>
      <c r="B752" s="204" t="s">
        <v>184</v>
      </c>
      <c r="C752" s="527"/>
      <c r="D752" s="267"/>
      <c r="E752" s="706"/>
      <c r="F752" s="267"/>
      <c r="G752" s="206"/>
      <c r="H752" s="214"/>
      <c r="I752" s="503"/>
      <c r="J752" s="554"/>
      <c r="K752" s="552">
        <f t="shared" si="45"/>
        <v>0</v>
      </c>
      <c r="L752" s="217"/>
      <c r="M752" s="211">
        <f t="shared" si="44"/>
        <v>-46136</v>
      </c>
      <c r="N752" s="683">
        <f t="shared" si="46"/>
        <v>7</v>
      </c>
      <c r="O752" s="212"/>
      <c r="P752" s="544"/>
      <c r="Q752" s="561">
        <f t="shared" si="47"/>
        <v>0</v>
      </c>
      <c r="R752" s="58"/>
      <c r="S752" s="58"/>
      <c r="T752" s="58"/>
      <c r="U752" s="58"/>
      <c r="V752" s="58"/>
    </row>
    <row r="753" spans="1:22" ht="15.75" customHeight="1">
      <c r="A753" s="468" t="s">
        <v>348</v>
      </c>
      <c r="B753" s="204" t="s">
        <v>184</v>
      </c>
      <c r="C753" s="527"/>
      <c r="D753" s="267"/>
      <c r="E753" s="706"/>
      <c r="F753" s="267"/>
      <c r="G753" s="206"/>
      <c r="H753" s="214"/>
      <c r="I753" s="503"/>
      <c r="J753" s="554"/>
      <c r="K753" s="552">
        <f t="shared" si="45"/>
        <v>0</v>
      </c>
      <c r="L753" s="217"/>
      <c r="M753" s="211">
        <f t="shared" si="44"/>
        <v>-46136</v>
      </c>
      <c r="N753" s="683">
        <f t="shared" si="46"/>
        <v>7</v>
      </c>
      <c r="O753" s="212"/>
      <c r="P753" s="544"/>
      <c r="Q753" s="561">
        <f t="shared" si="47"/>
        <v>0</v>
      </c>
      <c r="R753" s="58"/>
      <c r="S753" s="58"/>
      <c r="T753" s="58"/>
      <c r="U753" s="58"/>
      <c r="V753" s="58"/>
    </row>
    <row r="754" spans="1:22" ht="15.75" customHeight="1">
      <c r="A754" s="468" t="s">
        <v>348</v>
      </c>
      <c r="B754" s="204" t="s">
        <v>184</v>
      </c>
      <c r="C754" s="527"/>
      <c r="D754" s="267"/>
      <c r="E754" s="706"/>
      <c r="F754" s="267"/>
      <c r="G754" s="206"/>
      <c r="H754" s="214"/>
      <c r="I754" s="503"/>
      <c r="J754" s="554"/>
      <c r="K754" s="552">
        <f t="shared" si="45"/>
        <v>0</v>
      </c>
      <c r="L754" s="217"/>
      <c r="M754" s="211">
        <f t="shared" si="44"/>
        <v>-46136</v>
      </c>
      <c r="N754" s="683">
        <f t="shared" si="46"/>
        <v>7</v>
      </c>
      <c r="O754" s="212"/>
      <c r="P754" s="544"/>
      <c r="Q754" s="561">
        <f t="shared" si="47"/>
        <v>0</v>
      </c>
      <c r="R754" s="58"/>
      <c r="S754" s="58"/>
      <c r="T754" s="58"/>
      <c r="U754" s="58"/>
      <c r="V754" s="58"/>
    </row>
    <row r="755" spans="1:22" s="563" customFormat="1" ht="15.75" customHeight="1">
      <c r="A755" s="468" t="s">
        <v>348</v>
      </c>
      <c r="B755" s="204" t="s">
        <v>184</v>
      </c>
      <c r="C755" s="527"/>
      <c r="D755" s="267"/>
      <c r="E755" s="706"/>
      <c r="F755" s="267"/>
      <c r="G755" s="206"/>
      <c r="H755" s="214"/>
      <c r="I755" s="500"/>
      <c r="J755" s="555"/>
      <c r="K755" s="552">
        <f t="shared" si="45"/>
        <v>0</v>
      </c>
      <c r="L755" s="217"/>
      <c r="M755" s="211">
        <f t="shared" si="44"/>
        <v>-46136</v>
      </c>
      <c r="N755" s="683">
        <f t="shared" si="46"/>
        <v>7</v>
      </c>
      <c r="O755" s="212"/>
      <c r="P755" s="544"/>
      <c r="Q755" s="561">
        <f>+K755+J755</f>
        <v>0</v>
      </c>
      <c r="R755" s="223"/>
      <c r="S755" s="223"/>
      <c r="T755" s="223"/>
      <c r="U755" s="223"/>
      <c r="V755" s="223"/>
    </row>
    <row r="756" spans="1:22" s="563" customFormat="1" ht="15.75" customHeight="1">
      <c r="A756" s="468" t="s">
        <v>348</v>
      </c>
      <c r="B756" s="204" t="s">
        <v>184</v>
      </c>
      <c r="C756" s="527"/>
      <c r="D756" s="267"/>
      <c r="E756" s="706"/>
      <c r="F756" s="267"/>
      <c r="G756" s="206"/>
      <c r="H756" s="214"/>
      <c r="I756" s="500"/>
      <c r="J756" s="555"/>
      <c r="K756" s="552">
        <f t="shared" si="45"/>
        <v>0</v>
      </c>
      <c r="L756" s="217"/>
      <c r="M756" s="211">
        <f t="shared" si="44"/>
        <v>-46136</v>
      </c>
      <c r="N756" s="683">
        <f t="shared" si="46"/>
        <v>7</v>
      </c>
      <c r="O756" s="212"/>
      <c r="P756" s="544"/>
      <c r="Q756" s="561">
        <f t="shared" si="47"/>
        <v>0</v>
      </c>
      <c r="R756" s="223"/>
      <c r="S756" s="223"/>
      <c r="T756" s="223"/>
      <c r="U756" s="223"/>
      <c r="V756" s="223"/>
    </row>
    <row r="757" spans="1:22" s="563" customFormat="1" ht="15.75" customHeight="1">
      <c r="A757" s="468" t="s">
        <v>348</v>
      </c>
      <c r="B757" s="204" t="s">
        <v>184</v>
      </c>
      <c r="C757" s="527"/>
      <c r="D757" s="267"/>
      <c r="E757" s="706"/>
      <c r="F757" s="267"/>
      <c r="G757" s="206"/>
      <c r="H757" s="214"/>
      <c r="I757" s="500"/>
      <c r="J757" s="555"/>
      <c r="K757" s="552">
        <f t="shared" si="45"/>
        <v>0</v>
      </c>
      <c r="L757" s="217"/>
      <c r="M757" s="211">
        <f t="shared" si="44"/>
        <v>-46136</v>
      </c>
      <c r="N757" s="683">
        <f t="shared" si="46"/>
        <v>7</v>
      </c>
      <c r="O757" s="212"/>
      <c r="P757" s="544"/>
      <c r="Q757" s="561">
        <f t="shared" si="47"/>
        <v>0</v>
      </c>
      <c r="R757" s="223"/>
      <c r="S757" s="223"/>
      <c r="T757" s="223"/>
      <c r="U757" s="223"/>
      <c r="V757" s="223"/>
    </row>
    <row r="758" spans="1:22" s="563" customFormat="1" ht="15.75" customHeight="1">
      <c r="A758" s="468" t="s">
        <v>348</v>
      </c>
      <c r="B758" s="204" t="s">
        <v>184</v>
      </c>
      <c r="C758" s="527"/>
      <c r="D758" s="267"/>
      <c r="E758" s="706"/>
      <c r="F758" s="267"/>
      <c r="G758" s="206"/>
      <c r="H758" s="214"/>
      <c r="I758" s="500"/>
      <c r="J758" s="555"/>
      <c r="K758" s="552">
        <f t="shared" si="45"/>
        <v>0</v>
      </c>
      <c r="L758" s="217"/>
      <c r="M758" s="211">
        <f t="shared" si="44"/>
        <v>-46136</v>
      </c>
      <c r="N758" s="683">
        <f t="shared" si="46"/>
        <v>7</v>
      </c>
      <c r="O758" s="212"/>
      <c r="P758" s="544"/>
      <c r="Q758" s="561">
        <f t="shared" si="47"/>
        <v>0</v>
      </c>
      <c r="R758" s="223"/>
      <c r="S758" s="223"/>
      <c r="T758" s="223"/>
      <c r="U758" s="223"/>
      <c r="V758" s="223"/>
    </row>
    <row r="759" spans="1:22" s="563" customFormat="1" ht="15.75" customHeight="1">
      <c r="A759" s="468" t="s">
        <v>348</v>
      </c>
      <c r="B759" s="204" t="s">
        <v>184</v>
      </c>
      <c r="C759" s="527"/>
      <c r="D759" s="267"/>
      <c r="E759" s="706"/>
      <c r="F759" s="267"/>
      <c r="G759" s="206"/>
      <c r="H759" s="214"/>
      <c r="I759" s="501"/>
      <c r="J759" s="555"/>
      <c r="K759" s="552">
        <f t="shared" si="45"/>
        <v>0</v>
      </c>
      <c r="L759" s="217"/>
      <c r="M759" s="211">
        <f t="shared" si="44"/>
        <v>-46136</v>
      </c>
      <c r="N759" s="683">
        <f t="shared" si="46"/>
        <v>7</v>
      </c>
      <c r="O759" s="212"/>
      <c r="P759" s="544"/>
      <c r="Q759" s="561">
        <f t="shared" si="47"/>
        <v>0</v>
      </c>
      <c r="R759" s="223"/>
      <c r="S759" s="223"/>
      <c r="T759" s="223"/>
      <c r="U759" s="223"/>
      <c r="V759" s="223"/>
    </row>
    <row r="760" spans="1:22" s="563" customFormat="1" ht="15.75" customHeight="1">
      <c r="A760" s="468" t="s">
        <v>348</v>
      </c>
      <c r="B760" s="204" t="s">
        <v>184</v>
      </c>
      <c r="C760" s="527"/>
      <c r="D760" s="267"/>
      <c r="E760" s="706"/>
      <c r="F760" s="267"/>
      <c r="G760" s="206"/>
      <c r="H760" s="214"/>
      <c r="I760" s="500"/>
      <c r="J760" s="555"/>
      <c r="K760" s="552">
        <f t="shared" si="45"/>
        <v>0</v>
      </c>
      <c r="L760" s="217"/>
      <c r="M760" s="211">
        <f t="shared" si="44"/>
        <v>-46136</v>
      </c>
      <c r="N760" s="683">
        <f t="shared" si="46"/>
        <v>7</v>
      </c>
      <c r="O760" s="212"/>
      <c r="P760" s="544"/>
      <c r="Q760" s="561">
        <f t="shared" si="47"/>
        <v>0</v>
      </c>
      <c r="R760" s="223"/>
      <c r="S760" s="223"/>
      <c r="T760" s="223"/>
      <c r="U760" s="223"/>
      <c r="V760" s="223"/>
    </row>
    <row r="761" spans="1:22" s="563" customFormat="1" ht="15.75" customHeight="1">
      <c r="A761" s="468" t="s">
        <v>348</v>
      </c>
      <c r="B761" s="204" t="s">
        <v>184</v>
      </c>
      <c r="C761" s="527"/>
      <c r="D761" s="267"/>
      <c r="E761" s="706"/>
      <c r="F761" s="267"/>
      <c r="G761" s="206"/>
      <c r="H761" s="214"/>
      <c r="I761" s="500"/>
      <c r="J761" s="555"/>
      <c r="K761" s="552">
        <f t="shared" si="45"/>
        <v>0</v>
      </c>
      <c r="L761" s="217"/>
      <c r="M761" s="211">
        <f t="shared" si="44"/>
        <v>-46136</v>
      </c>
      <c r="N761" s="683">
        <f t="shared" si="46"/>
        <v>7</v>
      </c>
      <c r="O761" s="212"/>
      <c r="P761" s="544"/>
      <c r="Q761" s="561">
        <f t="shared" si="47"/>
        <v>0</v>
      </c>
      <c r="R761" s="223"/>
      <c r="S761" s="223"/>
      <c r="T761" s="223"/>
      <c r="U761" s="223"/>
      <c r="V761" s="223"/>
    </row>
    <row r="762" spans="1:22" s="563" customFormat="1" ht="15.75" customHeight="1">
      <c r="A762" s="468" t="s">
        <v>348</v>
      </c>
      <c r="B762" s="204" t="s">
        <v>184</v>
      </c>
      <c r="C762" s="527"/>
      <c r="D762" s="267"/>
      <c r="E762" s="706"/>
      <c r="F762" s="267"/>
      <c r="G762" s="206"/>
      <c r="H762" s="214"/>
      <c r="I762" s="500"/>
      <c r="J762" s="555"/>
      <c r="K762" s="552">
        <f t="shared" si="45"/>
        <v>0</v>
      </c>
      <c r="L762" s="217"/>
      <c r="M762" s="211">
        <f t="shared" si="44"/>
        <v>-46136</v>
      </c>
      <c r="N762" s="683">
        <f t="shared" si="46"/>
        <v>7</v>
      </c>
      <c r="O762" s="212"/>
      <c r="P762" s="544"/>
      <c r="Q762" s="561">
        <f t="shared" si="47"/>
        <v>0</v>
      </c>
      <c r="R762" s="223"/>
      <c r="S762" s="223"/>
      <c r="T762" s="223"/>
      <c r="U762" s="223"/>
      <c r="V762" s="223"/>
    </row>
    <row r="763" spans="1:22" s="563" customFormat="1" ht="15.75" customHeight="1">
      <c r="A763" s="468" t="s">
        <v>348</v>
      </c>
      <c r="B763" s="204" t="s">
        <v>184</v>
      </c>
      <c r="C763" s="527"/>
      <c r="D763" s="267"/>
      <c r="E763" s="706"/>
      <c r="F763" s="267"/>
      <c r="G763" s="206"/>
      <c r="H763" s="214"/>
      <c r="I763" s="500"/>
      <c r="J763" s="555"/>
      <c r="K763" s="552">
        <f t="shared" si="45"/>
        <v>0</v>
      </c>
      <c r="L763" s="217"/>
      <c r="M763" s="211">
        <f t="shared" si="44"/>
        <v>-46136</v>
      </c>
      <c r="N763" s="683">
        <f t="shared" si="46"/>
        <v>7</v>
      </c>
      <c r="O763" s="212"/>
      <c r="P763" s="544"/>
      <c r="Q763" s="561">
        <f t="shared" si="47"/>
        <v>0</v>
      </c>
      <c r="R763" s="223"/>
      <c r="S763" s="223"/>
      <c r="T763" s="223"/>
      <c r="U763" s="223"/>
      <c r="V763" s="223"/>
    </row>
    <row r="764" spans="1:22" s="563" customFormat="1" ht="15.75" customHeight="1">
      <c r="A764" s="468" t="s">
        <v>348</v>
      </c>
      <c r="B764" s="204" t="s">
        <v>184</v>
      </c>
      <c r="C764" s="527"/>
      <c r="D764" s="267"/>
      <c r="E764" s="706"/>
      <c r="F764" s="267"/>
      <c r="G764" s="206"/>
      <c r="H764" s="214"/>
      <c r="I764" s="500"/>
      <c r="J764" s="555"/>
      <c r="K764" s="552">
        <f t="shared" si="45"/>
        <v>0</v>
      </c>
      <c r="L764" s="217"/>
      <c r="M764" s="211">
        <f t="shared" si="44"/>
        <v>-46136</v>
      </c>
      <c r="N764" s="683">
        <f t="shared" si="46"/>
        <v>7</v>
      </c>
      <c r="O764" s="212"/>
      <c r="P764" s="544"/>
      <c r="Q764" s="561">
        <f t="shared" si="47"/>
        <v>0</v>
      </c>
      <c r="R764" s="223"/>
      <c r="S764" s="223"/>
      <c r="T764" s="223"/>
      <c r="U764" s="223"/>
      <c r="V764" s="223"/>
    </row>
    <row r="765" spans="1:22" s="563" customFormat="1" ht="15.75" customHeight="1">
      <c r="A765" s="468" t="s">
        <v>348</v>
      </c>
      <c r="B765" s="204" t="s">
        <v>184</v>
      </c>
      <c r="C765" s="527"/>
      <c r="D765" s="267"/>
      <c r="E765" s="706"/>
      <c r="F765" s="267"/>
      <c r="G765" s="206"/>
      <c r="H765" s="214"/>
      <c r="I765" s="500"/>
      <c r="J765" s="555"/>
      <c r="K765" s="552">
        <f t="shared" si="45"/>
        <v>0</v>
      </c>
      <c r="L765" s="217"/>
      <c r="M765" s="211">
        <f t="shared" si="44"/>
        <v>-46136</v>
      </c>
      <c r="N765" s="683">
        <f t="shared" si="46"/>
        <v>7</v>
      </c>
      <c r="O765" s="212"/>
      <c r="P765" s="544"/>
      <c r="Q765" s="561">
        <f t="shared" si="47"/>
        <v>0</v>
      </c>
      <c r="R765" s="223"/>
      <c r="S765" s="223"/>
      <c r="T765" s="223"/>
      <c r="U765" s="223"/>
      <c r="V765" s="223"/>
    </row>
    <row r="766" spans="1:22" s="563" customFormat="1" ht="15.75" customHeight="1">
      <c r="A766" s="468" t="s">
        <v>348</v>
      </c>
      <c r="B766" s="204" t="s">
        <v>184</v>
      </c>
      <c r="C766" s="527"/>
      <c r="D766" s="267"/>
      <c r="E766" s="706"/>
      <c r="F766" s="267"/>
      <c r="G766" s="206"/>
      <c r="H766" s="214"/>
      <c r="I766" s="500"/>
      <c r="J766" s="555"/>
      <c r="K766" s="552">
        <f t="shared" si="45"/>
        <v>0</v>
      </c>
      <c r="L766" s="217"/>
      <c r="M766" s="211">
        <f t="shared" si="44"/>
        <v>-46136</v>
      </c>
      <c r="N766" s="683">
        <f t="shared" si="46"/>
        <v>7</v>
      </c>
      <c r="O766" s="212"/>
      <c r="P766" s="544"/>
      <c r="Q766" s="561">
        <f t="shared" si="47"/>
        <v>0</v>
      </c>
      <c r="R766" s="223"/>
      <c r="S766" s="223"/>
      <c r="T766" s="223"/>
      <c r="U766" s="223"/>
      <c r="V766" s="223"/>
    </row>
    <row r="767" spans="1:22" s="563" customFormat="1" ht="15.75" customHeight="1">
      <c r="A767" s="468" t="s">
        <v>348</v>
      </c>
      <c r="B767" s="204" t="s">
        <v>184</v>
      </c>
      <c r="C767" s="527"/>
      <c r="D767" s="267"/>
      <c r="E767" s="706"/>
      <c r="F767" s="267"/>
      <c r="G767" s="206"/>
      <c r="H767" s="214"/>
      <c r="I767" s="500"/>
      <c r="J767" s="555"/>
      <c r="K767" s="552">
        <f t="shared" si="45"/>
        <v>0</v>
      </c>
      <c r="L767" s="217"/>
      <c r="M767" s="211">
        <f t="shared" si="44"/>
        <v>-46136</v>
      </c>
      <c r="N767" s="683">
        <f t="shared" si="46"/>
        <v>7</v>
      </c>
      <c r="O767" s="212"/>
      <c r="P767" s="544"/>
      <c r="Q767" s="561">
        <f t="shared" si="47"/>
        <v>0</v>
      </c>
      <c r="R767" s="223"/>
      <c r="S767" s="223"/>
      <c r="T767" s="223"/>
      <c r="U767" s="223"/>
      <c r="V767" s="223"/>
    </row>
    <row r="768" spans="1:22" s="563" customFormat="1" ht="15.75" customHeight="1">
      <c r="A768" s="468" t="s">
        <v>348</v>
      </c>
      <c r="B768" s="204" t="s">
        <v>184</v>
      </c>
      <c r="C768" s="527"/>
      <c r="D768" s="267"/>
      <c r="E768" s="706"/>
      <c r="F768" s="267"/>
      <c r="G768" s="206"/>
      <c r="H768" s="214"/>
      <c r="I768" s="502"/>
      <c r="J768" s="555"/>
      <c r="K768" s="552">
        <f t="shared" si="45"/>
        <v>0</v>
      </c>
      <c r="L768" s="217"/>
      <c r="M768" s="211">
        <f t="shared" si="44"/>
        <v>-46136</v>
      </c>
      <c r="N768" s="683">
        <f t="shared" si="46"/>
        <v>7</v>
      </c>
      <c r="O768" s="212"/>
      <c r="P768" s="544"/>
      <c r="Q768" s="561">
        <f t="shared" si="47"/>
        <v>0</v>
      </c>
      <c r="R768" s="223"/>
      <c r="S768" s="223"/>
      <c r="T768" s="223"/>
      <c r="U768" s="223"/>
      <c r="V768" s="223"/>
    </row>
    <row r="769" spans="1:22" s="563" customFormat="1" ht="15.75" customHeight="1">
      <c r="A769" s="468" t="s">
        <v>348</v>
      </c>
      <c r="B769" s="204" t="s">
        <v>184</v>
      </c>
      <c r="C769" s="527"/>
      <c r="D769" s="267"/>
      <c r="E769" s="706"/>
      <c r="F769" s="267"/>
      <c r="G769" s="206"/>
      <c r="H769" s="214"/>
      <c r="I769" s="500"/>
      <c r="J769" s="555"/>
      <c r="K769" s="552">
        <f t="shared" si="45"/>
        <v>0</v>
      </c>
      <c r="L769" s="217"/>
      <c r="M769" s="211">
        <f t="shared" si="44"/>
        <v>-46136</v>
      </c>
      <c r="N769" s="683">
        <f t="shared" si="46"/>
        <v>7</v>
      </c>
      <c r="O769" s="212"/>
      <c r="P769" s="544"/>
      <c r="Q769" s="561">
        <f t="shared" si="47"/>
        <v>0</v>
      </c>
      <c r="R769" s="223"/>
      <c r="S769" s="223"/>
      <c r="T769" s="223"/>
      <c r="U769" s="223"/>
      <c r="V769" s="223"/>
    </row>
    <row r="770" spans="1:22" s="563" customFormat="1" ht="15.75" customHeight="1">
      <c r="A770" s="468" t="s">
        <v>348</v>
      </c>
      <c r="B770" s="204" t="s">
        <v>184</v>
      </c>
      <c r="C770" s="527"/>
      <c r="D770" s="267"/>
      <c r="E770" s="706"/>
      <c r="F770" s="267"/>
      <c r="G770" s="206"/>
      <c r="H770" s="214"/>
      <c r="I770" s="500"/>
      <c r="J770" s="555"/>
      <c r="K770" s="552">
        <f t="shared" si="45"/>
        <v>0</v>
      </c>
      <c r="L770" s="217"/>
      <c r="M770" s="211">
        <f t="shared" si="44"/>
        <v>-46136</v>
      </c>
      <c r="N770" s="683">
        <f t="shared" si="46"/>
        <v>7</v>
      </c>
      <c r="O770" s="212"/>
      <c r="P770" s="544"/>
      <c r="Q770" s="561">
        <f t="shared" si="47"/>
        <v>0</v>
      </c>
      <c r="R770" s="223"/>
      <c r="S770" s="223"/>
      <c r="T770" s="223"/>
      <c r="U770" s="223"/>
      <c r="V770" s="223"/>
    </row>
    <row r="771" spans="1:22" s="563" customFormat="1" ht="15.75" customHeight="1">
      <c r="A771" s="468" t="s">
        <v>348</v>
      </c>
      <c r="B771" s="204" t="s">
        <v>184</v>
      </c>
      <c r="C771" s="527"/>
      <c r="D771" s="267"/>
      <c r="E771" s="706"/>
      <c r="F771" s="267"/>
      <c r="G771" s="206"/>
      <c r="H771" s="214"/>
      <c r="I771" s="500"/>
      <c r="J771" s="555"/>
      <c r="K771" s="552">
        <f t="shared" si="45"/>
        <v>0</v>
      </c>
      <c r="L771" s="217"/>
      <c r="M771" s="211">
        <f t="shared" si="44"/>
        <v>-46136</v>
      </c>
      <c r="N771" s="683">
        <f t="shared" si="46"/>
        <v>7</v>
      </c>
      <c r="O771" s="212"/>
      <c r="P771" s="544"/>
      <c r="Q771" s="561">
        <f t="shared" si="47"/>
        <v>0</v>
      </c>
      <c r="R771" s="223"/>
      <c r="S771" s="223"/>
      <c r="T771" s="223"/>
      <c r="U771" s="223"/>
      <c r="V771" s="223"/>
    </row>
    <row r="772" spans="1:22" s="563" customFormat="1" ht="15.75" customHeight="1">
      <c r="A772" s="468" t="s">
        <v>348</v>
      </c>
      <c r="B772" s="204" t="s">
        <v>184</v>
      </c>
      <c r="C772" s="527"/>
      <c r="D772" s="267"/>
      <c r="E772" s="706"/>
      <c r="F772" s="267"/>
      <c r="G772" s="206"/>
      <c r="H772" s="214"/>
      <c r="I772" s="500"/>
      <c r="J772" s="555"/>
      <c r="K772" s="552">
        <f t="shared" si="45"/>
        <v>0</v>
      </c>
      <c r="L772" s="217"/>
      <c r="M772" s="211">
        <f t="shared" si="44"/>
        <v>-46136</v>
      </c>
      <c r="N772" s="683">
        <f t="shared" si="46"/>
        <v>7</v>
      </c>
      <c r="O772" s="212"/>
      <c r="P772" s="544"/>
      <c r="Q772" s="561">
        <f t="shared" si="47"/>
        <v>0</v>
      </c>
      <c r="R772" s="223"/>
      <c r="S772" s="223"/>
      <c r="T772" s="223"/>
      <c r="U772" s="223"/>
      <c r="V772" s="223"/>
    </row>
    <row r="773" spans="1:22" s="563" customFormat="1" ht="15.75" customHeight="1">
      <c r="A773" s="468" t="s">
        <v>348</v>
      </c>
      <c r="B773" s="204" t="s">
        <v>184</v>
      </c>
      <c r="C773" s="527"/>
      <c r="D773" s="267"/>
      <c r="E773" s="706"/>
      <c r="F773" s="267"/>
      <c r="G773" s="206"/>
      <c r="H773" s="214"/>
      <c r="I773" s="500"/>
      <c r="J773" s="555"/>
      <c r="K773" s="552">
        <f t="shared" si="45"/>
        <v>0</v>
      </c>
      <c r="L773" s="217"/>
      <c r="M773" s="211">
        <f t="shared" si="44"/>
        <v>-46136</v>
      </c>
      <c r="N773" s="683">
        <f t="shared" si="46"/>
        <v>7</v>
      </c>
      <c r="O773" s="212"/>
      <c r="P773" s="544"/>
      <c r="Q773" s="561">
        <f t="shared" si="47"/>
        <v>0</v>
      </c>
      <c r="R773" s="223"/>
      <c r="S773" s="223"/>
      <c r="T773" s="223"/>
      <c r="U773" s="223"/>
      <c r="V773" s="223"/>
    </row>
    <row r="774" spans="1:22" s="563" customFormat="1" ht="15.75" customHeight="1">
      <c r="A774" s="468" t="s">
        <v>348</v>
      </c>
      <c r="B774" s="204" t="s">
        <v>184</v>
      </c>
      <c r="C774" s="527"/>
      <c r="D774" s="267"/>
      <c r="E774" s="706"/>
      <c r="F774" s="267"/>
      <c r="G774" s="206"/>
      <c r="H774" s="214"/>
      <c r="I774" s="500"/>
      <c r="J774" s="555"/>
      <c r="K774" s="552">
        <f t="shared" si="45"/>
        <v>0</v>
      </c>
      <c r="L774" s="217"/>
      <c r="M774" s="211">
        <f t="shared" si="44"/>
        <v>-46136</v>
      </c>
      <c r="N774" s="683">
        <f t="shared" si="46"/>
        <v>7</v>
      </c>
      <c r="O774" s="212"/>
      <c r="P774" s="544"/>
      <c r="Q774" s="561">
        <f t="shared" si="47"/>
        <v>0</v>
      </c>
      <c r="R774" s="223"/>
      <c r="S774" s="223"/>
      <c r="T774" s="223"/>
      <c r="U774" s="223"/>
      <c r="V774" s="223"/>
    </row>
    <row r="775" spans="1:22" s="563" customFormat="1" ht="15.75" customHeight="1">
      <c r="A775" s="468" t="s">
        <v>348</v>
      </c>
      <c r="B775" s="204" t="s">
        <v>184</v>
      </c>
      <c r="C775" s="527"/>
      <c r="D775" s="267"/>
      <c r="E775" s="706"/>
      <c r="F775" s="267"/>
      <c r="G775" s="206"/>
      <c r="H775" s="214"/>
      <c r="I775" s="696"/>
      <c r="J775" s="555"/>
      <c r="K775" s="552">
        <f t="shared" si="45"/>
        <v>0</v>
      </c>
      <c r="L775" s="217"/>
      <c r="M775" s="211">
        <f t="shared" si="44"/>
        <v>-46136</v>
      </c>
      <c r="N775" s="683">
        <f t="shared" si="46"/>
        <v>7</v>
      </c>
      <c r="O775" s="212"/>
      <c r="P775" s="544"/>
      <c r="Q775" s="561">
        <f t="shared" si="47"/>
        <v>0</v>
      </c>
      <c r="R775" s="223"/>
      <c r="S775" s="223"/>
      <c r="T775" s="223"/>
      <c r="U775" s="223"/>
      <c r="V775" s="223"/>
    </row>
    <row r="776" spans="1:22" s="563" customFormat="1" ht="15.75" customHeight="1">
      <c r="A776" s="468" t="s">
        <v>348</v>
      </c>
      <c r="B776" s="204" t="s">
        <v>184</v>
      </c>
      <c r="C776" s="711"/>
      <c r="D776" s="267"/>
      <c r="E776" s="706"/>
      <c r="F776" s="267"/>
      <c r="G776" s="206"/>
      <c r="H776" s="214"/>
      <c r="I776" s="696"/>
      <c r="J776" s="555"/>
      <c r="K776" s="552">
        <f t="shared" si="45"/>
        <v>0</v>
      </c>
      <c r="L776" s="217"/>
      <c r="M776" s="211">
        <f t="shared" si="44"/>
        <v>-46136</v>
      </c>
      <c r="N776" s="683">
        <f t="shared" si="46"/>
        <v>7</v>
      </c>
      <c r="O776" s="212"/>
      <c r="P776" s="544"/>
      <c r="Q776" s="561">
        <f t="shared" si="47"/>
        <v>0</v>
      </c>
      <c r="R776" s="223"/>
      <c r="S776" s="223"/>
      <c r="T776" s="223"/>
      <c r="U776" s="223"/>
      <c r="V776" s="223"/>
    </row>
    <row r="777" spans="1:22" s="563" customFormat="1" ht="15.75" customHeight="1">
      <c r="A777" s="468" t="s">
        <v>348</v>
      </c>
      <c r="B777" s="204" t="s">
        <v>184</v>
      </c>
      <c r="C777" s="527"/>
      <c r="D777" s="697"/>
      <c r="E777" s="706"/>
      <c r="F777" s="267"/>
      <c r="G777" s="206"/>
      <c r="H777" s="214"/>
      <c r="I777" s="517"/>
      <c r="J777" s="555"/>
      <c r="K777" s="552">
        <f t="shared" si="45"/>
        <v>0</v>
      </c>
      <c r="L777" s="217"/>
      <c r="M777" s="211">
        <f t="shared" ref="M777:M840" si="48">+L777-$E$6</f>
        <v>-46136</v>
      </c>
      <c r="N777" s="683">
        <f t="shared" si="46"/>
        <v>7</v>
      </c>
      <c r="O777" s="212"/>
      <c r="P777" s="544"/>
      <c r="Q777" s="561">
        <f t="shared" si="47"/>
        <v>0</v>
      </c>
      <c r="R777" s="223"/>
      <c r="S777" s="223"/>
      <c r="T777" s="223"/>
      <c r="U777" s="223"/>
      <c r="V777" s="223"/>
    </row>
    <row r="778" spans="1:22" s="563" customFormat="1" ht="15.75" customHeight="1">
      <c r="A778" s="468" t="s">
        <v>348</v>
      </c>
      <c r="B778" s="204" t="s">
        <v>184</v>
      </c>
      <c r="C778" s="527"/>
      <c r="D778" s="267"/>
      <c r="E778" s="706"/>
      <c r="F778" s="267"/>
      <c r="G778" s="206"/>
      <c r="H778" s="214"/>
      <c r="I778" s="517"/>
      <c r="J778" s="555"/>
      <c r="K778" s="552">
        <f t="shared" ref="K778:K841" si="49">-J778</f>
        <v>0</v>
      </c>
      <c r="L778" s="217"/>
      <c r="M778" s="211">
        <f t="shared" si="48"/>
        <v>-46136</v>
      </c>
      <c r="N778" s="683">
        <f t="shared" ref="N778:N841" si="50">+L778+7</f>
        <v>7</v>
      </c>
      <c r="O778" s="212"/>
      <c r="P778" s="544"/>
      <c r="Q778" s="561">
        <f t="shared" si="47"/>
        <v>0</v>
      </c>
      <c r="R778" s="223"/>
      <c r="S778" s="223"/>
      <c r="T778" s="223"/>
      <c r="U778" s="223"/>
      <c r="V778" s="223"/>
    </row>
    <row r="779" spans="1:22" s="563" customFormat="1" ht="15.75" customHeight="1">
      <c r="A779" s="468" t="s">
        <v>348</v>
      </c>
      <c r="B779" s="204" t="s">
        <v>184</v>
      </c>
      <c r="C779" s="527"/>
      <c r="D779" s="267"/>
      <c r="E779" s="706"/>
      <c r="F779" s="267"/>
      <c r="G779" s="206"/>
      <c r="H779" s="214"/>
      <c r="I779" s="517"/>
      <c r="J779" s="555"/>
      <c r="K779" s="552">
        <f t="shared" si="49"/>
        <v>0</v>
      </c>
      <c r="L779" s="217"/>
      <c r="M779" s="211">
        <f t="shared" si="48"/>
        <v>-46136</v>
      </c>
      <c r="N779" s="683">
        <f t="shared" si="50"/>
        <v>7</v>
      </c>
      <c r="O779" s="212"/>
      <c r="P779" s="544"/>
      <c r="Q779" s="561">
        <f t="shared" si="47"/>
        <v>0</v>
      </c>
      <c r="R779" s="223"/>
      <c r="S779" s="223"/>
      <c r="T779" s="223"/>
      <c r="U779" s="223"/>
      <c r="V779" s="223"/>
    </row>
    <row r="780" spans="1:22" s="563" customFormat="1" ht="15.75" customHeight="1">
      <c r="A780" s="468" t="s">
        <v>348</v>
      </c>
      <c r="B780" s="204" t="s">
        <v>184</v>
      </c>
      <c r="C780" s="527"/>
      <c r="D780" s="267"/>
      <c r="E780" s="706"/>
      <c r="F780" s="267"/>
      <c r="G780" s="206"/>
      <c r="H780" s="214"/>
      <c r="I780" s="517"/>
      <c r="J780" s="555"/>
      <c r="K780" s="552">
        <f t="shared" si="49"/>
        <v>0</v>
      </c>
      <c r="L780" s="217"/>
      <c r="M780" s="211">
        <f t="shared" si="48"/>
        <v>-46136</v>
      </c>
      <c r="N780" s="683">
        <f t="shared" si="50"/>
        <v>7</v>
      </c>
      <c r="O780" s="212"/>
      <c r="P780" s="544"/>
      <c r="Q780" s="561">
        <f t="shared" si="47"/>
        <v>0</v>
      </c>
      <c r="R780" s="223"/>
      <c r="S780" s="223"/>
      <c r="T780" s="223"/>
      <c r="U780" s="223"/>
      <c r="V780" s="223"/>
    </row>
    <row r="781" spans="1:22" s="563" customFormat="1" ht="15.75" customHeight="1">
      <c r="A781" s="468" t="s">
        <v>348</v>
      </c>
      <c r="B781" s="204" t="s">
        <v>184</v>
      </c>
      <c r="C781" s="527"/>
      <c r="D781" s="267"/>
      <c r="E781" s="706"/>
      <c r="F781" s="267"/>
      <c r="G781" s="206"/>
      <c r="H781" s="214"/>
      <c r="I781" s="500"/>
      <c r="J781" s="555"/>
      <c r="K781" s="552">
        <f t="shared" si="49"/>
        <v>0</v>
      </c>
      <c r="L781" s="217"/>
      <c r="M781" s="211">
        <f t="shared" si="48"/>
        <v>-46136</v>
      </c>
      <c r="N781" s="683">
        <f t="shared" si="50"/>
        <v>7</v>
      </c>
      <c r="O781" s="212"/>
      <c r="P781" s="544"/>
      <c r="Q781" s="561">
        <f>+K781+J781</f>
        <v>0</v>
      </c>
      <c r="R781" s="223"/>
      <c r="S781" s="223"/>
      <c r="T781" s="223"/>
      <c r="U781" s="223"/>
      <c r="V781" s="223"/>
    </row>
    <row r="782" spans="1:22" ht="15.75" customHeight="1">
      <c r="A782" s="468" t="s">
        <v>348</v>
      </c>
      <c r="B782" s="204" t="s">
        <v>184</v>
      </c>
      <c r="C782" s="527"/>
      <c r="D782" s="205"/>
      <c r="E782" s="706"/>
      <c r="F782" s="205"/>
      <c r="G782" s="206"/>
      <c r="H782" s="214"/>
      <c r="I782" s="503"/>
      <c r="J782" s="555"/>
      <c r="K782" s="552">
        <f t="shared" si="49"/>
        <v>0</v>
      </c>
      <c r="L782" s="217"/>
      <c r="M782" s="211">
        <f t="shared" si="48"/>
        <v>-46136</v>
      </c>
      <c r="N782" s="683">
        <f t="shared" si="50"/>
        <v>7</v>
      </c>
      <c r="O782" s="212"/>
      <c r="P782" s="544"/>
      <c r="Q782" s="561">
        <f t="shared" si="47"/>
        <v>0</v>
      </c>
      <c r="R782" s="58"/>
      <c r="S782" s="58"/>
      <c r="T782" s="58"/>
      <c r="U782" s="58"/>
      <c r="V782" s="58"/>
    </row>
    <row r="783" spans="1:22" ht="15.75" customHeight="1">
      <c r="A783" s="468" t="s">
        <v>348</v>
      </c>
      <c r="B783" s="204" t="s">
        <v>184</v>
      </c>
      <c r="C783" s="527"/>
      <c r="D783" s="205"/>
      <c r="E783" s="706"/>
      <c r="F783" s="205"/>
      <c r="G783" s="206"/>
      <c r="H783" s="214"/>
      <c r="I783" s="503"/>
      <c r="J783" s="555"/>
      <c r="K783" s="552">
        <f t="shared" si="49"/>
        <v>0</v>
      </c>
      <c r="L783" s="217"/>
      <c r="M783" s="211">
        <f t="shared" si="48"/>
        <v>-46136</v>
      </c>
      <c r="N783" s="683">
        <f t="shared" si="50"/>
        <v>7</v>
      </c>
      <c r="O783" s="212"/>
      <c r="P783" s="544"/>
      <c r="Q783" s="561">
        <f t="shared" si="47"/>
        <v>0</v>
      </c>
      <c r="R783" s="58"/>
      <c r="S783" s="58"/>
      <c r="T783" s="58"/>
      <c r="U783" s="58"/>
      <c r="V783" s="58"/>
    </row>
    <row r="784" spans="1:22" ht="15.75" customHeight="1">
      <c r="A784" s="468" t="s">
        <v>348</v>
      </c>
      <c r="B784" s="204" t="s">
        <v>184</v>
      </c>
      <c r="C784" s="527"/>
      <c r="D784" s="205"/>
      <c r="E784" s="706"/>
      <c r="F784" s="205"/>
      <c r="G784" s="206"/>
      <c r="H784" s="214"/>
      <c r="I784" s="503"/>
      <c r="J784" s="555"/>
      <c r="K784" s="552">
        <f t="shared" si="49"/>
        <v>0</v>
      </c>
      <c r="L784" s="217"/>
      <c r="M784" s="211">
        <f t="shared" si="48"/>
        <v>-46136</v>
      </c>
      <c r="N784" s="683">
        <f t="shared" si="50"/>
        <v>7</v>
      </c>
      <c r="O784" s="212"/>
      <c r="P784" s="544"/>
      <c r="Q784" s="561">
        <f t="shared" si="47"/>
        <v>0</v>
      </c>
      <c r="R784" s="58"/>
      <c r="S784" s="58"/>
      <c r="T784" s="58"/>
      <c r="U784" s="58"/>
      <c r="V784" s="58"/>
    </row>
    <row r="785" spans="1:22" ht="15.75" customHeight="1">
      <c r="A785" s="468" t="s">
        <v>348</v>
      </c>
      <c r="B785" s="204" t="s">
        <v>184</v>
      </c>
      <c r="C785" s="527"/>
      <c r="D785" s="205"/>
      <c r="E785" s="706"/>
      <c r="F785" s="205"/>
      <c r="G785" s="206"/>
      <c r="H785" s="214"/>
      <c r="I785" s="503"/>
      <c r="J785" s="555"/>
      <c r="K785" s="552">
        <f t="shared" si="49"/>
        <v>0</v>
      </c>
      <c r="L785" s="217"/>
      <c r="M785" s="211">
        <f t="shared" si="48"/>
        <v>-46136</v>
      </c>
      <c r="N785" s="683">
        <f t="shared" si="50"/>
        <v>7</v>
      </c>
      <c r="O785" s="212"/>
      <c r="P785" s="544"/>
      <c r="Q785" s="561">
        <f t="shared" si="47"/>
        <v>0</v>
      </c>
      <c r="R785" s="58"/>
      <c r="S785" s="58"/>
      <c r="T785" s="58"/>
      <c r="U785" s="58"/>
      <c r="V785" s="58"/>
    </row>
    <row r="786" spans="1:22" ht="15.75" customHeight="1">
      <c r="A786" s="468" t="s">
        <v>348</v>
      </c>
      <c r="B786" s="204" t="s">
        <v>184</v>
      </c>
      <c r="C786" s="527"/>
      <c r="D786" s="205"/>
      <c r="E786" s="706"/>
      <c r="F786" s="205"/>
      <c r="G786" s="206"/>
      <c r="H786" s="214"/>
      <c r="I786" s="500"/>
      <c r="J786" s="555"/>
      <c r="K786" s="552">
        <f t="shared" si="49"/>
        <v>0</v>
      </c>
      <c r="L786" s="217"/>
      <c r="M786" s="211">
        <f t="shared" si="48"/>
        <v>-46136</v>
      </c>
      <c r="N786" s="683">
        <f t="shared" si="50"/>
        <v>7</v>
      </c>
      <c r="O786" s="212"/>
      <c r="P786" s="544"/>
      <c r="Q786" s="561">
        <f t="shared" si="47"/>
        <v>0</v>
      </c>
      <c r="R786" s="58"/>
      <c r="S786" s="58"/>
      <c r="T786" s="58"/>
      <c r="U786" s="58"/>
      <c r="V786" s="58"/>
    </row>
    <row r="787" spans="1:22" ht="15.75" customHeight="1">
      <c r="A787" s="468" t="s">
        <v>348</v>
      </c>
      <c r="B787" s="204" t="s">
        <v>184</v>
      </c>
      <c r="C787" s="527"/>
      <c r="D787" s="205"/>
      <c r="E787" s="706"/>
      <c r="F787" s="205"/>
      <c r="G787" s="206"/>
      <c r="H787" s="214"/>
      <c r="I787" s="500"/>
      <c r="J787" s="555"/>
      <c r="K787" s="552">
        <f t="shared" si="49"/>
        <v>0</v>
      </c>
      <c r="L787" s="217"/>
      <c r="M787" s="211">
        <f t="shared" si="48"/>
        <v>-46136</v>
      </c>
      <c r="N787" s="683">
        <f t="shared" si="50"/>
        <v>7</v>
      </c>
      <c r="O787" s="212"/>
      <c r="P787" s="544"/>
      <c r="Q787" s="561">
        <f t="shared" si="47"/>
        <v>0</v>
      </c>
      <c r="R787" s="58"/>
      <c r="S787" s="58"/>
      <c r="T787" s="58"/>
      <c r="U787" s="58"/>
      <c r="V787" s="58"/>
    </row>
    <row r="788" spans="1:22" ht="15.75" customHeight="1">
      <c r="A788" s="468" t="s">
        <v>348</v>
      </c>
      <c r="B788" s="204" t="s">
        <v>184</v>
      </c>
      <c r="C788" s="527"/>
      <c r="D788" s="205"/>
      <c r="E788" s="706"/>
      <c r="F788" s="205"/>
      <c r="G788" s="206"/>
      <c r="H788" s="214"/>
      <c r="I788" s="500"/>
      <c r="J788" s="555"/>
      <c r="K788" s="552">
        <f t="shared" si="49"/>
        <v>0</v>
      </c>
      <c r="L788" s="217"/>
      <c r="M788" s="211">
        <f t="shared" si="48"/>
        <v>-46136</v>
      </c>
      <c r="N788" s="683">
        <f t="shared" si="50"/>
        <v>7</v>
      </c>
      <c r="O788" s="212"/>
      <c r="P788" s="544"/>
      <c r="Q788" s="561">
        <f t="shared" si="47"/>
        <v>0</v>
      </c>
      <c r="R788" s="58"/>
      <c r="S788" s="58"/>
      <c r="T788" s="58"/>
      <c r="U788" s="58"/>
      <c r="V788" s="58"/>
    </row>
    <row r="789" spans="1:22" ht="15.75" customHeight="1">
      <c r="A789" s="468" t="s">
        <v>348</v>
      </c>
      <c r="B789" s="204" t="s">
        <v>184</v>
      </c>
      <c r="C789" s="527"/>
      <c r="D789" s="205"/>
      <c r="E789" s="706"/>
      <c r="F789" s="205"/>
      <c r="G789" s="206"/>
      <c r="H789" s="214"/>
      <c r="I789" s="502"/>
      <c r="J789" s="555"/>
      <c r="K789" s="552">
        <f t="shared" si="49"/>
        <v>0</v>
      </c>
      <c r="L789" s="217"/>
      <c r="M789" s="211">
        <f t="shared" si="48"/>
        <v>-46136</v>
      </c>
      <c r="N789" s="683">
        <f t="shared" si="50"/>
        <v>7</v>
      </c>
      <c r="O789" s="212"/>
      <c r="P789" s="544"/>
      <c r="Q789" s="561">
        <f t="shared" si="47"/>
        <v>0</v>
      </c>
      <c r="R789" s="58"/>
      <c r="S789" s="58"/>
      <c r="T789" s="58"/>
      <c r="U789" s="58"/>
      <c r="V789" s="58"/>
    </row>
    <row r="790" spans="1:22" ht="15.75" customHeight="1">
      <c r="A790" s="468" t="s">
        <v>348</v>
      </c>
      <c r="B790" s="204" t="s">
        <v>184</v>
      </c>
      <c r="C790" s="527"/>
      <c r="D790" s="205"/>
      <c r="E790" s="706"/>
      <c r="F790" s="205"/>
      <c r="G790" s="206"/>
      <c r="H790" s="214"/>
      <c r="I790" s="500"/>
      <c r="J790" s="555"/>
      <c r="K790" s="552">
        <f t="shared" si="49"/>
        <v>0</v>
      </c>
      <c r="L790" s="217"/>
      <c r="M790" s="211">
        <f t="shared" si="48"/>
        <v>-46136</v>
      </c>
      <c r="N790" s="683">
        <f t="shared" si="50"/>
        <v>7</v>
      </c>
      <c r="O790" s="212"/>
      <c r="P790" s="544"/>
      <c r="Q790" s="561">
        <f t="shared" si="47"/>
        <v>0</v>
      </c>
      <c r="R790" s="58"/>
      <c r="S790" s="58"/>
      <c r="T790" s="58"/>
      <c r="U790" s="58"/>
      <c r="V790" s="58"/>
    </row>
    <row r="791" spans="1:22" ht="15.75" customHeight="1">
      <c r="A791" s="468" t="s">
        <v>348</v>
      </c>
      <c r="B791" s="204" t="s">
        <v>184</v>
      </c>
      <c r="C791" s="527"/>
      <c r="D791" s="267"/>
      <c r="E791" s="706"/>
      <c r="F791" s="267"/>
      <c r="G791" s="206"/>
      <c r="H791" s="214"/>
      <c r="I791" s="500"/>
      <c r="J791" s="555"/>
      <c r="K791" s="552">
        <f t="shared" si="49"/>
        <v>0</v>
      </c>
      <c r="L791" s="217"/>
      <c r="M791" s="211">
        <f t="shared" si="48"/>
        <v>-46136</v>
      </c>
      <c r="N791" s="683">
        <f t="shared" si="50"/>
        <v>7</v>
      </c>
      <c r="O791" s="212"/>
      <c r="P791" s="544"/>
      <c r="Q791" s="561">
        <f t="shared" si="47"/>
        <v>0</v>
      </c>
      <c r="R791" s="58"/>
      <c r="S791" s="58"/>
      <c r="T791" s="58"/>
      <c r="U791" s="58"/>
      <c r="V791" s="58"/>
    </row>
    <row r="792" spans="1:22" ht="15.75" customHeight="1">
      <c r="A792" s="468" t="s">
        <v>348</v>
      </c>
      <c r="B792" s="204" t="s">
        <v>184</v>
      </c>
      <c r="C792" s="527"/>
      <c r="D792" s="267"/>
      <c r="E792" s="706"/>
      <c r="F792" s="267"/>
      <c r="G792" s="206"/>
      <c r="H792" s="214"/>
      <c r="I792" s="500"/>
      <c r="J792" s="555"/>
      <c r="K792" s="552">
        <f t="shared" si="49"/>
        <v>0</v>
      </c>
      <c r="L792" s="217"/>
      <c r="M792" s="211">
        <f t="shared" si="48"/>
        <v>-46136</v>
      </c>
      <c r="N792" s="683">
        <f t="shared" si="50"/>
        <v>7</v>
      </c>
      <c r="O792" s="212"/>
      <c r="P792" s="544"/>
      <c r="Q792" s="561">
        <f t="shared" si="47"/>
        <v>0</v>
      </c>
      <c r="R792" s="58"/>
      <c r="S792" s="58"/>
      <c r="T792" s="58"/>
      <c r="U792" s="58"/>
      <c r="V792" s="58"/>
    </row>
    <row r="793" spans="1:22" ht="15.75" customHeight="1">
      <c r="A793" s="468" t="s">
        <v>348</v>
      </c>
      <c r="B793" s="204" t="s">
        <v>184</v>
      </c>
      <c r="C793" s="527"/>
      <c r="D793" s="267"/>
      <c r="E793" s="706"/>
      <c r="F793" s="267"/>
      <c r="G793" s="206"/>
      <c r="H793" s="214"/>
      <c r="I793" s="500"/>
      <c r="J793" s="555"/>
      <c r="K793" s="552">
        <f t="shared" si="49"/>
        <v>0</v>
      </c>
      <c r="L793" s="217"/>
      <c r="M793" s="211">
        <f t="shared" si="48"/>
        <v>-46136</v>
      </c>
      <c r="N793" s="683">
        <f t="shared" si="50"/>
        <v>7</v>
      </c>
      <c r="O793" s="212"/>
      <c r="P793" s="544"/>
      <c r="Q793" s="561">
        <f t="shared" si="47"/>
        <v>0</v>
      </c>
      <c r="R793" s="58"/>
      <c r="S793" s="58"/>
      <c r="T793" s="58"/>
      <c r="U793" s="58"/>
      <c r="V793" s="58"/>
    </row>
    <row r="794" spans="1:22" ht="15.75" customHeight="1">
      <c r="A794" s="468" t="s">
        <v>348</v>
      </c>
      <c r="B794" s="204" t="s">
        <v>184</v>
      </c>
      <c r="C794" s="527"/>
      <c r="D794" s="267"/>
      <c r="E794" s="706"/>
      <c r="F794" s="267"/>
      <c r="G794" s="206"/>
      <c r="H794" s="214"/>
      <c r="I794" s="500"/>
      <c r="J794" s="555"/>
      <c r="K794" s="552">
        <f t="shared" si="49"/>
        <v>0</v>
      </c>
      <c r="L794" s="217"/>
      <c r="M794" s="211">
        <f t="shared" si="48"/>
        <v>-46136</v>
      </c>
      <c r="N794" s="683">
        <f t="shared" si="50"/>
        <v>7</v>
      </c>
      <c r="O794" s="212"/>
      <c r="P794" s="544"/>
      <c r="Q794" s="561">
        <f t="shared" si="47"/>
        <v>0</v>
      </c>
      <c r="R794" s="58"/>
      <c r="S794" s="58"/>
      <c r="T794" s="58"/>
      <c r="U794" s="58"/>
      <c r="V794" s="58"/>
    </row>
    <row r="795" spans="1:22" ht="15.75" customHeight="1">
      <c r="A795" s="468" t="s">
        <v>348</v>
      </c>
      <c r="B795" s="204" t="s">
        <v>184</v>
      </c>
      <c r="C795" s="527"/>
      <c r="D795" s="267"/>
      <c r="E795" s="706"/>
      <c r="F795" s="267"/>
      <c r="G795" s="206"/>
      <c r="H795" s="214"/>
      <c r="I795" s="500"/>
      <c r="J795" s="555"/>
      <c r="K795" s="552">
        <f t="shared" si="49"/>
        <v>0</v>
      </c>
      <c r="L795" s="217"/>
      <c r="M795" s="211">
        <f t="shared" si="48"/>
        <v>-46136</v>
      </c>
      <c r="N795" s="683">
        <f t="shared" si="50"/>
        <v>7</v>
      </c>
      <c r="O795" s="212"/>
      <c r="P795" s="544"/>
      <c r="Q795" s="561">
        <f t="shared" si="47"/>
        <v>0</v>
      </c>
      <c r="R795" s="58"/>
      <c r="S795" s="58"/>
      <c r="T795" s="58"/>
      <c r="U795" s="58"/>
      <c r="V795" s="58"/>
    </row>
    <row r="796" spans="1:22" ht="15.75" customHeight="1">
      <c r="A796" s="468" t="s">
        <v>348</v>
      </c>
      <c r="B796" s="204" t="s">
        <v>184</v>
      </c>
      <c r="C796" s="527"/>
      <c r="D796" s="712"/>
      <c r="E796" s="706"/>
      <c r="F796" s="712"/>
      <c r="G796" s="206"/>
      <c r="H796" s="214"/>
      <c r="I796" s="500"/>
      <c r="J796" s="555"/>
      <c r="K796" s="552">
        <f t="shared" si="49"/>
        <v>0</v>
      </c>
      <c r="L796" s="217"/>
      <c r="M796" s="211">
        <f t="shared" si="48"/>
        <v>-46136</v>
      </c>
      <c r="N796" s="683">
        <f t="shared" si="50"/>
        <v>7</v>
      </c>
      <c r="O796" s="212"/>
      <c r="P796" s="544"/>
      <c r="Q796" s="561">
        <f t="shared" si="47"/>
        <v>0</v>
      </c>
      <c r="R796" s="58"/>
      <c r="S796" s="58"/>
      <c r="T796" s="58"/>
      <c r="U796" s="58"/>
      <c r="V796" s="58"/>
    </row>
    <row r="797" spans="1:22" ht="15.75" customHeight="1">
      <c r="A797" s="468" t="s">
        <v>348</v>
      </c>
      <c r="B797" s="204" t="s">
        <v>184</v>
      </c>
      <c r="C797" s="527"/>
      <c r="D797" s="712"/>
      <c r="E797" s="706"/>
      <c r="F797" s="712"/>
      <c r="G797" s="206"/>
      <c r="H797" s="214"/>
      <c r="I797" s="500"/>
      <c r="J797" s="555"/>
      <c r="K797" s="552">
        <f t="shared" si="49"/>
        <v>0</v>
      </c>
      <c r="L797" s="217"/>
      <c r="M797" s="211">
        <f t="shared" si="48"/>
        <v>-46136</v>
      </c>
      <c r="N797" s="683">
        <f t="shared" si="50"/>
        <v>7</v>
      </c>
      <c r="O797" s="212"/>
      <c r="P797" s="544"/>
      <c r="Q797" s="561">
        <f t="shared" si="47"/>
        <v>0</v>
      </c>
      <c r="R797" s="58"/>
      <c r="S797" s="58"/>
      <c r="T797" s="58"/>
      <c r="U797" s="58"/>
      <c r="V797" s="58"/>
    </row>
    <row r="798" spans="1:22" ht="15.75" customHeight="1">
      <c r="A798" s="468" t="s">
        <v>348</v>
      </c>
      <c r="B798" s="204" t="s">
        <v>184</v>
      </c>
      <c r="C798" s="527"/>
      <c r="D798" s="712"/>
      <c r="E798" s="706"/>
      <c r="F798" s="712"/>
      <c r="G798" s="206"/>
      <c r="H798" s="214"/>
      <c r="I798" s="500"/>
      <c r="J798" s="555"/>
      <c r="K798" s="552">
        <f t="shared" si="49"/>
        <v>0</v>
      </c>
      <c r="L798" s="217"/>
      <c r="M798" s="211">
        <f t="shared" si="48"/>
        <v>-46136</v>
      </c>
      <c r="N798" s="683">
        <f t="shared" si="50"/>
        <v>7</v>
      </c>
      <c r="O798" s="212"/>
      <c r="P798" s="544"/>
      <c r="Q798" s="561">
        <f t="shared" si="47"/>
        <v>0</v>
      </c>
      <c r="R798" s="58"/>
      <c r="S798" s="58"/>
      <c r="T798" s="58"/>
      <c r="U798" s="58"/>
      <c r="V798" s="58"/>
    </row>
    <row r="799" spans="1:22" ht="15.75" customHeight="1">
      <c r="A799" s="468" t="s">
        <v>348</v>
      </c>
      <c r="B799" s="204" t="s">
        <v>184</v>
      </c>
      <c r="C799" s="527"/>
      <c r="D799" s="267"/>
      <c r="E799" s="706"/>
      <c r="F799" s="267"/>
      <c r="G799" s="206"/>
      <c r="H799" s="214"/>
      <c r="I799" s="500"/>
      <c r="J799" s="555"/>
      <c r="K799" s="552">
        <f t="shared" si="49"/>
        <v>0</v>
      </c>
      <c r="L799" s="217"/>
      <c r="M799" s="211">
        <f t="shared" si="48"/>
        <v>-46136</v>
      </c>
      <c r="N799" s="683">
        <f t="shared" si="50"/>
        <v>7</v>
      </c>
      <c r="O799" s="212"/>
      <c r="P799" s="544"/>
      <c r="Q799" s="561">
        <f t="shared" si="47"/>
        <v>0</v>
      </c>
      <c r="R799" s="58"/>
      <c r="S799" s="58"/>
      <c r="T799" s="58"/>
      <c r="U799" s="58"/>
      <c r="V799" s="58"/>
    </row>
    <row r="800" spans="1:22" ht="15.75" customHeight="1">
      <c r="A800" s="468" t="s">
        <v>348</v>
      </c>
      <c r="B800" s="204" t="s">
        <v>184</v>
      </c>
      <c r="C800" s="527"/>
      <c r="D800" s="267"/>
      <c r="E800" s="706"/>
      <c r="F800" s="267"/>
      <c r="G800" s="206"/>
      <c r="H800" s="214"/>
      <c r="I800" s="500"/>
      <c r="J800" s="555"/>
      <c r="K800" s="552">
        <f t="shared" si="49"/>
        <v>0</v>
      </c>
      <c r="L800" s="217"/>
      <c r="M800" s="211">
        <f t="shared" si="48"/>
        <v>-46136</v>
      </c>
      <c r="N800" s="683">
        <f t="shared" si="50"/>
        <v>7</v>
      </c>
      <c r="O800" s="212"/>
      <c r="P800" s="544"/>
      <c r="Q800" s="561">
        <f t="shared" si="47"/>
        <v>0</v>
      </c>
      <c r="R800" s="58"/>
      <c r="S800" s="58"/>
      <c r="T800" s="58"/>
      <c r="U800" s="58"/>
      <c r="V800" s="58"/>
    </row>
    <row r="801" spans="1:22" ht="15.75" customHeight="1">
      <c r="A801" s="468" t="s">
        <v>348</v>
      </c>
      <c r="B801" s="204" t="s">
        <v>184</v>
      </c>
      <c r="C801" s="527"/>
      <c r="D801" s="267"/>
      <c r="E801" s="706"/>
      <c r="F801" s="267"/>
      <c r="G801" s="206"/>
      <c r="H801" s="214"/>
      <c r="I801" s="500"/>
      <c r="J801" s="555"/>
      <c r="K801" s="552">
        <f t="shared" si="49"/>
        <v>0</v>
      </c>
      <c r="L801" s="217"/>
      <c r="M801" s="211">
        <f t="shared" si="48"/>
        <v>-46136</v>
      </c>
      <c r="N801" s="683">
        <f t="shared" si="50"/>
        <v>7</v>
      </c>
      <c r="O801" s="212"/>
      <c r="P801" s="544"/>
      <c r="Q801" s="561">
        <f t="shared" si="47"/>
        <v>0</v>
      </c>
      <c r="R801" s="58"/>
      <c r="S801" s="58"/>
      <c r="T801" s="58"/>
      <c r="U801" s="58"/>
      <c r="V801" s="58"/>
    </row>
    <row r="802" spans="1:22" ht="15.75" customHeight="1">
      <c r="A802" s="468" t="s">
        <v>348</v>
      </c>
      <c r="B802" s="204" t="s">
        <v>184</v>
      </c>
      <c r="C802" s="527"/>
      <c r="D802" s="267"/>
      <c r="E802" s="706"/>
      <c r="F802" s="267"/>
      <c r="G802" s="206"/>
      <c r="H802" s="214"/>
      <c r="I802" s="500"/>
      <c r="J802" s="555"/>
      <c r="K802" s="552">
        <f t="shared" si="49"/>
        <v>0</v>
      </c>
      <c r="L802" s="217"/>
      <c r="M802" s="211">
        <f t="shared" si="48"/>
        <v>-46136</v>
      </c>
      <c r="N802" s="683">
        <f t="shared" si="50"/>
        <v>7</v>
      </c>
      <c r="O802" s="212"/>
      <c r="P802" s="544"/>
      <c r="Q802" s="561">
        <f t="shared" si="47"/>
        <v>0</v>
      </c>
      <c r="R802" s="58"/>
      <c r="S802" s="58"/>
      <c r="T802" s="58"/>
      <c r="U802" s="58"/>
      <c r="V802" s="58"/>
    </row>
    <row r="803" spans="1:22" ht="15.75" customHeight="1">
      <c r="A803" s="468" t="s">
        <v>348</v>
      </c>
      <c r="B803" s="204" t="s">
        <v>184</v>
      </c>
      <c r="C803" s="527"/>
      <c r="D803" s="267"/>
      <c r="E803" s="706"/>
      <c r="F803" s="267"/>
      <c r="G803" s="206"/>
      <c r="H803" s="214"/>
      <c r="I803" s="500"/>
      <c r="J803" s="555"/>
      <c r="K803" s="552">
        <f t="shared" si="49"/>
        <v>0</v>
      </c>
      <c r="L803" s="217"/>
      <c r="M803" s="211">
        <f t="shared" si="48"/>
        <v>-46136</v>
      </c>
      <c r="N803" s="683">
        <f t="shared" si="50"/>
        <v>7</v>
      </c>
      <c r="O803" s="212"/>
      <c r="P803" s="544"/>
      <c r="Q803" s="561">
        <f t="shared" si="47"/>
        <v>0</v>
      </c>
      <c r="R803" s="58"/>
      <c r="S803" s="58"/>
      <c r="T803" s="58"/>
      <c r="U803" s="58"/>
      <c r="V803" s="58"/>
    </row>
    <row r="804" spans="1:22" ht="15.75" customHeight="1">
      <c r="A804" s="468" t="s">
        <v>348</v>
      </c>
      <c r="B804" s="204" t="s">
        <v>184</v>
      </c>
      <c r="C804" s="527"/>
      <c r="D804" s="267"/>
      <c r="E804" s="706"/>
      <c r="F804" s="712"/>
      <c r="G804" s="206"/>
      <c r="H804" s="214"/>
      <c r="I804" s="500"/>
      <c r="J804" s="555"/>
      <c r="K804" s="552">
        <f t="shared" si="49"/>
        <v>0</v>
      </c>
      <c r="L804" s="217"/>
      <c r="M804" s="211">
        <f t="shared" si="48"/>
        <v>-46136</v>
      </c>
      <c r="N804" s="683">
        <f t="shared" si="50"/>
        <v>7</v>
      </c>
      <c r="O804" s="212"/>
      <c r="P804" s="544"/>
      <c r="Q804" s="561">
        <f t="shared" si="47"/>
        <v>0</v>
      </c>
      <c r="R804" s="58"/>
      <c r="S804" s="58"/>
      <c r="T804" s="58"/>
      <c r="U804" s="58"/>
      <c r="V804" s="58"/>
    </row>
    <row r="805" spans="1:22" ht="15.75" customHeight="1">
      <c r="A805" s="468" t="s">
        <v>348</v>
      </c>
      <c r="B805" s="204" t="s">
        <v>184</v>
      </c>
      <c r="C805" s="527"/>
      <c r="D805" s="712"/>
      <c r="E805" s="706"/>
      <c r="F805" s="712"/>
      <c r="G805" s="206"/>
      <c r="H805" s="214"/>
      <c r="I805" s="500"/>
      <c r="J805" s="555"/>
      <c r="K805" s="552">
        <f t="shared" si="49"/>
        <v>0</v>
      </c>
      <c r="L805" s="217"/>
      <c r="M805" s="211">
        <f t="shared" si="48"/>
        <v>-46136</v>
      </c>
      <c r="N805" s="683">
        <f t="shared" si="50"/>
        <v>7</v>
      </c>
      <c r="O805" s="212"/>
      <c r="P805" s="544"/>
      <c r="Q805" s="561">
        <f t="shared" ref="Q805:Q868" si="51">+K805+J805</f>
        <v>0</v>
      </c>
      <c r="R805" s="58"/>
      <c r="S805" s="58"/>
      <c r="T805" s="58"/>
      <c r="U805" s="58"/>
      <c r="V805" s="58"/>
    </row>
    <row r="806" spans="1:22" ht="15.75" customHeight="1">
      <c r="A806" s="468" t="s">
        <v>348</v>
      </c>
      <c r="B806" s="204" t="s">
        <v>184</v>
      </c>
      <c r="C806" s="527"/>
      <c r="D806" s="712"/>
      <c r="E806" s="706"/>
      <c r="F806" s="712"/>
      <c r="G806" s="206"/>
      <c r="H806" s="214"/>
      <c r="I806" s="501"/>
      <c r="J806" s="555"/>
      <c r="K806" s="552">
        <f t="shared" si="49"/>
        <v>0</v>
      </c>
      <c r="L806" s="217"/>
      <c r="M806" s="211">
        <f t="shared" si="48"/>
        <v>-46136</v>
      </c>
      <c r="N806" s="683">
        <f t="shared" si="50"/>
        <v>7</v>
      </c>
      <c r="O806" s="212"/>
      <c r="P806" s="544"/>
      <c r="Q806" s="561">
        <f t="shared" si="51"/>
        <v>0</v>
      </c>
      <c r="R806" s="58"/>
      <c r="S806" s="58"/>
      <c r="T806" s="58"/>
      <c r="U806" s="58"/>
      <c r="V806" s="58"/>
    </row>
    <row r="807" spans="1:22" ht="15.75" customHeight="1">
      <c r="A807" s="468" t="s">
        <v>348</v>
      </c>
      <c r="B807" s="204" t="s">
        <v>184</v>
      </c>
      <c r="C807" s="527"/>
      <c r="D807" s="712"/>
      <c r="E807" s="706"/>
      <c r="F807" s="712"/>
      <c r="G807" s="206"/>
      <c r="H807" s="214"/>
      <c r="I807" s="501"/>
      <c r="J807" s="555"/>
      <c r="K807" s="552">
        <f t="shared" si="49"/>
        <v>0</v>
      </c>
      <c r="L807" s="217"/>
      <c r="M807" s="211">
        <f t="shared" si="48"/>
        <v>-46136</v>
      </c>
      <c r="N807" s="683">
        <f t="shared" si="50"/>
        <v>7</v>
      </c>
      <c r="O807" s="212"/>
      <c r="P807" s="544"/>
      <c r="Q807" s="561">
        <f t="shared" si="51"/>
        <v>0</v>
      </c>
      <c r="R807" s="58"/>
      <c r="S807" s="58"/>
      <c r="T807" s="58"/>
      <c r="U807" s="58"/>
      <c r="V807" s="58"/>
    </row>
    <row r="808" spans="1:22" ht="15.75" customHeight="1">
      <c r="A808" s="468" t="s">
        <v>348</v>
      </c>
      <c r="B808" s="204" t="s">
        <v>184</v>
      </c>
      <c r="C808" s="527"/>
      <c r="D808" s="712"/>
      <c r="E808" s="706"/>
      <c r="F808" s="712"/>
      <c r="G808" s="206"/>
      <c r="H808" s="214"/>
      <c r="I808" s="500"/>
      <c r="J808" s="555"/>
      <c r="K808" s="552">
        <f t="shared" si="49"/>
        <v>0</v>
      </c>
      <c r="L808" s="217"/>
      <c r="M808" s="211">
        <f t="shared" si="48"/>
        <v>-46136</v>
      </c>
      <c r="N808" s="683">
        <f t="shared" si="50"/>
        <v>7</v>
      </c>
      <c r="O808" s="212"/>
      <c r="P808" s="544"/>
      <c r="Q808" s="561">
        <f t="shared" si="51"/>
        <v>0</v>
      </c>
      <c r="R808" s="58"/>
      <c r="S808" s="58"/>
      <c r="T808" s="58"/>
      <c r="U808" s="58"/>
      <c r="V808" s="58"/>
    </row>
    <row r="809" spans="1:22" ht="15.75" customHeight="1">
      <c r="A809" s="468" t="s">
        <v>348</v>
      </c>
      <c r="B809" s="204" t="s">
        <v>184</v>
      </c>
      <c r="C809" s="527"/>
      <c r="D809" s="712"/>
      <c r="E809" s="706"/>
      <c r="F809" s="712"/>
      <c r="G809" s="206"/>
      <c r="H809" s="214"/>
      <c r="I809" s="500"/>
      <c r="J809" s="555"/>
      <c r="K809" s="552">
        <f t="shared" si="49"/>
        <v>0</v>
      </c>
      <c r="L809" s="217"/>
      <c r="M809" s="211">
        <f t="shared" si="48"/>
        <v>-46136</v>
      </c>
      <c r="N809" s="683">
        <f t="shared" si="50"/>
        <v>7</v>
      </c>
      <c r="O809" s="212"/>
      <c r="P809" s="544"/>
      <c r="Q809" s="561">
        <f t="shared" si="51"/>
        <v>0</v>
      </c>
      <c r="R809" s="58"/>
      <c r="S809" s="58"/>
      <c r="T809" s="58"/>
      <c r="U809" s="58"/>
      <c r="V809" s="58"/>
    </row>
    <row r="810" spans="1:22" ht="15.75" customHeight="1">
      <c r="A810" s="468" t="s">
        <v>348</v>
      </c>
      <c r="B810" s="204" t="s">
        <v>184</v>
      </c>
      <c r="C810" s="527"/>
      <c r="D810" s="712"/>
      <c r="E810" s="706"/>
      <c r="F810" s="712"/>
      <c r="G810" s="206"/>
      <c r="H810" s="214"/>
      <c r="I810" s="500"/>
      <c r="J810" s="555"/>
      <c r="K810" s="552">
        <f t="shared" si="49"/>
        <v>0</v>
      </c>
      <c r="L810" s="217"/>
      <c r="M810" s="211">
        <f t="shared" si="48"/>
        <v>-46136</v>
      </c>
      <c r="N810" s="683">
        <f t="shared" si="50"/>
        <v>7</v>
      </c>
      <c r="O810" s="212"/>
      <c r="P810" s="544"/>
      <c r="Q810" s="561">
        <f t="shared" si="51"/>
        <v>0</v>
      </c>
      <c r="R810" s="58"/>
      <c r="S810" s="58"/>
      <c r="T810" s="58"/>
      <c r="U810" s="58"/>
      <c r="V810" s="58"/>
    </row>
    <row r="811" spans="1:22" ht="15.75" customHeight="1">
      <c r="A811" s="468" t="s">
        <v>348</v>
      </c>
      <c r="B811" s="204" t="s">
        <v>184</v>
      </c>
      <c r="C811" s="527"/>
      <c r="D811" s="712"/>
      <c r="E811" s="706"/>
      <c r="F811" s="712"/>
      <c r="G811" s="206"/>
      <c r="H811" s="214"/>
      <c r="I811" s="502"/>
      <c r="J811" s="555"/>
      <c r="K811" s="552">
        <f t="shared" si="49"/>
        <v>0</v>
      </c>
      <c r="L811" s="217"/>
      <c r="M811" s="211">
        <f t="shared" si="48"/>
        <v>-46136</v>
      </c>
      <c r="N811" s="683">
        <f t="shared" si="50"/>
        <v>7</v>
      </c>
      <c r="O811" s="212"/>
      <c r="P811" s="544"/>
      <c r="Q811" s="561">
        <f t="shared" si="51"/>
        <v>0</v>
      </c>
      <c r="R811" s="58"/>
      <c r="S811" s="58"/>
      <c r="T811" s="58"/>
      <c r="U811" s="58"/>
      <c r="V811" s="58"/>
    </row>
    <row r="812" spans="1:22" ht="15.75" customHeight="1">
      <c r="A812" s="468" t="s">
        <v>348</v>
      </c>
      <c r="B812" s="204" t="s">
        <v>184</v>
      </c>
      <c r="C812" s="527"/>
      <c r="D812" s="712"/>
      <c r="E812" s="706"/>
      <c r="F812" s="712"/>
      <c r="G812" s="206"/>
      <c r="H812" s="214"/>
      <c r="I812" s="500"/>
      <c r="J812" s="555"/>
      <c r="K812" s="552">
        <f t="shared" si="49"/>
        <v>0</v>
      </c>
      <c r="L812" s="217"/>
      <c r="M812" s="211">
        <f t="shared" si="48"/>
        <v>-46136</v>
      </c>
      <c r="N812" s="683">
        <f t="shared" si="50"/>
        <v>7</v>
      </c>
      <c r="O812" s="212"/>
      <c r="P812" s="544"/>
      <c r="Q812" s="561">
        <f t="shared" si="51"/>
        <v>0</v>
      </c>
      <c r="R812" s="58"/>
      <c r="S812" s="58"/>
      <c r="T812" s="58"/>
      <c r="U812" s="58"/>
      <c r="V812" s="58"/>
    </row>
    <row r="813" spans="1:22" ht="15.75" customHeight="1">
      <c r="A813" s="468" t="s">
        <v>348</v>
      </c>
      <c r="B813" s="204" t="s">
        <v>184</v>
      </c>
      <c r="C813" s="527"/>
      <c r="D813" s="712"/>
      <c r="E813" s="706"/>
      <c r="F813" s="712"/>
      <c r="G813" s="206"/>
      <c r="H813" s="214"/>
      <c r="I813" s="501"/>
      <c r="J813" s="555"/>
      <c r="K813" s="552">
        <f t="shared" si="49"/>
        <v>0</v>
      </c>
      <c r="L813" s="217"/>
      <c r="M813" s="211">
        <f t="shared" si="48"/>
        <v>-46136</v>
      </c>
      <c r="N813" s="683">
        <f t="shared" si="50"/>
        <v>7</v>
      </c>
      <c r="O813" s="212"/>
      <c r="P813" s="544"/>
      <c r="Q813" s="561">
        <f t="shared" si="51"/>
        <v>0</v>
      </c>
      <c r="R813" s="58"/>
      <c r="S813" s="58"/>
      <c r="T813" s="58"/>
      <c r="U813" s="58"/>
      <c r="V813" s="58"/>
    </row>
    <row r="814" spans="1:22" ht="15.75" customHeight="1">
      <c r="A814" s="468" t="s">
        <v>348</v>
      </c>
      <c r="B814" s="204" t="s">
        <v>184</v>
      </c>
      <c r="C814" s="527"/>
      <c r="D814" s="712"/>
      <c r="E814" s="706"/>
      <c r="F814" s="712"/>
      <c r="G814" s="206"/>
      <c r="H814" s="214"/>
      <c r="I814" s="500"/>
      <c r="J814" s="555"/>
      <c r="K814" s="552">
        <f t="shared" si="49"/>
        <v>0</v>
      </c>
      <c r="L814" s="217"/>
      <c r="M814" s="211">
        <f t="shared" si="48"/>
        <v>-46136</v>
      </c>
      <c r="N814" s="683">
        <f t="shared" si="50"/>
        <v>7</v>
      </c>
      <c r="O814" s="212"/>
      <c r="P814" s="544"/>
      <c r="Q814" s="561">
        <f t="shared" si="51"/>
        <v>0</v>
      </c>
      <c r="R814" s="58"/>
      <c r="S814" s="58"/>
      <c r="T814" s="58"/>
      <c r="U814" s="58"/>
      <c r="V814" s="58"/>
    </row>
    <row r="815" spans="1:22" ht="15.75" customHeight="1">
      <c r="A815" s="468" t="s">
        <v>348</v>
      </c>
      <c r="B815" s="204" t="s">
        <v>184</v>
      </c>
      <c r="C815" s="527"/>
      <c r="D815" s="712"/>
      <c r="E815" s="706"/>
      <c r="F815" s="712"/>
      <c r="G815" s="206"/>
      <c r="H815" s="214"/>
      <c r="I815" s="500"/>
      <c r="J815" s="555"/>
      <c r="K815" s="552">
        <f t="shared" si="49"/>
        <v>0</v>
      </c>
      <c r="L815" s="217"/>
      <c r="M815" s="211">
        <f t="shared" si="48"/>
        <v>-46136</v>
      </c>
      <c r="N815" s="683">
        <f t="shared" si="50"/>
        <v>7</v>
      </c>
      <c r="O815" s="212"/>
      <c r="P815" s="544"/>
      <c r="Q815" s="561">
        <f t="shared" si="51"/>
        <v>0</v>
      </c>
      <c r="R815" s="58"/>
      <c r="S815" s="58"/>
      <c r="T815" s="58"/>
      <c r="U815" s="58"/>
      <c r="V815" s="58"/>
    </row>
    <row r="816" spans="1:22" ht="15.75" customHeight="1">
      <c r="A816" s="468" t="s">
        <v>348</v>
      </c>
      <c r="B816" s="204" t="s">
        <v>184</v>
      </c>
      <c r="C816" s="527"/>
      <c r="D816" s="712"/>
      <c r="E816" s="706"/>
      <c r="F816" s="712"/>
      <c r="G816" s="206"/>
      <c r="H816" s="214"/>
      <c r="I816" s="500"/>
      <c r="J816" s="555"/>
      <c r="K816" s="552">
        <f t="shared" si="49"/>
        <v>0</v>
      </c>
      <c r="L816" s="217"/>
      <c r="M816" s="211">
        <f t="shared" si="48"/>
        <v>-46136</v>
      </c>
      <c r="N816" s="683">
        <f t="shared" si="50"/>
        <v>7</v>
      </c>
      <c r="O816" s="212"/>
      <c r="P816" s="544"/>
      <c r="Q816" s="561">
        <f t="shared" si="51"/>
        <v>0</v>
      </c>
      <c r="R816" s="58"/>
      <c r="S816" s="58"/>
      <c r="T816" s="58"/>
      <c r="U816" s="58"/>
      <c r="V816" s="58"/>
    </row>
    <row r="817" spans="1:22" ht="15.75" customHeight="1">
      <c r="A817" s="468" t="s">
        <v>348</v>
      </c>
      <c r="B817" s="204" t="s">
        <v>184</v>
      </c>
      <c r="C817" s="527"/>
      <c r="D817" s="712"/>
      <c r="E817" s="706"/>
      <c r="F817" s="712"/>
      <c r="G817" s="206"/>
      <c r="H817" s="214"/>
      <c r="I817" s="502"/>
      <c r="J817" s="555"/>
      <c r="K817" s="552">
        <f t="shared" si="49"/>
        <v>0</v>
      </c>
      <c r="L817" s="217"/>
      <c r="M817" s="211">
        <f t="shared" si="48"/>
        <v>-46136</v>
      </c>
      <c r="N817" s="683">
        <f t="shared" si="50"/>
        <v>7</v>
      </c>
      <c r="O817" s="212"/>
      <c r="P817" s="544"/>
      <c r="Q817" s="561">
        <f t="shared" si="51"/>
        <v>0</v>
      </c>
      <c r="R817" s="58"/>
      <c r="S817" s="58"/>
      <c r="T817" s="58"/>
      <c r="U817" s="58"/>
      <c r="V817" s="58"/>
    </row>
    <row r="818" spans="1:22" ht="15.75" customHeight="1">
      <c r="A818" s="468" t="s">
        <v>348</v>
      </c>
      <c r="B818" s="204" t="s">
        <v>184</v>
      </c>
      <c r="C818" s="527"/>
      <c r="D818" s="712"/>
      <c r="E818" s="706"/>
      <c r="F818" s="712"/>
      <c r="G818" s="206"/>
      <c r="H818" s="214"/>
      <c r="I818" s="500"/>
      <c r="J818" s="555"/>
      <c r="K818" s="552">
        <f t="shared" si="49"/>
        <v>0</v>
      </c>
      <c r="L818" s="217"/>
      <c r="M818" s="211">
        <f t="shared" si="48"/>
        <v>-46136</v>
      </c>
      <c r="N818" s="683">
        <f t="shared" si="50"/>
        <v>7</v>
      </c>
      <c r="O818" s="212"/>
      <c r="P818" s="544"/>
      <c r="Q818" s="561">
        <f t="shared" si="51"/>
        <v>0</v>
      </c>
      <c r="R818" s="58"/>
      <c r="S818" s="58"/>
      <c r="T818" s="58"/>
      <c r="U818" s="58"/>
      <c r="V818" s="58"/>
    </row>
    <row r="819" spans="1:22" ht="15.75" customHeight="1">
      <c r="A819" s="468" t="s">
        <v>348</v>
      </c>
      <c r="B819" s="204" t="s">
        <v>184</v>
      </c>
      <c r="C819" s="527"/>
      <c r="D819" s="712"/>
      <c r="E819" s="706"/>
      <c r="F819" s="712"/>
      <c r="G819" s="206"/>
      <c r="H819" s="214"/>
      <c r="I819" s="500"/>
      <c r="J819" s="555"/>
      <c r="K819" s="552">
        <f t="shared" si="49"/>
        <v>0</v>
      </c>
      <c r="L819" s="217"/>
      <c r="M819" s="211">
        <f t="shared" si="48"/>
        <v>-46136</v>
      </c>
      <c r="N819" s="683">
        <f t="shared" si="50"/>
        <v>7</v>
      </c>
      <c r="O819" s="212"/>
      <c r="P819" s="544"/>
      <c r="Q819" s="561">
        <f t="shared" si="51"/>
        <v>0</v>
      </c>
      <c r="R819" s="58"/>
      <c r="S819" s="58"/>
      <c r="T819" s="58"/>
      <c r="U819" s="58"/>
      <c r="V819" s="58"/>
    </row>
    <row r="820" spans="1:22" ht="15.75" customHeight="1">
      <c r="A820" s="468" t="s">
        <v>348</v>
      </c>
      <c r="B820" s="204" t="s">
        <v>184</v>
      </c>
      <c r="C820" s="527"/>
      <c r="D820" s="712"/>
      <c r="E820" s="706"/>
      <c r="F820" s="712"/>
      <c r="G820" s="206"/>
      <c r="H820" s="214"/>
      <c r="I820" s="500"/>
      <c r="J820" s="555"/>
      <c r="K820" s="552">
        <f t="shared" si="49"/>
        <v>0</v>
      </c>
      <c r="L820" s="217"/>
      <c r="M820" s="211">
        <f t="shared" si="48"/>
        <v>-46136</v>
      </c>
      <c r="N820" s="683">
        <f t="shared" si="50"/>
        <v>7</v>
      </c>
      <c r="O820" s="212"/>
      <c r="P820" s="544"/>
      <c r="Q820" s="561">
        <f t="shared" si="51"/>
        <v>0</v>
      </c>
      <c r="R820" s="58"/>
      <c r="S820" s="58"/>
      <c r="T820" s="58"/>
      <c r="U820" s="58"/>
      <c r="V820" s="58"/>
    </row>
    <row r="821" spans="1:22" ht="15.75" customHeight="1">
      <c r="A821" s="468" t="s">
        <v>348</v>
      </c>
      <c r="B821" s="204" t="s">
        <v>184</v>
      </c>
      <c r="C821" s="527"/>
      <c r="D821" s="712"/>
      <c r="E821" s="706"/>
      <c r="F821" s="712"/>
      <c r="G821" s="206"/>
      <c r="H821" s="214"/>
      <c r="I821" s="500"/>
      <c r="J821" s="555"/>
      <c r="K821" s="552">
        <f t="shared" si="49"/>
        <v>0</v>
      </c>
      <c r="L821" s="217"/>
      <c r="M821" s="211">
        <f t="shared" si="48"/>
        <v>-46136</v>
      </c>
      <c r="N821" s="683">
        <f t="shared" si="50"/>
        <v>7</v>
      </c>
      <c r="O821" s="212"/>
      <c r="P821" s="544"/>
      <c r="Q821" s="561">
        <f t="shared" si="51"/>
        <v>0</v>
      </c>
      <c r="R821" s="58"/>
      <c r="S821" s="58"/>
      <c r="T821" s="58"/>
      <c r="U821" s="58"/>
      <c r="V821" s="58"/>
    </row>
    <row r="822" spans="1:22" ht="15.75" customHeight="1">
      <c r="A822" s="468" t="s">
        <v>348</v>
      </c>
      <c r="B822" s="204" t="s">
        <v>184</v>
      </c>
      <c r="C822" s="527"/>
      <c r="D822" s="712"/>
      <c r="E822" s="706"/>
      <c r="F822" s="712"/>
      <c r="G822" s="206"/>
      <c r="H822" s="214"/>
      <c r="I822" s="500"/>
      <c r="J822" s="555"/>
      <c r="K822" s="552">
        <f t="shared" si="49"/>
        <v>0</v>
      </c>
      <c r="L822" s="217"/>
      <c r="M822" s="211">
        <f t="shared" si="48"/>
        <v>-46136</v>
      </c>
      <c r="N822" s="683">
        <f t="shared" si="50"/>
        <v>7</v>
      </c>
      <c r="O822" s="212"/>
      <c r="P822" s="544"/>
      <c r="Q822" s="561">
        <f t="shared" si="51"/>
        <v>0</v>
      </c>
      <c r="R822" s="58"/>
      <c r="S822" s="58"/>
      <c r="T822" s="58"/>
      <c r="U822" s="58"/>
      <c r="V822" s="58"/>
    </row>
    <row r="823" spans="1:22" ht="15.75" customHeight="1">
      <c r="A823" s="468" t="s">
        <v>348</v>
      </c>
      <c r="B823" s="204" t="s">
        <v>184</v>
      </c>
      <c r="C823" s="527"/>
      <c r="D823" s="712"/>
      <c r="E823" s="706"/>
      <c r="F823" s="712"/>
      <c r="G823" s="206"/>
      <c r="H823" s="214"/>
      <c r="I823" s="500"/>
      <c r="J823" s="555"/>
      <c r="K823" s="552">
        <f t="shared" si="49"/>
        <v>0</v>
      </c>
      <c r="L823" s="217"/>
      <c r="M823" s="211">
        <f t="shared" si="48"/>
        <v>-46136</v>
      </c>
      <c r="N823" s="683">
        <f t="shared" si="50"/>
        <v>7</v>
      </c>
      <c r="O823" s="212"/>
      <c r="P823" s="544"/>
      <c r="Q823" s="561">
        <f t="shared" si="51"/>
        <v>0</v>
      </c>
      <c r="R823" s="58"/>
      <c r="S823" s="58"/>
      <c r="T823" s="58"/>
      <c r="U823" s="58"/>
      <c r="V823" s="58"/>
    </row>
    <row r="824" spans="1:22" ht="15.75" customHeight="1">
      <c r="A824" s="468" t="s">
        <v>348</v>
      </c>
      <c r="B824" s="204" t="s">
        <v>184</v>
      </c>
      <c r="C824" s="527"/>
      <c r="D824" s="712"/>
      <c r="E824" s="706"/>
      <c r="F824" s="712"/>
      <c r="G824" s="206"/>
      <c r="H824" s="214"/>
      <c r="I824" s="500"/>
      <c r="J824" s="555"/>
      <c r="K824" s="552">
        <f t="shared" si="49"/>
        <v>0</v>
      </c>
      <c r="L824" s="217"/>
      <c r="M824" s="211">
        <f t="shared" si="48"/>
        <v>-46136</v>
      </c>
      <c r="N824" s="683">
        <f t="shared" si="50"/>
        <v>7</v>
      </c>
      <c r="O824" s="212"/>
      <c r="P824" s="544"/>
      <c r="Q824" s="561">
        <f t="shared" si="51"/>
        <v>0</v>
      </c>
      <c r="R824" s="58"/>
      <c r="S824" s="58"/>
      <c r="T824" s="58"/>
      <c r="U824" s="58"/>
      <c r="V824" s="58"/>
    </row>
    <row r="825" spans="1:22" ht="15.75" customHeight="1">
      <c r="A825" s="468" t="s">
        <v>348</v>
      </c>
      <c r="B825" s="204" t="s">
        <v>184</v>
      </c>
      <c r="C825" s="527"/>
      <c r="D825" s="712"/>
      <c r="E825" s="706"/>
      <c r="F825" s="712"/>
      <c r="G825" s="206"/>
      <c r="H825" s="214"/>
      <c r="I825" s="500"/>
      <c r="J825" s="555"/>
      <c r="K825" s="552">
        <f t="shared" si="49"/>
        <v>0</v>
      </c>
      <c r="L825" s="217"/>
      <c r="M825" s="211">
        <f t="shared" si="48"/>
        <v>-46136</v>
      </c>
      <c r="N825" s="683">
        <f t="shared" si="50"/>
        <v>7</v>
      </c>
      <c r="O825" s="212"/>
      <c r="P825" s="544"/>
      <c r="Q825" s="561">
        <f t="shared" si="51"/>
        <v>0</v>
      </c>
      <c r="R825" s="58"/>
      <c r="S825" s="58"/>
      <c r="T825" s="58"/>
      <c r="U825" s="58"/>
      <c r="V825" s="58"/>
    </row>
    <row r="826" spans="1:22" ht="15.75" customHeight="1">
      <c r="A826" s="468" t="s">
        <v>348</v>
      </c>
      <c r="B826" s="204" t="s">
        <v>184</v>
      </c>
      <c r="C826" s="527"/>
      <c r="D826" s="712"/>
      <c r="E826" s="706"/>
      <c r="F826" s="712"/>
      <c r="G826" s="206"/>
      <c r="H826" s="214"/>
      <c r="I826" s="500"/>
      <c r="J826" s="555"/>
      <c r="K826" s="552">
        <f t="shared" si="49"/>
        <v>0</v>
      </c>
      <c r="L826" s="217"/>
      <c r="M826" s="211">
        <f t="shared" si="48"/>
        <v>-46136</v>
      </c>
      <c r="N826" s="683">
        <f t="shared" si="50"/>
        <v>7</v>
      </c>
      <c r="O826" s="212"/>
      <c r="P826" s="544"/>
      <c r="Q826" s="561">
        <f t="shared" si="51"/>
        <v>0</v>
      </c>
      <c r="R826" s="58"/>
      <c r="S826" s="58"/>
      <c r="T826" s="58"/>
      <c r="U826" s="58"/>
      <c r="V826" s="58"/>
    </row>
    <row r="827" spans="1:22" ht="15.75" customHeight="1">
      <c r="A827" s="468" t="s">
        <v>348</v>
      </c>
      <c r="B827" s="204" t="s">
        <v>184</v>
      </c>
      <c r="C827" s="527"/>
      <c r="D827" s="712"/>
      <c r="E827" s="706"/>
      <c r="F827" s="712"/>
      <c r="G827" s="206"/>
      <c r="H827" s="214"/>
      <c r="I827" s="500"/>
      <c r="J827" s="555"/>
      <c r="K827" s="552">
        <f t="shared" si="49"/>
        <v>0</v>
      </c>
      <c r="L827" s="217"/>
      <c r="M827" s="211">
        <f t="shared" si="48"/>
        <v>-46136</v>
      </c>
      <c r="N827" s="683">
        <f t="shared" si="50"/>
        <v>7</v>
      </c>
      <c r="O827" s="212"/>
      <c r="P827" s="544"/>
      <c r="Q827" s="561">
        <f t="shared" si="51"/>
        <v>0</v>
      </c>
      <c r="R827" s="58"/>
      <c r="S827" s="58"/>
      <c r="T827" s="58"/>
      <c r="U827" s="58"/>
      <c r="V827" s="58"/>
    </row>
    <row r="828" spans="1:22" ht="15.75" customHeight="1">
      <c r="A828" s="468" t="s">
        <v>348</v>
      </c>
      <c r="B828" s="204" t="s">
        <v>184</v>
      </c>
      <c r="C828" s="527"/>
      <c r="D828" s="712"/>
      <c r="E828" s="706"/>
      <c r="F828" s="712"/>
      <c r="G828" s="206"/>
      <c r="H828" s="214"/>
      <c r="I828" s="500"/>
      <c r="J828" s="555"/>
      <c r="K828" s="552">
        <f t="shared" si="49"/>
        <v>0</v>
      </c>
      <c r="L828" s="217"/>
      <c r="M828" s="211">
        <f t="shared" si="48"/>
        <v>-46136</v>
      </c>
      <c r="N828" s="683">
        <f t="shared" si="50"/>
        <v>7</v>
      </c>
      <c r="O828" s="212"/>
      <c r="P828" s="544"/>
      <c r="Q828" s="561">
        <f t="shared" si="51"/>
        <v>0</v>
      </c>
      <c r="R828" s="58"/>
      <c r="S828" s="58"/>
      <c r="T828" s="58"/>
      <c r="U828" s="58"/>
      <c r="V828" s="58"/>
    </row>
    <row r="829" spans="1:22" ht="15.75" customHeight="1">
      <c r="A829" s="468" t="s">
        <v>348</v>
      </c>
      <c r="B829" s="204" t="s">
        <v>184</v>
      </c>
      <c r="C829" s="527"/>
      <c r="D829" s="712"/>
      <c r="E829" s="706"/>
      <c r="F829" s="712"/>
      <c r="G829" s="206"/>
      <c r="H829" s="214"/>
      <c r="I829" s="500"/>
      <c r="J829" s="555"/>
      <c r="K829" s="552">
        <f t="shared" si="49"/>
        <v>0</v>
      </c>
      <c r="L829" s="217"/>
      <c r="M829" s="211">
        <f t="shared" si="48"/>
        <v>-46136</v>
      </c>
      <c r="N829" s="683">
        <f t="shared" si="50"/>
        <v>7</v>
      </c>
      <c r="O829" s="212"/>
      <c r="P829" s="544"/>
      <c r="Q829" s="561">
        <f t="shared" si="51"/>
        <v>0</v>
      </c>
      <c r="R829" s="58"/>
      <c r="S829" s="58"/>
      <c r="T829" s="58"/>
      <c r="U829" s="58"/>
      <c r="V829" s="58"/>
    </row>
    <row r="830" spans="1:22" ht="15.75" customHeight="1">
      <c r="A830" s="468" t="s">
        <v>348</v>
      </c>
      <c r="B830" s="204" t="s">
        <v>184</v>
      </c>
      <c r="C830" s="527"/>
      <c r="D830" s="712"/>
      <c r="E830" s="706"/>
      <c r="F830" s="712"/>
      <c r="G830" s="206"/>
      <c r="H830" s="214"/>
      <c r="I830" s="501"/>
      <c r="J830" s="555"/>
      <c r="K830" s="552">
        <f t="shared" si="49"/>
        <v>0</v>
      </c>
      <c r="L830" s="217"/>
      <c r="M830" s="211">
        <f t="shared" si="48"/>
        <v>-46136</v>
      </c>
      <c r="N830" s="683">
        <f t="shared" si="50"/>
        <v>7</v>
      </c>
      <c r="O830" s="212"/>
      <c r="P830" s="544"/>
      <c r="Q830" s="561">
        <f t="shared" si="51"/>
        <v>0</v>
      </c>
      <c r="R830" s="58"/>
      <c r="S830" s="58"/>
      <c r="T830" s="58"/>
      <c r="U830" s="58"/>
      <c r="V830" s="58"/>
    </row>
    <row r="831" spans="1:22" ht="15.75" customHeight="1">
      <c r="A831" s="468" t="s">
        <v>348</v>
      </c>
      <c r="B831" s="204" t="s">
        <v>184</v>
      </c>
      <c r="C831" s="527"/>
      <c r="D831" s="712"/>
      <c r="E831" s="706"/>
      <c r="F831" s="712"/>
      <c r="G831" s="206"/>
      <c r="H831" s="214"/>
      <c r="I831" s="500"/>
      <c r="J831" s="555"/>
      <c r="K831" s="552">
        <f t="shared" si="49"/>
        <v>0</v>
      </c>
      <c r="L831" s="217"/>
      <c r="M831" s="211">
        <f t="shared" si="48"/>
        <v>-46136</v>
      </c>
      <c r="N831" s="683">
        <f t="shared" si="50"/>
        <v>7</v>
      </c>
      <c r="O831" s="212"/>
      <c r="P831" s="544"/>
      <c r="Q831" s="561">
        <f t="shared" si="51"/>
        <v>0</v>
      </c>
      <c r="R831" s="58"/>
      <c r="S831" s="58"/>
      <c r="T831" s="58"/>
      <c r="U831" s="58"/>
      <c r="V831" s="58"/>
    </row>
    <row r="832" spans="1:22" ht="15.75" customHeight="1">
      <c r="A832" s="468" t="s">
        <v>348</v>
      </c>
      <c r="B832" s="204" t="s">
        <v>184</v>
      </c>
      <c r="C832" s="527"/>
      <c r="D832" s="712"/>
      <c r="E832" s="706"/>
      <c r="F832" s="712"/>
      <c r="G832" s="206"/>
      <c r="H832" s="214"/>
      <c r="I832" s="500"/>
      <c r="J832" s="555"/>
      <c r="K832" s="552">
        <f t="shared" si="49"/>
        <v>0</v>
      </c>
      <c r="L832" s="217"/>
      <c r="M832" s="211">
        <f t="shared" si="48"/>
        <v>-46136</v>
      </c>
      <c r="N832" s="683">
        <f t="shared" si="50"/>
        <v>7</v>
      </c>
      <c r="O832" s="212"/>
      <c r="P832" s="544"/>
      <c r="Q832" s="561">
        <f t="shared" si="51"/>
        <v>0</v>
      </c>
      <c r="R832" s="58"/>
      <c r="S832" s="58"/>
      <c r="T832" s="58"/>
      <c r="U832" s="58"/>
      <c r="V832" s="58"/>
    </row>
    <row r="833" spans="1:22" ht="15.75" customHeight="1">
      <c r="A833" s="468" t="s">
        <v>348</v>
      </c>
      <c r="B833" s="204" t="s">
        <v>184</v>
      </c>
      <c r="C833" s="527"/>
      <c r="D833" s="712"/>
      <c r="E833" s="706"/>
      <c r="F833" s="712"/>
      <c r="G833" s="206"/>
      <c r="H833" s="214"/>
      <c r="I833" s="500"/>
      <c r="J833" s="555"/>
      <c r="K833" s="552">
        <f t="shared" si="49"/>
        <v>0</v>
      </c>
      <c r="L833" s="217"/>
      <c r="M833" s="211">
        <f t="shared" si="48"/>
        <v>-46136</v>
      </c>
      <c r="N833" s="683">
        <f t="shared" si="50"/>
        <v>7</v>
      </c>
      <c r="O833" s="212"/>
      <c r="P833" s="544"/>
      <c r="Q833" s="561">
        <f t="shared" si="51"/>
        <v>0</v>
      </c>
      <c r="R833" s="58"/>
      <c r="S833" s="58"/>
      <c r="T833" s="58"/>
      <c r="U833" s="58"/>
      <c r="V833" s="58"/>
    </row>
    <row r="834" spans="1:22" ht="15.75" customHeight="1">
      <c r="A834" s="468" t="s">
        <v>348</v>
      </c>
      <c r="B834" s="204" t="s">
        <v>184</v>
      </c>
      <c r="C834" s="527"/>
      <c r="D834" s="267"/>
      <c r="E834" s="706"/>
      <c r="F834" s="267"/>
      <c r="G834" s="206"/>
      <c r="H834" s="214"/>
      <c r="I834" s="500"/>
      <c r="J834" s="555"/>
      <c r="K834" s="552">
        <f t="shared" si="49"/>
        <v>0</v>
      </c>
      <c r="L834" s="217"/>
      <c r="M834" s="211">
        <f t="shared" si="48"/>
        <v>-46136</v>
      </c>
      <c r="N834" s="683">
        <f t="shared" si="50"/>
        <v>7</v>
      </c>
      <c r="O834" s="212"/>
      <c r="P834" s="544"/>
      <c r="Q834" s="561">
        <f t="shared" si="51"/>
        <v>0</v>
      </c>
      <c r="R834" s="58"/>
      <c r="S834" s="58"/>
      <c r="T834" s="58"/>
      <c r="U834" s="58"/>
      <c r="V834" s="58"/>
    </row>
    <row r="835" spans="1:22" ht="15.75" customHeight="1">
      <c r="A835" s="468" t="s">
        <v>348</v>
      </c>
      <c r="B835" s="204" t="s">
        <v>184</v>
      </c>
      <c r="C835" s="527"/>
      <c r="D835" s="267"/>
      <c r="E835" s="706"/>
      <c r="F835" s="267"/>
      <c r="G835" s="206"/>
      <c r="H835" s="214"/>
      <c r="I835" s="500"/>
      <c r="J835" s="555"/>
      <c r="K835" s="552">
        <f t="shared" si="49"/>
        <v>0</v>
      </c>
      <c r="L835" s="217"/>
      <c r="M835" s="211">
        <f t="shared" si="48"/>
        <v>-46136</v>
      </c>
      <c r="N835" s="683">
        <f t="shared" si="50"/>
        <v>7</v>
      </c>
      <c r="O835" s="212"/>
      <c r="P835" s="544"/>
      <c r="Q835" s="561">
        <f t="shared" si="51"/>
        <v>0</v>
      </c>
      <c r="R835" s="58"/>
      <c r="S835" s="58"/>
      <c r="T835" s="58"/>
      <c r="U835" s="58"/>
      <c r="V835" s="58"/>
    </row>
    <row r="836" spans="1:22" ht="15.75" customHeight="1">
      <c r="A836" s="468" t="s">
        <v>348</v>
      </c>
      <c r="B836" s="204" t="s">
        <v>184</v>
      </c>
      <c r="C836" s="527"/>
      <c r="D836" s="267"/>
      <c r="E836" s="706"/>
      <c r="F836" s="267"/>
      <c r="G836" s="206"/>
      <c r="H836" s="214"/>
      <c r="I836" s="500"/>
      <c r="J836" s="555"/>
      <c r="K836" s="552">
        <f t="shared" si="49"/>
        <v>0</v>
      </c>
      <c r="L836" s="217"/>
      <c r="M836" s="211">
        <f t="shared" si="48"/>
        <v>-46136</v>
      </c>
      <c r="N836" s="683">
        <f t="shared" si="50"/>
        <v>7</v>
      </c>
      <c r="O836" s="212"/>
      <c r="P836" s="544"/>
      <c r="Q836" s="561">
        <f t="shared" si="51"/>
        <v>0</v>
      </c>
      <c r="R836" s="58"/>
      <c r="S836" s="58"/>
      <c r="T836" s="58"/>
      <c r="U836" s="58"/>
      <c r="V836" s="58"/>
    </row>
    <row r="837" spans="1:22" ht="15.75" customHeight="1">
      <c r="A837" s="468" t="s">
        <v>348</v>
      </c>
      <c r="B837" s="204" t="s">
        <v>184</v>
      </c>
      <c r="C837" s="527"/>
      <c r="D837" s="267"/>
      <c r="E837" s="706"/>
      <c r="F837" s="267"/>
      <c r="G837" s="206"/>
      <c r="H837" s="214"/>
      <c r="I837" s="500"/>
      <c r="J837" s="555"/>
      <c r="K837" s="552">
        <f t="shared" si="49"/>
        <v>0</v>
      </c>
      <c r="L837" s="217"/>
      <c r="M837" s="211">
        <f t="shared" si="48"/>
        <v>-46136</v>
      </c>
      <c r="N837" s="683">
        <f t="shared" si="50"/>
        <v>7</v>
      </c>
      <c r="O837" s="212"/>
      <c r="P837" s="544"/>
      <c r="Q837" s="561">
        <f t="shared" si="51"/>
        <v>0</v>
      </c>
      <c r="R837" s="58"/>
      <c r="S837" s="58"/>
      <c r="T837" s="58"/>
      <c r="U837" s="58"/>
      <c r="V837" s="58"/>
    </row>
    <row r="838" spans="1:22" ht="15.75" customHeight="1">
      <c r="A838" s="468" t="s">
        <v>348</v>
      </c>
      <c r="B838" s="204" t="s">
        <v>184</v>
      </c>
      <c r="C838" s="527"/>
      <c r="D838" s="267"/>
      <c r="E838" s="706"/>
      <c r="F838" s="267"/>
      <c r="G838" s="206"/>
      <c r="H838" s="214"/>
      <c r="I838" s="500"/>
      <c r="J838" s="555"/>
      <c r="K838" s="552">
        <f t="shared" si="49"/>
        <v>0</v>
      </c>
      <c r="L838" s="217"/>
      <c r="M838" s="211">
        <f t="shared" si="48"/>
        <v>-46136</v>
      </c>
      <c r="N838" s="683">
        <f t="shared" si="50"/>
        <v>7</v>
      </c>
      <c r="O838" s="212"/>
      <c r="P838" s="544"/>
      <c r="Q838" s="561">
        <f t="shared" si="51"/>
        <v>0</v>
      </c>
      <c r="R838" s="58"/>
      <c r="S838" s="58"/>
      <c r="T838" s="58"/>
      <c r="U838" s="58"/>
      <c r="V838" s="58"/>
    </row>
    <row r="839" spans="1:22" ht="15.75" customHeight="1">
      <c r="A839" s="468" t="s">
        <v>348</v>
      </c>
      <c r="B839" s="204" t="s">
        <v>184</v>
      </c>
      <c r="C839" s="527"/>
      <c r="D839" s="267"/>
      <c r="E839" s="706"/>
      <c r="F839" s="267"/>
      <c r="G839" s="206"/>
      <c r="H839" s="214"/>
      <c r="I839" s="502"/>
      <c r="J839" s="555"/>
      <c r="K839" s="552">
        <f t="shared" si="49"/>
        <v>0</v>
      </c>
      <c r="L839" s="217"/>
      <c r="M839" s="211">
        <f t="shared" si="48"/>
        <v>-46136</v>
      </c>
      <c r="N839" s="683">
        <f t="shared" si="50"/>
        <v>7</v>
      </c>
      <c r="O839" s="212"/>
      <c r="P839" s="544"/>
      <c r="Q839" s="561">
        <f t="shared" si="51"/>
        <v>0</v>
      </c>
      <c r="R839" s="58"/>
      <c r="S839" s="58"/>
      <c r="T839" s="58"/>
      <c r="U839" s="58"/>
      <c r="V839" s="58"/>
    </row>
    <row r="840" spans="1:22" ht="15.75" customHeight="1">
      <c r="A840" s="468" t="s">
        <v>348</v>
      </c>
      <c r="B840" s="204" t="s">
        <v>184</v>
      </c>
      <c r="C840" s="527"/>
      <c r="D840" s="267"/>
      <c r="E840" s="706"/>
      <c r="F840" s="267"/>
      <c r="G840" s="206"/>
      <c r="H840" s="214"/>
      <c r="I840" s="500"/>
      <c r="J840" s="555"/>
      <c r="K840" s="552">
        <f t="shared" si="49"/>
        <v>0</v>
      </c>
      <c r="L840" s="217"/>
      <c r="M840" s="211">
        <f t="shared" si="48"/>
        <v>-46136</v>
      </c>
      <c r="N840" s="683">
        <f t="shared" si="50"/>
        <v>7</v>
      </c>
      <c r="O840" s="212"/>
      <c r="P840" s="544"/>
      <c r="Q840" s="561">
        <f t="shared" si="51"/>
        <v>0</v>
      </c>
      <c r="R840" s="58"/>
      <c r="S840" s="58"/>
      <c r="T840" s="58"/>
      <c r="U840" s="58"/>
      <c r="V840" s="58"/>
    </row>
    <row r="841" spans="1:22" ht="15.75" customHeight="1">
      <c r="A841" s="468" t="s">
        <v>348</v>
      </c>
      <c r="B841" s="204" t="s">
        <v>184</v>
      </c>
      <c r="C841" s="527"/>
      <c r="D841" s="267"/>
      <c r="E841" s="706"/>
      <c r="F841" s="267"/>
      <c r="G841" s="206"/>
      <c r="H841" s="214"/>
      <c r="I841" s="500"/>
      <c r="J841" s="555"/>
      <c r="K841" s="552">
        <f t="shared" si="49"/>
        <v>0</v>
      </c>
      <c r="L841" s="217"/>
      <c r="M841" s="211">
        <f t="shared" ref="M841:M904" si="52">+L841-$E$6</f>
        <v>-46136</v>
      </c>
      <c r="N841" s="683">
        <f t="shared" si="50"/>
        <v>7</v>
      </c>
      <c r="O841" s="212"/>
      <c r="P841" s="544"/>
      <c r="Q841" s="561">
        <f t="shared" si="51"/>
        <v>0</v>
      </c>
      <c r="R841" s="58"/>
      <c r="S841" s="58"/>
      <c r="T841" s="58"/>
      <c r="U841" s="58"/>
      <c r="V841" s="58"/>
    </row>
    <row r="842" spans="1:22" ht="15.75" customHeight="1">
      <c r="A842" s="468" t="s">
        <v>348</v>
      </c>
      <c r="B842" s="204" t="s">
        <v>184</v>
      </c>
      <c r="C842" s="527"/>
      <c r="D842" s="267"/>
      <c r="E842" s="706"/>
      <c r="F842" s="267"/>
      <c r="G842" s="206"/>
      <c r="H842" s="214"/>
      <c r="I842" s="501"/>
      <c r="J842" s="555"/>
      <c r="K842" s="552">
        <f t="shared" ref="K842:K905" si="53">-J842</f>
        <v>0</v>
      </c>
      <c r="L842" s="217"/>
      <c r="M842" s="211">
        <f t="shared" si="52"/>
        <v>-46136</v>
      </c>
      <c r="N842" s="683">
        <f t="shared" ref="N842:N905" si="54">+L842+7</f>
        <v>7</v>
      </c>
      <c r="O842" s="212"/>
      <c r="P842" s="544"/>
      <c r="Q842" s="561">
        <f t="shared" si="51"/>
        <v>0</v>
      </c>
      <c r="R842" s="58"/>
      <c r="S842" s="58"/>
      <c r="T842" s="58"/>
      <c r="U842" s="58"/>
      <c r="V842" s="58"/>
    </row>
    <row r="843" spans="1:22" ht="15.75" customHeight="1">
      <c r="A843" s="468" t="s">
        <v>348</v>
      </c>
      <c r="B843" s="204" t="s">
        <v>184</v>
      </c>
      <c r="C843" s="527"/>
      <c r="D843" s="267"/>
      <c r="E843" s="706"/>
      <c r="F843" s="267"/>
      <c r="G843" s="206"/>
      <c r="H843" s="214"/>
      <c r="I843" s="500"/>
      <c r="J843" s="555"/>
      <c r="K843" s="552">
        <f t="shared" si="53"/>
        <v>0</v>
      </c>
      <c r="L843" s="217"/>
      <c r="M843" s="211">
        <f t="shared" si="52"/>
        <v>-46136</v>
      </c>
      <c r="N843" s="683">
        <f t="shared" si="54"/>
        <v>7</v>
      </c>
      <c r="O843" s="212"/>
      <c r="P843" s="544"/>
      <c r="Q843" s="561">
        <f t="shared" si="51"/>
        <v>0</v>
      </c>
      <c r="R843" s="58"/>
      <c r="S843" s="58"/>
      <c r="T843" s="58"/>
      <c r="U843" s="58"/>
      <c r="V843" s="58"/>
    </row>
    <row r="844" spans="1:22" ht="15.75" customHeight="1">
      <c r="A844" s="468" t="s">
        <v>348</v>
      </c>
      <c r="B844" s="204" t="s">
        <v>184</v>
      </c>
      <c r="C844" s="527"/>
      <c r="D844" s="267"/>
      <c r="E844" s="706"/>
      <c r="F844" s="267"/>
      <c r="G844" s="206"/>
      <c r="H844" s="214"/>
      <c r="I844" s="500"/>
      <c r="J844" s="555"/>
      <c r="K844" s="552">
        <f t="shared" si="53"/>
        <v>0</v>
      </c>
      <c r="L844" s="217"/>
      <c r="M844" s="211">
        <f t="shared" si="52"/>
        <v>-46136</v>
      </c>
      <c r="N844" s="683">
        <f t="shared" si="54"/>
        <v>7</v>
      </c>
      <c r="O844" s="212"/>
      <c r="P844" s="544"/>
      <c r="Q844" s="561">
        <f t="shared" si="51"/>
        <v>0</v>
      </c>
      <c r="R844" s="58"/>
      <c r="S844" s="58"/>
      <c r="T844" s="58"/>
      <c r="U844" s="58"/>
      <c r="V844" s="58"/>
    </row>
    <row r="845" spans="1:22" ht="15.75" customHeight="1">
      <c r="A845" s="468" t="s">
        <v>348</v>
      </c>
      <c r="B845" s="204" t="s">
        <v>184</v>
      </c>
      <c r="C845" s="527"/>
      <c r="D845" s="267"/>
      <c r="E845" s="706"/>
      <c r="F845" s="267"/>
      <c r="G845" s="206"/>
      <c r="H845" s="214"/>
      <c r="I845" s="501"/>
      <c r="J845" s="555"/>
      <c r="K845" s="552">
        <f t="shared" si="53"/>
        <v>0</v>
      </c>
      <c r="L845" s="217"/>
      <c r="M845" s="211">
        <f t="shared" si="52"/>
        <v>-46136</v>
      </c>
      <c r="N845" s="683">
        <f t="shared" si="54"/>
        <v>7</v>
      </c>
      <c r="O845" s="212"/>
      <c r="P845" s="544"/>
      <c r="Q845" s="561">
        <f t="shared" si="51"/>
        <v>0</v>
      </c>
      <c r="R845" s="58"/>
      <c r="S845" s="58"/>
      <c r="T845" s="58"/>
      <c r="U845" s="58"/>
      <c r="V845" s="58"/>
    </row>
    <row r="846" spans="1:22" ht="15.75" customHeight="1">
      <c r="A846" s="468" t="s">
        <v>348</v>
      </c>
      <c r="B846" s="204" t="s">
        <v>184</v>
      </c>
      <c r="C846" s="527"/>
      <c r="D846" s="267"/>
      <c r="E846" s="706"/>
      <c r="F846" s="267"/>
      <c r="G846" s="206"/>
      <c r="H846" s="214"/>
      <c r="I846" s="501"/>
      <c r="J846" s="555"/>
      <c r="K846" s="552">
        <f t="shared" si="53"/>
        <v>0</v>
      </c>
      <c r="L846" s="217"/>
      <c r="M846" s="211">
        <f t="shared" si="52"/>
        <v>-46136</v>
      </c>
      <c r="N846" s="683">
        <f t="shared" si="54"/>
        <v>7</v>
      </c>
      <c r="O846" s="212"/>
      <c r="P846" s="544"/>
      <c r="Q846" s="561">
        <f t="shared" si="51"/>
        <v>0</v>
      </c>
      <c r="R846" s="58"/>
      <c r="S846" s="58"/>
      <c r="T846" s="58"/>
      <c r="U846" s="58"/>
      <c r="V846" s="58"/>
    </row>
    <row r="847" spans="1:22" ht="15.75" customHeight="1">
      <c r="A847" s="468" t="s">
        <v>348</v>
      </c>
      <c r="B847" s="204" t="s">
        <v>184</v>
      </c>
      <c r="C847" s="527"/>
      <c r="D847" s="267"/>
      <c r="E847" s="706"/>
      <c r="F847" s="267"/>
      <c r="G847" s="206"/>
      <c r="H847" s="214"/>
      <c r="I847" s="500"/>
      <c r="J847" s="555"/>
      <c r="K847" s="552">
        <f t="shared" si="53"/>
        <v>0</v>
      </c>
      <c r="L847" s="217"/>
      <c r="M847" s="211">
        <f t="shared" si="52"/>
        <v>-46136</v>
      </c>
      <c r="N847" s="683">
        <f t="shared" si="54"/>
        <v>7</v>
      </c>
      <c r="O847" s="212"/>
      <c r="P847" s="544"/>
      <c r="Q847" s="561">
        <f t="shared" si="51"/>
        <v>0</v>
      </c>
      <c r="R847" s="58"/>
      <c r="S847" s="58"/>
      <c r="T847" s="58"/>
      <c r="U847" s="58"/>
      <c r="V847" s="58"/>
    </row>
    <row r="848" spans="1:22" ht="15.75" customHeight="1">
      <c r="A848" s="468" t="s">
        <v>348</v>
      </c>
      <c r="B848" s="204" t="s">
        <v>184</v>
      </c>
      <c r="C848" s="527"/>
      <c r="D848" s="267"/>
      <c r="E848" s="706"/>
      <c r="F848" s="267"/>
      <c r="G848" s="206"/>
      <c r="H848" s="214"/>
      <c r="I848" s="500"/>
      <c r="J848" s="555"/>
      <c r="K848" s="552">
        <f t="shared" si="53"/>
        <v>0</v>
      </c>
      <c r="L848" s="217"/>
      <c r="M848" s="211">
        <f t="shared" si="52"/>
        <v>-46136</v>
      </c>
      <c r="N848" s="683">
        <f t="shared" si="54"/>
        <v>7</v>
      </c>
      <c r="O848" s="212"/>
      <c r="P848" s="544"/>
      <c r="Q848" s="561">
        <f t="shared" si="51"/>
        <v>0</v>
      </c>
      <c r="R848" s="58"/>
      <c r="S848" s="58"/>
      <c r="T848" s="58"/>
      <c r="U848" s="58"/>
      <c r="V848" s="58"/>
    </row>
    <row r="849" spans="1:22" ht="15.75" customHeight="1">
      <c r="A849" s="468" t="s">
        <v>348</v>
      </c>
      <c r="B849" s="204" t="s">
        <v>184</v>
      </c>
      <c r="C849" s="527"/>
      <c r="D849" s="267"/>
      <c r="E849" s="706"/>
      <c r="F849" s="267"/>
      <c r="G849" s="206"/>
      <c r="H849" s="214"/>
      <c r="I849" s="500"/>
      <c r="J849" s="555"/>
      <c r="K849" s="552">
        <f t="shared" si="53"/>
        <v>0</v>
      </c>
      <c r="L849" s="217"/>
      <c r="M849" s="211">
        <f t="shared" si="52"/>
        <v>-46136</v>
      </c>
      <c r="N849" s="683">
        <f t="shared" si="54"/>
        <v>7</v>
      </c>
      <c r="O849" s="212"/>
      <c r="P849" s="544"/>
      <c r="Q849" s="561">
        <f t="shared" si="51"/>
        <v>0</v>
      </c>
      <c r="R849" s="58"/>
      <c r="S849" s="58"/>
      <c r="T849" s="58"/>
      <c r="U849" s="58"/>
      <c r="V849" s="58"/>
    </row>
    <row r="850" spans="1:22" ht="15.75" customHeight="1">
      <c r="A850" s="468" t="s">
        <v>348</v>
      </c>
      <c r="B850" s="204" t="s">
        <v>184</v>
      </c>
      <c r="C850" s="527"/>
      <c r="D850" s="267"/>
      <c r="E850" s="706"/>
      <c r="F850" s="267"/>
      <c r="G850" s="486"/>
      <c r="H850" s="214"/>
      <c r="I850" s="503"/>
      <c r="J850" s="555"/>
      <c r="K850" s="552">
        <f t="shared" si="53"/>
        <v>0</v>
      </c>
      <c r="L850" s="217"/>
      <c r="M850" s="211">
        <f t="shared" si="52"/>
        <v>-46136</v>
      </c>
      <c r="N850" s="683">
        <f t="shared" si="54"/>
        <v>7</v>
      </c>
      <c r="O850" s="212"/>
      <c r="P850" s="544"/>
      <c r="Q850" s="561">
        <f t="shared" si="51"/>
        <v>0</v>
      </c>
      <c r="R850" s="58"/>
      <c r="S850" s="58"/>
      <c r="T850" s="58"/>
      <c r="U850" s="58"/>
      <c r="V850" s="58"/>
    </row>
    <row r="851" spans="1:22" ht="15.75" customHeight="1">
      <c r="A851" s="468" t="s">
        <v>348</v>
      </c>
      <c r="B851" s="204" t="s">
        <v>184</v>
      </c>
      <c r="C851" s="527"/>
      <c r="D851" s="267"/>
      <c r="E851" s="706"/>
      <c r="F851" s="267"/>
      <c r="G851" s="206"/>
      <c r="H851" s="214"/>
      <c r="I851" s="500"/>
      <c r="J851" s="555"/>
      <c r="K851" s="552">
        <f t="shared" si="53"/>
        <v>0</v>
      </c>
      <c r="L851" s="217"/>
      <c r="M851" s="211">
        <f t="shared" si="52"/>
        <v>-46136</v>
      </c>
      <c r="N851" s="683">
        <f t="shared" si="54"/>
        <v>7</v>
      </c>
      <c r="O851" s="212"/>
      <c r="P851" s="544"/>
      <c r="Q851" s="561">
        <f t="shared" si="51"/>
        <v>0</v>
      </c>
      <c r="R851" s="58"/>
      <c r="S851" s="58"/>
      <c r="T851" s="58"/>
      <c r="U851" s="58"/>
      <c r="V851" s="58"/>
    </row>
    <row r="852" spans="1:22" ht="15.75" customHeight="1">
      <c r="A852" s="468" t="s">
        <v>348</v>
      </c>
      <c r="B852" s="204" t="s">
        <v>184</v>
      </c>
      <c r="C852" s="527"/>
      <c r="D852" s="267"/>
      <c r="E852" s="706"/>
      <c r="F852" s="267"/>
      <c r="G852" s="206"/>
      <c r="H852" s="214"/>
      <c r="I852" s="500"/>
      <c r="J852" s="555"/>
      <c r="K852" s="552">
        <f t="shared" si="53"/>
        <v>0</v>
      </c>
      <c r="L852" s="217"/>
      <c r="M852" s="211">
        <f t="shared" si="52"/>
        <v>-46136</v>
      </c>
      <c r="N852" s="683">
        <f t="shared" si="54"/>
        <v>7</v>
      </c>
      <c r="O852" s="212"/>
      <c r="P852" s="544"/>
      <c r="Q852" s="561">
        <f t="shared" si="51"/>
        <v>0</v>
      </c>
      <c r="R852" s="58"/>
      <c r="S852" s="58"/>
      <c r="T852" s="58"/>
      <c r="U852" s="58"/>
      <c r="V852" s="58"/>
    </row>
    <row r="853" spans="1:22" ht="15.75" customHeight="1">
      <c r="A853" s="468" t="s">
        <v>348</v>
      </c>
      <c r="B853" s="204" t="s">
        <v>184</v>
      </c>
      <c r="C853" s="527"/>
      <c r="D853" s="267"/>
      <c r="E853" s="706"/>
      <c r="F853" s="267"/>
      <c r="G853" s="206"/>
      <c r="H853" s="214"/>
      <c r="I853" s="500"/>
      <c r="J853" s="555"/>
      <c r="K853" s="552">
        <f t="shared" si="53"/>
        <v>0</v>
      </c>
      <c r="L853" s="217"/>
      <c r="M853" s="211">
        <f t="shared" si="52"/>
        <v>-46136</v>
      </c>
      <c r="N853" s="683">
        <f t="shared" si="54"/>
        <v>7</v>
      </c>
      <c r="O853" s="212"/>
      <c r="P853" s="544"/>
      <c r="Q853" s="561">
        <f t="shared" si="51"/>
        <v>0</v>
      </c>
      <c r="R853" s="58"/>
      <c r="S853" s="58"/>
      <c r="T853" s="58"/>
      <c r="U853" s="58"/>
      <c r="V853" s="58"/>
    </row>
    <row r="854" spans="1:22" ht="15.75" customHeight="1">
      <c r="A854" s="468" t="s">
        <v>348</v>
      </c>
      <c r="B854" s="204" t="s">
        <v>184</v>
      </c>
      <c r="C854" s="527"/>
      <c r="D854" s="267"/>
      <c r="E854" s="706"/>
      <c r="F854" s="267"/>
      <c r="G854" s="206"/>
      <c r="H854" s="214"/>
      <c r="I854" s="500"/>
      <c r="J854" s="555"/>
      <c r="K854" s="552">
        <f t="shared" si="53"/>
        <v>0</v>
      </c>
      <c r="L854" s="217"/>
      <c r="M854" s="211">
        <f t="shared" si="52"/>
        <v>-46136</v>
      </c>
      <c r="N854" s="683">
        <f t="shared" si="54"/>
        <v>7</v>
      </c>
      <c r="O854" s="212"/>
      <c r="P854" s="544"/>
      <c r="Q854" s="561">
        <f t="shared" si="51"/>
        <v>0</v>
      </c>
      <c r="R854" s="58"/>
      <c r="S854" s="58"/>
      <c r="T854" s="58"/>
      <c r="U854" s="58"/>
      <c r="V854" s="58"/>
    </row>
    <row r="855" spans="1:22" ht="15.75" customHeight="1">
      <c r="A855" s="468" t="s">
        <v>348</v>
      </c>
      <c r="B855" s="204" t="s">
        <v>184</v>
      </c>
      <c r="C855" s="527"/>
      <c r="D855" s="267"/>
      <c r="E855" s="706"/>
      <c r="F855" s="267"/>
      <c r="G855" s="206"/>
      <c r="H855" s="214"/>
      <c r="I855" s="500"/>
      <c r="J855" s="555"/>
      <c r="K855" s="552">
        <f t="shared" si="53"/>
        <v>0</v>
      </c>
      <c r="L855" s="217"/>
      <c r="M855" s="211">
        <f t="shared" si="52"/>
        <v>-46136</v>
      </c>
      <c r="N855" s="683">
        <f t="shared" si="54"/>
        <v>7</v>
      </c>
      <c r="O855" s="212"/>
      <c r="P855" s="544"/>
      <c r="Q855" s="561">
        <f t="shared" si="51"/>
        <v>0</v>
      </c>
      <c r="R855" s="58"/>
      <c r="S855" s="58"/>
      <c r="T855" s="58"/>
      <c r="U855" s="58"/>
      <c r="V855" s="58"/>
    </row>
    <row r="856" spans="1:22" ht="15.75" customHeight="1">
      <c r="A856" s="468" t="s">
        <v>348</v>
      </c>
      <c r="B856" s="204" t="s">
        <v>184</v>
      </c>
      <c r="C856" s="527"/>
      <c r="D856" s="267"/>
      <c r="E856" s="706"/>
      <c r="F856" s="267"/>
      <c r="G856" s="206"/>
      <c r="H856" s="214"/>
      <c r="I856" s="500"/>
      <c r="J856" s="555"/>
      <c r="K856" s="552">
        <f t="shared" si="53"/>
        <v>0</v>
      </c>
      <c r="L856" s="217"/>
      <c r="M856" s="211">
        <f t="shared" si="52"/>
        <v>-46136</v>
      </c>
      <c r="N856" s="683">
        <f t="shared" si="54"/>
        <v>7</v>
      </c>
      <c r="O856" s="212"/>
      <c r="P856" s="544"/>
      <c r="Q856" s="561">
        <f t="shared" si="51"/>
        <v>0</v>
      </c>
      <c r="R856" s="58"/>
      <c r="S856" s="58"/>
      <c r="T856" s="58"/>
      <c r="U856" s="58"/>
      <c r="V856" s="58"/>
    </row>
    <row r="857" spans="1:22" ht="15.75" customHeight="1">
      <c r="A857" s="468" t="s">
        <v>348</v>
      </c>
      <c r="B857" s="204" t="s">
        <v>184</v>
      </c>
      <c r="C857" s="527"/>
      <c r="D857" s="267"/>
      <c r="E857" s="706"/>
      <c r="F857" s="267"/>
      <c r="G857" s="206"/>
      <c r="H857" s="214"/>
      <c r="I857" s="500"/>
      <c r="J857" s="555"/>
      <c r="K857" s="552">
        <f t="shared" si="53"/>
        <v>0</v>
      </c>
      <c r="L857" s="217"/>
      <c r="M857" s="211">
        <f t="shared" si="52"/>
        <v>-46136</v>
      </c>
      <c r="N857" s="683">
        <f t="shared" si="54"/>
        <v>7</v>
      </c>
      <c r="O857" s="212"/>
      <c r="P857" s="544"/>
      <c r="Q857" s="561">
        <f t="shared" si="51"/>
        <v>0</v>
      </c>
      <c r="R857" s="58"/>
      <c r="S857" s="58"/>
      <c r="T857" s="58"/>
      <c r="U857" s="58"/>
      <c r="V857" s="58"/>
    </row>
    <row r="858" spans="1:22" ht="15.75" customHeight="1">
      <c r="A858" s="468" t="s">
        <v>348</v>
      </c>
      <c r="B858" s="204" t="s">
        <v>184</v>
      </c>
      <c r="C858" s="527"/>
      <c r="D858" s="267"/>
      <c r="E858" s="706"/>
      <c r="F858" s="267"/>
      <c r="G858" s="206"/>
      <c r="H858" s="214"/>
      <c r="I858" s="500"/>
      <c r="J858" s="555"/>
      <c r="K858" s="552">
        <f t="shared" si="53"/>
        <v>0</v>
      </c>
      <c r="L858" s="217"/>
      <c r="M858" s="211">
        <f t="shared" si="52"/>
        <v>-46136</v>
      </c>
      <c r="N858" s="683">
        <f t="shared" si="54"/>
        <v>7</v>
      </c>
      <c r="O858" s="212"/>
      <c r="P858" s="544"/>
      <c r="Q858" s="561">
        <f t="shared" si="51"/>
        <v>0</v>
      </c>
      <c r="R858" s="58"/>
      <c r="S858" s="58"/>
      <c r="T858" s="58"/>
      <c r="U858" s="58"/>
      <c r="V858" s="58"/>
    </row>
    <row r="859" spans="1:22" ht="15.75" customHeight="1">
      <c r="A859" s="468" t="s">
        <v>348</v>
      </c>
      <c r="B859" s="204" t="s">
        <v>184</v>
      </c>
      <c r="C859" s="527"/>
      <c r="D859" s="267"/>
      <c r="E859" s="706"/>
      <c r="F859" s="267"/>
      <c r="G859" s="206"/>
      <c r="H859" s="214"/>
      <c r="I859" s="501"/>
      <c r="J859" s="555"/>
      <c r="K859" s="552">
        <f t="shared" si="53"/>
        <v>0</v>
      </c>
      <c r="L859" s="217"/>
      <c r="M859" s="211">
        <f t="shared" si="52"/>
        <v>-46136</v>
      </c>
      <c r="N859" s="683">
        <f t="shared" si="54"/>
        <v>7</v>
      </c>
      <c r="O859" s="212"/>
      <c r="P859" s="544"/>
      <c r="Q859" s="561">
        <f t="shared" si="51"/>
        <v>0</v>
      </c>
      <c r="R859" s="58"/>
      <c r="S859" s="58"/>
      <c r="T859" s="58"/>
      <c r="U859" s="58"/>
      <c r="V859" s="58"/>
    </row>
    <row r="860" spans="1:22" ht="15.75" customHeight="1">
      <c r="A860" s="468" t="s">
        <v>348</v>
      </c>
      <c r="B860" s="204" t="s">
        <v>184</v>
      </c>
      <c r="C860" s="527"/>
      <c r="D860" s="267"/>
      <c r="E860" s="706"/>
      <c r="F860" s="267"/>
      <c r="G860" s="206"/>
      <c r="H860" s="214"/>
      <c r="I860" s="500"/>
      <c r="J860" s="555"/>
      <c r="K860" s="552">
        <f t="shared" si="53"/>
        <v>0</v>
      </c>
      <c r="L860" s="217"/>
      <c r="M860" s="211">
        <f t="shared" si="52"/>
        <v>-46136</v>
      </c>
      <c r="N860" s="683">
        <f t="shared" si="54"/>
        <v>7</v>
      </c>
      <c r="O860" s="212"/>
      <c r="P860" s="544"/>
      <c r="Q860" s="561">
        <f t="shared" si="51"/>
        <v>0</v>
      </c>
      <c r="R860" s="58"/>
      <c r="S860" s="58"/>
      <c r="T860" s="58"/>
      <c r="U860" s="58"/>
      <c r="V860" s="58"/>
    </row>
    <row r="861" spans="1:22" ht="15.75" customHeight="1">
      <c r="A861" s="468" t="s">
        <v>348</v>
      </c>
      <c r="B861" s="204" t="s">
        <v>184</v>
      </c>
      <c r="C861" s="527"/>
      <c r="D861" s="267"/>
      <c r="E861" s="706"/>
      <c r="F861" s="267"/>
      <c r="G861" s="206"/>
      <c r="H861" s="214"/>
      <c r="I861" s="500"/>
      <c r="J861" s="555"/>
      <c r="K861" s="552">
        <f t="shared" si="53"/>
        <v>0</v>
      </c>
      <c r="L861" s="217"/>
      <c r="M861" s="211">
        <f t="shared" si="52"/>
        <v>-46136</v>
      </c>
      <c r="N861" s="683">
        <f t="shared" si="54"/>
        <v>7</v>
      </c>
      <c r="O861" s="212"/>
      <c r="P861" s="544"/>
      <c r="Q861" s="561">
        <f t="shared" si="51"/>
        <v>0</v>
      </c>
      <c r="R861" s="58"/>
      <c r="S861" s="58"/>
      <c r="T861" s="58"/>
      <c r="U861" s="58"/>
      <c r="V861" s="58"/>
    </row>
    <row r="862" spans="1:22" ht="15.75" customHeight="1">
      <c r="A862" s="468" t="s">
        <v>348</v>
      </c>
      <c r="B862" s="204" t="s">
        <v>184</v>
      </c>
      <c r="C862" s="527"/>
      <c r="D862" s="267"/>
      <c r="E862" s="706"/>
      <c r="F862" s="267"/>
      <c r="G862" s="206"/>
      <c r="H862" s="214"/>
      <c r="I862" s="502"/>
      <c r="J862" s="555"/>
      <c r="K862" s="552">
        <f t="shared" si="53"/>
        <v>0</v>
      </c>
      <c r="L862" s="217"/>
      <c r="M862" s="211">
        <f t="shared" si="52"/>
        <v>-46136</v>
      </c>
      <c r="N862" s="683">
        <f t="shared" si="54"/>
        <v>7</v>
      </c>
      <c r="O862" s="212"/>
      <c r="P862" s="544"/>
      <c r="Q862" s="561">
        <f t="shared" si="51"/>
        <v>0</v>
      </c>
      <c r="R862" s="58"/>
      <c r="S862" s="58"/>
      <c r="T862" s="58"/>
      <c r="U862" s="58"/>
      <c r="V862" s="58"/>
    </row>
    <row r="863" spans="1:22" ht="15.75" customHeight="1">
      <c r="A863" s="468" t="s">
        <v>348</v>
      </c>
      <c r="B863" s="204" t="s">
        <v>184</v>
      </c>
      <c r="C863" s="527"/>
      <c r="D863" s="267"/>
      <c r="E863" s="706"/>
      <c r="F863" s="267"/>
      <c r="G863" s="206"/>
      <c r="H863" s="214"/>
      <c r="I863" s="502"/>
      <c r="J863" s="555"/>
      <c r="K863" s="552">
        <f t="shared" si="53"/>
        <v>0</v>
      </c>
      <c r="L863" s="217"/>
      <c r="M863" s="211">
        <f t="shared" si="52"/>
        <v>-46136</v>
      </c>
      <c r="N863" s="683">
        <f t="shared" si="54"/>
        <v>7</v>
      </c>
      <c r="O863" s="212"/>
      <c r="P863" s="544"/>
      <c r="Q863" s="561">
        <f t="shared" si="51"/>
        <v>0</v>
      </c>
      <c r="R863" s="58"/>
      <c r="S863" s="58"/>
      <c r="T863" s="58"/>
      <c r="U863" s="58"/>
      <c r="V863" s="58"/>
    </row>
    <row r="864" spans="1:22" ht="15.75" customHeight="1">
      <c r="A864" s="468" t="s">
        <v>348</v>
      </c>
      <c r="B864" s="204" t="s">
        <v>184</v>
      </c>
      <c r="C864" s="527"/>
      <c r="D864" s="267"/>
      <c r="E864" s="706"/>
      <c r="F864" s="267"/>
      <c r="G864" s="206"/>
      <c r="H864" s="214"/>
      <c r="I864" s="502"/>
      <c r="J864" s="555"/>
      <c r="K864" s="552">
        <f t="shared" si="53"/>
        <v>0</v>
      </c>
      <c r="L864" s="217"/>
      <c r="M864" s="211">
        <f t="shared" si="52"/>
        <v>-46136</v>
      </c>
      <c r="N864" s="683">
        <f t="shared" si="54"/>
        <v>7</v>
      </c>
      <c r="O864" s="212"/>
      <c r="P864" s="544"/>
      <c r="Q864" s="561">
        <f t="shared" si="51"/>
        <v>0</v>
      </c>
      <c r="R864" s="58"/>
      <c r="S864" s="58"/>
      <c r="T864" s="58"/>
      <c r="U864" s="58"/>
      <c r="V864" s="58"/>
    </row>
    <row r="865" spans="1:22" ht="15.75" customHeight="1">
      <c r="A865" s="468" t="s">
        <v>348</v>
      </c>
      <c r="B865" s="204" t="s">
        <v>184</v>
      </c>
      <c r="C865" s="527"/>
      <c r="D865" s="267"/>
      <c r="E865" s="706"/>
      <c r="F865" s="267"/>
      <c r="G865" s="206"/>
      <c r="H865" s="214"/>
      <c r="I865" s="500"/>
      <c r="J865" s="555"/>
      <c r="K865" s="552">
        <f t="shared" si="53"/>
        <v>0</v>
      </c>
      <c r="L865" s="217"/>
      <c r="M865" s="211">
        <f t="shared" si="52"/>
        <v>-46136</v>
      </c>
      <c r="N865" s="683">
        <f t="shared" si="54"/>
        <v>7</v>
      </c>
      <c r="O865" s="212"/>
      <c r="P865" s="544"/>
      <c r="Q865" s="561">
        <f t="shared" si="51"/>
        <v>0</v>
      </c>
      <c r="R865" s="58"/>
      <c r="S865" s="58"/>
      <c r="T865" s="58"/>
      <c r="U865" s="58"/>
      <c r="V865" s="58"/>
    </row>
    <row r="866" spans="1:22" ht="15.75" customHeight="1">
      <c r="A866" s="468" t="s">
        <v>348</v>
      </c>
      <c r="B866" s="204" t="s">
        <v>184</v>
      </c>
      <c r="C866" s="527"/>
      <c r="D866" s="267"/>
      <c r="E866" s="706"/>
      <c r="F866" s="267"/>
      <c r="G866" s="206"/>
      <c r="H866" s="214"/>
      <c r="I866" s="502"/>
      <c r="J866" s="555"/>
      <c r="K866" s="552">
        <f t="shared" si="53"/>
        <v>0</v>
      </c>
      <c r="L866" s="217"/>
      <c r="M866" s="211">
        <f t="shared" si="52"/>
        <v>-46136</v>
      </c>
      <c r="N866" s="683">
        <f t="shared" si="54"/>
        <v>7</v>
      </c>
      <c r="O866" s="212"/>
      <c r="P866" s="544"/>
      <c r="Q866" s="561">
        <f t="shared" si="51"/>
        <v>0</v>
      </c>
      <c r="R866" s="58"/>
      <c r="S866" s="58"/>
      <c r="T866" s="58"/>
      <c r="U866" s="58"/>
      <c r="V866" s="58"/>
    </row>
    <row r="867" spans="1:22" ht="15.75" customHeight="1">
      <c r="A867" s="468" t="s">
        <v>348</v>
      </c>
      <c r="B867" s="204" t="s">
        <v>184</v>
      </c>
      <c r="C867" s="527"/>
      <c r="D867" s="267"/>
      <c r="E867" s="706"/>
      <c r="F867" s="267"/>
      <c r="G867" s="206"/>
      <c r="H867" s="214"/>
      <c r="I867" s="502"/>
      <c r="J867" s="555"/>
      <c r="K867" s="552">
        <f t="shared" si="53"/>
        <v>0</v>
      </c>
      <c r="L867" s="217"/>
      <c r="M867" s="211">
        <f t="shared" si="52"/>
        <v>-46136</v>
      </c>
      <c r="N867" s="683">
        <f t="shared" si="54"/>
        <v>7</v>
      </c>
      <c r="O867" s="212"/>
      <c r="P867" s="544"/>
      <c r="Q867" s="561">
        <f t="shared" si="51"/>
        <v>0</v>
      </c>
      <c r="R867" s="58"/>
      <c r="S867" s="58"/>
      <c r="T867" s="58"/>
      <c r="U867" s="58"/>
      <c r="V867" s="58"/>
    </row>
    <row r="868" spans="1:22" ht="15.75" customHeight="1">
      <c r="A868" s="468" t="s">
        <v>348</v>
      </c>
      <c r="B868" s="204" t="s">
        <v>184</v>
      </c>
      <c r="C868" s="527"/>
      <c r="D868" s="267"/>
      <c r="E868" s="706"/>
      <c r="F868" s="267"/>
      <c r="G868" s="206"/>
      <c r="H868" s="214"/>
      <c r="I868" s="502"/>
      <c r="J868" s="555"/>
      <c r="K868" s="552">
        <f t="shared" si="53"/>
        <v>0</v>
      </c>
      <c r="L868" s="217"/>
      <c r="M868" s="211">
        <f t="shared" si="52"/>
        <v>-46136</v>
      </c>
      <c r="N868" s="683">
        <f t="shared" si="54"/>
        <v>7</v>
      </c>
      <c r="O868" s="212"/>
      <c r="P868" s="544"/>
      <c r="Q868" s="561">
        <f t="shared" si="51"/>
        <v>0</v>
      </c>
      <c r="R868" s="58"/>
      <c r="S868" s="58"/>
      <c r="T868" s="58"/>
      <c r="U868" s="58"/>
      <c r="V868" s="58"/>
    </row>
    <row r="869" spans="1:22" ht="15.75" customHeight="1">
      <c r="A869" s="468" t="s">
        <v>348</v>
      </c>
      <c r="B869" s="204" t="s">
        <v>184</v>
      </c>
      <c r="C869" s="527"/>
      <c r="D869" s="267"/>
      <c r="E869" s="706"/>
      <c r="F869" s="267"/>
      <c r="G869" s="206"/>
      <c r="H869" s="214"/>
      <c r="I869" s="502"/>
      <c r="J869" s="555"/>
      <c r="K869" s="552">
        <f t="shared" si="53"/>
        <v>0</v>
      </c>
      <c r="L869" s="217"/>
      <c r="M869" s="211">
        <f t="shared" si="52"/>
        <v>-46136</v>
      </c>
      <c r="N869" s="683">
        <f t="shared" si="54"/>
        <v>7</v>
      </c>
      <c r="O869" s="212"/>
      <c r="P869" s="544"/>
      <c r="Q869" s="561">
        <f t="shared" ref="Q869:Q932" si="55">+K869+J869</f>
        <v>0</v>
      </c>
      <c r="R869" s="58"/>
      <c r="S869" s="58"/>
      <c r="T869" s="58"/>
      <c r="U869" s="58"/>
      <c r="V869" s="58"/>
    </row>
    <row r="870" spans="1:22" ht="15.75" customHeight="1">
      <c r="A870" s="468" t="s">
        <v>348</v>
      </c>
      <c r="B870" s="204" t="s">
        <v>184</v>
      </c>
      <c r="C870" s="527"/>
      <c r="D870" s="267"/>
      <c r="E870" s="706"/>
      <c r="F870" s="267"/>
      <c r="G870" s="206"/>
      <c r="H870" s="214"/>
      <c r="I870" s="500"/>
      <c r="J870" s="555"/>
      <c r="K870" s="552">
        <f t="shared" si="53"/>
        <v>0</v>
      </c>
      <c r="L870" s="217"/>
      <c r="M870" s="211">
        <f t="shared" si="52"/>
        <v>-46136</v>
      </c>
      <c r="N870" s="683">
        <f t="shared" si="54"/>
        <v>7</v>
      </c>
      <c r="O870" s="212"/>
      <c r="P870" s="544"/>
      <c r="Q870" s="561">
        <f t="shared" si="55"/>
        <v>0</v>
      </c>
      <c r="R870" s="58"/>
      <c r="S870" s="58"/>
      <c r="T870" s="58"/>
      <c r="U870" s="58"/>
      <c r="V870" s="58"/>
    </row>
    <row r="871" spans="1:22" ht="15.75" customHeight="1">
      <c r="A871" s="468" t="s">
        <v>348</v>
      </c>
      <c r="B871" s="204" t="s">
        <v>184</v>
      </c>
      <c r="C871" s="527"/>
      <c r="D871" s="267"/>
      <c r="E871" s="706"/>
      <c r="F871" s="267"/>
      <c r="G871" s="206"/>
      <c r="H871" s="214"/>
      <c r="I871" s="500"/>
      <c r="J871" s="555"/>
      <c r="K871" s="552">
        <f t="shared" si="53"/>
        <v>0</v>
      </c>
      <c r="L871" s="217"/>
      <c r="M871" s="211">
        <f t="shared" si="52"/>
        <v>-46136</v>
      </c>
      <c r="N871" s="683">
        <f t="shared" si="54"/>
        <v>7</v>
      </c>
      <c r="O871" s="212"/>
      <c r="P871" s="544"/>
      <c r="Q871" s="561">
        <f t="shared" si="55"/>
        <v>0</v>
      </c>
      <c r="R871" s="58"/>
      <c r="S871" s="58"/>
      <c r="T871" s="58"/>
      <c r="U871" s="58"/>
      <c r="V871" s="58"/>
    </row>
    <row r="872" spans="1:22" ht="15.75" customHeight="1">
      <c r="A872" s="468" t="s">
        <v>348</v>
      </c>
      <c r="B872" s="204" t="s">
        <v>184</v>
      </c>
      <c r="C872" s="527"/>
      <c r="D872" s="267"/>
      <c r="E872" s="706"/>
      <c r="F872" s="267"/>
      <c r="G872" s="206"/>
      <c r="H872" s="214"/>
      <c r="I872" s="502"/>
      <c r="J872" s="555"/>
      <c r="K872" s="552">
        <f t="shared" si="53"/>
        <v>0</v>
      </c>
      <c r="L872" s="217"/>
      <c r="M872" s="211">
        <f t="shared" si="52"/>
        <v>-46136</v>
      </c>
      <c r="N872" s="683">
        <f t="shared" si="54"/>
        <v>7</v>
      </c>
      <c r="O872" s="212"/>
      <c r="P872" s="544"/>
      <c r="Q872" s="561">
        <f t="shared" si="55"/>
        <v>0</v>
      </c>
      <c r="R872" s="58"/>
      <c r="S872" s="58"/>
      <c r="T872" s="58"/>
      <c r="U872" s="58"/>
      <c r="V872" s="58"/>
    </row>
    <row r="873" spans="1:22" ht="15.75" customHeight="1">
      <c r="A873" s="468" t="s">
        <v>348</v>
      </c>
      <c r="B873" s="204" t="s">
        <v>184</v>
      </c>
      <c r="C873" s="527"/>
      <c r="D873" s="267"/>
      <c r="E873" s="706"/>
      <c r="F873" s="267"/>
      <c r="G873" s="206"/>
      <c r="H873" s="214"/>
      <c r="I873" s="502"/>
      <c r="J873" s="555"/>
      <c r="K873" s="552">
        <f t="shared" si="53"/>
        <v>0</v>
      </c>
      <c r="L873" s="217"/>
      <c r="M873" s="211">
        <f t="shared" si="52"/>
        <v>-46136</v>
      </c>
      <c r="N873" s="683">
        <f t="shared" si="54"/>
        <v>7</v>
      </c>
      <c r="O873" s="212"/>
      <c r="P873" s="544"/>
      <c r="Q873" s="561">
        <f t="shared" si="55"/>
        <v>0</v>
      </c>
      <c r="R873" s="58"/>
      <c r="S873" s="58"/>
      <c r="T873" s="58"/>
      <c r="U873" s="58"/>
      <c r="V873" s="58"/>
    </row>
    <row r="874" spans="1:22" ht="15.75" customHeight="1">
      <c r="A874" s="468" t="s">
        <v>348</v>
      </c>
      <c r="B874" s="204" t="s">
        <v>184</v>
      </c>
      <c r="C874" s="527"/>
      <c r="D874" s="267"/>
      <c r="E874" s="706"/>
      <c r="F874" s="267"/>
      <c r="G874" s="206"/>
      <c r="H874" s="214"/>
      <c r="I874" s="502"/>
      <c r="J874" s="555"/>
      <c r="K874" s="552">
        <f t="shared" si="53"/>
        <v>0</v>
      </c>
      <c r="L874" s="217"/>
      <c r="M874" s="211">
        <f t="shared" si="52"/>
        <v>-46136</v>
      </c>
      <c r="N874" s="683">
        <f t="shared" si="54"/>
        <v>7</v>
      </c>
      <c r="O874" s="212"/>
      <c r="P874" s="544"/>
      <c r="Q874" s="561">
        <f t="shared" si="55"/>
        <v>0</v>
      </c>
      <c r="R874" s="58"/>
      <c r="S874" s="58"/>
      <c r="T874" s="58"/>
      <c r="U874" s="58"/>
      <c r="V874" s="58"/>
    </row>
    <row r="875" spans="1:22" ht="15.75" customHeight="1">
      <c r="A875" s="468" t="s">
        <v>348</v>
      </c>
      <c r="B875" s="204" t="s">
        <v>184</v>
      </c>
      <c r="C875" s="527"/>
      <c r="D875" s="267"/>
      <c r="E875" s="706"/>
      <c r="F875" s="267"/>
      <c r="G875" s="206"/>
      <c r="H875" s="214"/>
      <c r="I875" s="500"/>
      <c r="J875" s="555"/>
      <c r="K875" s="552">
        <f t="shared" si="53"/>
        <v>0</v>
      </c>
      <c r="L875" s="217"/>
      <c r="M875" s="211">
        <f t="shared" si="52"/>
        <v>-46136</v>
      </c>
      <c r="N875" s="683">
        <f t="shared" si="54"/>
        <v>7</v>
      </c>
      <c r="O875" s="212"/>
      <c r="P875" s="544"/>
      <c r="Q875" s="561">
        <f t="shared" si="55"/>
        <v>0</v>
      </c>
      <c r="R875" s="58"/>
      <c r="S875" s="58"/>
      <c r="T875" s="58"/>
      <c r="U875" s="58"/>
      <c r="V875" s="58"/>
    </row>
    <row r="876" spans="1:22" ht="15.75" customHeight="1">
      <c r="A876" s="468" t="s">
        <v>348</v>
      </c>
      <c r="B876" s="204" t="s">
        <v>184</v>
      </c>
      <c r="C876" s="527"/>
      <c r="D876" s="267"/>
      <c r="E876" s="706"/>
      <c r="F876" s="267"/>
      <c r="G876" s="206"/>
      <c r="H876" s="214"/>
      <c r="I876" s="502"/>
      <c r="J876" s="555"/>
      <c r="K876" s="552">
        <f t="shared" si="53"/>
        <v>0</v>
      </c>
      <c r="L876" s="217"/>
      <c r="M876" s="211">
        <f t="shared" si="52"/>
        <v>-46136</v>
      </c>
      <c r="N876" s="683">
        <f t="shared" si="54"/>
        <v>7</v>
      </c>
      <c r="O876" s="212"/>
      <c r="P876" s="544"/>
      <c r="Q876" s="561">
        <f t="shared" si="55"/>
        <v>0</v>
      </c>
      <c r="R876" s="58"/>
      <c r="S876" s="58"/>
      <c r="T876" s="58"/>
      <c r="U876" s="58"/>
      <c r="V876" s="58"/>
    </row>
    <row r="877" spans="1:22" ht="15.75" customHeight="1">
      <c r="A877" s="468" t="s">
        <v>348</v>
      </c>
      <c r="B877" s="204" t="s">
        <v>184</v>
      </c>
      <c r="C877" s="527"/>
      <c r="D877" s="267"/>
      <c r="E877" s="706"/>
      <c r="F877" s="267"/>
      <c r="G877" s="206"/>
      <c r="H877" s="214"/>
      <c r="I877" s="501"/>
      <c r="J877" s="555"/>
      <c r="K877" s="552">
        <f t="shared" si="53"/>
        <v>0</v>
      </c>
      <c r="L877" s="217"/>
      <c r="M877" s="211">
        <f t="shared" si="52"/>
        <v>-46136</v>
      </c>
      <c r="N877" s="683">
        <f t="shared" si="54"/>
        <v>7</v>
      </c>
      <c r="O877" s="212"/>
      <c r="P877" s="544"/>
      <c r="Q877" s="561">
        <f t="shared" si="55"/>
        <v>0</v>
      </c>
      <c r="R877" s="58"/>
      <c r="S877" s="58"/>
      <c r="T877" s="58"/>
      <c r="U877" s="58"/>
      <c r="V877" s="58"/>
    </row>
    <row r="878" spans="1:22" ht="15.75" customHeight="1">
      <c r="A878" s="468" t="s">
        <v>348</v>
      </c>
      <c r="B878" s="204" t="s">
        <v>184</v>
      </c>
      <c r="C878" s="527"/>
      <c r="D878" s="267"/>
      <c r="E878" s="706"/>
      <c r="F878" s="267"/>
      <c r="G878" s="206"/>
      <c r="H878" s="214"/>
      <c r="I878" s="501"/>
      <c r="J878" s="555"/>
      <c r="K878" s="552">
        <f t="shared" si="53"/>
        <v>0</v>
      </c>
      <c r="L878" s="217"/>
      <c r="M878" s="211">
        <f t="shared" si="52"/>
        <v>-46136</v>
      </c>
      <c r="N878" s="683">
        <f t="shared" si="54"/>
        <v>7</v>
      </c>
      <c r="O878" s="212"/>
      <c r="P878" s="544"/>
      <c r="Q878" s="561">
        <f t="shared" si="55"/>
        <v>0</v>
      </c>
      <c r="R878" s="58"/>
      <c r="S878" s="58"/>
      <c r="T878" s="58"/>
      <c r="U878" s="58"/>
      <c r="V878" s="58"/>
    </row>
    <row r="879" spans="1:22" ht="15.75" customHeight="1">
      <c r="A879" s="468" t="s">
        <v>348</v>
      </c>
      <c r="B879" s="204" t="s">
        <v>184</v>
      </c>
      <c r="C879" s="527"/>
      <c r="D879" s="267"/>
      <c r="E879" s="706"/>
      <c r="F879" s="267"/>
      <c r="G879" s="206"/>
      <c r="H879" s="214"/>
      <c r="I879" s="501"/>
      <c r="J879" s="555"/>
      <c r="K879" s="552">
        <f t="shared" si="53"/>
        <v>0</v>
      </c>
      <c r="L879" s="217"/>
      <c r="M879" s="211">
        <f t="shared" si="52"/>
        <v>-46136</v>
      </c>
      <c r="N879" s="683">
        <f t="shared" si="54"/>
        <v>7</v>
      </c>
      <c r="O879" s="212"/>
      <c r="P879" s="544"/>
      <c r="Q879" s="561">
        <f t="shared" si="55"/>
        <v>0</v>
      </c>
      <c r="R879" s="58"/>
      <c r="S879" s="58"/>
      <c r="T879" s="58"/>
      <c r="U879" s="58"/>
      <c r="V879" s="58"/>
    </row>
    <row r="880" spans="1:22" ht="15.75" customHeight="1">
      <c r="A880" s="468" t="s">
        <v>348</v>
      </c>
      <c r="B880" s="204" t="s">
        <v>184</v>
      </c>
      <c r="C880" s="527"/>
      <c r="D880" s="267"/>
      <c r="E880" s="706"/>
      <c r="F880" s="267"/>
      <c r="G880" s="206"/>
      <c r="H880" s="214"/>
      <c r="I880" s="501"/>
      <c r="J880" s="555"/>
      <c r="K880" s="552">
        <f t="shared" si="53"/>
        <v>0</v>
      </c>
      <c r="L880" s="217"/>
      <c r="M880" s="211">
        <f t="shared" si="52"/>
        <v>-46136</v>
      </c>
      <c r="N880" s="683">
        <f t="shared" si="54"/>
        <v>7</v>
      </c>
      <c r="O880" s="212"/>
      <c r="P880" s="544"/>
      <c r="Q880" s="561">
        <f t="shared" si="55"/>
        <v>0</v>
      </c>
      <c r="R880" s="58"/>
      <c r="S880" s="58"/>
      <c r="T880" s="58"/>
      <c r="U880" s="58"/>
      <c r="V880" s="58"/>
    </row>
    <row r="881" spans="1:22" ht="15.75" customHeight="1">
      <c r="A881" s="468" t="s">
        <v>348</v>
      </c>
      <c r="B881" s="204" t="s">
        <v>184</v>
      </c>
      <c r="C881" s="527"/>
      <c r="D881" s="267"/>
      <c r="E881" s="706"/>
      <c r="F881" s="267"/>
      <c r="G881" s="206"/>
      <c r="H881" s="214"/>
      <c r="I881" s="501"/>
      <c r="J881" s="555"/>
      <c r="K881" s="552">
        <f t="shared" si="53"/>
        <v>0</v>
      </c>
      <c r="L881" s="217"/>
      <c r="M881" s="211">
        <f t="shared" si="52"/>
        <v>-46136</v>
      </c>
      <c r="N881" s="683">
        <f t="shared" si="54"/>
        <v>7</v>
      </c>
      <c r="O881" s="212"/>
      <c r="P881" s="544"/>
      <c r="Q881" s="561">
        <f t="shared" si="55"/>
        <v>0</v>
      </c>
      <c r="R881" s="58"/>
      <c r="S881" s="58"/>
      <c r="T881" s="58"/>
      <c r="U881" s="58"/>
      <c r="V881" s="58"/>
    </row>
    <row r="882" spans="1:22" ht="15.75" customHeight="1">
      <c r="A882" s="468" t="s">
        <v>348</v>
      </c>
      <c r="B882" s="204" t="s">
        <v>184</v>
      </c>
      <c r="C882" s="527"/>
      <c r="D882" s="267"/>
      <c r="E882" s="706"/>
      <c r="F882" s="267"/>
      <c r="G882" s="206"/>
      <c r="H882" s="214"/>
      <c r="I882" s="501"/>
      <c r="J882" s="555"/>
      <c r="K882" s="552">
        <f t="shared" si="53"/>
        <v>0</v>
      </c>
      <c r="L882" s="217"/>
      <c r="M882" s="211">
        <f t="shared" si="52"/>
        <v>-46136</v>
      </c>
      <c r="N882" s="683">
        <f t="shared" si="54"/>
        <v>7</v>
      </c>
      <c r="O882" s="212"/>
      <c r="P882" s="544"/>
      <c r="Q882" s="561">
        <f t="shared" si="55"/>
        <v>0</v>
      </c>
      <c r="R882" s="58"/>
      <c r="S882" s="58"/>
      <c r="T882" s="58"/>
      <c r="U882" s="58"/>
      <c r="V882" s="58"/>
    </row>
    <row r="883" spans="1:22" ht="15.75" customHeight="1">
      <c r="A883" s="468" t="s">
        <v>348</v>
      </c>
      <c r="B883" s="204" t="s">
        <v>184</v>
      </c>
      <c r="C883" s="527"/>
      <c r="D883" s="267"/>
      <c r="E883" s="706"/>
      <c r="F883" s="267"/>
      <c r="G883" s="206"/>
      <c r="H883" s="214"/>
      <c r="I883" s="502"/>
      <c r="J883" s="555"/>
      <c r="K883" s="552">
        <f t="shared" si="53"/>
        <v>0</v>
      </c>
      <c r="L883" s="217"/>
      <c r="M883" s="211">
        <f t="shared" si="52"/>
        <v>-46136</v>
      </c>
      <c r="N883" s="683">
        <f t="shared" si="54"/>
        <v>7</v>
      </c>
      <c r="O883" s="212"/>
      <c r="P883" s="544"/>
      <c r="Q883" s="561">
        <f t="shared" si="55"/>
        <v>0</v>
      </c>
      <c r="R883" s="58"/>
      <c r="S883" s="58"/>
      <c r="T883" s="58"/>
      <c r="U883" s="58"/>
      <c r="V883" s="58"/>
    </row>
    <row r="884" spans="1:22" ht="15.75" customHeight="1">
      <c r="A884" s="468" t="s">
        <v>348</v>
      </c>
      <c r="B884" s="204" t="s">
        <v>184</v>
      </c>
      <c r="C884" s="527"/>
      <c r="D884" s="267"/>
      <c r="E884" s="706"/>
      <c r="F884" s="267"/>
      <c r="G884" s="206"/>
      <c r="H884" s="214"/>
      <c r="I884" s="501"/>
      <c r="J884" s="555"/>
      <c r="K884" s="552">
        <f t="shared" si="53"/>
        <v>0</v>
      </c>
      <c r="L884" s="217"/>
      <c r="M884" s="211">
        <f t="shared" si="52"/>
        <v>-46136</v>
      </c>
      <c r="N884" s="683">
        <f t="shared" si="54"/>
        <v>7</v>
      </c>
      <c r="O884" s="212"/>
      <c r="P884" s="544"/>
      <c r="Q884" s="561">
        <f t="shared" si="55"/>
        <v>0</v>
      </c>
      <c r="R884" s="58"/>
      <c r="S884" s="58"/>
      <c r="T884" s="58"/>
      <c r="U884" s="58"/>
      <c r="V884" s="58"/>
    </row>
    <row r="885" spans="1:22" ht="15.75" customHeight="1">
      <c r="A885" s="468" t="s">
        <v>348</v>
      </c>
      <c r="B885" s="204" t="s">
        <v>184</v>
      </c>
      <c r="C885" s="527"/>
      <c r="D885" s="267"/>
      <c r="E885" s="706"/>
      <c r="F885" s="267"/>
      <c r="G885" s="206"/>
      <c r="H885" s="214"/>
      <c r="I885" s="501"/>
      <c r="J885" s="555"/>
      <c r="K885" s="552">
        <f t="shared" si="53"/>
        <v>0</v>
      </c>
      <c r="L885" s="217"/>
      <c r="M885" s="211">
        <f t="shared" si="52"/>
        <v>-46136</v>
      </c>
      <c r="N885" s="683">
        <f t="shared" si="54"/>
        <v>7</v>
      </c>
      <c r="O885" s="212"/>
      <c r="P885" s="544"/>
      <c r="Q885" s="561">
        <f t="shared" si="55"/>
        <v>0</v>
      </c>
      <c r="R885" s="58"/>
      <c r="S885" s="58"/>
      <c r="T885" s="58"/>
      <c r="U885" s="58"/>
      <c r="V885" s="58"/>
    </row>
    <row r="886" spans="1:22" ht="15.75" customHeight="1">
      <c r="A886" s="468" t="s">
        <v>348</v>
      </c>
      <c r="B886" s="204" t="s">
        <v>184</v>
      </c>
      <c r="C886" s="527"/>
      <c r="D886" s="267"/>
      <c r="E886" s="706"/>
      <c r="F886" s="267"/>
      <c r="G886" s="206"/>
      <c r="H886" s="214"/>
      <c r="I886" s="501"/>
      <c r="J886" s="555"/>
      <c r="K886" s="552">
        <f t="shared" si="53"/>
        <v>0</v>
      </c>
      <c r="L886" s="217"/>
      <c r="M886" s="211">
        <f t="shared" si="52"/>
        <v>-46136</v>
      </c>
      <c r="N886" s="683">
        <f t="shared" si="54"/>
        <v>7</v>
      </c>
      <c r="O886" s="212"/>
      <c r="P886" s="544"/>
      <c r="Q886" s="561">
        <f t="shared" si="55"/>
        <v>0</v>
      </c>
      <c r="R886" s="58"/>
      <c r="S886" s="58"/>
      <c r="T886" s="58"/>
      <c r="U886" s="58"/>
      <c r="V886" s="58"/>
    </row>
    <row r="887" spans="1:22" ht="15.75" customHeight="1">
      <c r="A887" s="468" t="s">
        <v>348</v>
      </c>
      <c r="B887" s="204" t="s">
        <v>184</v>
      </c>
      <c r="C887" s="527"/>
      <c r="D887" s="267"/>
      <c r="E887" s="706"/>
      <c r="F887" s="267"/>
      <c r="G887" s="206"/>
      <c r="H887" s="214"/>
      <c r="I887" s="500"/>
      <c r="J887" s="555"/>
      <c r="K887" s="552">
        <f t="shared" si="53"/>
        <v>0</v>
      </c>
      <c r="L887" s="217"/>
      <c r="M887" s="211">
        <f t="shared" si="52"/>
        <v>-46136</v>
      </c>
      <c r="N887" s="683">
        <f t="shared" si="54"/>
        <v>7</v>
      </c>
      <c r="O887" s="212"/>
      <c r="P887" s="544"/>
      <c r="Q887" s="561">
        <f t="shared" si="55"/>
        <v>0</v>
      </c>
      <c r="R887" s="58"/>
      <c r="S887" s="58"/>
      <c r="T887" s="58"/>
      <c r="U887" s="58"/>
      <c r="V887" s="58"/>
    </row>
    <row r="888" spans="1:22" ht="15.75" customHeight="1">
      <c r="A888" s="468" t="s">
        <v>348</v>
      </c>
      <c r="B888" s="204" t="s">
        <v>184</v>
      </c>
      <c r="C888" s="527"/>
      <c r="D888" s="267"/>
      <c r="E888" s="706"/>
      <c r="F888" s="267"/>
      <c r="G888" s="206"/>
      <c r="H888" s="214"/>
      <c r="I888" s="500"/>
      <c r="J888" s="555"/>
      <c r="K888" s="552">
        <f t="shared" si="53"/>
        <v>0</v>
      </c>
      <c r="L888" s="217"/>
      <c r="M888" s="211">
        <f t="shared" si="52"/>
        <v>-46136</v>
      </c>
      <c r="N888" s="683">
        <f t="shared" si="54"/>
        <v>7</v>
      </c>
      <c r="O888" s="212"/>
      <c r="P888" s="544"/>
      <c r="Q888" s="561">
        <f t="shared" si="55"/>
        <v>0</v>
      </c>
      <c r="R888" s="58"/>
      <c r="S888" s="58"/>
      <c r="T888" s="58"/>
      <c r="U888" s="58"/>
      <c r="V888" s="58"/>
    </row>
    <row r="889" spans="1:22" ht="15.75" customHeight="1">
      <c r="A889" s="468" t="s">
        <v>348</v>
      </c>
      <c r="B889" s="204" t="s">
        <v>184</v>
      </c>
      <c r="C889" s="527"/>
      <c r="D889" s="267"/>
      <c r="E889" s="706"/>
      <c r="F889" s="267"/>
      <c r="G889" s="206"/>
      <c r="H889" s="214"/>
      <c r="I889" s="500"/>
      <c r="J889" s="715"/>
      <c r="K889" s="552">
        <f t="shared" si="53"/>
        <v>0</v>
      </c>
      <c r="L889" s="217"/>
      <c r="M889" s="211">
        <f t="shared" si="52"/>
        <v>-46136</v>
      </c>
      <c r="N889" s="683">
        <f t="shared" si="54"/>
        <v>7</v>
      </c>
      <c r="O889" s="212"/>
      <c r="P889" s="544"/>
      <c r="Q889" s="561">
        <f t="shared" si="55"/>
        <v>0</v>
      </c>
      <c r="R889" s="58"/>
      <c r="S889" s="58"/>
      <c r="T889" s="58"/>
      <c r="U889" s="58"/>
      <c r="V889" s="58"/>
    </row>
    <row r="890" spans="1:22" ht="15.75" customHeight="1">
      <c r="A890" s="468" t="s">
        <v>348</v>
      </c>
      <c r="B890" s="204" t="s">
        <v>184</v>
      </c>
      <c r="C890" s="527"/>
      <c r="D890" s="267"/>
      <c r="E890" s="706"/>
      <c r="F890" s="267"/>
      <c r="G890" s="206"/>
      <c r="H890" s="214"/>
      <c r="I890" s="501"/>
      <c r="J890" s="715"/>
      <c r="K890" s="552">
        <f t="shared" si="53"/>
        <v>0</v>
      </c>
      <c r="L890" s="217"/>
      <c r="M890" s="211">
        <f t="shared" si="52"/>
        <v>-46136</v>
      </c>
      <c r="N890" s="683">
        <f t="shared" si="54"/>
        <v>7</v>
      </c>
      <c r="O890" s="212"/>
      <c r="P890" s="544"/>
      <c r="Q890" s="561">
        <f t="shared" si="55"/>
        <v>0</v>
      </c>
      <c r="R890" s="58"/>
      <c r="S890" s="58"/>
      <c r="T890" s="58"/>
      <c r="U890" s="58"/>
      <c r="V890" s="58"/>
    </row>
    <row r="891" spans="1:22" ht="15.75" customHeight="1">
      <c r="A891" s="468" t="s">
        <v>348</v>
      </c>
      <c r="B891" s="204" t="s">
        <v>184</v>
      </c>
      <c r="C891" s="527"/>
      <c r="D891" s="267"/>
      <c r="E891" s="706"/>
      <c r="F891" s="267"/>
      <c r="G891" s="206"/>
      <c r="H891" s="214"/>
      <c r="I891" s="502"/>
      <c r="J891" s="715"/>
      <c r="K891" s="552">
        <f t="shared" si="53"/>
        <v>0</v>
      </c>
      <c r="L891" s="217"/>
      <c r="M891" s="211">
        <f t="shared" si="52"/>
        <v>-46136</v>
      </c>
      <c r="N891" s="683">
        <f t="shared" si="54"/>
        <v>7</v>
      </c>
      <c r="O891" s="212"/>
      <c r="P891" s="544"/>
      <c r="Q891" s="561">
        <f t="shared" si="55"/>
        <v>0</v>
      </c>
      <c r="R891" s="58"/>
      <c r="S891" s="58"/>
      <c r="T891" s="58"/>
      <c r="U891" s="58"/>
      <c r="V891" s="58"/>
    </row>
    <row r="892" spans="1:22" ht="15.75" customHeight="1">
      <c r="A892" s="468" t="s">
        <v>348</v>
      </c>
      <c r="B892" s="204" t="s">
        <v>184</v>
      </c>
      <c r="C892" s="527"/>
      <c r="D892" s="267"/>
      <c r="E892" s="706"/>
      <c r="F892" s="267"/>
      <c r="G892" s="206"/>
      <c r="H892" s="214"/>
      <c r="I892" s="502"/>
      <c r="J892" s="715"/>
      <c r="K892" s="552">
        <f t="shared" si="53"/>
        <v>0</v>
      </c>
      <c r="L892" s="217"/>
      <c r="M892" s="211">
        <f t="shared" si="52"/>
        <v>-46136</v>
      </c>
      <c r="N892" s="683">
        <f t="shared" si="54"/>
        <v>7</v>
      </c>
      <c r="O892" s="212"/>
      <c r="P892" s="544"/>
      <c r="Q892" s="561">
        <f t="shared" si="55"/>
        <v>0</v>
      </c>
      <c r="R892" s="58"/>
      <c r="S892" s="58"/>
      <c r="T892" s="58"/>
      <c r="U892" s="58"/>
      <c r="V892" s="58"/>
    </row>
    <row r="893" spans="1:22" ht="15.75" customHeight="1">
      <c r="A893" s="468" t="s">
        <v>348</v>
      </c>
      <c r="B893" s="204" t="s">
        <v>184</v>
      </c>
      <c r="C893" s="527"/>
      <c r="D893" s="267"/>
      <c r="E893" s="706"/>
      <c r="F893" s="267"/>
      <c r="G893" s="206"/>
      <c r="H893" s="214"/>
      <c r="I893" s="502"/>
      <c r="J893" s="715"/>
      <c r="K893" s="552">
        <f t="shared" si="53"/>
        <v>0</v>
      </c>
      <c r="L893" s="217"/>
      <c r="M893" s="211">
        <f t="shared" si="52"/>
        <v>-46136</v>
      </c>
      <c r="N893" s="683">
        <f t="shared" si="54"/>
        <v>7</v>
      </c>
      <c r="O893" s="212"/>
      <c r="P893" s="544"/>
      <c r="Q893" s="561">
        <f t="shared" si="55"/>
        <v>0</v>
      </c>
      <c r="R893" s="58"/>
      <c r="S893" s="58"/>
      <c r="T893" s="58"/>
      <c r="U893" s="58"/>
      <c r="V893" s="58"/>
    </row>
    <row r="894" spans="1:22" ht="15.75" customHeight="1">
      <c r="A894" s="468" t="s">
        <v>348</v>
      </c>
      <c r="B894" s="204" t="s">
        <v>184</v>
      </c>
      <c r="C894" s="527"/>
      <c r="D894" s="267"/>
      <c r="E894" s="706"/>
      <c r="F894" s="267"/>
      <c r="G894" s="206"/>
      <c r="H894" s="214"/>
      <c r="I894" s="502"/>
      <c r="J894" s="715"/>
      <c r="K894" s="552">
        <f t="shared" si="53"/>
        <v>0</v>
      </c>
      <c r="L894" s="217"/>
      <c r="M894" s="211">
        <f t="shared" si="52"/>
        <v>-46136</v>
      </c>
      <c r="N894" s="683">
        <f t="shared" si="54"/>
        <v>7</v>
      </c>
      <c r="O894" s="212"/>
      <c r="P894" s="544"/>
      <c r="Q894" s="561">
        <f t="shared" si="55"/>
        <v>0</v>
      </c>
      <c r="R894" s="58"/>
      <c r="S894" s="58"/>
      <c r="T894" s="58"/>
      <c r="U894" s="58"/>
      <c r="V894" s="58"/>
    </row>
    <row r="895" spans="1:22" ht="15.75" customHeight="1">
      <c r="A895" s="468" t="s">
        <v>348</v>
      </c>
      <c r="B895" s="204" t="s">
        <v>184</v>
      </c>
      <c r="C895" s="527"/>
      <c r="D895" s="267"/>
      <c r="E895" s="706"/>
      <c r="F895" s="267"/>
      <c r="G895" s="206"/>
      <c r="H895" s="214"/>
      <c r="I895" s="501"/>
      <c r="J895" s="715"/>
      <c r="K895" s="552">
        <f t="shared" si="53"/>
        <v>0</v>
      </c>
      <c r="L895" s="217"/>
      <c r="M895" s="211">
        <f t="shared" si="52"/>
        <v>-46136</v>
      </c>
      <c r="N895" s="683">
        <f t="shared" si="54"/>
        <v>7</v>
      </c>
      <c r="O895" s="212"/>
      <c r="P895" s="544"/>
      <c r="Q895" s="561">
        <f t="shared" si="55"/>
        <v>0</v>
      </c>
      <c r="R895" s="58"/>
      <c r="S895" s="58"/>
      <c r="T895" s="58"/>
      <c r="U895" s="58"/>
      <c r="V895" s="58"/>
    </row>
    <row r="896" spans="1:22" ht="15.75" customHeight="1">
      <c r="A896" s="468" t="s">
        <v>348</v>
      </c>
      <c r="B896" s="204" t="s">
        <v>184</v>
      </c>
      <c r="C896" s="527"/>
      <c r="D896" s="267"/>
      <c r="E896" s="706"/>
      <c r="F896" s="267"/>
      <c r="G896" s="206"/>
      <c r="H896" s="214"/>
      <c r="I896" s="502"/>
      <c r="J896" s="715"/>
      <c r="K896" s="552">
        <f t="shared" si="53"/>
        <v>0</v>
      </c>
      <c r="L896" s="217"/>
      <c r="M896" s="211">
        <f t="shared" si="52"/>
        <v>-46136</v>
      </c>
      <c r="N896" s="683">
        <f t="shared" si="54"/>
        <v>7</v>
      </c>
      <c r="O896" s="212"/>
      <c r="P896" s="544"/>
      <c r="Q896" s="561">
        <f t="shared" si="55"/>
        <v>0</v>
      </c>
      <c r="R896" s="58"/>
      <c r="S896" s="58"/>
      <c r="T896" s="58"/>
      <c r="U896" s="58"/>
      <c r="V896" s="58"/>
    </row>
    <row r="897" spans="1:22" ht="15.75" customHeight="1">
      <c r="A897" s="468" t="s">
        <v>348</v>
      </c>
      <c r="B897" s="204" t="s">
        <v>184</v>
      </c>
      <c r="C897" s="527"/>
      <c r="D897" s="267"/>
      <c r="E897" s="706"/>
      <c r="F897" s="713"/>
      <c r="G897" s="206"/>
      <c r="H897" s="214"/>
      <c r="I897" s="500"/>
      <c r="J897" s="715"/>
      <c r="K897" s="552">
        <f t="shared" si="53"/>
        <v>0</v>
      </c>
      <c r="L897" s="217"/>
      <c r="M897" s="211">
        <f t="shared" si="52"/>
        <v>-46136</v>
      </c>
      <c r="N897" s="683">
        <f t="shared" si="54"/>
        <v>7</v>
      </c>
      <c r="O897" s="212"/>
      <c r="P897" s="544"/>
      <c r="Q897" s="561">
        <f t="shared" si="55"/>
        <v>0</v>
      </c>
      <c r="R897" s="58"/>
      <c r="S897" s="58"/>
      <c r="T897" s="58"/>
      <c r="U897" s="58"/>
      <c r="V897" s="58"/>
    </row>
    <row r="898" spans="1:22" ht="15.75" customHeight="1">
      <c r="A898" s="468" t="s">
        <v>348</v>
      </c>
      <c r="B898" s="204" t="s">
        <v>184</v>
      </c>
      <c r="C898" s="527"/>
      <c r="D898" s="697"/>
      <c r="E898" s="706"/>
      <c r="F898" s="697"/>
      <c r="G898" s="206"/>
      <c r="H898" s="214"/>
      <c r="I898" s="500"/>
      <c r="J898" s="715"/>
      <c r="K898" s="552">
        <f t="shared" si="53"/>
        <v>0</v>
      </c>
      <c r="L898" s="217"/>
      <c r="M898" s="211">
        <f t="shared" si="52"/>
        <v>-46136</v>
      </c>
      <c r="N898" s="683">
        <f t="shared" si="54"/>
        <v>7</v>
      </c>
      <c r="O898" s="212"/>
      <c r="P898" s="544"/>
      <c r="Q898" s="561">
        <f t="shared" si="55"/>
        <v>0</v>
      </c>
      <c r="R898" s="58"/>
      <c r="S898" s="58"/>
      <c r="T898" s="58"/>
      <c r="U898" s="58"/>
      <c r="V898" s="58"/>
    </row>
    <row r="899" spans="1:22" ht="15.75" customHeight="1">
      <c r="A899" s="468" t="s">
        <v>348</v>
      </c>
      <c r="B899" s="204" t="s">
        <v>184</v>
      </c>
      <c r="C899" s="527"/>
      <c r="D899" s="697"/>
      <c r="E899" s="706"/>
      <c r="F899" s="697"/>
      <c r="G899" s="206"/>
      <c r="H899" s="214"/>
      <c r="I899" s="500"/>
      <c r="J899" s="715"/>
      <c r="K899" s="552">
        <f t="shared" si="53"/>
        <v>0</v>
      </c>
      <c r="L899" s="217"/>
      <c r="M899" s="211">
        <f t="shared" si="52"/>
        <v>-46136</v>
      </c>
      <c r="N899" s="683">
        <f t="shared" si="54"/>
        <v>7</v>
      </c>
      <c r="O899" s="212"/>
      <c r="P899" s="544"/>
      <c r="Q899" s="561">
        <f t="shared" si="55"/>
        <v>0</v>
      </c>
      <c r="R899" s="58"/>
      <c r="S899" s="58"/>
      <c r="T899" s="58"/>
      <c r="U899" s="58"/>
      <c r="V899" s="58"/>
    </row>
    <row r="900" spans="1:22" ht="15.75" customHeight="1">
      <c r="A900" s="468" t="s">
        <v>348</v>
      </c>
      <c r="B900" s="204" t="s">
        <v>184</v>
      </c>
      <c r="C900" s="527"/>
      <c r="D900" s="697"/>
      <c r="E900" s="706"/>
      <c r="F900" s="697"/>
      <c r="G900" s="206"/>
      <c r="H900" s="214"/>
      <c r="I900" s="500"/>
      <c r="J900" s="715"/>
      <c r="K900" s="552">
        <f t="shared" si="53"/>
        <v>0</v>
      </c>
      <c r="L900" s="217"/>
      <c r="M900" s="211">
        <f t="shared" si="52"/>
        <v>-46136</v>
      </c>
      <c r="N900" s="683">
        <f t="shared" si="54"/>
        <v>7</v>
      </c>
      <c r="O900" s="212"/>
      <c r="P900" s="544"/>
      <c r="Q900" s="561">
        <f t="shared" si="55"/>
        <v>0</v>
      </c>
      <c r="R900" s="58"/>
      <c r="S900" s="58"/>
      <c r="T900" s="58"/>
      <c r="U900" s="58"/>
      <c r="V900" s="58"/>
    </row>
    <row r="901" spans="1:22" ht="15.75" customHeight="1">
      <c r="A901" s="468" t="s">
        <v>348</v>
      </c>
      <c r="B901" s="204" t="s">
        <v>184</v>
      </c>
      <c r="C901" s="527"/>
      <c r="D901" s="267"/>
      <c r="E901" s="706"/>
      <c r="F901" s="267"/>
      <c r="G901" s="206"/>
      <c r="H901" s="214"/>
      <c r="I901" s="500"/>
      <c r="J901" s="715"/>
      <c r="K901" s="552">
        <f t="shared" si="53"/>
        <v>0</v>
      </c>
      <c r="L901" s="217"/>
      <c r="M901" s="211">
        <f t="shared" si="52"/>
        <v>-46136</v>
      </c>
      <c r="N901" s="683">
        <f t="shared" si="54"/>
        <v>7</v>
      </c>
      <c r="O901" s="212"/>
      <c r="P901" s="544"/>
      <c r="Q901" s="561">
        <f t="shared" si="55"/>
        <v>0</v>
      </c>
      <c r="R901" s="58"/>
      <c r="S901" s="58"/>
      <c r="T901" s="58"/>
      <c r="U901" s="58"/>
      <c r="V901" s="58"/>
    </row>
    <row r="902" spans="1:22" ht="15.75" customHeight="1">
      <c r="A902" s="468" t="s">
        <v>348</v>
      </c>
      <c r="B902" s="204" t="s">
        <v>184</v>
      </c>
      <c r="C902" s="527"/>
      <c r="D902" s="267"/>
      <c r="E902" s="706"/>
      <c r="F902" s="267"/>
      <c r="G902" s="206"/>
      <c r="H902" s="214"/>
      <c r="I902" s="500"/>
      <c r="J902" s="715"/>
      <c r="K902" s="552">
        <f t="shared" si="53"/>
        <v>0</v>
      </c>
      <c r="L902" s="217"/>
      <c r="M902" s="211">
        <f t="shared" si="52"/>
        <v>-46136</v>
      </c>
      <c r="N902" s="683">
        <f t="shared" si="54"/>
        <v>7</v>
      </c>
      <c r="O902" s="212"/>
      <c r="P902" s="544"/>
      <c r="Q902" s="561">
        <f t="shared" si="55"/>
        <v>0</v>
      </c>
      <c r="R902" s="58"/>
      <c r="S902" s="58"/>
      <c r="T902" s="58"/>
      <c r="U902" s="58"/>
      <c r="V902" s="58"/>
    </row>
    <row r="903" spans="1:22" ht="15.75" customHeight="1">
      <c r="A903" s="468" t="s">
        <v>348</v>
      </c>
      <c r="B903" s="204" t="s">
        <v>184</v>
      </c>
      <c r="C903" s="527"/>
      <c r="D903" s="267"/>
      <c r="E903" s="706"/>
      <c r="F903" s="267"/>
      <c r="G903" s="206"/>
      <c r="H903" s="214"/>
      <c r="I903" s="500"/>
      <c r="J903" s="715"/>
      <c r="K903" s="552">
        <f t="shared" si="53"/>
        <v>0</v>
      </c>
      <c r="L903" s="217"/>
      <c r="M903" s="211">
        <f t="shared" si="52"/>
        <v>-46136</v>
      </c>
      <c r="N903" s="683">
        <f t="shared" si="54"/>
        <v>7</v>
      </c>
      <c r="O903" s="212"/>
      <c r="P903" s="544"/>
      <c r="Q903" s="561">
        <f t="shared" si="55"/>
        <v>0</v>
      </c>
      <c r="R903" s="58"/>
      <c r="S903" s="58"/>
      <c r="T903" s="58"/>
      <c r="U903" s="58"/>
      <c r="V903" s="58"/>
    </row>
    <row r="904" spans="1:22" ht="15.75" customHeight="1">
      <c r="A904" s="468" t="s">
        <v>348</v>
      </c>
      <c r="B904" s="204" t="s">
        <v>184</v>
      </c>
      <c r="C904" s="527"/>
      <c r="D904" s="267"/>
      <c r="E904" s="706"/>
      <c r="F904" s="267"/>
      <c r="G904" s="206"/>
      <c r="H904" s="214"/>
      <c r="I904" s="500"/>
      <c r="J904" s="715"/>
      <c r="K904" s="552">
        <f t="shared" si="53"/>
        <v>0</v>
      </c>
      <c r="L904" s="217"/>
      <c r="M904" s="211">
        <f t="shared" si="52"/>
        <v>-46136</v>
      </c>
      <c r="N904" s="683">
        <f t="shared" si="54"/>
        <v>7</v>
      </c>
      <c r="O904" s="212"/>
      <c r="P904" s="544"/>
      <c r="Q904" s="561">
        <f t="shared" si="55"/>
        <v>0</v>
      </c>
      <c r="R904" s="58"/>
      <c r="S904" s="58"/>
      <c r="T904" s="58"/>
      <c r="U904" s="58"/>
      <c r="V904" s="58"/>
    </row>
    <row r="905" spans="1:22" ht="15.75" customHeight="1">
      <c r="A905" s="468" t="s">
        <v>348</v>
      </c>
      <c r="B905" s="204" t="s">
        <v>184</v>
      </c>
      <c r="C905" s="527"/>
      <c r="D905" s="267"/>
      <c r="E905" s="706"/>
      <c r="F905" s="267"/>
      <c r="G905" s="206"/>
      <c r="H905" s="214"/>
      <c r="I905" s="500"/>
      <c r="J905" s="715"/>
      <c r="K905" s="552">
        <f t="shared" si="53"/>
        <v>0</v>
      </c>
      <c r="L905" s="217"/>
      <c r="M905" s="211">
        <f t="shared" ref="M905:M968" si="56">+L905-$E$6</f>
        <v>-46136</v>
      </c>
      <c r="N905" s="683">
        <f t="shared" si="54"/>
        <v>7</v>
      </c>
      <c r="O905" s="212"/>
      <c r="P905" s="544"/>
      <c r="Q905" s="561">
        <f t="shared" si="55"/>
        <v>0</v>
      </c>
      <c r="R905" s="58"/>
      <c r="S905" s="58"/>
      <c r="T905" s="58"/>
      <c r="U905" s="58"/>
      <c r="V905" s="58"/>
    </row>
    <row r="906" spans="1:22" ht="15.75" customHeight="1">
      <c r="A906" s="468" t="s">
        <v>348</v>
      </c>
      <c r="B906" s="204" t="s">
        <v>184</v>
      </c>
      <c r="C906" s="527"/>
      <c r="D906" s="267"/>
      <c r="E906" s="706"/>
      <c r="F906" s="267"/>
      <c r="G906" s="206"/>
      <c r="H906" s="214"/>
      <c r="I906" s="500"/>
      <c r="J906" s="715"/>
      <c r="K906" s="552">
        <f t="shared" ref="K906:K969" si="57">-J906</f>
        <v>0</v>
      </c>
      <c r="L906" s="217"/>
      <c r="M906" s="211">
        <f t="shared" si="56"/>
        <v>-46136</v>
      </c>
      <c r="N906" s="683">
        <f t="shared" ref="N906:N969" si="58">+L906+7</f>
        <v>7</v>
      </c>
      <c r="O906" s="212"/>
      <c r="P906" s="544"/>
      <c r="Q906" s="561">
        <f t="shared" si="55"/>
        <v>0</v>
      </c>
      <c r="R906" s="58"/>
      <c r="S906" s="58"/>
      <c r="T906" s="58"/>
      <c r="U906" s="58"/>
      <c r="V906" s="58"/>
    </row>
    <row r="907" spans="1:22" ht="15.75" customHeight="1">
      <c r="A907" s="468" t="s">
        <v>348</v>
      </c>
      <c r="B907" s="204" t="s">
        <v>184</v>
      </c>
      <c r="C907" s="527"/>
      <c r="D907" s="697"/>
      <c r="E907" s="706"/>
      <c r="F907" s="697"/>
      <c r="G907" s="206"/>
      <c r="H907" s="214"/>
      <c r="I907" s="500"/>
      <c r="J907" s="715"/>
      <c r="K907" s="552">
        <f t="shared" si="57"/>
        <v>0</v>
      </c>
      <c r="L907" s="217"/>
      <c r="M907" s="211">
        <f t="shared" si="56"/>
        <v>-46136</v>
      </c>
      <c r="N907" s="683">
        <f t="shared" si="58"/>
        <v>7</v>
      </c>
      <c r="O907" s="212"/>
      <c r="P907" s="544"/>
      <c r="Q907" s="561">
        <f t="shared" si="55"/>
        <v>0</v>
      </c>
      <c r="R907" s="58"/>
      <c r="S907" s="58"/>
      <c r="T907" s="58"/>
      <c r="U907" s="58"/>
      <c r="V907" s="58"/>
    </row>
    <row r="908" spans="1:22" ht="15.75" customHeight="1">
      <c r="A908" s="468" t="s">
        <v>348</v>
      </c>
      <c r="B908" s="204" t="s">
        <v>184</v>
      </c>
      <c r="C908" s="527"/>
      <c r="D908" s="697"/>
      <c r="E908" s="706"/>
      <c r="F908" s="697"/>
      <c r="G908" s="206"/>
      <c r="H908" s="214"/>
      <c r="I908" s="500"/>
      <c r="J908" s="715"/>
      <c r="K908" s="552">
        <f t="shared" si="57"/>
        <v>0</v>
      </c>
      <c r="L908" s="217"/>
      <c r="M908" s="211">
        <f t="shared" si="56"/>
        <v>-46136</v>
      </c>
      <c r="N908" s="683">
        <f t="shared" si="58"/>
        <v>7</v>
      </c>
      <c r="O908" s="212"/>
      <c r="P908" s="544"/>
      <c r="Q908" s="561">
        <f t="shared" si="55"/>
        <v>0</v>
      </c>
      <c r="R908" s="58"/>
      <c r="S908" s="58"/>
      <c r="T908" s="58"/>
      <c r="U908" s="58"/>
      <c r="V908" s="58"/>
    </row>
    <row r="909" spans="1:22" ht="15.75" customHeight="1">
      <c r="A909" s="468" t="s">
        <v>348</v>
      </c>
      <c r="B909" s="204" t="s">
        <v>184</v>
      </c>
      <c r="C909" s="527"/>
      <c r="D909" s="697"/>
      <c r="E909" s="706"/>
      <c r="F909" s="697"/>
      <c r="G909" s="206"/>
      <c r="H909" s="214"/>
      <c r="I909" s="500"/>
      <c r="J909" s="715"/>
      <c r="K909" s="552">
        <f t="shared" si="57"/>
        <v>0</v>
      </c>
      <c r="L909" s="217"/>
      <c r="M909" s="211">
        <f t="shared" si="56"/>
        <v>-46136</v>
      </c>
      <c r="N909" s="683">
        <f t="shared" si="58"/>
        <v>7</v>
      </c>
      <c r="O909" s="212"/>
      <c r="P909" s="544"/>
      <c r="Q909" s="561">
        <f t="shared" si="55"/>
        <v>0</v>
      </c>
      <c r="R909" s="58"/>
      <c r="S909" s="58"/>
      <c r="T909" s="58"/>
      <c r="U909" s="58"/>
      <c r="V909" s="58"/>
    </row>
    <row r="910" spans="1:22" ht="15.75" customHeight="1">
      <c r="A910" s="468" t="s">
        <v>348</v>
      </c>
      <c r="B910" s="204" t="s">
        <v>184</v>
      </c>
      <c r="C910" s="527"/>
      <c r="D910" s="267"/>
      <c r="E910" s="706"/>
      <c r="F910" s="713"/>
      <c r="G910" s="206"/>
      <c r="H910" s="214"/>
      <c r="I910" s="500"/>
      <c r="J910" s="715"/>
      <c r="K910" s="552">
        <f t="shared" si="57"/>
        <v>0</v>
      </c>
      <c r="L910" s="217"/>
      <c r="M910" s="211">
        <f t="shared" si="56"/>
        <v>-46136</v>
      </c>
      <c r="N910" s="683">
        <f t="shared" si="58"/>
        <v>7</v>
      </c>
      <c r="O910" s="212"/>
      <c r="P910" s="544"/>
      <c r="Q910" s="561">
        <f t="shared" si="55"/>
        <v>0</v>
      </c>
      <c r="R910" s="58"/>
      <c r="S910" s="58"/>
      <c r="T910" s="58"/>
      <c r="U910" s="58"/>
      <c r="V910" s="58"/>
    </row>
    <row r="911" spans="1:22" ht="15.75" customHeight="1">
      <c r="A911" s="468" t="s">
        <v>348</v>
      </c>
      <c r="B911" s="204" t="s">
        <v>184</v>
      </c>
      <c r="C911" s="527"/>
      <c r="D911" s="267"/>
      <c r="E911" s="706"/>
      <c r="F911" s="697"/>
      <c r="G911" s="206"/>
      <c r="H911" s="214"/>
      <c r="I911" s="500"/>
      <c r="J911" s="715"/>
      <c r="K911" s="552">
        <f t="shared" si="57"/>
        <v>0</v>
      </c>
      <c r="L911" s="217"/>
      <c r="M911" s="211">
        <f t="shared" si="56"/>
        <v>-46136</v>
      </c>
      <c r="N911" s="683">
        <f t="shared" si="58"/>
        <v>7</v>
      </c>
      <c r="O911" s="212"/>
      <c r="P911" s="544"/>
      <c r="Q911" s="561">
        <f t="shared" si="55"/>
        <v>0</v>
      </c>
      <c r="R911" s="58"/>
      <c r="S911" s="58"/>
      <c r="T911" s="58"/>
      <c r="U911" s="58"/>
      <c r="V911" s="58"/>
    </row>
    <row r="912" spans="1:22" ht="15.75" customHeight="1">
      <c r="A912" s="468" t="s">
        <v>348</v>
      </c>
      <c r="B912" s="204" t="s">
        <v>184</v>
      </c>
      <c r="C912" s="527"/>
      <c r="D912" s="267"/>
      <c r="E912" s="706"/>
      <c r="F912" s="697"/>
      <c r="G912" s="206"/>
      <c r="H912" s="214"/>
      <c r="I912" s="500"/>
      <c r="J912" s="715"/>
      <c r="K912" s="552">
        <f t="shared" si="57"/>
        <v>0</v>
      </c>
      <c r="L912" s="217"/>
      <c r="M912" s="211">
        <f t="shared" si="56"/>
        <v>-46136</v>
      </c>
      <c r="N912" s="683">
        <f t="shared" si="58"/>
        <v>7</v>
      </c>
      <c r="O912" s="212"/>
      <c r="P912" s="544"/>
      <c r="Q912" s="561">
        <f t="shared" si="55"/>
        <v>0</v>
      </c>
      <c r="R912" s="58"/>
      <c r="S912" s="58"/>
      <c r="T912" s="58"/>
      <c r="U912" s="58"/>
      <c r="V912" s="58"/>
    </row>
    <row r="913" spans="1:22" ht="15.75" customHeight="1">
      <c r="A913" s="468" t="s">
        <v>348</v>
      </c>
      <c r="B913" s="204" t="s">
        <v>184</v>
      </c>
      <c r="C913" s="527"/>
      <c r="D913" s="267"/>
      <c r="E913" s="706"/>
      <c r="F913" s="697"/>
      <c r="G913" s="206"/>
      <c r="H913" s="214"/>
      <c r="I913" s="500"/>
      <c r="J913" s="715"/>
      <c r="K913" s="552">
        <f t="shared" si="57"/>
        <v>0</v>
      </c>
      <c r="L913" s="217"/>
      <c r="M913" s="211">
        <f t="shared" si="56"/>
        <v>-46136</v>
      </c>
      <c r="N913" s="683">
        <f t="shared" si="58"/>
        <v>7</v>
      </c>
      <c r="O913" s="212"/>
      <c r="P913" s="544"/>
      <c r="Q913" s="561">
        <f t="shared" si="55"/>
        <v>0</v>
      </c>
      <c r="R913" s="58"/>
      <c r="S913" s="58"/>
      <c r="T913" s="58"/>
      <c r="U913" s="58"/>
      <c r="V913" s="58"/>
    </row>
    <row r="914" spans="1:22" ht="15.75" customHeight="1">
      <c r="A914" s="468" t="s">
        <v>348</v>
      </c>
      <c r="B914" s="204" t="s">
        <v>184</v>
      </c>
      <c r="C914" s="527"/>
      <c r="D914" s="267"/>
      <c r="E914" s="706"/>
      <c r="F914" s="697"/>
      <c r="G914" s="206"/>
      <c r="H914" s="214"/>
      <c r="I914" s="502"/>
      <c r="J914" s="715"/>
      <c r="K914" s="552">
        <f t="shared" si="57"/>
        <v>0</v>
      </c>
      <c r="L914" s="217"/>
      <c r="M914" s="211">
        <f t="shared" si="56"/>
        <v>-46136</v>
      </c>
      <c r="N914" s="683">
        <f t="shared" si="58"/>
        <v>7</v>
      </c>
      <c r="O914" s="212"/>
      <c r="P914" s="544"/>
      <c r="Q914" s="561">
        <f t="shared" si="55"/>
        <v>0</v>
      </c>
      <c r="R914" s="58"/>
      <c r="S914" s="58"/>
      <c r="T914" s="58"/>
      <c r="U914" s="58"/>
      <c r="V914" s="58"/>
    </row>
    <row r="915" spans="1:22" ht="15.75" customHeight="1">
      <c r="A915" s="468" t="s">
        <v>348</v>
      </c>
      <c r="B915" s="204" t="s">
        <v>184</v>
      </c>
      <c r="C915" s="527"/>
      <c r="D915" s="267"/>
      <c r="E915" s="706"/>
      <c r="F915" s="697"/>
      <c r="G915" s="206"/>
      <c r="H915" s="214"/>
      <c r="I915" s="502"/>
      <c r="J915" s="715"/>
      <c r="K915" s="552">
        <f t="shared" si="57"/>
        <v>0</v>
      </c>
      <c r="L915" s="217"/>
      <c r="M915" s="211">
        <f t="shared" si="56"/>
        <v>-46136</v>
      </c>
      <c r="N915" s="683">
        <f t="shared" si="58"/>
        <v>7</v>
      </c>
      <c r="O915" s="212"/>
      <c r="P915" s="544"/>
      <c r="Q915" s="561">
        <f t="shared" si="55"/>
        <v>0</v>
      </c>
      <c r="R915" s="58"/>
      <c r="S915" s="58"/>
      <c r="T915" s="58"/>
      <c r="U915" s="58"/>
      <c r="V915" s="58"/>
    </row>
    <row r="916" spans="1:22" ht="15.75" customHeight="1">
      <c r="A916" s="468" t="s">
        <v>348</v>
      </c>
      <c r="B916" s="204" t="s">
        <v>184</v>
      </c>
      <c r="C916" s="527"/>
      <c r="D916" s="267"/>
      <c r="E916" s="706"/>
      <c r="F916" s="697"/>
      <c r="G916" s="206"/>
      <c r="H916" s="214"/>
      <c r="I916" s="500"/>
      <c r="J916" s="715"/>
      <c r="K916" s="552">
        <f t="shared" si="57"/>
        <v>0</v>
      </c>
      <c r="L916" s="217"/>
      <c r="M916" s="211">
        <f t="shared" si="56"/>
        <v>-46136</v>
      </c>
      <c r="N916" s="683">
        <f t="shared" si="58"/>
        <v>7</v>
      </c>
      <c r="O916" s="212"/>
      <c r="P916" s="544"/>
      <c r="Q916" s="561">
        <f t="shared" si="55"/>
        <v>0</v>
      </c>
      <c r="R916" s="58"/>
      <c r="S916" s="58"/>
      <c r="T916" s="58"/>
      <c r="U916" s="58"/>
      <c r="V916" s="58"/>
    </row>
    <row r="917" spans="1:22" ht="15.75" customHeight="1">
      <c r="A917" s="468" t="s">
        <v>348</v>
      </c>
      <c r="B917" s="204" t="s">
        <v>184</v>
      </c>
      <c r="C917" s="527"/>
      <c r="D917" s="267"/>
      <c r="E917" s="706"/>
      <c r="F917" s="697"/>
      <c r="G917" s="206"/>
      <c r="H917" s="214"/>
      <c r="I917" s="501"/>
      <c r="J917" s="715"/>
      <c r="K917" s="552">
        <f t="shared" si="57"/>
        <v>0</v>
      </c>
      <c r="L917" s="217"/>
      <c r="M917" s="211">
        <f t="shared" si="56"/>
        <v>-46136</v>
      </c>
      <c r="N917" s="683">
        <f t="shared" si="58"/>
        <v>7</v>
      </c>
      <c r="O917" s="212"/>
      <c r="P917" s="544"/>
      <c r="Q917" s="561">
        <f t="shared" si="55"/>
        <v>0</v>
      </c>
      <c r="R917" s="58"/>
      <c r="S917" s="58"/>
      <c r="T917" s="58"/>
      <c r="U917" s="58"/>
      <c r="V917" s="58"/>
    </row>
    <row r="918" spans="1:22" ht="15.75" customHeight="1">
      <c r="A918" s="468" t="s">
        <v>348</v>
      </c>
      <c r="B918" s="204" t="s">
        <v>184</v>
      </c>
      <c r="C918" s="527"/>
      <c r="D918" s="267"/>
      <c r="E918" s="706"/>
      <c r="F918" s="697"/>
      <c r="G918" s="206"/>
      <c r="H918" s="214"/>
      <c r="I918" s="500"/>
      <c r="J918" s="715"/>
      <c r="K918" s="552">
        <f t="shared" si="57"/>
        <v>0</v>
      </c>
      <c r="L918" s="217"/>
      <c r="M918" s="211">
        <f t="shared" si="56"/>
        <v>-46136</v>
      </c>
      <c r="N918" s="683">
        <f t="shared" si="58"/>
        <v>7</v>
      </c>
      <c r="O918" s="212"/>
      <c r="P918" s="544"/>
      <c r="Q918" s="561">
        <f t="shared" si="55"/>
        <v>0</v>
      </c>
      <c r="R918" s="58"/>
      <c r="S918" s="58"/>
      <c r="T918" s="58"/>
      <c r="U918" s="58"/>
      <c r="V918" s="58"/>
    </row>
    <row r="919" spans="1:22" ht="15.75" customHeight="1">
      <c r="A919" s="468" t="s">
        <v>348</v>
      </c>
      <c r="B919" s="204" t="s">
        <v>184</v>
      </c>
      <c r="C919" s="527"/>
      <c r="D919" s="697"/>
      <c r="E919" s="706"/>
      <c r="F919" s="697"/>
      <c r="G919" s="206"/>
      <c r="H919" s="214"/>
      <c r="I919" s="501"/>
      <c r="J919" s="715"/>
      <c r="K919" s="552">
        <f t="shared" si="57"/>
        <v>0</v>
      </c>
      <c r="L919" s="217"/>
      <c r="M919" s="211">
        <f t="shared" si="56"/>
        <v>-46136</v>
      </c>
      <c r="N919" s="683">
        <f t="shared" si="58"/>
        <v>7</v>
      </c>
      <c r="O919" s="212"/>
      <c r="P919" s="544"/>
      <c r="Q919" s="561">
        <f t="shared" si="55"/>
        <v>0</v>
      </c>
      <c r="R919" s="58"/>
      <c r="S919" s="58"/>
      <c r="T919" s="58"/>
      <c r="U919" s="58"/>
      <c r="V919" s="58"/>
    </row>
    <row r="920" spans="1:22" ht="15.75" customHeight="1">
      <c r="A920" s="468" t="s">
        <v>348</v>
      </c>
      <c r="B920" s="204" t="s">
        <v>184</v>
      </c>
      <c r="C920" s="527"/>
      <c r="D920" s="697"/>
      <c r="E920" s="706"/>
      <c r="F920" s="697"/>
      <c r="G920" s="206"/>
      <c r="H920" s="214"/>
      <c r="I920" s="501"/>
      <c r="J920" s="715"/>
      <c r="K920" s="552">
        <f t="shared" si="57"/>
        <v>0</v>
      </c>
      <c r="L920" s="217"/>
      <c r="M920" s="211">
        <f t="shared" si="56"/>
        <v>-46136</v>
      </c>
      <c r="N920" s="683">
        <f t="shared" si="58"/>
        <v>7</v>
      </c>
      <c r="O920" s="212"/>
      <c r="P920" s="544"/>
      <c r="Q920" s="561">
        <f t="shared" si="55"/>
        <v>0</v>
      </c>
      <c r="R920" s="58"/>
      <c r="S920" s="58"/>
      <c r="T920" s="58"/>
      <c r="U920" s="58"/>
      <c r="V920" s="58"/>
    </row>
    <row r="921" spans="1:22" ht="15.75" customHeight="1">
      <c r="A921" s="468" t="s">
        <v>348</v>
      </c>
      <c r="B921" s="204" t="s">
        <v>184</v>
      </c>
      <c r="C921" s="527"/>
      <c r="D921" s="697"/>
      <c r="E921" s="706"/>
      <c r="F921" s="697"/>
      <c r="G921" s="206"/>
      <c r="H921" s="214"/>
      <c r="I921" s="502"/>
      <c r="J921" s="715"/>
      <c r="K921" s="552">
        <f t="shared" si="57"/>
        <v>0</v>
      </c>
      <c r="L921" s="217"/>
      <c r="M921" s="211">
        <f t="shared" si="56"/>
        <v>-46136</v>
      </c>
      <c r="N921" s="683">
        <f t="shared" si="58"/>
        <v>7</v>
      </c>
      <c r="O921" s="212"/>
      <c r="P921" s="544"/>
      <c r="Q921" s="561">
        <f t="shared" si="55"/>
        <v>0</v>
      </c>
      <c r="R921" s="58"/>
      <c r="S921" s="58"/>
      <c r="T921" s="58"/>
      <c r="U921" s="58"/>
      <c r="V921" s="58"/>
    </row>
    <row r="922" spans="1:22" ht="15.75" customHeight="1">
      <c r="A922" s="468" t="s">
        <v>348</v>
      </c>
      <c r="B922" s="204" t="s">
        <v>184</v>
      </c>
      <c r="C922" s="527"/>
      <c r="D922" s="697"/>
      <c r="E922" s="706"/>
      <c r="F922" s="697"/>
      <c r="G922" s="206"/>
      <c r="H922" s="214"/>
      <c r="I922" s="500"/>
      <c r="J922" s="555"/>
      <c r="K922" s="552">
        <f t="shared" si="57"/>
        <v>0</v>
      </c>
      <c r="L922" s="217"/>
      <c r="M922" s="211">
        <f t="shared" si="56"/>
        <v>-46136</v>
      </c>
      <c r="N922" s="683">
        <f t="shared" si="58"/>
        <v>7</v>
      </c>
      <c r="O922" s="212"/>
      <c r="P922" s="544"/>
      <c r="Q922" s="561">
        <f t="shared" si="55"/>
        <v>0</v>
      </c>
      <c r="R922" s="58"/>
      <c r="S922" s="58"/>
      <c r="T922" s="58"/>
      <c r="U922" s="58"/>
      <c r="V922" s="58"/>
    </row>
    <row r="923" spans="1:22" ht="15.75" customHeight="1">
      <c r="A923" s="468" t="s">
        <v>348</v>
      </c>
      <c r="B923" s="204" t="s">
        <v>184</v>
      </c>
      <c r="C923" s="527"/>
      <c r="D923" s="697"/>
      <c r="E923" s="706"/>
      <c r="F923" s="697"/>
      <c r="G923" s="206"/>
      <c r="H923" s="214"/>
      <c r="I923" s="500"/>
      <c r="J923" s="555"/>
      <c r="K923" s="552">
        <f t="shared" si="57"/>
        <v>0</v>
      </c>
      <c r="L923" s="217"/>
      <c r="M923" s="211">
        <f t="shared" si="56"/>
        <v>-46136</v>
      </c>
      <c r="N923" s="683">
        <f t="shared" si="58"/>
        <v>7</v>
      </c>
      <c r="O923" s="212"/>
      <c r="P923" s="544"/>
      <c r="Q923" s="561">
        <f t="shared" si="55"/>
        <v>0</v>
      </c>
      <c r="R923" s="58"/>
      <c r="S923" s="58"/>
      <c r="T923" s="58"/>
      <c r="U923" s="58"/>
      <c r="V923" s="58"/>
    </row>
    <row r="924" spans="1:22" ht="15.75" customHeight="1">
      <c r="A924" s="468" t="s">
        <v>348</v>
      </c>
      <c r="B924" s="204" t="s">
        <v>184</v>
      </c>
      <c r="C924" s="527"/>
      <c r="D924" s="697"/>
      <c r="E924" s="706"/>
      <c r="F924" s="697"/>
      <c r="G924" s="206"/>
      <c r="H924" s="214"/>
      <c r="I924" s="500"/>
      <c r="J924" s="555"/>
      <c r="K924" s="552">
        <f t="shared" si="57"/>
        <v>0</v>
      </c>
      <c r="L924" s="217"/>
      <c r="M924" s="211">
        <f t="shared" si="56"/>
        <v>-46136</v>
      </c>
      <c r="N924" s="683">
        <f t="shared" si="58"/>
        <v>7</v>
      </c>
      <c r="O924" s="212"/>
      <c r="P924" s="544"/>
      <c r="Q924" s="561">
        <f t="shared" si="55"/>
        <v>0</v>
      </c>
      <c r="R924" s="58"/>
      <c r="S924" s="58"/>
      <c r="T924" s="58"/>
      <c r="U924" s="58"/>
      <c r="V924" s="58"/>
    </row>
    <row r="925" spans="1:22" ht="15.75" customHeight="1">
      <c r="A925" s="468" t="s">
        <v>348</v>
      </c>
      <c r="B925" s="204" t="s">
        <v>184</v>
      </c>
      <c r="C925" s="527"/>
      <c r="D925" s="697"/>
      <c r="E925" s="706"/>
      <c r="F925" s="697"/>
      <c r="G925" s="206"/>
      <c r="H925" s="214"/>
      <c r="I925" s="500"/>
      <c r="J925" s="555"/>
      <c r="K925" s="552">
        <f t="shared" si="57"/>
        <v>0</v>
      </c>
      <c r="L925" s="217"/>
      <c r="M925" s="211">
        <f t="shared" si="56"/>
        <v>-46136</v>
      </c>
      <c r="N925" s="683">
        <f t="shared" si="58"/>
        <v>7</v>
      </c>
      <c r="O925" s="212"/>
      <c r="P925" s="544"/>
      <c r="Q925" s="561">
        <f t="shared" si="55"/>
        <v>0</v>
      </c>
      <c r="R925" s="58"/>
      <c r="S925" s="58"/>
      <c r="T925" s="58"/>
      <c r="U925" s="58"/>
      <c r="V925" s="58"/>
    </row>
    <row r="926" spans="1:22" ht="15.75" customHeight="1">
      <c r="A926" s="468" t="s">
        <v>348</v>
      </c>
      <c r="B926" s="204" t="s">
        <v>184</v>
      </c>
      <c r="C926" s="527"/>
      <c r="D926" s="697"/>
      <c r="E926" s="706"/>
      <c r="F926" s="697"/>
      <c r="G926" s="206"/>
      <c r="H926" s="214"/>
      <c r="I926" s="500"/>
      <c r="J926" s="555"/>
      <c r="K926" s="552">
        <f t="shared" si="57"/>
        <v>0</v>
      </c>
      <c r="L926" s="217"/>
      <c r="M926" s="211">
        <f t="shared" si="56"/>
        <v>-46136</v>
      </c>
      <c r="N926" s="683">
        <f t="shared" si="58"/>
        <v>7</v>
      </c>
      <c r="O926" s="212"/>
      <c r="P926" s="544"/>
      <c r="Q926" s="561">
        <f t="shared" si="55"/>
        <v>0</v>
      </c>
      <c r="R926" s="58"/>
      <c r="S926" s="58"/>
      <c r="T926" s="58"/>
      <c r="U926" s="58"/>
      <c r="V926" s="58"/>
    </row>
    <row r="927" spans="1:22" ht="15.75" customHeight="1">
      <c r="A927" s="468" t="s">
        <v>348</v>
      </c>
      <c r="B927" s="204" t="s">
        <v>184</v>
      </c>
      <c r="C927" s="527"/>
      <c r="D927" s="697"/>
      <c r="E927" s="706"/>
      <c r="F927" s="697"/>
      <c r="G927" s="206"/>
      <c r="H927" s="214"/>
      <c r="I927" s="500"/>
      <c r="J927" s="555"/>
      <c r="K927" s="552">
        <f t="shared" si="57"/>
        <v>0</v>
      </c>
      <c r="L927" s="217"/>
      <c r="M927" s="211">
        <f t="shared" si="56"/>
        <v>-46136</v>
      </c>
      <c r="N927" s="683">
        <f t="shared" si="58"/>
        <v>7</v>
      </c>
      <c r="O927" s="212"/>
      <c r="P927" s="544"/>
      <c r="Q927" s="561">
        <f t="shared" si="55"/>
        <v>0</v>
      </c>
      <c r="R927" s="58"/>
      <c r="S927" s="58"/>
      <c r="T927" s="58"/>
      <c r="U927" s="58"/>
      <c r="V927" s="58"/>
    </row>
    <row r="928" spans="1:22" ht="15.75" customHeight="1">
      <c r="A928" s="468" t="s">
        <v>348</v>
      </c>
      <c r="B928" s="204" t="s">
        <v>184</v>
      </c>
      <c r="C928" s="527"/>
      <c r="D928" s="697"/>
      <c r="E928" s="706"/>
      <c r="F928" s="697"/>
      <c r="G928" s="206"/>
      <c r="H928" s="214"/>
      <c r="I928" s="500"/>
      <c r="J928" s="715"/>
      <c r="K928" s="552">
        <f t="shared" si="57"/>
        <v>0</v>
      </c>
      <c r="L928" s="217"/>
      <c r="M928" s="211">
        <f t="shared" si="56"/>
        <v>-46136</v>
      </c>
      <c r="N928" s="683">
        <f t="shared" si="58"/>
        <v>7</v>
      </c>
      <c r="O928" s="212"/>
      <c r="P928" s="544"/>
      <c r="Q928" s="561">
        <f t="shared" si="55"/>
        <v>0</v>
      </c>
      <c r="R928" s="58"/>
      <c r="S928" s="58"/>
      <c r="T928" s="58"/>
      <c r="U928" s="58"/>
      <c r="V928" s="58"/>
    </row>
    <row r="929" spans="1:22" ht="15.75" customHeight="1">
      <c r="A929" s="468" t="s">
        <v>348</v>
      </c>
      <c r="B929" s="204" t="s">
        <v>184</v>
      </c>
      <c r="C929" s="527"/>
      <c r="D929" s="697"/>
      <c r="E929" s="706"/>
      <c r="F929" s="697"/>
      <c r="G929" s="206"/>
      <c r="H929" s="214"/>
      <c r="I929" s="500"/>
      <c r="J929" s="715"/>
      <c r="K929" s="552">
        <f t="shared" si="57"/>
        <v>0</v>
      </c>
      <c r="L929" s="217"/>
      <c r="M929" s="211">
        <f t="shared" si="56"/>
        <v>-46136</v>
      </c>
      <c r="N929" s="683">
        <f t="shared" si="58"/>
        <v>7</v>
      </c>
      <c r="O929" s="212"/>
      <c r="P929" s="544"/>
      <c r="Q929" s="561">
        <f t="shared" si="55"/>
        <v>0</v>
      </c>
      <c r="R929" s="58"/>
      <c r="S929" s="58"/>
      <c r="T929" s="58"/>
      <c r="U929" s="58"/>
      <c r="V929" s="58"/>
    </row>
    <row r="930" spans="1:22" ht="15.75" customHeight="1">
      <c r="A930" s="468" t="s">
        <v>348</v>
      </c>
      <c r="B930" s="204" t="s">
        <v>184</v>
      </c>
      <c r="C930" s="527"/>
      <c r="D930" s="697"/>
      <c r="E930" s="706"/>
      <c r="F930" s="697"/>
      <c r="G930" s="206"/>
      <c r="H930" s="214"/>
      <c r="I930" s="500"/>
      <c r="J930" s="715"/>
      <c r="K930" s="552">
        <f t="shared" si="57"/>
        <v>0</v>
      </c>
      <c r="L930" s="217"/>
      <c r="M930" s="211">
        <f t="shared" si="56"/>
        <v>-46136</v>
      </c>
      <c r="N930" s="683">
        <f t="shared" si="58"/>
        <v>7</v>
      </c>
      <c r="O930" s="212"/>
      <c r="P930" s="544"/>
      <c r="Q930" s="561">
        <f t="shared" si="55"/>
        <v>0</v>
      </c>
      <c r="R930" s="58"/>
      <c r="S930" s="58"/>
      <c r="T930" s="58"/>
      <c r="U930" s="58"/>
      <c r="V930" s="58"/>
    </row>
    <row r="931" spans="1:22" ht="15.75" customHeight="1">
      <c r="A931" s="468" t="s">
        <v>348</v>
      </c>
      <c r="B931" s="204" t="s">
        <v>184</v>
      </c>
      <c r="C931" s="527"/>
      <c r="D931" s="697"/>
      <c r="E931" s="706"/>
      <c r="F931" s="697"/>
      <c r="G931" s="206"/>
      <c r="H931" s="214"/>
      <c r="I931" s="500"/>
      <c r="J931" s="715"/>
      <c r="K931" s="552">
        <f t="shared" si="57"/>
        <v>0</v>
      </c>
      <c r="L931" s="217"/>
      <c r="M931" s="211">
        <f t="shared" si="56"/>
        <v>-46136</v>
      </c>
      <c r="N931" s="683">
        <f t="shared" si="58"/>
        <v>7</v>
      </c>
      <c r="O931" s="212"/>
      <c r="P931" s="544"/>
      <c r="Q931" s="561">
        <f t="shared" si="55"/>
        <v>0</v>
      </c>
      <c r="R931" s="58"/>
      <c r="S931" s="58"/>
      <c r="T931" s="58"/>
      <c r="U931" s="58"/>
      <c r="V931" s="58"/>
    </row>
    <row r="932" spans="1:22" ht="15.75" customHeight="1">
      <c r="A932" s="468" t="s">
        <v>348</v>
      </c>
      <c r="B932" s="204" t="s">
        <v>184</v>
      </c>
      <c r="C932" s="527"/>
      <c r="D932" s="697"/>
      <c r="E932" s="706"/>
      <c r="F932" s="267"/>
      <c r="G932" s="206"/>
      <c r="H932" s="214"/>
      <c r="I932" s="502"/>
      <c r="J932" s="715"/>
      <c r="K932" s="552">
        <f t="shared" si="57"/>
        <v>0</v>
      </c>
      <c r="L932" s="217"/>
      <c r="M932" s="211">
        <f t="shared" si="56"/>
        <v>-46136</v>
      </c>
      <c r="N932" s="683">
        <f t="shared" si="58"/>
        <v>7</v>
      </c>
      <c r="O932" s="212"/>
      <c r="P932" s="544"/>
      <c r="Q932" s="561">
        <f t="shared" si="55"/>
        <v>0</v>
      </c>
      <c r="R932" s="58"/>
      <c r="S932" s="58"/>
      <c r="T932" s="58"/>
      <c r="U932" s="58"/>
      <c r="V932" s="58"/>
    </row>
    <row r="933" spans="1:22" ht="15.75" customHeight="1">
      <c r="A933" s="468" t="s">
        <v>348</v>
      </c>
      <c r="B933" s="204" t="s">
        <v>184</v>
      </c>
      <c r="C933" s="527"/>
      <c r="D933" s="697"/>
      <c r="E933" s="706"/>
      <c r="F933" s="267"/>
      <c r="G933" s="206"/>
      <c r="H933" s="214"/>
      <c r="I933" s="500"/>
      <c r="J933" s="715"/>
      <c r="K933" s="552">
        <f t="shared" si="57"/>
        <v>0</v>
      </c>
      <c r="L933" s="217"/>
      <c r="M933" s="211">
        <f t="shared" si="56"/>
        <v>-46136</v>
      </c>
      <c r="N933" s="683">
        <f t="shared" si="58"/>
        <v>7</v>
      </c>
      <c r="O933" s="212"/>
      <c r="P933" s="544"/>
      <c r="Q933" s="561">
        <f t="shared" ref="Q933:Q996" si="59">+K933+J933</f>
        <v>0</v>
      </c>
      <c r="R933" s="58"/>
      <c r="S933" s="58"/>
      <c r="T933" s="58"/>
      <c r="U933" s="58"/>
      <c r="V933" s="58"/>
    </row>
    <row r="934" spans="1:22" ht="15.75" customHeight="1">
      <c r="A934" s="468" t="s">
        <v>348</v>
      </c>
      <c r="B934" s="204" t="s">
        <v>184</v>
      </c>
      <c r="C934" s="527"/>
      <c r="D934" s="697"/>
      <c r="E934" s="706"/>
      <c r="F934" s="267"/>
      <c r="G934" s="206"/>
      <c r="H934" s="214"/>
      <c r="I934" s="500"/>
      <c r="J934" s="715"/>
      <c r="K934" s="552">
        <f t="shared" si="57"/>
        <v>0</v>
      </c>
      <c r="L934" s="217"/>
      <c r="M934" s="211">
        <f t="shared" si="56"/>
        <v>-46136</v>
      </c>
      <c r="N934" s="683">
        <f t="shared" si="58"/>
        <v>7</v>
      </c>
      <c r="O934" s="212"/>
      <c r="P934" s="544"/>
      <c r="Q934" s="561">
        <f t="shared" si="59"/>
        <v>0</v>
      </c>
      <c r="R934" s="58"/>
      <c r="S934" s="58"/>
      <c r="T934" s="58"/>
      <c r="U934" s="58"/>
      <c r="V934" s="58"/>
    </row>
    <row r="935" spans="1:22" ht="15.75" customHeight="1">
      <c r="A935" s="468" t="s">
        <v>348</v>
      </c>
      <c r="B935" s="204" t="s">
        <v>184</v>
      </c>
      <c r="C935" s="527"/>
      <c r="D935" s="697"/>
      <c r="E935" s="706"/>
      <c r="F935" s="267"/>
      <c r="G935" s="206"/>
      <c r="H935" s="214"/>
      <c r="I935" s="502"/>
      <c r="J935" s="715"/>
      <c r="K935" s="552">
        <f t="shared" si="57"/>
        <v>0</v>
      </c>
      <c r="L935" s="217"/>
      <c r="M935" s="211">
        <f t="shared" si="56"/>
        <v>-46136</v>
      </c>
      <c r="N935" s="683">
        <f t="shared" si="58"/>
        <v>7</v>
      </c>
      <c r="O935" s="212"/>
      <c r="P935" s="544"/>
      <c r="Q935" s="561">
        <f t="shared" si="59"/>
        <v>0</v>
      </c>
      <c r="R935" s="58"/>
      <c r="S935" s="58"/>
      <c r="T935" s="58"/>
      <c r="U935" s="58"/>
      <c r="V935" s="58"/>
    </row>
    <row r="936" spans="1:22" ht="15.75" customHeight="1">
      <c r="A936" s="468" t="s">
        <v>348</v>
      </c>
      <c r="B936" s="204" t="s">
        <v>184</v>
      </c>
      <c r="C936" s="527"/>
      <c r="D936" s="697"/>
      <c r="E936" s="706"/>
      <c r="F936" s="267"/>
      <c r="G936" s="206"/>
      <c r="H936" s="214"/>
      <c r="I936" s="503"/>
      <c r="J936" s="715"/>
      <c r="K936" s="552">
        <f t="shared" si="57"/>
        <v>0</v>
      </c>
      <c r="L936" s="217"/>
      <c r="M936" s="211">
        <f t="shared" si="56"/>
        <v>-46136</v>
      </c>
      <c r="N936" s="683">
        <f t="shared" si="58"/>
        <v>7</v>
      </c>
      <c r="O936" s="212"/>
      <c r="P936" s="544"/>
      <c r="Q936" s="561">
        <f t="shared" si="59"/>
        <v>0</v>
      </c>
      <c r="R936" s="58"/>
      <c r="S936" s="58"/>
      <c r="T936" s="58"/>
      <c r="U936" s="58"/>
      <c r="V936" s="58"/>
    </row>
    <row r="937" spans="1:22" ht="15.75" customHeight="1">
      <c r="A937" s="468" t="s">
        <v>348</v>
      </c>
      <c r="B937" s="204" t="s">
        <v>184</v>
      </c>
      <c r="C937" s="527"/>
      <c r="D937" s="697"/>
      <c r="E937" s="706"/>
      <c r="F937" s="267"/>
      <c r="G937" s="206"/>
      <c r="H937" s="214"/>
      <c r="I937" s="502"/>
      <c r="J937" s="715"/>
      <c r="K937" s="552">
        <f t="shared" si="57"/>
        <v>0</v>
      </c>
      <c r="L937" s="217"/>
      <c r="M937" s="211">
        <f t="shared" si="56"/>
        <v>-46136</v>
      </c>
      <c r="N937" s="683">
        <f t="shared" si="58"/>
        <v>7</v>
      </c>
      <c r="O937" s="212"/>
      <c r="P937" s="544"/>
      <c r="Q937" s="561">
        <f t="shared" si="59"/>
        <v>0</v>
      </c>
      <c r="R937" s="58"/>
      <c r="S937" s="58"/>
      <c r="T937" s="58"/>
      <c r="U937" s="58"/>
      <c r="V937" s="58"/>
    </row>
    <row r="938" spans="1:22" ht="15.75" customHeight="1">
      <c r="A938" s="468" t="s">
        <v>348</v>
      </c>
      <c r="B938" s="204" t="s">
        <v>184</v>
      </c>
      <c r="C938" s="527"/>
      <c r="D938" s="697"/>
      <c r="E938" s="706"/>
      <c r="F938" s="267"/>
      <c r="G938" s="206"/>
      <c r="H938" s="214"/>
      <c r="I938" s="502"/>
      <c r="J938" s="715"/>
      <c r="K938" s="552">
        <f t="shared" si="57"/>
        <v>0</v>
      </c>
      <c r="L938" s="217"/>
      <c r="M938" s="211">
        <f t="shared" si="56"/>
        <v>-46136</v>
      </c>
      <c r="N938" s="683">
        <f t="shared" si="58"/>
        <v>7</v>
      </c>
      <c r="O938" s="212"/>
      <c r="P938" s="544"/>
      <c r="Q938" s="561">
        <f t="shared" si="59"/>
        <v>0</v>
      </c>
      <c r="R938" s="58"/>
      <c r="S938" s="58"/>
      <c r="T938" s="58"/>
      <c r="U938" s="58"/>
      <c r="V938" s="58"/>
    </row>
    <row r="939" spans="1:22" ht="15.75" customHeight="1">
      <c r="A939" s="468" t="s">
        <v>348</v>
      </c>
      <c r="B939" s="204" t="s">
        <v>184</v>
      </c>
      <c r="C939" s="527"/>
      <c r="D939" s="267"/>
      <c r="E939" s="706"/>
      <c r="F939" s="267"/>
      <c r="G939" s="206"/>
      <c r="H939" s="214"/>
      <c r="I939" s="502"/>
      <c r="J939" s="715"/>
      <c r="K939" s="552">
        <f t="shared" si="57"/>
        <v>0</v>
      </c>
      <c r="L939" s="217"/>
      <c r="M939" s="211">
        <f t="shared" si="56"/>
        <v>-46136</v>
      </c>
      <c r="N939" s="683">
        <f t="shared" si="58"/>
        <v>7</v>
      </c>
      <c r="O939" s="212"/>
      <c r="P939" s="544"/>
      <c r="Q939" s="561">
        <f t="shared" si="59"/>
        <v>0</v>
      </c>
      <c r="R939" s="58"/>
      <c r="S939" s="58"/>
      <c r="T939" s="58"/>
      <c r="U939" s="58"/>
      <c r="V939" s="58"/>
    </row>
    <row r="940" spans="1:22" ht="15.75" customHeight="1">
      <c r="A940" s="468" t="s">
        <v>348</v>
      </c>
      <c r="B940" s="204" t="s">
        <v>184</v>
      </c>
      <c r="C940" s="527"/>
      <c r="D940" s="267"/>
      <c r="E940" s="706"/>
      <c r="F940" s="267"/>
      <c r="G940" s="206"/>
      <c r="H940" s="214"/>
      <c r="I940" s="500"/>
      <c r="J940" s="715"/>
      <c r="K940" s="552">
        <f t="shared" si="57"/>
        <v>0</v>
      </c>
      <c r="L940" s="217"/>
      <c r="M940" s="211">
        <f t="shared" si="56"/>
        <v>-46136</v>
      </c>
      <c r="N940" s="683">
        <f t="shared" si="58"/>
        <v>7</v>
      </c>
      <c r="O940" s="212"/>
      <c r="P940" s="544"/>
      <c r="Q940" s="561">
        <f t="shared" si="59"/>
        <v>0</v>
      </c>
      <c r="R940" s="58"/>
      <c r="S940" s="58"/>
      <c r="T940" s="58"/>
      <c r="U940" s="58"/>
      <c r="V940" s="58"/>
    </row>
    <row r="941" spans="1:22" ht="15.75" customHeight="1">
      <c r="A941" s="468" t="s">
        <v>348</v>
      </c>
      <c r="B941" s="204" t="s">
        <v>184</v>
      </c>
      <c r="C941" s="527"/>
      <c r="D941" s="267"/>
      <c r="E941" s="706"/>
      <c r="F941" s="267"/>
      <c r="G941" s="206"/>
      <c r="H941" s="214"/>
      <c r="I941" s="502"/>
      <c r="J941" s="715"/>
      <c r="K941" s="552">
        <f t="shared" si="57"/>
        <v>0</v>
      </c>
      <c r="L941" s="217"/>
      <c r="M941" s="211">
        <f t="shared" si="56"/>
        <v>-46136</v>
      </c>
      <c r="N941" s="683">
        <f t="shared" si="58"/>
        <v>7</v>
      </c>
      <c r="O941" s="212"/>
      <c r="P941" s="544"/>
      <c r="Q941" s="561">
        <f t="shared" si="59"/>
        <v>0</v>
      </c>
      <c r="R941" s="58"/>
      <c r="S941" s="58"/>
      <c r="T941" s="58"/>
      <c r="U941" s="58"/>
      <c r="V941" s="58"/>
    </row>
    <row r="942" spans="1:22" ht="15.75" customHeight="1">
      <c r="A942" s="468" t="s">
        <v>348</v>
      </c>
      <c r="B942" s="204" t="s">
        <v>184</v>
      </c>
      <c r="C942" s="527"/>
      <c r="D942" s="267"/>
      <c r="E942" s="706"/>
      <c r="F942" s="267"/>
      <c r="G942" s="206"/>
      <c r="H942" s="214"/>
      <c r="I942" s="500"/>
      <c r="J942" s="715"/>
      <c r="K942" s="552">
        <f t="shared" si="57"/>
        <v>0</v>
      </c>
      <c r="L942" s="217"/>
      <c r="M942" s="211">
        <f t="shared" si="56"/>
        <v>-46136</v>
      </c>
      <c r="N942" s="683">
        <f t="shared" si="58"/>
        <v>7</v>
      </c>
      <c r="O942" s="212"/>
      <c r="P942" s="544"/>
      <c r="Q942" s="561">
        <f t="shared" si="59"/>
        <v>0</v>
      </c>
      <c r="R942" s="58"/>
      <c r="S942" s="58"/>
      <c r="T942" s="58"/>
      <c r="U942" s="58"/>
      <c r="V942" s="58"/>
    </row>
    <row r="943" spans="1:22" ht="15.75" customHeight="1">
      <c r="A943" s="468" t="s">
        <v>348</v>
      </c>
      <c r="B943" s="204" t="s">
        <v>184</v>
      </c>
      <c r="C943" s="527"/>
      <c r="D943" s="267"/>
      <c r="E943" s="706"/>
      <c r="F943" s="267"/>
      <c r="G943" s="206"/>
      <c r="H943" s="214"/>
      <c r="I943" s="500"/>
      <c r="J943" s="715"/>
      <c r="K943" s="552">
        <f t="shared" si="57"/>
        <v>0</v>
      </c>
      <c r="L943" s="217"/>
      <c r="M943" s="211">
        <f t="shared" si="56"/>
        <v>-46136</v>
      </c>
      <c r="N943" s="683">
        <f t="shared" si="58"/>
        <v>7</v>
      </c>
      <c r="O943" s="212"/>
      <c r="P943" s="544"/>
      <c r="Q943" s="561">
        <f t="shared" si="59"/>
        <v>0</v>
      </c>
      <c r="R943" s="58"/>
      <c r="S943" s="58"/>
      <c r="T943" s="58"/>
      <c r="U943" s="58"/>
      <c r="V943" s="58"/>
    </row>
    <row r="944" spans="1:22" ht="15.75" customHeight="1">
      <c r="A944" s="468" t="s">
        <v>348</v>
      </c>
      <c r="B944" s="204" t="s">
        <v>184</v>
      </c>
      <c r="C944" s="527"/>
      <c r="D944" s="267"/>
      <c r="E944" s="706"/>
      <c r="F944" s="267"/>
      <c r="G944" s="206"/>
      <c r="H944" s="214"/>
      <c r="I944" s="502"/>
      <c r="J944" s="715"/>
      <c r="K944" s="552">
        <f t="shared" si="57"/>
        <v>0</v>
      </c>
      <c r="L944" s="217"/>
      <c r="M944" s="211">
        <f t="shared" si="56"/>
        <v>-46136</v>
      </c>
      <c r="N944" s="683">
        <f t="shared" si="58"/>
        <v>7</v>
      </c>
      <c r="O944" s="212"/>
      <c r="P944" s="544"/>
      <c r="Q944" s="561">
        <f t="shared" si="59"/>
        <v>0</v>
      </c>
      <c r="R944" s="58"/>
      <c r="S944" s="58"/>
      <c r="T944" s="58"/>
      <c r="U944" s="58"/>
      <c r="V944" s="58"/>
    </row>
    <row r="945" spans="1:22" ht="15.75" customHeight="1">
      <c r="A945" s="468" t="s">
        <v>348</v>
      </c>
      <c r="B945" s="204" t="s">
        <v>184</v>
      </c>
      <c r="C945" s="527"/>
      <c r="D945" s="267"/>
      <c r="E945" s="706"/>
      <c r="F945" s="267"/>
      <c r="G945" s="206"/>
      <c r="H945" s="214"/>
      <c r="I945" s="500"/>
      <c r="J945" s="715"/>
      <c r="K945" s="552">
        <f t="shared" si="57"/>
        <v>0</v>
      </c>
      <c r="L945" s="217"/>
      <c r="M945" s="211">
        <f t="shared" si="56"/>
        <v>-46136</v>
      </c>
      <c r="N945" s="683">
        <f t="shared" si="58"/>
        <v>7</v>
      </c>
      <c r="O945" s="212"/>
      <c r="P945" s="544"/>
      <c r="Q945" s="561">
        <f t="shared" si="59"/>
        <v>0</v>
      </c>
      <c r="R945" s="58"/>
      <c r="S945" s="58"/>
      <c r="T945" s="58"/>
      <c r="U945" s="58"/>
      <c r="V945" s="58"/>
    </row>
    <row r="946" spans="1:22" ht="15.75" customHeight="1">
      <c r="A946" s="468" t="s">
        <v>348</v>
      </c>
      <c r="B946" s="204" t="s">
        <v>184</v>
      </c>
      <c r="C946" s="527"/>
      <c r="D946" s="697"/>
      <c r="E946" s="706"/>
      <c r="F946" s="697"/>
      <c r="G946" s="206"/>
      <c r="H946" s="214"/>
      <c r="I946" s="500"/>
      <c r="J946" s="715"/>
      <c r="K946" s="552">
        <f t="shared" si="57"/>
        <v>0</v>
      </c>
      <c r="L946" s="217"/>
      <c r="M946" s="211">
        <f t="shared" si="56"/>
        <v>-46136</v>
      </c>
      <c r="N946" s="683">
        <f t="shared" si="58"/>
        <v>7</v>
      </c>
      <c r="O946" s="212"/>
      <c r="P946" s="544"/>
      <c r="Q946" s="561">
        <f t="shared" si="59"/>
        <v>0</v>
      </c>
      <c r="R946" s="58"/>
      <c r="S946" s="58"/>
      <c r="T946" s="58"/>
      <c r="U946" s="58"/>
      <c r="V946" s="58"/>
    </row>
    <row r="947" spans="1:22" ht="15.75" customHeight="1">
      <c r="A947" s="468" t="s">
        <v>348</v>
      </c>
      <c r="B947" s="204" t="s">
        <v>184</v>
      </c>
      <c r="C947" s="527"/>
      <c r="D947" s="697"/>
      <c r="E947" s="706"/>
      <c r="F947" s="697"/>
      <c r="G947" s="206"/>
      <c r="H947" s="214"/>
      <c r="I947" s="500"/>
      <c r="J947" s="715"/>
      <c r="K947" s="552">
        <f t="shared" si="57"/>
        <v>0</v>
      </c>
      <c r="L947" s="217"/>
      <c r="M947" s="211">
        <f t="shared" si="56"/>
        <v>-46136</v>
      </c>
      <c r="N947" s="683">
        <f t="shared" si="58"/>
        <v>7</v>
      </c>
      <c r="O947" s="212"/>
      <c r="P947" s="544"/>
      <c r="Q947" s="561">
        <f t="shared" si="59"/>
        <v>0</v>
      </c>
      <c r="R947" s="58"/>
      <c r="S947" s="58"/>
      <c r="T947" s="58"/>
      <c r="U947" s="58"/>
      <c r="V947" s="58"/>
    </row>
    <row r="948" spans="1:22" ht="15.75" customHeight="1">
      <c r="A948" s="468" t="s">
        <v>348</v>
      </c>
      <c r="B948" s="204" t="s">
        <v>184</v>
      </c>
      <c r="C948" s="527"/>
      <c r="D948" s="697"/>
      <c r="E948" s="706"/>
      <c r="F948" s="697"/>
      <c r="G948" s="206"/>
      <c r="H948" s="214"/>
      <c r="I948" s="500"/>
      <c r="J948" s="715"/>
      <c r="K948" s="552">
        <f t="shared" si="57"/>
        <v>0</v>
      </c>
      <c r="L948" s="217"/>
      <c r="M948" s="211">
        <f t="shared" si="56"/>
        <v>-46136</v>
      </c>
      <c r="N948" s="683">
        <f t="shared" si="58"/>
        <v>7</v>
      </c>
      <c r="O948" s="212"/>
      <c r="P948" s="544"/>
      <c r="Q948" s="561">
        <f t="shared" si="59"/>
        <v>0</v>
      </c>
      <c r="R948" s="58"/>
      <c r="S948" s="58"/>
      <c r="T948" s="58"/>
      <c r="U948" s="58"/>
      <c r="V948" s="58"/>
    </row>
    <row r="949" spans="1:22" ht="15.75" customHeight="1">
      <c r="A949" s="468" t="s">
        <v>348</v>
      </c>
      <c r="B949" s="204" t="s">
        <v>184</v>
      </c>
      <c r="C949" s="527"/>
      <c r="D949" s="697"/>
      <c r="E949" s="706"/>
      <c r="F949" s="697"/>
      <c r="G949" s="206"/>
      <c r="H949" s="214"/>
      <c r="I949" s="502"/>
      <c r="J949" s="715"/>
      <c r="K949" s="552">
        <f t="shared" si="57"/>
        <v>0</v>
      </c>
      <c r="L949" s="217"/>
      <c r="M949" s="211">
        <f t="shared" si="56"/>
        <v>-46136</v>
      </c>
      <c r="N949" s="683">
        <f t="shared" si="58"/>
        <v>7</v>
      </c>
      <c r="O949" s="212"/>
      <c r="P949" s="544"/>
      <c r="Q949" s="561">
        <f t="shared" si="59"/>
        <v>0</v>
      </c>
      <c r="R949" s="58"/>
      <c r="S949" s="58"/>
      <c r="T949" s="58"/>
      <c r="U949" s="58"/>
      <c r="V949" s="58"/>
    </row>
    <row r="950" spans="1:22" ht="15.75" customHeight="1">
      <c r="A950" s="468" t="s">
        <v>348</v>
      </c>
      <c r="B950" s="204" t="s">
        <v>184</v>
      </c>
      <c r="C950" s="527"/>
      <c r="D950" s="697"/>
      <c r="E950" s="706"/>
      <c r="F950" s="697"/>
      <c r="G950" s="206"/>
      <c r="H950" s="214"/>
      <c r="I950" s="500"/>
      <c r="J950" s="715"/>
      <c r="K950" s="552">
        <f t="shared" si="57"/>
        <v>0</v>
      </c>
      <c r="L950" s="217"/>
      <c r="M950" s="211">
        <f t="shared" si="56"/>
        <v>-46136</v>
      </c>
      <c r="N950" s="683">
        <f t="shared" si="58"/>
        <v>7</v>
      </c>
      <c r="O950" s="212"/>
      <c r="P950" s="544"/>
      <c r="Q950" s="561">
        <f t="shared" si="59"/>
        <v>0</v>
      </c>
      <c r="R950" s="58"/>
      <c r="S950" s="58"/>
      <c r="T950" s="58"/>
      <c r="U950" s="58"/>
      <c r="V950" s="58"/>
    </row>
    <row r="951" spans="1:22" ht="15.75" customHeight="1">
      <c r="A951" s="468" t="s">
        <v>348</v>
      </c>
      <c r="B951" s="204" t="s">
        <v>184</v>
      </c>
      <c r="C951" s="527"/>
      <c r="D951" s="697"/>
      <c r="E951" s="706"/>
      <c r="F951" s="697"/>
      <c r="G951" s="206"/>
      <c r="H951" s="214"/>
      <c r="I951" s="500"/>
      <c r="J951" s="715"/>
      <c r="K951" s="552">
        <f t="shared" si="57"/>
        <v>0</v>
      </c>
      <c r="L951" s="217"/>
      <c r="M951" s="211">
        <f t="shared" si="56"/>
        <v>-46136</v>
      </c>
      <c r="N951" s="683">
        <f t="shared" si="58"/>
        <v>7</v>
      </c>
      <c r="O951" s="212"/>
      <c r="P951" s="544"/>
      <c r="Q951" s="561">
        <f t="shared" si="59"/>
        <v>0</v>
      </c>
      <c r="R951" s="58"/>
      <c r="S951" s="58"/>
      <c r="T951" s="58"/>
      <c r="U951" s="58"/>
      <c r="V951" s="58"/>
    </row>
    <row r="952" spans="1:22" ht="15.75" customHeight="1">
      <c r="A952" s="468" t="s">
        <v>348</v>
      </c>
      <c r="B952" s="204" t="s">
        <v>184</v>
      </c>
      <c r="C952" s="527"/>
      <c r="D952" s="697"/>
      <c r="E952" s="706"/>
      <c r="F952" s="697"/>
      <c r="G952" s="206"/>
      <c r="H952" s="214"/>
      <c r="I952" s="500"/>
      <c r="J952" s="715"/>
      <c r="K952" s="552">
        <f t="shared" si="57"/>
        <v>0</v>
      </c>
      <c r="L952" s="217"/>
      <c r="M952" s="211">
        <f t="shared" si="56"/>
        <v>-46136</v>
      </c>
      <c r="N952" s="683">
        <f t="shared" si="58"/>
        <v>7</v>
      </c>
      <c r="O952" s="212"/>
      <c r="P952" s="544"/>
      <c r="Q952" s="561">
        <f t="shared" si="59"/>
        <v>0</v>
      </c>
      <c r="R952" s="58"/>
      <c r="S952" s="58"/>
      <c r="T952" s="58"/>
      <c r="U952" s="58"/>
      <c r="V952" s="58"/>
    </row>
    <row r="953" spans="1:22" ht="15.75" customHeight="1">
      <c r="A953" s="468" t="s">
        <v>348</v>
      </c>
      <c r="B953" s="204" t="s">
        <v>184</v>
      </c>
      <c r="C953" s="527"/>
      <c r="D953" s="697"/>
      <c r="E953" s="706"/>
      <c r="F953" s="697"/>
      <c r="G953" s="206"/>
      <c r="H953" s="214"/>
      <c r="I953" s="500"/>
      <c r="J953" s="715"/>
      <c r="K953" s="552">
        <f t="shared" si="57"/>
        <v>0</v>
      </c>
      <c r="L953" s="217"/>
      <c r="M953" s="211">
        <f t="shared" si="56"/>
        <v>-46136</v>
      </c>
      <c r="N953" s="683">
        <f t="shared" si="58"/>
        <v>7</v>
      </c>
      <c r="O953" s="212"/>
      <c r="P953" s="544"/>
      <c r="Q953" s="561">
        <f t="shared" si="59"/>
        <v>0</v>
      </c>
      <c r="R953" s="58"/>
      <c r="S953" s="58"/>
      <c r="T953" s="58"/>
      <c r="U953" s="58"/>
      <c r="V953" s="58"/>
    </row>
    <row r="954" spans="1:22" ht="15.75" customHeight="1">
      <c r="A954" s="468" t="s">
        <v>348</v>
      </c>
      <c r="B954" s="204" t="s">
        <v>184</v>
      </c>
      <c r="C954" s="527"/>
      <c r="D954" s="697"/>
      <c r="E954" s="706"/>
      <c r="F954" s="697"/>
      <c r="G954" s="206"/>
      <c r="H954" s="214"/>
      <c r="I954" s="501"/>
      <c r="J954" s="715"/>
      <c r="K954" s="552">
        <f t="shared" si="57"/>
        <v>0</v>
      </c>
      <c r="L954" s="217"/>
      <c r="M954" s="211">
        <f t="shared" si="56"/>
        <v>-46136</v>
      </c>
      <c r="N954" s="683">
        <f t="shared" si="58"/>
        <v>7</v>
      </c>
      <c r="O954" s="212"/>
      <c r="P954" s="544"/>
      <c r="Q954" s="561">
        <f t="shared" si="59"/>
        <v>0</v>
      </c>
      <c r="R954" s="58"/>
      <c r="S954" s="58"/>
      <c r="T954" s="58"/>
      <c r="U954" s="58"/>
      <c r="V954" s="58"/>
    </row>
    <row r="955" spans="1:22" ht="15.75" customHeight="1">
      <c r="A955" s="468" t="s">
        <v>348</v>
      </c>
      <c r="B955" s="204" t="s">
        <v>184</v>
      </c>
      <c r="C955" s="527"/>
      <c r="D955" s="697"/>
      <c r="E955" s="706"/>
      <c r="F955" s="697"/>
      <c r="G955" s="206"/>
      <c r="H955" s="214"/>
      <c r="I955" s="502"/>
      <c r="J955" s="715"/>
      <c r="K955" s="552">
        <f t="shared" si="57"/>
        <v>0</v>
      </c>
      <c r="L955" s="217"/>
      <c r="M955" s="211">
        <f t="shared" si="56"/>
        <v>-46136</v>
      </c>
      <c r="N955" s="683">
        <f t="shared" si="58"/>
        <v>7</v>
      </c>
      <c r="O955" s="212"/>
      <c r="P955" s="544"/>
      <c r="Q955" s="561">
        <f t="shared" si="59"/>
        <v>0</v>
      </c>
      <c r="R955" s="58"/>
      <c r="S955" s="58"/>
      <c r="T955" s="58"/>
      <c r="U955" s="58"/>
      <c r="V955" s="58"/>
    </row>
    <row r="956" spans="1:22" ht="15.75" customHeight="1">
      <c r="A956" s="468" t="s">
        <v>348</v>
      </c>
      <c r="B956" s="204" t="s">
        <v>184</v>
      </c>
      <c r="C956" s="527"/>
      <c r="D956" s="697"/>
      <c r="E956" s="706"/>
      <c r="F956" s="697"/>
      <c r="G956" s="206"/>
      <c r="H956" s="214"/>
      <c r="I956" s="502"/>
      <c r="J956" s="715"/>
      <c r="K956" s="552">
        <f t="shared" si="57"/>
        <v>0</v>
      </c>
      <c r="L956" s="217"/>
      <c r="M956" s="211">
        <f t="shared" si="56"/>
        <v>-46136</v>
      </c>
      <c r="N956" s="683">
        <f t="shared" si="58"/>
        <v>7</v>
      </c>
      <c r="O956" s="212"/>
      <c r="P956" s="544"/>
      <c r="Q956" s="561">
        <f t="shared" si="59"/>
        <v>0</v>
      </c>
      <c r="R956" s="58"/>
      <c r="S956" s="58"/>
      <c r="T956" s="58"/>
      <c r="U956" s="58"/>
      <c r="V956" s="58"/>
    </row>
    <row r="957" spans="1:22" ht="15.75" customHeight="1">
      <c r="A957" s="468" t="s">
        <v>348</v>
      </c>
      <c r="B957" s="204" t="s">
        <v>184</v>
      </c>
      <c r="C957" s="527"/>
      <c r="D957" s="697"/>
      <c r="E957" s="706"/>
      <c r="F957" s="697"/>
      <c r="G957" s="206"/>
      <c r="H957" s="214"/>
      <c r="I957" s="500"/>
      <c r="J957" s="715"/>
      <c r="K957" s="552">
        <f t="shared" si="57"/>
        <v>0</v>
      </c>
      <c r="L957" s="217"/>
      <c r="M957" s="211">
        <f t="shared" si="56"/>
        <v>-46136</v>
      </c>
      <c r="N957" s="683">
        <f t="shared" si="58"/>
        <v>7</v>
      </c>
      <c r="O957" s="212"/>
      <c r="P957" s="544"/>
      <c r="Q957" s="561">
        <f t="shared" si="59"/>
        <v>0</v>
      </c>
      <c r="R957" s="58"/>
      <c r="S957" s="58"/>
      <c r="T957" s="58"/>
      <c r="U957" s="58"/>
      <c r="V957" s="58"/>
    </row>
    <row r="958" spans="1:22" ht="15.75" customHeight="1">
      <c r="A958" s="468" t="s">
        <v>348</v>
      </c>
      <c r="B958" s="204" t="s">
        <v>184</v>
      </c>
      <c r="C958" s="527"/>
      <c r="D958" s="697"/>
      <c r="E958" s="706"/>
      <c r="F958" s="697"/>
      <c r="G958" s="206"/>
      <c r="H958" s="214"/>
      <c r="I958" s="500"/>
      <c r="J958" s="715"/>
      <c r="K958" s="552">
        <f t="shared" si="57"/>
        <v>0</v>
      </c>
      <c r="L958" s="217"/>
      <c r="M958" s="211">
        <f t="shared" si="56"/>
        <v>-46136</v>
      </c>
      <c r="N958" s="683">
        <f t="shared" si="58"/>
        <v>7</v>
      </c>
      <c r="O958" s="212"/>
      <c r="P958" s="544"/>
      <c r="Q958" s="561">
        <f t="shared" si="59"/>
        <v>0</v>
      </c>
      <c r="R958" s="58"/>
      <c r="S958" s="58"/>
      <c r="T958" s="58"/>
      <c r="U958" s="58"/>
      <c r="V958" s="58"/>
    </row>
    <row r="959" spans="1:22" ht="15.75" customHeight="1">
      <c r="A959" s="468" t="s">
        <v>348</v>
      </c>
      <c r="B959" s="204" t="s">
        <v>184</v>
      </c>
      <c r="C959" s="527"/>
      <c r="D959" s="697"/>
      <c r="E959" s="706"/>
      <c r="F959" s="697"/>
      <c r="G959" s="206"/>
      <c r="H959" s="214"/>
      <c r="I959" s="501"/>
      <c r="J959" s="715"/>
      <c r="K959" s="552">
        <f t="shared" si="57"/>
        <v>0</v>
      </c>
      <c r="L959" s="217"/>
      <c r="M959" s="211">
        <f t="shared" si="56"/>
        <v>-46136</v>
      </c>
      <c r="N959" s="683">
        <f t="shared" si="58"/>
        <v>7</v>
      </c>
      <c r="O959" s="212"/>
      <c r="P959" s="544"/>
      <c r="Q959" s="561">
        <f t="shared" si="59"/>
        <v>0</v>
      </c>
      <c r="R959" s="58"/>
      <c r="S959" s="58"/>
      <c r="T959" s="58"/>
      <c r="U959" s="58"/>
      <c r="V959" s="58"/>
    </row>
    <row r="960" spans="1:22" ht="15.75" customHeight="1">
      <c r="A960" s="468" t="s">
        <v>348</v>
      </c>
      <c r="B960" s="204" t="s">
        <v>184</v>
      </c>
      <c r="C960" s="527"/>
      <c r="D960" s="697"/>
      <c r="E960" s="706"/>
      <c r="F960" s="697"/>
      <c r="G960" s="206"/>
      <c r="H960" s="214"/>
      <c r="I960" s="502"/>
      <c r="J960" s="715"/>
      <c r="K960" s="552">
        <f t="shared" si="57"/>
        <v>0</v>
      </c>
      <c r="L960" s="217"/>
      <c r="M960" s="211">
        <f t="shared" si="56"/>
        <v>-46136</v>
      </c>
      <c r="N960" s="683">
        <f t="shared" si="58"/>
        <v>7</v>
      </c>
      <c r="O960" s="212"/>
      <c r="P960" s="544"/>
      <c r="Q960" s="561">
        <f t="shared" si="59"/>
        <v>0</v>
      </c>
      <c r="R960" s="58"/>
      <c r="S960" s="58"/>
      <c r="T960" s="58"/>
      <c r="U960" s="58"/>
      <c r="V960" s="58"/>
    </row>
    <row r="961" spans="1:22" ht="15.75" customHeight="1">
      <c r="A961" s="468" t="s">
        <v>348</v>
      </c>
      <c r="B961" s="204" t="s">
        <v>184</v>
      </c>
      <c r="C961" s="527"/>
      <c r="D961" s="697"/>
      <c r="E961" s="706"/>
      <c r="F961" s="697"/>
      <c r="G961" s="206"/>
      <c r="H961" s="214"/>
      <c r="I961" s="500"/>
      <c r="J961" s="715"/>
      <c r="K961" s="552">
        <f t="shared" si="57"/>
        <v>0</v>
      </c>
      <c r="L961" s="217"/>
      <c r="M961" s="211">
        <f t="shared" si="56"/>
        <v>-46136</v>
      </c>
      <c r="N961" s="683">
        <f t="shared" si="58"/>
        <v>7</v>
      </c>
      <c r="O961" s="212"/>
      <c r="P961" s="544"/>
      <c r="Q961" s="561">
        <f t="shared" si="59"/>
        <v>0</v>
      </c>
      <c r="R961" s="58"/>
      <c r="S961" s="58"/>
      <c r="T961" s="58"/>
      <c r="U961" s="58"/>
      <c r="V961" s="58"/>
    </row>
    <row r="962" spans="1:22" ht="15.75" customHeight="1">
      <c r="A962" s="468" t="s">
        <v>348</v>
      </c>
      <c r="B962" s="204" t="s">
        <v>184</v>
      </c>
      <c r="C962" s="527"/>
      <c r="D962" s="697"/>
      <c r="E962" s="706"/>
      <c r="F962" s="697"/>
      <c r="G962" s="206"/>
      <c r="H962" s="214"/>
      <c r="I962" s="500"/>
      <c r="J962" s="715"/>
      <c r="K962" s="552">
        <f t="shared" si="57"/>
        <v>0</v>
      </c>
      <c r="L962" s="217"/>
      <c r="M962" s="211">
        <f t="shared" si="56"/>
        <v>-46136</v>
      </c>
      <c r="N962" s="683">
        <f t="shared" si="58"/>
        <v>7</v>
      </c>
      <c r="O962" s="212"/>
      <c r="P962" s="544"/>
      <c r="Q962" s="561">
        <f t="shared" si="59"/>
        <v>0</v>
      </c>
      <c r="R962" s="58"/>
      <c r="S962" s="58"/>
      <c r="T962" s="58"/>
      <c r="U962" s="58"/>
      <c r="V962" s="58"/>
    </row>
    <row r="963" spans="1:22" ht="15.75" customHeight="1">
      <c r="A963" s="468" t="s">
        <v>348</v>
      </c>
      <c r="B963" s="204" t="s">
        <v>184</v>
      </c>
      <c r="C963" s="527"/>
      <c r="D963" s="697"/>
      <c r="E963" s="706"/>
      <c r="F963" s="697"/>
      <c r="G963" s="206"/>
      <c r="H963" s="214"/>
      <c r="I963" s="501"/>
      <c r="J963" s="715"/>
      <c r="K963" s="552">
        <f t="shared" si="57"/>
        <v>0</v>
      </c>
      <c r="L963" s="217"/>
      <c r="M963" s="211">
        <f t="shared" si="56"/>
        <v>-46136</v>
      </c>
      <c r="N963" s="683">
        <f t="shared" si="58"/>
        <v>7</v>
      </c>
      <c r="O963" s="212"/>
      <c r="P963" s="544"/>
      <c r="Q963" s="561">
        <f t="shared" si="59"/>
        <v>0</v>
      </c>
      <c r="R963" s="58"/>
      <c r="S963" s="58"/>
      <c r="T963" s="58"/>
      <c r="U963" s="58"/>
      <c r="V963" s="58"/>
    </row>
    <row r="964" spans="1:22" ht="15.75" customHeight="1">
      <c r="A964" s="468" t="s">
        <v>348</v>
      </c>
      <c r="B964" s="204" t="s">
        <v>184</v>
      </c>
      <c r="C964" s="527"/>
      <c r="D964" s="697"/>
      <c r="E964" s="706"/>
      <c r="F964" s="697"/>
      <c r="G964" s="206"/>
      <c r="H964" s="214"/>
      <c r="I964" s="500"/>
      <c r="J964" s="715"/>
      <c r="K964" s="552">
        <f t="shared" si="57"/>
        <v>0</v>
      </c>
      <c r="L964" s="217"/>
      <c r="M964" s="211">
        <f t="shared" si="56"/>
        <v>-46136</v>
      </c>
      <c r="N964" s="683">
        <f t="shared" si="58"/>
        <v>7</v>
      </c>
      <c r="O964" s="212"/>
      <c r="P964" s="544"/>
      <c r="Q964" s="561">
        <f t="shared" si="59"/>
        <v>0</v>
      </c>
      <c r="R964" s="58"/>
      <c r="S964" s="58"/>
      <c r="T964" s="58"/>
      <c r="U964" s="58"/>
      <c r="V964" s="58"/>
    </row>
    <row r="965" spans="1:22" ht="15.75" customHeight="1">
      <c r="A965" s="468" t="s">
        <v>348</v>
      </c>
      <c r="B965" s="204" t="s">
        <v>184</v>
      </c>
      <c r="C965" s="527"/>
      <c r="D965" s="697"/>
      <c r="E965" s="706"/>
      <c r="F965" s="697"/>
      <c r="G965" s="206"/>
      <c r="H965" s="214"/>
      <c r="I965" s="502"/>
      <c r="J965" s="715"/>
      <c r="K965" s="552">
        <f t="shared" si="57"/>
        <v>0</v>
      </c>
      <c r="L965" s="217"/>
      <c r="M965" s="211">
        <f t="shared" si="56"/>
        <v>-46136</v>
      </c>
      <c r="N965" s="683">
        <f t="shared" si="58"/>
        <v>7</v>
      </c>
      <c r="O965" s="212"/>
      <c r="P965" s="544"/>
      <c r="Q965" s="561">
        <f t="shared" si="59"/>
        <v>0</v>
      </c>
      <c r="R965" s="58"/>
      <c r="S965" s="58"/>
      <c r="T965" s="58"/>
      <c r="U965" s="58"/>
      <c r="V965" s="58"/>
    </row>
    <row r="966" spans="1:22" ht="15.75" customHeight="1">
      <c r="A966" s="468" t="s">
        <v>348</v>
      </c>
      <c r="B966" s="204" t="s">
        <v>184</v>
      </c>
      <c r="C966" s="527"/>
      <c r="D966" s="697"/>
      <c r="E966" s="706"/>
      <c r="F966" s="697"/>
      <c r="G966" s="206"/>
      <c r="H966" s="214"/>
      <c r="I966" s="502"/>
      <c r="J966" s="715"/>
      <c r="K966" s="552">
        <f t="shared" si="57"/>
        <v>0</v>
      </c>
      <c r="L966" s="217"/>
      <c r="M966" s="211">
        <f t="shared" si="56"/>
        <v>-46136</v>
      </c>
      <c r="N966" s="683">
        <f t="shared" si="58"/>
        <v>7</v>
      </c>
      <c r="O966" s="212"/>
      <c r="P966" s="544"/>
      <c r="Q966" s="561">
        <f t="shared" si="59"/>
        <v>0</v>
      </c>
      <c r="R966" s="58"/>
      <c r="S966" s="58"/>
      <c r="T966" s="58"/>
      <c r="U966" s="58"/>
      <c r="V966" s="58"/>
    </row>
    <row r="967" spans="1:22" ht="15.75" customHeight="1">
      <c r="A967" s="468" t="s">
        <v>348</v>
      </c>
      <c r="B967" s="204" t="s">
        <v>184</v>
      </c>
      <c r="C967" s="527"/>
      <c r="D967" s="697"/>
      <c r="E967" s="706"/>
      <c r="F967" s="697"/>
      <c r="G967" s="206"/>
      <c r="H967" s="214"/>
      <c r="I967" s="500"/>
      <c r="J967" s="715"/>
      <c r="K967" s="552">
        <f t="shared" si="57"/>
        <v>0</v>
      </c>
      <c r="L967" s="217"/>
      <c r="M967" s="211">
        <f t="shared" si="56"/>
        <v>-46136</v>
      </c>
      <c r="N967" s="683">
        <f t="shared" si="58"/>
        <v>7</v>
      </c>
      <c r="O967" s="212"/>
      <c r="P967" s="544"/>
      <c r="Q967" s="561">
        <f t="shared" si="59"/>
        <v>0</v>
      </c>
      <c r="R967" s="58"/>
      <c r="S967" s="58"/>
      <c r="T967" s="58"/>
      <c r="U967" s="58"/>
      <c r="V967" s="58"/>
    </row>
    <row r="968" spans="1:22" ht="15.75" customHeight="1">
      <c r="A968" s="468" t="s">
        <v>348</v>
      </c>
      <c r="B968" s="204" t="s">
        <v>184</v>
      </c>
      <c r="C968" s="527"/>
      <c r="D968" s="697"/>
      <c r="E968" s="706"/>
      <c r="F968" s="697"/>
      <c r="G968" s="206"/>
      <c r="H968" s="214"/>
      <c r="I968" s="500"/>
      <c r="J968" s="715"/>
      <c r="K968" s="552">
        <f t="shared" si="57"/>
        <v>0</v>
      </c>
      <c r="L968" s="217"/>
      <c r="M968" s="211">
        <f t="shared" si="56"/>
        <v>-46136</v>
      </c>
      <c r="N968" s="683">
        <f t="shared" si="58"/>
        <v>7</v>
      </c>
      <c r="O968" s="212"/>
      <c r="P968" s="544"/>
      <c r="Q968" s="561">
        <f t="shared" si="59"/>
        <v>0</v>
      </c>
      <c r="R968" s="58"/>
      <c r="S968" s="58"/>
      <c r="T968" s="58"/>
      <c r="U968" s="58"/>
      <c r="V968" s="58"/>
    </row>
    <row r="969" spans="1:22" ht="15.75" customHeight="1">
      <c r="A969" s="468" t="s">
        <v>348</v>
      </c>
      <c r="B969" s="204" t="s">
        <v>184</v>
      </c>
      <c r="C969" s="527"/>
      <c r="D969" s="267"/>
      <c r="E969" s="706"/>
      <c r="F969" s="713"/>
      <c r="G969" s="206"/>
      <c r="H969" s="214"/>
      <c r="I969" s="500"/>
      <c r="J969" s="715"/>
      <c r="K969" s="552">
        <f t="shared" si="57"/>
        <v>0</v>
      </c>
      <c r="L969" s="217"/>
      <c r="M969" s="211">
        <f t="shared" ref="M969:M1032" si="60">+L969-$E$6</f>
        <v>-46136</v>
      </c>
      <c r="N969" s="683">
        <f t="shared" si="58"/>
        <v>7</v>
      </c>
      <c r="O969" s="212"/>
      <c r="P969" s="544"/>
      <c r="Q969" s="561">
        <f t="shared" si="59"/>
        <v>0</v>
      </c>
      <c r="R969" s="58"/>
      <c r="S969" s="58"/>
      <c r="T969" s="58"/>
      <c r="U969" s="58"/>
      <c r="V969" s="58"/>
    </row>
    <row r="970" spans="1:22" ht="15.75" customHeight="1">
      <c r="A970" s="468" t="s">
        <v>348</v>
      </c>
      <c r="B970" s="204" t="s">
        <v>184</v>
      </c>
      <c r="C970" s="527"/>
      <c r="D970" s="697"/>
      <c r="E970" s="708"/>
      <c r="F970" s="697"/>
      <c r="G970" s="206"/>
      <c r="H970" s="214"/>
      <c r="I970" s="500"/>
      <c r="J970" s="715"/>
      <c r="K970" s="552">
        <f t="shared" ref="K970:K1033" si="61">-J970</f>
        <v>0</v>
      </c>
      <c r="L970" s="217"/>
      <c r="M970" s="211">
        <f t="shared" si="60"/>
        <v>-46136</v>
      </c>
      <c r="N970" s="683">
        <f t="shared" ref="N970:N1033" si="62">+L970+7</f>
        <v>7</v>
      </c>
      <c r="O970" s="212"/>
      <c r="P970" s="544"/>
      <c r="Q970" s="561">
        <f t="shared" si="59"/>
        <v>0</v>
      </c>
      <c r="R970" s="58"/>
      <c r="S970" s="58"/>
      <c r="T970" s="58"/>
      <c r="U970" s="58"/>
      <c r="V970" s="58"/>
    </row>
    <row r="971" spans="1:22" ht="15.75" customHeight="1">
      <c r="A971" s="468" t="s">
        <v>348</v>
      </c>
      <c r="B971" s="204" t="s">
        <v>184</v>
      </c>
      <c r="C971" s="527"/>
      <c r="D971" s="697"/>
      <c r="E971" s="708"/>
      <c r="F971" s="697"/>
      <c r="G971" s="206"/>
      <c r="H971" s="214"/>
      <c r="I971" s="500"/>
      <c r="J971" s="715"/>
      <c r="K971" s="552">
        <f t="shared" si="61"/>
        <v>0</v>
      </c>
      <c r="L971" s="217"/>
      <c r="M971" s="211">
        <f t="shared" si="60"/>
        <v>-46136</v>
      </c>
      <c r="N971" s="683">
        <f t="shared" si="62"/>
        <v>7</v>
      </c>
      <c r="O971" s="212"/>
      <c r="P971" s="544"/>
      <c r="Q971" s="561">
        <f t="shared" si="59"/>
        <v>0</v>
      </c>
      <c r="R971" s="58"/>
      <c r="S971" s="58"/>
      <c r="T971" s="58"/>
      <c r="U971" s="58"/>
      <c r="V971" s="58"/>
    </row>
    <row r="972" spans="1:22" ht="15.75" customHeight="1">
      <c r="A972" s="468" t="s">
        <v>348</v>
      </c>
      <c r="B972" s="204" t="s">
        <v>184</v>
      </c>
      <c r="C972" s="527"/>
      <c r="D972" s="697"/>
      <c r="E972" s="708"/>
      <c r="F972" s="697"/>
      <c r="G972" s="206"/>
      <c r="H972" s="214"/>
      <c r="I972" s="500"/>
      <c r="J972" s="715"/>
      <c r="K972" s="552">
        <f t="shared" si="61"/>
        <v>0</v>
      </c>
      <c r="L972" s="217"/>
      <c r="M972" s="211">
        <f t="shared" si="60"/>
        <v>-46136</v>
      </c>
      <c r="N972" s="683">
        <f t="shared" si="62"/>
        <v>7</v>
      </c>
      <c r="O972" s="212"/>
      <c r="P972" s="544"/>
      <c r="Q972" s="561">
        <f t="shared" si="59"/>
        <v>0</v>
      </c>
      <c r="R972" s="58"/>
      <c r="S972" s="58"/>
      <c r="T972" s="58"/>
      <c r="U972" s="58"/>
      <c r="V972" s="58"/>
    </row>
    <row r="973" spans="1:22" ht="15.75" customHeight="1">
      <c r="A973" s="468" t="s">
        <v>348</v>
      </c>
      <c r="B973" s="204" t="s">
        <v>184</v>
      </c>
      <c r="C973" s="527"/>
      <c r="D973" s="697"/>
      <c r="E973" s="708"/>
      <c r="F973" s="697"/>
      <c r="G973" s="206"/>
      <c r="H973" s="214"/>
      <c r="I973" s="500"/>
      <c r="J973" s="715"/>
      <c r="K973" s="552">
        <f t="shared" si="61"/>
        <v>0</v>
      </c>
      <c r="L973" s="217"/>
      <c r="M973" s="211">
        <f t="shared" si="60"/>
        <v>-46136</v>
      </c>
      <c r="N973" s="683">
        <f t="shared" si="62"/>
        <v>7</v>
      </c>
      <c r="O973" s="212"/>
      <c r="P973" s="544"/>
      <c r="Q973" s="561">
        <f t="shared" si="59"/>
        <v>0</v>
      </c>
      <c r="R973" s="58"/>
      <c r="S973" s="58"/>
      <c r="T973" s="58"/>
      <c r="U973" s="58"/>
      <c r="V973" s="58"/>
    </row>
    <row r="974" spans="1:22" ht="15.75" customHeight="1">
      <c r="A974" s="468" t="s">
        <v>348</v>
      </c>
      <c r="B974" s="204" t="s">
        <v>184</v>
      </c>
      <c r="C974" s="527"/>
      <c r="D974" s="697"/>
      <c r="E974" s="708"/>
      <c r="F974" s="697"/>
      <c r="G974" s="206"/>
      <c r="H974" s="214"/>
      <c r="I974" s="500"/>
      <c r="J974" s="715"/>
      <c r="K974" s="552">
        <f t="shared" si="61"/>
        <v>0</v>
      </c>
      <c r="L974" s="217"/>
      <c r="M974" s="211">
        <f t="shared" si="60"/>
        <v>-46136</v>
      </c>
      <c r="N974" s="683">
        <f t="shared" si="62"/>
        <v>7</v>
      </c>
      <c r="O974" s="212"/>
      <c r="P974" s="544"/>
      <c r="Q974" s="561">
        <f t="shared" si="59"/>
        <v>0</v>
      </c>
      <c r="R974" s="58"/>
      <c r="S974" s="58"/>
      <c r="T974" s="58"/>
      <c r="U974" s="58"/>
      <c r="V974" s="58"/>
    </row>
    <row r="975" spans="1:22" ht="15.75" customHeight="1">
      <c r="A975" s="468" t="s">
        <v>348</v>
      </c>
      <c r="B975" s="204" t="s">
        <v>184</v>
      </c>
      <c r="C975" s="527"/>
      <c r="D975" s="697"/>
      <c r="E975" s="708"/>
      <c r="F975" s="697"/>
      <c r="G975" s="206"/>
      <c r="H975" s="214"/>
      <c r="I975" s="500"/>
      <c r="J975" s="715"/>
      <c r="K975" s="552">
        <f t="shared" si="61"/>
        <v>0</v>
      </c>
      <c r="L975" s="217"/>
      <c r="M975" s="211">
        <f t="shared" si="60"/>
        <v>-46136</v>
      </c>
      <c r="N975" s="683">
        <f t="shared" si="62"/>
        <v>7</v>
      </c>
      <c r="O975" s="212"/>
      <c r="P975" s="544"/>
      <c r="Q975" s="561">
        <f t="shared" si="59"/>
        <v>0</v>
      </c>
      <c r="R975" s="58"/>
      <c r="S975" s="58"/>
      <c r="T975" s="58"/>
      <c r="U975" s="58"/>
      <c r="V975" s="58"/>
    </row>
    <row r="976" spans="1:22" ht="15.75" customHeight="1">
      <c r="A976" s="468" t="s">
        <v>348</v>
      </c>
      <c r="B976" s="204" t="s">
        <v>184</v>
      </c>
      <c r="C976" s="527"/>
      <c r="D976" s="697"/>
      <c r="E976" s="708"/>
      <c r="F976" s="697"/>
      <c r="G976" s="206"/>
      <c r="H976" s="214"/>
      <c r="I976" s="500"/>
      <c r="J976" s="715"/>
      <c r="K976" s="552">
        <f t="shared" si="61"/>
        <v>0</v>
      </c>
      <c r="L976" s="217"/>
      <c r="M976" s="211">
        <f t="shared" si="60"/>
        <v>-46136</v>
      </c>
      <c r="N976" s="683">
        <f t="shared" si="62"/>
        <v>7</v>
      </c>
      <c r="O976" s="212"/>
      <c r="P976" s="544"/>
      <c r="Q976" s="561">
        <f t="shared" si="59"/>
        <v>0</v>
      </c>
      <c r="R976" s="58"/>
      <c r="S976" s="58"/>
      <c r="T976" s="58"/>
      <c r="U976" s="58"/>
      <c r="V976" s="58"/>
    </row>
    <row r="977" spans="1:22" ht="15.75" customHeight="1">
      <c r="A977" s="468" t="s">
        <v>348</v>
      </c>
      <c r="B977" s="204" t="s">
        <v>184</v>
      </c>
      <c r="C977" s="527"/>
      <c r="D977" s="697"/>
      <c r="E977" s="708"/>
      <c r="F977" s="697"/>
      <c r="G977" s="206"/>
      <c r="H977" s="214"/>
      <c r="I977" s="500"/>
      <c r="J977" s="715"/>
      <c r="K977" s="552">
        <f t="shared" si="61"/>
        <v>0</v>
      </c>
      <c r="L977" s="217"/>
      <c r="M977" s="211">
        <f t="shared" si="60"/>
        <v>-46136</v>
      </c>
      <c r="N977" s="683">
        <f t="shared" si="62"/>
        <v>7</v>
      </c>
      <c r="O977" s="212"/>
      <c r="P977" s="544"/>
      <c r="Q977" s="561">
        <f t="shared" si="59"/>
        <v>0</v>
      </c>
      <c r="R977" s="58"/>
      <c r="S977" s="58"/>
      <c r="T977" s="58"/>
      <c r="U977" s="58"/>
      <c r="V977" s="58"/>
    </row>
    <row r="978" spans="1:22" ht="15.75" customHeight="1">
      <c r="A978" s="468" t="s">
        <v>348</v>
      </c>
      <c r="B978" s="204" t="s">
        <v>184</v>
      </c>
      <c r="C978" s="527"/>
      <c r="D978" s="267"/>
      <c r="E978" s="706"/>
      <c r="F978" s="697"/>
      <c r="G978" s="206"/>
      <c r="H978" s="214"/>
      <c r="I978" s="500"/>
      <c r="J978" s="715"/>
      <c r="K978" s="552">
        <f t="shared" si="61"/>
        <v>0</v>
      </c>
      <c r="L978" s="217"/>
      <c r="M978" s="211">
        <f t="shared" si="60"/>
        <v>-46136</v>
      </c>
      <c r="N978" s="683">
        <f t="shared" si="62"/>
        <v>7</v>
      </c>
      <c r="O978" s="212"/>
      <c r="P978" s="544"/>
      <c r="Q978" s="561">
        <f t="shared" si="59"/>
        <v>0</v>
      </c>
      <c r="R978" s="58"/>
      <c r="S978" s="58"/>
      <c r="T978" s="58"/>
      <c r="U978" s="58"/>
      <c r="V978" s="58"/>
    </row>
    <row r="979" spans="1:22" ht="15.75" customHeight="1">
      <c r="A979" s="468" t="s">
        <v>348</v>
      </c>
      <c r="B979" s="204" t="s">
        <v>184</v>
      </c>
      <c r="C979" s="527"/>
      <c r="D979" s="267"/>
      <c r="E979" s="706"/>
      <c r="F979" s="697"/>
      <c r="G979" s="206"/>
      <c r="H979" s="214"/>
      <c r="I979" s="501"/>
      <c r="J979" s="715"/>
      <c r="K979" s="552">
        <f t="shared" si="61"/>
        <v>0</v>
      </c>
      <c r="L979" s="217"/>
      <c r="M979" s="211">
        <f t="shared" si="60"/>
        <v>-46136</v>
      </c>
      <c r="N979" s="683">
        <f t="shared" si="62"/>
        <v>7</v>
      </c>
      <c r="O979" s="212"/>
      <c r="P979" s="544"/>
      <c r="Q979" s="561">
        <f t="shared" si="59"/>
        <v>0</v>
      </c>
      <c r="R979" s="58"/>
      <c r="S979" s="58"/>
      <c r="T979" s="58"/>
      <c r="U979" s="58"/>
      <c r="V979" s="58"/>
    </row>
    <row r="980" spans="1:22" ht="15.75" customHeight="1">
      <c r="A980" s="468" t="s">
        <v>348</v>
      </c>
      <c r="B980" s="204" t="s">
        <v>184</v>
      </c>
      <c r="C980" s="527"/>
      <c r="D980" s="267"/>
      <c r="E980" s="706"/>
      <c r="F980" s="697"/>
      <c r="G980" s="206"/>
      <c r="H980" s="214"/>
      <c r="I980" s="502"/>
      <c r="J980" s="715"/>
      <c r="K980" s="552">
        <f t="shared" si="61"/>
        <v>0</v>
      </c>
      <c r="L980" s="217"/>
      <c r="M980" s="211">
        <f t="shared" si="60"/>
        <v>-46136</v>
      </c>
      <c r="N980" s="683">
        <f t="shared" si="62"/>
        <v>7</v>
      </c>
      <c r="O980" s="212"/>
      <c r="P980" s="544"/>
      <c r="Q980" s="561">
        <f t="shared" si="59"/>
        <v>0</v>
      </c>
      <c r="R980" s="58"/>
      <c r="S980" s="58"/>
      <c r="T980" s="58"/>
      <c r="U980" s="58"/>
      <c r="V980" s="58"/>
    </row>
    <row r="981" spans="1:22" ht="15.75" customHeight="1">
      <c r="A981" s="468" t="s">
        <v>348</v>
      </c>
      <c r="B981" s="204" t="s">
        <v>184</v>
      </c>
      <c r="C981" s="527"/>
      <c r="D981" s="267"/>
      <c r="E981" s="706"/>
      <c r="F981" s="697"/>
      <c r="G981" s="206"/>
      <c r="H981" s="214"/>
      <c r="I981" s="500"/>
      <c r="J981" s="715"/>
      <c r="K981" s="552">
        <f t="shared" si="61"/>
        <v>0</v>
      </c>
      <c r="L981" s="217"/>
      <c r="M981" s="211">
        <f t="shared" si="60"/>
        <v>-46136</v>
      </c>
      <c r="N981" s="683">
        <f t="shared" si="62"/>
        <v>7</v>
      </c>
      <c r="O981" s="212"/>
      <c r="P981" s="544"/>
      <c r="Q981" s="561">
        <f t="shared" si="59"/>
        <v>0</v>
      </c>
      <c r="R981" s="58"/>
      <c r="S981" s="58"/>
      <c r="T981" s="58"/>
      <c r="U981" s="58"/>
      <c r="V981" s="58"/>
    </row>
    <row r="982" spans="1:22" ht="15.75" customHeight="1">
      <c r="A982" s="468" t="s">
        <v>348</v>
      </c>
      <c r="B982" s="204" t="s">
        <v>184</v>
      </c>
      <c r="C982" s="527"/>
      <c r="D982" s="267"/>
      <c r="E982" s="708"/>
      <c r="F982" s="267"/>
      <c r="G982" s="206"/>
      <c r="H982" s="214"/>
      <c r="I982" s="500"/>
      <c r="J982" s="715"/>
      <c r="K982" s="552">
        <f t="shared" si="61"/>
        <v>0</v>
      </c>
      <c r="L982" s="217"/>
      <c r="M982" s="211">
        <f t="shared" si="60"/>
        <v>-46136</v>
      </c>
      <c r="N982" s="683">
        <f t="shared" si="62"/>
        <v>7</v>
      </c>
      <c r="O982" s="212"/>
      <c r="P982" s="544"/>
      <c r="Q982" s="561">
        <f t="shared" si="59"/>
        <v>0</v>
      </c>
      <c r="R982" s="58"/>
      <c r="S982" s="58"/>
      <c r="T982" s="58"/>
      <c r="U982" s="58"/>
      <c r="V982" s="58"/>
    </row>
    <row r="983" spans="1:22" ht="15.75" customHeight="1">
      <c r="A983" s="468" t="s">
        <v>348</v>
      </c>
      <c r="B983" s="204" t="s">
        <v>184</v>
      </c>
      <c r="C983" s="527"/>
      <c r="D983" s="267"/>
      <c r="E983" s="708"/>
      <c r="F983" s="267"/>
      <c r="G983" s="206"/>
      <c r="H983" s="214"/>
      <c r="I983" s="500"/>
      <c r="J983" s="715"/>
      <c r="K983" s="552">
        <f t="shared" si="61"/>
        <v>0</v>
      </c>
      <c r="L983" s="217"/>
      <c r="M983" s="211">
        <f t="shared" si="60"/>
        <v>-46136</v>
      </c>
      <c r="N983" s="683">
        <f t="shared" si="62"/>
        <v>7</v>
      </c>
      <c r="O983" s="212"/>
      <c r="P983" s="544"/>
      <c r="Q983" s="561">
        <f t="shared" si="59"/>
        <v>0</v>
      </c>
      <c r="R983" s="58"/>
      <c r="S983" s="58"/>
      <c r="T983" s="58"/>
      <c r="U983" s="58"/>
      <c r="V983" s="58"/>
    </row>
    <row r="984" spans="1:22" ht="15.75" customHeight="1">
      <c r="A984" s="468" t="s">
        <v>348</v>
      </c>
      <c r="B984" s="204" t="s">
        <v>184</v>
      </c>
      <c r="C984" s="527"/>
      <c r="D984" s="267"/>
      <c r="E984" s="708"/>
      <c r="F984" s="267"/>
      <c r="G984" s="206"/>
      <c r="H984" s="214"/>
      <c r="I984" s="500"/>
      <c r="J984" s="715"/>
      <c r="K984" s="552">
        <f t="shared" si="61"/>
        <v>0</v>
      </c>
      <c r="L984" s="217"/>
      <c r="M984" s="211">
        <f t="shared" si="60"/>
        <v>-46136</v>
      </c>
      <c r="N984" s="683">
        <f t="shared" si="62"/>
        <v>7</v>
      </c>
      <c r="O984" s="212"/>
      <c r="P984" s="544"/>
      <c r="Q984" s="561">
        <f t="shared" si="59"/>
        <v>0</v>
      </c>
      <c r="R984" s="58"/>
      <c r="S984" s="58"/>
      <c r="T984" s="58"/>
      <c r="U984" s="58"/>
      <c r="V984" s="58"/>
    </row>
    <row r="985" spans="1:22" ht="15.75" customHeight="1">
      <c r="A985" s="468" t="s">
        <v>348</v>
      </c>
      <c r="B985" s="204" t="s">
        <v>184</v>
      </c>
      <c r="C985" s="527"/>
      <c r="D985" s="267"/>
      <c r="E985" s="708"/>
      <c r="F985" s="267"/>
      <c r="G985" s="206"/>
      <c r="H985" s="214"/>
      <c r="I985" s="500"/>
      <c r="J985" s="715"/>
      <c r="K985" s="552">
        <f t="shared" si="61"/>
        <v>0</v>
      </c>
      <c r="L985" s="217"/>
      <c r="M985" s="211">
        <f t="shared" si="60"/>
        <v>-46136</v>
      </c>
      <c r="N985" s="683">
        <f t="shared" si="62"/>
        <v>7</v>
      </c>
      <c r="O985" s="212"/>
      <c r="P985" s="544"/>
      <c r="Q985" s="561">
        <f t="shared" si="59"/>
        <v>0</v>
      </c>
      <c r="R985" s="58"/>
      <c r="S985" s="58"/>
      <c r="T985" s="58"/>
      <c r="U985" s="58"/>
      <c r="V985" s="58"/>
    </row>
    <row r="986" spans="1:22" ht="15.75" customHeight="1">
      <c r="A986" s="468" t="s">
        <v>348</v>
      </c>
      <c r="B986" s="204" t="s">
        <v>184</v>
      </c>
      <c r="C986" s="527"/>
      <c r="D986" s="267"/>
      <c r="E986" s="708"/>
      <c r="F986" s="267"/>
      <c r="G986" s="206"/>
      <c r="H986" s="214"/>
      <c r="I986" s="500"/>
      <c r="J986" s="715"/>
      <c r="K986" s="552">
        <f t="shared" si="61"/>
        <v>0</v>
      </c>
      <c r="L986" s="217"/>
      <c r="M986" s="211">
        <f t="shared" si="60"/>
        <v>-46136</v>
      </c>
      <c r="N986" s="683">
        <f t="shared" si="62"/>
        <v>7</v>
      </c>
      <c r="O986" s="212"/>
      <c r="P986" s="544"/>
      <c r="Q986" s="561">
        <f t="shared" si="59"/>
        <v>0</v>
      </c>
      <c r="R986" s="58"/>
      <c r="S986" s="58"/>
      <c r="T986" s="58"/>
      <c r="U986" s="58"/>
      <c r="V986" s="58"/>
    </row>
    <row r="987" spans="1:22" ht="15.75" customHeight="1">
      <c r="A987" s="468" t="s">
        <v>348</v>
      </c>
      <c r="B987" s="204" t="s">
        <v>184</v>
      </c>
      <c r="C987" s="527"/>
      <c r="D987" s="267"/>
      <c r="E987" s="708"/>
      <c r="F987" s="267"/>
      <c r="G987" s="206"/>
      <c r="H987" s="214"/>
      <c r="I987" s="500"/>
      <c r="J987" s="715"/>
      <c r="K987" s="552">
        <f t="shared" si="61"/>
        <v>0</v>
      </c>
      <c r="L987" s="217"/>
      <c r="M987" s="211">
        <f t="shared" si="60"/>
        <v>-46136</v>
      </c>
      <c r="N987" s="683">
        <f t="shared" si="62"/>
        <v>7</v>
      </c>
      <c r="O987" s="212"/>
      <c r="P987" s="544"/>
      <c r="Q987" s="561">
        <f t="shared" si="59"/>
        <v>0</v>
      </c>
      <c r="R987" s="58"/>
      <c r="S987" s="58"/>
      <c r="T987" s="58"/>
      <c r="U987" s="58"/>
      <c r="V987" s="58"/>
    </row>
    <row r="988" spans="1:22" ht="15.75" customHeight="1">
      <c r="A988" s="468" t="s">
        <v>348</v>
      </c>
      <c r="B988" s="204" t="s">
        <v>184</v>
      </c>
      <c r="C988" s="527"/>
      <c r="D988" s="267"/>
      <c r="E988" s="708"/>
      <c r="F988" s="267"/>
      <c r="G988" s="206"/>
      <c r="H988" s="214"/>
      <c r="I988" s="500"/>
      <c r="J988" s="715"/>
      <c r="K988" s="552">
        <f t="shared" si="61"/>
        <v>0</v>
      </c>
      <c r="L988" s="217"/>
      <c r="M988" s="211">
        <f t="shared" si="60"/>
        <v>-46136</v>
      </c>
      <c r="N988" s="683">
        <f t="shared" si="62"/>
        <v>7</v>
      </c>
      <c r="O988" s="212"/>
      <c r="P988" s="544"/>
      <c r="Q988" s="561">
        <f t="shared" si="59"/>
        <v>0</v>
      </c>
      <c r="R988" s="58"/>
      <c r="S988" s="58"/>
      <c r="T988" s="58"/>
      <c r="U988" s="58"/>
      <c r="V988" s="58"/>
    </row>
    <row r="989" spans="1:22" ht="15.75" customHeight="1">
      <c r="A989" s="468" t="s">
        <v>348</v>
      </c>
      <c r="B989" s="204" t="s">
        <v>184</v>
      </c>
      <c r="C989" s="527"/>
      <c r="D989" s="267"/>
      <c r="E989" s="708"/>
      <c r="F989" s="267"/>
      <c r="G989" s="206"/>
      <c r="H989" s="214"/>
      <c r="I989" s="500"/>
      <c r="J989" s="715"/>
      <c r="K989" s="552">
        <f t="shared" si="61"/>
        <v>0</v>
      </c>
      <c r="L989" s="217"/>
      <c r="M989" s="211">
        <f t="shared" si="60"/>
        <v>-46136</v>
      </c>
      <c r="N989" s="683">
        <f t="shared" si="62"/>
        <v>7</v>
      </c>
      <c r="O989" s="212"/>
      <c r="P989" s="544"/>
      <c r="Q989" s="561">
        <f t="shared" si="59"/>
        <v>0</v>
      </c>
      <c r="R989" s="58"/>
      <c r="S989" s="58"/>
      <c r="T989" s="58"/>
      <c r="U989" s="58"/>
      <c r="V989" s="58"/>
    </row>
    <row r="990" spans="1:22" ht="15.75" customHeight="1">
      <c r="A990" s="468" t="s">
        <v>348</v>
      </c>
      <c r="B990" s="204" t="s">
        <v>184</v>
      </c>
      <c r="C990" s="527"/>
      <c r="D990" s="267"/>
      <c r="E990" s="708"/>
      <c r="F990" s="267"/>
      <c r="G990" s="206"/>
      <c r="H990" s="214"/>
      <c r="I990" s="500"/>
      <c r="J990" s="715"/>
      <c r="K990" s="552">
        <f t="shared" si="61"/>
        <v>0</v>
      </c>
      <c r="L990" s="217"/>
      <c r="M990" s="211">
        <f t="shared" si="60"/>
        <v>-46136</v>
      </c>
      <c r="N990" s="683">
        <f t="shared" si="62"/>
        <v>7</v>
      </c>
      <c r="O990" s="212"/>
      <c r="P990" s="544"/>
      <c r="Q990" s="561">
        <f t="shared" si="59"/>
        <v>0</v>
      </c>
      <c r="R990" s="58"/>
      <c r="S990" s="58"/>
      <c r="T990" s="58"/>
      <c r="U990" s="58"/>
      <c r="V990" s="58"/>
    </row>
    <row r="991" spans="1:22" ht="15.75" customHeight="1">
      <c r="A991" s="468" t="s">
        <v>348</v>
      </c>
      <c r="B991" s="204" t="s">
        <v>184</v>
      </c>
      <c r="C991" s="527"/>
      <c r="D991" s="697"/>
      <c r="E991" s="708"/>
      <c r="F991" s="697"/>
      <c r="G991" s="206"/>
      <c r="H991" s="214"/>
      <c r="I991" s="500"/>
      <c r="J991" s="715"/>
      <c r="K991" s="552">
        <f t="shared" si="61"/>
        <v>0</v>
      </c>
      <c r="L991" s="217"/>
      <c r="M991" s="211">
        <f t="shared" si="60"/>
        <v>-46136</v>
      </c>
      <c r="N991" s="683">
        <f t="shared" si="62"/>
        <v>7</v>
      </c>
      <c r="O991" s="212"/>
      <c r="P991" s="544"/>
      <c r="Q991" s="561">
        <f t="shared" si="59"/>
        <v>0</v>
      </c>
      <c r="R991" s="58"/>
      <c r="S991" s="58"/>
      <c r="T991" s="58"/>
      <c r="U991" s="58"/>
      <c r="V991" s="58"/>
    </row>
    <row r="992" spans="1:22" ht="15.75" customHeight="1">
      <c r="A992" s="468" t="s">
        <v>348</v>
      </c>
      <c r="B992" s="204" t="s">
        <v>184</v>
      </c>
      <c r="C992" s="527"/>
      <c r="D992" s="267"/>
      <c r="E992" s="708"/>
      <c r="F992" s="267"/>
      <c r="G992" s="206"/>
      <c r="H992" s="214"/>
      <c r="I992" s="500"/>
      <c r="J992" s="715"/>
      <c r="K992" s="552">
        <f t="shared" si="61"/>
        <v>0</v>
      </c>
      <c r="L992" s="217"/>
      <c r="M992" s="211">
        <f t="shared" si="60"/>
        <v>-46136</v>
      </c>
      <c r="N992" s="683">
        <f t="shared" si="62"/>
        <v>7</v>
      </c>
      <c r="O992" s="212"/>
      <c r="P992" s="544"/>
      <c r="Q992" s="561">
        <f t="shared" si="59"/>
        <v>0</v>
      </c>
      <c r="R992" s="58"/>
      <c r="S992" s="58"/>
      <c r="T992" s="58"/>
      <c r="U992" s="58"/>
      <c r="V992" s="58"/>
    </row>
    <row r="993" spans="1:22" ht="15.75" customHeight="1">
      <c r="A993" s="468" t="s">
        <v>348</v>
      </c>
      <c r="B993" s="204" t="s">
        <v>184</v>
      </c>
      <c r="C993" s="527"/>
      <c r="D993" s="205"/>
      <c r="E993" s="708"/>
      <c r="F993" s="205"/>
      <c r="G993" s="206"/>
      <c r="H993" s="214"/>
      <c r="I993" s="500"/>
      <c r="J993" s="715"/>
      <c r="K993" s="552">
        <f t="shared" si="61"/>
        <v>0</v>
      </c>
      <c r="L993" s="217"/>
      <c r="M993" s="211">
        <f t="shared" si="60"/>
        <v>-46136</v>
      </c>
      <c r="N993" s="683">
        <f t="shared" si="62"/>
        <v>7</v>
      </c>
      <c r="O993" s="212"/>
      <c r="P993" s="544"/>
      <c r="Q993" s="561">
        <f t="shared" si="59"/>
        <v>0</v>
      </c>
      <c r="R993" s="58"/>
      <c r="S993" s="58"/>
      <c r="T993" s="58"/>
      <c r="U993" s="58"/>
      <c r="V993" s="58"/>
    </row>
    <row r="994" spans="1:22" ht="15.75" customHeight="1">
      <c r="A994" s="468" t="s">
        <v>348</v>
      </c>
      <c r="B994" s="204" t="s">
        <v>184</v>
      </c>
      <c r="C994" s="527"/>
      <c r="D994" s="205"/>
      <c r="E994" s="708"/>
      <c r="F994" s="205"/>
      <c r="G994" s="206"/>
      <c r="H994" s="214"/>
      <c r="I994" s="500"/>
      <c r="J994" s="715"/>
      <c r="K994" s="552">
        <f t="shared" si="61"/>
        <v>0</v>
      </c>
      <c r="L994" s="217"/>
      <c r="M994" s="211">
        <f t="shared" si="60"/>
        <v>-46136</v>
      </c>
      <c r="N994" s="683">
        <f t="shared" si="62"/>
        <v>7</v>
      </c>
      <c r="O994" s="212"/>
      <c r="P994" s="544"/>
      <c r="Q994" s="561">
        <f t="shared" si="59"/>
        <v>0</v>
      </c>
      <c r="R994" s="58"/>
      <c r="S994" s="58"/>
      <c r="T994" s="58"/>
      <c r="U994" s="58"/>
      <c r="V994" s="58"/>
    </row>
    <row r="995" spans="1:22" ht="15.75" customHeight="1">
      <c r="A995" s="468" t="s">
        <v>348</v>
      </c>
      <c r="B995" s="204" t="s">
        <v>184</v>
      </c>
      <c r="C995" s="527"/>
      <c r="D995" s="205"/>
      <c r="E995" s="708"/>
      <c r="F995" s="205"/>
      <c r="G995" s="206"/>
      <c r="H995" s="214"/>
      <c r="I995" s="500"/>
      <c r="J995" s="715"/>
      <c r="K995" s="552">
        <f t="shared" si="61"/>
        <v>0</v>
      </c>
      <c r="L995" s="217"/>
      <c r="M995" s="211">
        <f t="shared" si="60"/>
        <v>-46136</v>
      </c>
      <c r="N995" s="683">
        <f t="shared" si="62"/>
        <v>7</v>
      </c>
      <c r="O995" s="212"/>
      <c r="P995" s="544"/>
      <c r="Q995" s="561">
        <f t="shared" si="59"/>
        <v>0</v>
      </c>
      <c r="R995" s="58"/>
      <c r="S995" s="58"/>
      <c r="T995" s="58"/>
      <c r="U995" s="58"/>
      <c r="V995" s="58"/>
    </row>
    <row r="996" spans="1:22" ht="15.75" customHeight="1">
      <c r="A996" s="468" t="s">
        <v>348</v>
      </c>
      <c r="B996" s="204" t="s">
        <v>184</v>
      </c>
      <c r="C996" s="527"/>
      <c r="D996" s="205"/>
      <c r="E996" s="708"/>
      <c r="F996" s="205"/>
      <c r="G996" s="206"/>
      <c r="H996" s="214"/>
      <c r="I996" s="500"/>
      <c r="J996" s="715"/>
      <c r="K996" s="552">
        <f t="shared" si="61"/>
        <v>0</v>
      </c>
      <c r="L996" s="217"/>
      <c r="M996" s="211">
        <f t="shared" si="60"/>
        <v>-46136</v>
      </c>
      <c r="N996" s="683">
        <f t="shared" si="62"/>
        <v>7</v>
      </c>
      <c r="O996" s="212"/>
      <c r="P996" s="544"/>
      <c r="Q996" s="561">
        <f t="shared" si="59"/>
        <v>0</v>
      </c>
      <c r="R996" s="58"/>
      <c r="S996" s="58"/>
      <c r="T996" s="58"/>
      <c r="U996" s="58"/>
      <c r="V996" s="58"/>
    </row>
    <row r="997" spans="1:22" ht="15.75" customHeight="1">
      <c r="A997" s="468" t="s">
        <v>348</v>
      </c>
      <c r="B997" s="204" t="s">
        <v>184</v>
      </c>
      <c r="C997" s="527"/>
      <c r="D997" s="205"/>
      <c r="E997" s="708"/>
      <c r="F997" s="205"/>
      <c r="G997" s="206"/>
      <c r="H997" s="214"/>
      <c r="I997" s="500"/>
      <c r="J997" s="715"/>
      <c r="K997" s="552">
        <f t="shared" si="61"/>
        <v>0</v>
      </c>
      <c r="L997" s="217"/>
      <c r="M997" s="211">
        <f t="shared" si="60"/>
        <v>-46136</v>
      </c>
      <c r="N997" s="683">
        <f t="shared" si="62"/>
        <v>7</v>
      </c>
      <c r="O997" s="212"/>
      <c r="P997" s="544"/>
      <c r="Q997" s="561">
        <f t="shared" ref="Q997:Q1060" si="63">+K997+J997</f>
        <v>0</v>
      </c>
      <c r="R997" s="58"/>
      <c r="S997" s="58"/>
      <c r="T997" s="58"/>
      <c r="U997" s="58"/>
      <c r="V997" s="58"/>
    </row>
    <row r="998" spans="1:22" ht="15.75" customHeight="1">
      <c r="A998" s="468" t="s">
        <v>348</v>
      </c>
      <c r="B998" s="204" t="s">
        <v>184</v>
      </c>
      <c r="C998" s="527"/>
      <c r="D998" s="267"/>
      <c r="E998" s="708"/>
      <c r="F998" s="267"/>
      <c r="G998" s="206"/>
      <c r="H998" s="214"/>
      <c r="I998" s="500"/>
      <c r="J998" s="715"/>
      <c r="K998" s="552">
        <f t="shared" si="61"/>
        <v>0</v>
      </c>
      <c r="L998" s="217"/>
      <c r="M998" s="211">
        <f t="shared" si="60"/>
        <v>-46136</v>
      </c>
      <c r="N998" s="683">
        <f t="shared" si="62"/>
        <v>7</v>
      </c>
      <c r="O998" s="212"/>
      <c r="P998" s="544"/>
      <c r="Q998" s="561">
        <f t="shared" si="63"/>
        <v>0</v>
      </c>
      <c r="R998" s="58"/>
      <c r="S998" s="58"/>
      <c r="T998" s="58"/>
      <c r="U998" s="58"/>
      <c r="V998" s="58"/>
    </row>
    <row r="999" spans="1:22" ht="15.75" customHeight="1">
      <c r="A999" s="468" t="s">
        <v>348</v>
      </c>
      <c r="B999" s="204" t="s">
        <v>184</v>
      </c>
      <c r="C999" s="527"/>
      <c r="D999" s="267"/>
      <c r="E999" s="708"/>
      <c r="F999" s="267"/>
      <c r="G999" s="206"/>
      <c r="H999" s="214"/>
      <c r="I999" s="500"/>
      <c r="J999" s="715"/>
      <c r="K999" s="552">
        <f t="shared" si="61"/>
        <v>0</v>
      </c>
      <c r="L999" s="217"/>
      <c r="M999" s="211">
        <f t="shared" si="60"/>
        <v>-46136</v>
      </c>
      <c r="N999" s="683">
        <f t="shared" si="62"/>
        <v>7</v>
      </c>
      <c r="O999" s="212"/>
      <c r="P999" s="544"/>
      <c r="Q999" s="561">
        <f t="shared" si="63"/>
        <v>0</v>
      </c>
      <c r="R999" s="58"/>
      <c r="S999" s="58"/>
      <c r="T999" s="58"/>
      <c r="U999" s="58"/>
      <c r="V999" s="58"/>
    </row>
    <row r="1000" spans="1:22" ht="15.75" customHeight="1">
      <c r="A1000" s="468" t="s">
        <v>348</v>
      </c>
      <c r="B1000" s="204" t="s">
        <v>184</v>
      </c>
      <c r="C1000" s="527"/>
      <c r="D1000" s="697"/>
      <c r="E1000" s="708"/>
      <c r="F1000" s="267"/>
      <c r="G1000" s="206"/>
      <c r="H1000" s="214"/>
      <c r="I1000" s="500"/>
      <c r="J1000" s="715"/>
      <c r="K1000" s="552">
        <f t="shared" si="61"/>
        <v>0</v>
      </c>
      <c r="L1000" s="217"/>
      <c r="M1000" s="211">
        <f t="shared" si="60"/>
        <v>-46136</v>
      </c>
      <c r="N1000" s="683">
        <f t="shared" si="62"/>
        <v>7</v>
      </c>
      <c r="O1000" s="212"/>
      <c r="P1000" s="544"/>
      <c r="Q1000" s="561">
        <f t="shared" si="63"/>
        <v>0</v>
      </c>
      <c r="R1000" s="58"/>
      <c r="S1000" s="58"/>
      <c r="T1000" s="58"/>
      <c r="U1000" s="58"/>
      <c r="V1000" s="58"/>
    </row>
    <row r="1001" spans="1:22" ht="15.75" customHeight="1">
      <c r="A1001" s="468" t="s">
        <v>348</v>
      </c>
      <c r="B1001" s="204" t="s">
        <v>184</v>
      </c>
      <c r="C1001" s="527"/>
      <c r="D1001" s="697"/>
      <c r="E1001" s="706"/>
      <c r="F1001" s="267"/>
      <c r="G1001" s="206"/>
      <c r="H1001" s="214"/>
      <c r="I1001" s="500"/>
      <c r="J1001" s="715"/>
      <c r="K1001" s="552">
        <f t="shared" si="61"/>
        <v>0</v>
      </c>
      <c r="L1001" s="217"/>
      <c r="M1001" s="211">
        <f t="shared" si="60"/>
        <v>-46136</v>
      </c>
      <c r="N1001" s="683">
        <f t="shared" si="62"/>
        <v>7</v>
      </c>
      <c r="O1001" s="212"/>
      <c r="P1001" s="544"/>
      <c r="Q1001" s="561">
        <f t="shared" si="63"/>
        <v>0</v>
      </c>
      <c r="R1001" s="58"/>
      <c r="S1001" s="58"/>
      <c r="T1001" s="58"/>
      <c r="U1001" s="58"/>
      <c r="V1001" s="58"/>
    </row>
    <row r="1002" spans="1:22" ht="15.75" customHeight="1">
      <c r="A1002" s="468" t="s">
        <v>348</v>
      </c>
      <c r="B1002" s="204" t="s">
        <v>184</v>
      </c>
      <c r="C1002" s="527"/>
      <c r="D1002" s="697"/>
      <c r="E1002" s="706"/>
      <c r="F1002" s="267"/>
      <c r="G1002" s="206"/>
      <c r="H1002" s="214"/>
      <c r="I1002" s="500"/>
      <c r="J1002" s="715"/>
      <c r="K1002" s="552">
        <f t="shared" si="61"/>
        <v>0</v>
      </c>
      <c r="L1002" s="217"/>
      <c r="M1002" s="211">
        <f t="shared" si="60"/>
        <v>-46136</v>
      </c>
      <c r="N1002" s="683">
        <f t="shared" si="62"/>
        <v>7</v>
      </c>
      <c r="O1002" s="212"/>
      <c r="P1002" s="544"/>
      <c r="Q1002" s="561">
        <f t="shared" si="63"/>
        <v>0</v>
      </c>
      <c r="R1002" s="58"/>
      <c r="S1002" s="58"/>
      <c r="T1002" s="58"/>
      <c r="U1002" s="58"/>
      <c r="V1002" s="58"/>
    </row>
    <row r="1003" spans="1:22" ht="15.75" customHeight="1">
      <c r="A1003" s="468" t="s">
        <v>348</v>
      </c>
      <c r="B1003" s="204" t="s">
        <v>184</v>
      </c>
      <c r="C1003" s="527"/>
      <c r="D1003" s="697"/>
      <c r="E1003" s="706"/>
      <c r="F1003" s="267"/>
      <c r="G1003" s="206"/>
      <c r="H1003" s="214"/>
      <c r="I1003" s="500"/>
      <c r="J1003" s="715"/>
      <c r="K1003" s="552">
        <f t="shared" si="61"/>
        <v>0</v>
      </c>
      <c r="L1003" s="217"/>
      <c r="M1003" s="211">
        <f t="shared" si="60"/>
        <v>-46136</v>
      </c>
      <c r="N1003" s="683">
        <f t="shared" si="62"/>
        <v>7</v>
      </c>
      <c r="O1003" s="212"/>
      <c r="P1003" s="544"/>
      <c r="Q1003" s="561">
        <f t="shared" si="63"/>
        <v>0</v>
      </c>
      <c r="R1003" s="58"/>
      <c r="S1003" s="58"/>
      <c r="T1003" s="58"/>
      <c r="U1003" s="58"/>
      <c r="V1003" s="58"/>
    </row>
    <row r="1004" spans="1:22" ht="15.75" customHeight="1">
      <c r="A1004" s="468" t="s">
        <v>348</v>
      </c>
      <c r="B1004" s="204" t="s">
        <v>184</v>
      </c>
      <c r="C1004" s="527"/>
      <c r="D1004" s="697"/>
      <c r="E1004" s="706"/>
      <c r="F1004" s="267"/>
      <c r="G1004" s="206"/>
      <c r="H1004" s="214"/>
      <c r="I1004" s="500"/>
      <c r="J1004" s="715"/>
      <c r="K1004" s="552">
        <f t="shared" si="61"/>
        <v>0</v>
      </c>
      <c r="L1004" s="217"/>
      <c r="M1004" s="211">
        <f t="shared" si="60"/>
        <v>-46136</v>
      </c>
      <c r="N1004" s="683">
        <f t="shared" si="62"/>
        <v>7</v>
      </c>
      <c r="O1004" s="212"/>
      <c r="P1004" s="544"/>
      <c r="Q1004" s="561">
        <f t="shared" si="63"/>
        <v>0</v>
      </c>
      <c r="R1004" s="58"/>
      <c r="S1004" s="58"/>
      <c r="T1004" s="58"/>
      <c r="U1004" s="58"/>
      <c r="V1004" s="58"/>
    </row>
    <row r="1005" spans="1:22" ht="15.75" customHeight="1">
      <c r="A1005" s="468" t="s">
        <v>348</v>
      </c>
      <c r="B1005" s="204" t="s">
        <v>184</v>
      </c>
      <c r="C1005" s="527"/>
      <c r="D1005" s="697"/>
      <c r="E1005" s="706"/>
      <c r="F1005" s="267"/>
      <c r="G1005" s="206"/>
      <c r="H1005" s="214"/>
      <c r="I1005" s="500"/>
      <c r="J1005" s="715"/>
      <c r="K1005" s="552">
        <f t="shared" si="61"/>
        <v>0</v>
      </c>
      <c r="L1005" s="217"/>
      <c r="M1005" s="211">
        <f t="shared" si="60"/>
        <v>-46136</v>
      </c>
      <c r="N1005" s="683">
        <f t="shared" si="62"/>
        <v>7</v>
      </c>
      <c r="O1005" s="212"/>
      <c r="P1005" s="544"/>
      <c r="Q1005" s="561">
        <f t="shared" si="63"/>
        <v>0</v>
      </c>
      <c r="R1005" s="58"/>
      <c r="S1005" s="58"/>
      <c r="T1005" s="58"/>
      <c r="U1005" s="58"/>
      <c r="V1005" s="58"/>
    </row>
    <row r="1006" spans="1:22" ht="15.75" customHeight="1">
      <c r="A1006" s="468" t="s">
        <v>348</v>
      </c>
      <c r="B1006" s="204" t="s">
        <v>184</v>
      </c>
      <c r="C1006" s="527"/>
      <c r="D1006" s="267"/>
      <c r="E1006" s="706"/>
      <c r="F1006" s="713"/>
      <c r="G1006" s="206"/>
      <c r="H1006" s="214"/>
      <c r="I1006" s="500"/>
      <c r="J1006" s="715"/>
      <c r="K1006" s="552">
        <f t="shared" si="61"/>
        <v>0</v>
      </c>
      <c r="L1006" s="217"/>
      <c r="M1006" s="211">
        <f t="shared" si="60"/>
        <v>-46136</v>
      </c>
      <c r="N1006" s="683">
        <f t="shared" si="62"/>
        <v>7</v>
      </c>
      <c r="O1006" s="212"/>
      <c r="P1006" s="544"/>
      <c r="Q1006" s="561">
        <f t="shared" si="63"/>
        <v>0</v>
      </c>
      <c r="R1006" s="58"/>
      <c r="S1006" s="58"/>
      <c r="T1006" s="58"/>
      <c r="U1006" s="58"/>
      <c r="V1006" s="58"/>
    </row>
    <row r="1007" spans="1:22" ht="15.75" customHeight="1">
      <c r="A1007" s="468" t="s">
        <v>348</v>
      </c>
      <c r="B1007" s="204" t="s">
        <v>184</v>
      </c>
      <c r="C1007" s="527"/>
      <c r="D1007" s="267"/>
      <c r="E1007" s="706"/>
      <c r="F1007" s="697"/>
      <c r="G1007" s="206"/>
      <c r="H1007" s="214"/>
      <c r="I1007" s="500"/>
      <c r="J1007" s="715"/>
      <c r="K1007" s="552">
        <f t="shared" si="61"/>
        <v>0</v>
      </c>
      <c r="L1007" s="217"/>
      <c r="M1007" s="211">
        <f t="shared" si="60"/>
        <v>-46136</v>
      </c>
      <c r="N1007" s="683">
        <f t="shared" si="62"/>
        <v>7</v>
      </c>
      <c r="O1007" s="212"/>
      <c r="P1007" s="544"/>
      <c r="Q1007" s="561">
        <f t="shared" si="63"/>
        <v>0</v>
      </c>
      <c r="R1007" s="58"/>
      <c r="S1007" s="58"/>
      <c r="T1007" s="58"/>
      <c r="U1007" s="58"/>
      <c r="V1007" s="58"/>
    </row>
    <row r="1008" spans="1:22" s="264" customFormat="1" ht="15.75" customHeight="1">
      <c r="A1008" s="468" t="s">
        <v>348</v>
      </c>
      <c r="B1008" s="204" t="s">
        <v>184</v>
      </c>
      <c r="C1008" s="527"/>
      <c r="D1008" s="267"/>
      <c r="E1008" s="706"/>
      <c r="F1008" s="697"/>
      <c r="G1008" s="206"/>
      <c r="H1008" s="214"/>
      <c r="I1008" s="500"/>
      <c r="J1008" s="715"/>
      <c r="K1008" s="552">
        <f t="shared" si="61"/>
        <v>0</v>
      </c>
      <c r="L1008" s="217"/>
      <c r="M1008" s="211">
        <f t="shared" si="60"/>
        <v>-46136</v>
      </c>
      <c r="N1008" s="683">
        <f t="shared" si="62"/>
        <v>7</v>
      </c>
      <c r="O1008" s="212"/>
      <c r="P1008" s="544"/>
      <c r="Q1008" s="561">
        <f t="shared" si="63"/>
        <v>0</v>
      </c>
      <c r="R1008" s="223"/>
      <c r="S1008" s="223"/>
      <c r="T1008" s="223"/>
      <c r="U1008" s="223"/>
      <c r="V1008" s="223"/>
    </row>
    <row r="1009" spans="1:22" s="264" customFormat="1" ht="15.75" customHeight="1">
      <c r="A1009" s="468" t="s">
        <v>348</v>
      </c>
      <c r="B1009" s="204" t="s">
        <v>184</v>
      </c>
      <c r="C1009" s="527"/>
      <c r="D1009" s="267"/>
      <c r="E1009" s="706"/>
      <c r="F1009" s="697"/>
      <c r="G1009" s="206"/>
      <c r="H1009" s="214"/>
      <c r="I1009" s="500"/>
      <c r="J1009" s="715"/>
      <c r="K1009" s="552">
        <f t="shared" si="61"/>
        <v>0</v>
      </c>
      <c r="L1009" s="217"/>
      <c r="M1009" s="211">
        <f t="shared" si="60"/>
        <v>-46136</v>
      </c>
      <c r="N1009" s="683">
        <f t="shared" si="62"/>
        <v>7</v>
      </c>
      <c r="O1009" s="212"/>
      <c r="P1009" s="544"/>
      <c r="Q1009" s="561">
        <f t="shared" si="63"/>
        <v>0</v>
      </c>
      <c r="R1009" s="223"/>
      <c r="S1009" s="223"/>
      <c r="T1009" s="223"/>
      <c r="U1009" s="223"/>
      <c r="V1009" s="223"/>
    </row>
    <row r="1010" spans="1:22" s="264" customFormat="1" ht="15.75" customHeight="1">
      <c r="A1010" s="468" t="s">
        <v>348</v>
      </c>
      <c r="B1010" s="204" t="s">
        <v>184</v>
      </c>
      <c r="C1010" s="527"/>
      <c r="D1010" s="712"/>
      <c r="E1010" s="706"/>
      <c r="F1010" s="697"/>
      <c r="G1010" s="206"/>
      <c r="H1010" s="214"/>
      <c r="I1010" s="500"/>
      <c r="J1010" s="715"/>
      <c r="K1010" s="552">
        <f t="shared" si="61"/>
        <v>0</v>
      </c>
      <c r="L1010" s="217"/>
      <c r="M1010" s="211">
        <f t="shared" si="60"/>
        <v>-46136</v>
      </c>
      <c r="N1010" s="683">
        <f t="shared" si="62"/>
        <v>7</v>
      </c>
      <c r="O1010" s="212"/>
      <c r="P1010" s="544"/>
      <c r="Q1010" s="561">
        <f t="shared" si="63"/>
        <v>0</v>
      </c>
      <c r="R1010" s="223"/>
      <c r="S1010" s="223"/>
      <c r="T1010" s="223"/>
      <c r="U1010" s="223"/>
      <c r="V1010" s="223"/>
    </row>
    <row r="1011" spans="1:22" s="264" customFormat="1" ht="15.75" customHeight="1">
      <c r="A1011" s="468" t="s">
        <v>348</v>
      </c>
      <c r="B1011" s="204" t="s">
        <v>184</v>
      </c>
      <c r="C1011" s="527"/>
      <c r="D1011" s="267"/>
      <c r="E1011" s="706"/>
      <c r="F1011" s="697"/>
      <c r="G1011" s="206"/>
      <c r="H1011" s="214"/>
      <c r="I1011" s="500"/>
      <c r="J1011" s="715"/>
      <c r="K1011" s="552">
        <f t="shared" si="61"/>
        <v>0</v>
      </c>
      <c r="L1011" s="217"/>
      <c r="M1011" s="211">
        <f t="shared" si="60"/>
        <v>-46136</v>
      </c>
      <c r="N1011" s="683">
        <f t="shared" si="62"/>
        <v>7</v>
      </c>
      <c r="O1011" s="212"/>
      <c r="P1011" s="544"/>
      <c r="Q1011" s="561">
        <f t="shared" si="63"/>
        <v>0</v>
      </c>
      <c r="R1011" s="223"/>
      <c r="S1011" s="223"/>
      <c r="T1011" s="223"/>
      <c r="U1011" s="223"/>
      <c r="V1011" s="223"/>
    </row>
    <row r="1012" spans="1:22" s="264" customFormat="1" ht="15.75" customHeight="1">
      <c r="A1012" s="468" t="s">
        <v>348</v>
      </c>
      <c r="B1012" s="204" t="s">
        <v>184</v>
      </c>
      <c r="C1012" s="527"/>
      <c r="D1012" s="267"/>
      <c r="E1012" s="706"/>
      <c r="F1012" s="697"/>
      <c r="G1012" s="206"/>
      <c r="H1012" s="214"/>
      <c r="I1012" s="500"/>
      <c r="J1012" s="715"/>
      <c r="K1012" s="552">
        <f t="shared" si="61"/>
        <v>0</v>
      </c>
      <c r="L1012" s="217"/>
      <c r="M1012" s="211">
        <f t="shared" si="60"/>
        <v>-46136</v>
      </c>
      <c r="N1012" s="683">
        <f t="shared" si="62"/>
        <v>7</v>
      </c>
      <c r="O1012" s="212"/>
      <c r="P1012" s="544"/>
      <c r="Q1012" s="561">
        <f t="shared" si="63"/>
        <v>0</v>
      </c>
      <c r="R1012" s="223"/>
      <c r="S1012" s="223"/>
      <c r="T1012" s="223"/>
      <c r="U1012" s="223"/>
      <c r="V1012" s="223"/>
    </row>
    <row r="1013" spans="1:22" s="264" customFormat="1" ht="15.75" customHeight="1">
      <c r="A1013" s="468" t="s">
        <v>348</v>
      </c>
      <c r="B1013" s="204" t="s">
        <v>184</v>
      </c>
      <c r="C1013" s="527"/>
      <c r="D1013" s="267"/>
      <c r="E1013" s="706"/>
      <c r="F1013" s="697"/>
      <c r="G1013" s="206"/>
      <c r="H1013" s="214"/>
      <c r="I1013" s="500"/>
      <c r="J1013" s="715"/>
      <c r="K1013" s="552">
        <f t="shared" si="61"/>
        <v>0</v>
      </c>
      <c r="L1013" s="217"/>
      <c r="M1013" s="211">
        <f t="shared" si="60"/>
        <v>-46136</v>
      </c>
      <c r="N1013" s="683">
        <f t="shared" si="62"/>
        <v>7</v>
      </c>
      <c r="O1013" s="212"/>
      <c r="P1013" s="544"/>
      <c r="Q1013" s="561">
        <f t="shared" si="63"/>
        <v>0</v>
      </c>
      <c r="R1013" s="223"/>
      <c r="S1013" s="223"/>
      <c r="T1013" s="223"/>
      <c r="U1013" s="223"/>
      <c r="V1013" s="223"/>
    </row>
    <row r="1014" spans="1:22" s="264" customFormat="1" ht="15.75" customHeight="1">
      <c r="A1014" s="468" t="s">
        <v>348</v>
      </c>
      <c r="B1014" s="204" t="s">
        <v>184</v>
      </c>
      <c r="C1014" s="527"/>
      <c r="D1014" s="267"/>
      <c r="E1014" s="706"/>
      <c r="F1014" s="697"/>
      <c r="G1014" s="206"/>
      <c r="H1014" s="214"/>
      <c r="I1014" s="500"/>
      <c r="J1014" s="715"/>
      <c r="K1014" s="552">
        <f t="shared" si="61"/>
        <v>0</v>
      </c>
      <c r="L1014" s="217"/>
      <c r="M1014" s="211">
        <f t="shared" si="60"/>
        <v>-46136</v>
      </c>
      <c r="N1014" s="683">
        <f t="shared" si="62"/>
        <v>7</v>
      </c>
      <c r="O1014" s="212"/>
      <c r="P1014" s="544"/>
      <c r="Q1014" s="561">
        <f t="shared" si="63"/>
        <v>0</v>
      </c>
      <c r="R1014" s="223"/>
      <c r="S1014" s="223"/>
      <c r="T1014" s="223"/>
      <c r="U1014" s="223"/>
      <c r="V1014" s="223"/>
    </row>
    <row r="1015" spans="1:22" s="264" customFormat="1" ht="15.75" customHeight="1">
      <c r="A1015" s="468" t="s">
        <v>348</v>
      </c>
      <c r="B1015" s="204" t="s">
        <v>184</v>
      </c>
      <c r="C1015" s="527"/>
      <c r="D1015" s="267"/>
      <c r="E1015" s="706"/>
      <c r="F1015" s="697"/>
      <c r="G1015" s="206"/>
      <c r="H1015" s="214"/>
      <c r="I1015" s="500"/>
      <c r="J1015" s="715"/>
      <c r="K1015" s="552">
        <f t="shared" si="61"/>
        <v>0</v>
      </c>
      <c r="L1015" s="217"/>
      <c r="M1015" s="211">
        <f t="shared" si="60"/>
        <v>-46136</v>
      </c>
      <c r="N1015" s="683">
        <f t="shared" si="62"/>
        <v>7</v>
      </c>
      <c r="O1015" s="212"/>
      <c r="P1015" s="544"/>
      <c r="Q1015" s="561">
        <f t="shared" si="63"/>
        <v>0</v>
      </c>
      <c r="R1015" s="223"/>
      <c r="S1015" s="223"/>
      <c r="T1015" s="223"/>
      <c r="U1015" s="223"/>
      <c r="V1015" s="223"/>
    </row>
    <row r="1016" spans="1:22" s="264" customFormat="1" ht="15.75" customHeight="1">
      <c r="A1016" s="468" t="s">
        <v>348</v>
      </c>
      <c r="B1016" s="204" t="s">
        <v>184</v>
      </c>
      <c r="C1016" s="527"/>
      <c r="D1016" s="267"/>
      <c r="E1016" s="706"/>
      <c r="F1016" s="697"/>
      <c r="G1016" s="206"/>
      <c r="H1016" s="214"/>
      <c r="I1016" s="500"/>
      <c r="J1016" s="715"/>
      <c r="K1016" s="552">
        <f t="shared" si="61"/>
        <v>0</v>
      </c>
      <c r="L1016" s="217"/>
      <c r="M1016" s="211">
        <f t="shared" si="60"/>
        <v>-46136</v>
      </c>
      <c r="N1016" s="683">
        <f t="shared" si="62"/>
        <v>7</v>
      </c>
      <c r="O1016" s="212"/>
      <c r="P1016" s="544"/>
      <c r="Q1016" s="561">
        <f t="shared" si="63"/>
        <v>0</v>
      </c>
      <c r="R1016" s="223"/>
      <c r="S1016" s="223"/>
      <c r="T1016" s="223"/>
      <c r="U1016" s="223"/>
      <c r="V1016" s="223"/>
    </row>
    <row r="1017" spans="1:22" s="264" customFormat="1" ht="15.75" customHeight="1">
      <c r="A1017" s="468" t="s">
        <v>348</v>
      </c>
      <c r="B1017" s="204" t="s">
        <v>184</v>
      </c>
      <c r="C1017" s="527"/>
      <c r="D1017" s="267"/>
      <c r="E1017" s="706"/>
      <c r="F1017" s="697"/>
      <c r="G1017" s="206"/>
      <c r="H1017" s="214"/>
      <c r="I1017" s="500"/>
      <c r="J1017" s="715"/>
      <c r="K1017" s="552">
        <f t="shared" si="61"/>
        <v>0</v>
      </c>
      <c r="L1017" s="217"/>
      <c r="M1017" s="211">
        <f t="shared" si="60"/>
        <v>-46136</v>
      </c>
      <c r="N1017" s="683">
        <f t="shared" si="62"/>
        <v>7</v>
      </c>
      <c r="O1017" s="212"/>
      <c r="P1017" s="544"/>
      <c r="Q1017" s="561">
        <f t="shared" si="63"/>
        <v>0</v>
      </c>
      <c r="R1017" s="223"/>
      <c r="S1017" s="223"/>
      <c r="T1017" s="223"/>
      <c r="U1017" s="223"/>
      <c r="V1017" s="223"/>
    </row>
    <row r="1018" spans="1:22" s="264" customFormat="1" ht="15.75" customHeight="1">
      <c r="A1018" s="468" t="s">
        <v>348</v>
      </c>
      <c r="B1018" s="204" t="s">
        <v>184</v>
      </c>
      <c r="C1018" s="527"/>
      <c r="D1018" s="267"/>
      <c r="E1018" s="706"/>
      <c r="F1018" s="697"/>
      <c r="G1018" s="206"/>
      <c r="H1018" s="214"/>
      <c r="I1018" s="500"/>
      <c r="J1018" s="715"/>
      <c r="K1018" s="552">
        <f t="shared" si="61"/>
        <v>0</v>
      </c>
      <c r="L1018" s="217"/>
      <c r="M1018" s="211">
        <f t="shared" si="60"/>
        <v>-46136</v>
      </c>
      <c r="N1018" s="683">
        <f t="shared" si="62"/>
        <v>7</v>
      </c>
      <c r="O1018" s="212"/>
      <c r="P1018" s="544"/>
      <c r="Q1018" s="561">
        <f t="shared" si="63"/>
        <v>0</v>
      </c>
      <c r="R1018" s="223"/>
      <c r="S1018" s="223"/>
      <c r="T1018" s="223"/>
      <c r="U1018" s="223"/>
      <c r="V1018" s="223"/>
    </row>
    <row r="1019" spans="1:22" s="264" customFormat="1" ht="15.75" customHeight="1">
      <c r="A1019" s="468" t="s">
        <v>348</v>
      </c>
      <c r="B1019" s="204" t="s">
        <v>184</v>
      </c>
      <c r="C1019" s="527"/>
      <c r="D1019" s="267"/>
      <c r="E1019" s="706"/>
      <c r="F1019" s="697"/>
      <c r="G1019" s="206"/>
      <c r="H1019" s="214"/>
      <c r="I1019" s="500"/>
      <c r="J1019" s="715"/>
      <c r="K1019" s="552">
        <f t="shared" si="61"/>
        <v>0</v>
      </c>
      <c r="L1019" s="217"/>
      <c r="M1019" s="211">
        <f t="shared" si="60"/>
        <v>-46136</v>
      </c>
      <c r="N1019" s="683">
        <f t="shared" si="62"/>
        <v>7</v>
      </c>
      <c r="O1019" s="212"/>
      <c r="P1019" s="544"/>
      <c r="Q1019" s="561">
        <f t="shared" si="63"/>
        <v>0</v>
      </c>
      <c r="R1019" s="223"/>
      <c r="S1019" s="223"/>
      <c r="T1019" s="223"/>
      <c r="U1019" s="223"/>
      <c r="V1019" s="223"/>
    </row>
    <row r="1020" spans="1:22" s="264" customFormat="1" ht="15.75" customHeight="1">
      <c r="A1020" s="468" t="s">
        <v>348</v>
      </c>
      <c r="B1020" s="204" t="s">
        <v>184</v>
      </c>
      <c r="C1020" s="527"/>
      <c r="D1020" s="267"/>
      <c r="E1020" s="706"/>
      <c r="F1020" s="697"/>
      <c r="G1020" s="206"/>
      <c r="H1020" s="214"/>
      <c r="I1020" s="502"/>
      <c r="J1020" s="715"/>
      <c r="K1020" s="552">
        <f t="shared" si="61"/>
        <v>0</v>
      </c>
      <c r="L1020" s="217"/>
      <c r="M1020" s="211">
        <f t="shared" si="60"/>
        <v>-46136</v>
      </c>
      <c r="N1020" s="683">
        <f t="shared" si="62"/>
        <v>7</v>
      </c>
      <c r="O1020" s="212"/>
      <c r="P1020" s="544"/>
      <c r="Q1020" s="561">
        <f t="shared" si="63"/>
        <v>0</v>
      </c>
      <c r="R1020" s="223"/>
      <c r="S1020" s="223"/>
      <c r="T1020" s="223"/>
      <c r="U1020" s="223"/>
      <c r="V1020" s="223"/>
    </row>
    <row r="1021" spans="1:22" s="264" customFormat="1" ht="15.75" customHeight="1">
      <c r="A1021" s="468" t="s">
        <v>348</v>
      </c>
      <c r="B1021" s="204" t="s">
        <v>184</v>
      </c>
      <c r="C1021" s="527"/>
      <c r="D1021" s="267"/>
      <c r="E1021" s="706"/>
      <c r="F1021" s="697"/>
      <c r="G1021" s="206"/>
      <c r="H1021" s="214"/>
      <c r="I1021" s="500"/>
      <c r="J1021" s="715"/>
      <c r="K1021" s="552">
        <f t="shared" si="61"/>
        <v>0</v>
      </c>
      <c r="L1021" s="217"/>
      <c r="M1021" s="211">
        <f t="shared" si="60"/>
        <v>-46136</v>
      </c>
      <c r="N1021" s="683">
        <f t="shared" si="62"/>
        <v>7</v>
      </c>
      <c r="O1021" s="212"/>
      <c r="P1021" s="544"/>
      <c r="Q1021" s="561">
        <f t="shared" si="63"/>
        <v>0</v>
      </c>
      <c r="R1021" s="223"/>
      <c r="S1021" s="223"/>
      <c r="T1021" s="223"/>
      <c r="U1021" s="223"/>
      <c r="V1021" s="223"/>
    </row>
    <row r="1022" spans="1:22" s="264" customFormat="1" ht="15.75" customHeight="1">
      <c r="A1022" s="468" t="s">
        <v>348</v>
      </c>
      <c r="B1022" s="204" t="s">
        <v>184</v>
      </c>
      <c r="C1022" s="527"/>
      <c r="D1022" s="267"/>
      <c r="E1022" s="706"/>
      <c r="F1022" s="697"/>
      <c r="G1022" s="206"/>
      <c r="H1022" s="214"/>
      <c r="I1022" s="500"/>
      <c r="J1022" s="715"/>
      <c r="K1022" s="552">
        <f t="shared" si="61"/>
        <v>0</v>
      </c>
      <c r="L1022" s="217"/>
      <c r="M1022" s="211">
        <f t="shared" si="60"/>
        <v>-46136</v>
      </c>
      <c r="N1022" s="683">
        <f t="shared" si="62"/>
        <v>7</v>
      </c>
      <c r="O1022" s="212"/>
      <c r="P1022" s="544"/>
      <c r="Q1022" s="561">
        <f t="shared" si="63"/>
        <v>0</v>
      </c>
      <c r="R1022" s="223"/>
      <c r="S1022" s="223"/>
      <c r="T1022" s="223"/>
      <c r="U1022" s="223"/>
      <c r="V1022" s="223"/>
    </row>
    <row r="1023" spans="1:22" s="264" customFormat="1" ht="15.75" customHeight="1">
      <c r="A1023" s="468" t="s">
        <v>348</v>
      </c>
      <c r="B1023" s="204" t="s">
        <v>184</v>
      </c>
      <c r="C1023" s="527"/>
      <c r="D1023" s="267"/>
      <c r="E1023" s="706"/>
      <c r="F1023" s="697"/>
      <c r="G1023" s="206"/>
      <c r="H1023" s="214"/>
      <c r="I1023" s="502"/>
      <c r="J1023" s="715"/>
      <c r="K1023" s="552">
        <f t="shared" si="61"/>
        <v>0</v>
      </c>
      <c r="L1023" s="217"/>
      <c r="M1023" s="211">
        <f t="shared" si="60"/>
        <v>-46136</v>
      </c>
      <c r="N1023" s="683">
        <f t="shared" si="62"/>
        <v>7</v>
      </c>
      <c r="O1023" s="212"/>
      <c r="P1023" s="544"/>
      <c r="Q1023" s="561">
        <f t="shared" si="63"/>
        <v>0</v>
      </c>
      <c r="R1023" s="223"/>
      <c r="S1023" s="223"/>
      <c r="T1023" s="223"/>
      <c r="U1023" s="223"/>
      <c r="V1023" s="223"/>
    </row>
    <row r="1024" spans="1:22" s="264" customFormat="1" ht="15.75" customHeight="1">
      <c r="A1024" s="468" t="s">
        <v>348</v>
      </c>
      <c r="B1024" s="204" t="s">
        <v>184</v>
      </c>
      <c r="C1024" s="527"/>
      <c r="D1024" s="267"/>
      <c r="E1024" s="706"/>
      <c r="F1024" s="697"/>
      <c r="G1024" s="206"/>
      <c r="H1024" s="214"/>
      <c r="I1024" s="500"/>
      <c r="J1024" s="715"/>
      <c r="K1024" s="552">
        <f t="shared" si="61"/>
        <v>0</v>
      </c>
      <c r="L1024" s="217"/>
      <c r="M1024" s="211">
        <f t="shared" si="60"/>
        <v>-46136</v>
      </c>
      <c r="N1024" s="683">
        <f t="shared" si="62"/>
        <v>7</v>
      </c>
      <c r="O1024" s="212"/>
      <c r="P1024" s="544"/>
      <c r="Q1024" s="561">
        <f t="shared" si="63"/>
        <v>0</v>
      </c>
      <c r="R1024" s="223"/>
      <c r="S1024" s="223"/>
      <c r="T1024" s="223"/>
      <c r="U1024" s="223"/>
      <c r="V1024" s="223"/>
    </row>
    <row r="1025" spans="1:22" s="264" customFormat="1" ht="15.75" customHeight="1">
      <c r="A1025" s="468" t="s">
        <v>348</v>
      </c>
      <c r="B1025" s="204" t="s">
        <v>184</v>
      </c>
      <c r="C1025" s="527"/>
      <c r="D1025" s="267"/>
      <c r="E1025" s="706"/>
      <c r="F1025" s="697"/>
      <c r="G1025" s="206"/>
      <c r="H1025" s="214"/>
      <c r="I1025" s="500"/>
      <c r="J1025" s="715"/>
      <c r="K1025" s="552">
        <f t="shared" si="61"/>
        <v>0</v>
      </c>
      <c r="L1025" s="217"/>
      <c r="M1025" s="211">
        <f t="shared" si="60"/>
        <v>-46136</v>
      </c>
      <c r="N1025" s="683">
        <f t="shared" si="62"/>
        <v>7</v>
      </c>
      <c r="O1025" s="212"/>
      <c r="P1025" s="544"/>
      <c r="Q1025" s="561">
        <f t="shared" si="63"/>
        <v>0</v>
      </c>
      <c r="R1025" s="223"/>
      <c r="S1025" s="223"/>
      <c r="T1025" s="223"/>
      <c r="U1025" s="223"/>
      <c r="V1025" s="223"/>
    </row>
    <row r="1026" spans="1:22" s="264" customFormat="1" ht="15.75" customHeight="1">
      <c r="A1026" s="468" t="s">
        <v>348</v>
      </c>
      <c r="B1026" s="204" t="s">
        <v>184</v>
      </c>
      <c r="C1026" s="527"/>
      <c r="D1026" s="267"/>
      <c r="E1026" s="706"/>
      <c r="F1026" s="697"/>
      <c r="G1026" s="206"/>
      <c r="H1026" s="214"/>
      <c r="I1026" s="500"/>
      <c r="J1026" s="715"/>
      <c r="K1026" s="552">
        <f t="shared" si="61"/>
        <v>0</v>
      </c>
      <c r="L1026" s="217"/>
      <c r="M1026" s="211">
        <f t="shared" si="60"/>
        <v>-46136</v>
      </c>
      <c r="N1026" s="683">
        <f t="shared" si="62"/>
        <v>7</v>
      </c>
      <c r="O1026" s="212"/>
      <c r="P1026" s="544"/>
      <c r="Q1026" s="561">
        <f t="shared" si="63"/>
        <v>0</v>
      </c>
      <c r="R1026" s="223"/>
      <c r="S1026" s="223"/>
      <c r="T1026" s="223"/>
      <c r="U1026" s="223"/>
      <c r="V1026" s="223"/>
    </row>
    <row r="1027" spans="1:22" s="264" customFormat="1" ht="15.75" customHeight="1">
      <c r="A1027" s="468" t="s">
        <v>348</v>
      </c>
      <c r="B1027" s="204" t="s">
        <v>184</v>
      </c>
      <c r="C1027" s="527"/>
      <c r="D1027" s="267"/>
      <c r="E1027" s="706"/>
      <c r="F1027" s="697"/>
      <c r="G1027" s="206"/>
      <c r="H1027" s="214"/>
      <c r="I1027" s="500"/>
      <c r="J1027" s="715"/>
      <c r="K1027" s="552">
        <f t="shared" si="61"/>
        <v>0</v>
      </c>
      <c r="L1027" s="217"/>
      <c r="M1027" s="211">
        <f t="shared" si="60"/>
        <v>-46136</v>
      </c>
      <c r="N1027" s="683">
        <f t="shared" si="62"/>
        <v>7</v>
      </c>
      <c r="O1027" s="212"/>
      <c r="P1027" s="544"/>
      <c r="Q1027" s="561">
        <f t="shared" si="63"/>
        <v>0</v>
      </c>
      <c r="R1027" s="223"/>
      <c r="S1027" s="223"/>
      <c r="T1027" s="223"/>
      <c r="U1027" s="223"/>
      <c r="V1027" s="223"/>
    </row>
    <row r="1028" spans="1:22" s="264" customFormat="1" ht="15.75" customHeight="1">
      <c r="A1028" s="468" t="s">
        <v>348</v>
      </c>
      <c r="B1028" s="204" t="s">
        <v>184</v>
      </c>
      <c r="C1028" s="527"/>
      <c r="D1028" s="267"/>
      <c r="E1028" s="706"/>
      <c r="F1028" s="697"/>
      <c r="G1028" s="206"/>
      <c r="H1028" s="214"/>
      <c r="I1028" s="500"/>
      <c r="J1028" s="715"/>
      <c r="K1028" s="552">
        <f t="shared" si="61"/>
        <v>0</v>
      </c>
      <c r="L1028" s="217"/>
      <c r="M1028" s="211">
        <f t="shared" si="60"/>
        <v>-46136</v>
      </c>
      <c r="N1028" s="683">
        <f t="shared" si="62"/>
        <v>7</v>
      </c>
      <c r="O1028" s="212"/>
      <c r="P1028" s="544"/>
      <c r="Q1028" s="561">
        <f t="shared" si="63"/>
        <v>0</v>
      </c>
      <c r="R1028" s="223"/>
      <c r="S1028" s="223"/>
      <c r="T1028" s="223"/>
      <c r="U1028" s="223"/>
      <c r="V1028" s="223"/>
    </row>
    <row r="1029" spans="1:22" s="264" customFormat="1" ht="15.75" customHeight="1">
      <c r="A1029" s="468" t="s">
        <v>348</v>
      </c>
      <c r="B1029" s="204" t="s">
        <v>184</v>
      </c>
      <c r="C1029" s="527"/>
      <c r="D1029" s="267"/>
      <c r="E1029" s="706"/>
      <c r="F1029" s="697"/>
      <c r="G1029" s="206"/>
      <c r="H1029" s="214"/>
      <c r="I1029" s="501"/>
      <c r="J1029" s="715"/>
      <c r="K1029" s="552">
        <f t="shared" si="61"/>
        <v>0</v>
      </c>
      <c r="L1029" s="217"/>
      <c r="M1029" s="211">
        <f t="shared" si="60"/>
        <v>-46136</v>
      </c>
      <c r="N1029" s="683">
        <f t="shared" si="62"/>
        <v>7</v>
      </c>
      <c r="O1029" s="212"/>
      <c r="P1029" s="544"/>
      <c r="Q1029" s="561">
        <f t="shared" si="63"/>
        <v>0</v>
      </c>
      <c r="R1029" s="223"/>
      <c r="S1029" s="223"/>
      <c r="T1029" s="223"/>
      <c r="U1029" s="223"/>
      <c r="V1029" s="223"/>
    </row>
    <row r="1030" spans="1:22" s="264" customFormat="1" ht="15.75" customHeight="1">
      <c r="A1030" s="468" t="s">
        <v>348</v>
      </c>
      <c r="B1030" s="204" t="s">
        <v>184</v>
      </c>
      <c r="C1030" s="527"/>
      <c r="D1030" s="267"/>
      <c r="E1030" s="706"/>
      <c r="F1030" s="697"/>
      <c r="G1030" s="206"/>
      <c r="H1030" s="214"/>
      <c r="I1030" s="502"/>
      <c r="J1030" s="715"/>
      <c r="K1030" s="552">
        <f t="shared" si="61"/>
        <v>0</v>
      </c>
      <c r="L1030" s="217"/>
      <c r="M1030" s="211">
        <f t="shared" si="60"/>
        <v>-46136</v>
      </c>
      <c r="N1030" s="683">
        <f t="shared" si="62"/>
        <v>7</v>
      </c>
      <c r="O1030" s="212"/>
      <c r="P1030" s="544"/>
      <c r="Q1030" s="561">
        <f t="shared" si="63"/>
        <v>0</v>
      </c>
      <c r="R1030" s="223"/>
      <c r="S1030" s="223"/>
      <c r="T1030" s="223"/>
      <c r="U1030" s="223"/>
      <c r="V1030" s="223"/>
    </row>
    <row r="1031" spans="1:22" s="264" customFormat="1" ht="15.75" customHeight="1">
      <c r="A1031" s="468" t="s">
        <v>348</v>
      </c>
      <c r="B1031" s="204" t="s">
        <v>184</v>
      </c>
      <c r="C1031" s="527"/>
      <c r="D1031" s="267"/>
      <c r="E1031" s="706"/>
      <c r="F1031" s="697"/>
      <c r="G1031" s="206"/>
      <c r="H1031" s="214"/>
      <c r="I1031" s="500"/>
      <c r="J1031" s="715"/>
      <c r="K1031" s="552">
        <f t="shared" si="61"/>
        <v>0</v>
      </c>
      <c r="L1031" s="217"/>
      <c r="M1031" s="211">
        <f t="shared" si="60"/>
        <v>-46136</v>
      </c>
      <c r="N1031" s="683">
        <f t="shared" si="62"/>
        <v>7</v>
      </c>
      <c r="O1031" s="212"/>
      <c r="P1031" s="544"/>
      <c r="Q1031" s="561">
        <f t="shared" si="63"/>
        <v>0</v>
      </c>
      <c r="R1031" s="223"/>
      <c r="S1031" s="223"/>
      <c r="T1031" s="223"/>
      <c r="U1031" s="223"/>
      <c r="V1031" s="223"/>
    </row>
    <row r="1032" spans="1:22" s="264" customFormat="1" ht="15.75" customHeight="1">
      <c r="A1032" s="468" t="s">
        <v>348</v>
      </c>
      <c r="B1032" s="204" t="s">
        <v>184</v>
      </c>
      <c r="C1032" s="527"/>
      <c r="D1032" s="267"/>
      <c r="E1032" s="706"/>
      <c r="F1032" s="697"/>
      <c r="G1032" s="206"/>
      <c r="H1032" s="214"/>
      <c r="I1032" s="500"/>
      <c r="J1032" s="715"/>
      <c r="K1032" s="552">
        <f t="shared" si="61"/>
        <v>0</v>
      </c>
      <c r="L1032" s="217"/>
      <c r="M1032" s="211">
        <f t="shared" si="60"/>
        <v>-46136</v>
      </c>
      <c r="N1032" s="683">
        <f t="shared" si="62"/>
        <v>7</v>
      </c>
      <c r="O1032" s="212"/>
      <c r="P1032" s="544"/>
      <c r="Q1032" s="561">
        <f t="shared" si="63"/>
        <v>0</v>
      </c>
      <c r="R1032" s="223"/>
      <c r="S1032" s="223"/>
      <c r="T1032" s="223"/>
      <c r="U1032" s="223"/>
      <c r="V1032" s="223"/>
    </row>
    <row r="1033" spans="1:22" s="264" customFormat="1" ht="15.75" customHeight="1">
      <c r="A1033" s="468" t="s">
        <v>348</v>
      </c>
      <c r="B1033" s="204" t="s">
        <v>184</v>
      </c>
      <c r="C1033" s="527"/>
      <c r="D1033" s="267"/>
      <c r="E1033" s="706"/>
      <c r="F1033" s="697"/>
      <c r="G1033" s="206"/>
      <c r="H1033" s="214"/>
      <c r="I1033" s="500"/>
      <c r="J1033" s="715"/>
      <c r="K1033" s="552">
        <f t="shared" si="61"/>
        <v>0</v>
      </c>
      <c r="L1033" s="217"/>
      <c r="M1033" s="211">
        <f t="shared" ref="M1033:M1096" si="64">+L1033-$E$6</f>
        <v>-46136</v>
      </c>
      <c r="N1033" s="683">
        <f t="shared" si="62"/>
        <v>7</v>
      </c>
      <c r="O1033" s="212"/>
      <c r="P1033" s="544"/>
      <c r="Q1033" s="561">
        <f t="shared" si="63"/>
        <v>0</v>
      </c>
      <c r="R1033" s="223"/>
      <c r="S1033" s="223"/>
      <c r="T1033" s="223"/>
      <c r="U1033" s="223"/>
      <c r="V1033" s="223"/>
    </row>
    <row r="1034" spans="1:22" s="264" customFormat="1" ht="15.75" customHeight="1">
      <c r="A1034" s="468" t="s">
        <v>348</v>
      </c>
      <c r="B1034" s="204" t="s">
        <v>184</v>
      </c>
      <c r="C1034" s="527"/>
      <c r="D1034" s="267"/>
      <c r="E1034" s="706"/>
      <c r="F1034" s="697"/>
      <c r="G1034" s="206"/>
      <c r="H1034" s="214"/>
      <c r="I1034" s="500"/>
      <c r="J1034" s="715"/>
      <c r="K1034" s="552">
        <f t="shared" ref="K1034:K1097" si="65">-J1034</f>
        <v>0</v>
      </c>
      <c r="L1034" s="217"/>
      <c r="M1034" s="211">
        <f t="shared" si="64"/>
        <v>-46136</v>
      </c>
      <c r="N1034" s="683">
        <f t="shared" ref="N1034:N1097" si="66">+L1034+7</f>
        <v>7</v>
      </c>
      <c r="O1034" s="212"/>
      <c r="P1034" s="544"/>
      <c r="Q1034" s="561">
        <f t="shared" si="63"/>
        <v>0</v>
      </c>
      <c r="R1034" s="223"/>
      <c r="S1034" s="223"/>
      <c r="T1034" s="223"/>
      <c r="U1034" s="223"/>
      <c r="V1034" s="223"/>
    </row>
    <row r="1035" spans="1:22" s="264" customFormat="1" ht="15.75" customHeight="1">
      <c r="A1035" s="468" t="s">
        <v>348</v>
      </c>
      <c r="B1035" s="204" t="s">
        <v>184</v>
      </c>
      <c r="C1035" s="527"/>
      <c r="D1035" s="267"/>
      <c r="E1035" s="706"/>
      <c r="F1035" s="697"/>
      <c r="G1035" s="206"/>
      <c r="H1035" s="214"/>
      <c r="I1035" s="500"/>
      <c r="J1035" s="715"/>
      <c r="K1035" s="552">
        <f t="shared" si="65"/>
        <v>0</v>
      </c>
      <c r="L1035" s="217"/>
      <c r="M1035" s="211">
        <f t="shared" si="64"/>
        <v>-46136</v>
      </c>
      <c r="N1035" s="683">
        <f t="shared" si="66"/>
        <v>7</v>
      </c>
      <c r="O1035" s="212"/>
      <c r="P1035" s="544"/>
      <c r="Q1035" s="561">
        <f t="shared" si="63"/>
        <v>0</v>
      </c>
      <c r="R1035" s="223"/>
      <c r="S1035" s="223"/>
      <c r="T1035" s="223"/>
      <c r="U1035" s="223"/>
      <c r="V1035" s="223"/>
    </row>
    <row r="1036" spans="1:22" s="264" customFormat="1" ht="15.75" customHeight="1">
      <c r="A1036" s="468" t="s">
        <v>348</v>
      </c>
      <c r="B1036" s="204" t="s">
        <v>184</v>
      </c>
      <c r="C1036" s="527"/>
      <c r="D1036" s="267"/>
      <c r="E1036" s="706"/>
      <c r="F1036" s="697"/>
      <c r="G1036" s="206"/>
      <c r="H1036" s="214"/>
      <c r="I1036" s="500"/>
      <c r="J1036" s="715"/>
      <c r="K1036" s="552">
        <f t="shared" si="65"/>
        <v>0</v>
      </c>
      <c r="L1036" s="217"/>
      <c r="M1036" s="211">
        <f t="shared" si="64"/>
        <v>-46136</v>
      </c>
      <c r="N1036" s="683">
        <f t="shared" si="66"/>
        <v>7</v>
      </c>
      <c r="O1036" s="212"/>
      <c r="P1036" s="544"/>
      <c r="Q1036" s="561">
        <f t="shared" si="63"/>
        <v>0</v>
      </c>
      <c r="R1036" s="223"/>
      <c r="S1036" s="223"/>
      <c r="T1036" s="223"/>
      <c r="U1036" s="223"/>
      <c r="V1036" s="223"/>
    </row>
    <row r="1037" spans="1:22" s="264" customFormat="1" ht="15.75" customHeight="1">
      <c r="A1037" s="468" t="s">
        <v>348</v>
      </c>
      <c r="B1037" s="204" t="s">
        <v>184</v>
      </c>
      <c r="C1037" s="527"/>
      <c r="D1037" s="267"/>
      <c r="E1037" s="706"/>
      <c r="F1037" s="697"/>
      <c r="G1037" s="206"/>
      <c r="H1037" s="214"/>
      <c r="I1037" s="500"/>
      <c r="J1037" s="715"/>
      <c r="K1037" s="552">
        <f t="shared" si="65"/>
        <v>0</v>
      </c>
      <c r="L1037" s="217"/>
      <c r="M1037" s="211">
        <f t="shared" si="64"/>
        <v>-46136</v>
      </c>
      <c r="N1037" s="683">
        <f t="shared" si="66"/>
        <v>7</v>
      </c>
      <c r="O1037" s="212"/>
      <c r="P1037" s="544"/>
      <c r="Q1037" s="561">
        <f t="shared" si="63"/>
        <v>0</v>
      </c>
      <c r="R1037" s="223"/>
      <c r="S1037" s="223"/>
      <c r="T1037" s="223"/>
      <c r="U1037" s="223"/>
      <c r="V1037" s="223"/>
    </row>
    <row r="1038" spans="1:22" s="264" customFormat="1" ht="15.75" customHeight="1">
      <c r="A1038" s="468" t="s">
        <v>348</v>
      </c>
      <c r="B1038" s="204" t="s">
        <v>184</v>
      </c>
      <c r="C1038" s="527"/>
      <c r="D1038" s="267"/>
      <c r="E1038" s="706"/>
      <c r="F1038" s="697"/>
      <c r="G1038" s="206"/>
      <c r="H1038" s="214"/>
      <c r="I1038" s="500"/>
      <c r="J1038" s="715"/>
      <c r="K1038" s="552">
        <f t="shared" si="65"/>
        <v>0</v>
      </c>
      <c r="L1038" s="217"/>
      <c r="M1038" s="211">
        <f t="shared" si="64"/>
        <v>-46136</v>
      </c>
      <c r="N1038" s="683">
        <f t="shared" si="66"/>
        <v>7</v>
      </c>
      <c r="O1038" s="212"/>
      <c r="P1038" s="544"/>
      <c r="Q1038" s="561">
        <f t="shared" si="63"/>
        <v>0</v>
      </c>
      <c r="R1038" s="223"/>
      <c r="S1038" s="223"/>
      <c r="T1038" s="223"/>
      <c r="U1038" s="223"/>
      <c r="V1038" s="223"/>
    </row>
    <row r="1039" spans="1:22" s="264" customFormat="1" ht="15.75" customHeight="1">
      <c r="A1039" s="468" t="s">
        <v>348</v>
      </c>
      <c r="B1039" s="204" t="s">
        <v>184</v>
      </c>
      <c r="C1039" s="527"/>
      <c r="D1039" s="267"/>
      <c r="E1039" s="706"/>
      <c r="F1039" s="697"/>
      <c r="G1039" s="206"/>
      <c r="H1039" s="214"/>
      <c r="I1039" s="500"/>
      <c r="J1039" s="715"/>
      <c r="K1039" s="552">
        <f t="shared" si="65"/>
        <v>0</v>
      </c>
      <c r="L1039" s="217"/>
      <c r="M1039" s="211">
        <f t="shared" si="64"/>
        <v>-46136</v>
      </c>
      <c r="N1039" s="683">
        <f t="shared" si="66"/>
        <v>7</v>
      </c>
      <c r="O1039" s="212"/>
      <c r="P1039" s="544"/>
      <c r="Q1039" s="561">
        <f t="shared" si="63"/>
        <v>0</v>
      </c>
      <c r="R1039" s="223"/>
      <c r="S1039" s="223"/>
      <c r="T1039" s="223"/>
      <c r="U1039" s="223"/>
      <c r="V1039" s="223"/>
    </row>
    <row r="1040" spans="1:22" s="264" customFormat="1" ht="15.75" customHeight="1">
      <c r="A1040" s="468" t="s">
        <v>348</v>
      </c>
      <c r="B1040" s="204" t="s">
        <v>184</v>
      </c>
      <c r="C1040" s="527"/>
      <c r="D1040" s="267"/>
      <c r="E1040" s="706"/>
      <c r="F1040" s="697"/>
      <c r="G1040" s="206"/>
      <c r="H1040" s="214"/>
      <c r="I1040" s="502"/>
      <c r="J1040" s="715"/>
      <c r="K1040" s="552">
        <f t="shared" si="65"/>
        <v>0</v>
      </c>
      <c r="L1040" s="217"/>
      <c r="M1040" s="211">
        <f t="shared" si="64"/>
        <v>-46136</v>
      </c>
      <c r="N1040" s="683">
        <f t="shared" si="66"/>
        <v>7</v>
      </c>
      <c r="O1040" s="212"/>
      <c r="P1040" s="544"/>
      <c r="Q1040" s="561">
        <f t="shared" si="63"/>
        <v>0</v>
      </c>
      <c r="R1040" s="223"/>
      <c r="S1040" s="223"/>
      <c r="T1040" s="223"/>
      <c r="U1040" s="223"/>
      <c r="V1040" s="223"/>
    </row>
    <row r="1041" spans="1:22" s="264" customFormat="1" ht="15.75" customHeight="1">
      <c r="A1041" s="468" t="s">
        <v>348</v>
      </c>
      <c r="B1041" s="204" t="s">
        <v>184</v>
      </c>
      <c r="C1041" s="527"/>
      <c r="D1041" s="267"/>
      <c r="E1041" s="706"/>
      <c r="F1041" s="697"/>
      <c r="G1041" s="206"/>
      <c r="H1041" s="214"/>
      <c r="I1041" s="502"/>
      <c r="J1041" s="715"/>
      <c r="K1041" s="552">
        <f t="shared" si="65"/>
        <v>0</v>
      </c>
      <c r="L1041" s="217"/>
      <c r="M1041" s="211">
        <f t="shared" si="64"/>
        <v>-46136</v>
      </c>
      <c r="N1041" s="683">
        <f t="shared" si="66"/>
        <v>7</v>
      </c>
      <c r="O1041" s="212"/>
      <c r="P1041" s="544"/>
      <c r="Q1041" s="561">
        <f t="shared" si="63"/>
        <v>0</v>
      </c>
      <c r="R1041" s="223"/>
      <c r="S1041" s="223"/>
      <c r="T1041" s="223"/>
      <c r="U1041" s="223"/>
      <c r="V1041" s="223"/>
    </row>
    <row r="1042" spans="1:22" s="264" customFormat="1" ht="15.75" customHeight="1">
      <c r="A1042" s="468" t="s">
        <v>348</v>
      </c>
      <c r="B1042" s="204" t="s">
        <v>184</v>
      </c>
      <c r="C1042" s="527"/>
      <c r="D1042" s="267"/>
      <c r="E1042" s="706"/>
      <c r="F1042" s="697"/>
      <c r="G1042" s="206"/>
      <c r="H1042" s="214"/>
      <c r="I1042" s="500"/>
      <c r="J1042" s="715"/>
      <c r="K1042" s="552">
        <f t="shared" si="65"/>
        <v>0</v>
      </c>
      <c r="L1042" s="217"/>
      <c r="M1042" s="211">
        <f t="shared" si="64"/>
        <v>-46136</v>
      </c>
      <c r="N1042" s="683">
        <f t="shared" si="66"/>
        <v>7</v>
      </c>
      <c r="O1042" s="212"/>
      <c r="P1042" s="544"/>
      <c r="Q1042" s="561">
        <f t="shared" si="63"/>
        <v>0</v>
      </c>
      <c r="R1042" s="223"/>
      <c r="S1042" s="223"/>
      <c r="T1042" s="223"/>
      <c r="U1042" s="223"/>
      <c r="V1042" s="223"/>
    </row>
    <row r="1043" spans="1:22" s="264" customFormat="1" ht="15.75" customHeight="1">
      <c r="A1043" s="468" t="s">
        <v>348</v>
      </c>
      <c r="B1043" s="204" t="s">
        <v>184</v>
      </c>
      <c r="C1043" s="527"/>
      <c r="D1043" s="267"/>
      <c r="E1043" s="706"/>
      <c r="F1043" s="697"/>
      <c r="G1043" s="206"/>
      <c r="H1043" s="214"/>
      <c r="I1043" s="500"/>
      <c r="J1043" s="715"/>
      <c r="K1043" s="552">
        <f t="shared" si="65"/>
        <v>0</v>
      </c>
      <c r="L1043" s="217"/>
      <c r="M1043" s="211">
        <f t="shared" si="64"/>
        <v>-46136</v>
      </c>
      <c r="N1043" s="683">
        <f t="shared" si="66"/>
        <v>7</v>
      </c>
      <c r="O1043" s="212"/>
      <c r="P1043" s="544"/>
      <c r="Q1043" s="561">
        <f t="shared" si="63"/>
        <v>0</v>
      </c>
      <c r="R1043" s="223"/>
      <c r="S1043" s="223"/>
      <c r="T1043" s="223"/>
      <c r="U1043" s="223"/>
      <c r="V1043" s="223"/>
    </row>
    <row r="1044" spans="1:22" s="264" customFormat="1" ht="15.75" customHeight="1">
      <c r="A1044" s="468" t="s">
        <v>348</v>
      </c>
      <c r="B1044" s="204" t="s">
        <v>184</v>
      </c>
      <c r="C1044" s="527"/>
      <c r="D1044" s="267"/>
      <c r="E1044" s="706"/>
      <c r="F1044" s="697"/>
      <c r="G1044" s="206"/>
      <c r="H1044" s="214"/>
      <c r="I1044" s="500"/>
      <c r="J1044" s="715"/>
      <c r="K1044" s="552">
        <f t="shared" si="65"/>
        <v>0</v>
      </c>
      <c r="L1044" s="217"/>
      <c r="M1044" s="211">
        <f t="shared" si="64"/>
        <v>-46136</v>
      </c>
      <c r="N1044" s="683">
        <f t="shared" si="66"/>
        <v>7</v>
      </c>
      <c r="O1044" s="212"/>
      <c r="P1044" s="544"/>
      <c r="Q1044" s="561">
        <f t="shared" si="63"/>
        <v>0</v>
      </c>
      <c r="R1044" s="223"/>
      <c r="S1044" s="223"/>
      <c r="T1044" s="223"/>
      <c r="U1044" s="223"/>
      <c r="V1044" s="223"/>
    </row>
    <row r="1045" spans="1:22" s="264" customFormat="1" ht="15.75" customHeight="1">
      <c r="A1045" s="468" t="s">
        <v>348</v>
      </c>
      <c r="B1045" s="204" t="s">
        <v>184</v>
      </c>
      <c r="C1045" s="527"/>
      <c r="D1045" s="267"/>
      <c r="E1045" s="706"/>
      <c r="F1045" s="267"/>
      <c r="G1045" s="206"/>
      <c r="H1045" s="214"/>
      <c r="I1045" s="500"/>
      <c r="J1045" s="715"/>
      <c r="K1045" s="552">
        <f t="shared" si="65"/>
        <v>0</v>
      </c>
      <c r="L1045" s="217"/>
      <c r="M1045" s="211">
        <f t="shared" si="64"/>
        <v>-46136</v>
      </c>
      <c r="N1045" s="683">
        <f t="shared" si="66"/>
        <v>7</v>
      </c>
      <c r="O1045" s="212"/>
      <c r="P1045" s="544"/>
      <c r="Q1045" s="561">
        <f t="shared" si="63"/>
        <v>0</v>
      </c>
      <c r="R1045" s="223"/>
      <c r="S1045" s="223"/>
      <c r="T1045" s="223"/>
      <c r="U1045" s="223"/>
      <c r="V1045" s="223"/>
    </row>
    <row r="1046" spans="1:22" s="264" customFormat="1" ht="15.75" customHeight="1">
      <c r="A1046" s="468" t="s">
        <v>348</v>
      </c>
      <c r="B1046" s="204" t="s">
        <v>184</v>
      </c>
      <c r="C1046" s="527"/>
      <c r="D1046" s="267"/>
      <c r="E1046" s="706"/>
      <c r="F1046" s="697"/>
      <c r="G1046" s="206"/>
      <c r="H1046" s="214"/>
      <c r="I1046" s="500"/>
      <c r="J1046" s="715"/>
      <c r="K1046" s="552">
        <f t="shared" si="65"/>
        <v>0</v>
      </c>
      <c r="L1046" s="217"/>
      <c r="M1046" s="211">
        <f t="shared" si="64"/>
        <v>-46136</v>
      </c>
      <c r="N1046" s="683">
        <f t="shared" si="66"/>
        <v>7</v>
      </c>
      <c r="O1046" s="212"/>
      <c r="P1046" s="544"/>
      <c r="Q1046" s="561">
        <f t="shared" si="63"/>
        <v>0</v>
      </c>
      <c r="R1046" s="223"/>
      <c r="S1046" s="223"/>
      <c r="T1046" s="223"/>
      <c r="U1046" s="223"/>
      <c r="V1046" s="223"/>
    </row>
    <row r="1047" spans="1:22" s="264" customFormat="1" ht="15.75" customHeight="1">
      <c r="A1047" s="468" t="s">
        <v>348</v>
      </c>
      <c r="B1047" s="204" t="s">
        <v>184</v>
      </c>
      <c r="C1047" s="527"/>
      <c r="D1047" s="267"/>
      <c r="E1047" s="706"/>
      <c r="F1047" s="714"/>
      <c r="G1047" s="206"/>
      <c r="H1047" s="214"/>
      <c r="I1047" s="500"/>
      <c r="J1047" s="715"/>
      <c r="K1047" s="552">
        <f t="shared" si="65"/>
        <v>0</v>
      </c>
      <c r="L1047" s="217"/>
      <c r="M1047" s="211">
        <f t="shared" si="64"/>
        <v>-46136</v>
      </c>
      <c r="N1047" s="683">
        <f t="shared" si="66"/>
        <v>7</v>
      </c>
      <c r="O1047" s="212"/>
      <c r="P1047" s="544"/>
      <c r="Q1047" s="561">
        <f t="shared" si="63"/>
        <v>0</v>
      </c>
      <c r="R1047" s="223"/>
      <c r="S1047" s="223"/>
      <c r="T1047" s="223"/>
      <c r="U1047" s="223"/>
      <c r="V1047" s="223"/>
    </row>
    <row r="1048" spans="1:22" s="264" customFormat="1" ht="15.75" customHeight="1">
      <c r="A1048" s="468" t="s">
        <v>348</v>
      </c>
      <c r="B1048" s="204" t="s">
        <v>184</v>
      </c>
      <c r="C1048" s="527"/>
      <c r="D1048" s="697"/>
      <c r="E1048" s="706"/>
      <c r="F1048" s="697"/>
      <c r="G1048" s="206"/>
      <c r="H1048" s="214"/>
      <c r="I1048" s="500"/>
      <c r="J1048" s="715"/>
      <c r="K1048" s="552">
        <f t="shared" si="65"/>
        <v>0</v>
      </c>
      <c r="L1048" s="217"/>
      <c r="M1048" s="211">
        <f t="shared" si="64"/>
        <v>-46136</v>
      </c>
      <c r="N1048" s="683">
        <f t="shared" si="66"/>
        <v>7</v>
      </c>
      <c r="O1048" s="212"/>
      <c r="P1048" s="544"/>
      <c r="Q1048" s="561">
        <f t="shared" si="63"/>
        <v>0</v>
      </c>
      <c r="R1048" s="223"/>
      <c r="S1048" s="223"/>
      <c r="T1048" s="223"/>
      <c r="U1048" s="223"/>
      <c r="V1048" s="223"/>
    </row>
    <row r="1049" spans="1:22" s="264" customFormat="1" ht="15.75" customHeight="1">
      <c r="A1049" s="468" t="s">
        <v>348</v>
      </c>
      <c r="B1049" s="204" t="s">
        <v>184</v>
      </c>
      <c r="C1049" s="527"/>
      <c r="D1049" s="697"/>
      <c r="E1049" s="706"/>
      <c r="F1049" s="697"/>
      <c r="G1049" s="206"/>
      <c r="H1049" s="214"/>
      <c r="I1049" s="500"/>
      <c r="J1049" s="715"/>
      <c r="K1049" s="552">
        <f t="shared" si="65"/>
        <v>0</v>
      </c>
      <c r="L1049" s="217"/>
      <c r="M1049" s="211">
        <f t="shared" si="64"/>
        <v>-46136</v>
      </c>
      <c r="N1049" s="683">
        <f t="shared" si="66"/>
        <v>7</v>
      </c>
      <c r="O1049" s="212"/>
      <c r="P1049" s="544"/>
      <c r="Q1049" s="561">
        <f t="shared" si="63"/>
        <v>0</v>
      </c>
      <c r="R1049" s="223"/>
      <c r="S1049" s="223"/>
      <c r="T1049" s="223"/>
      <c r="U1049" s="223"/>
      <c r="V1049" s="223"/>
    </row>
    <row r="1050" spans="1:22" s="264" customFormat="1" ht="15.75" customHeight="1">
      <c r="A1050" s="468" t="s">
        <v>348</v>
      </c>
      <c r="B1050" s="204" t="s">
        <v>184</v>
      </c>
      <c r="C1050" s="527"/>
      <c r="D1050" s="697"/>
      <c r="E1050" s="706"/>
      <c r="F1050" s="697"/>
      <c r="G1050" s="206"/>
      <c r="H1050" s="214"/>
      <c r="I1050" s="500"/>
      <c r="J1050" s="715"/>
      <c r="K1050" s="552">
        <f t="shared" si="65"/>
        <v>0</v>
      </c>
      <c r="L1050" s="217"/>
      <c r="M1050" s="211">
        <f t="shared" si="64"/>
        <v>-46136</v>
      </c>
      <c r="N1050" s="683">
        <f t="shared" si="66"/>
        <v>7</v>
      </c>
      <c r="O1050" s="212"/>
      <c r="P1050" s="544"/>
      <c r="Q1050" s="561">
        <f t="shared" si="63"/>
        <v>0</v>
      </c>
      <c r="R1050" s="223"/>
      <c r="S1050" s="223"/>
      <c r="T1050" s="223"/>
      <c r="U1050" s="223"/>
      <c r="V1050" s="223"/>
    </row>
    <row r="1051" spans="1:22" s="264" customFormat="1" ht="15.75" customHeight="1">
      <c r="A1051" s="468" t="s">
        <v>348</v>
      </c>
      <c r="B1051" s="204" t="s">
        <v>184</v>
      </c>
      <c r="C1051" s="527"/>
      <c r="D1051" s="267"/>
      <c r="E1051" s="706"/>
      <c r="F1051" s="697"/>
      <c r="G1051" s="206"/>
      <c r="H1051" s="214"/>
      <c r="I1051" s="500"/>
      <c r="J1051" s="715"/>
      <c r="K1051" s="552">
        <f t="shared" si="65"/>
        <v>0</v>
      </c>
      <c r="L1051" s="217"/>
      <c r="M1051" s="211">
        <f t="shared" si="64"/>
        <v>-46136</v>
      </c>
      <c r="N1051" s="683">
        <f t="shared" si="66"/>
        <v>7</v>
      </c>
      <c r="O1051" s="212"/>
      <c r="P1051" s="544"/>
      <c r="Q1051" s="561">
        <f t="shared" si="63"/>
        <v>0</v>
      </c>
      <c r="R1051" s="223"/>
      <c r="S1051" s="223"/>
      <c r="T1051" s="223"/>
      <c r="U1051" s="223"/>
      <c r="V1051" s="223"/>
    </row>
    <row r="1052" spans="1:22" s="264" customFormat="1" ht="15.75" customHeight="1">
      <c r="A1052" s="468" t="s">
        <v>348</v>
      </c>
      <c r="B1052" s="204" t="s">
        <v>184</v>
      </c>
      <c r="C1052" s="527"/>
      <c r="D1052" s="267"/>
      <c r="E1052" s="706"/>
      <c r="F1052" s="697"/>
      <c r="G1052" s="206"/>
      <c r="H1052" s="214"/>
      <c r="I1052" s="500"/>
      <c r="J1052" s="715"/>
      <c r="K1052" s="552">
        <f t="shared" si="65"/>
        <v>0</v>
      </c>
      <c r="L1052" s="217"/>
      <c r="M1052" s="211">
        <f t="shared" si="64"/>
        <v>-46136</v>
      </c>
      <c r="N1052" s="683">
        <f t="shared" si="66"/>
        <v>7</v>
      </c>
      <c r="O1052" s="212"/>
      <c r="P1052" s="544"/>
      <c r="Q1052" s="561">
        <f t="shared" si="63"/>
        <v>0</v>
      </c>
      <c r="R1052" s="223"/>
      <c r="S1052" s="223"/>
      <c r="T1052" s="223"/>
      <c r="U1052" s="223"/>
      <c r="V1052" s="223"/>
    </row>
    <row r="1053" spans="1:22" s="264" customFormat="1" ht="15.75" customHeight="1">
      <c r="A1053" s="468" t="s">
        <v>348</v>
      </c>
      <c r="B1053" s="204" t="s">
        <v>184</v>
      </c>
      <c r="C1053" s="527"/>
      <c r="D1053" s="267"/>
      <c r="E1053" s="706"/>
      <c r="F1053" s="697"/>
      <c r="G1053" s="206"/>
      <c r="H1053" s="214"/>
      <c r="I1053" s="500"/>
      <c r="J1053" s="715"/>
      <c r="K1053" s="552">
        <f t="shared" si="65"/>
        <v>0</v>
      </c>
      <c r="L1053" s="217"/>
      <c r="M1053" s="211">
        <f t="shared" si="64"/>
        <v>-46136</v>
      </c>
      <c r="N1053" s="683">
        <f t="shared" si="66"/>
        <v>7</v>
      </c>
      <c r="O1053" s="212"/>
      <c r="P1053" s="544"/>
      <c r="Q1053" s="561">
        <f t="shared" si="63"/>
        <v>0</v>
      </c>
      <c r="R1053" s="223"/>
      <c r="S1053" s="223"/>
      <c r="T1053" s="223"/>
      <c r="U1053" s="223"/>
      <c r="V1053" s="223"/>
    </row>
    <row r="1054" spans="1:22" s="264" customFormat="1" ht="15.75" customHeight="1">
      <c r="A1054" s="468" t="s">
        <v>348</v>
      </c>
      <c r="B1054" s="204" t="s">
        <v>184</v>
      </c>
      <c r="C1054" s="527"/>
      <c r="D1054" s="267"/>
      <c r="E1054" s="706"/>
      <c r="F1054" s="697"/>
      <c r="G1054" s="206"/>
      <c r="H1054" s="214"/>
      <c r="I1054" s="500"/>
      <c r="J1054" s="715"/>
      <c r="K1054" s="552">
        <f t="shared" si="65"/>
        <v>0</v>
      </c>
      <c r="L1054" s="217"/>
      <c r="M1054" s="211">
        <f t="shared" si="64"/>
        <v>-46136</v>
      </c>
      <c r="N1054" s="683">
        <f t="shared" si="66"/>
        <v>7</v>
      </c>
      <c r="O1054" s="212"/>
      <c r="P1054" s="544"/>
      <c r="Q1054" s="561">
        <f t="shared" si="63"/>
        <v>0</v>
      </c>
      <c r="R1054" s="223"/>
      <c r="S1054" s="223"/>
      <c r="T1054" s="223"/>
      <c r="U1054" s="223"/>
      <c r="V1054" s="223"/>
    </row>
    <row r="1055" spans="1:22" s="264" customFormat="1" ht="15.75" customHeight="1">
      <c r="A1055" s="468" t="s">
        <v>348</v>
      </c>
      <c r="B1055" s="204" t="s">
        <v>184</v>
      </c>
      <c r="C1055" s="527"/>
      <c r="D1055" s="267"/>
      <c r="E1055" s="706"/>
      <c r="F1055" s="697"/>
      <c r="G1055" s="206"/>
      <c r="H1055" s="214"/>
      <c r="I1055" s="500"/>
      <c r="J1055" s="715"/>
      <c r="K1055" s="552">
        <f t="shared" si="65"/>
        <v>0</v>
      </c>
      <c r="L1055" s="217"/>
      <c r="M1055" s="211">
        <f t="shared" si="64"/>
        <v>-46136</v>
      </c>
      <c r="N1055" s="683">
        <f t="shared" si="66"/>
        <v>7</v>
      </c>
      <c r="O1055" s="212"/>
      <c r="P1055" s="544"/>
      <c r="Q1055" s="561">
        <f t="shared" si="63"/>
        <v>0</v>
      </c>
      <c r="R1055" s="223"/>
      <c r="S1055" s="223"/>
      <c r="T1055" s="223"/>
      <c r="U1055" s="223"/>
      <c r="V1055" s="223"/>
    </row>
    <row r="1056" spans="1:22" s="264" customFormat="1" ht="15.75" customHeight="1">
      <c r="A1056" s="468" t="s">
        <v>348</v>
      </c>
      <c r="B1056" s="204" t="s">
        <v>184</v>
      </c>
      <c r="C1056" s="527"/>
      <c r="D1056" s="267"/>
      <c r="E1056" s="706"/>
      <c r="F1056" s="697"/>
      <c r="G1056" s="206"/>
      <c r="H1056" s="214"/>
      <c r="I1056" s="500"/>
      <c r="J1056" s="715"/>
      <c r="K1056" s="552">
        <f t="shared" si="65"/>
        <v>0</v>
      </c>
      <c r="L1056" s="217"/>
      <c r="M1056" s="211">
        <f t="shared" si="64"/>
        <v>-46136</v>
      </c>
      <c r="N1056" s="683">
        <f t="shared" si="66"/>
        <v>7</v>
      </c>
      <c r="O1056" s="212"/>
      <c r="P1056" s="544"/>
      <c r="Q1056" s="561">
        <f t="shared" si="63"/>
        <v>0</v>
      </c>
      <c r="R1056" s="223"/>
      <c r="S1056" s="223"/>
      <c r="T1056" s="223"/>
      <c r="U1056" s="223"/>
      <c r="V1056" s="223"/>
    </row>
    <row r="1057" spans="1:22" s="264" customFormat="1" ht="15.75" customHeight="1">
      <c r="A1057" s="468" t="s">
        <v>348</v>
      </c>
      <c r="B1057" s="204" t="s">
        <v>184</v>
      </c>
      <c r="C1057" s="527"/>
      <c r="D1057" s="267"/>
      <c r="E1057" s="706"/>
      <c r="F1057" s="697"/>
      <c r="G1057" s="206"/>
      <c r="H1057" s="214"/>
      <c r="I1057" s="502"/>
      <c r="J1057" s="715"/>
      <c r="K1057" s="552">
        <f t="shared" si="65"/>
        <v>0</v>
      </c>
      <c r="L1057" s="217"/>
      <c r="M1057" s="211">
        <f t="shared" si="64"/>
        <v>-46136</v>
      </c>
      <c r="N1057" s="683">
        <f t="shared" si="66"/>
        <v>7</v>
      </c>
      <c r="O1057" s="212"/>
      <c r="P1057" s="544"/>
      <c r="Q1057" s="561">
        <f t="shared" si="63"/>
        <v>0</v>
      </c>
      <c r="R1057" s="223"/>
      <c r="S1057" s="223"/>
      <c r="T1057" s="223"/>
      <c r="U1057" s="223"/>
      <c r="V1057" s="223"/>
    </row>
    <row r="1058" spans="1:22" s="264" customFormat="1" ht="15.75" customHeight="1">
      <c r="A1058" s="468" t="s">
        <v>348</v>
      </c>
      <c r="B1058" s="204" t="s">
        <v>184</v>
      </c>
      <c r="C1058" s="527"/>
      <c r="D1058" s="267"/>
      <c r="E1058" s="706"/>
      <c r="F1058" s="697"/>
      <c r="G1058" s="206"/>
      <c r="H1058" s="214"/>
      <c r="I1058" s="500"/>
      <c r="J1058" s="715"/>
      <c r="K1058" s="552">
        <f t="shared" si="65"/>
        <v>0</v>
      </c>
      <c r="L1058" s="217"/>
      <c r="M1058" s="211">
        <f t="shared" si="64"/>
        <v>-46136</v>
      </c>
      <c r="N1058" s="683">
        <f t="shared" si="66"/>
        <v>7</v>
      </c>
      <c r="O1058" s="212"/>
      <c r="P1058" s="544"/>
      <c r="Q1058" s="561">
        <f t="shared" si="63"/>
        <v>0</v>
      </c>
      <c r="R1058" s="223"/>
      <c r="S1058" s="223"/>
      <c r="T1058" s="223"/>
      <c r="U1058" s="223"/>
      <c r="V1058" s="223"/>
    </row>
    <row r="1059" spans="1:22" ht="15.75" customHeight="1">
      <c r="A1059" s="468" t="s">
        <v>348</v>
      </c>
      <c r="B1059" s="204" t="s">
        <v>184</v>
      </c>
      <c r="C1059" s="527"/>
      <c r="D1059" s="267"/>
      <c r="E1059" s="706"/>
      <c r="F1059" s="697"/>
      <c r="G1059" s="206"/>
      <c r="H1059" s="214"/>
      <c r="I1059" s="500"/>
      <c r="J1059" s="715"/>
      <c r="K1059" s="552">
        <f t="shared" si="65"/>
        <v>0</v>
      </c>
      <c r="L1059" s="217"/>
      <c r="M1059" s="211">
        <f t="shared" si="64"/>
        <v>-46136</v>
      </c>
      <c r="N1059" s="683">
        <f t="shared" si="66"/>
        <v>7</v>
      </c>
      <c r="O1059" s="212"/>
      <c r="P1059" s="544"/>
      <c r="Q1059" s="561">
        <f t="shared" si="63"/>
        <v>0</v>
      </c>
      <c r="R1059" s="58"/>
      <c r="S1059" s="58"/>
      <c r="T1059" s="58"/>
      <c r="U1059" s="58"/>
      <c r="V1059" s="58"/>
    </row>
    <row r="1060" spans="1:22" s="263" customFormat="1" ht="15.75" customHeight="1">
      <c r="A1060" s="468" t="s">
        <v>348</v>
      </c>
      <c r="B1060" s="204" t="s">
        <v>184</v>
      </c>
      <c r="C1060" s="527"/>
      <c r="D1060" s="267"/>
      <c r="E1060" s="706"/>
      <c r="F1060" s="697"/>
      <c r="G1060" s="206"/>
      <c r="H1060" s="214"/>
      <c r="I1060" s="500"/>
      <c r="J1060" s="715"/>
      <c r="K1060" s="552">
        <f t="shared" si="65"/>
        <v>0</v>
      </c>
      <c r="L1060" s="217"/>
      <c r="M1060" s="211">
        <f t="shared" si="64"/>
        <v>-46136</v>
      </c>
      <c r="N1060" s="683">
        <f t="shared" si="66"/>
        <v>7</v>
      </c>
      <c r="O1060" s="212"/>
      <c r="P1060" s="544"/>
      <c r="Q1060" s="561">
        <f t="shared" si="63"/>
        <v>0</v>
      </c>
      <c r="R1060" s="223"/>
      <c r="S1060" s="223"/>
      <c r="T1060" s="223"/>
      <c r="U1060" s="223"/>
      <c r="V1060" s="223"/>
    </row>
    <row r="1061" spans="1:22" s="263" customFormat="1" ht="15.75" customHeight="1">
      <c r="A1061" s="468" t="s">
        <v>348</v>
      </c>
      <c r="B1061" s="204" t="s">
        <v>184</v>
      </c>
      <c r="C1061" s="527"/>
      <c r="D1061" s="267"/>
      <c r="E1061" s="706"/>
      <c r="F1061" s="697"/>
      <c r="G1061" s="206"/>
      <c r="H1061" s="214"/>
      <c r="I1061" s="500"/>
      <c r="J1061" s="715"/>
      <c r="K1061" s="552">
        <f t="shared" si="65"/>
        <v>0</v>
      </c>
      <c r="L1061" s="217"/>
      <c r="M1061" s="211">
        <f t="shared" si="64"/>
        <v>-46136</v>
      </c>
      <c r="N1061" s="683">
        <f t="shared" si="66"/>
        <v>7</v>
      </c>
      <c r="O1061" s="212"/>
      <c r="P1061" s="544"/>
      <c r="Q1061" s="561">
        <f t="shared" ref="Q1061:Q1124" si="67">+K1061+J1061</f>
        <v>0</v>
      </c>
      <c r="R1061" s="223"/>
      <c r="S1061" s="223"/>
      <c r="T1061" s="223"/>
      <c r="U1061" s="223"/>
      <c r="V1061" s="223"/>
    </row>
    <row r="1062" spans="1:22" s="263" customFormat="1" ht="15.75" customHeight="1">
      <c r="A1062" s="468" t="s">
        <v>348</v>
      </c>
      <c r="B1062" s="204" t="s">
        <v>184</v>
      </c>
      <c r="C1062" s="527"/>
      <c r="D1062" s="267"/>
      <c r="E1062" s="706"/>
      <c r="F1062" s="697"/>
      <c r="G1062" s="206"/>
      <c r="H1062" s="214"/>
      <c r="I1062" s="500"/>
      <c r="J1062" s="715"/>
      <c r="K1062" s="552">
        <f t="shared" si="65"/>
        <v>0</v>
      </c>
      <c r="L1062" s="217"/>
      <c r="M1062" s="211">
        <f t="shared" si="64"/>
        <v>-46136</v>
      </c>
      <c r="N1062" s="683">
        <f t="shared" si="66"/>
        <v>7</v>
      </c>
      <c r="O1062" s="212"/>
      <c r="P1062" s="544"/>
      <c r="Q1062" s="561">
        <f t="shared" si="67"/>
        <v>0</v>
      </c>
      <c r="R1062" s="223"/>
      <c r="S1062" s="223"/>
      <c r="T1062" s="223"/>
      <c r="U1062" s="223"/>
      <c r="V1062" s="223"/>
    </row>
    <row r="1063" spans="1:22" s="263" customFormat="1" ht="15.75" customHeight="1">
      <c r="A1063" s="468" t="s">
        <v>348</v>
      </c>
      <c r="B1063" s="204" t="s">
        <v>184</v>
      </c>
      <c r="C1063" s="527"/>
      <c r="D1063" s="267"/>
      <c r="E1063" s="706"/>
      <c r="F1063" s="697"/>
      <c r="G1063" s="206"/>
      <c r="H1063" s="214"/>
      <c r="I1063" s="500"/>
      <c r="J1063" s="716"/>
      <c r="K1063" s="552">
        <f t="shared" si="65"/>
        <v>0</v>
      </c>
      <c r="L1063" s="217"/>
      <c r="M1063" s="211">
        <f t="shared" si="64"/>
        <v>-46136</v>
      </c>
      <c r="N1063" s="683">
        <f t="shared" si="66"/>
        <v>7</v>
      </c>
      <c r="O1063" s="212"/>
      <c r="P1063" s="544"/>
      <c r="Q1063" s="561">
        <f t="shared" si="67"/>
        <v>0</v>
      </c>
      <c r="R1063" s="223"/>
      <c r="S1063" s="223"/>
      <c r="T1063" s="223"/>
      <c r="U1063" s="223"/>
      <c r="V1063" s="223"/>
    </row>
    <row r="1064" spans="1:22" s="263" customFormat="1" ht="15.75" customHeight="1">
      <c r="A1064" s="468" t="s">
        <v>348</v>
      </c>
      <c r="B1064" s="204" t="s">
        <v>184</v>
      </c>
      <c r="C1064" s="527"/>
      <c r="D1064" s="267"/>
      <c r="E1064" s="706"/>
      <c r="F1064" s="697"/>
      <c r="G1064" s="206"/>
      <c r="H1064" s="214"/>
      <c r="I1064" s="500"/>
      <c r="J1064" s="716"/>
      <c r="K1064" s="552">
        <f t="shared" si="65"/>
        <v>0</v>
      </c>
      <c r="L1064" s="217"/>
      <c r="M1064" s="211">
        <f t="shared" si="64"/>
        <v>-46136</v>
      </c>
      <c r="N1064" s="683">
        <f t="shared" si="66"/>
        <v>7</v>
      </c>
      <c r="O1064" s="212"/>
      <c r="P1064" s="544"/>
      <c r="Q1064" s="561">
        <f t="shared" si="67"/>
        <v>0</v>
      </c>
      <c r="R1064" s="223"/>
      <c r="S1064" s="223"/>
      <c r="T1064" s="223"/>
      <c r="U1064" s="223"/>
      <c r="V1064" s="223"/>
    </row>
    <row r="1065" spans="1:22" s="263" customFormat="1" ht="15.75" customHeight="1">
      <c r="A1065" s="468" t="s">
        <v>348</v>
      </c>
      <c r="B1065" s="204" t="s">
        <v>184</v>
      </c>
      <c r="C1065" s="527"/>
      <c r="D1065" s="267"/>
      <c r="E1065" s="706"/>
      <c r="F1065" s="697"/>
      <c r="G1065" s="206"/>
      <c r="H1065" s="214"/>
      <c r="I1065" s="500"/>
      <c r="J1065" s="716"/>
      <c r="K1065" s="552">
        <f t="shared" si="65"/>
        <v>0</v>
      </c>
      <c r="L1065" s="217"/>
      <c r="M1065" s="211">
        <f t="shared" si="64"/>
        <v>-46136</v>
      </c>
      <c r="N1065" s="683">
        <f t="shared" si="66"/>
        <v>7</v>
      </c>
      <c r="O1065" s="212"/>
      <c r="P1065" s="544"/>
      <c r="Q1065" s="561">
        <f t="shared" si="67"/>
        <v>0</v>
      </c>
      <c r="R1065" s="223"/>
      <c r="S1065" s="223"/>
      <c r="T1065" s="223"/>
      <c r="U1065" s="223"/>
      <c r="V1065" s="223"/>
    </row>
    <row r="1066" spans="1:22" s="263" customFormat="1" ht="15.75" customHeight="1">
      <c r="A1066" s="468" t="s">
        <v>348</v>
      </c>
      <c r="B1066" s="204" t="s">
        <v>184</v>
      </c>
      <c r="C1066" s="527"/>
      <c r="D1066" s="267"/>
      <c r="E1066" s="706"/>
      <c r="F1066" s="697"/>
      <c r="G1066" s="206"/>
      <c r="H1066" s="214"/>
      <c r="I1066" s="500"/>
      <c r="J1066" s="716"/>
      <c r="K1066" s="552">
        <f t="shared" si="65"/>
        <v>0</v>
      </c>
      <c r="L1066" s="217"/>
      <c r="M1066" s="211">
        <f t="shared" si="64"/>
        <v>-46136</v>
      </c>
      <c r="N1066" s="683">
        <f t="shared" si="66"/>
        <v>7</v>
      </c>
      <c r="O1066" s="212"/>
      <c r="P1066" s="544"/>
      <c r="Q1066" s="561">
        <f t="shared" si="67"/>
        <v>0</v>
      </c>
      <c r="R1066" s="223"/>
      <c r="S1066" s="223"/>
      <c r="T1066" s="223"/>
      <c r="U1066" s="223"/>
      <c r="V1066" s="223"/>
    </row>
    <row r="1067" spans="1:22" s="263" customFormat="1" ht="15.75" customHeight="1">
      <c r="A1067" s="468" t="s">
        <v>348</v>
      </c>
      <c r="B1067" s="204" t="s">
        <v>184</v>
      </c>
      <c r="C1067" s="527"/>
      <c r="D1067" s="267"/>
      <c r="E1067" s="706"/>
      <c r="F1067" s="697"/>
      <c r="G1067" s="206"/>
      <c r="H1067" s="214"/>
      <c r="I1067" s="500"/>
      <c r="J1067" s="716"/>
      <c r="K1067" s="552">
        <f t="shared" si="65"/>
        <v>0</v>
      </c>
      <c r="L1067" s="217"/>
      <c r="M1067" s="211">
        <f t="shared" si="64"/>
        <v>-46136</v>
      </c>
      <c r="N1067" s="683">
        <f t="shared" si="66"/>
        <v>7</v>
      </c>
      <c r="O1067" s="212"/>
      <c r="P1067" s="544"/>
      <c r="Q1067" s="561">
        <f t="shared" si="67"/>
        <v>0</v>
      </c>
      <c r="R1067" s="223"/>
      <c r="S1067" s="223"/>
      <c r="T1067" s="223"/>
      <c r="U1067" s="223"/>
      <c r="V1067" s="223"/>
    </row>
    <row r="1068" spans="1:22" s="263" customFormat="1" ht="15.75" customHeight="1">
      <c r="A1068" s="468" t="s">
        <v>348</v>
      </c>
      <c r="B1068" s="204" t="s">
        <v>184</v>
      </c>
      <c r="C1068" s="527"/>
      <c r="D1068" s="267"/>
      <c r="E1068" s="706"/>
      <c r="F1068" s="697"/>
      <c r="G1068" s="206"/>
      <c r="H1068" s="214"/>
      <c r="I1068" s="500"/>
      <c r="J1068" s="716"/>
      <c r="K1068" s="552">
        <f t="shared" si="65"/>
        <v>0</v>
      </c>
      <c r="L1068" s="217"/>
      <c r="M1068" s="211">
        <f t="shared" si="64"/>
        <v>-46136</v>
      </c>
      <c r="N1068" s="683">
        <f t="shared" si="66"/>
        <v>7</v>
      </c>
      <c r="O1068" s="212"/>
      <c r="P1068" s="544"/>
      <c r="Q1068" s="561">
        <f t="shared" si="67"/>
        <v>0</v>
      </c>
      <c r="R1068" s="223"/>
      <c r="S1068" s="223"/>
      <c r="T1068" s="223"/>
      <c r="U1068" s="223"/>
      <c r="V1068" s="223"/>
    </row>
    <row r="1069" spans="1:22" s="263" customFormat="1" ht="15.75" customHeight="1">
      <c r="A1069" s="468" t="s">
        <v>348</v>
      </c>
      <c r="B1069" s="204" t="s">
        <v>184</v>
      </c>
      <c r="C1069" s="527"/>
      <c r="D1069" s="267"/>
      <c r="E1069" s="706"/>
      <c r="F1069" s="697"/>
      <c r="G1069" s="206"/>
      <c r="H1069" s="214"/>
      <c r="I1069" s="500"/>
      <c r="J1069" s="716"/>
      <c r="K1069" s="552">
        <f t="shared" si="65"/>
        <v>0</v>
      </c>
      <c r="L1069" s="217"/>
      <c r="M1069" s="211">
        <f t="shared" si="64"/>
        <v>-46136</v>
      </c>
      <c r="N1069" s="683">
        <f t="shared" si="66"/>
        <v>7</v>
      </c>
      <c r="O1069" s="212"/>
      <c r="P1069" s="544"/>
      <c r="Q1069" s="561">
        <f t="shared" si="67"/>
        <v>0</v>
      </c>
      <c r="R1069" s="223"/>
      <c r="S1069" s="223"/>
      <c r="T1069" s="223"/>
      <c r="U1069" s="223"/>
      <c r="V1069" s="223"/>
    </row>
    <row r="1070" spans="1:22" s="263" customFormat="1" ht="15.75" customHeight="1">
      <c r="A1070" s="468" t="s">
        <v>348</v>
      </c>
      <c r="B1070" s="204" t="s">
        <v>184</v>
      </c>
      <c r="C1070" s="527"/>
      <c r="D1070" s="267"/>
      <c r="E1070" s="706"/>
      <c r="F1070" s="697"/>
      <c r="G1070" s="206"/>
      <c r="H1070" s="214"/>
      <c r="I1070" s="500"/>
      <c r="J1070" s="716"/>
      <c r="K1070" s="552">
        <f t="shared" si="65"/>
        <v>0</v>
      </c>
      <c r="L1070" s="217"/>
      <c r="M1070" s="211">
        <f t="shared" si="64"/>
        <v>-46136</v>
      </c>
      <c r="N1070" s="683">
        <f t="shared" si="66"/>
        <v>7</v>
      </c>
      <c r="O1070" s="212"/>
      <c r="P1070" s="544"/>
      <c r="Q1070" s="561">
        <f t="shared" si="67"/>
        <v>0</v>
      </c>
      <c r="R1070" s="223"/>
      <c r="S1070" s="223"/>
      <c r="T1070" s="223"/>
      <c r="U1070" s="223"/>
      <c r="V1070" s="223"/>
    </row>
    <row r="1071" spans="1:22" s="263" customFormat="1" ht="15.75" customHeight="1">
      <c r="A1071" s="468" t="s">
        <v>348</v>
      </c>
      <c r="B1071" s="204" t="s">
        <v>184</v>
      </c>
      <c r="C1071" s="527"/>
      <c r="D1071" s="267"/>
      <c r="E1071" s="706"/>
      <c r="F1071" s="697"/>
      <c r="G1071" s="206"/>
      <c r="H1071" s="214"/>
      <c r="I1071" s="500"/>
      <c r="J1071" s="716"/>
      <c r="K1071" s="552">
        <f t="shared" si="65"/>
        <v>0</v>
      </c>
      <c r="L1071" s="217"/>
      <c r="M1071" s="211">
        <f t="shared" si="64"/>
        <v>-46136</v>
      </c>
      <c r="N1071" s="683">
        <f t="shared" si="66"/>
        <v>7</v>
      </c>
      <c r="O1071" s="212"/>
      <c r="P1071" s="544"/>
      <c r="Q1071" s="561">
        <f t="shared" si="67"/>
        <v>0</v>
      </c>
      <c r="R1071" s="223"/>
      <c r="S1071" s="223"/>
      <c r="T1071" s="223"/>
      <c r="U1071" s="223"/>
      <c r="V1071" s="223"/>
    </row>
    <row r="1072" spans="1:22" s="263" customFormat="1" ht="15.75" customHeight="1">
      <c r="A1072" s="468" t="s">
        <v>348</v>
      </c>
      <c r="B1072" s="204" t="s">
        <v>184</v>
      </c>
      <c r="C1072" s="527"/>
      <c r="D1072" s="267"/>
      <c r="E1072" s="706"/>
      <c r="F1072" s="697"/>
      <c r="G1072" s="206"/>
      <c r="H1072" s="214"/>
      <c r="I1072" s="500"/>
      <c r="J1072" s="716"/>
      <c r="K1072" s="552">
        <f t="shared" si="65"/>
        <v>0</v>
      </c>
      <c r="L1072" s="217"/>
      <c r="M1072" s="211">
        <f t="shared" si="64"/>
        <v>-46136</v>
      </c>
      <c r="N1072" s="683">
        <f t="shared" si="66"/>
        <v>7</v>
      </c>
      <c r="O1072" s="212"/>
      <c r="P1072" s="544"/>
      <c r="Q1072" s="561">
        <f t="shared" si="67"/>
        <v>0</v>
      </c>
      <c r="R1072" s="223"/>
      <c r="S1072" s="223"/>
      <c r="T1072" s="223"/>
      <c r="U1072" s="223"/>
      <c r="V1072" s="223"/>
    </row>
    <row r="1073" spans="1:22" s="263" customFormat="1" ht="15.75" customHeight="1">
      <c r="A1073" s="468" t="s">
        <v>348</v>
      </c>
      <c r="B1073" s="204" t="s">
        <v>184</v>
      </c>
      <c r="C1073" s="527"/>
      <c r="D1073" s="267"/>
      <c r="E1073" s="706"/>
      <c r="F1073" s="697"/>
      <c r="G1073" s="206"/>
      <c r="H1073" s="214"/>
      <c r="I1073" s="500"/>
      <c r="J1073" s="716"/>
      <c r="K1073" s="552">
        <f t="shared" si="65"/>
        <v>0</v>
      </c>
      <c r="L1073" s="217"/>
      <c r="M1073" s="211">
        <f t="shared" si="64"/>
        <v>-46136</v>
      </c>
      <c r="N1073" s="683">
        <f t="shared" si="66"/>
        <v>7</v>
      </c>
      <c r="O1073" s="212"/>
      <c r="P1073" s="544"/>
      <c r="Q1073" s="561">
        <f t="shared" si="67"/>
        <v>0</v>
      </c>
      <c r="R1073" s="223"/>
      <c r="S1073" s="223"/>
      <c r="T1073" s="223"/>
      <c r="U1073" s="223"/>
      <c r="V1073" s="223"/>
    </row>
    <row r="1074" spans="1:22" s="263" customFormat="1" ht="15.75" customHeight="1">
      <c r="A1074" s="468" t="s">
        <v>348</v>
      </c>
      <c r="B1074" s="204" t="s">
        <v>184</v>
      </c>
      <c r="C1074" s="527"/>
      <c r="D1074" s="267"/>
      <c r="E1074" s="706"/>
      <c r="F1074" s="697"/>
      <c r="G1074" s="206"/>
      <c r="H1074" s="214"/>
      <c r="I1074" s="502"/>
      <c r="J1074" s="716"/>
      <c r="K1074" s="552">
        <f t="shared" si="65"/>
        <v>0</v>
      </c>
      <c r="L1074" s="217"/>
      <c r="M1074" s="211">
        <f t="shared" si="64"/>
        <v>-46136</v>
      </c>
      <c r="N1074" s="683">
        <f t="shared" si="66"/>
        <v>7</v>
      </c>
      <c r="O1074" s="212"/>
      <c r="P1074" s="544"/>
      <c r="Q1074" s="561">
        <f t="shared" si="67"/>
        <v>0</v>
      </c>
      <c r="R1074" s="223"/>
      <c r="S1074" s="223"/>
      <c r="T1074" s="223"/>
      <c r="U1074" s="223"/>
      <c r="V1074" s="223"/>
    </row>
    <row r="1075" spans="1:22" s="263" customFormat="1" ht="15.75" customHeight="1">
      <c r="A1075" s="468" t="s">
        <v>348</v>
      </c>
      <c r="B1075" s="204" t="s">
        <v>184</v>
      </c>
      <c r="C1075" s="527"/>
      <c r="D1075" s="267"/>
      <c r="E1075" s="706"/>
      <c r="F1075" s="697"/>
      <c r="G1075" s="206"/>
      <c r="H1075" s="214"/>
      <c r="I1075" s="501"/>
      <c r="J1075" s="716"/>
      <c r="K1075" s="552">
        <f t="shared" si="65"/>
        <v>0</v>
      </c>
      <c r="L1075" s="217"/>
      <c r="M1075" s="211">
        <f t="shared" si="64"/>
        <v>-46136</v>
      </c>
      <c r="N1075" s="683">
        <f t="shared" si="66"/>
        <v>7</v>
      </c>
      <c r="O1075" s="212"/>
      <c r="P1075" s="544"/>
      <c r="Q1075" s="561">
        <f t="shared" si="67"/>
        <v>0</v>
      </c>
      <c r="R1075" s="223"/>
      <c r="S1075" s="223"/>
      <c r="T1075" s="223"/>
      <c r="U1075" s="223"/>
      <c r="V1075" s="223"/>
    </row>
    <row r="1076" spans="1:22" s="263" customFormat="1" ht="15.75" customHeight="1">
      <c r="A1076" s="468" t="s">
        <v>348</v>
      </c>
      <c r="B1076" s="204" t="s">
        <v>184</v>
      </c>
      <c r="C1076" s="527"/>
      <c r="D1076" s="267"/>
      <c r="E1076" s="706"/>
      <c r="F1076" s="697"/>
      <c r="G1076" s="206"/>
      <c r="H1076" s="214"/>
      <c r="I1076" s="500"/>
      <c r="J1076" s="716"/>
      <c r="K1076" s="552">
        <f t="shared" si="65"/>
        <v>0</v>
      </c>
      <c r="L1076" s="217"/>
      <c r="M1076" s="211">
        <f t="shared" si="64"/>
        <v>-46136</v>
      </c>
      <c r="N1076" s="683">
        <f t="shared" si="66"/>
        <v>7</v>
      </c>
      <c r="O1076" s="212"/>
      <c r="P1076" s="544"/>
      <c r="Q1076" s="561">
        <f t="shared" si="67"/>
        <v>0</v>
      </c>
      <c r="R1076" s="223"/>
      <c r="S1076" s="223"/>
      <c r="T1076" s="223"/>
      <c r="U1076" s="223"/>
      <c r="V1076" s="223"/>
    </row>
    <row r="1077" spans="1:22" s="263" customFormat="1" ht="15.75" customHeight="1">
      <c r="A1077" s="468" t="s">
        <v>348</v>
      </c>
      <c r="B1077" s="204" t="s">
        <v>184</v>
      </c>
      <c r="C1077" s="527"/>
      <c r="D1077" s="267"/>
      <c r="E1077" s="706"/>
      <c r="F1077" s="697"/>
      <c r="G1077" s="206"/>
      <c r="H1077" s="214"/>
      <c r="I1077" s="500"/>
      <c r="J1077" s="716"/>
      <c r="K1077" s="552">
        <f t="shared" si="65"/>
        <v>0</v>
      </c>
      <c r="L1077" s="217"/>
      <c r="M1077" s="211">
        <f t="shared" si="64"/>
        <v>-46136</v>
      </c>
      <c r="N1077" s="683">
        <f t="shared" si="66"/>
        <v>7</v>
      </c>
      <c r="O1077" s="212"/>
      <c r="P1077" s="544"/>
      <c r="Q1077" s="561">
        <f t="shared" si="67"/>
        <v>0</v>
      </c>
      <c r="R1077" s="223"/>
      <c r="S1077" s="223"/>
      <c r="T1077" s="223"/>
      <c r="U1077" s="223"/>
      <c r="V1077" s="223"/>
    </row>
    <row r="1078" spans="1:22" s="263" customFormat="1" ht="15.75" customHeight="1">
      <c r="A1078" s="468" t="s">
        <v>348</v>
      </c>
      <c r="B1078" s="204" t="s">
        <v>184</v>
      </c>
      <c r="C1078" s="527"/>
      <c r="D1078" s="267"/>
      <c r="E1078" s="706"/>
      <c r="F1078" s="697"/>
      <c r="G1078" s="206"/>
      <c r="H1078" s="214"/>
      <c r="I1078" s="500"/>
      <c r="J1078" s="715"/>
      <c r="K1078" s="552">
        <f t="shared" si="65"/>
        <v>0</v>
      </c>
      <c r="L1078" s="217"/>
      <c r="M1078" s="211">
        <f t="shared" si="64"/>
        <v>-46136</v>
      </c>
      <c r="N1078" s="683">
        <f t="shared" si="66"/>
        <v>7</v>
      </c>
      <c r="O1078" s="212"/>
      <c r="P1078" s="544"/>
      <c r="Q1078" s="561">
        <f t="shared" si="67"/>
        <v>0</v>
      </c>
      <c r="R1078" s="223"/>
      <c r="S1078" s="223"/>
      <c r="T1078" s="223"/>
      <c r="U1078" s="223"/>
      <c r="V1078" s="223"/>
    </row>
    <row r="1079" spans="1:22" s="263" customFormat="1" ht="15.75" customHeight="1">
      <c r="A1079" s="468" t="s">
        <v>348</v>
      </c>
      <c r="B1079" s="204" t="s">
        <v>184</v>
      </c>
      <c r="C1079" s="527"/>
      <c r="D1079" s="267"/>
      <c r="E1079" s="706"/>
      <c r="F1079" s="697"/>
      <c r="G1079" s="206"/>
      <c r="H1079" s="214"/>
      <c r="I1079" s="501"/>
      <c r="J1079" s="715"/>
      <c r="K1079" s="552">
        <f t="shared" si="65"/>
        <v>0</v>
      </c>
      <c r="L1079" s="217"/>
      <c r="M1079" s="211">
        <f t="shared" si="64"/>
        <v>-46136</v>
      </c>
      <c r="N1079" s="683">
        <f t="shared" si="66"/>
        <v>7</v>
      </c>
      <c r="O1079" s="212"/>
      <c r="P1079" s="544"/>
      <c r="Q1079" s="561">
        <f t="shared" si="67"/>
        <v>0</v>
      </c>
      <c r="R1079" s="223"/>
      <c r="S1079" s="223"/>
      <c r="T1079" s="223"/>
      <c r="U1079" s="223"/>
      <c r="V1079" s="223"/>
    </row>
    <row r="1080" spans="1:22" s="263" customFormat="1" ht="15.75" customHeight="1">
      <c r="A1080" s="468" t="s">
        <v>348</v>
      </c>
      <c r="B1080" s="204" t="s">
        <v>184</v>
      </c>
      <c r="C1080" s="527"/>
      <c r="D1080" s="267"/>
      <c r="E1080" s="706"/>
      <c r="F1080" s="697"/>
      <c r="G1080" s="206"/>
      <c r="H1080" s="214"/>
      <c r="I1080" s="501"/>
      <c r="J1080" s="715"/>
      <c r="K1080" s="552">
        <f t="shared" si="65"/>
        <v>0</v>
      </c>
      <c r="L1080" s="217"/>
      <c r="M1080" s="211">
        <f t="shared" si="64"/>
        <v>-46136</v>
      </c>
      <c r="N1080" s="683">
        <f t="shared" si="66"/>
        <v>7</v>
      </c>
      <c r="O1080" s="212"/>
      <c r="P1080" s="544"/>
      <c r="Q1080" s="561">
        <f t="shared" si="67"/>
        <v>0</v>
      </c>
      <c r="R1080" s="223"/>
      <c r="S1080" s="223"/>
      <c r="T1080" s="223"/>
      <c r="U1080" s="223"/>
      <c r="V1080" s="223"/>
    </row>
    <row r="1081" spans="1:22" s="263" customFormat="1" ht="15.75" customHeight="1">
      <c r="A1081" s="468" t="s">
        <v>348</v>
      </c>
      <c r="B1081" s="204" t="s">
        <v>184</v>
      </c>
      <c r="C1081" s="527"/>
      <c r="D1081" s="267"/>
      <c r="E1081" s="706"/>
      <c r="F1081" s="697"/>
      <c r="G1081" s="206"/>
      <c r="H1081" s="214"/>
      <c r="I1081" s="501"/>
      <c r="J1081" s="715"/>
      <c r="K1081" s="552">
        <f t="shared" si="65"/>
        <v>0</v>
      </c>
      <c r="L1081" s="217"/>
      <c r="M1081" s="211">
        <f t="shared" si="64"/>
        <v>-46136</v>
      </c>
      <c r="N1081" s="683">
        <f t="shared" si="66"/>
        <v>7</v>
      </c>
      <c r="O1081" s="212"/>
      <c r="P1081" s="544"/>
      <c r="Q1081" s="561">
        <f t="shared" si="67"/>
        <v>0</v>
      </c>
      <c r="R1081" s="223"/>
      <c r="S1081" s="223"/>
      <c r="T1081" s="223"/>
      <c r="U1081" s="223"/>
      <c r="V1081" s="223"/>
    </row>
    <row r="1082" spans="1:22" s="263" customFormat="1" ht="15.75" customHeight="1">
      <c r="A1082" s="468" t="s">
        <v>348</v>
      </c>
      <c r="B1082" s="204" t="s">
        <v>184</v>
      </c>
      <c r="C1082" s="527"/>
      <c r="D1082" s="267"/>
      <c r="E1082" s="706"/>
      <c r="F1082" s="697"/>
      <c r="G1082" s="206"/>
      <c r="H1082" s="214"/>
      <c r="I1082" s="501"/>
      <c r="J1082" s="715"/>
      <c r="K1082" s="552">
        <f t="shared" si="65"/>
        <v>0</v>
      </c>
      <c r="L1082" s="217"/>
      <c r="M1082" s="211">
        <f t="shared" si="64"/>
        <v>-46136</v>
      </c>
      <c r="N1082" s="683">
        <f t="shared" si="66"/>
        <v>7</v>
      </c>
      <c r="O1082" s="212"/>
      <c r="P1082" s="544"/>
      <c r="Q1082" s="561">
        <f t="shared" si="67"/>
        <v>0</v>
      </c>
      <c r="R1082" s="223"/>
      <c r="S1082" s="223"/>
      <c r="T1082" s="223"/>
      <c r="U1082" s="223"/>
      <c r="V1082" s="223"/>
    </row>
    <row r="1083" spans="1:22" s="263" customFormat="1" ht="15.75" customHeight="1">
      <c r="A1083" s="468" t="s">
        <v>348</v>
      </c>
      <c r="B1083" s="204" t="s">
        <v>184</v>
      </c>
      <c r="C1083" s="527"/>
      <c r="D1083" s="267"/>
      <c r="E1083" s="706"/>
      <c r="F1083" s="697"/>
      <c r="G1083" s="206"/>
      <c r="H1083" s="214"/>
      <c r="I1083" s="501"/>
      <c r="J1083" s="715"/>
      <c r="K1083" s="552">
        <f t="shared" si="65"/>
        <v>0</v>
      </c>
      <c r="L1083" s="217"/>
      <c r="M1083" s="211">
        <f t="shared" si="64"/>
        <v>-46136</v>
      </c>
      <c r="N1083" s="683">
        <f t="shared" si="66"/>
        <v>7</v>
      </c>
      <c r="O1083" s="212"/>
      <c r="P1083" s="544"/>
      <c r="Q1083" s="561">
        <f t="shared" si="67"/>
        <v>0</v>
      </c>
      <c r="R1083" s="223"/>
      <c r="S1083" s="223"/>
      <c r="T1083" s="223"/>
      <c r="U1083" s="223"/>
      <c r="V1083" s="223"/>
    </row>
    <row r="1084" spans="1:22" s="263" customFormat="1" ht="15.75" customHeight="1">
      <c r="A1084" s="468" t="s">
        <v>348</v>
      </c>
      <c r="B1084" s="204" t="s">
        <v>184</v>
      </c>
      <c r="C1084" s="527"/>
      <c r="D1084" s="267"/>
      <c r="E1084" s="706"/>
      <c r="F1084" s="697"/>
      <c r="G1084" s="206"/>
      <c r="H1084" s="214"/>
      <c r="I1084" s="501"/>
      <c r="J1084" s="715"/>
      <c r="K1084" s="552">
        <f t="shared" si="65"/>
        <v>0</v>
      </c>
      <c r="L1084" s="217"/>
      <c r="M1084" s="211">
        <f t="shared" si="64"/>
        <v>-46136</v>
      </c>
      <c r="N1084" s="683">
        <f t="shared" si="66"/>
        <v>7</v>
      </c>
      <c r="O1084" s="212"/>
      <c r="P1084" s="544"/>
      <c r="Q1084" s="561">
        <f t="shared" si="67"/>
        <v>0</v>
      </c>
      <c r="R1084" s="223"/>
      <c r="S1084" s="223"/>
      <c r="T1084" s="223"/>
      <c r="U1084" s="223"/>
      <c r="V1084" s="223"/>
    </row>
    <row r="1085" spans="1:22" s="263" customFormat="1" ht="15.75" customHeight="1">
      <c r="A1085" s="468" t="s">
        <v>348</v>
      </c>
      <c r="B1085" s="204" t="s">
        <v>184</v>
      </c>
      <c r="C1085" s="527"/>
      <c r="D1085" s="267"/>
      <c r="E1085" s="706"/>
      <c r="F1085" s="697"/>
      <c r="G1085" s="206"/>
      <c r="H1085" s="214"/>
      <c r="I1085" s="500"/>
      <c r="J1085" s="715"/>
      <c r="K1085" s="552">
        <f t="shared" si="65"/>
        <v>0</v>
      </c>
      <c r="L1085" s="217"/>
      <c r="M1085" s="211">
        <f t="shared" si="64"/>
        <v>-46136</v>
      </c>
      <c r="N1085" s="683">
        <f t="shared" si="66"/>
        <v>7</v>
      </c>
      <c r="O1085" s="212"/>
      <c r="P1085" s="544"/>
      <c r="Q1085" s="561">
        <f t="shared" si="67"/>
        <v>0</v>
      </c>
      <c r="R1085" s="223"/>
      <c r="S1085" s="223"/>
      <c r="T1085" s="223"/>
      <c r="U1085" s="223"/>
      <c r="V1085" s="223"/>
    </row>
    <row r="1086" spans="1:22" s="263" customFormat="1" ht="15.75" customHeight="1">
      <c r="A1086" s="468" t="s">
        <v>348</v>
      </c>
      <c r="B1086" s="204" t="s">
        <v>184</v>
      </c>
      <c r="C1086" s="527"/>
      <c r="D1086" s="267"/>
      <c r="E1086" s="706"/>
      <c r="F1086" s="697"/>
      <c r="G1086" s="206"/>
      <c r="H1086" s="214"/>
      <c r="I1086" s="500"/>
      <c r="J1086" s="715"/>
      <c r="K1086" s="552">
        <f t="shared" si="65"/>
        <v>0</v>
      </c>
      <c r="L1086" s="217"/>
      <c r="M1086" s="211">
        <f t="shared" si="64"/>
        <v>-46136</v>
      </c>
      <c r="N1086" s="683">
        <f t="shared" si="66"/>
        <v>7</v>
      </c>
      <c r="O1086" s="212"/>
      <c r="P1086" s="544"/>
      <c r="Q1086" s="561">
        <f t="shared" si="67"/>
        <v>0</v>
      </c>
      <c r="R1086" s="223"/>
      <c r="S1086" s="223"/>
      <c r="T1086" s="223"/>
      <c r="U1086" s="223"/>
      <c r="V1086" s="223"/>
    </row>
    <row r="1087" spans="1:22" s="263" customFormat="1" ht="15.75" customHeight="1">
      <c r="A1087" s="468" t="s">
        <v>348</v>
      </c>
      <c r="B1087" s="204" t="s">
        <v>184</v>
      </c>
      <c r="C1087" s="527"/>
      <c r="D1087" s="267"/>
      <c r="E1087" s="706"/>
      <c r="F1087" s="697"/>
      <c r="G1087" s="206"/>
      <c r="H1087" s="214"/>
      <c r="I1087" s="500"/>
      <c r="J1087" s="715"/>
      <c r="K1087" s="552">
        <f t="shared" si="65"/>
        <v>0</v>
      </c>
      <c r="L1087" s="217"/>
      <c r="M1087" s="211">
        <f t="shared" si="64"/>
        <v>-46136</v>
      </c>
      <c r="N1087" s="683">
        <f t="shared" si="66"/>
        <v>7</v>
      </c>
      <c r="O1087" s="212"/>
      <c r="P1087" s="544"/>
      <c r="Q1087" s="561">
        <f t="shared" si="67"/>
        <v>0</v>
      </c>
      <c r="R1087" s="223"/>
      <c r="S1087" s="223"/>
      <c r="T1087" s="223"/>
      <c r="U1087" s="223"/>
      <c r="V1087" s="223"/>
    </row>
    <row r="1088" spans="1:22" s="263" customFormat="1" ht="15.75" customHeight="1">
      <c r="A1088" s="468" t="s">
        <v>348</v>
      </c>
      <c r="B1088" s="204" t="s">
        <v>184</v>
      </c>
      <c r="C1088" s="527"/>
      <c r="D1088" s="267"/>
      <c r="E1088" s="706"/>
      <c r="F1088" s="697"/>
      <c r="G1088" s="206"/>
      <c r="H1088" s="214"/>
      <c r="I1088" s="500"/>
      <c r="J1088" s="715"/>
      <c r="K1088" s="552">
        <f t="shared" si="65"/>
        <v>0</v>
      </c>
      <c r="L1088" s="217"/>
      <c r="M1088" s="211">
        <f t="shared" si="64"/>
        <v>-46136</v>
      </c>
      <c r="N1088" s="683">
        <f t="shared" si="66"/>
        <v>7</v>
      </c>
      <c r="O1088" s="212"/>
      <c r="P1088" s="544"/>
      <c r="Q1088" s="561">
        <f t="shared" si="67"/>
        <v>0</v>
      </c>
      <c r="R1088" s="223"/>
      <c r="S1088" s="223"/>
      <c r="T1088" s="223"/>
      <c r="U1088" s="223"/>
      <c r="V1088" s="223"/>
    </row>
    <row r="1089" spans="1:22" s="263" customFormat="1" ht="15.75" customHeight="1">
      <c r="A1089" s="468" t="s">
        <v>348</v>
      </c>
      <c r="B1089" s="204" t="s">
        <v>184</v>
      </c>
      <c r="C1089" s="527"/>
      <c r="D1089" s="267"/>
      <c r="E1089" s="706"/>
      <c r="F1089" s="697"/>
      <c r="G1089" s="206"/>
      <c r="H1089" s="214"/>
      <c r="I1089" s="500"/>
      <c r="J1089" s="715"/>
      <c r="K1089" s="552">
        <f t="shared" si="65"/>
        <v>0</v>
      </c>
      <c r="L1089" s="217"/>
      <c r="M1089" s="211">
        <f t="shared" si="64"/>
        <v>-46136</v>
      </c>
      <c r="N1089" s="683">
        <f t="shared" si="66"/>
        <v>7</v>
      </c>
      <c r="O1089" s="212"/>
      <c r="P1089" s="544"/>
      <c r="Q1089" s="561">
        <f t="shared" si="67"/>
        <v>0</v>
      </c>
      <c r="R1089" s="223"/>
      <c r="S1089" s="223"/>
      <c r="T1089" s="223"/>
      <c r="U1089" s="223"/>
      <c r="V1089" s="223"/>
    </row>
    <row r="1090" spans="1:22" s="263" customFormat="1" ht="15.75" customHeight="1">
      <c r="A1090" s="468" t="s">
        <v>348</v>
      </c>
      <c r="B1090" s="204" t="s">
        <v>184</v>
      </c>
      <c r="C1090" s="527"/>
      <c r="D1090" s="267"/>
      <c r="E1090" s="706"/>
      <c r="F1090" s="697"/>
      <c r="G1090" s="206"/>
      <c r="H1090" s="214"/>
      <c r="I1090" s="500"/>
      <c r="J1090" s="715"/>
      <c r="K1090" s="552">
        <f t="shared" si="65"/>
        <v>0</v>
      </c>
      <c r="L1090" s="217"/>
      <c r="M1090" s="211">
        <f t="shared" si="64"/>
        <v>-46136</v>
      </c>
      <c r="N1090" s="683">
        <f t="shared" si="66"/>
        <v>7</v>
      </c>
      <c r="O1090" s="212"/>
      <c r="P1090" s="544"/>
      <c r="Q1090" s="561">
        <f t="shared" si="67"/>
        <v>0</v>
      </c>
      <c r="R1090" s="223"/>
      <c r="S1090" s="223"/>
      <c r="T1090" s="223"/>
      <c r="U1090" s="223"/>
      <c r="V1090" s="223"/>
    </row>
    <row r="1091" spans="1:22" s="263" customFormat="1" ht="15.75" customHeight="1">
      <c r="A1091" s="468" t="s">
        <v>348</v>
      </c>
      <c r="B1091" s="204" t="s">
        <v>184</v>
      </c>
      <c r="C1091" s="527"/>
      <c r="D1091" s="267"/>
      <c r="E1091" s="706"/>
      <c r="F1091" s="697"/>
      <c r="G1091" s="206"/>
      <c r="H1091" s="214"/>
      <c r="I1091" s="500"/>
      <c r="J1091" s="715"/>
      <c r="K1091" s="552">
        <f t="shared" si="65"/>
        <v>0</v>
      </c>
      <c r="L1091" s="217"/>
      <c r="M1091" s="211">
        <f t="shared" si="64"/>
        <v>-46136</v>
      </c>
      <c r="N1091" s="683">
        <f t="shared" si="66"/>
        <v>7</v>
      </c>
      <c r="O1091" s="212"/>
      <c r="P1091" s="544"/>
      <c r="Q1091" s="561">
        <f t="shared" si="67"/>
        <v>0</v>
      </c>
      <c r="R1091" s="223"/>
      <c r="S1091" s="223"/>
      <c r="T1091" s="223"/>
      <c r="U1091" s="223"/>
      <c r="V1091" s="223"/>
    </row>
    <row r="1092" spans="1:22" s="263" customFormat="1" ht="15.75" customHeight="1">
      <c r="A1092" s="468" t="s">
        <v>348</v>
      </c>
      <c r="B1092" s="204" t="s">
        <v>184</v>
      </c>
      <c r="C1092" s="527"/>
      <c r="D1092" s="267"/>
      <c r="E1092" s="706"/>
      <c r="F1092" s="697"/>
      <c r="G1092" s="206"/>
      <c r="H1092" s="214"/>
      <c r="I1092" s="500"/>
      <c r="J1092" s="715"/>
      <c r="K1092" s="552">
        <f t="shared" si="65"/>
        <v>0</v>
      </c>
      <c r="L1092" s="217"/>
      <c r="M1092" s="211">
        <f t="shared" si="64"/>
        <v>-46136</v>
      </c>
      <c r="N1092" s="683">
        <f t="shared" si="66"/>
        <v>7</v>
      </c>
      <c r="O1092" s="212"/>
      <c r="P1092" s="544"/>
      <c r="Q1092" s="561">
        <f t="shared" si="67"/>
        <v>0</v>
      </c>
      <c r="R1092" s="223"/>
      <c r="S1092" s="223"/>
      <c r="T1092" s="223"/>
      <c r="U1092" s="223"/>
      <c r="V1092" s="223"/>
    </row>
    <row r="1093" spans="1:22" s="263" customFormat="1" ht="15.75" customHeight="1">
      <c r="A1093" s="468" t="s">
        <v>348</v>
      </c>
      <c r="B1093" s="204" t="s">
        <v>184</v>
      </c>
      <c r="C1093" s="527"/>
      <c r="D1093" s="267"/>
      <c r="E1093" s="706"/>
      <c r="F1093" s="697"/>
      <c r="G1093" s="206"/>
      <c r="H1093" s="214"/>
      <c r="I1093" s="500"/>
      <c r="J1093" s="715"/>
      <c r="K1093" s="552">
        <f t="shared" si="65"/>
        <v>0</v>
      </c>
      <c r="L1093" s="217"/>
      <c r="M1093" s="211">
        <f t="shared" si="64"/>
        <v>-46136</v>
      </c>
      <c r="N1093" s="683">
        <f t="shared" si="66"/>
        <v>7</v>
      </c>
      <c r="O1093" s="212"/>
      <c r="P1093" s="544"/>
      <c r="Q1093" s="561">
        <f t="shared" si="67"/>
        <v>0</v>
      </c>
      <c r="R1093" s="223"/>
      <c r="S1093" s="223"/>
      <c r="T1093" s="223"/>
      <c r="U1093" s="223"/>
      <c r="V1093" s="223"/>
    </row>
    <row r="1094" spans="1:22" s="263" customFormat="1" ht="15.75" customHeight="1">
      <c r="A1094" s="468" t="s">
        <v>348</v>
      </c>
      <c r="B1094" s="204" t="s">
        <v>184</v>
      </c>
      <c r="C1094" s="527"/>
      <c r="D1094" s="267"/>
      <c r="E1094" s="706"/>
      <c r="F1094" s="697"/>
      <c r="G1094" s="206"/>
      <c r="H1094" s="214"/>
      <c r="I1094" s="500"/>
      <c r="J1094" s="715"/>
      <c r="K1094" s="552">
        <f t="shared" si="65"/>
        <v>0</v>
      </c>
      <c r="L1094" s="217"/>
      <c r="M1094" s="211">
        <f t="shared" si="64"/>
        <v>-46136</v>
      </c>
      <c r="N1094" s="683">
        <f t="shared" si="66"/>
        <v>7</v>
      </c>
      <c r="O1094" s="212"/>
      <c r="P1094" s="544"/>
      <c r="Q1094" s="561">
        <f t="shared" si="67"/>
        <v>0</v>
      </c>
      <c r="R1094" s="223"/>
      <c r="S1094" s="223"/>
      <c r="T1094" s="223"/>
      <c r="U1094" s="223"/>
      <c r="V1094" s="223"/>
    </row>
    <row r="1095" spans="1:22" s="263" customFormat="1" ht="15.75" customHeight="1">
      <c r="A1095" s="468" t="s">
        <v>348</v>
      </c>
      <c r="B1095" s="204" t="s">
        <v>184</v>
      </c>
      <c r="C1095" s="527"/>
      <c r="D1095" s="267"/>
      <c r="E1095" s="706"/>
      <c r="F1095" s="697"/>
      <c r="G1095" s="206"/>
      <c r="H1095" s="214"/>
      <c r="I1095" s="500"/>
      <c r="J1095" s="715"/>
      <c r="K1095" s="552">
        <f t="shared" si="65"/>
        <v>0</v>
      </c>
      <c r="L1095" s="217"/>
      <c r="M1095" s="211">
        <f t="shared" si="64"/>
        <v>-46136</v>
      </c>
      <c r="N1095" s="683">
        <f t="shared" si="66"/>
        <v>7</v>
      </c>
      <c r="O1095" s="212"/>
      <c r="P1095" s="544"/>
      <c r="Q1095" s="561">
        <f t="shared" si="67"/>
        <v>0</v>
      </c>
      <c r="R1095" s="223"/>
      <c r="S1095" s="223"/>
      <c r="T1095" s="223"/>
      <c r="U1095" s="223"/>
      <c r="V1095" s="223"/>
    </row>
    <row r="1096" spans="1:22" s="263" customFormat="1" ht="15.75" customHeight="1">
      <c r="A1096" s="468" t="s">
        <v>348</v>
      </c>
      <c r="B1096" s="204" t="s">
        <v>184</v>
      </c>
      <c r="C1096" s="527"/>
      <c r="D1096" s="267"/>
      <c r="E1096" s="706"/>
      <c r="F1096" s="697"/>
      <c r="G1096" s="206"/>
      <c r="H1096" s="214"/>
      <c r="I1096" s="500"/>
      <c r="J1096" s="715"/>
      <c r="K1096" s="552">
        <f t="shared" si="65"/>
        <v>0</v>
      </c>
      <c r="L1096" s="217"/>
      <c r="M1096" s="211">
        <f t="shared" si="64"/>
        <v>-46136</v>
      </c>
      <c r="N1096" s="683">
        <f t="shared" si="66"/>
        <v>7</v>
      </c>
      <c r="O1096" s="212"/>
      <c r="P1096" s="544"/>
      <c r="Q1096" s="561">
        <f t="shared" si="67"/>
        <v>0</v>
      </c>
      <c r="R1096" s="223"/>
      <c r="S1096" s="223"/>
      <c r="T1096" s="223"/>
      <c r="U1096" s="223"/>
      <c r="V1096" s="223"/>
    </row>
    <row r="1097" spans="1:22" s="263" customFormat="1" ht="15.75" customHeight="1">
      <c r="A1097" s="468" t="s">
        <v>348</v>
      </c>
      <c r="B1097" s="204" t="s">
        <v>184</v>
      </c>
      <c r="C1097" s="527"/>
      <c r="D1097" s="267"/>
      <c r="E1097" s="706"/>
      <c r="F1097" s="697"/>
      <c r="G1097" s="206"/>
      <c r="H1097" s="214"/>
      <c r="I1097" s="502"/>
      <c r="J1097" s="715"/>
      <c r="K1097" s="552">
        <f t="shared" si="65"/>
        <v>0</v>
      </c>
      <c r="L1097" s="217"/>
      <c r="M1097" s="211">
        <f t="shared" ref="M1097:M1160" si="68">+L1097-$E$6</f>
        <v>-46136</v>
      </c>
      <c r="N1097" s="683">
        <f t="shared" si="66"/>
        <v>7</v>
      </c>
      <c r="O1097" s="212"/>
      <c r="P1097" s="544"/>
      <c r="Q1097" s="561">
        <f t="shared" si="67"/>
        <v>0</v>
      </c>
      <c r="R1097" s="223"/>
      <c r="S1097" s="223"/>
      <c r="T1097" s="223"/>
      <c r="U1097" s="223"/>
      <c r="V1097" s="223"/>
    </row>
    <row r="1098" spans="1:22" s="263" customFormat="1" ht="15.75" customHeight="1">
      <c r="A1098" s="468" t="s">
        <v>348</v>
      </c>
      <c r="B1098" s="204" t="s">
        <v>184</v>
      </c>
      <c r="C1098" s="527"/>
      <c r="D1098" s="267"/>
      <c r="E1098" s="706"/>
      <c r="F1098" s="697"/>
      <c r="G1098" s="206"/>
      <c r="H1098" s="214"/>
      <c r="I1098" s="500"/>
      <c r="J1098" s="715"/>
      <c r="K1098" s="552">
        <f t="shared" ref="K1098:K1161" si="69">-J1098</f>
        <v>0</v>
      </c>
      <c r="L1098" s="217"/>
      <c r="M1098" s="211">
        <f t="shared" si="68"/>
        <v>-46136</v>
      </c>
      <c r="N1098" s="683">
        <f t="shared" ref="N1098:N1161" si="70">+L1098+7</f>
        <v>7</v>
      </c>
      <c r="O1098" s="212"/>
      <c r="P1098" s="544"/>
      <c r="Q1098" s="561">
        <f t="shared" si="67"/>
        <v>0</v>
      </c>
      <c r="R1098" s="223"/>
      <c r="S1098" s="223"/>
      <c r="T1098" s="223"/>
      <c r="U1098" s="223"/>
      <c r="V1098" s="223"/>
    </row>
    <row r="1099" spans="1:22" s="263" customFormat="1" ht="15.75" customHeight="1">
      <c r="A1099" s="468" t="s">
        <v>348</v>
      </c>
      <c r="B1099" s="204" t="s">
        <v>184</v>
      </c>
      <c r="C1099" s="527"/>
      <c r="D1099" s="267"/>
      <c r="E1099" s="706"/>
      <c r="F1099" s="697"/>
      <c r="G1099" s="206"/>
      <c r="H1099" s="214"/>
      <c r="I1099" s="500"/>
      <c r="J1099" s="715"/>
      <c r="K1099" s="552">
        <f t="shared" si="69"/>
        <v>0</v>
      </c>
      <c r="L1099" s="217"/>
      <c r="M1099" s="211">
        <f t="shared" si="68"/>
        <v>-46136</v>
      </c>
      <c r="N1099" s="683">
        <f t="shared" si="70"/>
        <v>7</v>
      </c>
      <c r="O1099" s="212"/>
      <c r="P1099" s="544"/>
      <c r="Q1099" s="561">
        <f t="shared" si="67"/>
        <v>0</v>
      </c>
      <c r="R1099" s="223"/>
      <c r="S1099" s="223"/>
      <c r="T1099" s="223"/>
      <c r="U1099" s="223"/>
      <c r="V1099" s="223"/>
    </row>
    <row r="1100" spans="1:22" s="263" customFormat="1" ht="15.75" customHeight="1">
      <c r="A1100" s="468" t="s">
        <v>348</v>
      </c>
      <c r="B1100" s="204" t="s">
        <v>184</v>
      </c>
      <c r="C1100" s="527"/>
      <c r="D1100" s="267"/>
      <c r="E1100" s="706"/>
      <c r="F1100" s="697"/>
      <c r="G1100" s="206"/>
      <c r="H1100" s="214"/>
      <c r="I1100" s="500"/>
      <c r="J1100" s="715"/>
      <c r="K1100" s="552">
        <f t="shared" si="69"/>
        <v>0</v>
      </c>
      <c r="L1100" s="217"/>
      <c r="M1100" s="211">
        <f t="shared" si="68"/>
        <v>-46136</v>
      </c>
      <c r="N1100" s="683">
        <f t="shared" si="70"/>
        <v>7</v>
      </c>
      <c r="O1100" s="212"/>
      <c r="P1100" s="544"/>
      <c r="Q1100" s="561">
        <f t="shared" si="67"/>
        <v>0</v>
      </c>
      <c r="R1100" s="223"/>
      <c r="S1100" s="223"/>
      <c r="T1100" s="223"/>
      <c r="U1100" s="223"/>
      <c r="V1100" s="223"/>
    </row>
    <row r="1101" spans="1:22" s="263" customFormat="1" ht="15.75" customHeight="1">
      <c r="A1101" s="468" t="s">
        <v>348</v>
      </c>
      <c r="B1101" s="204" t="s">
        <v>184</v>
      </c>
      <c r="C1101" s="527"/>
      <c r="D1101" s="267"/>
      <c r="E1101" s="706"/>
      <c r="F1101" s="697"/>
      <c r="G1101" s="206"/>
      <c r="H1101" s="214"/>
      <c r="I1101" s="500"/>
      <c r="J1101" s="715"/>
      <c r="K1101" s="552">
        <f t="shared" si="69"/>
        <v>0</v>
      </c>
      <c r="L1101" s="217"/>
      <c r="M1101" s="211">
        <f t="shared" si="68"/>
        <v>-46136</v>
      </c>
      <c r="N1101" s="683">
        <f t="shared" si="70"/>
        <v>7</v>
      </c>
      <c r="O1101" s="212"/>
      <c r="P1101" s="544"/>
      <c r="Q1101" s="561">
        <f t="shared" si="67"/>
        <v>0</v>
      </c>
      <c r="R1101" s="223"/>
      <c r="S1101" s="223"/>
      <c r="T1101" s="223"/>
      <c r="U1101" s="223"/>
      <c r="V1101" s="223"/>
    </row>
    <row r="1102" spans="1:22" ht="15.75" customHeight="1">
      <c r="A1102" s="468" t="s">
        <v>348</v>
      </c>
      <c r="B1102" s="204" t="s">
        <v>184</v>
      </c>
      <c r="C1102" s="527"/>
      <c r="D1102" s="267"/>
      <c r="E1102" s="706"/>
      <c r="F1102" s="697"/>
      <c r="G1102" s="206"/>
      <c r="H1102" s="214"/>
      <c r="I1102" s="500"/>
      <c r="J1102" s="715"/>
      <c r="K1102" s="552">
        <f t="shared" si="69"/>
        <v>0</v>
      </c>
      <c r="L1102" s="217"/>
      <c r="M1102" s="211">
        <f t="shared" si="68"/>
        <v>-46136</v>
      </c>
      <c r="N1102" s="683">
        <f t="shared" si="70"/>
        <v>7</v>
      </c>
      <c r="O1102" s="212"/>
      <c r="P1102" s="544"/>
      <c r="Q1102" s="561">
        <f t="shared" si="67"/>
        <v>0</v>
      </c>
      <c r="R1102" s="58"/>
      <c r="S1102" s="58"/>
      <c r="T1102" s="58"/>
      <c r="U1102" s="58"/>
      <c r="V1102" s="58"/>
    </row>
    <row r="1103" spans="1:22" s="265" customFormat="1" ht="15.75" customHeight="1">
      <c r="A1103" s="468" t="s">
        <v>348</v>
      </c>
      <c r="B1103" s="204" t="s">
        <v>184</v>
      </c>
      <c r="C1103" s="527"/>
      <c r="D1103" s="267"/>
      <c r="E1103" s="706"/>
      <c r="F1103" s="697"/>
      <c r="G1103" s="206"/>
      <c r="H1103" s="214"/>
      <c r="I1103" s="502"/>
      <c r="J1103" s="715"/>
      <c r="K1103" s="552">
        <f t="shared" si="69"/>
        <v>0</v>
      </c>
      <c r="L1103" s="217"/>
      <c r="M1103" s="211">
        <f t="shared" si="68"/>
        <v>-46136</v>
      </c>
      <c r="N1103" s="683">
        <f t="shared" si="70"/>
        <v>7</v>
      </c>
      <c r="O1103" s="212"/>
      <c r="P1103" s="544"/>
      <c r="Q1103" s="561">
        <f t="shared" si="67"/>
        <v>0</v>
      </c>
      <c r="R1103" s="223"/>
      <c r="S1103" s="223"/>
      <c r="T1103" s="223"/>
      <c r="U1103" s="223"/>
      <c r="V1103" s="223"/>
    </row>
    <row r="1104" spans="1:22" s="265" customFormat="1" ht="15.75" customHeight="1">
      <c r="A1104" s="468" t="s">
        <v>348</v>
      </c>
      <c r="B1104" s="204" t="s">
        <v>184</v>
      </c>
      <c r="C1104" s="527"/>
      <c r="D1104" s="267"/>
      <c r="E1104" s="706"/>
      <c r="F1104" s="697"/>
      <c r="G1104" s="206"/>
      <c r="H1104" s="214"/>
      <c r="I1104" s="500"/>
      <c r="J1104" s="715"/>
      <c r="K1104" s="552">
        <f t="shared" si="69"/>
        <v>0</v>
      </c>
      <c r="L1104" s="217"/>
      <c r="M1104" s="211">
        <f t="shared" si="68"/>
        <v>-46136</v>
      </c>
      <c r="N1104" s="683">
        <f t="shared" si="70"/>
        <v>7</v>
      </c>
      <c r="O1104" s="212"/>
      <c r="P1104" s="544"/>
      <c r="Q1104" s="561">
        <f t="shared" si="67"/>
        <v>0</v>
      </c>
      <c r="R1104" s="223"/>
      <c r="S1104" s="223"/>
      <c r="T1104" s="223"/>
      <c r="U1104" s="223"/>
      <c r="V1104" s="223"/>
    </row>
    <row r="1105" spans="1:22" s="265" customFormat="1" ht="15.75" customHeight="1">
      <c r="A1105" s="468" t="s">
        <v>348</v>
      </c>
      <c r="B1105" s="204" t="s">
        <v>184</v>
      </c>
      <c r="C1105" s="527"/>
      <c r="D1105" s="267"/>
      <c r="E1105" s="706"/>
      <c r="F1105" s="697"/>
      <c r="G1105" s="206"/>
      <c r="H1105" s="214"/>
      <c r="I1105" s="500"/>
      <c r="J1105" s="715"/>
      <c r="K1105" s="552">
        <f t="shared" si="69"/>
        <v>0</v>
      </c>
      <c r="L1105" s="217"/>
      <c r="M1105" s="211">
        <f t="shared" si="68"/>
        <v>-46136</v>
      </c>
      <c r="N1105" s="683">
        <f t="shared" si="70"/>
        <v>7</v>
      </c>
      <c r="O1105" s="212"/>
      <c r="P1105" s="544"/>
      <c r="Q1105" s="561">
        <f t="shared" si="67"/>
        <v>0</v>
      </c>
      <c r="R1105" s="223"/>
      <c r="S1105" s="223"/>
      <c r="T1105" s="223"/>
      <c r="U1105" s="223"/>
      <c r="V1105" s="223"/>
    </row>
    <row r="1106" spans="1:22" s="265" customFormat="1" ht="15.75" customHeight="1">
      <c r="A1106" s="468" t="s">
        <v>348</v>
      </c>
      <c r="B1106" s="204" t="s">
        <v>184</v>
      </c>
      <c r="C1106" s="527"/>
      <c r="D1106" s="267"/>
      <c r="E1106" s="706"/>
      <c r="F1106" s="697"/>
      <c r="G1106" s="206"/>
      <c r="H1106" s="214"/>
      <c r="I1106" s="502"/>
      <c r="J1106" s="715"/>
      <c r="K1106" s="552">
        <f t="shared" si="69"/>
        <v>0</v>
      </c>
      <c r="L1106" s="217"/>
      <c r="M1106" s="211">
        <f t="shared" si="68"/>
        <v>-46136</v>
      </c>
      <c r="N1106" s="683">
        <f t="shared" si="70"/>
        <v>7</v>
      </c>
      <c r="O1106" s="212"/>
      <c r="P1106" s="544"/>
      <c r="Q1106" s="561">
        <f t="shared" si="67"/>
        <v>0</v>
      </c>
      <c r="R1106" s="223"/>
      <c r="S1106" s="223"/>
      <c r="T1106" s="223"/>
      <c r="U1106" s="223"/>
      <c r="V1106" s="223"/>
    </row>
    <row r="1107" spans="1:22" s="265" customFormat="1" ht="15.75" customHeight="1">
      <c r="A1107" s="468" t="s">
        <v>348</v>
      </c>
      <c r="B1107" s="204" t="s">
        <v>184</v>
      </c>
      <c r="C1107" s="527"/>
      <c r="D1107" s="267"/>
      <c r="E1107" s="706"/>
      <c r="F1107" s="697"/>
      <c r="G1107" s="206"/>
      <c r="H1107" s="214"/>
      <c r="I1107" s="500"/>
      <c r="J1107" s="715"/>
      <c r="K1107" s="552">
        <f t="shared" si="69"/>
        <v>0</v>
      </c>
      <c r="L1107" s="217"/>
      <c r="M1107" s="211">
        <f t="shared" si="68"/>
        <v>-46136</v>
      </c>
      <c r="N1107" s="683">
        <f t="shared" si="70"/>
        <v>7</v>
      </c>
      <c r="O1107" s="212"/>
      <c r="P1107" s="544"/>
      <c r="Q1107" s="561">
        <f t="shared" si="67"/>
        <v>0</v>
      </c>
      <c r="R1107" s="223"/>
      <c r="S1107" s="223"/>
      <c r="T1107" s="223"/>
      <c r="U1107" s="223"/>
      <c r="V1107" s="223"/>
    </row>
    <row r="1108" spans="1:22" s="265" customFormat="1" ht="15.75" customHeight="1">
      <c r="A1108" s="468" t="s">
        <v>348</v>
      </c>
      <c r="B1108" s="204" t="s">
        <v>184</v>
      </c>
      <c r="C1108" s="527"/>
      <c r="D1108" s="267"/>
      <c r="E1108" s="706"/>
      <c r="F1108" s="697"/>
      <c r="G1108" s="206"/>
      <c r="H1108" s="214"/>
      <c r="I1108" s="500"/>
      <c r="J1108" s="715"/>
      <c r="K1108" s="552">
        <f t="shared" si="69"/>
        <v>0</v>
      </c>
      <c r="L1108" s="217"/>
      <c r="M1108" s="211">
        <f t="shared" si="68"/>
        <v>-46136</v>
      </c>
      <c r="N1108" s="683">
        <f t="shared" si="70"/>
        <v>7</v>
      </c>
      <c r="O1108" s="212"/>
      <c r="P1108" s="544"/>
      <c r="Q1108" s="561">
        <f t="shared" si="67"/>
        <v>0</v>
      </c>
      <c r="R1108" s="223"/>
      <c r="S1108" s="223"/>
      <c r="T1108" s="223"/>
      <c r="U1108" s="223"/>
      <c r="V1108" s="223"/>
    </row>
    <row r="1109" spans="1:22" s="265" customFormat="1" ht="15.75" customHeight="1">
      <c r="A1109" s="468" t="s">
        <v>348</v>
      </c>
      <c r="B1109" s="204" t="s">
        <v>184</v>
      </c>
      <c r="C1109" s="527"/>
      <c r="D1109" s="267"/>
      <c r="E1109" s="706"/>
      <c r="F1109" s="697"/>
      <c r="G1109" s="206"/>
      <c r="H1109" s="214"/>
      <c r="I1109" s="500"/>
      <c r="J1109" s="715"/>
      <c r="K1109" s="552">
        <f t="shared" si="69"/>
        <v>0</v>
      </c>
      <c r="L1109" s="217"/>
      <c r="M1109" s="211">
        <f t="shared" si="68"/>
        <v>-46136</v>
      </c>
      <c r="N1109" s="683">
        <f t="shared" si="70"/>
        <v>7</v>
      </c>
      <c r="O1109" s="212"/>
      <c r="P1109" s="544"/>
      <c r="Q1109" s="561">
        <f t="shared" si="67"/>
        <v>0</v>
      </c>
      <c r="R1109" s="223"/>
      <c r="S1109" s="223"/>
      <c r="T1109" s="223"/>
      <c r="U1109" s="223"/>
      <c r="V1109" s="223"/>
    </row>
    <row r="1110" spans="1:22" s="265" customFormat="1" ht="15.75" customHeight="1">
      <c r="A1110" s="468" t="s">
        <v>348</v>
      </c>
      <c r="B1110" s="204" t="s">
        <v>184</v>
      </c>
      <c r="C1110" s="527"/>
      <c r="D1110" s="267"/>
      <c r="E1110" s="706"/>
      <c r="F1110" s="697"/>
      <c r="G1110" s="206"/>
      <c r="H1110" s="214"/>
      <c r="I1110" s="500"/>
      <c r="J1110" s="715"/>
      <c r="K1110" s="552">
        <f t="shared" si="69"/>
        <v>0</v>
      </c>
      <c r="L1110" s="217"/>
      <c r="M1110" s="211">
        <f t="shared" si="68"/>
        <v>-46136</v>
      </c>
      <c r="N1110" s="683">
        <f t="shared" si="70"/>
        <v>7</v>
      </c>
      <c r="O1110" s="212"/>
      <c r="P1110" s="544"/>
      <c r="Q1110" s="561">
        <f t="shared" si="67"/>
        <v>0</v>
      </c>
      <c r="R1110" s="223"/>
      <c r="S1110" s="223"/>
      <c r="T1110" s="223"/>
      <c r="U1110" s="223"/>
      <c r="V1110" s="223"/>
    </row>
    <row r="1111" spans="1:22" s="265" customFormat="1" ht="15.75" customHeight="1">
      <c r="A1111" s="468" t="s">
        <v>348</v>
      </c>
      <c r="B1111" s="204" t="s">
        <v>184</v>
      </c>
      <c r="C1111" s="527"/>
      <c r="D1111" s="267"/>
      <c r="E1111" s="706"/>
      <c r="F1111" s="697"/>
      <c r="G1111" s="206"/>
      <c r="H1111" s="214"/>
      <c r="I1111" s="500"/>
      <c r="J1111" s="715"/>
      <c r="K1111" s="552">
        <f t="shared" si="69"/>
        <v>0</v>
      </c>
      <c r="L1111" s="217"/>
      <c r="M1111" s="211">
        <f t="shared" si="68"/>
        <v>-46136</v>
      </c>
      <c r="N1111" s="683">
        <f t="shared" si="70"/>
        <v>7</v>
      </c>
      <c r="O1111" s="212"/>
      <c r="P1111" s="544"/>
      <c r="Q1111" s="561">
        <f t="shared" si="67"/>
        <v>0</v>
      </c>
      <c r="R1111" s="223"/>
      <c r="S1111" s="223"/>
      <c r="T1111" s="223"/>
      <c r="U1111" s="223"/>
      <c r="V1111" s="223"/>
    </row>
    <row r="1112" spans="1:22" s="265" customFormat="1" ht="15.75" customHeight="1">
      <c r="A1112" s="468" t="s">
        <v>348</v>
      </c>
      <c r="B1112" s="204" t="s">
        <v>184</v>
      </c>
      <c r="C1112" s="527"/>
      <c r="D1112" s="267"/>
      <c r="E1112" s="706"/>
      <c r="F1112" s="697"/>
      <c r="G1112" s="206"/>
      <c r="H1112" s="214"/>
      <c r="I1112" s="500"/>
      <c r="J1112" s="715"/>
      <c r="K1112" s="552">
        <f t="shared" si="69"/>
        <v>0</v>
      </c>
      <c r="L1112" s="217"/>
      <c r="M1112" s="211">
        <f t="shared" si="68"/>
        <v>-46136</v>
      </c>
      <c r="N1112" s="683">
        <f t="shared" si="70"/>
        <v>7</v>
      </c>
      <c r="O1112" s="212"/>
      <c r="P1112" s="544"/>
      <c r="Q1112" s="561">
        <f t="shared" si="67"/>
        <v>0</v>
      </c>
      <c r="R1112" s="223"/>
      <c r="S1112" s="223"/>
      <c r="T1112" s="223"/>
      <c r="U1112" s="223"/>
      <c r="V1112" s="223"/>
    </row>
    <row r="1113" spans="1:22" s="265" customFormat="1" ht="15.75" customHeight="1">
      <c r="A1113" s="468" t="s">
        <v>348</v>
      </c>
      <c r="B1113" s="204" t="s">
        <v>184</v>
      </c>
      <c r="C1113" s="527"/>
      <c r="D1113" s="267"/>
      <c r="E1113" s="706"/>
      <c r="F1113" s="697"/>
      <c r="G1113" s="206"/>
      <c r="H1113" s="214"/>
      <c r="I1113" s="500"/>
      <c r="J1113" s="715"/>
      <c r="K1113" s="552">
        <f t="shared" si="69"/>
        <v>0</v>
      </c>
      <c r="L1113" s="217"/>
      <c r="M1113" s="211">
        <f t="shared" si="68"/>
        <v>-46136</v>
      </c>
      <c r="N1113" s="683">
        <f t="shared" si="70"/>
        <v>7</v>
      </c>
      <c r="O1113" s="212"/>
      <c r="P1113" s="544"/>
      <c r="Q1113" s="561">
        <f t="shared" si="67"/>
        <v>0</v>
      </c>
      <c r="R1113" s="223"/>
      <c r="S1113" s="223"/>
      <c r="T1113" s="223"/>
      <c r="U1113" s="223"/>
      <c r="V1113" s="223"/>
    </row>
    <row r="1114" spans="1:22" s="265" customFormat="1" ht="15.75" customHeight="1">
      <c r="A1114" s="468" t="s">
        <v>348</v>
      </c>
      <c r="B1114" s="204" t="s">
        <v>184</v>
      </c>
      <c r="C1114" s="527"/>
      <c r="D1114" s="267"/>
      <c r="E1114" s="706"/>
      <c r="F1114" s="697"/>
      <c r="G1114" s="206"/>
      <c r="H1114" s="214"/>
      <c r="I1114" s="501"/>
      <c r="J1114" s="715"/>
      <c r="K1114" s="552">
        <f t="shared" si="69"/>
        <v>0</v>
      </c>
      <c r="L1114" s="217"/>
      <c r="M1114" s="211">
        <f t="shared" si="68"/>
        <v>-46136</v>
      </c>
      <c r="N1114" s="683">
        <f t="shared" si="70"/>
        <v>7</v>
      </c>
      <c r="O1114" s="212"/>
      <c r="P1114" s="544"/>
      <c r="Q1114" s="561">
        <f t="shared" si="67"/>
        <v>0</v>
      </c>
      <c r="R1114" s="223"/>
      <c r="S1114" s="223"/>
      <c r="T1114" s="223"/>
      <c r="U1114" s="223"/>
      <c r="V1114" s="223"/>
    </row>
    <row r="1115" spans="1:22" s="265" customFormat="1" ht="15.75" customHeight="1">
      <c r="A1115" s="468" t="s">
        <v>348</v>
      </c>
      <c r="B1115" s="204" t="s">
        <v>184</v>
      </c>
      <c r="C1115" s="527"/>
      <c r="D1115" s="267"/>
      <c r="E1115" s="706"/>
      <c r="F1115" s="697"/>
      <c r="G1115" s="206"/>
      <c r="H1115" s="214"/>
      <c r="I1115" s="500"/>
      <c r="J1115" s="715"/>
      <c r="K1115" s="552">
        <f t="shared" si="69"/>
        <v>0</v>
      </c>
      <c r="L1115" s="217"/>
      <c r="M1115" s="211">
        <f t="shared" si="68"/>
        <v>-46136</v>
      </c>
      <c r="N1115" s="683">
        <f t="shared" si="70"/>
        <v>7</v>
      </c>
      <c r="O1115" s="212"/>
      <c r="P1115" s="544"/>
      <c r="Q1115" s="561">
        <f t="shared" si="67"/>
        <v>0</v>
      </c>
      <c r="R1115" s="223"/>
      <c r="S1115" s="223"/>
      <c r="T1115" s="223"/>
      <c r="U1115" s="223"/>
      <c r="V1115" s="223"/>
    </row>
    <row r="1116" spans="1:22" s="265" customFormat="1" ht="15.75" customHeight="1">
      <c r="A1116" s="468" t="s">
        <v>348</v>
      </c>
      <c r="B1116" s="204" t="s">
        <v>184</v>
      </c>
      <c r="C1116" s="527"/>
      <c r="D1116" s="267"/>
      <c r="E1116" s="706"/>
      <c r="F1116" s="697"/>
      <c r="G1116" s="206"/>
      <c r="H1116" s="214"/>
      <c r="I1116" s="500"/>
      <c r="J1116" s="715"/>
      <c r="K1116" s="552">
        <f t="shared" si="69"/>
        <v>0</v>
      </c>
      <c r="L1116" s="217"/>
      <c r="M1116" s="211">
        <f t="shared" si="68"/>
        <v>-46136</v>
      </c>
      <c r="N1116" s="683">
        <f t="shared" si="70"/>
        <v>7</v>
      </c>
      <c r="O1116" s="212"/>
      <c r="P1116" s="544"/>
      <c r="Q1116" s="561">
        <f t="shared" si="67"/>
        <v>0</v>
      </c>
      <c r="R1116" s="223"/>
      <c r="S1116" s="223"/>
      <c r="T1116" s="223"/>
      <c r="U1116" s="223"/>
      <c r="V1116" s="223"/>
    </row>
    <row r="1117" spans="1:22" s="265" customFormat="1" ht="15.75" customHeight="1">
      <c r="A1117" s="468" t="s">
        <v>348</v>
      </c>
      <c r="B1117" s="204" t="s">
        <v>184</v>
      </c>
      <c r="C1117" s="527"/>
      <c r="D1117" s="267"/>
      <c r="E1117" s="706"/>
      <c r="F1117" s="697"/>
      <c r="G1117" s="206"/>
      <c r="H1117" s="214"/>
      <c r="I1117" s="500"/>
      <c r="J1117" s="715"/>
      <c r="K1117" s="552">
        <f t="shared" si="69"/>
        <v>0</v>
      </c>
      <c r="L1117" s="217"/>
      <c r="M1117" s="211">
        <f t="shared" si="68"/>
        <v>-46136</v>
      </c>
      <c r="N1117" s="683">
        <f t="shared" si="70"/>
        <v>7</v>
      </c>
      <c r="O1117" s="212"/>
      <c r="P1117" s="544"/>
      <c r="Q1117" s="561">
        <f t="shared" si="67"/>
        <v>0</v>
      </c>
      <c r="R1117" s="223"/>
      <c r="S1117" s="223"/>
      <c r="T1117" s="223"/>
      <c r="U1117" s="223"/>
      <c r="V1117" s="223"/>
    </row>
    <row r="1118" spans="1:22" s="265" customFormat="1" ht="15.75" customHeight="1">
      <c r="A1118" s="468" t="s">
        <v>348</v>
      </c>
      <c r="B1118" s="204" t="s">
        <v>184</v>
      </c>
      <c r="C1118" s="527"/>
      <c r="D1118" s="267"/>
      <c r="E1118" s="706"/>
      <c r="F1118" s="697"/>
      <c r="G1118" s="206"/>
      <c r="H1118" s="214"/>
      <c r="I1118" s="500"/>
      <c r="J1118" s="715"/>
      <c r="K1118" s="552">
        <f t="shared" si="69"/>
        <v>0</v>
      </c>
      <c r="L1118" s="217"/>
      <c r="M1118" s="211">
        <f t="shared" si="68"/>
        <v>-46136</v>
      </c>
      <c r="N1118" s="683">
        <f t="shared" si="70"/>
        <v>7</v>
      </c>
      <c r="O1118" s="212"/>
      <c r="P1118" s="544"/>
      <c r="Q1118" s="561">
        <f t="shared" si="67"/>
        <v>0</v>
      </c>
      <c r="R1118" s="223"/>
      <c r="S1118" s="223"/>
      <c r="T1118" s="223"/>
      <c r="U1118" s="223"/>
      <c r="V1118" s="223"/>
    </row>
    <row r="1119" spans="1:22" s="265" customFormat="1" ht="15.75" customHeight="1">
      <c r="A1119" s="468" t="s">
        <v>348</v>
      </c>
      <c r="B1119" s="204" t="s">
        <v>184</v>
      </c>
      <c r="C1119" s="527"/>
      <c r="D1119" s="267"/>
      <c r="E1119" s="706"/>
      <c r="F1119" s="697"/>
      <c r="G1119" s="206"/>
      <c r="H1119" s="214"/>
      <c r="I1119" s="501"/>
      <c r="J1119" s="715"/>
      <c r="K1119" s="552">
        <f t="shared" si="69"/>
        <v>0</v>
      </c>
      <c r="L1119" s="217"/>
      <c r="M1119" s="211">
        <f t="shared" si="68"/>
        <v>-46136</v>
      </c>
      <c r="N1119" s="683">
        <f t="shared" si="70"/>
        <v>7</v>
      </c>
      <c r="O1119" s="212"/>
      <c r="P1119" s="544"/>
      <c r="Q1119" s="561">
        <f t="shared" si="67"/>
        <v>0</v>
      </c>
      <c r="R1119" s="223"/>
      <c r="S1119" s="223"/>
      <c r="T1119" s="223"/>
      <c r="U1119" s="223"/>
      <c r="V1119" s="223"/>
    </row>
    <row r="1120" spans="1:22" s="265" customFormat="1" ht="15.75" customHeight="1">
      <c r="A1120" s="468" t="s">
        <v>348</v>
      </c>
      <c r="B1120" s="204" t="s">
        <v>184</v>
      </c>
      <c r="C1120" s="527"/>
      <c r="D1120" s="267"/>
      <c r="E1120" s="706"/>
      <c r="F1120" s="697"/>
      <c r="G1120" s="206"/>
      <c r="H1120" s="214"/>
      <c r="I1120" s="500"/>
      <c r="J1120" s="715"/>
      <c r="K1120" s="552">
        <f t="shared" si="69"/>
        <v>0</v>
      </c>
      <c r="L1120" s="217"/>
      <c r="M1120" s="211">
        <f t="shared" si="68"/>
        <v>-46136</v>
      </c>
      <c r="N1120" s="683">
        <f t="shared" si="70"/>
        <v>7</v>
      </c>
      <c r="O1120" s="212"/>
      <c r="P1120" s="544"/>
      <c r="Q1120" s="561">
        <f t="shared" si="67"/>
        <v>0</v>
      </c>
      <c r="R1120" s="223"/>
      <c r="S1120" s="223"/>
      <c r="T1120" s="223"/>
      <c r="U1120" s="223"/>
      <c r="V1120" s="223"/>
    </row>
    <row r="1121" spans="1:22" s="265" customFormat="1" ht="15.75" customHeight="1">
      <c r="A1121" s="468" t="s">
        <v>348</v>
      </c>
      <c r="B1121" s="204" t="s">
        <v>184</v>
      </c>
      <c r="C1121" s="527"/>
      <c r="D1121" s="267"/>
      <c r="E1121" s="706"/>
      <c r="F1121" s="697"/>
      <c r="G1121" s="206"/>
      <c r="H1121" s="214"/>
      <c r="I1121" s="500"/>
      <c r="J1121" s="715"/>
      <c r="K1121" s="552">
        <f t="shared" si="69"/>
        <v>0</v>
      </c>
      <c r="L1121" s="217"/>
      <c r="M1121" s="211">
        <f t="shared" si="68"/>
        <v>-46136</v>
      </c>
      <c r="N1121" s="683">
        <f t="shared" si="70"/>
        <v>7</v>
      </c>
      <c r="O1121" s="212"/>
      <c r="P1121" s="544"/>
      <c r="Q1121" s="561">
        <f t="shared" si="67"/>
        <v>0</v>
      </c>
      <c r="R1121" s="223"/>
      <c r="S1121" s="223"/>
      <c r="T1121" s="223"/>
      <c r="U1121" s="223"/>
      <c r="V1121" s="223"/>
    </row>
    <row r="1122" spans="1:22" s="265" customFormat="1" ht="15.75" customHeight="1">
      <c r="A1122" s="468" t="s">
        <v>348</v>
      </c>
      <c r="B1122" s="204" t="s">
        <v>184</v>
      </c>
      <c r="C1122" s="527"/>
      <c r="D1122" s="267"/>
      <c r="E1122" s="706"/>
      <c r="F1122" s="697"/>
      <c r="G1122" s="206"/>
      <c r="H1122" s="214"/>
      <c r="I1122" s="500"/>
      <c r="J1122" s="715"/>
      <c r="K1122" s="552">
        <f t="shared" si="69"/>
        <v>0</v>
      </c>
      <c r="L1122" s="217"/>
      <c r="M1122" s="211">
        <f t="shared" si="68"/>
        <v>-46136</v>
      </c>
      <c r="N1122" s="683">
        <f t="shared" si="70"/>
        <v>7</v>
      </c>
      <c r="O1122" s="212"/>
      <c r="P1122" s="544"/>
      <c r="Q1122" s="561">
        <f t="shared" si="67"/>
        <v>0</v>
      </c>
      <c r="R1122" s="223"/>
      <c r="S1122" s="223"/>
      <c r="T1122" s="223"/>
      <c r="U1122" s="223"/>
      <c r="V1122" s="223"/>
    </row>
    <row r="1123" spans="1:22" s="265" customFormat="1" ht="15.75" customHeight="1">
      <c r="A1123" s="468" t="s">
        <v>348</v>
      </c>
      <c r="B1123" s="204" t="s">
        <v>184</v>
      </c>
      <c r="C1123" s="527"/>
      <c r="D1123" s="267"/>
      <c r="E1123" s="706"/>
      <c r="F1123" s="697"/>
      <c r="G1123" s="206"/>
      <c r="H1123" s="214"/>
      <c r="I1123" s="500"/>
      <c r="J1123" s="715"/>
      <c r="K1123" s="552">
        <f t="shared" si="69"/>
        <v>0</v>
      </c>
      <c r="L1123" s="217"/>
      <c r="M1123" s="211">
        <f t="shared" si="68"/>
        <v>-46136</v>
      </c>
      <c r="N1123" s="683">
        <f t="shared" si="70"/>
        <v>7</v>
      </c>
      <c r="O1123" s="212"/>
      <c r="P1123" s="544"/>
      <c r="Q1123" s="561">
        <f t="shared" si="67"/>
        <v>0</v>
      </c>
      <c r="R1123" s="223"/>
      <c r="S1123" s="223"/>
      <c r="T1123" s="223"/>
      <c r="U1123" s="223"/>
      <c r="V1123" s="223"/>
    </row>
    <row r="1124" spans="1:22" s="265" customFormat="1" ht="15.75" customHeight="1">
      <c r="A1124" s="468" t="s">
        <v>348</v>
      </c>
      <c r="B1124" s="204" t="s">
        <v>184</v>
      </c>
      <c r="C1124" s="527"/>
      <c r="D1124" s="267"/>
      <c r="E1124" s="706"/>
      <c r="F1124" s="714"/>
      <c r="G1124" s="206"/>
      <c r="H1124" s="214"/>
      <c r="I1124" s="501"/>
      <c r="J1124" s="715"/>
      <c r="K1124" s="552">
        <f t="shared" si="69"/>
        <v>0</v>
      </c>
      <c r="L1124" s="217"/>
      <c r="M1124" s="211">
        <f t="shared" si="68"/>
        <v>-46136</v>
      </c>
      <c r="N1124" s="683">
        <f t="shared" si="70"/>
        <v>7</v>
      </c>
      <c r="O1124" s="212"/>
      <c r="P1124" s="544"/>
      <c r="Q1124" s="561">
        <f t="shared" si="67"/>
        <v>0</v>
      </c>
      <c r="R1124" s="223"/>
      <c r="S1124" s="223"/>
      <c r="T1124" s="223"/>
      <c r="U1124" s="223"/>
      <c r="V1124" s="223"/>
    </row>
    <row r="1125" spans="1:22" s="265" customFormat="1" ht="15.75" customHeight="1">
      <c r="A1125" s="468" t="s">
        <v>348</v>
      </c>
      <c r="B1125" s="204" t="s">
        <v>184</v>
      </c>
      <c r="C1125" s="527"/>
      <c r="D1125" s="267"/>
      <c r="E1125" s="706"/>
      <c r="F1125" s="714"/>
      <c r="G1125" s="206"/>
      <c r="H1125" s="214"/>
      <c r="I1125" s="500"/>
      <c r="J1125" s="715"/>
      <c r="K1125" s="552">
        <f t="shared" si="69"/>
        <v>0</v>
      </c>
      <c r="L1125" s="217"/>
      <c r="M1125" s="211">
        <f t="shared" si="68"/>
        <v>-46136</v>
      </c>
      <c r="N1125" s="683">
        <f t="shared" si="70"/>
        <v>7</v>
      </c>
      <c r="O1125" s="212"/>
      <c r="P1125" s="544"/>
      <c r="Q1125" s="561">
        <f t="shared" ref="Q1125:Q1187" si="71">+K1125+J1125</f>
        <v>0</v>
      </c>
      <c r="R1125" s="223"/>
      <c r="S1125" s="223"/>
      <c r="T1125" s="223"/>
      <c r="U1125" s="223"/>
      <c r="V1125" s="223"/>
    </row>
    <row r="1126" spans="1:22" s="265" customFormat="1" ht="15.75" customHeight="1">
      <c r="A1126" s="468" t="s">
        <v>348</v>
      </c>
      <c r="B1126" s="204" t="s">
        <v>184</v>
      </c>
      <c r="C1126" s="527"/>
      <c r="D1126" s="267"/>
      <c r="E1126" s="706"/>
      <c r="F1126" s="714"/>
      <c r="G1126" s="206"/>
      <c r="H1126" s="214"/>
      <c r="I1126" s="500"/>
      <c r="J1126" s="715"/>
      <c r="K1126" s="552">
        <f t="shared" si="69"/>
        <v>0</v>
      </c>
      <c r="L1126" s="217"/>
      <c r="M1126" s="211">
        <f t="shared" si="68"/>
        <v>-46136</v>
      </c>
      <c r="N1126" s="683">
        <f t="shared" si="70"/>
        <v>7</v>
      </c>
      <c r="O1126" s="212"/>
      <c r="P1126" s="544"/>
      <c r="Q1126" s="561">
        <f t="shared" si="71"/>
        <v>0</v>
      </c>
      <c r="R1126" s="223"/>
      <c r="S1126" s="223"/>
      <c r="T1126" s="223"/>
      <c r="U1126" s="223"/>
      <c r="V1126" s="223"/>
    </row>
    <row r="1127" spans="1:22" s="265" customFormat="1" ht="15.75" customHeight="1">
      <c r="A1127" s="468" t="s">
        <v>348</v>
      </c>
      <c r="B1127" s="204" t="s">
        <v>184</v>
      </c>
      <c r="C1127" s="527"/>
      <c r="D1127" s="267"/>
      <c r="E1127" s="706"/>
      <c r="F1127" s="714"/>
      <c r="G1127" s="206"/>
      <c r="H1127" s="214"/>
      <c r="I1127" s="500"/>
      <c r="J1127" s="715"/>
      <c r="K1127" s="552">
        <f t="shared" si="69"/>
        <v>0</v>
      </c>
      <c r="L1127" s="217"/>
      <c r="M1127" s="211">
        <f t="shared" si="68"/>
        <v>-46136</v>
      </c>
      <c r="N1127" s="683">
        <f t="shared" si="70"/>
        <v>7</v>
      </c>
      <c r="O1127" s="212"/>
      <c r="P1127" s="544"/>
      <c r="Q1127" s="561">
        <f t="shared" si="71"/>
        <v>0</v>
      </c>
      <c r="R1127" s="223"/>
      <c r="S1127" s="223"/>
      <c r="T1127" s="223"/>
      <c r="U1127" s="223"/>
      <c r="V1127" s="223"/>
    </row>
    <row r="1128" spans="1:22" s="265" customFormat="1" ht="15.75" customHeight="1">
      <c r="A1128" s="468" t="s">
        <v>348</v>
      </c>
      <c r="B1128" s="204" t="s">
        <v>184</v>
      </c>
      <c r="C1128" s="527"/>
      <c r="D1128" s="267"/>
      <c r="E1128" s="706"/>
      <c r="F1128" s="714"/>
      <c r="G1128" s="206"/>
      <c r="H1128" s="214"/>
      <c r="I1128" s="500"/>
      <c r="J1128" s="715"/>
      <c r="K1128" s="552">
        <f t="shared" si="69"/>
        <v>0</v>
      </c>
      <c r="L1128" s="217"/>
      <c r="M1128" s="211">
        <f t="shared" si="68"/>
        <v>-46136</v>
      </c>
      <c r="N1128" s="683">
        <f t="shared" si="70"/>
        <v>7</v>
      </c>
      <c r="O1128" s="212"/>
      <c r="P1128" s="544"/>
      <c r="Q1128" s="561">
        <f t="shared" si="71"/>
        <v>0</v>
      </c>
      <c r="R1128" s="223"/>
      <c r="S1128" s="223"/>
      <c r="T1128" s="223"/>
      <c r="U1128" s="223"/>
      <c r="V1128" s="223"/>
    </row>
    <row r="1129" spans="1:22" s="265" customFormat="1" ht="15.75" customHeight="1">
      <c r="A1129" s="468" t="s">
        <v>348</v>
      </c>
      <c r="B1129" s="204" t="s">
        <v>184</v>
      </c>
      <c r="C1129" s="527"/>
      <c r="D1129" s="267"/>
      <c r="E1129" s="706"/>
      <c r="F1129" s="714"/>
      <c r="G1129" s="206"/>
      <c r="H1129" s="214"/>
      <c r="I1129" s="500"/>
      <c r="J1129" s="715"/>
      <c r="K1129" s="552">
        <f t="shared" si="69"/>
        <v>0</v>
      </c>
      <c r="L1129" s="217"/>
      <c r="M1129" s="211">
        <f t="shared" si="68"/>
        <v>-46136</v>
      </c>
      <c r="N1129" s="683">
        <f t="shared" si="70"/>
        <v>7</v>
      </c>
      <c r="O1129" s="212"/>
      <c r="P1129" s="544"/>
      <c r="Q1129" s="561">
        <f t="shared" si="71"/>
        <v>0</v>
      </c>
      <c r="R1129" s="223"/>
      <c r="S1129" s="223"/>
      <c r="T1129" s="223"/>
      <c r="U1129" s="223"/>
      <c r="V1129" s="223"/>
    </row>
    <row r="1130" spans="1:22" s="265" customFormat="1" ht="15.75" customHeight="1">
      <c r="A1130" s="468" t="s">
        <v>348</v>
      </c>
      <c r="B1130" s="204" t="s">
        <v>184</v>
      </c>
      <c r="C1130" s="527"/>
      <c r="D1130" s="267"/>
      <c r="E1130" s="706"/>
      <c r="F1130" s="697"/>
      <c r="G1130" s="206"/>
      <c r="H1130" s="214"/>
      <c r="I1130" s="500"/>
      <c r="J1130" s="715"/>
      <c r="K1130" s="552">
        <f t="shared" si="69"/>
        <v>0</v>
      </c>
      <c r="L1130" s="217"/>
      <c r="M1130" s="211">
        <f t="shared" si="68"/>
        <v>-46136</v>
      </c>
      <c r="N1130" s="683">
        <f t="shared" si="70"/>
        <v>7</v>
      </c>
      <c r="O1130" s="212"/>
      <c r="P1130" s="544"/>
      <c r="Q1130" s="561">
        <f t="shared" si="71"/>
        <v>0</v>
      </c>
      <c r="R1130" s="223"/>
      <c r="S1130" s="223"/>
      <c r="T1130" s="223"/>
      <c r="U1130" s="223"/>
      <c r="V1130" s="223"/>
    </row>
    <row r="1131" spans="1:22" s="265" customFormat="1" ht="15.75" customHeight="1">
      <c r="A1131" s="468" t="s">
        <v>348</v>
      </c>
      <c r="B1131" s="204" t="s">
        <v>184</v>
      </c>
      <c r="C1131" s="527"/>
      <c r="D1131" s="267"/>
      <c r="E1131" s="706"/>
      <c r="F1131" s="697"/>
      <c r="G1131" s="206"/>
      <c r="H1131" s="214"/>
      <c r="I1131" s="500"/>
      <c r="J1131" s="715"/>
      <c r="K1131" s="552">
        <f t="shared" si="69"/>
        <v>0</v>
      </c>
      <c r="L1131" s="217"/>
      <c r="M1131" s="211">
        <f t="shared" si="68"/>
        <v>-46136</v>
      </c>
      <c r="N1131" s="683">
        <f t="shared" si="70"/>
        <v>7</v>
      </c>
      <c r="O1131" s="212"/>
      <c r="P1131" s="544"/>
      <c r="Q1131" s="561">
        <f t="shared" si="71"/>
        <v>0</v>
      </c>
      <c r="R1131" s="223"/>
      <c r="S1131" s="223"/>
      <c r="T1131" s="223"/>
      <c r="U1131" s="223"/>
      <c r="V1131" s="223"/>
    </row>
    <row r="1132" spans="1:22" s="265" customFormat="1" ht="15.75" customHeight="1">
      <c r="A1132" s="468" t="s">
        <v>348</v>
      </c>
      <c r="B1132" s="204" t="s">
        <v>184</v>
      </c>
      <c r="C1132" s="527"/>
      <c r="D1132" s="267"/>
      <c r="E1132" s="706"/>
      <c r="F1132" s="697"/>
      <c r="G1132" s="206"/>
      <c r="H1132" s="214"/>
      <c r="I1132" s="500"/>
      <c r="J1132" s="715"/>
      <c r="K1132" s="552">
        <f t="shared" si="69"/>
        <v>0</v>
      </c>
      <c r="L1132" s="217"/>
      <c r="M1132" s="211">
        <f t="shared" si="68"/>
        <v>-46136</v>
      </c>
      <c r="N1132" s="683">
        <f t="shared" si="70"/>
        <v>7</v>
      </c>
      <c r="O1132" s="212"/>
      <c r="P1132" s="544"/>
      <c r="Q1132" s="561">
        <f t="shared" si="71"/>
        <v>0</v>
      </c>
      <c r="R1132" s="223"/>
      <c r="S1132" s="223"/>
      <c r="T1132" s="223"/>
      <c r="U1132" s="223"/>
      <c r="V1132" s="223"/>
    </row>
    <row r="1133" spans="1:22" s="265" customFormat="1" ht="15.75" customHeight="1">
      <c r="A1133" s="468" t="s">
        <v>348</v>
      </c>
      <c r="B1133" s="204" t="s">
        <v>184</v>
      </c>
      <c r="C1133" s="527"/>
      <c r="D1133" s="267"/>
      <c r="E1133" s="706"/>
      <c r="F1133" s="697"/>
      <c r="G1133" s="206"/>
      <c r="H1133" s="214"/>
      <c r="I1133" s="501"/>
      <c r="J1133" s="715"/>
      <c r="K1133" s="552">
        <f t="shared" si="69"/>
        <v>0</v>
      </c>
      <c r="L1133" s="217"/>
      <c r="M1133" s="211">
        <f t="shared" si="68"/>
        <v>-46136</v>
      </c>
      <c r="N1133" s="683">
        <f t="shared" si="70"/>
        <v>7</v>
      </c>
      <c r="O1133" s="212"/>
      <c r="P1133" s="544"/>
      <c r="Q1133" s="561">
        <f t="shared" si="71"/>
        <v>0</v>
      </c>
      <c r="R1133" s="223"/>
      <c r="S1133" s="223"/>
      <c r="T1133" s="223"/>
      <c r="U1133" s="223"/>
      <c r="V1133" s="223"/>
    </row>
    <row r="1134" spans="1:22" s="265" customFormat="1" ht="15.75" customHeight="1">
      <c r="A1134" s="468" t="s">
        <v>348</v>
      </c>
      <c r="B1134" s="204" t="s">
        <v>184</v>
      </c>
      <c r="C1134" s="527"/>
      <c r="D1134" s="267"/>
      <c r="E1134" s="706"/>
      <c r="F1134" s="697"/>
      <c r="G1134" s="206"/>
      <c r="H1134" s="214"/>
      <c r="I1134" s="500"/>
      <c r="J1134" s="715"/>
      <c r="K1134" s="552">
        <f t="shared" si="69"/>
        <v>0</v>
      </c>
      <c r="L1134" s="217"/>
      <c r="M1134" s="211">
        <f t="shared" si="68"/>
        <v>-46136</v>
      </c>
      <c r="N1134" s="683">
        <f t="shared" si="70"/>
        <v>7</v>
      </c>
      <c r="O1134" s="212"/>
      <c r="P1134" s="544"/>
      <c r="Q1134" s="561">
        <f t="shared" si="71"/>
        <v>0</v>
      </c>
      <c r="R1134" s="223"/>
      <c r="S1134" s="223"/>
      <c r="T1134" s="223"/>
      <c r="U1134" s="223"/>
      <c r="V1134" s="223"/>
    </row>
    <row r="1135" spans="1:22" s="265" customFormat="1" ht="15.75" customHeight="1">
      <c r="A1135" s="468" t="s">
        <v>348</v>
      </c>
      <c r="B1135" s="204" t="s">
        <v>184</v>
      </c>
      <c r="C1135" s="527"/>
      <c r="D1135" s="267"/>
      <c r="E1135" s="706"/>
      <c r="F1135" s="697"/>
      <c r="G1135" s="206"/>
      <c r="H1135" s="214"/>
      <c r="I1135" s="500"/>
      <c r="J1135" s="715"/>
      <c r="K1135" s="552">
        <f t="shared" si="69"/>
        <v>0</v>
      </c>
      <c r="L1135" s="217"/>
      <c r="M1135" s="211">
        <f t="shared" si="68"/>
        <v>-46136</v>
      </c>
      <c r="N1135" s="683">
        <f t="shared" si="70"/>
        <v>7</v>
      </c>
      <c r="O1135" s="212"/>
      <c r="P1135" s="544"/>
      <c r="Q1135" s="561">
        <f t="shared" si="71"/>
        <v>0</v>
      </c>
      <c r="R1135" s="223"/>
      <c r="S1135" s="223"/>
      <c r="T1135" s="223"/>
      <c r="U1135" s="223"/>
      <c r="V1135" s="223"/>
    </row>
    <row r="1136" spans="1:22" s="265" customFormat="1" ht="15.75" customHeight="1">
      <c r="A1136" s="468" t="s">
        <v>348</v>
      </c>
      <c r="B1136" s="204" t="s">
        <v>184</v>
      </c>
      <c r="C1136" s="527"/>
      <c r="D1136" s="267"/>
      <c r="E1136" s="706"/>
      <c r="F1136" s="697"/>
      <c r="G1136" s="206"/>
      <c r="H1136" s="214"/>
      <c r="I1136" s="500"/>
      <c r="J1136" s="715"/>
      <c r="K1136" s="552">
        <f t="shared" si="69"/>
        <v>0</v>
      </c>
      <c r="L1136" s="217"/>
      <c r="M1136" s="211">
        <f t="shared" si="68"/>
        <v>-46136</v>
      </c>
      <c r="N1136" s="683">
        <f t="shared" si="70"/>
        <v>7</v>
      </c>
      <c r="O1136" s="212"/>
      <c r="P1136" s="544"/>
      <c r="Q1136" s="561">
        <f t="shared" si="71"/>
        <v>0</v>
      </c>
      <c r="R1136" s="223"/>
      <c r="S1136" s="223"/>
      <c r="T1136" s="223"/>
      <c r="U1136" s="223"/>
      <c r="V1136" s="223"/>
    </row>
    <row r="1137" spans="1:22" s="265" customFormat="1" ht="15.75" customHeight="1">
      <c r="A1137" s="468" t="s">
        <v>348</v>
      </c>
      <c r="B1137" s="204" t="s">
        <v>184</v>
      </c>
      <c r="C1137" s="527"/>
      <c r="D1137" s="267"/>
      <c r="E1137" s="706"/>
      <c r="F1137" s="697"/>
      <c r="G1137" s="206"/>
      <c r="H1137" s="214"/>
      <c r="I1137" s="500"/>
      <c r="J1137" s="715"/>
      <c r="K1137" s="552">
        <f t="shared" si="69"/>
        <v>0</v>
      </c>
      <c r="L1137" s="217"/>
      <c r="M1137" s="211">
        <f t="shared" si="68"/>
        <v>-46136</v>
      </c>
      <c r="N1137" s="683">
        <f t="shared" si="70"/>
        <v>7</v>
      </c>
      <c r="O1137" s="212"/>
      <c r="P1137" s="544"/>
      <c r="Q1137" s="561">
        <f t="shared" si="71"/>
        <v>0</v>
      </c>
      <c r="R1137" s="223"/>
      <c r="S1137" s="223"/>
      <c r="T1137" s="223"/>
      <c r="U1137" s="223"/>
      <c r="V1137" s="223"/>
    </row>
    <row r="1138" spans="1:22" s="265" customFormat="1" ht="15.75" customHeight="1">
      <c r="A1138" s="468" t="s">
        <v>348</v>
      </c>
      <c r="B1138" s="204" t="s">
        <v>184</v>
      </c>
      <c r="C1138" s="527"/>
      <c r="D1138" s="267"/>
      <c r="E1138" s="706"/>
      <c r="F1138" s="697"/>
      <c r="G1138" s="206"/>
      <c r="H1138" s="214"/>
      <c r="I1138" s="500"/>
      <c r="J1138" s="715"/>
      <c r="K1138" s="552">
        <f t="shared" si="69"/>
        <v>0</v>
      </c>
      <c r="L1138" s="217"/>
      <c r="M1138" s="211">
        <f t="shared" si="68"/>
        <v>-46136</v>
      </c>
      <c r="N1138" s="683">
        <f t="shared" si="70"/>
        <v>7</v>
      </c>
      <c r="O1138" s="212"/>
      <c r="P1138" s="544"/>
      <c r="Q1138" s="561">
        <f t="shared" si="71"/>
        <v>0</v>
      </c>
      <c r="R1138" s="223"/>
      <c r="S1138" s="223"/>
      <c r="T1138" s="223"/>
      <c r="U1138" s="223"/>
      <c r="V1138" s="223"/>
    </row>
    <row r="1139" spans="1:22" s="265" customFormat="1" ht="15.75" customHeight="1">
      <c r="A1139" s="468" t="s">
        <v>348</v>
      </c>
      <c r="B1139" s="204" t="s">
        <v>184</v>
      </c>
      <c r="C1139" s="527"/>
      <c r="D1139" s="267"/>
      <c r="E1139" s="706"/>
      <c r="F1139" s="697"/>
      <c r="G1139" s="206"/>
      <c r="H1139" s="214"/>
      <c r="I1139" s="500"/>
      <c r="J1139" s="715"/>
      <c r="K1139" s="552">
        <f t="shared" si="69"/>
        <v>0</v>
      </c>
      <c r="L1139" s="217"/>
      <c r="M1139" s="211">
        <f t="shared" si="68"/>
        <v>-46136</v>
      </c>
      <c r="N1139" s="683">
        <f t="shared" si="70"/>
        <v>7</v>
      </c>
      <c r="O1139" s="212"/>
      <c r="P1139" s="544"/>
      <c r="Q1139" s="561">
        <f t="shared" si="71"/>
        <v>0</v>
      </c>
      <c r="R1139" s="223"/>
      <c r="S1139" s="223"/>
      <c r="T1139" s="223"/>
      <c r="U1139" s="223"/>
      <c r="V1139" s="223"/>
    </row>
    <row r="1140" spans="1:22" s="265" customFormat="1" ht="15.75" customHeight="1">
      <c r="A1140" s="468" t="s">
        <v>348</v>
      </c>
      <c r="B1140" s="204" t="s">
        <v>184</v>
      </c>
      <c r="C1140" s="527"/>
      <c r="D1140" s="267"/>
      <c r="E1140" s="706"/>
      <c r="F1140" s="267"/>
      <c r="G1140" s="206"/>
      <c r="H1140" s="214"/>
      <c r="I1140" s="500"/>
      <c r="J1140" s="715"/>
      <c r="K1140" s="552">
        <f t="shared" si="69"/>
        <v>0</v>
      </c>
      <c r="L1140" s="217"/>
      <c r="M1140" s="211">
        <f t="shared" si="68"/>
        <v>-46136</v>
      </c>
      <c r="N1140" s="683">
        <f t="shared" si="70"/>
        <v>7</v>
      </c>
      <c r="O1140" s="212"/>
      <c r="P1140" s="544"/>
      <c r="Q1140" s="561">
        <f t="shared" si="71"/>
        <v>0</v>
      </c>
      <c r="R1140" s="223"/>
      <c r="S1140" s="223"/>
      <c r="T1140" s="223"/>
      <c r="U1140" s="223"/>
      <c r="V1140" s="223"/>
    </row>
    <row r="1141" spans="1:22" s="265" customFormat="1" ht="15.75" customHeight="1">
      <c r="A1141" s="468" t="s">
        <v>348</v>
      </c>
      <c r="B1141" s="204" t="s">
        <v>184</v>
      </c>
      <c r="C1141" s="527"/>
      <c r="D1141" s="267"/>
      <c r="E1141" s="706"/>
      <c r="F1141" s="267"/>
      <c r="G1141" s="206"/>
      <c r="H1141" s="214"/>
      <c r="I1141" s="500"/>
      <c r="J1141" s="715"/>
      <c r="K1141" s="552">
        <f t="shared" si="69"/>
        <v>0</v>
      </c>
      <c r="L1141" s="217"/>
      <c r="M1141" s="211">
        <f t="shared" si="68"/>
        <v>-46136</v>
      </c>
      <c r="N1141" s="683">
        <f t="shared" si="70"/>
        <v>7</v>
      </c>
      <c r="O1141" s="212"/>
      <c r="P1141" s="544"/>
      <c r="Q1141" s="561">
        <f t="shared" si="71"/>
        <v>0</v>
      </c>
      <c r="R1141" s="223"/>
      <c r="S1141" s="223"/>
      <c r="T1141" s="223"/>
      <c r="U1141" s="223"/>
      <c r="V1141" s="223"/>
    </row>
    <row r="1142" spans="1:22" s="265" customFormat="1" ht="15.75" customHeight="1">
      <c r="A1142" s="468" t="s">
        <v>348</v>
      </c>
      <c r="B1142" s="204" t="s">
        <v>184</v>
      </c>
      <c r="C1142" s="527"/>
      <c r="D1142" s="267"/>
      <c r="E1142" s="706"/>
      <c r="F1142" s="267"/>
      <c r="G1142" s="206"/>
      <c r="H1142" s="214"/>
      <c r="I1142" s="500"/>
      <c r="J1142" s="715"/>
      <c r="K1142" s="552">
        <f t="shared" si="69"/>
        <v>0</v>
      </c>
      <c r="L1142" s="217"/>
      <c r="M1142" s="211">
        <f t="shared" si="68"/>
        <v>-46136</v>
      </c>
      <c r="N1142" s="683">
        <f t="shared" si="70"/>
        <v>7</v>
      </c>
      <c r="O1142" s="212"/>
      <c r="P1142" s="544"/>
      <c r="Q1142" s="561">
        <f t="shared" si="71"/>
        <v>0</v>
      </c>
      <c r="R1142" s="223"/>
      <c r="S1142" s="223"/>
      <c r="T1142" s="223"/>
      <c r="U1142" s="223"/>
      <c r="V1142" s="223"/>
    </row>
    <row r="1143" spans="1:22" s="265" customFormat="1" ht="15.75" customHeight="1">
      <c r="A1143" s="468" t="s">
        <v>348</v>
      </c>
      <c r="B1143" s="204" t="s">
        <v>184</v>
      </c>
      <c r="C1143" s="527"/>
      <c r="D1143" s="267"/>
      <c r="E1143" s="706"/>
      <c r="F1143" s="267"/>
      <c r="G1143" s="206"/>
      <c r="H1143" s="214"/>
      <c r="I1143" s="500"/>
      <c r="J1143" s="715"/>
      <c r="K1143" s="552">
        <f t="shared" si="69"/>
        <v>0</v>
      </c>
      <c r="L1143" s="217"/>
      <c r="M1143" s="211">
        <f t="shared" si="68"/>
        <v>-46136</v>
      </c>
      <c r="N1143" s="683">
        <f t="shared" si="70"/>
        <v>7</v>
      </c>
      <c r="O1143" s="212"/>
      <c r="P1143" s="544"/>
      <c r="Q1143" s="561">
        <f t="shared" si="71"/>
        <v>0</v>
      </c>
      <c r="R1143" s="223"/>
      <c r="S1143" s="223"/>
      <c r="T1143" s="223"/>
      <c r="U1143" s="223"/>
      <c r="V1143" s="223"/>
    </row>
    <row r="1144" spans="1:22" ht="15.75" customHeight="1">
      <c r="A1144" s="468" t="s">
        <v>348</v>
      </c>
      <c r="B1144" s="204" t="s">
        <v>184</v>
      </c>
      <c r="C1144" s="527"/>
      <c r="D1144" s="267"/>
      <c r="E1144" s="706"/>
      <c r="F1144" s="267"/>
      <c r="G1144" s="206"/>
      <c r="H1144" s="214"/>
      <c r="I1144" s="500"/>
      <c r="J1144" s="715"/>
      <c r="K1144" s="552">
        <f t="shared" si="69"/>
        <v>0</v>
      </c>
      <c r="L1144" s="217"/>
      <c r="M1144" s="211">
        <f t="shared" si="68"/>
        <v>-46136</v>
      </c>
      <c r="N1144" s="683">
        <f t="shared" si="70"/>
        <v>7</v>
      </c>
      <c r="O1144" s="212"/>
      <c r="P1144" s="544"/>
      <c r="Q1144" s="561">
        <f t="shared" si="71"/>
        <v>0</v>
      </c>
      <c r="R1144" s="58"/>
      <c r="S1144" s="58"/>
      <c r="T1144" s="58"/>
      <c r="U1144" s="58"/>
      <c r="V1144" s="58"/>
    </row>
    <row r="1145" spans="1:22" ht="15.75" customHeight="1">
      <c r="A1145" s="468" t="s">
        <v>348</v>
      </c>
      <c r="B1145" s="204" t="s">
        <v>184</v>
      </c>
      <c r="C1145" s="527"/>
      <c r="D1145" s="267"/>
      <c r="E1145" s="706"/>
      <c r="F1145" s="267"/>
      <c r="G1145" s="206"/>
      <c r="H1145" s="268"/>
      <c r="I1145" s="500"/>
      <c r="J1145" s="715"/>
      <c r="K1145" s="552">
        <f t="shared" si="69"/>
        <v>0</v>
      </c>
      <c r="L1145" s="217"/>
      <c r="M1145" s="211">
        <f t="shared" si="68"/>
        <v>-46136</v>
      </c>
      <c r="N1145" s="683">
        <f t="shared" si="70"/>
        <v>7</v>
      </c>
      <c r="O1145" s="212"/>
      <c r="P1145" s="544"/>
      <c r="Q1145" s="561">
        <f t="shared" si="71"/>
        <v>0</v>
      </c>
      <c r="R1145" s="58"/>
      <c r="S1145" s="58"/>
      <c r="T1145" s="58"/>
      <c r="U1145" s="58"/>
      <c r="V1145" s="58"/>
    </row>
    <row r="1146" spans="1:22" ht="15.75" customHeight="1">
      <c r="A1146" s="468" t="s">
        <v>348</v>
      </c>
      <c r="B1146" s="204" t="s">
        <v>184</v>
      </c>
      <c r="C1146" s="527"/>
      <c r="D1146" s="267"/>
      <c r="E1146" s="706"/>
      <c r="F1146" s="267"/>
      <c r="G1146" s="206"/>
      <c r="H1146" s="268"/>
      <c r="I1146" s="500"/>
      <c r="J1146" s="715"/>
      <c r="K1146" s="552">
        <f t="shared" si="69"/>
        <v>0</v>
      </c>
      <c r="L1146" s="217"/>
      <c r="M1146" s="211">
        <f t="shared" si="68"/>
        <v>-46136</v>
      </c>
      <c r="N1146" s="683">
        <f t="shared" si="70"/>
        <v>7</v>
      </c>
      <c r="O1146" s="212"/>
      <c r="P1146" s="544"/>
      <c r="Q1146" s="561">
        <f t="shared" si="71"/>
        <v>0</v>
      </c>
      <c r="R1146" s="58"/>
      <c r="S1146" s="58"/>
      <c r="T1146" s="58"/>
      <c r="U1146" s="58"/>
      <c r="V1146" s="58"/>
    </row>
    <row r="1147" spans="1:22" ht="15.75" customHeight="1">
      <c r="A1147" s="468" t="s">
        <v>348</v>
      </c>
      <c r="B1147" s="204" t="s">
        <v>184</v>
      </c>
      <c r="C1147" s="527"/>
      <c r="D1147" s="267"/>
      <c r="E1147" s="706"/>
      <c r="F1147" s="267"/>
      <c r="G1147" s="206"/>
      <c r="H1147" s="268"/>
      <c r="I1147" s="500"/>
      <c r="J1147" s="715"/>
      <c r="K1147" s="552">
        <f t="shared" si="69"/>
        <v>0</v>
      </c>
      <c r="L1147" s="217"/>
      <c r="M1147" s="211">
        <f t="shared" si="68"/>
        <v>-46136</v>
      </c>
      <c r="N1147" s="683">
        <f t="shared" si="70"/>
        <v>7</v>
      </c>
      <c r="O1147" s="212"/>
      <c r="P1147" s="544"/>
      <c r="Q1147" s="561">
        <f t="shared" si="71"/>
        <v>0</v>
      </c>
      <c r="R1147" s="58"/>
      <c r="S1147" s="58"/>
      <c r="T1147" s="58"/>
      <c r="U1147" s="58"/>
      <c r="V1147" s="58"/>
    </row>
    <row r="1148" spans="1:22" ht="15.75" customHeight="1">
      <c r="A1148" s="468" t="s">
        <v>348</v>
      </c>
      <c r="B1148" s="204" t="s">
        <v>184</v>
      </c>
      <c r="C1148" s="527"/>
      <c r="D1148" s="267"/>
      <c r="E1148" s="706"/>
      <c r="F1148" s="267"/>
      <c r="G1148" s="206"/>
      <c r="H1148" s="268"/>
      <c r="I1148" s="500"/>
      <c r="J1148" s="715"/>
      <c r="K1148" s="552">
        <f t="shared" si="69"/>
        <v>0</v>
      </c>
      <c r="L1148" s="217"/>
      <c r="M1148" s="211">
        <f t="shared" si="68"/>
        <v>-46136</v>
      </c>
      <c r="N1148" s="683">
        <f t="shared" si="70"/>
        <v>7</v>
      </c>
      <c r="O1148" s="212"/>
      <c r="P1148" s="544"/>
      <c r="Q1148" s="561">
        <f t="shared" si="71"/>
        <v>0</v>
      </c>
      <c r="R1148" s="58"/>
      <c r="S1148" s="58"/>
      <c r="T1148" s="58"/>
      <c r="U1148" s="58"/>
      <c r="V1148" s="58"/>
    </row>
    <row r="1149" spans="1:22" ht="15.75" customHeight="1">
      <c r="A1149" s="468" t="s">
        <v>348</v>
      </c>
      <c r="B1149" s="204" t="s">
        <v>184</v>
      </c>
      <c r="C1149" s="527"/>
      <c r="D1149" s="267"/>
      <c r="E1149" s="706"/>
      <c r="F1149" s="267"/>
      <c r="G1149" s="206"/>
      <c r="H1149" s="268"/>
      <c r="I1149" s="500"/>
      <c r="J1149" s="715"/>
      <c r="K1149" s="552">
        <f t="shared" si="69"/>
        <v>0</v>
      </c>
      <c r="L1149" s="217"/>
      <c r="M1149" s="211">
        <f t="shared" si="68"/>
        <v>-46136</v>
      </c>
      <c r="N1149" s="683">
        <f t="shared" si="70"/>
        <v>7</v>
      </c>
      <c r="O1149" s="212"/>
      <c r="P1149" s="544"/>
      <c r="Q1149" s="561">
        <f t="shared" si="71"/>
        <v>0</v>
      </c>
      <c r="R1149" s="58"/>
      <c r="S1149" s="58"/>
      <c r="T1149" s="58"/>
      <c r="U1149" s="58"/>
      <c r="V1149" s="58"/>
    </row>
    <row r="1150" spans="1:22" ht="15.75" customHeight="1">
      <c r="A1150" s="468" t="s">
        <v>348</v>
      </c>
      <c r="B1150" s="204" t="s">
        <v>184</v>
      </c>
      <c r="C1150" s="527"/>
      <c r="D1150" s="267"/>
      <c r="E1150" s="706"/>
      <c r="F1150" s="267"/>
      <c r="G1150" s="206"/>
      <c r="H1150" s="268"/>
      <c r="I1150" s="500"/>
      <c r="J1150" s="715"/>
      <c r="K1150" s="552">
        <f t="shared" si="69"/>
        <v>0</v>
      </c>
      <c r="L1150" s="217"/>
      <c r="M1150" s="211">
        <f t="shared" si="68"/>
        <v>-46136</v>
      </c>
      <c r="N1150" s="683">
        <f t="shared" si="70"/>
        <v>7</v>
      </c>
      <c r="O1150" s="212"/>
      <c r="P1150" s="544"/>
      <c r="Q1150" s="561">
        <f t="shared" si="71"/>
        <v>0</v>
      </c>
      <c r="R1150" s="58"/>
      <c r="S1150" s="58"/>
      <c r="T1150" s="58"/>
      <c r="U1150" s="58"/>
      <c r="V1150" s="58"/>
    </row>
    <row r="1151" spans="1:22" s="274" customFormat="1" ht="15.75" customHeight="1">
      <c r="A1151" s="468" t="s">
        <v>348</v>
      </c>
      <c r="B1151" s="204" t="s">
        <v>184</v>
      </c>
      <c r="C1151" s="527"/>
      <c r="D1151" s="267"/>
      <c r="E1151" s="706"/>
      <c r="F1151" s="267"/>
      <c r="G1151" s="206"/>
      <c r="H1151" s="268"/>
      <c r="I1151" s="500"/>
      <c r="J1151" s="715"/>
      <c r="K1151" s="552">
        <f t="shared" si="69"/>
        <v>0</v>
      </c>
      <c r="L1151" s="217"/>
      <c r="M1151" s="211">
        <f t="shared" si="68"/>
        <v>-46136</v>
      </c>
      <c r="N1151" s="683">
        <f t="shared" si="70"/>
        <v>7</v>
      </c>
      <c r="O1151" s="212"/>
      <c r="P1151" s="544"/>
      <c r="Q1151" s="561">
        <f t="shared" si="71"/>
        <v>0</v>
      </c>
      <c r="R1151" s="223"/>
      <c r="S1151" s="223"/>
      <c r="T1151" s="223"/>
      <c r="U1151" s="223"/>
      <c r="V1151" s="223"/>
    </row>
    <row r="1152" spans="1:22" s="274" customFormat="1" ht="15.75" customHeight="1">
      <c r="A1152" s="468" t="s">
        <v>348</v>
      </c>
      <c r="B1152" s="204" t="s">
        <v>184</v>
      </c>
      <c r="C1152" s="527"/>
      <c r="D1152" s="267"/>
      <c r="E1152" s="706"/>
      <c r="F1152" s="267"/>
      <c r="G1152" s="206"/>
      <c r="H1152" s="268"/>
      <c r="I1152" s="500"/>
      <c r="J1152" s="715"/>
      <c r="K1152" s="552">
        <f t="shared" si="69"/>
        <v>0</v>
      </c>
      <c r="L1152" s="217"/>
      <c r="M1152" s="211">
        <f t="shared" si="68"/>
        <v>-46136</v>
      </c>
      <c r="N1152" s="683">
        <f t="shared" si="70"/>
        <v>7</v>
      </c>
      <c r="O1152" s="212"/>
      <c r="P1152" s="544"/>
      <c r="Q1152" s="561">
        <f t="shared" si="71"/>
        <v>0</v>
      </c>
      <c r="R1152" s="223"/>
      <c r="S1152" s="223"/>
      <c r="T1152" s="223"/>
      <c r="U1152" s="223"/>
      <c r="V1152" s="223"/>
    </row>
    <row r="1153" spans="1:22" s="274" customFormat="1" ht="15.75" customHeight="1">
      <c r="A1153" s="468" t="s">
        <v>348</v>
      </c>
      <c r="B1153" s="204" t="s">
        <v>184</v>
      </c>
      <c r="C1153" s="527"/>
      <c r="D1153" s="267"/>
      <c r="E1153" s="706"/>
      <c r="F1153" s="267"/>
      <c r="G1153" s="206"/>
      <c r="H1153" s="268"/>
      <c r="I1153" s="500"/>
      <c r="J1153" s="715"/>
      <c r="K1153" s="552">
        <f t="shared" si="69"/>
        <v>0</v>
      </c>
      <c r="L1153" s="217"/>
      <c r="M1153" s="211">
        <f t="shared" si="68"/>
        <v>-46136</v>
      </c>
      <c r="N1153" s="683">
        <f t="shared" si="70"/>
        <v>7</v>
      </c>
      <c r="O1153" s="212"/>
      <c r="P1153" s="544"/>
      <c r="Q1153" s="561">
        <f t="shared" si="71"/>
        <v>0</v>
      </c>
      <c r="R1153" s="223"/>
      <c r="S1153" s="223"/>
      <c r="T1153" s="223"/>
      <c r="U1153" s="223"/>
      <c r="V1153" s="223"/>
    </row>
    <row r="1154" spans="1:22" s="274" customFormat="1" ht="15.75" customHeight="1">
      <c r="A1154" s="468" t="s">
        <v>348</v>
      </c>
      <c r="B1154" s="204" t="s">
        <v>184</v>
      </c>
      <c r="C1154" s="527"/>
      <c r="D1154" s="267"/>
      <c r="E1154" s="706"/>
      <c r="F1154" s="267"/>
      <c r="G1154" s="206"/>
      <c r="H1154" s="268"/>
      <c r="I1154" s="502"/>
      <c r="J1154" s="715"/>
      <c r="K1154" s="552">
        <f t="shared" si="69"/>
        <v>0</v>
      </c>
      <c r="L1154" s="217"/>
      <c r="M1154" s="211">
        <f t="shared" si="68"/>
        <v>-46136</v>
      </c>
      <c r="N1154" s="683">
        <f t="shared" si="70"/>
        <v>7</v>
      </c>
      <c r="O1154" s="212"/>
      <c r="P1154" s="544"/>
      <c r="Q1154" s="561">
        <f t="shared" si="71"/>
        <v>0</v>
      </c>
      <c r="R1154" s="223"/>
      <c r="S1154" s="223"/>
      <c r="T1154" s="223"/>
      <c r="U1154" s="223"/>
      <c r="V1154" s="223"/>
    </row>
    <row r="1155" spans="1:22" s="274" customFormat="1" ht="15.75" customHeight="1">
      <c r="A1155" s="468" t="s">
        <v>348</v>
      </c>
      <c r="B1155" s="204" t="s">
        <v>184</v>
      </c>
      <c r="C1155" s="527"/>
      <c r="D1155" s="267"/>
      <c r="E1155" s="706"/>
      <c r="F1155" s="267"/>
      <c r="G1155" s="206"/>
      <c r="H1155" s="268"/>
      <c r="I1155" s="502"/>
      <c r="J1155" s="715"/>
      <c r="K1155" s="552">
        <f t="shared" si="69"/>
        <v>0</v>
      </c>
      <c r="L1155" s="217"/>
      <c r="M1155" s="211">
        <f t="shared" si="68"/>
        <v>-46136</v>
      </c>
      <c r="N1155" s="683">
        <f t="shared" si="70"/>
        <v>7</v>
      </c>
      <c r="O1155" s="212"/>
      <c r="P1155" s="544"/>
      <c r="Q1155" s="561">
        <f t="shared" si="71"/>
        <v>0</v>
      </c>
      <c r="R1155" s="223"/>
      <c r="S1155" s="223"/>
      <c r="T1155" s="223"/>
      <c r="U1155" s="223"/>
      <c r="V1155" s="223"/>
    </row>
    <row r="1156" spans="1:22" s="274" customFormat="1" ht="15.75" customHeight="1">
      <c r="A1156" s="468" t="s">
        <v>348</v>
      </c>
      <c r="B1156" s="204" t="s">
        <v>184</v>
      </c>
      <c r="C1156" s="527"/>
      <c r="D1156" s="267"/>
      <c r="E1156" s="706"/>
      <c r="F1156" s="267"/>
      <c r="G1156" s="206"/>
      <c r="H1156" s="268"/>
      <c r="I1156" s="502"/>
      <c r="J1156" s="715"/>
      <c r="K1156" s="552">
        <f t="shared" si="69"/>
        <v>0</v>
      </c>
      <c r="L1156" s="217"/>
      <c r="M1156" s="211">
        <f t="shared" si="68"/>
        <v>-46136</v>
      </c>
      <c r="N1156" s="683">
        <f t="shared" si="70"/>
        <v>7</v>
      </c>
      <c r="O1156" s="212"/>
      <c r="P1156" s="544"/>
      <c r="Q1156" s="561">
        <f t="shared" si="71"/>
        <v>0</v>
      </c>
      <c r="R1156" s="223"/>
      <c r="S1156" s="223"/>
      <c r="T1156" s="223"/>
      <c r="U1156" s="223"/>
      <c r="V1156" s="223"/>
    </row>
    <row r="1157" spans="1:22" s="274" customFormat="1" ht="15.75" customHeight="1">
      <c r="A1157" s="468" t="s">
        <v>348</v>
      </c>
      <c r="B1157" s="204" t="s">
        <v>184</v>
      </c>
      <c r="C1157" s="527"/>
      <c r="D1157" s="267"/>
      <c r="E1157" s="706"/>
      <c r="F1157" s="267"/>
      <c r="G1157" s="206"/>
      <c r="H1157" s="268"/>
      <c r="I1157" s="502"/>
      <c r="J1157" s="715"/>
      <c r="K1157" s="552">
        <f t="shared" si="69"/>
        <v>0</v>
      </c>
      <c r="L1157" s="217"/>
      <c r="M1157" s="211">
        <f t="shared" si="68"/>
        <v>-46136</v>
      </c>
      <c r="N1157" s="683">
        <f t="shared" si="70"/>
        <v>7</v>
      </c>
      <c r="O1157" s="212"/>
      <c r="P1157" s="544"/>
      <c r="Q1157" s="561">
        <f t="shared" si="71"/>
        <v>0</v>
      </c>
      <c r="R1157" s="223"/>
      <c r="S1157" s="223"/>
      <c r="T1157" s="223"/>
      <c r="U1157" s="223"/>
      <c r="V1157" s="223"/>
    </row>
    <row r="1158" spans="1:22" s="274" customFormat="1" ht="15.75" customHeight="1">
      <c r="A1158" s="468" t="s">
        <v>348</v>
      </c>
      <c r="B1158" s="204" t="s">
        <v>184</v>
      </c>
      <c r="C1158" s="527"/>
      <c r="D1158" s="267"/>
      <c r="E1158" s="706"/>
      <c r="F1158" s="267"/>
      <c r="G1158" s="206"/>
      <c r="H1158" s="268"/>
      <c r="I1158" s="502"/>
      <c r="J1158" s="715"/>
      <c r="K1158" s="552">
        <f t="shared" si="69"/>
        <v>0</v>
      </c>
      <c r="L1158" s="217"/>
      <c r="M1158" s="211">
        <f t="shared" si="68"/>
        <v>-46136</v>
      </c>
      <c r="N1158" s="683">
        <f t="shared" si="70"/>
        <v>7</v>
      </c>
      <c r="O1158" s="212"/>
      <c r="P1158" s="544"/>
      <c r="Q1158" s="561">
        <f t="shared" si="71"/>
        <v>0</v>
      </c>
      <c r="R1158" s="223"/>
      <c r="S1158" s="223"/>
      <c r="T1158" s="223"/>
      <c r="U1158" s="223"/>
      <c r="V1158" s="223"/>
    </row>
    <row r="1159" spans="1:22" s="274" customFormat="1" ht="15.75" customHeight="1">
      <c r="A1159" s="468" t="s">
        <v>348</v>
      </c>
      <c r="B1159" s="204" t="s">
        <v>184</v>
      </c>
      <c r="C1159" s="527"/>
      <c r="D1159" s="267"/>
      <c r="E1159" s="706"/>
      <c r="F1159" s="267"/>
      <c r="G1159" s="206"/>
      <c r="H1159" s="268"/>
      <c r="I1159" s="500"/>
      <c r="J1159" s="715"/>
      <c r="K1159" s="552">
        <f t="shared" si="69"/>
        <v>0</v>
      </c>
      <c r="L1159" s="217"/>
      <c r="M1159" s="211">
        <f t="shared" si="68"/>
        <v>-46136</v>
      </c>
      <c r="N1159" s="683">
        <f t="shared" si="70"/>
        <v>7</v>
      </c>
      <c r="O1159" s="212"/>
      <c r="P1159" s="544"/>
      <c r="Q1159" s="561">
        <f t="shared" si="71"/>
        <v>0</v>
      </c>
      <c r="R1159" s="223"/>
      <c r="S1159" s="223"/>
      <c r="T1159" s="223"/>
      <c r="U1159" s="223"/>
      <c r="V1159" s="223"/>
    </row>
    <row r="1160" spans="1:22" s="274" customFormat="1" ht="15.75" customHeight="1">
      <c r="A1160" s="468" t="s">
        <v>348</v>
      </c>
      <c r="B1160" s="204" t="s">
        <v>184</v>
      </c>
      <c r="C1160" s="527"/>
      <c r="D1160" s="267"/>
      <c r="E1160" s="706"/>
      <c r="F1160" s="267"/>
      <c r="G1160" s="206"/>
      <c r="H1160" s="268"/>
      <c r="I1160" s="500"/>
      <c r="J1160" s="715"/>
      <c r="K1160" s="552">
        <f t="shared" si="69"/>
        <v>0</v>
      </c>
      <c r="L1160" s="217"/>
      <c r="M1160" s="211">
        <f t="shared" si="68"/>
        <v>-46136</v>
      </c>
      <c r="N1160" s="683">
        <f t="shared" si="70"/>
        <v>7</v>
      </c>
      <c r="O1160" s="212"/>
      <c r="P1160" s="544"/>
      <c r="Q1160" s="561">
        <f t="shared" si="71"/>
        <v>0</v>
      </c>
      <c r="R1160" s="223"/>
      <c r="S1160" s="223"/>
      <c r="T1160" s="223"/>
      <c r="U1160" s="223"/>
      <c r="V1160" s="223"/>
    </row>
    <row r="1161" spans="1:22" s="274" customFormat="1" ht="15.75" customHeight="1">
      <c r="A1161" s="468" t="s">
        <v>348</v>
      </c>
      <c r="B1161" s="204" t="s">
        <v>184</v>
      </c>
      <c r="C1161" s="527"/>
      <c r="D1161" s="267"/>
      <c r="E1161" s="706"/>
      <c r="F1161" s="267"/>
      <c r="G1161" s="206"/>
      <c r="H1161" s="268"/>
      <c r="I1161" s="500"/>
      <c r="J1161" s="715"/>
      <c r="K1161" s="552">
        <f t="shared" si="69"/>
        <v>0</v>
      </c>
      <c r="L1161" s="217"/>
      <c r="M1161" s="211">
        <f t="shared" ref="M1161:M1224" si="72">+L1161-$E$6</f>
        <v>-46136</v>
      </c>
      <c r="N1161" s="683">
        <f t="shared" si="70"/>
        <v>7</v>
      </c>
      <c r="O1161" s="212"/>
      <c r="P1161" s="544"/>
      <c r="Q1161" s="561">
        <f t="shared" si="71"/>
        <v>0</v>
      </c>
      <c r="R1161" s="223"/>
      <c r="S1161" s="223"/>
      <c r="T1161" s="223"/>
      <c r="U1161" s="223"/>
      <c r="V1161" s="223"/>
    </row>
    <row r="1162" spans="1:22" s="274" customFormat="1" ht="15.75" customHeight="1">
      <c r="A1162" s="468" t="s">
        <v>348</v>
      </c>
      <c r="B1162" s="204" t="s">
        <v>184</v>
      </c>
      <c r="C1162" s="527"/>
      <c r="D1162" s="267"/>
      <c r="E1162" s="706"/>
      <c r="F1162" s="267"/>
      <c r="G1162" s="206"/>
      <c r="H1162" s="268"/>
      <c r="I1162" s="500"/>
      <c r="J1162" s="715"/>
      <c r="K1162" s="552">
        <f t="shared" ref="K1162:K1225" si="73">-J1162</f>
        <v>0</v>
      </c>
      <c r="L1162" s="217"/>
      <c r="M1162" s="211">
        <f t="shared" si="72"/>
        <v>-46136</v>
      </c>
      <c r="N1162" s="683">
        <f t="shared" ref="N1162:N1225" si="74">+L1162+7</f>
        <v>7</v>
      </c>
      <c r="O1162" s="212"/>
      <c r="P1162" s="544"/>
      <c r="Q1162" s="561">
        <f t="shared" si="71"/>
        <v>0</v>
      </c>
      <c r="R1162" s="223"/>
      <c r="S1162" s="223"/>
      <c r="T1162" s="223"/>
      <c r="U1162" s="223"/>
      <c r="V1162" s="223"/>
    </row>
    <row r="1163" spans="1:22" s="274" customFormat="1" ht="15.75" customHeight="1">
      <c r="A1163" s="468" t="s">
        <v>348</v>
      </c>
      <c r="B1163" s="204" t="s">
        <v>184</v>
      </c>
      <c r="C1163" s="527"/>
      <c r="D1163" s="267"/>
      <c r="E1163" s="706"/>
      <c r="F1163" s="267"/>
      <c r="G1163" s="206"/>
      <c r="H1163" s="268"/>
      <c r="I1163" s="500"/>
      <c r="J1163" s="715"/>
      <c r="K1163" s="552">
        <f t="shared" si="73"/>
        <v>0</v>
      </c>
      <c r="L1163" s="217"/>
      <c r="M1163" s="211">
        <f t="shared" si="72"/>
        <v>-46136</v>
      </c>
      <c r="N1163" s="683">
        <f t="shared" si="74"/>
        <v>7</v>
      </c>
      <c r="O1163" s="212"/>
      <c r="P1163" s="544"/>
      <c r="Q1163" s="561">
        <f t="shared" si="71"/>
        <v>0</v>
      </c>
      <c r="R1163" s="223"/>
      <c r="S1163" s="223"/>
      <c r="T1163" s="223"/>
      <c r="U1163" s="223"/>
      <c r="V1163" s="223"/>
    </row>
    <row r="1164" spans="1:22" s="274" customFormat="1" ht="15.75" customHeight="1">
      <c r="A1164" s="468" t="s">
        <v>348</v>
      </c>
      <c r="B1164" s="204" t="s">
        <v>184</v>
      </c>
      <c r="C1164" s="527"/>
      <c r="D1164" s="267"/>
      <c r="E1164" s="706"/>
      <c r="F1164" s="267"/>
      <c r="G1164" s="206"/>
      <c r="H1164" s="268"/>
      <c r="I1164" s="500"/>
      <c r="J1164" s="715"/>
      <c r="K1164" s="552">
        <f t="shared" si="73"/>
        <v>0</v>
      </c>
      <c r="L1164" s="217"/>
      <c r="M1164" s="211">
        <f t="shared" si="72"/>
        <v>-46136</v>
      </c>
      <c r="N1164" s="683">
        <f t="shared" si="74"/>
        <v>7</v>
      </c>
      <c r="O1164" s="212"/>
      <c r="P1164" s="544"/>
      <c r="Q1164" s="561">
        <f t="shared" si="71"/>
        <v>0</v>
      </c>
      <c r="R1164" s="223"/>
      <c r="S1164" s="223"/>
      <c r="T1164" s="223"/>
      <c r="U1164" s="223"/>
      <c r="V1164" s="223"/>
    </row>
    <row r="1165" spans="1:22" s="274" customFormat="1" ht="15.75" customHeight="1">
      <c r="A1165" s="468" t="s">
        <v>348</v>
      </c>
      <c r="B1165" s="204" t="s">
        <v>184</v>
      </c>
      <c r="C1165" s="527"/>
      <c r="D1165" s="267"/>
      <c r="E1165" s="706"/>
      <c r="F1165" s="267"/>
      <c r="G1165" s="206"/>
      <c r="H1165" s="268"/>
      <c r="I1165" s="502"/>
      <c r="J1165" s="715"/>
      <c r="K1165" s="552">
        <f t="shared" si="73"/>
        <v>0</v>
      </c>
      <c r="L1165" s="217"/>
      <c r="M1165" s="211">
        <f t="shared" si="72"/>
        <v>-46136</v>
      </c>
      <c r="N1165" s="683">
        <f t="shared" si="74"/>
        <v>7</v>
      </c>
      <c r="O1165" s="212"/>
      <c r="P1165" s="544"/>
      <c r="Q1165" s="561">
        <f t="shared" si="71"/>
        <v>0</v>
      </c>
      <c r="R1165" s="223"/>
      <c r="S1165" s="223"/>
      <c r="T1165" s="223"/>
      <c r="U1165" s="223"/>
      <c r="V1165" s="223"/>
    </row>
    <row r="1166" spans="1:22" s="274" customFormat="1" ht="15.75" customHeight="1">
      <c r="A1166" s="468" t="s">
        <v>348</v>
      </c>
      <c r="B1166" s="204" t="s">
        <v>184</v>
      </c>
      <c r="C1166" s="527"/>
      <c r="D1166" s="267"/>
      <c r="E1166" s="706"/>
      <c r="F1166" s="267"/>
      <c r="G1166" s="206"/>
      <c r="H1166" s="268"/>
      <c r="I1166" s="502"/>
      <c r="J1166" s="715"/>
      <c r="K1166" s="552">
        <f t="shared" si="73"/>
        <v>0</v>
      </c>
      <c r="L1166" s="217"/>
      <c r="M1166" s="211">
        <f t="shared" si="72"/>
        <v>-46136</v>
      </c>
      <c r="N1166" s="683">
        <f t="shared" si="74"/>
        <v>7</v>
      </c>
      <c r="O1166" s="212"/>
      <c r="P1166" s="544"/>
      <c r="Q1166" s="561">
        <f t="shared" si="71"/>
        <v>0</v>
      </c>
      <c r="R1166" s="223"/>
      <c r="S1166" s="223"/>
      <c r="T1166" s="223"/>
      <c r="U1166" s="223"/>
      <c r="V1166" s="223"/>
    </row>
    <row r="1167" spans="1:22" s="277" customFormat="1" ht="15.75" customHeight="1">
      <c r="A1167" s="468" t="s">
        <v>348</v>
      </c>
      <c r="B1167" s="204" t="s">
        <v>184</v>
      </c>
      <c r="C1167" s="527"/>
      <c r="D1167" s="267"/>
      <c r="E1167" s="706"/>
      <c r="F1167" s="267"/>
      <c r="G1167" s="206"/>
      <c r="H1167" s="268"/>
      <c r="I1167" s="502"/>
      <c r="J1167" s="715"/>
      <c r="K1167" s="552">
        <f t="shared" si="73"/>
        <v>0</v>
      </c>
      <c r="L1167" s="217"/>
      <c r="M1167" s="211">
        <f t="shared" si="72"/>
        <v>-46136</v>
      </c>
      <c r="N1167" s="683">
        <f t="shared" si="74"/>
        <v>7</v>
      </c>
      <c r="O1167" s="212"/>
      <c r="P1167" s="544"/>
      <c r="Q1167" s="561">
        <f t="shared" si="71"/>
        <v>0</v>
      </c>
      <c r="R1167" s="223"/>
      <c r="S1167" s="223"/>
      <c r="T1167" s="223"/>
      <c r="U1167" s="223"/>
      <c r="V1167" s="223"/>
    </row>
    <row r="1168" spans="1:22" s="277" customFormat="1" ht="15.75" customHeight="1">
      <c r="A1168" s="468" t="s">
        <v>348</v>
      </c>
      <c r="B1168" s="204" t="s">
        <v>184</v>
      </c>
      <c r="C1168" s="527"/>
      <c r="D1168" s="267"/>
      <c r="E1168" s="706"/>
      <c r="F1168" s="267"/>
      <c r="G1168" s="206"/>
      <c r="H1168" s="268"/>
      <c r="I1168" s="502"/>
      <c r="J1168" s="715"/>
      <c r="K1168" s="552">
        <f t="shared" si="73"/>
        <v>0</v>
      </c>
      <c r="L1168" s="217"/>
      <c r="M1168" s="211">
        <f t="shared" si="72"/>
        <v>-46136</v>
      </c>
      <c r="N1168" s="683">
        <f t="shared" si="74"/>
        <v>7</v>
      </c>
      <c r="O1168" s="212"/>
      <c r="P1168" s="544"/>
      <c r="Q1168" s="561">
        <f t="shared" si="71"/>
        <v>0</v>
      </c>
      <c r="R1168" s="223"/>
      <c r="S1168" s="223"/>
      <c r="T1168" s="223"/>
      <c r="U1168" s="223"/>
      <c r="V1168" s="223"/>
    </row>
    <row r="1169" spans="1:22" s="277" customFormat="1" ht="15.75" customHeight="1">
      <c r="A1169" s="468" t="s">
        <v>348</v>
      </c>
      <c r="B1169" s="204" t="s">
        <v>184</v>
      </c>
      <c r="C1169" s="527"/>
      <c r="D1169" s="267"/>
      <c r="E1169" s="706"/>
      <c r="F1169" s="267"/>
      <c r="G1169" s="206"/>
      <c r="H1169" s="268"/>
      <c r="I1169" s="500"/>
      <c r="J1169" s="715"/>
      <c r="K1169" s="552">
        <f t="shared" si="73"/>
        <v>0</v>
      </c>
      <c r="L1169" s="217"/>
      <c r="M1169" s="211">
        <f t="shared" si="72"/>
        <v>-46136</v>
      </c>
      <c r="N1169" s="683">
        <f t="shared" si="74"/>
        <v>7</v>
      </c>
      <c r="O1169" s="212"/>
      <c r="P1169" s="544"/>
      <c r="Q1169" s="561">
        <f t="shared" si="71"/>
        <v>0</v>
      </c>
      <c r="R1169" s="223"/>
      <c r="S1169" s="223"/>
      <c r="T1169" s="223"/>
      <c r="U1169" s="223"/>
      <c r="V1169" s="223"/>
    </row>
    <row r="1170" spans="1:22" s="277" customFormat="1" ht="15.75" customHeight="1">
      <c r="A1170" s="468" t="s">
        <v>348</v>
      </c>
      <c r="B1170" s="204" t="s">
        <v>184</v>
      </c>
      <c r="C1170" s="527"/>
      <c r="D1170" s="267"/>
      <c r="E1170" s="706"/>
      <c r="F1170" s="267"/>
      <c r="G1170" s="206"/>
      <c r="H1170" s="268"/>
      <c r="I1170" s="502"/>
      <c r="J1170" s="715"/>
      <c r="K1170" s="552">
        <f t="shared" si="73"/>
        <v>0</v>
      </c>
      <c r="L1170" s="217"/>
      <c r="M1170" s="211">
        <f t="shared" si="72"/>
        <v>-46136</v>
      </c>
      <c r="N1170" s="683">
        <f t="shared" si="74"/>
        <v>7</v>
      </c>
      <c r="O1170" s="212"/>
      <c r="P1170" s="544"/>
      <c r="Q1170" s="561">
        <f t="shared" si="71"/>
        <v>0</v>
      </c>
      <c r="R1170" s="223"/>
      <c r="S1170" s="223"/>
      <c r="T1170" s="223"/>
      <c r="U1170" s="223"/>
      <c r="V1170" s="223"/>
    </row>
    <row r="1171" spans="1:22" s="277" customFormat="1" ht="15.75" customHeight="1">
      <c r="A1171" s="468" t="s">
        <v>348</v>
      </c>
      <c r="B1171" s="204" t="s">
        <v>184</v>
      </c>
      <c r="C1171" s="527"/>
      <c r="D1171" s="267"/>
      <c r="E1171" s="706"/>
      <c r="F1171" s="267"/>
      <c r="G1171" s="206"/>
      <c r="H1171" s="268"/>
      <c r="I1171" s="502"/>
      <c r="J1171" s="715"/>
      <c r="K1171" s="552">
        <f t="shared" si="73"/>
        <v>0</v>
      </c>
      <c r="L1171" s="217"/>
      <c r="M1171" s="211">
        <f t="shared" si="72"/>
        <v>-46136</v>
      </c>
      <c r="N1171" s="683">
        <f t="shared" si="74"/>
        <v>7</v>
      </c>
      <c r="O1171" s="212"/>
      <c r="P1171" s="544"/>
      <c r="Q1171" s="561">
        <f t="shared" si="71"/>
        <v>0</v>
      </c>
      <c r="R1171" s="223"/>
      <c r="S1171" s="223"/>
      <c r="T1171" s="223"/>
      <c r="U1171" s="223"/>
      <c r="V1171" s="223"/>
    </row>
    <row r="1172" spans="1:22" s="277" customFormat="1" ht="15.75" customHeight="1">
      <c r="A1172" s="468" t="s">
        <v>348</v>
      </c>
      <c r="B1172" s="204" t="s">
        <v>184</v>
      </c>
      <c r="C1172" s="527"/>
      <c r="D1172" s="267"/>
      <c r="E1172" s="706"/>
      <c r="F1172" s="267"/>
      <c r="G1172" s="206"/>
      <c r="H1172" s="268"/>
      <c r="I1172" s="500"/>
      <c r="J1172" s="715"/>
      <c r="K1172" s="552">
        <f t="shared" si="73"/>
        <v>0</v>
      </c>
      <c r="L1172" s="217"/>
      <c r="M1172" s="211">
        <f t="shared" si="72"/>
        <v>-46136</v>
      </c>
      <c r="N1172" s="683">
        <f t="shared" si="74"/>
        <v>7</v>
      </c>
      <c r="O1172" s="212"/>
      <c r="P1172" s="544"/>
      <c r="Q1172" s="561">
        <f t="shared" si="71"/>
        <v>0</v>
      </c>
      <c r="R1172" s="223"/>
      <c r="S1172" s="223"/>
      <c r="T1172" s="223"/>
      <c r="U1172" s="223"/>
      <c r="V1172" s="223"/>
    </row>
    <row r="1173" spans="1:22" s="277" customFormat="1" ht="15.75" customHeight="1">
      <c r="A1173" s="468" t="s">
        <v>348</v>
      </c>
      <c r="B1173" s="204" t="s">
        <v>184</v>
      </c>
      <c r="C1173" s="527"/>
      <c r="D1173" s="267"/>
      <c r="E1173" s="706"/>
      <c r="F1173" s="267"/>
      <c r="G1173" s="206"/>
      <c r="H1173" s="268"/>
      <c r="I1173" s="500"/>
      <c r="J1173" s="715"/>
      <c r="K1173" s="552">
        <f t="shared" si="73"/>
        <v>0</v>
      </c>
      <c r="L1173" s="217"/>
      <c r="M1173" s="211">
        <f t="shared" si="72"/>
        <v>-46136</v>
      </c>
      <c r="N1173" s="683">
        <f t="shared" si="74"/>
        <v>7</v>
      </c>
      <c r="O1173" s="212"/>
      <c r="P1173" s="544"/>
      <c r="Q1173" s="561">
        <f t="shared" si="71"/>
        <v>0</v>
      </c>
      <c r="R1173" s="223"/>
      <c r="S1173" s="223"/>
      <c r="T1173" s="223"/>
      <c r="U1173" s="223"/>
      <c r="V1173" s="223"/>
    </row>
    <row r="1174" spans="1:22" s="277" customFormat="1" ht="15.75" customHeight="1">
      <c r="A1174" s="468" t="s">
        <v>348</v>
      </c>
      <c r="B1174" s="204" t="s">
        <v>184</v>
      </c>
      <c r="C1174" s="527"/>
      <c r="D1174" s="267"/>
      <c r="E1174" s="706"/>
      <c r="F1174" s="267"/>
      <c r="G1174" s="206"/>
      <c r="H1174" s="268"/>
      <c r="I1174" s="500"/>
      <c r="J1174" s="715"/>
      <c r="K1174" s="552">
        <f t="shared" si="73"/>
        <v>0</v>
      </c>
      <c r="L1174" s="217"/>
      <c r="M1174" s="211">
        <f t="shared" si="72"/>
        <v>-46136</v>
      </c>
      <c r="N1174" s="683">
        <f t="shared" si="74"/>
        <v>7</v>
      </c>
      <c r="O1174" s="212"/>
      <c r="P1174" s="544"/>
      <c r="Q1174" s="561">
        <f t="shared" si="71"/>
        <v>0</v>
      </c>
      <c r="R1174" s="223"/>
      <c r="S1174" s="223"/>
      <c r="T1174" s="223"/>
      <c r="U1174" s="223"/>
      <c r="V1174" s="223"/>
    </row>
    <row r="1175" spans="1:22" s="277" customFormat="1" ht="15.75" customHeight="1">
      <c r="A1175" s="468" t="s">
        <v>348</v>
      </c>
      <c r="B1175" s="204" t="s">
        <v>184</v>
      </c>
      <c r="C1175" s="527"/>
      <c r="D1175" s="267"/>
      <c r="E1175" s="706"/>
      <c r="F1175" s="267"/>
      <c r="G1175" s="206"/>
      <c r="H1175" s="268"/>
      <c r="I1175" s="500"/>
      <c r="J1175" s="715"/>
      <c r="K1175" s="552">
        <f t="shared" si="73"/>
        <v>0</v>
      </c>
      <c r="L1175" s="217"/>
      <c r="M1175" s="211">
        <f t="shared" si="72"/>
        <v>-46136</v>
      </c>
      <c r="N1175" s="683">
        <f t="shared" si="74"/>
        <v>7</v>
      </c>
      <c r="O1175" s="212"/>
      <c r="P1175" s="544"/>
      <c r="Q1175" s="561">
        <f t="shared" si="71"/>
        <v>0</v>
      </c>
      <c r="R1175" s="223"/>
      <c r="S1175" s="223"/>
      <c r="T1175" s="223"/>
      <c r="U1175" s="223"/>
      <c r="V1175" s="223"/>
    </row>
    <row r="1176" spans="1:22" s="277" customFormat="1" ht="15.75" customHeight="1">
      <c r="A1176" s="468" t="s">
        <v>348</v>
      </c>
      <c r="B1176" s="204" t="s">
        <v>184</v>
      </c>
      <c r="C1176" s="527"/>
      <c r="D1176" s="267"/>
      <c r="E1176" s="706"/>
      <c r="F1176" s="267"/>
      <c r="G1176" s="206"/>
      <c r="H1176" s="268"/>
      <c r="I1176" s="500"/>
      <c r="J1176" s="715"/>
      <c r="K1176" s="552">
        <f t="shared" si="73"/>
        <v>0</v>
      </c>
      <c r="L1176" s="217"/>
      <c r="M1176" s="211">
        <f t="shared" si="72"/>
        <v>-46136</v>
      </c>
      <c r="N1176" s="683">
        <f t="shared" si="74"/>
        <v>7</v>
      </c>
      <c r="O1176" s="212"/>
      <c r="P1176" s="544"/>
      <c r="Q1176" s="561">
        <f t="shared" si="71"/>
        <v>0</v>
      </c>
      <c r="R1176" s="223"/>
      <c r="S1176" s="223"/>
      <c r="T1176" s="223"/>
      <c r="U1176" s="223"/>
      <c r="V1176" s="223"/>
    </row>
    <row r="1177" spans="1:22" s="277" customFormat="1" ht="15.75" customHeight="1">
      <c r="A1177" s="468" t="s">
        <v>348</v>
      </c>
      <c r="B1177" s="204" t="s">
        <v>184</v>
      </c>
      <c r="C1177" s="527"/>
      <c r="D1177" s="267"/>
      <c r="E1177" s="706"/>
      <c r="F1177" s="267"/>
      <c r="G1177" s="206"/>
      <c r="H1177" s="268"/>
      <c r="I1177" s="500"/>
      <c r="J1177" s="715"/>
      <c r="K1177" s="552">
        <f t="shared" si="73"/>
        <v>0</v>
      </c>
      <c r="L1177" s="217"/>
      <c r="M1177" s="211">
        <f t="shared" si="72"/>
        <v>-46136</v>
      </c>
      <c r="N1177" s="683">
        <f t="shared" si="74"/>
        <v>7</v>
      </c>
      <c r="O1177" s="212"/>
      <c r="P1177" s="544"/>
      <c r="Q1177" s="561">
        <f t="shared" si="71"/>
        <v>0</v>
      </c>
      <c r="R1177" s="223"/>
      <c r="S1177" s="223"/>
      <c r="T1177" s="223"/>
      <c r="U1177" s="223"/>
      <c r="V1177" s="223"/>
    </row>
    <row r="1178" spans="1:22" s="277" customFormat="1" ht="15.75" customHeight="1">
      <c r="A1178" s="468" t="s">
        <v>348</v>
      </c>
      <c r="B1178" s="204" t="s">
        <v>184</v>
      </c>
      <c r="C1178" s="527"/>
      <c r="D1178" s="267"/>
      <c r="E1178" s="706"/>
      <c r="F1178" s="267"/>
      <c r="G1178" s="206"/>
      <c r="H1178" s="268"/>
      <c r="I1178" s="500"/>
      <c r="J1178" s="715"/>
      <c r="K1178" s="552">
        <f t="shared" si="73"/>
        <v>0</v>
      </c>
      <c r="L1178" s="217"/>
      <c r="M1178" s="211">
        <f t="shared" si="72"/>
        <v>-46136</v>
      </c>
      <c r="N1178" s="683">
        <f t="shared" si="74"/>
        <v>7</v>
      </c>
      <c r="O1178" s="212"/>
      <c r="P1178" s="544"/>
      <c r="Q1178" s="561">
        <f t="shared" si="71"/>
        <v>0</v>
      </c>
      <c r="R1178" s="223"/>
      <c r="S1178" s="223"/>
      <c r="T1178" s="223"/>
      <c r="U1178" s="223"/>
      <c r="V1178" s="223"/>
    </row>
    <row r="1179" spans="1:22" s="277" customFormat="1" ht="15.75" customHeight="1">
      <c r="A1179" s="468" t="s">
        <v>348</v>
      </c>
      <c r="B1179" s="204" t="s">
        <v>184</v>
      </c>
      <c r="C1179" s="527"/>
      <c r="D1179" s="267"/>
      <c r="E1179" s="706"/>
      <c r="F1179" s="267"/>
      <c r="G1179" s="206"/>
      <c r="H1179" s="268"/>
      <c r="I1179" s="500"/>
      <c r="J1179" s="715"/>
      <c r="K1179" s="552">
        <f t="shared" si="73"/>
        <v>0</v>
      </c>
      <c r="L1179" s="217"/>
      <c r="M1179" s="211">
        <f t="shared" si="72"/>
        <v>-46136</v>
      </c>
      <c r="N1179" s="683">
        <f t="shared" si="74"/>
        <v>7</v>
      </c>
      <c r="O1179" s="212"/>
      <c r="P1179" s="544"/>
      <c r="Q1179" s="561">
        <f t="shared" si="71"/>
        <v>0</v>
      </c>
      <c r="R1179" s="223"/>
      <c r="S1179" s="223"/>
      <c r="T1179" s="223"/>
      <c r="U1179" s="223"/>
      <c r="V1179" s="223"/>
    </row>
    <row r="1180" spans="1:22" s="277" customFormat="1" ht="15.75" customHeight="1">
      <c r="A1180" s="468" t="s">
        <v>348</v>
      </c>
      <c r="B1180" s="204" t="s">
        <v>184</v>
      </c>
      <c r="C1180" s="527"/>
      <c r="D1180" s="267"/>
      <c r="E1180" s="706"/>
      <c r="F1180" s="267"/>
      <c r="G1180" s="206"/>
      <c r="H1180" s="268"/>
      <c r="I1180" s="500"/>
      <c r="J1180" s="715"/>
      <c r="K1180" s="552">
        <f t="shared" si="73"/>
        <v>0</v>
      </c>
      <c r="L1180" s="217"/>
      <c r="M1180" s="211">
        <f t="shared" si="72"/>
        <v>-46136</v>
      </c>
      <c r="N1180" s="683">
        <f t="shared" si="74"/>
        <v>7</v>
      </c>
      <c r="O1180" s="212"/>
      <c r="P1180" s="544"/>
      <c r="Q1180" s="561">
        <f t="shared" si="71"/>
        <v>0</v>
      </c>
      <c r="R1180" s="223"/>
      <c r="S1180" s="223"/>
      <c r="T1180" s="223"/>
      <c r="U1180" s="223"/>
      <c r="V1180" s="223"/>
    </row>
    <row r="1181" spans="1:22" s="277" customFormat="1" ht="15.75" customHeight="1">
      <c r="A1181" s="468" t="s">
        <v>348</v>
      </c>
      <c r="B1181" s="204" t="s">
        <v>184</v>
      </c>
      <c r="C1181" s="527"/>
      <c r="D1181" s="267"/>
      <c r="E1181" s="706"/>
      <c r="F1181" s="267"/>
      <c r="G1181" s="206"/>
      <c r="H1181" s="268"/>
      <c r="I1181" s="500"/>
      <c r="J1181" s="715"/>
      <c r="K1181" s="552">
        <f t="shared" si="73"/>
        <v>0</v>
      </c>
      <c r="L1181" s="217"/>
      <c r="M1181" s="211">
        <f t="shared" si="72"/>
        <v>-46136</v>
      </c>
      <c r="N1181" s="683">
        <f t="shared" si="74"/>
        <v>7</v>
      </c>
      <c r="O1181" s="212"/>
      <c r="P1181" s="544"/>
      <c r="Q1181" s="561">
        <f t="shared" si="71"/>
        <v>0</v>
      </c>
      <c r="R1181" s="223"/>
      <c r="S1181" s="223"/>
      <c r="T1181" s="223"/>
      <c r="U1181" s="223"/>
      <c r="V1181" s="223"/>
    </row>
    <row r="1182" spans="1:22" s="277" customFormat="1" ht="15.75" customHeight="1">
      <c r="A1182" s="468" t="s">
        <v>348</v>
      </c>
      <c r="B1182" s="204" t="s">
        <v>184</v>
      </c>
      <c r="C1182" s="527"/>
      <c r="D1182" s="267"/>
      <c r="E1182" s="706"/>
      <c r="F1182" s="267"/>
      <c r="G1182" s="206"/>
      <c r="H1182" s="268"/>
      <c r="I1182" s="500"/>
      <c r="J1182" s="715"/>
      <c r="K1182" s="552">
        <f t="shared" si="73"/>
        <v>0</v>
      </c>
      <c r="L1182" s="217"/>
      <c r="M1182" s="211">
        <f t="shared" si="72"/>
        <v>-46136</v>
      </c>
      <c r="N1182" s="683">
        <f t="shared" si="74"/>
        <v>7</v>
      </c>
      <c r="O1182" s="212"/>
      <c r="P1182" s="544"/>
      <c r="Q1182" s="561">
        <f t="shared" si="71"/>
        <v>0</v>
      </c>
      <c r="R1182" s="223"/>
      <c r="S1182" s="223"/>
      <c r="T1182" s="223"/>
      <c r="U1182" s="223"/>
      <c r="V1182" s="223"/>
    </row>
    <row r="1183" spans="1:22" s="277" customFormat="1" ht="15.75" customHeight="1">
      <c r="A1183" s="468" t="s">
        <v>348</v>
      </c>
      <c r="B1183" s="204" t="s">
        <v>184</v>
      </c>
      <c r="C1183" s="527"/>
      <c r="D1183" s="267"/>
      <c r="E1183" s="706"/>
      <c r="F1183" s="267"/>
      <c r="G1183" s="206"/>
      <c r="H1183" s="268"/>
      <c r="I1183" s="500"/>
      <c r="J1183" s="715"/>
      <c r="K1183" s="552">
        <f t="shared" si="73"/>
        <v>0</v>
      </c>
      <c r="L1183" s="217"/>
      <c r="M1183" s="211">
        <f t="shared" si="72"/>
        <v>-46136</v>
      </c>
      <c r="N1183" s="683">
        <f t="shared" si="74"/>
        <v>7</v>
      </c>
      <c r="O1183" s="212"/>
      <c r="P1183" s="544"/>
      <c r="Q1183" s="561">
        <f t="shared" si="71"/>
        <v>0</v>
      </c>
      <c r="R1183" s="223"/>
      <c r="S1183" s="223"/>
      <c r="T1183" s="223"/>
      <c r="U1183" s="223"/>
      <c r="V1183" s="223"/>
    </row>
    <row r="1184" spans="1:22" s="277" customFormat="1" ht="15.75" customHeight="1">
      <c r="A1184" s="468" t="s">
        <v>348</v>
      </c>
      <c r="B1184" s="204" t="s">
        <v>184</v>
      </c>
      <c r="C1184" s="527"/>
      <c r="D1184" s="267"/>
      <c r="E1184" s="706"/>
      <c r="F1184" s="267"/>
      <c r="G1184" s="206"/>
      <c r="H1184" s="268"/>
      <c r="I1184" s="500"/>
      <c r="J1184" s="715"/>
      <c r="K1184" s="552">
        <f t="shared" si="73"/>
        <v>0</v>
      </c>
      <c r="L1184" s="217"/>
      <c r="M1184" s="211">
        <f t="shared" si="72"/>
        <v>-46136</v>
      </c>
      <c r="N1184" s="683">
        <f t="shared" si="74"/>
        <v>7</v>
      </c>
      <c r="O1184" s="212"/>
      <c r="P1184" s="544"/>
      <c r="Q1184" s="561">
        <f t="shared" si="71"/>
        <v>0</v>
      </c>
      <c r="R1184" s="223"/>
      <c r="S1184" s="223"/>
      <c r="T1184" s="223"/>
      <c r="U1184" s="223"/>
      <c r="V1184" s="223"/>
    </row>
    <row r="1185" spans="1:22" s="277" customFormat="1" ht="15.75" customHeight="1">
      <c r="A1185" s="468" t="s">
        <v>348</v>
      </c>
      <c r="B1185" s="204" t="s">
        <v>184</v>
      </c>
      <c r="C1185" s="527"/>
      <c r="D1185" s="267"/>
      <c r="E1185" s="706"/>
      <c r="F1185" s="267"/>
      <c r="G1185" s="206"/>
      <c r="H1185" s="268"/>
      <c r="I1185" s="500"/>
      <c r="J1185" s="715"/>
      <c r="K1185" s="552">
        <f t="shared" si="73"/>
        <v>0</v>
      </c>
      <c r="L1185" s="217"/>
      <c r="M1185" s="211">
        <f t="shared" si="72"/>
        <v>-46136</v>
      </c>
      <c r="N1185" s="683">
        <f t="shared" si="74"/>
        <v>7</v>
      </c>
      <c r="O1185" s="212"/>
      <c r="P1185" s="544"/>
      <c r="Q1185" s="561">
        <f t="shared" si="71"/>
        <v>0</v>
      </c>
      <c r="R1185" s="223"/>
      <c r="S1185" s="223"/>
      <c r="T1185" s="223"/>
      <c r="U1185" s="223"/>
      <c r="V1185" s="223"/>
    </row>
    <row r="1186" spans="1:22" s="277" customFormat="1" ht="15.75" customHeight="1">
      <c r="A1186" s="468" t="s">
        <v>348</v>
      </c>
      <c r="B1186" s="204" t="s">
        <v>184</v>
      </c>
      <c r="C1186" s="527"/>
      <c r="D1186" s="267"/>
      <c r="E1186" s="706"/>
      <c r="F1186" s="267"/>
      <c r="G1186" s="206"/>
      <c r="H1186" s="268"/>
      <c r="I1186" s="500"/>
      <c r="J1186" s="715"/>
      <c r="K1186" s="552">
        <f t="shared" si="73"/>
        <v>0</v>
      </c>
      <c r="L1186" s="217"/>
      <c r="M1186" s="211">
        <f t="shared" si="72"/>
        <v>-46136</v>
      </c>
      <c r="N1186" s="683">
        <f t="shared" si="74"/>
        <v>7</v>
      </c>
      <c r="O1186" s="212"/>
      <c r="P1186" s="544"/>
      <c r="Q1186" s="561">
        <f t="shared" si="71"/>
        <v>0</v>
      </c>
      <c r="R1186" s="223"/>
      <c r="S1186" s="223"/>
      <c r="T1186" s="223"/>
      <c r="U1186" s="223"/>
      <c r="V1186" s="223"/>
    </row>
    <row r="1187" spans="1:22" s="277" customFormat="1" ht="15.75" customHeight="1">
      <c r="A1187" s="468" t="s">
        <v>348</v>
      </c>
      <c r="B1187" s="204" t="s">
        <v>184</v>
      </c>
      <c r="C1187" s="527"/>
      <c r="D1187" s="267"/>
      <c r="E1187" s="706"/>
      <c r="F1187" s="267"/>
      <c r="G1187" s="206"/>
      <c r="H1187" s="268"/>
      <c r="I1187" s="502"/>
      <c r="J1187" s="715"/>
      <c r="K1187" s="552">
        <f t="shared" si="73"/>
        <v>0</v>
      </c>
      <c r="L1187" s="217"/>
      <c r="M1187" s="211">
        <f t="shared" si="72"/>
        <v>-46136</v>
      </c>
      <c r="N1187" s="683">
        <f t="shared" si="74"/>
        <v>7</v>
      </c>
      <c r="O1187" s="212"/>
      <c r="P1187" s="544"/>
      <c r="Q1187" s="561">
        <f t="shared" si="71"/>
        <v>0</v>
      </c>
      <c r="R1187" s="223"/>
      <c r="S1187" s="223"/>
      <c r="T1187" s="223"/>
      <c r="U1187" s="223"/>
      <c r="V1187" s="223"/>
    </row>
    <row r="1188" spans="1:22" s="277" customFormat="1" ht="15.75" customHeight="1">
      <c r="A1188" s="468" t="s">
        <v>348</v>
      </c>
      <c r="B1188" s="204" t="s">
        <v>184</v>
      </c>
      <c r="C1188" s="527"/>
      <c r="D1188" s="267"/>
      <c r="E1188" s="706"/>
      <c r="F1188" s="267"/>
      <c r="G1188" s="206"/>
      <c r="H1188" s="268"/>
      <c r="I1188" s="500"/>
      <c r="J1188" s="715"/>
      <c r="K1188" s="552">
        <f t="shared" si="73"/>
        <v>0</v>
      </c>
      <c r="L1188" s="217"/>
      <c r="M1188" s="211">
        <f t="shared" si="72"/>
        <v>-46136</v>
      </c>
      <c r="N1188" s="683">
        <f t="shared" si="74"/>
        <v>7</v>
      </c>
      <c r="O1188" s="212"/>
      <c r="P1188" s="544"/>
      <c r="Q1188" s="561">
        <f t="shared" ref="Q1188:Q1251" si="75">+K1188+J1188</f>
        <v>0</v>
      </c>
      <c r="R1188" s="223"/>
      <c r="S1188" s="223"/>
      <c r="T1188" s="223"/>
      <c r="U1188" s="223"/>
      <c r="V1188" s="223"/>
    </row>
    <row r="1189" spans="1:22" s="277" customFormat="1" ht="15.75" customHeight="1">
      <c r="A1189" s="468" t="s">
        <v>348</v>
      </c>
      <c r="B1189" s="204" t="s">
        <v>184</v>
      </c>
      <c r="C1189" s="527"/>
      <c r="D1189" s="267"/>
      <c r="E1189" s="706"/>
      <c r="F1189" s="267"/>
      <c r="G1189" s="206"/>
      <c r="H1189" s="268"/>
      <c r="I1189" s="500"/>
      <c r="J1189" s="715"/>
      <c r="K1189" s="552">
        <f t="shared" si="73"/>
        <v>0</v>
      </c>
      <c r="L1189" s="217"/>
      <c r="M1189" s="211">
        <f t="shared" si="72"/>
        <v>-46136</v>
      </c>
      <c r="N1189" s="683">
        <f t="shared" si="74"/>
        <v>7</v>
      </c>
      <c r="O1189" s="212"/>
      <c r="P1189" s="544"/>
      <c r="Q1189" s="561">
        <f t="shared" si="75"/>
        <v>0</v>
      </c>
      <c r="R1189" s="223"/>
      <c r="S1189" s="223"/>
      <c r="T1189" s="223"/>
      <c r="U1189" s="223"/>
      <c r="V1189" s="223"/>
    </row>
    <row r="1190" spans="1:22" s="277" customFormat="1" ht="15.75" customHeight="1">
      <c r="A1190" s="468" t="s">
        <v>348</v>
      </c>
      <c r="B1190" s="204" t="s">
        <v>184</v>
      </c>
      <c r="C1190" s="527"/>
      <c r="D1190" s="267"/>
      <c r="E1190" s="706"/>
      <c r="F1190" s="267"/>
      <c r="G1190" s="206"/>
      <c r="H1190" s="268"/>
      <c r="I1190" s="502"/>
      <c r="J1190" s="715"/>
      <c r="K1190" s="552">
        <f t="shared" si="73"/>
        <v>0</v>
      </c>
      <c r="L1190" s="217"/>
      <c r="M1190" s="211">
        <f t="shared" si="72"/>
        <v>-46136</v>
      </c>
      <c r="N1190" s="683">
        <f t="shared" si="74"/>
        <v>7</v>
      </c>
      <c r="O1190" s="212"/>
      <c r="P1190" s="544"/>
      <c r="Q1190" s="561">
        <f t="shared" si="75"/>
        <v>0</v>
      </c>
      <c r="R1190" s="223"/>
      <c r="S1190" s="223"/>
      <c r="T1190" s="223"/>
      <c r="U1190" s="223"/>
      <c r="V1190" s="223"/>
    </row>
    <row r="1191" spans="1:22" s="277" customFormat="1" ht="15.75" customHeight="1">
      <c r="A1191" s="468" t="s">
        <v>348</v>
      </c>
      <c r="B1191" s="204" t="s">
        <v>184</v>
      </c>
      <c r="C1191" s="527"/>
      <c r="D1191" s="267"/>
      <c r="E1191" s="706"/>
      <c r="F1191" s="267"/>
      <c r="G1191" s="206"/>
      <c r="H1191" s="268"/>
      <c r="I1191" s="500"/>
      <c r="J1191" s="715"/>
      <c r="K1191" s="552">
        <f t="shared" si="73"/>
        <v>0</v>
      </c>
      <c r="L1191" s="217"/>
      <c r="M1191" s="211">
        <f t="shared" si="72"/>
        <v>-46136</v>
      </c>
      <c r="N1191" s="683">
        <f t="shared" si="74"/>
        <v>7</v>
      </c>
      <c r="O1191" s="212"/>
      <c r="P1191" s="544"/>
      <c r="Q1191" s="561">
        <f t="shared" si="75"/>
        <v>0</v>
      </c>
      <c r="R1191" s="223"/>
      <c r="S1191" s="223"/>
      <c r="T1191" s="223"/>
      <c r="U1191" s="223"/>
      <c r="V1191" s="223"/>
    </row>
    <row r="1192" spans="1:22" s="277" customFormat="1" ht="15.75" customHeight="1">
      <c r="A1192" s="468" t="s">
        <v>348</v>
      </c>
      <c r="B1192" s="204" t="s">
        <v>184</v>
      </c>
      <c r="C1192" s="527"/>
      <c r="D1192" s="267"/>
      <c r="E1192" s="706"/>
      <c r="F1192" s="267"/>
      <c r="G1192" s="206"/>
      <c r="H1192" s="268"/>
      <c r="I1192" s="501"/>
      <c r="J1192" s="715"/>
      <c r="K1192" s="552">
        <f t="shared" si="73"/>
        <v>0</v>
      </c>
      <c r="L1192" s="217"/>
      <c r="M1192" s="211">
        <f t="shared" si="72"/>
        <v>-46136</v>
      </c>
      <c r="N1192" s="683">
        <f t="shared" si="74"/>
        <v>7</v>
      </c>
      <c r="O1192" s="212"/>
      <c r="P1192" s="544"/>
      <c r="Q1192" s="561">
        <f t="shared" si="75"/>
        <v>0</v>
      </c>
      <c r="R1192" s="223"/>
      <c r="S1192" s="223"/>
      <c r="T1192" s="223"/>
      <c r="U1192" s="223"/>
      <c r="V1192" s="223"/>
    </row>
    <row r="1193" spans="1:22" s="277" customFormat="1" ht="15.75" customHeight="1">
      <c r="A1193" s="468" t="s">
        <v>348</v>
      </c>
      <c r="B1193" s="204" t="s">
        <v>184</v>
      </c>
      <c r="C1193" s="527"/>
      <c r="D1193" s="267"/>
      <c r="E1193" s="706"/>
      <c r="F1193" s="267"/>
      <c r="G1193" s="206"/>
      <c r="H1193" s="268"/>
      <c r="I1193" s="500"/>
      <c r="J1193" s="715"/>
      <c r="K1193" s="552">
        <f t="shared" si="73"/>
        <v>0</v>
      </c>
      <c r="L1193" s="217"/>
      <c r="M1193" s="211">
        <f t="shared" si="72"/>
        <v>-46136</v>
      </c>
      <c r="N1193" s="683">
        <f t="shared" si="74"/>
        <v>7</v>
      </c>
      <c r="O1193" s="212"/>
      <c r="P1193" s="544"/>
      <c r="Q1193" s="561">
        <f t="shared" si="75"/>
        <v>0</v>
      </c>
      <c r="R1193" s="223"/>
      <c r="S1193" s="223"/>
      <c r="T1193" s="223"/>
      <c r="U1193" s="223"/>
      <c r="V1193" s="223"/>
    </row>
    <row r="1194" spans="1:22" s="277" customFormat="1" ht="15.75" customHeight="1">
      <c r="A1194" s="468" t="s">
        <v>348</v>
      </c>
      <c r="B1194" s="204" t="s">
        <v>184</v>
      </c>
      <c r="C1194" s="527"/>
      <c r="D1194" s="267"/>
      <c r="E1194" s="706"/>
      <c r="F1194" s="267"/>
      <c r="G1194" s="206"/>
      <c r="H1194" s="268"/>
      <c r="I1194" s="500"/>
      <c r="J1194" s="715"/>
      <c r="K1194" s="552">
        <f t="shared" si="73"/>
        <v>0</v>
      </c>
      <c r="L1194" s="217"/>
      <c r="M1194" s="211">
        <f t="shared" si="72"/>
        <v>-46136</v>
      </c>
      <c r="N1194" s="683">
        <f t="shared" si="74"/>
        <v>7</v>
      </c>
      <c r="O1194" s="212"/>
      <c r="P1194" s="544"/>
      <c r="Q1194" s="561">
        <f t="shared" si="75"/>
        <v>0</v>
      </c>
      <c r="R1194" s="223"/>
      <c r="S1194" s="223"/>
      <c r="T1194" s="223"/>
      <c r="U1194" s="223"/>
      <c r="V1194" s="223"/>
    </row>
    <row r="1195" spans="1:22" s="277" customFormat="1" ht="15.75" customHeight="1">
      <c r="A1195" s="468" t="s">
        <v>348</v>
      </c>
      <c r="B1195" s="204" t="s">
        <v>184</v>
      </c>
      <c r="C1195" s="527"/>
      <c r="D1195" s="267"/>
      <c r="E1195" s="706"/>
      <c r="F1195" s="267"/>
      <c r="G1195" s="206"/>
      <c r="H1195" s="268"/>
      <c r="I1195" s="501"/>
      <c r="J1195" s="715"/>
      <c r="K1195" s="552">
        <f t="shared" si="73"/>
        <v>0</v>
      </c>
      <c r="L1195" s="217"/>
      <c r="M1195" s="211">
        <f t="shared" si="72"/>
        <v>-46136</v>
      </c>
      <c r="N1195" s="683">
        <f t="shared" si="74"/>
        <v>7</v>
      </c>
      <c r="O1195" s="212"/>
      <c r="P1195" s="544"/>
      <c r="Q1195" s="561">
        <f t="shared" si="75"/>
        <v>0</v>
      </c>
      <c r="R1195" s="223"/>
      <c r="S1195" s="223"/>
      <c r="T1195" s="223"/>
      <c r="U1195" s="223"/>
      <c r="V1195" s="223"/>
    </row>
    <row r="1196" spans="1:22" s="277" customFormat="1" ht="15.75" customHeight="1">
      <c r="A1196" s="468" t="s">
        <v>348</v>
      </c>
      <c r="B1196" s="204" t="s">
        <v>184</v>
      </c>
      <c r="C1196" s="527"/>
      <c r="D1196" s="267"/>
      <c r="E1196" s="706"/>
      <c r="F1196" s="267"/>
      <c r="G1196" s="206"/>
      <c r="H1196" s="268"/>
      <c r="I1196" s="500"/>
      <c r="J1196" s="715"/>
      <c r="K1196" s="552">
        <f t="shared" si="73"/>
        <v>0</v>
      </c>
      <c r="L1196" s="217"/>
      <c r="M1196" s="211">
        <f t="shared" si="72"/>
        <v>-46136</v>
      </c>
      <c r="N1196" s="683">
        <f t="shared" si="74"/>
        <v>7</v>
      </c>
      <c r="O1196" s="212"/>
      <c r="P1196" s="544"/>
      <c r="Q1196" s="561">
        <f t="shared" si="75"/>
        <v>0</v>
      </c>
      <c r="R1196" s="223"/>
      <c r="S1196" s="223"/>
      <c r="T1196" s="223"/>
      <c r="U1196" s="223"/>
      <c r="V1196" s="223"/>
    </row>
    <row r="1197" spans="1:22" s="277" customFormat="1" ht="15.75" customHeight="1">
      <c r="A1197" s="468" t="s">
        <v>348</v>
      </c>
      <c r="B1197" s="204" t="s">
        <v>184</v>
      </c>
      <c r="C1197" s="527"/>
      <c r="D1197" s="267"/>
      <c r="E1197" s="706"/>
      <c r="F1197" s="267"/>
      <c r="G1197" s="206"/>
      <c r="H1197" s="268"/>
      <c r="I1197" s="500"/>
      <c r="J1197" s="715"/>
      <c r="K1197" s="552">
        <f t="shared" si="73"/>
        <v>0</v>
      </c>
      <c r="L1197" s="217"/>
      <c r="M1197" s="211">
        <f t="shared" si="72"/>
        <v>-46136</v>
      </c>
      <c r="N1197" s="683">
        <f t="shared" si="74"/>
        <v>7</v>
      </c>
      <c r="O1197" s="212"/>
      <c r="P1197" s="544"/>
      <c r="Q1197" s="561">
        <f t="shared" si="75"/>
        <v>0</v>
      </c>
      <c r="R1197" s="223"/>
      <c r="S1197" s="223"/>
      <c r="T1197" s="223"/>
      <c r="U1197" s="223"/>
      <c r="V1197" s="223"/>
    </row>
    <row r="1198" spans="1:22" s="277" customFormat="1" ht="15.75" customHeight="1">
      <c r="A1198" s="468" t="s">
        <v>348</v>
      </c>
      <c r="B1198" s="204" t="s">
        <v>184</v>
      </c>
      <c r="C1198" s="527"/>
      <c r="D1198" s="267"/>
      <c r="E1198" s="706"/>
      <c r="F1198" s="267"/>
      <c r="G1198" s="206"/>
      <c r="H1198" s="268"/>
      <c r="I1198" s="502"/>
      <c r="J1198" s="715"/>
      <c r="K1198" s="552">
        <f t="shared" si="73"/>
        <v>0</v>
      </c>
      <c r="L1198" s="217"/>
      <c r="M1198" s="211">
        <f t="shared" si="72"/>
        <v>-46136</v>
      </c>
      <c r="N1198" s="683">
        <f t="shared" si="74"/>
        <v>7</v>
      </c>
      <c r="O1198" s="212"/>
      <c r="P1198" s="544"/>
      <c r="Q1198" s="561">
        <f t="shared" si="75"/>
        <v>0</v>
      </c>
      <c r="R1198" s="223"/>
      <c r="S1198" s="223"/>
      <c r="T1198" s="223"/>
      <c r="U1198" s="223"/>
      <c r="V1198" s="223"/>
    </row>
    <row r="1199" spans="1:22" s="277" customFormat="1" ht="15.75" customHeight="1">
      <c r="A1199" s="468" t="s">
        <v>348</v>
      </c>
      <c r="B1199" s="204" t="s">
        <v>184</v>
      </c>
      <c r="C1199" s="527"/>
      <c r="D1199" s="267"/>
      <c r="E1199" s="706"/>
      <c r="F1199" s="267"/>
      <c r="G1199" s="206"/>
      <c r="H1199" s="268"/>
      <c r="I1199" s="502"/>
      <c r="J1199" s="715"/>
      <c r="K1199" s="552">
        <f t="shared" si="73"/>
        <v>0</v>
      </c>
      <c r="L1199" s="217"/>
      <c r="M1199" s="211">
        <f t="shared" si="72"/>
        <v>-46136</v>
      </c>
      <c r="N1199" s="683">
        <f t="shared" si="74"/>
        <v>7</v>
      </c>
      <c r="O1199" s="212"/>
      <c r="P1199" s="544"/>
      <c r="Q1199" s="561">
        <f t="shared" si="75"/>
        <v>0</v>
      </c>
      <c r="R1199" s="223"/>
      <c r="S1199" s="223"/>
      <c r="T1199" s="223"/>
      <c r="U1199" s="223"/>
      <c r="V1199" s="223"/>
    </row>
    <row r="1200" spans="1:22" s="277" customFormat="1" ht="15.75" customHeight="1">
      <c r="A1200" s="468" t="s">
        <v>348</v>
      </c>
      <c r="B1200" s="204" t="s">
        <v>184</v>
      </c>
      <c r="C1200" s="527"/>
      <c r="D1200" s="267"/>
      <c r="E1200" s="706"/>
      <c r="F1200" s="267"/>
      <c r="G1200" s="206"/>
      <c r="H1200" s="268"/>
      <c r="I1200" s="502"/>
      <c r="J1200" s="715"/>
      <c r="K1200" s="552">
        <f t="shared" si="73"/>
        <v>0</v>
      </c>
      <c r="L1200" s="217"/>
      <c r="M1200" s="211">
        <f t="shared" si="72"/>
        <v>-46136</v>
      </c>
      <c r="N1200" s="683">
        <f t="shared" si="74"/>
        <v>7</v>
      </c>
      <c r="O1200" s="212"/>
      <c r="P1200" s="544"/>
      <c r="Q1200" s="561">
        <f t="shared" si="75"/>
        <v>0</v>
      </c>
      <c r="R1200" s="223"/>
      <c r="S1200" s="223"/>
      <c r="T1200" s="223"/>
      <c r="U1200" s="223"/>
      <c r="V1200" s="223"/>
    </row>
    <row r="1201" spans="1:22" s="277" customFormat="1" ht="15.75" customHeight="1">
      <c r="A1201" s="468" t="s">
        <v>348</v>
      </c>
      <c r="B1201" s="204" t="s">
        <v>184</v>
      </c>
      <c r="C1201" s="527"/>
      <c r="D1201" s="267"/>
      <c r="E1201" s="706"/>
      <c r="F1201" s="267"/>
      <c r="G1201" s="206"/>
      <c r="H1201" s="268"/>
      <c r="I1201" s="500"/>
      <c r="J1201" s="715"/>
      <c r="K1201" s="552">
        <f t="shared" si="73"/>
        <v>0</v>
      </c>
      <c r="L1201" s="217"/>
      <c r="M1201" s="211">
        <f t="shared" si="72"/>
        <v>-46136</v>
      </c>
      <c r="N1201" s="683">
        <f t="shared" si="74"/>
        <v>7</v>
      </c>
      <c r="O1201" s="212"/>
      <c r="P1201" s="544"/>
      <c r="Q1201" s="561">
        <f t="shared" si="75"/>
        <v>0</v>
      </c>
      <c r="R1201" s="223"/>
      <c r="S1201" s="223"/>
      <c r="T1201" s="223"/>
      <c r="U1201" s="223"/>
      <c r="V1201" s="223"/>
    </row>
    <row r="1202" spans="1:22" s="277" customFormat="1" ht="15.75" customHeight="1">
      <c r="A1202" s="468" t="s">
        <v>348</v>
      </c>
      <c r="B1202" s="204" t="s">
        <v>184</v>
      </c>
      <c r="C1202" s="527"/>
      <c r="D1202" s="267"/>
      <c r="E1202" s="706"/>
      <c r="F1202" s="267"/>
      <c r="G1202" s="206"/>
      <c r="H1202" s="268"/>
      <c r="I1202" s="500"/>
      <c r="J1202" s="715"/>
      <c r="K1202" s="552">
        <f t="shared" si="73"/>
        <v>0</v>
      </c>
      <c r="L1202" s="217"/>
      <c r="M1202" s="211">
        <f t="shared" si="72"/>
        <v>-46136</v>
      </c>
      <c r="N1202" s="683">
        <f t="shared" si="74"/>
        <v>7</v>
      </c>
      <c r="O1202" s="212"/>
      <c r="P1202" s="544"/>
      <c r="Q1202" s="561">
        <f t="shared" si="75"/>
        <v>0</v>
      </c>
      <c r="R1202" s="223"/>
      <c r="S1202" s="223"/>
      <c r="T1202" s="223"/>
      <c r="U1202" s="223"/>
      <c r="V1202" s="223"/>
    </row>
    <row r="1203" spans="1:22" s="277" customFormat="1" ht="15.75" customHeight="1">
      <c r="A1203" s="468" t="s">
        <v>348</v>
      </c>
      <c r="B1203" s="204" t="s">
        <v>184</v>
      </c>
      <c r="C1203" s="527"/>
      <c r="D1203" s="267"/>
      <c r="E1203" s="706"/>
      <c r="F1203" s="267"/>
      <c r="G1203" s="206"/>
      <c r="H1203" s="268"/>
      <c r="I1203" s="500"/>
      <c r="J1203" s="715"/>
      <c r="K1203" s="552">
        <f t="shared" si="73"/>
        <v>0</v>
      </c>
      <c r="L1203" s="217"/>
      <c r="M1203" s="211">
        <f t="shared" si="72"/>
        <v>-46136</v>
      </c>
      <c r="N1203" s="683">
        <f t="shared" si="74"/>
        <v>7</v>
      </c>
      <c r="O1203" s="212"/>
      <c r="P1203" s="544"/>
      <c r="Q1203" s="561">
        <f t="shared" si="75"/>
        <v>0</v>
      </c>
      <c r="R1203" s="223"/>
      <c r="S1203" s="223"/>
      <c r="T1203" s="223"/>
      <c r="U1203" s="223"/>
      <c r="V1203" s="223"/>
    </row>
    <row r="1204" spans="1:22" s="277" customFormat="1" ht="15.75" customHeight="1">
      <c r="A1204" s="468" t="s">
        <v>348</v>
      </c>
      <c r="B1204" s="204" t="s">
        <v>184</v>
      </c>
      <c r="C1204" s="527"/>
      <c r="D1204" s="267"/>
      <c r="E1204" s="706"/>
      <c r="F1204" s="267"/>
      <c r="G1204" s="206"/>
      <c r="H1204" s="268"/>
      <c r="I1204" s="502"/>
      <c r="J1204" s="715"/>
      <c r="K1204" s="552">
        <f t="shared" si="73"/>
        <v>0</v>
      </c>
      <c r="L1204" s="217"/>
      <c r="M1204" s="211">
        <f t="shared" si="72"/>
        <v>-46136</v>
      </c>
      <c r="N1204" s="683">
        <f t="shared" si="74"/>
        <v>7</v>
      </c>
      <c r="O1204" s="212"/>
      <c r="P1204" s="544"/>
      <c r="Q1204" s="561">
        <f t="shared" si="75"/>
        <v>0</v>
      </c>
      <c r="R1204" s="223"/>
      <c r="S1204" s="223"/>
      <c r="T1204" s="223"/>
      <c r="U1204" s="223"/>
      <c r="V1204" s="223"/>
    </row>
    <row r="1205" spans="1:22" s="277" customFormat="1" ht="15.75" customHeight="1">
      <c r="A1205" s="468" t="s">
        <v>348</v>
      </c>
      <c r="B1205" s="204" t="s">
        <v>184</v>
      </c>
      <c r="C1205" s="527"/>
      <c r="D1205" s="267"/>
      <c r="E1205" s="706"/>
      <c r="F1205" s="267"/>
      <c r="G1205" s="206"/>
      <c r="H1205" s="268"/>
      <c r="I1205" s="500"/>
      <c r="J1205" s="715"/>
      <c r="K1205" s="552">
        <f t="shared" si="73"/>
        <v>0</v>
      </c>
      <c r="L1205" s="217"/>
      <c r="M1205" s="211">
        <f t="shared" si="72"/>
        <v>-46136</v>
      </c>
      <c r="N1205" s="683">
        <f t="shared" si="74"/>
        <v>7</v>
      </c>
      <c r="O1205" s="212"/>
      <c r="P1205" s="544"/>
      <c r="Q1205" s="561">
        <f t="shared" si="75"/>
        <v>0</v>
      </c>
      <c r="R1205" s="223"/>
      <c r="S1205" s="223"/>
      <c r="T1205" s="223"/>
      <c r="U1205" s="223"/>
      <c r="V1205" s="223"/>
    </row>
    <row r="1206" spans="1:22" s="277" customFormat="1" ht="15.75" customHeight="1">
      <c r="A1206" s="468" t="s">
        <v>348</v>
      </c>
      <c r="B1206" s="204" t="s">
        <v>184</v>
      </c>
      <c r="C1206" s="527"/>
      <c r="D1206" s="267"/>
      <c r="E1206" s="706"/>
      <c r="F1206" s="267"/>
      <c r="G1206" s="206"/>
      <c r="H1206" s="268"/>
      <c r="I1206" s="500"/>
      <c r="J1206" s="715"/>
      <c r="K1206" s="552">
        <f t="shared" si="73"/>
        <v>0</v>
      </c>
      <c r="L1206" s="217"/>
      <c r="M1206" s="211">
        <f t="shared" si="72"/>
        <v>-46136</v>
      </c>
      <c r="N1206" s="683">
        <f t="shared" si="74"/>
        <v>7</v>
      </c>
      <c r="O1206" s="212"/>
      <c r="P1206" s="544"/>
      <c r="Q1206" s="561">
        <f t="shared" si="75"/>
        <v>0</v>
      </c>
      <c r="R1206" s="223"/>
      <c r="S1206" s="223"/>
      <c r="T1206" s="223"/>
      <c r="U1206" s="223"/>
      <c r="V1206" s="223"/>
    </row>
    <row r="1207" spans="1:22" s="277" customFormat="1" ht="15.75" customHeight="1">
      <c r="A1207" s="468" t="s">
        <v>348</v>
      </c>
      <c r="B1207" s="204" t="s">
        <v>184</v>
      </c>
      <c r="C1207" s="527"/>
      <c r="D1207" s="267"/>
      <c r="E1207" s="706"/>
      <c r="F1207" s="267"/>
      <c r="G1207" s="206"/>
      <c r="H1207" s="268"/>
      <c r="I1207" s="500"/>
      <c r="J1207" s="715"/>
      <c r="K1207" s="552">
        <f t="shared" si="73"/>
        <v>0</v>
      </c>
      <c r="L1207" s="217"/>
      <c r="M1207" s="211">
        <f t="shared" si="72"/>
        <v>-46136</v>
      </c>
      <c r="N1207" s="683">
        <f t="shared" si="74"/>
        <v>7</v>
      </c>
      <c r="O1207" s="212"/>
      <c r="P1207" s="544"/>
      <c r="Q1207" s="561">
        <f t="shared" si="75"/>
        <v>0</v>
      </c>
      <c r="R1207" s="223"/>
      <c r="S1207" s="223"/>
      <c r="T1207" s="223"/>
      <c r="U1207" s="223"/>
      <c r="V1207" s="223"/>
    </row>
    <row r="1208" spans="1:22" s="277" customFormat="1" ht="15.75" customHeight="1">
      <c r="A1208" s="468" t="s">
        <v>348</v>
      </c>
      <c r="B1208" s="204" t="s">
        <v>184</v>
      </c>
      <c r="C1208" s="527"/>
      <c r="D1208" s="267"/>
      <c r="E1208" s="706"/>
      <c r="F1208" s="267"/>
      <c r="G1208" s="206"/>
      <c r="H1208" s="268"/>
      <c r="I1208" s="500"/>
      <c r="J1208" s="715"/>
      <c r="K1208" s="552">
        <f t="shared" si="73"/>
        <v>0</v>
      </c>
      <c r="L1208" s="217"/>
      <c r="M1208" s="211">
        <f t="shared" si="72"/>
        <v>-46136</v>
      </c>
      <c r="N1208" s="683">
        <f t="shared" si="74"/>
        <v>7</v>
      </c>
      <c r="O1208" s="212"/>
      <c r="P1208" s="544"/>
      <c r="Q1208" s="561">
        <f t="shared" si="75"/>
        <v>0</v>
      </c>
      <c r="R1208" s="223"/>
      <c r="S1208" s="223"/>
      <c r="T1208" s="223"/>
      <c r="U1208" s="223"/>
      <c r="V1208" s="223"/>
    </row>
    <row r="1209" spans="1:22" s="277" customFormat="1" ht="15.75" customHeight="1">
      <c r="A1209" s="468" t="s">
        <v>348</v>
      </c>
      <c r="B1209" s="204" t="s">
        <v>184</v>
      </c>
      <c r="C1209" s="527"/>
      <c r="D1209" s="267"/>
      <c r="E1209" s="706"/>
      <c r="F1209" s="267"/>
      <c r="G1209" s="206"/>
      <c r="H1209" s="268"/>
      <c r="I1209" s="500"/>
      <c r="J1209" s="715"/>
      <c r="K1209" s="552">
        <f t="shared" si="73"/>
        <v>0</v>
      </c>
      <c r="L1209" s="217"/>
      <c r="M1209" s="211">
        <f t="shared" si="72"/>
        <v>-46136</v>
      </c>
      <c r="N1209" s="683">
        <f t="shared" si="74"/>
        <v>7</v>
      </c>
      <c r="O1209" s="212"/>
      <c r="P1209" s="544"/>
      <c r="Q1209" s="561">
        <f t="shared" si="75"/>
        <v>0</v>
      </c>
      <c r="R1209" s="223"/>
      <c r="S1209" s="223"/>
      <c r="T1209" s="223"/>
      <c r="U1209" s="223"/>
      <c r="V1209" s="223"/>
    </row>
    <row r="1210" spans="1:22" s="277" customFormat="1" ht="15.75" customHeight="1">
      <c r="A1210" s="468" t="s">
        <v>348</v>
      </c>
      <c r="B1210" s="204" t="s">
        <v>184</v>
      </c>
      <c r="C1210" s="527"/>
      <c r="D1210" s="267"/>
      <c r="E1210" s="706"/>
      <c r="F1210" s="267"/>
      <c r="G1210" s="206"/>
      <c r="H1210" s="268"/>
      <c r="I1210" s="500"/>
      <c r="J1210" s="715"/>
      <c r="K1210" s="552">
        <f t="shared" si="73"/>
        <v>0</v>
      </c>
      <c r="L1210" s="217"/>
      <c r="M1210" s="211">
        <f t="shared" si="72"/>
        <v>-46136</v>
      </c>
      <c r="N1210" s="683">
        <f t="shared" si="74"/>
        <v>7</v>
      </c>
      <c r="O1210" s="212"/>
      <c r="P1210" s="544"/>
      <c r="Q1210" s="561">
        <f t="shared" si="75"/>
        <v>0</v>
      </c>
      <c r="R1210" s="223"/>
      <c r="S1210" s="223"/>
      <c r="T1210" s="223"/>
      <c r="U1210" s="223"/>
      <c r="V1210" s="223"/>
    </row>
    <row r="1211" spans="1:22" s="277" customFormat="1" ht="15.75" customHeight="1">
      <c r="A1211" s="468" t="s">
        <v>348</v>
      </c>
      <c r="B1211" s="204" t="s">
        <v>184</v>
      </c>
      <c r="C1211" s="527"/>
      <c r="D1211" s="267"/>
      <c r="E1211" s="706"/>
      <c r="F1211" s="267"/>
      <c r="G1211" s="206"/>
      <c r="H1211" s="268"/>
      <c r="I1211" s="500"/>
      <c r="J1211" s="715"/>
      <c r="K1211" s="552">
        <f t="shared" si="73"/>
        <v>0</v>
      </c>
      <c r="L1211" s="217"/>
      <c r="M1211" s="211">
        <f t="shared" si="72"/>
        <v>-46136</v>
      </c>
      <c r="N1211" s="683">
        <f t="shared" si="74"/>
        <v>7</v>
      </c>
      <c r="O1211" s="212"/>
      <c r="P1211" s="544"/>
      <c r="Q1211" s="561">
        <f t="shared" si="75"/>
        <v>0</v>
      </c>
      <c r="R1211" s="223"/>
      <c r="S1211" s="223"/>
      <c r="T1211" s="223"/>
      <c r="U1211" s="223"/>
      <c r="V1211" s="223"/>
    </row>
    <row r="1212" spans="1:22" s="277" customFormat="1" ht="15.75" customHeight="1">
      <c r="A1212" s="468" t="s">
        <v>348</v>
      </c>
      <c r="B1212" s="204" t="s">
        <v>184</v>
      </c>
      <c r="C1212" s="527"/>
      <c r="D1212" s="267"/>
      <c r="E1212" s="706"/>
      <c r="F1212" s="267"/>
      <c r="G1212" s="206"/>
      <c r="H1212" s="268"/>
      <c r="I1212" s="500"/>
      <c r="J1212" s="715"/>
      <c r="K1212" s="552">
        <f t="shared" si="73"/>
        <v>0</v>
      </c>
      <c r="L1212" s="217"/>
      <c r="M1212" s="211">
        <f t="shared" si="72"/>
        <v>-46136</v>
      </c>
      <c r="N1212" s="683">
        <f t="shared" si="74"/>
        <v>7</v>
      </c>
      <c r="O1212" s="212"/>
      <c r="P1212" s="544"/>
      <c r="Q1212" s="561">
        <f t="shared" si="75"/>
        <v>0</v>
      </c>
      <c r="R1212" s="223"/>
      <c r="S1212" s="223"/>
      <c r="T1212" s="223"/>
      <c r="U1212" s="223"/>
      <c r="V1212" s="223"/>
    </row>
    <row r="1213" spans="1:22" s="277" customFormat="1" ht="15.75" customHeight="1">
      <c r="A1213" s="468" t="s">
        <v>348</v>
      </c>
      <c r="B1213" s="204" t="s">
        <v>184</v>
      </c>
      <c r="C1213" s="527"/>
      <c r="D1213" s="267"/>
      <c r="E1213" s="706"/>
      <c r="F1213" s="267"/>
      <c r="G1213" s="206"/>
      <c r="H1213" s="268"/>
      <c r="I1213" s="501"/>
      <c r="J1213" s="715"/>
      <c r="K1213" s="552">
        <f t="shared" si="73"/>
        <v>0</v>
      </c>
      <c r="L1213" s="217"/>
      <c r="M1213" s="211">
        <f t="shared" si="72"/>
        <v>-46136</v>
      </c>
      <c r="N1213" s="683">
        <f t="shared" si="74"/>
        <v>7</v>
      </c>
      <c r="O1213" s="212"/>
      <c r="P1213" s="544"/>
      <c r="Q1213" s="561">
        <f t="shared" si="75"/>
        <v>0</v>
      </c>
      <c r="R1213" s="223"/>
      <c r="S1213" s="223"/>
      <c r="T1213" s="223"/>
      <c r="U1213" s="223"/>
      <c r="V1213" s="223"/>
    </row>
    <row r="1214" spans="1:22" s="277" customFormat="1" ht="15.75" customHeight="1">
      <c r="A1214" s="468" t="s">
        <v>348</v>
      </c>
      <c r="B1214" s="204" t="s">
        <v>184</v>
      </c>
      <c r="C1214" s="527"/>
      <c r="D1214" s="267"/>
      <c r="E1214" s="706"/>
      <c r="F1214" s="267"/>
      <c r="G1214" s="206"/>
      <c r="H1214" s="268"/>
      <c r="I1214" s="500"/>
      <c r="J1214" s="715"/>
      <c r="K1214" s="552">
        <f t="shared" si="73"/>
        <v>0</v>
      </c>
      <c r="L1214" s="217"/>
      <c r="M1214" s="211">
        <f t="shared" si="72"/>
        <v>-46136</v>
      </c>
      <c r="N1214" s="683">
        <f t="shared" si="74"/>
        <v>7</v>
      </c>
      <c r="O1214" s="212"/>
      <c r="P1214" s="544"/>
      <c r="Q1214" s="561">
        <f t="shared" si="75"/>
        <v>0</v>
      </c>
      <c r="R1214" s="223"/>
      <c r="S1214" s="223"/>
      <c r="T1214" s="223"/>
      <c r="U1214" s="223"/>
      <c r="V1214" s="223"/>
    </row>
    <row r="1215" spans="1:22" s="277" customFormat="1" ht="15.75" customHeight="1">
      <c r="A1215" s="468" t="s">
        <v>348</v>
      </c>
      <c r="B1215" s="204" t="s">
        <v>184</v>
      </c>
      <c r="C1215" s="527"/>
      <c r="D1215" s="267"/>
      <c r="E1215" s="706"/>
      <c r="F1215" s="267"/>
      <c r="G1215" s="206"/>
      <c r="H1215" s="268"/>
      <c r="I1215" s="500"/>
      <c r="J1215" s="715"/>
      <c r="K1215" s="552">
        <f t="shared" si="73"/>
        <v>0</v>
      </c>
      <c r="L1215" s="217"/>
      <c r="M1215" s="211">
        <f t="shared" si="72"/>
        <v>-46136</v>
      </c>
      <c r="N1215" s="683">
        <f t="shared" si="74"/>
        <v>7</v>
      </c>
      <c r="O1215" s="212"/>
      <c r="P1215" s="544"/>
      <c r="Q1215" s="561">
        <f t="shared" si="75"/>
        <v>0</v>
      </c>
      <c r="R1215" s="223"/>
      <c r="S1215" s="223"/>
      <c r="T1215" s="223"/>
      <c r="U1215" s="223"/>
      <c r="V1215" s="223"/>
    </row>
    <row r="1216" spans="1:22" s="277" customFormat="1" ht="15.75" customHeight="1">
      <c r="A1216" s="468" t="s">
        <v>348</v>
      </c>
      <c r="B1216" s="204" t="s">
        <v>184</v>
      </c>
      <c r="C1216" s="527"/>
      <c r="D1216" s="267"/>
      <c r="E1216" s="706"/>
      <c r="F1216" s="267"/>
      <c r="G1216" s="206"/>
      <c r="H1216" s="268"/>
      <c r="I1216" s="500"/>
      <c r="J1216" s="715"/>
      <c r="K1216" s="552">
        <f t="shared" si="73"/>
        <v>0</v>
      </c>
      <c r="L1216" s="217"/>
      <c r="M1216" s="211">
        <f t="shared" si="72"/>
        <v>-46136</v>
      </c>
      <c r="N1216" s="683">
        <f t="shared" si="74"/>
        <v>7</v>
      </c>
      <c r="O1216" s="212"/>
      <c r="P1216" s="544"/>
      <c r="Q1216" s="561">
        <f t="shared" si="75"/>
        <v>0</v>
      </c>
      <c r="R1216" s="223"/>
      <c r="S1216" s="223"/>
      <c r="T1216" s="223"/>
      <c r="U1216" s="223"/>
      <c r="V1216" s="223"/>
    </row>
    <row r="1217" spans="1:22" s="277" customFormat="1" ht="15.75" customHeight="1">
      <c r="A1217" s="468" t="s">
        <v>348</v>
      </c>
      <c r="B1217" s="204" t="s">
        <v>184</v>
      </c>
      <c r="C1217" s="527"/>
      <c r="D1217" s="267"/>
      <c r="E1217" s="706"/>
      <c r="F1217" s="267"/>
      <c r="G1217" s="206"/>
      <c r="H1217" s="268"/>
      <c r="I1217" s="500"/>
      <c r="J1217" s="715"/>
      <c r="K1217" s="552">
        <f t="shared" si="73"/>
        <v>0</v>
      </c>
      <c r="L1217" s="217"/>
      <c r="M1217" s="211">
        <f t="shared" si="72"/>
        <v>-46136</v>
      </c>
      <c r="N1217" s="683">
        <f t="shared" si="74"/>
        <v>7</v>
      </c>
      <c r="O1217" s="212"/>
      <c r="P1217" s="544"/>
      <c r="Q1217" s="561">
        <f t="shared" si="75"/>
        <v>0</v>
      </c>
      <c r="R1217" s="223"/>
      <c r="S1217" s="223"/>
      <c r="T1217" s="223"/>
      <c r="U1217" s="223"/>
      <c r="V1217" s="223"/>
    </row>
    <row r="1218" spans="1:22" s="277" customFormat="1" ht="15.75" customHeight="1">
      <c r="A1218" s="468" t="s">
        <v>348</v>
      </c>
      <c r="B1218" s="204" t="s">
        <v>184</v>
      </c>
      <c r="C1218" s="527"/>
      <c r="D1218" s="267"/>
      <c r="E1218" s="706"/>
      <c r="F1218" s="267"/>
      <c r="G1218" s="206"/>
      <c r="H1218" s="268"/>
      <c r="I1218" s="500"/>
      <c r="J1218" s="715"/>
      <c r="K1218" s="552">
        <f t="shared" si="73"/>
        <v>0</v>
      </c>
      <c r="L1218" s="217"/>
      <c r="M1218" s="211">
        <f t="shared" si="72"/>
        <v>-46136</v>
      </c>
      <c r="N1218" s="683">
        <f t="shared" si="74"/>
        <v>7</v>
      </c>
      <c r="O1218" s="212"/>
      <c r="P1218" s="544"/>
      <c r="Q1218" s="561">
        <f t="shared" si="75"/>
        <v>0</v>
      </c>
      <c r="R1218" s="223"/>
      <c r="S1218" s="223"/>
      <c r="T1218" s="223"/>
      <c r="U1218" s="223"/>
      <c r="V1218" s="223"/>
    </row>
    <row r="1219" spans="1:22" s="277" customFormat="1" ht="15.75" customHeight="1">
      <c r="A1219" s="468" t="s">
        <v>348</v>
      </c>
      <c r="B1219" s="204" t="s">
        <v>184</v>
      </c>
      <c r="C1219" s="527"/>
      <c r="D1219" s="267"/>
      <c r="E1219" s="706"/>
      <c r="F1219" s="267"/>
      <c r="G1219" s="206"/>
      <c r="H1219" s="268"/>
      <c r="I1219" s="500"/>
      <c r="J1219" s="715"/>
      <c r="K1219" s="552">
        <f t="shared" si="73"/>
        <v>0</v>
      </c>
      <c r="L1219" s="217"/>
      <c r="M1219" s="211">
        <f t="shared" si="72"/>
        <v>-46136</v>
      </c>
      <c r="N1219" s="683">
        <f t="shared" si="74"/>
        <v>7</v>
      </c>
      <c r="O1219" s="212"/>
      <c r="P1219" s="544"/>
      <c r="Q1219" s="561">
        <f t="shared" si="75"/>
        <v>0</v>
      </c>
      <c r="R1219" s="223"/>
      <c r="S1219" s="223"/>
      <c r="T1219" s="223"/>
      <c r="U1219" s="223"/>
      <c r="V1219" s="223"/>
    </row>
    <row r="1220" spans="1:22" s="277" customFormat="1" ht="15.75" customHeight="1">
      <c r="A1220" s="468" t="s">
        <v>348</v>
      </c>
      <c r="B1220" s="204" t="s">
        <v>184</v>
      </c>
      <c r="C1220" s="527"/>
      <c r="D1220" s="205"/>
      <c r="E1220" s="708"/>
      <c r="F1220" s="205"/>
      <c r="G1220" s="206"/>
      <c r="H1220" s="268"/>
      <c r="I1220" s="500"/>
      <c r="J1220" s="715"/>
      <c r="K1220" s="552">
        <f t="shared" si="73"/>
        <v>0</v>
      </c>
      <c r="L1220" s="217"/>
      <c r="M1220" s="211">
        <f t="shared" si="72"/>
        <v>-46136</v>
      </c>
      <c r="N1220" s="683">
        <f t="shared" si="74"/>
        <v>7</v>
      </c>
      <c r="O1220" s="212"/>
      <c r="P1220" s="544"/>
      <c r="Q1220" s="561">
        <f t="shared" si="75"/>
        <v>0</v>
      </c>
      <c r="R1220" s="223"/>
      <c r="S1220" s="223"/>
      <c r="T1220" s="223"/>
      <c r="U1220" s="223"/>
      <c r="V1220" s="223"/>
    </row>
    <row r="1221" spans="1:22" s="277" customFormat="1" ht="15.75" customHeight="1">
      <c r="A1221" s="468" t="s">
        <v>348</v>
      </c>
      <c r="B1221" s="204" t="s">
        <v>184</v>
      </c>
      <c r="C1221" s="527"/>
      <c r="D1221" s="205"/>
      <c r="E1221" s="708"/>
      <c r="F1221" s="205"/>
      <c r="G1221" s="206"/>
      <c r="H1221" s="268"/>
      <c r="I1221" s="501"/>
      <c r="J1221" s="715"/>
      <c r="K1221" s="552">
        <f t="shared" si="73"/>
        <v>0</v>
      </c>
      <c r="L1221" s="217"/>
      <c r="M1221" s="211">
        <f t="shared" si="72"/>
        <v>-46136</v>
      </c>
      <c r="N1221" s="683">
        <f t="shared" si="74"/>
        <v>7</v>
      </c>
      <c r="O1221" s="212"/>
      <c r="P1221" s="544"/>
      <c r="Q1221" s="561">
        <f t="shared" si="75"/>
        <v>0</v>
      </c>
      <c r="R1221" s="223"/>
      <c r="S1221" s="223"/>
      <c r="T1221" s="223"/>
      <c r="U1221" s="223"/>
      <c r="V1221" s="223"/>
    </row>
    <row r="1222" spans="1:22" s="277" customFormat="1" ht="15.75" customHeight="1">
      <c r="A1222" s="468" t="s">
        <v>348</v>
      </c>
      <c r="B1222" s="204" t="s">
        <v>184</v>
      </c>
      <c r="C1222" s="527"/>
      <c r="D1222" s="205"/>
      <c r="E1222" s="708"/>
      <c r="F1222" s="205"/>
      <c r="G1222" s="206"/>
      <c r="H1222" s="268"/>
      <c r="I1222" s="501"/>
      <c r="J1222" s="715"/>
      <c r="K1222" s="552">
        <f t="shared" si="73"/>
        <v>0</v>
      </c>
      <c r="L1222" s="217"/>
      <c r="M1222" s="211">
        <f t="shared" si="72"/>
        <v>-46136</v>
      </c>
      <c r="N1222" s="683">
        <f t="shared" si="74"/>
        <v>7</v>
      </c>
      <c r="O1222" s="212"/>
      <c r="P1222" s="544"/>
      <c r="Q1222" s="561">
        <f t="shared" si="75"/>
        <v>0</v>
      </c>
      <c r="R1222" s="223"/>
      <c r="S1222" s="223"/>
      <c r="T1222" s="223"/>
      <c r="U1222" s="223"/>
      <c r="V1222" s="223"/>
    </row>
    <row r="1223" spans="1:22" s="277" customFormat="1" ht="15.75" customHeight="1">
      <c r="A1223" s="468" t="s">
        <v>348</v>
      </c>
      <c r="B1223" s="204" t="s">
        <v>184</v>
      </c>
      <c r="C1223" s="527"/>
      <c r="D1223" s="205"/>
      <c r="E1223" s="708"/>
      <c r="F1223" s="205"/>
      <c r="G1223" s="206"/>
      <c r="H1223" s="268"/>
      <c r="I1223" s="500"/>
      <c r="J1223" s="715"/>
      <c r="K1223" s="552">
        <f t="shared" si="73"/>
        <v>0</v>
      </c>
      <c r="L1223" s="217"/>
      <c r="M1223" s="211">
        <f t="shared" si="72"/>
        <v>-46136</v>
      </c>
      <c r="N1223" s="683">
        <f t="shared" si="74"/>
        <v>7</v>
      </c>
      <c r="O1223" s="212"/>
      <c r="P1223" s="544"/>
      <c r="Q1223" s="561">
        <f t="shared" si="75"/>
        <v>0</v>
      </c>
      <c r="R1223" s="223"/>
      <c r="S1223" s="223"/>
      <c r="T1223" s="223"/>
      <c r="U1223" s="223"/>
      <c r="V1223" s="223"/>
    </row>
    <row r="1224" spans="1:22" s="277" customFormat="1" ht="15.75" customHeight="1">
      <c r="A1224" s="468" t="s">
        <v>348</v>
      </c>
      <c r="B1224" s="204" t="s">
        <v>184</v>
      </c>
      <c r="C1224" s="527"/>
      <c r="D1224" s="205"/>
      <c r="E1224" s="708"/>
      <c r="F1224" s="205"/>
      <c r="G1224" s="206"/>
      <c r="H1224" s="268"/>
      <c r="I1224" s="501"/>
      <c r="J1224" s="715"/>
      <c r="K1224" s="552">
        <f t="shared" si="73"/>
        <v>0</v>
      </c>
      <c r="L1224" s="217"/>
      <c r="M1224" s="211">
        <f t="shared" si="72"/>
        <v>-46136</v>
      </c>
      <c r="N1224" s="683">
        <f t="shared" si="74"/>
        <v>7</v>
      </c>
      <c r="O1224" s="212"/>
      <c r="P1224" s="544"/>
      <c r="Q1224" s="561">
        <f t="shared" si="75"/>
        <v>0</v>
      </c>
      <c r="R1224" s="223"/>
      <c r="S1224" s="223"/>
      <c r="T1224" s="223"/>
      <c r="U1224" s="223"/>
      <c r="V1224" s="223"/>
    </row>
    <row r="1225" spans="1:22" s="277" customFormat="1" ht="15.75" customHeight="1">
      <c r="A1225" s="468" t="s">
        <v>348</v>
      </c>
      <c r="B1225" s="204" t="s">
        <v>184</v>
      </c>
      <c r="C1225" s="527"/>
      <c r="D1225" s="205"/>
      <c r="E1225" s="708"/>
      <c r="F1225" s="205"/>
      <c r="G1225" s="206"/>
      <c r="H1225" s="268"/>
      <c r="I1225" s="500"/>
      <c r="J1225" s="715"/>
      <c r="K1225" s="552">
        <f t="shared" si="73"/>
        <v>0</v>
      </c>
      <c r="L1225" s="217"/>
      <c r="M1225" s="211">
        <f t="shared" ref="M1225:M1288" si="76">+L1225-$E$6</f>
        <v>-46136</v>
      </c>
      <c r="N1225" s="683">
        <f t="shared" si="74"/>
        <v>7</v>
      </c>
      <c r="O1225" s="212"/>
      <c r="P1225" s="544"/>
      <c r="Q1225" s="561">
        <f t="shared" si="75"/>
        <v>0</v>
      </c>
      <c r="R1225" s="223"/>
      <c r="S1225" s="223"/>
      <c r="T1225" s="223"/>
      <c r="U1225" s="223"/>
      <c r="V1225" s="223"/>
    </row>
    <row r="1226" spans="1:22" s="277" customFormat="1" ht="15.75" customHeight="1">
      <c r="A1226" s="468" t="s">
        <v>348</v>
      </c>
      <c r="B1226" s="204" t="s">
        <v>184</v>
      </c>
      <c r="C1226" s="527"/>
      <c r="D1226" s="205"/>
      <c r="E1226" s="708"/>
      <c r="F1226" s="205"/>
      <c r="G1226" s="206"/>
      <c r="H1226" s="268"/>
      <c r="I1226" s="501"/>
      <c r="J1226" s="715"/>
      <c r="K1226" s="552">
        <f t="shared" ref="K1226:K1289" si="77">-J1226</f>
        <v>0</v>
      </c>
      <c r="L1226" s="217"/>
      <c r="M1226" s="211">
        <f t="shared" si="76"/>
        <v>-46136</v>
      </c>
      <c r="N1226" s="683">
        <f t="shared" ref="N1226:N1289" si="78">+L1226+7</f>
        <v>7</v>
      </c>
      <c r="O1226" s="212"/>
      <c r="P1226" s="544"/>
      <c r="Q1226" s="561">
        <f t="shared" si="75"/>
        <v>0</v>
      </c>
      <c r="R1226" s="223"/>
      <c r="S1226" s="223"/>
      <c r="T1226" s="223"/>
      <c r="U1226" s="223"/>
      <c r="V1226" s="223"/>
    </row>
    <row r="1227" spans="1:22" s="277" customFormat="1" ht="15.75" customHeight="1">
      <c r="A1227" s="468" t="s">
        <v>348</v>
      </c>
      <c r="B1227" s="204" t="s">
        <v>184</v>
      </c>
      <c r="C1227" s="527"/>
      <c r="D1227" s="205"/>
      <c r="E1227" s="708"/>
      <c r="F1227" s="205"/>
      <c r="G1227" s="206"/>
      <c r="H1227" s="268"/>
      <c r="I1227" s="500"/>
      <c r="J1227" s="715"/>
      <c r="K1227" s="552">
        <f t="shared" si="77"/>
        <v>0</v>
      </c>
      <c r="L1227" s="217"/>
      <c r="M1227" s="211">
        <f t="shared" si="76"/>
        <v>-46136</v>
      </c>
      <c r="N1227" s="683">
        <f t="shared" si="78"/>
        <v>7</v>
      </c>
      <c r="O1227" s="212"/>
      <c r="P1227" s="544"/>
      <c r="Q1227" s="561">
        <f t="shared" si="75"/>
        <v>0</v>
      </c>
      <c r="R1227" s="223"/>
      <c r="S1227" s="223"/>
      <c r="T1227" s="223"/>
      <c r="U1227" s="223"/>
      <c r="V1227" s="223"/>
    </row>
    <row r="1228" spans="1:22" s="277" customFormat="1" ht="15.75" customHeight="1">
      <c r="A1228" s="468" t="s">
        <v>348</v>
      </c>
      <c r="B1228" s="204" t="s">
        <v>184</v>
      </c>
      <c r="C1228" s="527"/>
      <c r="D1228" s="205"/>
      <c r="E1228" s="708"/>
      <c r="F1228" s="205"/>
      <c r="G1228" s="206"/>
      <c r="H1228" s="268"/>
      <c r="I1228" s="500"/>
      <c r="J1228" s="715"/>
      <c r="K1228" s="552">
        <f t="shared" si="77"/>
        <v>0</v>
      </c>
      <c r="L1228" s="217"/>
      <c r="M1228" s="211">
        <f t="shared" si="76"/>
        <v>-46136</v>
      </c>
      <c r="N1228" s="683">
        <f t="shared" si="78"/>
        <v>7</v>
      </c>
      <c r="O1228" s="212"/>
      <c r="P1228" s="544"/>
      <c r="Q1228" s="561">
        <f t="shared" si="75"/>
        <v>0</v>
      </c>
      <c r="R1228" s="223"/>
      <c r="S1228" s="223"/>
      <c r="T1228" s="223"/>
      <c r="U1228" s="223"/>
      <c r="V1228" s="223"/>
    </row>
    <row r="1229" spans="1:22" s="277" customFormat="1" ht="15.75" customHeight="1">
      <c r="A1229" s="468" t="s">
        <v>348</v>
      </c>
      <c r="B1229" s="204" t="s">
        <v>184</v>
      </c>
      <c r="C1229" s="527"/>
      <c r="D1229" s="205"/>
      <c r="E1229" s="708"/>
      <c r="F1229" s="205"/>
      <c r="G1229" s="206"/>
      <c r="H1229" s="268"/>
      <c r="I1229" s="500"/>
      <c r="J1229" s="715"/>
      <c r="K1229" s="552">
        <f t="shared" si="77"/>
        <v>0</v>
      </c>
      <c r="L1229" s="217"/>
      <c r="M1229" s="211">
        <f t="shared" si="76"/>
        <v>-46136</v>
      </c>
      <c r="N1229" s="683">
        <f t="shared" si="78"/>
        <v>7</v>
      </c>
      <c r="O1229" s="212"/>
      <c r="P1229" s="544"/>
      <c r="Q1229" s="561">
        <f t="shared" si="75"/>
        <v>0</v>
      </c>
      <c r="R1229" s="223"/>
      <c r="S1229" s="223"/>
      <c r="T1229" s="223"/>
      <c r="U1229" s="223"/>
      <c r="V1229" s="223"/>
    </row>
    <row r="1230" spans="1:22" s="277" customFormat="1" ht="15.75" customHeight="1">
      <c r="A1230" s="468" t="s">
        <v>348</v>
      </c>
      <c r="B1230" s="204" t="s">
        <v>184</v>
      </c>
      <c r="C1230" s="527"/>
      <c r="D1230" s="205"/>
      <c r="E1230" s="708"/>
      <c r="F1230" s="205"/>
      <c r="G1230" s="206"/>
      <c r="H1230" s="268"/>
      <c r="I1230" s="500"/>
      <c r="J1230" s="715"/>
      <c r="K1230" s="552">
        <f t="shared" si="77"/>
        <v>0</v>
      </c>
      <c r="L1230" s="217"/>
      <c r="M1230" s="211">
        <f t="shared" si="76"/>
        <v>-46136</v>
      </c>
      <c r="N1230" s="683">
        <f t="shared" si="78"/>
        <v>7</v>
      </c>
      <c r="O1230" s="212"/>
      <c r="P1230" s="544"/>
      <c r="Q1230" s="561">
        <f t="shared" si="75"/>
        <v>0</v>
      </c>
      <c r="R1230" s="223"/>
      <c r="S1230" s="223"/>
      <c r="T1230" s="223"/>
      <c r="U1230" s="223"/>
      <c r="V1230" s="223"/>
    </row>
    <row r="1231" spans="1:22" s="277" customFormat="1" ht="15.75" customHeight="1">
      <c r="A1231" s="468" t="s">
        <v>348</v>
      </c>
      <c r="B1231" s="204" t="s">
        <v>184</v>
      </c>
      <c r="C1231" s="527"/>
      <c r="D1231" s="205"/>
      <c r="E1231" s="708"/>
      <c r="F1231" s="205"/>
      <c r="G1231" s="206"/>
      <c r="H1231" s="268"/>
      <c r="I1231" s="502"/>
      <c r="J1231" s="715"/>
      <c r="K1231" s="552">
        <f t="shared" si="77"/>
        <v>0</v>
      </c>
      <c r="L1231" s="217"/>
      <c r="M1231" s="211">
        <f t="shared" si="76"/>
        <v>-46136</v>
      </c>
      <c r="N1231" s="683">
        <f t="shared" si="78"/>
        <v>7</v>
      </c>
      <c r="O1231" s="212"/>
      <c r="P1231" s="544"/>
      <c r="Q1231" s="561">
        <f t="shared" si="75"/>
        <v>0</v>
      </c>
      <c r="R1231" s="223"/>
      <c r="S1231" s="223"/>
      <c r="T1231" s="223"/>
      <c r="U1231" s="223"/>
      <c r="V1231" s="223"/>
    </row>
    <row r="1232" spans="1:22" s="277" customFormat="1" ht="15.75" customHeight="1">
      <c r="A1232" s="468" t="s">
        <v>348</v>
      </c>
      <c r="B1232" s="204" t="s">
        <v>184</v>
      </c>
      <c r="C1232" s="527"/>
      <c r="D1232" s="205"/>
      <c r="E1232" s="708"/>
      <c r="F1232" s="205"/>
      <c r="G1232" s="206"/>
      <c r="H1232" s="268"/>
      <c r="I1232" s="500"/>
      <c r="J1232" s="715"/>
      <c r="K1232" s="552">
        <f t="shared" si="77"/>
        <v>0</v>
      </c>
      <c r="L1232" s="217"/>
      <c r="M1232" s="211">
        <f t="shared" si="76"/>
        <v>-46136</v>
      </c>
      <c r="N1232" s="683">
        <f t="shared" si="78"/>
        <v>7</v>
      </c>
      <c r="O1232" s="212"/>
      <c r="P1232" s="544"/>
      <c r="Q1232" s="561">
        <f t="shared" si="75"/>
        <v>0</v>
      </c>
      <c r="R1232" s="223"/>
      <c r="S1232" s="223"/>
      <c r="T1232" s="223"/>
      <c r="U1232" s="223"/>
      <c r="V1232" s="223"/>
    </row>
    <row r="1233" spans="1:22" s="277" customFormat="1" ht="15.75" customHeight="1">
      <c r="A1233" s="468" t="s">
        <v>348</v>
      </c>
      <c r="B1233" s="204" t="s">
        <v>184</v>
      </c>
      <c r="C1233" s="527"/>
      <c r="D1233" s="267"/>
      <c r="E1233" s="706"/>
      <c r="F1233" s="267"/>
      <c r="G1233" s="206"/>
      <c r="H1233" s="268"/>
      <c r="I1233" s="500"/>
      <c r="J1233" s="715"/>
      <c r="K1233" s="552">
        <f t="shared" si="77"/>
        <v>0</v>
      </c>
      <c r="L1233" s="217"/>
      <c r="M1233" s="211">
        <f t="shared" si="76"/>
        <v>-46136</v>
      </c>
      <c r="N1233" s="683">
        <f t="shared" si="78"/>
        <v>7</v>
      </c>
      <c r="O1233" s="212"/>
      <c r="P1233" s="544"/>
      <c r="Q1233" s="561">
        <f t="shared" si="75"/>
        <v>0</v>
      </c>
      <c r="R1233" s="223"/>
      <c r="S1233" s="223"/>
      <c r="T1233" s="223"/>
      <c r="U1233" s="223"/>
      <c r="V1233" s="223"/>
    </row>
    <row r="1234" spans="1:22" s="277" customFormat="1" ht="15.75" customHeight="1">
      <c r="A1234" s="468" t="s">
        <v>348</v>
      </c>
      <c r="B1234" s="204" t="s">
        <v>184</v>
      </c>
      <c r="C1234" s="527"/>
      <c r="D1234" s="267"/>
      <c r="E1234" s="706"/>
      <c r="F1234" s="267"/>
      <c r="G1234" s="206"/>
      <c r="H1234" s="268"/>
      <c r="I1234" s="276"/>
      <c r="J1234" s="715"/>
      <c r="K1234" s="552">
        <f t="shared" si="77"/>
        <v>0</v>
      </c>
      <c r="L1234" s="217"/>
      <c r="M1234" s="211">
        <f t="shared" si="76"/>
        <v>-46136</v>
      </c>
      <c r="N1234" s="683">
        <f t="shared" si="78"/>
        <v>7</v>
      </c>
      <c r="O1234" s="212"/>
      <c r="P1234" s="544"/>
      <c r="Q1234" s="561">
        <f t="shared" si="75"/>
        <v>0</v>
      </c>
      <c r="R1234" s="223"/>
      <c r="S1234" s="223"/>
      <c r="T1234" s="223"/>
      <c r="U1234" s="223"/>
      <c r="V1234" s="223"/>
    </row>
    <row r="1235" spans="1:22" s="277" customFormat="1" ht="15.75" customHeight="1">
      <c r="A1235" s="468" t="s">
        <v>348</v>
      </c>
      <c r="B1235" s="204" t="s">
        <v>184</v>
      </c>
      <c r="C1235" s="527"/>
      <c r="D1235" s="712"/>
      <c r="E1235" s="706"/>
      <c r="F1235" s="712"/>
      <c r="G1235" s="206"/>
      <c r="H1235" s="268"/>
      <c r="I1235" s="500"/>
      <c r="J1235" s="715"/>
      <c r="K1235" s="552">
        <f t="shared" si="77"/>
        <v>0</v>
      </c>
      <c r="L1235" s="217"/>
      <c r="M1235" s="211">
        <f t="shared" si="76"/>
        <v>-46136</v>
      </c>
      <c r="N1235" s="683">
        <f t="shared" si="78"/>
        <v>7</v>
      </c>
      <c r="O1235" s="212"/>
      <c r="P1235" s="544"/>
      <c r="Q1235" s="561">
        <f t="shared" si="75"/>
        <v>0</v>
      </c>
      <c r="R1235" s="223"/>
      <c r="S1235" s="223"/>
      <c r="T1235" s="223"/>
      <c r="U1235" s="223"/>
      <c r="V1235" s="223"/>
    </row>
    <row r="1236" spans="1:22" s="277" customFormat="1" ht="15.75" customHeight="1">
      <c r="A1236" s="468" t="s">
        <v>348</v>
      </c>
      <c r="B1236" s="204" t="s">
        <v>184</v>
      </c>
      <c r="C1236" s="527"/>
      <c r="D1236" s="267"/>
      <c r="E1236" s="706"/>
      <c r="F1236" s="267"/>
      <c r="G1236" s="206"/>
      <c r="H1236" s="268"/>
      <c r="I1236" s="500"/>
      <c r="J1236" s="715"/>
      <c r="K1236" s="552">
        <f t="shared" si="77"/>
        <v>0</v>
      </c>
      <c r="L1236" s="217"/>
      <c r="M1236" s="211">
        <f t="shared" si="76"/>
        <v>-46136</v>
      </c>
      <c r="N1236" s="683">
        <f t="shared" si="78"/>
        <v>7</v>
      </c>
      <c r="O1236" s="212"/>
      <c r="P1236" s="544"/>
      <c r="Q1236" s="561">
        <f t="shared" si="75"/>
        <v>0</v>
      </c>
      <c r="R1236" s="223"/>
      <c r="S1236" s="223"/>
      <c r="T1236" s="223"/>
      <c r="U1236" s="223"/>
      <c r="V1236" s="223"/>
    </row>
    <row r="1237" spans="1:22" s="277" customFormat="1" ht="15.75" customHeight="1">
      <c r="A1237" s="468" t="s">
        <v>348</v>
      </c>
      <c r="B1237" s="204" t="s">
        <v>184</v>
      </c>
      <c r="C1237" s="527"/>
      <c r="D1237" s="267"/>
      <c r="E1237" s="706"/>
      <c r="F1237" s="267"/>
      <c r="G1237" s="206"/>
      <c r="H1237" s="268"/>
      <c r="I1237" s="502"/>
      <c r="J1237" s="715"/>
      <c r="K1237" s="552">
        <f t="shared" si="77"/>
        <v>0</v>
      </c>
      <c r="L1237" s="217"/>
      <c r="M1237" s="211">
        <f t="shared" si="76"/>
        <v>-46136</v>
      </c>
      <c r="N1237" s="683">
        <f t="shared" si="78"/>
        <v>7</v>
      </c>
      <c r="O1237" s="212"/>
      <c r="P1237" s="544"/>
      <c r="Q1237" s="561">
        <f t="shared" si="75"/>
        <v>0</v>
      </c>
      <c r="R1237" s="223"/>
      <c r="S1237" s="223"/>
      <c r="T1237" s="223"/>
      <c r="U1237" s="223"/>
      <c r="V1237" s="223"/>
    </row>
    <row r="1238" spans="1:22" s="277" customFormat="1" ht="15.75" customHeight="1">
      <c r="A1238" s="468" t="s">
        <v>348</v>
      </c>
      <c r="B1238" s="204" t="s">
        <v>184</v>
      </c>
      <c r="C1238" s="527"/>
      <c r="D1238" s="267"/>
      <c r="E1238" s="706"/>
      <c r="F1238" s="267"/>
      <c r="G1238" s="206"/>
      <c r="H1238" s="268"/>
      <c r="I1238" s="500"/>
      <c r="J1238" s="715"/>
      <c r="K1238" s="552">
        <f t="shared" si="77"/>
        <v>0</v>
      </c>
      <c r="L1238" s="217"/>
      <c r="M1238" s="211">
        <f t="shared" si="76"/>
        <v>-46136</v>
      </c>
      <c r="N1238" s="683">
        <f t="shared" si="78"/>
        <v>7</v>
      </c>
      <c r="O1238" s="212"/>
      <c r="P1238" s="544"/>
      <c r="Q1238" s="561">
        <f t="shared" si="75"/>
        <v>0</v>
      </c>
      <c r="R1238" s="223"/>
      <c r="S1238" s="223"/>
      <c r="T1238" s="223"/>
      <c r="U1238" s="223"/>
      <c r="V1238" s="223"/>
    </row>
    <row r="1239" spans="1:22" s="277" customFormat="1" ht="15.75" customHeight="1">
      <c r="A1239" s="468" t="s">
        <v>348</v>
      </c>
      <c r="B1239" s="204" t="s">
        <v>184</v>
      </c>
      <c r="C1239" s="527"/>
      <c r="D1239" s="267"/>
      <c r="E1239" s="706"/>
      <c r="F1239" s="267"/>
      <c r="G1239" s="206"/>
      <c r="H1239" s="268"/>
      <c r="I1239" s="500"/>
      <c r="J1239" s="715"/>
      <c r="K1239" s="552">
        <f t="shared" si="77"/>
        <v>0</v>
      </c>
      <c r="L1239" s="217"/>
      <c r="M1239" s="211">
        <f t="shared" si="76"/>
        <v>-46136</v>
      </c>
      <c r="N1239" s="683">
        <f t="shared" si="78"/>
        <v>7</v>
      </c>
      <c r="O1239" s="212"/>
      <c r="P1239" s="544"/>
      <c r="Q1239" s="561">
        <f t="shared" si="75"/>
        <v>0</v>
      </c>
      <c r="R1239" s="223"/>
      <c r="S1239" s="223"/>
      <c r="T1239" s="223"/>
      <c r="U1239" s="223"/>
      <c r="V1239" s="223"/>
    </row>
    <row r="1240" spans="1:22" s="277" customFormat="1" ht="15.75" customHeight="1">
      <c r="A1240" s="468" t="s">
        <v>348</v>
      </c>
      <c r="B1240" s="204" t="s">
        <v>184</v>
      </c>
      <c r="C1240" s="527"/>
      <c r="D1240" s="267"/>
      <c r="E1240" s="706"/>
      <c r="F1240" s="267"/>
      <c r="G1240" s="206"/>
      <c r="H1240" s="268"/>
      <c r="I1240" s="500"/>
      <c r="J1240" s="715"/>
      <c r="K1240" s="552">
        <f t="shared" si="77"/>
        <v>0</v>
      </c>
      <c r="L1240" s="217"/>
      <c r="M1240" s="211">
        <f t="shared" si="76"/>
        <v>-46136</v>
      </c>
      <c r="N1240" s="683">
        <f t="shared" si="78"/>
        <v>7</v>
      </c>
      <c r="O1240" s="212"/>
      <c r="P1240" s="544"/>
      <c r="Q1240" s="561">
        <f t="shared" si="75"/>
        <v>0</v>
      </c>
      <c r="R1240" s="223"/>
      <c r="S1240" s="223"/>
      <c r="T1240" s="223"/>
      <c r="U1240" s="223"/>
      <c r="V1240" s="223"/>
    </row>
    <row r="1241" spans="1:22" s="274" customFormat="1" ht="15.75" customHeight="1">
      <c r="A1241" s="468" t="s">
        <v>348</v>
      </c>
      <c r="B1241" s="204" t="s">
        <v>184</v>
      </c>
      <c r="C1241" s="527"/>
      <c r="D1241" s="267"/>
      <c r="E1241" s="706"/>
      <c r="F1241" s="267"/>
      <c r="G1241" s="206"/>
      <c r="H1241" s="268"/>
      <c r="I1241" s="500"/>
      <c r="J1241" s="715"/>
      <c r="K1241" s="552">
        <f t="shared" si="77"/>
        <v>0</v>
      </c>
      <c r="L1241" s="217"/>
      <c r="M1241" s="211">
        <f t="shared" si="76"/>
        <v>-46136</v>
      </c>
      <c r="N1241" s="683">
        <f t="shared" si="78"/>
        <v>7</v>
      </c>
      <c r="O1241" s="212"/>
      <c r="P1241" s="544"/>
      <c r="Q1241" s="561">
        <f t="shared" si="75"/>
        <v>0</v>
      </c>
      <c r="R1241" s="223"/>
      <c r="S1241" s="223"/>
      <c r="T1241" s="223"/>
      <c r="U1241" s="223"/>
      <c r="V1241" s="223"/>
    </row>
    <row r="1242" spans="1:22" s="274" customFormat="1" ht="15.75" customHeight="1">
      <c r="A1242" s="468" t="s">
        <v>348</v>
      </c>
      <c r="B1242" s="204" t="s">
        <v>184</v>
      </c>
      <c r="C1242" s="527"/>
      <c r="D1242" s="267"/>
      <c r="E1242" s="706"/>
      <c r="F1242" s="267"/>
      <c r="G1242" s="206"/>
      <c r="H1242" s="268"/>
      <c r="I1242" s="500"/>
      <c r="J1242" s="715"/>
      <c r="K1242" s="552">
        <f t="shared" si="77"/>
        <v>0</v>
      </c>
      <c r="L1242" s="217"/>
      <c r="M1242" s="211">
        <f t="shared" si="76"/>
        <v>-46136</v>
      </c>
      <c r="N1242" s="683">
        <f t="shared" si="78"/>
        <v>7</v>
      </c>
      <c r="O1242" s="212"/>
      <c r="P1242" s="544"/>
      <c r="Q1242" s="561">
        <f t="shared" si="75"/>
        <v>0</v>
      </c>
      <c r="R1242" s="223"/>
      <c r="S1242" s="223"/>
      <c r="T1242" s="223"/>
      <c r="U1242" s="223"/>
      <c r="V1242" s="223"/>
    </row>
    <row r="1243" spans="1:22" s="274" customFormat="1" ht="15.75" customHeight="1">
      <c r="A1243" s="468" t="s">
        <v>348</v>
      </c>
      <c r="B1243" s="204" t="s">
        <v>184</v>
      </c>
      <c r="C1243" s="527"/>
      <c r="D1243" s="267"/>
      <c r="E1243" s="706"/>
      <c r="F1243" s="267"/>
      <c r="G1243" s="486"/>
      <c r="H1243" s="268"/>
      <c r="I1243" s="503"/>
      <c r="J1243" s="715"/>
      <c r="K1243" s="552">
        <f t="shared" si="77"/>
        <v>0</v>
      </c>
      <c r="L1243" s="217"/>
      <c r="M1243" s="211">
        <f t="shared" si="76"/>
        <v>-46136</v>
      </c>
      <c r="N1243" s="683">
        <f t="shared" si="78"/>
        <v>7</v>
      </c>
      <c r="O1243" s="212"/>
      <c r="P1243" s="544"/>
      <c r="Q1243" s="561">
        <f t="shared" si="75"/>
        <v>0</v>
      </c>
      <c r="R1243" s="223"/>
      <c r="S1243" s="223"/>
      <c r="T1243" s="223"/>
      <c r="U1243" s="223"/>
      <c r="V1243" s="223"/>
    </row>
    <row r="1244" spans="1:22" s="274" customFormat="1" ht="15.75" customHeight="1">
      <c r="A1244" s="468" t="s">
        <v>348</v>
      </c>
      <c r="B1244" s="204" t="s">
        <v>184</v>
      </c>
      <c r="C1244" s="527"/>
      <c r="D1244" s="267"/>
      <c r="E1244" s="706"/>
      <c r="F1244" s="267"/>
      <c r="G1244" s="206"/>
      <c r="H1244" s="268"/>
      <c r="I1244" s="500"/>
      <c r="J1244" s="715"/>
      <c r="K1244" s="552">
        <f t="shared" si="77"/>
        <v>0</v>
      </c>
      <c r="L1244" s="217"/>
      <c r="M1244" s="211">
        <f t="shared" si="76"/>
        <v>-46136</v>
      </c>
      <c r="N1244" s="683">
        <f t="shared" si="78"/>
        <v>7</v>
      </c>
      <c r="O1244" s="212"/>
      <c r="P1244" s="544"/>
      <c r="Q1244" s="561">
        <f t="shared" si="75"/>
        <v>0</v>
      </c>
      <c r="R1244" s="223"/>
      <c r="S1244" s="223"/>
      <c r="T1244" s="223"/>
      <c r="U1244" s="223"/>
      <c r="V1244" s="223"/>
    </row>
    <row r="1245" spans="1:22" s="274" customFormat="1" ht="15.75" customHeight="1">
      <c r="A1245" s="468" t="s">
        <v>348</v>
      </c>
      <c r="B1245" s="204" t="s">
        <v>184</v>
      </c>
      <c r="C1245" s="527"/>
      <c r="D1245" s="267"/>
      <c r="E1245" s="706"/>
      <c r="F1245" s="267"/>
      <c r="G1245" s="206"/>
      <c r="H1245" s="268"/>
      <c r="I1245" s="500"/>
      <c r="J1245" s="715"/>
      <c r="K1245" s="552">
        <f t="shared" si="77"/>
        <v>0</v>
      </c>
      <c r="L1245" s="217"/>
      <c r="M1245" s="211">
        <f t="shared" si="76"/>
        <v>-46136</v>
      </c>
      <c r="N1245" s="683">
        <f t="shared" si="78"/>
        <v>7</v>
      </c>
      <c r="O1245" s="212"/>
      <c r="P1245" s="544"/>
      <c r="Q1245" s="561">
        <f t="shared" si="75"/>
        <v>0</v>
      </c>
      <c r="R1245" s="223"/>
      <c r="S1245" s="223"/>
      <c r="T1245" s="223"/>
      <c r="U1245" s="223"/>
      <c r="V1245" s="223"/>
    </row>
    <row r="1246" spans="1:22" s="274" customFormat="1" ht="15.75" customHeight="1">
      <c r="A1246" s="468" t="s">
        <v>348</v>
      </c>
      <c r="B1246" s="204" t="s">
        <v>184</v>
      </c>
      <c r="C1246" s="527"/>
      <c r="D1246" s="267"/>
      <c r="E1246" s="706"/>
      <c r="F1246" s="267"/>
      <c r="G1246" s="206"/>
      <c r="H1246" s="214"/>
      <c r="I1246" s="500"/>
      <c r="J1246" s="715"/>
      <c r="K1246" s="552">
        <f t="shared" si="77"/>
        <v>0</v>
      </c>
      <c r="L1246" s="217"/>
      <c r="M1246" s="211">
        <f t="shared" si="76"/>
        <v>-46136</v>
      </c>
      <c r="N1246" s="683">
        <f t="shared" si="78"/>
        <v>7</v>
      </c>
      <c r="O1246" s="212"/>
      <c r="P1246" s="544"/>
      <c r="Q1246" s="561">
        <f t="shared" si="75"/>
        <v>0</v>
      </c>
      <c r="R1246" s="223"/>
      <c r="S1246" s="223"/>
      <c r="T1246" s="223"/>
      <c r="U1246" s="223"/>
      <c r="V1246" s="223"/>
    </row>
    <row r="1247" spans="1:22" s="274" customFormat="1" ht="15.75" customHeight="1">
      <c r="A1247" s="468" t="s">
        <v>348</v>
      </c>
      <c r="B1247" s="204" t="s">
        <v>184</v>
      </c>
      <c r="C1247" s="527"/>
      <c r="D1247" s="267"/>
      <c r="E1247" s="706"/>
      <c r="F1247" s="267"/>
      <c r="G1247" s="206"/>
      <c r="H1247" s="268"/>
      <c r="I1247" s="500"/>
      <c r="J1247" s="715"/>
      <c r="K1247" s="552">
        <f t="shared" si="77"/>
        <v>0</v>
      </c>
      <c r="L1247" s="217"/>
      <c r="M1247" s="211">
        <f t="shared" si="76"/>
        <v>-46136</v>
      </c>
      <c r="N1247" s="683">
        <f t="shared" si="78"/>
        <v>7</v>
      </c>
      <c r="O1247" s="212"/>
      <c r="P1247" s="544"/>
      <c r="Q1247" s="561">
        <f t="shared" si="75"/>
        <v>0</v>
      </c>
      <c r="R1247" s="223"/>
      <c r="S1247" s="223"/>
      <c r="T1247" s="223"/>
      <c r="U1247" s="223"/>
      <c r="V1247" s="223"/>
    </row>
    <row r="1248" spans="1:22" s="274" customFormat="1" ht="15.75" customHeight="1">
      <c r="A1248" s="468" t="s">
        <v>348</v>
      </c>
      <c r="B1248" s="204" t="s">
        <v>184</v>
      </c>
      <c r="C1248" s="527"/>
      <c r="D1248" s="267"/>
      <c r="E1248" s="706"/>
      <c r="F1248" s="267"/>
      <c r="G1248" s="206"/>
      <c r="H1248" s="268"/>
      <c r="I1248" s="502"/>
      <c r="J1248" s="715"/>
      <c r="K1248" s="552">
        <f t="shared" si="77"/>
        <v>0</v>
      </c>
      <c r="L1248" s="217"/>
      <c r="M1248" s="211">
        <f t="shared" si="76"/>
        <v>-46136</v>
      </c>
      <c r="N1248" s="683">
        <f t="shared" si="78"/>
        <v>7</v>
      </c>
      <c r="O1248" s="212"/>
      <c r="P1248" s="544"/>
      <c r="Q1248" s="561">
        <f t="shared" si="75"/>
        <v>0</v>
      </c>
      <c r="R1248" s="223"/>
      <c r="S1248" s="223"/>
      <c r="T1248" s="223"/>
      <c r="U1248" s="223"/>
      <c r="V1248" s="223"/>
    </row>
    <row r="1249" spans="1:22" s="274" customFormat="1" ht="15.75" customHeight="1">
      <c r="A1249" s="468" t="s">
        <v>348</v>
      </c>
      <c r="B1249" s="204" t="s">
        <v>184</v>
      </c>
      <c r="C1249" s="527"/>
      <c r="D1249" s="267"/>
      <c r="E1249" s="706"/>
      <c r="F1249" s="267"/>
      <c r="G1249" s="206"/>
      <c r="H1249" s="268"/>
      <c r="I1249" s="500"/>
      <c r="J1249" s="715"/>
      <c r="K1249" s="552">
        <f t="shared" si="77"/>
        <v>0</v>
      </c>
      <c r="L1249" s="217"/>
      <c r="M1249" s="211">
        <f t="shared" si="76"/>
        <v>-46136</v>
      </c>
      <c r="N1249" s="683">
        <f t="shared" si="78"/>
        <v>7</v>
      </c>
      <c r="O1249" s="212"/>
      <c r="P1249" s="544"/>
      <c r="Q1249" s="561">
        <f t="shared" si="75"/>
        <v>0</v>
      </c>
      <c r="R1249" s="223"/>
      <c r="S1249" s="223"/>
      <c r="T1249" s="223"/>
      <c r="U1249" s="223"/>
      <c r="V1249" s="223"/>
    </row>
    <row r="1250" spans="1:22" s="274" customFormat="1" ht="15.75" customHeight="1">
      <c r="A1250" s="468" t="s">
        <v>348</v>
      </c>
      <c r="B1250" s="204" t="s">
        <v>184</v>
      </c>
      <c r="C1250" s="527"/>
      <c r="D1250" s="267"/>
      <c r="E1250" s="706"/>
      <c r="F1250" s="267"/>
      <c r="G1250" s="206"/>
      <c r="H1250" s="268"/>
      <c r="I1250" s="500"/>
      <c r="J1250" s="715"/>
      <c r="K1250" s="552">
        <f t="shared" si="77"/>
        <v>0</v>
      </c>
      <c r="L1250" s="217"/>
      <c r="M1250" s="211">
        <f t="shared" si="76"/>
        <v>-46136</v>
      </c>
      <c r="N1250" s="683">
        <f t="shared" si="78"/>
        <v>7</v>
      </c>
      <c r="O1250" s="212"/>
      <c r="P1250" s="544"/>
      <c r="Q1250" s="561">
        <f t="shared" si="75"/>
        <v>0</v>
      </c>
      <c r="R1250" s="223"/>
      <c r="S1250" s="223"/>
      <c r="T1250" s="223"/>
      <c r="U1250" s="223"/>
      <c r="V1250" s="223"/>
    </row>
    <row r="1251" spans="1:22" s="274" customFormat="1" ht="15.75" customHeight="1">
      <c r="A1251" s="468" t="s">
        <v>348</v>
      </c>
      <c r="B1251" s="204" t="s">
        <v>184</v>
      </c>
      <c r="C1251" s="527"/>
      <c r="D1251" s="267"/>
      <c r="E1251" s="706"/>
      <c r="F1251" s="267"/>
      <c r="G1251" s="206"/>
      <c r="H1251" s="268"/>
      <c r="I1251" s="502"/>
      <c r="J1251" s="715"/>
      <c r="K1251" s="552">
        <f t="shared" si="77"/>
        <v>0</v>
      </c>
      <c r="L1251" s="217"/>
      <c r="M1251" s="211">
        <f t="shared" si="76"/>
        <v>-46136</v>
      </c>
      <c r="N1251" s="683">
        <f t="shared" si="78"/>
        <v>7</v>
      </c>
      <c r="O1251" s="212"/>
      <c r="P1251" s="544"/>
      <c r="Q1251" s="561">
        <f t="shared" si="75"/>
        <v>0</v>
      </c>
      <c r="R1251" s="223"/>
      <c r="S1251" s="223"/>
      <c r="T1251" s="223"/>
      <c r="U1251" s="223"/>
      <c r="V1251" s="223"/>
    </row>
    <row r="1252" spans="1:22" s="274" customFormat="1" ht="15.75" customHeight="1">
      <c r="A1252" s="468" t="s">
        <v>348</v>
      </c>
      <c r="B1252" s="204" t="s">
        <v>184</v>
      </c>
      <c r="C1252" s="527"/>
      <c r="D1252" s="267"/>
      <c r="E1252" s="706"/>
      <c r="F1252" s="267"/>
      <c r="G1252" s="206"/>
      <c r="H1252" s="268"/>
      <c r="I1252" s="500"/>
      <c r="J1252" s="715"/>
      <c r="K1252" s="552">
        <f t="shared" si="77"/>
        <v>0</v>
      </c>
      <c r="L1252" s="217"/>
      <c r="M1252" s="211">
        <f t="shared" si="76"/>
        <v>-46136</v>
      </c>
      <c r="N1252" s="683">
        <f t="shared" si="78"/>
        <v>7</v>
      </c>
      <c r="O1252" s="212"/>
      <c r="P1252" s="544"/>
      <c r="Q1252" s="561">
        <f t="shared" ref="Q1252:Q1315" si="79">+K1252+J1252</f>
        <v>0</v>
      </c>
      <c r="R1252" s="223"/>
      <c r="S1252" s="223"/>
      <c r="T1252" s="223"/>
      <c r="U1252" s="223"/>
      <c r="V1252" s="223"/>
    </row>
    <row r="1253" spans="1:22" s="274" customFormat="1" ht="15.75" customHeight="1">
      <c r="A1253" s="468" t="s">
        <v>348</v>
      </c>
      <c r="B1253" s="204" t="s">
        <v>184</v>
      </c>
      <c r="C1253" s="527"/>
      <c r="D1253" s="267"/>
      <c r="E1253" s="706"/>
      <c r="F1253" s="267"/>
      <c r="G1253" s="206"/>
      <c r="H1253" s="268"/>
      <c r="I1253" s="500"/>
      <c r="J1253" s="715"/>
      <c r="K1253" s="552">
        <f t="shared" si="77"/>
        <v>0</v>
      </c>
      <c r="L1253" s="217"/>
      <c r="M1253" s="211">
        <f t="shared" si="76"/>
        <v>-46136</v>
      </c>
      <c r="N1253" s="683">
        <f t="shared" si="78"/>
        <v>7</v>
      </c>
      <c r="O1253" s="212"/>
      <c r="P1253" s="544"/>
      <c r="Q1253" s="561">
        <f t="shared" si="79"/>
        <v>0</v>
      </c>
      <c r="R1253" s="223"/>
      <c r="S1253" s="223"/>
      <c r="T1253" s="223"/>
      <c r="U1253" s="223"/>
      <c r="V1253" s="223"/>
    </row>
    <row r="1254" spans="1:22" s="274" customFormat="1" ht="15.75" customHeight="1">
      <c r="A1254" s="468" t="s">
        <v>348</v>
      </c>
      <c r="B1254" s="204" t="s">
        <v>184</v>
      </c>
      <c r="C1254" s="527"/>
      <c r="D1254" s="267"/>
      <c r="E1254" s="706"/>
      <c r="F1254" s="267"/>
      <c r="G1254" s="206"/>
      <c r="H1254" s="268"/>
      <c r="I1254" s="502"/>
      <c r="J1254" s="715"/>
      <c r="K1254" s="552">
        <f t="shared" si="77"/>
        <v>0</v>
      </c>
      <c r="L1254" s="217"/>
      <c r="M1254" s="211">
        <f t="shared" si="76"/>
        <v>-46136</v>
      </c>
      <c r="N1254" s="683">
        <f t="shared" si="78"/>
        <v>7</v>
      </c>
      <c r="O1254" s="212"/>
      <c r="P1254" s="544"/>
      <c r="Q1254" s="561">
        <f t="shared" si="79"/>
        <v>0</v>
      </c>
      <c r="R1254" s="223"/>
      <c r="S1254" s="223"/>
      <c r="T1254" s="223"/>
      <c r="U1254" s="223"/>
      <c r="V1254" s="223"/>
    </row>
    <row r="1255" spans="1:22" s="274" customFormat="1" ht="15.75" customHeight="1">
      <c r="A1255" s="468" t="s">
        <v>348</v>
      </c>
      <c r="B1255" s="204" t="s">
        <v>184</v>
      </c>
      <c r="C1255" s="527"/>
      <c r="D1255" s="267"/>
      <c r="E1255" s="706"/>
      <c r="F1255" s="267"/>
      <c r="G1255" s="206"/>
      <c r="H1255" s="268"/>
      <c r="I1255" s="500"/>
      <c r="J1255" s="715"/>
      <c r="K1255" s="552">
        <f t="shared" si="77"/>
        <v>0</v>
      </c>
      <c r="L1255" s="217"/>
      <c r="M1255" s="211">
        <f t="shared" si="76"/>
        <v>-46136</v>
      </c>
      <c r="N1255" s="683">
        <f t="shared" si="78"/>
        <v>7</v>
      </c>
      <c r="O1255" s="212"/>
      <c r="P1255" s="544"/>
      <c r="Q1255" s="561">
        <f t="shared" si="79"/>
        <v>0</v>
      </c>
      <c r="R1255" s="223"/>
      <c r="S1255" s="223"/>
      <c r="T1255" s="223"/>
      <c r="U1255" s="223"/>
      <c r="V1255" s="223"/>
    </row>
    <row r="1256" spans="1:22" s="274" customFormat="1" ht="15.75" customHeight="1">
      <c r="A1256" s="468" t="s">
        <v>348</v>
      </c>
      <c r="B1256" s="204" t="s">
        <v>184</v>
      </c>
      <c r="C1256" s="527"/>
      <c r="D1256" s="267"/>
      <c r="E1256" s="706"/>
      <c r="F1256" s="267"/>
      <c r="G1256" s="206"/>
      <c r="H1256" s="268"/>
      <c r="I1256" s="500"/>
      <c r="J1256" s="715"/>
      <c r="K1256" s="552">
        <f t="shared" si="77"/>
        <v>0</v>
      </c>
      <c r="L1256" s="217"/>
      <c r="M1256" s="211">
        <f t="shared" si="76"/>
        <v>-46136</v>
      </c>
      <c r="N1256" s="683">
        <f t="shared" si="78"/>
        <v>7</v>
      </c>
      <c r="O1256" s="212"/>
      <c r="P1256" s="544"/>
      <c r="Q1256" s="561">
        <f t="shared" si="79"/>
        <v>0</v>
      </c>
      <c r="R1256" s="223"/>
      <c r="S1256" s="223"/>
      <c r="T1256" s="223"/>
      <c r="U1256" s="223"/>
      <c r="V1256" s="223"/>
    </row>
    <row r="1257" spans="1:22" s="274" customFormat="1" ht="15.75" customHeight="1">
      <c r="A1257" s="468" t="s">
        <v>348</v>
      </c>
      <c r="B1257" s="204" t="s">
        <v>184</v>
      </c>
      <c r="C1257" s="527"/>
      <c r="D1257" s="267"/>
      <c r="E1257" s="706"/>
      <c r="F1257" s="267"/>
      <c r="G1257" s="206"/>
      <c r="H1257" s="268"/>
      <c r="I1257" s="502"/>
      <c r="J1257" s="715"/>
      <c r="K1257" s="552">
        <f t="shared" si="77"/>
        <v>0</v>
      </c>
      <c r="L1257" s="217"/>
      <c r="M1257" s="211">
        <f t="shared" si="76"/>
        <v>-46136</v>
      </c>
      <c r="N1257" s="683">
        <f t="shared" si="78"/>
        <v>7</v>
      </c>
      <c r="O1257" s="212"/>
      <c r="P1257" s="544"/>
      <c r="Q1257" s="561">
        <f t="shared" si="79"/>
        <v>0</v>
      </c>
      <c r="R1257" s="223"/>
      <c r="S1257" s="223"/>
      <c r="T1257" s="223"/>
      <c r="U1257" s="223"/>
      <c r="V1257" s="223"/>
    </row>
    <row r="1258" spans="1:22" s="274" customFormat="1" ht="15.75" customHeight="1">
      <c r="A1258" s="468" t="s">
        <v>348</v>
      </c>
      <c r="B1258" s="204" t="s">
        <v>184</v>
      </c>
      <c r="C1258" s="527"/>
      <c r="D1258" s="267"/>
      <c r="E1258" s="706"/>
      <c r="F1258" s="267"/>
      <c r="G1258" s="206"/>
      <c r="H1258" s="268"/>
      <c r="I1258" s="500"/>
      <c r="J1258" s="715"/>
      <c r="K1258" s="552">
        <f t="shared" si="77"/>
        <v>0</v>
      </c>
      <c r="L1258" s="217"/>
      <c r="M1258" s="211">
        <f t="shared" si="76"/>
        <v>-46136</v>
      </c>
      <c r="N1258" s="683">
        <f t="shared" si="78"/>
        <v>7</v>
      </c>
      <c r="O1258" s="212"/>
      <c r="P1258" s="544"/>
      <c r="Q1258" s="561">
        <f t="shared" si="79"/>
        <v>0</v>
      </c>
      <c r="R1258" s="223"/>
      <c r="S1258" s="223"/>
      <c r="T1258" s="223"/>
      <c r="U1258" s="223"/>
      <c r="V1258" s="223"/>
    </row>
    <row r="1259" spans="1:22" s="274" customFormat="1" ht="15.75" customHeight="1">
      <c r="A1259" s="468" t="s">
        <v>348</v>
      </c>
      <c r="B1259" s="204" t="s">
        <v>184</v>
      </c>
      <c r="C1259" s="527"/>
      <c r="D1259" s="267"/>
      <c r="E1259" s="706"/>
      <c r="F1259" s="267"/>
      <c r="G1259" s="206"/>
      <c r="H1259" s="268"/>
      <c r="I1259" s="500"/>
      <c r="J1259" s="715"/>
      <c r="K1259" s="552">
        <f t="shared" si="77"/>
        <v>0</v>
      </c>
      <c r="L1259" s="217"/>
      <c r="M1259" s="211">
        <f t="shared" si="76"/>
        <v>-46136</v>
      </c>
      <c r="N1259" s="683">
        <f t="shared" si="78"/>
        <v>7</v>
      </c>
      <c r="O1259" s="212"/>
      <c r="P1259" s="544"/>
      <c r="Q1259" s="561">
        <f t="shared" si="79"/>
        <v>0</v>
      </c>
      <c r="R1259" s="223"/>
      <c r="S1259" s="223"/>
      <c r="T1259" s="223"/>
      <c r="U1259" s="223"/>
      <c r="V1259" s="223"/>
    </row>
    <row r="1260" spans="1:22" s="274" customFormat="1" ht="15.75" customHeight="1">
      <c r="A1260" s="468" t="s">
        <v>348</v>
      </c>
      <c r="B1260" s="204" t="s">
        <v>184</v>
      </c>
      <c r="C1260" s="527"/>
      <c r="D1260" s="267"/>
      <c r="E1260" s="706"/>
      <c r="F1260" s="267"/>
      <c r="G1260" s="206"/>
      <c r="H1260" s="268"/>
      <c r="I1260" s="500"/>
      <c r="J1260" s="715"/>
      <c r="K1260" s="552">
        <f t="shared" si="77"/>
        <v>0</v>
      </c>
      <c r="L1260" s="217"/>
      <c r="M1260" s="211">
        <f t="shared" si="76"/>
        <v>-46136</v>
      </c>
      <c r="N1260" s="683">
        <f t="shared" si="78"/>
        <v>7</v>
      </c>
      <c r="O1260" s="212"/>
      <c r="P1260" s="544"/>
      <c r="Q1260" s="561">
        <f t="shared" si="79"/>
        <v>0</v>
      </c>
      <c r="R1260" s="223"/>
      <c r="S1260" s="223"/>
      <c r="T1260" s="223"/>
      <c r="U1260" s="223"/>
      <c r="V1260" s="223"/>
    </row>
    <row r="1261" spans="1:22" s="274" customFormat="1" ht="15.75" customHeight="1">
      <c r="A1261" s="468" t="s">
        <v>348</v>
      </c>
      <c r="B1261" s="204" t="s">
        <v>184</v>
      </c>
      <c r="C1261" s="527"/>
      <c r="D1261" s="267"/>
      <c r="E1261" s="706"/>
      <c r="F1261" s="267"/>
      <c r="G1261" s="206"/>
      <c r="H1261" s="268"/>
      <c r="I1261" s="500"/>
      <c r="J1261" s="715"/>
      <c r="K1261" s="552">
        <f t="shared" si="77"/>
        <v>0</v>
      </c>
      <c r="L1261" s="217"/>
      <c r="M1261" s="211">
        <f t="shared" si="76"/>
        <v>-46136</v>
      </c>
      <c r="N1261" s="683">
        <f t="shared" si="78"/>
        <v>7</v>
      </c>
      <c r="O1261" s="212"/>
      <c r="P1261" s="544"/>
      <c r="Q1261" s="561">
        <f t="shared" si="79"/>
        <v>0</v>
      </c>
      <c r="R1261" s="223"/>
      <c r="S1261" s="223"/>
      <c r="T1261" s="223"/>
      <c r="U1261" s="223"/>
      <c r="V1261" s="223"/>
    </row>
    <row r="1262" spans="1:22" s="274" customFormat="1" ht="15.75" customHeight="1">
      <c r="A1262" s="468" t="s">
        <v>348</v>
      </c>
      <c r="B1262" s="204" t="s">
        <v>184</v>
      </c>
      <c r="C1262" s="527"/>
      <c r="D1262" s="267"/>
      <c r="E1262" s="706"/>
      <c r="F1262" s="267"/>
      <c r="G1262" s="206"/>
      <c r="H1262" s="268"/>
      <c r="I1262" s="500"/>
      <c r="J1262" s="715"/>
      <c r="K1262" s="552">
        <f t="shared" si="77"/>
        <v>0</v>
      </c>
      <c r="L1262" s="217"/>
      <c r="M1262" s="211">
        <f t="shared" si="76"/>
        <v>-46136</v>
      </c>
      <c r="N1262" s="683">
        <f t="shared" si="78"/>
        <v>7</v>
      </c>
      <c r="O1262" s="212"/>
      <c r="P1262" s="544"/>
      <c r="Q1262" s="561">
        <f t="shared" si="79"/>
        <v>0</v>
      </c>
      <c r="R1262" s="223"/>
      <c r="S1262" s="223"/>
      <c r="T1262" s="223"/>
      <c r="U1262" s="223"/>
      <c r="V1262" s="223"/>
    </row>
    <row r="1263" spans="1:22" s="274" customFormat="1" ht="15.75" customHeight="1">
      <c r="A1263" s="468" t="s">
        <v>348</v>
      </c>
      <c r="B1263" s="204" t="s">
        <v>184</v>
      </c>
      <c r="C1263" s="527"/>
      <c r="D1263" s="267"/>
      <c r="E1263" s="706"/>
      <c r="F1263" s="267"/>
      <c r="G1263" s="206"/>
      <c r="H1263" s="268"/>
      <c r="I1263" s="502"/>
      <c r="J1263" s="715"/>
      <c r="K1263" s="552">
        <f t="shared" si="77"/>
        <v>0</v>
      </c>
      <c r="L1263" s="217"/>
      <c r="M1263" s="211">
        <f t="shared" si="76"/>
        <v>-46136</v>
      </c>
      <c r="N1263" s="683">
        <f t="shared" si="78"/>
        <v>7</v>
      </c>
      <c r="O1263" s="212"/>
      <c r="P1263" s="544"/>
      <c r="Q1263" s="561">
        <f t="shared" si="79"/>
        <v>0</v>
      </c>
      <c r="R1263" s="223"/>
      <c r="S1263" s="223"/>
      <c r="T1263" s="223"/>
      <c r="U1263" s="223"/>
      <c r="V1263" s="223"/>
    </row>
    <row r="1264" spans="1:22" s="274" customFormat="1" ht="15.75" customHeight="1">
      <c r="A1264" s="468" t="s">
        <v>348</v>
      </c>
      <c r="B1264" s="204" t="s">
        <v>184</v>
      </c>
      <c r="C1264" s="527"/>
      <c r="D1264" s="267"/>
      <c r="E1264" s="706"/>
      <c r="F1264" s="267"/>
      <c r="G1264" s="206"/>
      <c r="H1264" s="268"/>
      <c r="I1264" s="501"/>
      <c r="J1264" s="715"/>
      <c r="K1264" s="552">
        <f t="shared" si="77"/>
        <v>0</v>
      </c>
      <c r="L1264" s="217"/>
      <c r="M1264" s="211">
        <f t="shared" si="76"/>
        <v>-46136</v>
      </c>
      <c r="N1264" s="683">
        <f t="shared" si="78"/>
        <v>7</v>
      </c>
      <c r="O1264" s="212"/>
      <c r="P1264" s="544"/>
      <c r="Q1264" s="561">
        <f t="shared" si="79"/>
        <v>0</v>
      </c>
      <c r="R1264" s="223"/>
      <c r="S1264" s="223"/>
      <c r="T1264" s="223"/>
      <c r="U1264" s="223"/>
      <c r="V1264" s="223"/>
    </row>
    <row r="1265" spans="1:22" s="274" customFormat="1" ht="15.75" customHeight="1">
      <c r="A1265" s="468" t="s">
        <v>348</v>
      </c>
      <c r="B1265" s="204" t="s">
        <v>184</v>
      </c>
      <c r="C1265" s="527"/>
      <c r="D1265" s="267"/>
      <c r="E1265" s="706"/>
      <c r="F1265" s="267"/>
      <c r="G1265" s="206"/>
      <c r="H1265" s="268"/>
      <c r="I1265" s="500"/>
      <c r="J1265" s="715"/>
      <c r="K1265" s="552">
        <f t="shared" si="77"/>
        <v>0</v>
      </c>
      <c r="L1265" s="217"/>
      <c r="M1265" s="211">
        <f t="shared" si="76"/>
        <v>-46136</v>
      </c>
      <c r="N1265" s="683">
        <f t="shared" si="78"/>
        <v>7</v>
      </c>
      <c r="O1265" s="212"/>
      <c r="P1265" s="544"/>
      <c r="Q1265" s="561">
        <f t="shared" si="79"/>
        <v>0</v>
      </c>
      <c r="R1265" s="223"/>
      <c r="S1265" s="223"/>
      <c r="T1265" s="223"/>
      <c r="U1265" s="223"/>
      <c r="V1265" s="223"/>
    </row>
    <row r="1266" spans="1:22" s="274" customFormat="1" ht="15.75" customHeight="1">
      <c r="A1266" s="468" t="s">
        <v>348</v>
      </c>
      <c r="B1266" s="204" t="s">
        <v>184</v>
      </c>
      <c r="C1266" s="527"/>
      <c r="D1266" s="267"/>
      <c r="E1266" s="706"/>
      <c r="F1266" s="267"/>
      <c r="G1266" s="206"/>
      <c r="H1266" s="268"/>
      <c r="I1266" s="500"/>
      <c r="J1266" s="715"/>
      <c r="K1266" s="552">
        <f t="shared" si="77"/>
        <v>0</v>
      </c>
      <c r="L1266" s="217"/>
      <c r="M1266" s="211">
        <f t="shared" si="76"/>
        <v>-46136</v>
      </c>
      <c r="N1266" s="683">
        <f t="shared" si="78"/>
        <v>7</v>
      </c>
      <c r="O1266" s="212"/>
      <c r="P1266" s="544"/>
      <c r="Q1266" s="561">
        <f t="shared" si="79"/>
        <v>0</v>
      </c>
      <c r="R1266" s="223"/>
      <c r="S1266" s="223"/>
      <c r="T1266" s="223"/>
      <c r="U1266" s="223"/>
      <c r="V1266" s="223"/>
    </row>
    <row r="1267" spans="1:22" s="274" customFormat="1" ht="15.75" customHeight="1">
      <c r="A1267" s="468" t="s">
        <v>348</v>
      </c>
      <c r="B1267" s="204" t="s">
        <v>184</v>
      </c>
      <c r="C1267" s="527"/>
      <c r="D1267" s="267"/>
      <c r="E1267" s="706"/>
      <c r="F1267" s="267"/>
      <c r="G1267" s="206"/>
      <c r="H1267" s="268"/>
      <c r="I1267" s="500"/>
      <c r="J1267" s="715"/>
      <c r="K1267" s="552">
        <f t="shared" si="77"/>
        <v>0</v>
      </c>
      <c r="L1267" s="217"/>
      <c r="M1267" s="211">
        <f t="shared" si="76"/>
        <v>-46136</v>
      </c>
      <c r="N1267" s="683">
        <f t="shared" si="78"/>
        <v>7</v>
      </c>
      <c r="O1267" s="212"/>
      <c r="P1267" s="544"/>
      <c r="Q1267" s="561">
        <f t="shared" si="79"/>
        <v>0</v>
      </c>
      <c r="R1267" s="223"/>
      <c r="S1267" s="223"/>
      <c r="T1267" s="223"/>
      <c r="U1267" s="223"/>
      <c r="V1267" s="223"/>
    </row>
    <row r="1268" spans="1:22" s="274" customFormat="1" ht="15.75" customHeight="1">
      <c r="A1268" s="468" t="s">
        <v>348</v>
      </c>
      <c r="B1268" s="204" t="s">
        <v>184</v>
      </c>
      <c r="C1268" s="527"/>
      <c r="D1268" s="267"/>
      <c r="E1268" s="706"/>
      <c r="F1268" s="267"/>
      <c r="G1268" s="206"/>
      <c r="H1268" s="268"/>
      <c r="I1268" s="276"/>
      <c r="J1268" s="715"/>
      <c r="K1268" s="552">
        <f t="shared" si="77"/>
        <v>0</v>
      </c>
      <c r="L1268" s="217"/>
      <c r="M1268" s="211">
        <f t="shared" si="76"/>
        <v>-46136</v>
      </c>
      <c r="N1268" s="683">
        <f t="shared" si="78"/>
        <v>7</v>
      </c>
      <c r="O1268" s="212"/>
      <c r="P1268" s="544"/>
      <c r="Q1268" s="561">
        <f t="shared" si="79"/>
        <v>0</v>
      </c>
      <c r="R1268" s="223"/>
      <c r="S1268" s="223"/>
      <c r="T1268" s="223"/>
      <c r="U1268" s="223"/>
      <c r="V1268" s="223"/>
    </row>
    <row r="1269" spans="1:22" s="278" customFormat="1" ht="15.75" customHeight="1">
      <c r="A1269" s="468" t="s">
        <v>348</v>
      </c>
      <c r="B1269" s="204" t="s">
        <v>184</v>
      </c>
      <c r="C1269" s="527"/>
      <c r="D1269" s="712"/>
      <c r="E1269" s="706"/>
      <c r="F1269" s="712"/>
      <c r="G1269" s="206"/>
      <c r="H1269" s="268"/>
      <c r="I1269" s="500"/>
      <c r="J1269" s="715"/>
      <c r="K1269" s="552">
        <f t="shared" si="77"/>
        <v>0</v>
      </c>
      <c r="L1269" s="217"/>
      <c r="M1269" s="211">
        <f t="shared" si="76"/>
        <v>-46136</v>
      </c>
      <c r="N1269" s="683">
        <f t="shared" si="78"/>
        <v>7</v>
      </c>
      <c r="O1269" s="212"/>
      <c r="P1269" s="544"/>
      <c r="Q1269" s="561">
        <f t="shared" si="79"/>
        <v>0</v>
      </c>
      <c r="R1269" s="223"/>
      <c r="S1269" s="223"/>
      <c r="T1269" s="223"/>
      <c r="U1269" s="223"/>
      <c r="V1269" s="223"/>
    </row>
    <row r="1270" spans="1:22" s="278" customFormat="1" ht="15.75" customHeight="1">
      <c r="A1270" s="468" t="s">
        <v>348</v>
      </c>
      <c r="B1270" s="204" t="s">
        <v>184</v>
      </c>
      <c r="C1270" s="527"/>
      <c r="D1270" s="712"/>
      <c r="E1270" s="706"/>
      <c r="F1270" s="712"/>
      <c r="G1270" s="206"/>
      <c r="H1270" s="268"/>
      <c r="I1270" s="500"/>
      <c r="J1270" s="715"/>
      <c r="K1270" s="552">
        <f t="shared" si="77"/>
        <v>0</v>
      </c>
      <c r="L1270" s="217"/>
      <c r="M1270" s="211">
        <f t="shared" si="76"/>
        <v>-46136</v>
      </c>
      <c r="N1270" s="683">
        <f t="shared" si="78"/>
        <v>7</v>
      </c>
      <c r="O1270" s="212"/>
      <c r="P1270" s="544"/>
      <c r="Q1270" s="561">
        <f t="shared" si="79"/>
        <v>0</v>
      </c>
      <c r="R1270" s="223"/>
      <c r="S1270" s="223"/>
      <c r="T1270" s="223"/>
      <c r="U1270" s="223"/>
      <c r="V1270" s="223"/>
    </row>
    <row r="1271" spans="1:22" s="278" customFormat="1" ht="15.75" customHeight="1">
      <c r="A1271" s="468" t="s">
        <v>348</v>
      </c>
      <c r="B1271" s="204" t="s">
        <v>184</v>
      </c>
      <c r="C1271" s="527"/>
      <c r="D1271" s="267"/>
      <c r="E1271" s="706"/>
      <c r="F1271" s="267"/>
      <c r="G1271" s="206"/>
      <c r="H1271" s="268"/>
      <c r="I1271" s="500"/>
      <c r="J1271" s="715"/>
      <c r="K1271" s="552">
        <f t="shared" si="77"/>
        <v>0</v>
      </c>
      <c r="L1271" s="217"/>
      <c r="M1271" s="211">
        <f t="shared" si="76"/>
        <v>-46136</v>
      </c>
      <c r="N1271" s="683">
        <f t="shared" si="78"/>
        <v>7</v>
      </c>
      <c r="O1271" s="212"/>
      <c r="P1271" s="544"/>
      <c r="Q1271" s="561">
        <f t="shared" si="79"/>
        <v>0</v>
      </c>
      <c r="R1271" s="223"/>
      <c r="S1271" s="223"/>
      <c r="T1271" s="223"/>
      <c r="U1271" s="223"/>
      <c r="V1271" s="223"/>
    </row>
    <row r="1272" spans="1:22" s="278" customFormat="1" ht="15.75" customHeight="1">
      <c r="A1272" s="468" t="s">
        <v>348</v>
      </c>
      <c r="B1272" s="204" t="s">
        <v>184</v>
      </c>
      <c r="C1272" s="527"/>
      <c r="D1272" s="267"/>
      <c r="E1272" s="706"/>
      <c r="F1272" s="267"/>
      <c r="G1272" s="206"/>
      <c r="H1272" s="268"/>
      <c r="I1272" s="500"/>
      <c r="J1272" s="715"/>
      <c r="K1272" s="552">
        <f t="shared" si="77"/>
        <v>0</v>
      </c>
      <c r="L1272" s="217"/>
      <c r="M1272" s="211">
        <f t="shared" si="76"/>
        <v>-46136</v>
      </c>
      <c r="N1272" s="683">
        <f t="shared" si="78"/>
        <v>7</v>
      </c>
      <c r="O1272" s="212"/>
      <c r="P1272" s="544"/>
      <c r="Q1272" s="561">
        <f t="shared" si="79"/>
        <v>0</v>
      </c>
      <c r="R1272" s="223"/>
      <c r="S1272" s="223"/>
      <c r="T1272" s="223"/>
      <c r="U1272" s="223"/>
      <c r="V1272" s="223"/>
    </row>
    <row r="1273" spans="1:22" s="278" customFormat="1" ht="15.75" customHeight="1">
      <c r="A1273" s="468" t="s">
        <v>348</v>
      </c>
      <c r="B1273" s="204" t="s">
        <v>184</v>
      </c>
      <c r="C1273" s="527"/>
      <c r="D1273" s="267"/>
      <c r="E1273" s="706"/>
      <c r="F1273" s="267"/>
      <c r="G1273" s="206"/>
      <c r="H1273" s="268"/>
      <c r="I1273" s="500"/>
      <c r="J1273" s="715"/>
      <c r="K1273" s="552">
        <f t="shared" si="77"/>
        <v>0</v>
      </c>
      <c r="L1273" s="217"/>
      <c r="M1273" s="211">
        <f t="shared" si="76"/>
        <v>-46136</v>
      </c>
      <c r="N1273" s="683">
        <f t="shared" si="78"/>
        <v>7</v>
      </c>
      <c r="O1273" s="212"/>
      <c r="P1273" s="544"/>
      <c r="Q1273" s="561">
        <f t="shared" si="79"/>
        <v>0</v>
      </c>
      <c r="R1273" s="223"/>
      <c r="S1273" s="223"/>
      <c r="T1273" s="223"/>
      <c r="U1273" s="223"/>
      <c r="V1273" s="223"/>
    </row>
    <row r="1274" spans="1:22" s="278" customFormat="1" ht="15.75" customHeight="1">
      <c r="A1274" s="468" t="s">
        <v>348</v>
      </c>
      <c r="B1274" s="204" t="s">
        <v>184</v>
      </c>
      <c r="C1274" s="527"/>
      <c r="D1274" s="267"/>
      <c r="E1274" s="706"/>
      <c r="F1274" s="267"/>
      <c r="G1274" s="206"/>
      <c r="H1274" s="268"/>
      <c r="I1274" s="500"/>
      <c r="J1274" s="715"/>
      <c r="K1274" s="552">
        <f t="shared" si="77"/>
        <v>0</v>
      </c>
      <c r="L1274" s="217"/>
      <c r="M1274" s="211">
        <f t="shared" si="76"/>
        <v>-46136</v>
      </c>
      <c r="N1274" s="683">
        <f t="shared" si="78"/>
        <v>7</v>
      </c>
      <c r="O1274" s="212"/>
      <c r="P1274" s="544"/>
      <c r="Q1274" s="561">
        <f t="shared" si="79"/>
        <v>0</v>
      </c>
      <c r="R1274" s="223"/>
      <c r="S1274" s="223"/>
      <c r="T1274" s="223"/>
      <c r="U1274" s="223"/>
      <c r="V1274" s="223"/>
    </row>
    <row r="1275" spans="1:22" s="278" customFormat="1" ht="15.75" customHeight="1">
      <c r="A1275" s="468" t="s">
        <v>348</v>
      </c>
      <c r="B1275" s="204" t="s">
        <v>184</v>
      </c>
      <c r="C1275" s="527"/>
      <c r="D1275" s="267"/>
      <c r="E1275" s="706"/>
      <c r="F1275" s="267"/>
      <c r="G1275" s="206"/>
      <c r="H1275" s="268"/>
      <c r="I1275" s="500"/>
      <c r="J1275" s="715"/>
      <c r="K1275" s="552">
        <f t="shared" si="77"/>
        <v>0</v>
      </c>
      <c r="L1275" s="217"/>
      <c r="M1275" s="211">
        <f t="shared" si="76"/>
        <v>-46136</v>
      </c>
      <c r="N1275" s="683">
        <f t="shared" si="78"/>
        <v>7</v>
      </c>
      <c r="O1275" s="212"/>
      <c r="P1275" s="544"/>
      <c r="Q1275" s="561">
        <f t="shared" si="79"/>
        <v>0</v>
      </c>
      <c r="R1275" s="223"/>
      <c r="S1275" s="223"/>
      <c r="T1275" s="223"/>
      <c r="U1275" s="223"/>
      <c r="V1275" s="223"/>
    </row>
    <row r="1276" spans="1:22" s="278" customFormat="1" ht="15.75" customHeight="1">
      <c r="A1276" s="468" t="s">
        <v>348</v>
      </c>
      <c r="B1276" s="204" t="s">
        <v>184</v>
      </c>
      <c r="C1276" s="527"/>
      <c r="D1276" s="267"/>
      <c r="E1276" s="706"/>
      <c r="F1276" s="267"/>
      <c r="G1276" s="206"/>
      <c r="H1276" s="268"/>
      <c r="I1276" s="501"/>
      <c r="J1276" s="715"/>
      <c r="K1276" s="552">
        <f t="shared" si="77"/>
        <v>0</v>
      </c>
      <c r="L1276" s="217"/>
      <c r="M1276" s="211">
        <f t="shared" si="76"/>
        <v>-46136</v>
      </c>
      <c r="N1276" s="683">
        <f t="shared" si="78"/>
        <v>7</v>
      </c>
      <c r="O1276" s="212"/>
      <c r="P1276" s="544"/>
      <c r="Q1276" s="561">
        <f t="shared" si="79"/>
        <v>0</v>
      </c>
      <c r="R1276" s="223"/>
      <c r="S1276" s="223"/>
      <c r="T1276" s="223"/>
      <c r="U1276" s="223"/>
      <c r="V1276" s="223"/>
    </row>
    <row r="1277" spans="1:22" s="278" customFormat="1" ht="15.75" customHeight="1">
      <c r="A1277" s="468" t="s">
        <v>348</v>
      </c>
      <c r="B1277" s="204" t="s">
        <v>184</v>
      </c>
      <c r="C1277" s="527"/>
      <c r="D1277" s="267"/>
      <c r="E1277" s="706"/>
      <c r="F1277" s="267"/>
      <c r="G1277" s="206"/>
      <c r="H1277" s="268"/>
      <c r="I1277" s="500"/>
      <c r="J1277" s="715"/>
      <c r="K1277" s="552">
        <f t="shared" si="77"/>
        <v>0</v>
      </c>
      <c r="L1277" s="217"/>
      <c r="M1277" s="211">
        <f t="shared" si="76"/>
        <v>-46136</v>
      </c>
      <c r="N1277" s="683">
        <f t="shared" si="78"/>
        <v>7</v>
      </c>
      <c r="O1277" s="212"/>
      <c r="P1277" s="544"/>
      <c r="Q1277" s="561">
        <f t="shared" si="79"/>
        <v>0</v>
      </c>
      <c r="R1277" s="223"/>
      <c r="S1277" s="223"/>
      <c r="T1277" s="223"/>
      <c r="U1277" s="223"/>
      <c r="V1277" s="223"/>
    </row>
    <row r="1278" spans="1:22" s="278" customFormat="1" ht="15.75" customHeight="1">
      <c r="A1278" s="468" t="s">
        <v>348</v>
      </c>
      <c r="B1278" s="204" t="s">
        <v>184</v>
      </c>
      <c r="C1278" s="527"/>
      <c r="D1278" s="267"/>
      <c r="E1278" s="706"/>
      <c r="F1278" s="267"/>
      <c r="G1278" s="206"/>
      <c r="H1278" s="268"/>
      <c r="I1278" s="500"/>
      <c r="J1278" s="715"/>
      <c r="K1278" s="552">
        <f t="shared" si="77"/>
        <v>0</v>
      </c>
      <c r="L1278" s="217"/>
      <c r="M1278" s="211">
        <f t="shared" si="76"/>
        <v>-46136</v>
      </c>
      <c r="N1278" s="683">
        <f t="shared" si="78"/>
        <v>7</v>
      </c>
      <c r="O1278" s="212"/>
      <c r="P1278" s="544"/>
      <c r="Q1278" s="561">
        <f t="shared" si="79"/>
        <v>0</v>
      </c>
      <c r="R1278" s="223"/>
      <c r="S1278" s="223"/>
      <c r="T1278" s="223"/>
      <c r="U1278" s="223"/>
      <c r="V1278" s="223"/>
    </row>
    <row r="1279" spans="1:22" s="278" customFormat="1" ht="15.75" customHeight="1">
      <c r="A1279" s="468" t="s">
        <v>348</v>
      </c>
      <c r="B1279" s="204" t="s">
        <v>184</v>
      </c>
      <c r="C1279" s="527"/>
      <c r="D1279" s="267"/>
      <c r="E1279" s="706"/>
      <c r="F1279" s="267"/>
      <c r="G1279" s="206"/>
      <c r="H1279" s="268"/>
      <c r="I1279" s="502"/>
      <c r="J1279" s="715"/>
      <c r="K1279" s="552">
        <f t="shared" si="77"/>
        <v>0</v>
      </c>
      <c r="L1279" s="217"/>
      <c r="M1279" s="211">
        <f t="shared" si="76"/>
        <v>-46136</v>
      </c>
      <c r="N1279" s="683">
        <f t="shared" si="78"/>
        <v>7</v>
      </c>
      <c r="O1279" s="212"/>
      <c r="P1279" s="544"/>
      <c r="Q1279" s="561">
        <f t="shared" si="79"/>
        <v>0</v>
      </c>
      <c r="R1279" s="223"/>
      <c r="S1279" s="223"/>
      <c r="T1279" s="223"/>
      <c r="U1279" s="223"/>
      <c r="V1279" s="223"/>
    </row>
    <row r="1280" spans="1:22" s="278" customFormat="1" ht="15.75" customHeight="1">
      <c r="A1280" s="468" t="s">
        <v>348</v>
      </c>
      <c r="B1280" s="204" t="s">
        <v>184</v>
      </c>
      <c r="C1280" s="527"/>
      <c r="D1280" s="267"/>
      <c r="E1280" s="706"/>
      <c r="F1280" s="267"/>
      <c r="G1280" s="206"/>
      <c r="H1280" s="268"/>
      <c r="I1280" s="500"/>
      <c r="J1280" s="715"/>
      <c r="K1280" s="552">
        <f t="shared" si="77"/>
        <v>0</v>
      </c>
      <c r="L1280" s="217"/>
      <c r="M1280" s="211">
        <f t="shared" si="76"/>
        <v>-46136</v>
      </c>
      <c r="N1280" s="683">
        <f t="shared" si="78"/>
        <v>7</v>
      </c>
      <c r="O1280" s="212"/>
      <c r="P1280" s="544"/>
      <c r="Q1280" s="561">
        <f t="shared" si="79"/>
        <v>0</v>
      </c>
      <c r="R1280" s="223"/>
      <c r="S1280" s="223"/>
      <c r="T1280" s="223"/>
      <c r="U1280" s="223"/>
      <c r="V1280" s="223"/>
    </row>
    <row r="1281" spans="1:22" s="278" customFormat="1" ht="15.75" customHeight="1">
      <c r="A1281" s="468" t="s">
        <v>348</v>
      </c>
      <c r="B1281" s="204" t="s">
        <v>184</v>
      </c>
      <c r="C1281" s="527"/>
      <c r="D1281" s="267"/>
      <c r="E1281" s="706"/>
      <c r="F1281" s="267"/>
      <c r="G1281" s="206"/>
      <c r="H1281" s="268"/>
      <c r="I1281" s="500"/>
      <c r="J1281" s="715"/>
      <c r="K1281" s="552">
        <f t="shared" si="77"/>
        <v>0</v>
      </c>
      <c r="L1281" s="217"/>
      <c r="M1281" s="211">
        <f t="shared" si="76"/>
        <v>-46136</v>
      </c>
      <c r="N1281" s="683">
        <f t="shared" si="78"/>
        <v>7</v>
      </c>
      <c r="O1281" s="212"/>
      <c r="P1281" s="544"/>
      <c r="Q1281" s="561">
        <f t="shared" si="79"/>
        <v>0</v>
      </c>
      <c r="R1281" s="223"/>
      <c r="S1281" s="223"/>
      <c r="T1281" s="223"/>
      <c r="U1281" s="223"/>
      <c r="V1281" s="223"/>
    </row>
    <row r="1282" spans="1:22" s="278" customFormat="1" ht="15.75" customHeight="1">
      <c r="A1282" s="468" t="s">
        <v>348</v>
      </c>
      <c r="B1282" s="204" t="s">
        <v>184</v>
      </c>
      <c r="C1282" s="527"/>
      <c r="D1282" s="267"/>
      <c r="E1282" s="706"/>
      <c r="F1282" s="267"/>
      <c r="G1282" s="206"/>
      <c r="H1282" s="268"/>
      <c r="I1282" s="500"/>
      <c r="J1282" s="715"/>
      <c r="K1282" s="552">
        <f t="shared" si="77"/>
        <v>0</v>
      </c>
      <c r="L1282" s="217"/>
      <c r="M1282" s="211">
        <f t="shared" si="76"/>
        <v>-46136</v>
      </c>
      <c r="N1282" s="683">
        <f t="shared" si="78"/>
        <v>7</v>
      </c>
      <c r="O1282" s="212"/>
      <c r="P1282" s="544"/>
      <c r="Q1282" s="561">
        <f t="shared" si="79"/>
        <v>0</v>
      </c>
      <c r="R1282" s="223"/>
      <c r="S1282" s="223"/>
      <c r="T1282" s="223"/>
      <c r="U1282" s="223"/>
      <c r="V1282" s="223"/>
    </row>
    <row r="1283" spans="1:22" s="278" customFormat="1" ht="15.75" customHeight="1">
      <c r="A1283" s="468" t="s">
        <v>348</v>
      </c>
      <c r="B1283" s="204" t="s">
        <v>184</v>
      </c>
      <c r="C1283" s="527"/>
      <c r="D1283" s="267"/>
      <c r="E1283" s="706"/>
      <c r="F1283" s="267"/>
      <c r="G1283" s="206"/>
      <c r="H1283" s="268"/>
      <c r="I1283" s="501"/>
      <c r="J1283" s="715"/>
      <c r="K1283" s="552">
        <f t="shared" si="77"/>
        <v>0</v>
      </c>
      <c r="L1283" s="217"/>
      <c r="M1283" s="211">
        <f t="shared" si="76"/>
        <v>-46136</v>
      </c>
      <c r="N1283" s="683">
        <f t="shared" si="78"/>
        <v>7</v>
      </c>
      <c r="O1283" s="212"/>
      <c r="P1283" s="544"/>
      <c r="Q1283" s="561">
        <f t="shared" si="79"/>
        <v>0</v>
      </c>
      <c r="R1283" s="223"/>
      <c r="S1283" s="223"/>
      <c r="T1283" s="223"/>
      <c r="U1283" s="223"/>
      <c r="V1283" s="223"/>
    </row>
    <row r="1284" spans="1:22" s="278" customFormat="1" ht="15.75" customHeight="1">
      <c r="A1284" s="468" t="s">
        <v>348</v>
      </c>
      <c r="B1284" s="204" t="s">
        <v>184</v>
      </c>
      <c r="C1284" s="527"/>
      <c r="D1284" s="267"/>
      <c r="E1284" s="706"/>
      <c r="F1284" s="267"/>
      <c r="G1284" s="206"/>
      <c r="H1284" s="268"/>
      <c r="I1284" s="500"/>
      <c r="J1284" s="715"/>
      <c r="K1284" s="552">
        <f t="shared" si="77"/>
        <v>0</v>
      </c>
      <c r="L1284" s="217"/>
      <c r="M1284" s="211">
        <f t="shared" si="76"/>
        <v>-46136</v>
      </c>
      <c r="N1284" s="683">
        <f t="shared" si="78"/>
        <v>7</v>
      </c>
      <c r="O1284" s="212"/>
      <c r="P1284" s="544"/>
      <c r="Q1284" s="561">
        <f t="shared" si="79"/>
        <v>0</v>
      </c>
      <c r="R1284" s="223"/>
      <c r="S1284" s="223"/>
      <c r="T1284" s="223"/>
      <c r="U1284" s="223"/>
      <c r="V1284" s="223"/>
    </row>
    <row r="1285" spans="1:22" s="278" customFormat="1" ht="15.75" customHeight="1">
      <c r="A1285" s="468" t="s">
        <v>348</v>
      </c>
      <c r="B1285" s="204" t="s">
        <v>184</v>
      </c>
      <c r="C1285" s="527"/>
      <c r="D1285" s="267"/>
      <c r="E1285" s="706"/>
      <c r="F1285" s="267"/>
      <c r="G1285" s="206"/>
      <c r="H1285" s="268"/>
      <c r="I1285" s="500"/>
      <c r="J1285" s="715"/>
      <c r="K1285" s="552">
        <f t="shared" si="77"/>
        <v>0</v>
      </c>
      <c r="L1285" s="217"/>
      <c r="M1285" s="211">
        <f t="shared" si="76"/>
        <v>-46136</v>
      </c>
      <c r="N1285" s="683">
        <f t="shared" si="78"/>
        <v>7</v>
      </c>
      <c r="O1285" s="212"/>
      <c r="P1285" s="544"/>
      <c r="Q1285" s="561">
        <f t="shared" si="79"/>
        <v>0</v>
      </c>
      <c r="R1285" s="223"/>
      <c r="S1285" s="223"/>
      <c r="T1285" s="223"/>
      <c r="U1285" s="223"/>
      <c r="V1285" s="223"/>
    </row>
    <row r="1286" spans="1:22" s="278" customFormat="1" ht="15.75" customHeight="1">
      <c r="A1286" s="468" t="s">
        <v>348</v>
      </c>
      <c r="B1286" s="204" t="s">
        <v>184</v>
      </c>
      <c r="C1286" s="527"/>
      <c r="D1286" s="267"/>
      <c r="E1286" s="706"/>
      <c r="F1286" s="267"/>
      <c r="G1286" s="206"/>
      <c r="H1286" s="268"/>
      <c r="I1286" s="500"/>
      <c r="J1286" s="715"/>
      <c r="K1286" s="552">
        <f t="shared" si="77"/>
        <v>0</v>
      </c>
      <c r="L1286" s="217"/>
      <c r="M1286" s="211">
        <f t="shared" si="76"/>
        <v>-46136</v>
      </c>
      <c r="N1286" s="683">
        <f t="shared" si="78"/>
        <v>7</v>
      </c>
      <c r="O1286" s="212"/>
      <c r="P1286" s="544"/>
      <c r="Q1286" s="561">
        <f t="shared" si="79"/>
        <v>0</v>
      </c>
      <c r="R1286" s="223"/>
      <c r="S1286" s="223"/>
      <c r="T1286" s="223"/>
      <c r="U1286" s="223"/>
      <c r="V1286" s="223"/>
    </row>
    <row r="1287" spans="1:22" s="278" customFormat="1" ht="15.75" customHeight="1">
      <c r="A1287" s="468" t="s">
        <v>348</v>
      </c>
      <c r="B1287" s="204" t="s">
        <v>184</v>
      </c>
      <c r="C1287" s="527"/>
      <c r="D1287" s="267"/>
      <c r="E1287" s="706"/>
      <c r="F1287" s="267"/>
      <c r="G1287" s="206"/>
      <c r="H1287" s="268"/>
      <c r="I1287" s="500"/>
      <c r="J1287" s="715"/>
      <c r="K1287" s="552">
        <f t="shared" si="77"/>
        <v>0</v>
      </c>
      <c r="L1287" s="217"/>
      <c r="M1287" s="211">
        <f t="shared" si="76"/>
        <v>-46136</v>
      </c>
      <c r="N1287" s="683">
        <f t="shared" si="78"/>
        <v>7</v>
      </c>
      <c r="O1287" s="212"/>
      <c r="P1287" s="544"/>
      <c r="Q1287" s="561">
        <f t="shared" si="79"/>
        <v>0</v>
      </c>
      <c r="R1287" s="223"/>
      <c r="S1287" s="223"/>
      <c r="T1287" s="223"/>
      <c r="U1287" s="223"/>
      <c r="V1287" s="223"/>
    </row>
    <row r="1288" spans="1:22" s="278" customFormat="1" ht="15.75" customHeight="1">
      <c r="A1288" s="468" t="s">
        <v>348</v>
      </c>
      <c r="B1288" s="204" t="s">
        <v>184</v>
      </c>
      <c r="C1288" s="527"/>
      <c r="D1288" s="267"/>
      <c r="E1288" s="706"/>
      <c r="F1288" s="267"/>
      <c r="G1288" s="206"/>
      <c r="H1288" s="268"/>
      <c r="I1288" s="500"/>
      <c r="J1288" s="715"/>
      <c r="K1288" s="552">
        <f t="shared" si="77"/>
        <v>0</v>
      </c>
      <c r="L1288" s="217"/>
      <c r="M1288" s="211">
        <f t="shared" si="76"/>
        <v>-46136</v>
      </c>
      <c r="N1288" s="683">
        <f t="shared" si="78"/>
        <v>7</v>
      </c>
      <c r="O1288" s="212"/>
      <c r="P1288" s="544"/>
      <c r="Q1288" s="561">
        <f t="shared" si="79"/>
        <v>0</v>
      </c>
      <c r="R1288" s="223"/>
      <c r="S1288" s="223"/>
      <c r="T1288" s="223"/>
      <c r="U1288" s="223"/>
      <c r="V1288" s="223"/>
    </row>
    <row r="1289" spans="1:22" s="278" customFormat="1" ht="15.75" customHeight="1">
      <c r="A1289" s="468" t="s">
        <v>348</v>
      </c>
      <c r="B1289" s="204" t="s">
        <v>184</v>
      </c>
      <c r="C1289" s="527"/>
      <c r="D1289" s="267"/>
      <c r="E1289" s="706"/>
      <c r="F1289" s="267"/>
      <c r="G1289" s="206"/>
      <c r="H1289" s="268"/>
      <c r="I1289" s="500"/>
      <c r="J1289" s="715"/>
      <c r="K1289" s="552">
        <f t="shared" si="77"/>
        <v>0</v>
      </c>
      <c r="L1289" s="217"/>
      <c r="M1289" s="211">
        <f t="shared" ref="M1289:M1352" si="80">+L1289-$E$6</f>
        <v>-46136</v>
      </c>
      <c r="N1289" s="683">
        <f t="shared" si="78"/>
        <v>7</v>
      </c>
      <c r="O1289" s="212"/>
      <c r="P1289" s="544"/>
      <c r="Q1289" s="561">
        <f t="shared" si="79"/>
        <v>0</v>
      </c>
      <c r="R1289" s="223"/>
      <c r="S1289" s="223"/>
      <c r="T1289" s="223"/>
      <c r="U1289" s="223"/>
      <c r="V1289" s="223"/>
    </row>
    <row r="1290" spans="1:22" s="278" customFormat="1" ht="15.75" customHeight="1">
      <c r="A1290" s="468" t="s">
        <v>348</v>
      </c>
      <c r="B1290" s="204" t="s">
        <v>184</v>
      </c>
      <c r="C1290" s="527"/>
      <c r="D1290" s="267"/>
      <c r="E1290" s="706"/>
      <c r="F1290" s="267"/>
      <c r="G1290" s="206"/>
      <c r="H1290" s="268"/>
      <c r="I1290" s="500"/>
      <c r="J1290" s="715"/>
      <c r="K1290" s="552">
        <f t="shared" ref="K1290:K1353" si="81">-J1290</f>
        <v>0</v>
      </c>
      <c r="L1290" s="217"/>
      <c r="M1290" s="211">
        <f t="shared" si="80"/>
        <v>-46136</v>
      </c>
      <c r="N1290" s="683">
        <f t="shared" ref="N1290:N1353" si="82">+L1290+7</f>
        <v>7</v>
      </c>
      <c r="O1290" s="212"/>
      <c r="P1290" s="544"/>
      <c r="Q1290" s="561">
        <f t="shared" si="79"/>
        <v>0</v>
      </c>
      <c r="R1290" s="223"/>
      <c r="S1290" s="223"/>
      <c r="T1290" s="223"/>
      <c r="U1290" s="223"/>
      <c r="V1290" s="223"/>
    </row>
    <row r="1291" spans="1:22" s="278" customFormat="1" ht="15.75" customHeight="1">
      <c r="A1291" s="468" t="s">
        <v>348</v>
      </c>
      <c r="B1291" s="204" t="s">
        <v>184</v>
      </c>
      <c r="C1291" s="527"/>
      <c r="D1291" s="267"/>
      <c r="E1291" s="706"/>
      <c r="F1291" s="267"/>
      <c r="G1291" s="206"/>
      <c r="H1291" s="268"/>
      <c r="I1291" s="500"/>
      <c r="J1291" s="715"/>
      <c r="K1291" s="552">
        <f t="shared" si="81"/>
        <v>0</v>
      </c>
      <c r="L1291" s="217"/>
      <c r="M1291" s="211">
        <f t="shared" si="80"/>
        <v>-46136</v>
      </c>
      <c r="N1291" s="683">
        <f t="shared" si="82"/>
        <v>7</v>
      </c>
      <c r="O1291" s="212"/>
      <c r="P1291" s="544"/>
      <c r="Q1291" s="561">
        <f t="shared" si="79"/>
        <v>0</v>
      </c>
      <c r="R1291" s="223"/>
      <c r="S1291" s="223"/>
      <c r="T1291" s="223"/>
      <c r="U1291" s="223"/>
      <c r="V1291" s="223"/>
    </row>
    <row r="1292" spans="1:22" s="278" customFormat="1" ht="15.75" customHeight="1">
      <c r="A1292" s="468" t="s">
        <v>348</v>
      </c>
      <c r="B1292" s="204" t="s">
        <v>184</v>
      </c>
      <c r="C1292" s="527"/>
      <c r="D1292" s="267"/>
      <c r="E1292" s="706"/>
      <c r="F1292" s="267"/>
      <c r="G1292" s="206"/>
      <c r="H1292" s="268"/>
      <c r="I1292" s="500"/>
      <c r="J1292" s="715"/>
      <c r="K1292" s="552">
        <f t="shared" si="81"/>
        <v>0</v>
      </c>
      <c r="L1292" s="217"/>
      <c r="M1292" s="211">
        <f t="shared" si="80"/>
        <v>-46136</v>
      </c>
      <c r="N1292" s="683">
        <f t="shared" si="82"/>
        <v>7</v>
      </c>
      <c r="O1292" s="212"/>
      <c r="P1292" s="544"/>
      <c r="Q1292" s="561">
        <f t="shared" si="79"/>
        <v>0</v>
      </c>
      <c r="R1292" s="223"/>
      <c r="S1292" s="223"/>
      <c r="T1292" s="223"/>
      <c r="U1292" s="223"/>
      <c r="V1292" s="223"/>
    </row>
    <row r="1293" spans="1:22" s="278" customFormat="1" ht="15.75" customHeight="1">
      <c r="A1293" s="468" t="s">
        <v>348</v>
      </c>
      <c r="B1293" s="204" t="s">
        <v>184</v>
      </c>
      <c r="C1293" s="527"/>
      <c r="D1293" s="267"/>
      <c r="E1293" s="706"/>
      <c r="F1293" s="267"/>
      <c r="G1293" s="206"/>
      <c r="H1293" s="268"/>
      <c r="I1293" s="501"/>
      <c r="J1293" s="715"/>
      <c r="K1293" s="552">
        <f t="shared" si="81"/>
        <v>0</v>
      </c>
      <c r="L1293" s="217"/>
      <c r="M1293" s="211">
        <f t="shared" si="80"/>
        <v>-46136</v>
      </c>
      <c r="N1293" s="683">
        <f t="shared" si="82"/>
        <v>7</v>
      </c>
      <c r="O1293" s="212"/>
      <c r="P1293" s="544"/>
      <c r="Q1293" s="561">
        <f t="shared" si="79"/>
        <v>0</v>
      </c>
      <c r="R1293" s="223"/>
      <c r="S1293" s="223"/>
      <c r="T1293" s="223"/>
      <c r="U1293" s="223"/>
      <c r="V1293" s="223"/>
    </row>
    <row r="1294" spans="1:22" s="278" customFormat="1" ht="15.75" customHeight="1">
      <c r="A1294" s="468" t="s">
        <v>348</v>
      </c>
      <c r="B1294" s="204" t="s">
        <v>184</v>
      </c>
      <c r="C1294" s="527"/>
      <c r="D1294" s="267"/>
      <c r="E1294" s="706"/>
      <c r="F1294" s="267"/>
      <c r="G1294" s="206"/>
      <c r="H1294" s="268"/>
      <c r="I1294" s="500"/>
      <c r="J1294" s="715"/>
      <c r="K1294" s="552">
        <f t="shared" si="81"/>
        <v>0</v>
      </c>
      <c r="L1294" s="217"/>
      <c r="M1294" s="211">
        <f t="shared" si="80"/>
        <v>-46136</v>
      </c>
      <c r="N1294" s="683">
        <f t="shared" si="82"/>
        <v>7</v>
      </c>
      <c r="O1294" s="212"/>
      <c r="P1294" s="544"/>
      <c r="Q1294" s="561">
        <f t="shared" si="79"/>
        <v>0</v>
      </c>
      <c r="R1294" s="223"/>
      <c r="S1294" s="223"/>
      <c r="T1294" s="223"/>
      <c r="U1294" s="223"/>
      <c r="V1294" s="223"/>
    </row>
    <row r="1295" spans="1:22" s="278" customFormat="1" ht="15.75" customHeight="1">
      <c r="A1295" s="468" t="s">
        <v>348</v>
      </c>
      <c r="B1295" s="204" t="s">
        <v>184</v>
      </c>
      <c r="C1295" s="527"/>
      <c r="D1295" s="267"/>
      <c r="E1295" s="706"/>
      <c r="F1295" s="267"/>
      <c r="G1295" s="206"/>
      <c r="H1295" s="268"/>
      <c r="I1295" s="502"/>
      <c r="J1295" s="715"/>
      <c r="K1295" s="552">
        <f t="shared" si="81"/>
        <v>0</v>
      </c>
      <c r="L1295" s="217"/>
      <c r="M1295" s="211">
        <f t="shared" si="80"/>
        <v>-46136</v>
      </c>
      <c r="N1295" s="683">
        <f t="shared" si="82"/>
        <v>7</v>
      </c>
      <c r="O1295" s="212"/>
      <c r="P1295" s="544"/>
      <c r="Q1295" s="561">
        <f t="shared" si="79"/>
        <v>0</v>
      </c>
      <c r="R1295" s="223"/>
      <c r="S1295" s="223"/>
      <c r="T1295" s="223"/>
      <c r="U1295" s="223"/>
      <c r="V1295" s="223"/>
    </row>
    <row r="1296" spans="1:22" s="278" customFormat="1" ht="15.75" customHeight="1">
      <c r="A1296" s="468" t="s">
        <v>348</v>
      </c>
      <c r="B1296" s="204" t="s">
        <v>184</v>
      </c>
      <c r="C1296" s="527"/>
      <c r="D1296" s="267"/>
      <c r="E1296" s="706"/>
      <c r="F1296" s="267"/>
      <c r="G1296" s="206"/>
      <c r="H1296" s="268"/>
      <c r="I1296" s="501"/>
      <c r="J1296" s="715"/>
      <c r="K1296" s="552">
        <f t="shared" si="81"/>
        <v>0</v>
      </c>
      <c r="L1296" s="217"/>
      <c r="M1296" s="211">
        <f t="shared" si="80"/>
        <v>-46136</v>
      </c>
      <c r="N1296" s="683">
        <f t="shared" si="82"/>
        <v>7</v>
      </c>
      <c r="O1296" s="212"/>
      <c r="P1296" s="544"/>
      <c r="Q1296" s="561">
        <f t="shared" si="79"/>
        <v>0</v>
      </c>
      <c r="R1296" s="223"/>
      <c r="S1296" s="223"/>
      <c r="T1296" s="223"/>
      <c r="U1296" s="223"/>
      <c r="V1296" s="223"/>
    </row>
    <row r="1297" spans="1:22" s="278" customFormat="1" ht="15.75" customHeight="1">
      <c r="A1297" s="468" t="s">
        <v>348</v>
      </c>
      <c r="B1297" s="204" t="s">
        <v>184</v>
      </c>
      <c r="C1297" s="527"/>
      <c r="D1297" s="267"/>
      <c r="E1297" s="706"/>
      <c r="F1297" s="267"/>
      <c r="G1297" s="206"/>
      <c r="H1297" s="268"/>
      <c r="I1297" s="501"/>
      <c r="J1297" s="715"/>
      <c r="K1297" s="552">
        <f t="shared" si="81"/>
        <v>0</v>
      </c>
      <c r="L1297" s="217"/>
      <c r="M1297" s="211">
        <f t="shared" si="80"/>
        <v>-46136</v>
      </c>
      <c r="N1297" s="683">
        <f t="shared" si="82"/>
        <v>7</v>
      </c>
      <c r="O1297" s="212"/>
      <c r="P1297" s="544"/>
      <c r="Q1297" s="561">
        <f t="shared" si="79"/>
        <v>0</v>
      </c>
      <c r="R1297" s="223"/>
      <c r="S1297" s="223"/>
      <c r="T1297" s="223"/>
      <c r="U1297" s="223"/>
      <c r="V1297" s="223"/>
    </row>
    <row r="1298" spans="1:22" s="278" customFormat="1" ht="15.75" customHeight="1">
      <c r="A1298" s="468" t="s">
        <v>348</v>
      </c>
      <c r="B1298" s="204" t="s">
        <v>184</v>
      </c>
      <c r="C1298" s="527"/>
      <c r="D1298" s="267"/>
      <c r="E1298" s="706"/>
      <c r="F1298" s="267"/>
      <c r="G1298" s="206"/>
      <c r="H1298" s="268"/>
      <c r="I1298" s="500"/>
      <c r="J1298" s="715"/>
      <c r="K1298" s="552">
        <f t="shared" si="81"/>
        <v>0</v>
      </c>
      <c r="L1298" s="217"/>
      <c r="M1298" s="211">
        <f t="shared" si="80"/>
        <v>-46136</v>
      </c>
      <c r="N1298" s="683">
        <f t="shared" si="82"/>
        <v>7</v>
      </c>
      <c r="O1298" s="212"/>
      <c r="P1298" s="544"/>
      <c r="Q1298" s="561">
        <f t="shared" si="79"/>
        <v>0</v>
      </c>
      <c r="R1298" s="223"/>
      <c r="S1298" s="223"/>
      <c r="T1298" s="223"/>
      <c r="U1298" s="223"/>
      <c r="V1298" s="223"/>
    </row>
    <row r="1299" spans="1:22" s="278" customFormat="1" ht="15.75" customHeight="1">
      <c r="A1299" s="468" t="s">
        <v>348</v>
      </c>
      <c r="B1299" s="204" t="s">
        <v>184</v>
      </c>
      <c r="C1299" s="527"/>
      <c r="D1299" s="267"/>
      <c r="E1299" s="706"/>
      <c r="F1299" s="267"/>
      <c r="G1299" s="206"/>
      <c r="H1299" s="268"/>
      <c r="I1299" s="500"/>
      <c r="J1299" s="715"/>
      <c r="K1299" s="552">
        <f t="shared" si="81"/>
        <v>0</v>
      </c>
      <c r="L1299" s="217"/>
      <c r="M1299" s="211">
        <f t="shared" si="80"/>
        <v>-46136</v>
      </c>
      <c r="N1299" s="683">
        <f t="shared" si="82"/>
        <v>7</v>
      </c>
      <c r="O1299" s="212"/>
      <c r="P1299" s="544"/>
      <c r="Q1299" s="561">
        <f t="shared" si="79"/>
        <v>0</v>
      </c>
      <c r="R1299" s="223"/>
      <c r="S1299" s="223"/>
      <c r="T1299" s="223"/>
      <c r="U1299" s="223"/>
      <c r="V1299" s="223"/>
    </row>
    <row r="1300" spans="1:22" s="278" customFormat="1" ht="15.75" customHeight="1">
      <c r="A1300" s="468" t="s">
        <v>348</v>
      </c>
      <c r="B1300" s="204" t="s">
        <v>184</v>
      </c>
      <c r="C1300" s="527"/>
      <c r="D1300" s="267"/>
      <c r="E1300" s="706"/>
      <c r="F1300" s="267"/>
      <c r="G1300" s="206"/>
      <c r="H1300" s="268"/>
      <c r="I1300" s="500"/>
      <c r="J1300" s="715"/>
      <c r="K1300" s="552">
        <f t="shared" si="81"/>
        <v>0</v>
      </c>
      <c r="L1300" s="217"/>
      <c r="M1300" s="211">
        <f t="shared" si="80"/>
        <v>-46136</v>
      </c>
      <c r="N1300" s="683">
        <f t="shared" si="82"/>
        <v>7</v>
      </c>
      <c r="O1300" s="212"/>
      <c r="P1300" s="544"/>
      <c r="Q1300" s="561">
        <f t="shared" si="79"/>
        <v>0</v>
      </c>
      <c r="R1300" s="223"/>
      <c r="S1300" s="223"/>
      <c r="T1300" s="223"/>
      <c r="U1300" s="223"/>
      <c r="V1300" s="223"/>
    </row>
    <row r="1301" spans="1:22" s="278" customFormat="1" ht="15.75" customHeight="1">
      <c r="A1301" s="468" t="s">
        <v>348</v>
      </c>
      <c r="B1301" s="204" t="s">
        <v>184</v>
      </c>
      <c r="C1301" s="527"/>
      <c r="D1301" s="267"/>
      <c r="E1301" s="706"/>
      <c r="F1301" s="267"/>
      <c r="G1301" s="206"/>
      <c r="H1301" s="268"/>
      <c r="I1301" s="500"/>
      <c r="J1301" s="715"/>
      <c r="K1301" s="552">
        <f t="shared" si="81"/>
        <v>0</v>
      </c>
      <c r="L1301" s="217"/>
      <c r="M1301" s="211">
        <f t="shared" si="80"/>
        <v>-46136</v>
      </c>
      <c r="N1301" s="683">
        <f t="shared" si="82"/>
        <v>7</v>
      </c>
      <c r="O1301" s="212"/>
      <c r="P1301" s="544"/>
      <c r="Q1301" s="561">
        <f t="shared" si="79"/>
        <v>0</v>
      </c>
      <c r="R1301" s="223"/>
      <c r="S1301" s="223"/>
      <c r="T1301" s="223"/>
      <c r="U1301" s="223"/>
      <c r="V1301" s="223"/>
    </row>
    <row r="1302" spans="1:22" s="278" customFormat="1" ht="15.75" customHeight="1">
      <c r="A1302" s="468" t="s">
        <v>348</v>
      </c>
      <c r="B1302" s="204" t="s">
        <v>184</v>
      </c>
      <c r="C1302" s="527"/>
      <c r="D1302" s="267"/>
      <c r="E1302" s="706"/>
      <c r="F1302" s="267"/>
      <c r="G1302" s="206"/>
      <c r="H1302" s="268"/>
      <c r="I1302" s="500"/>
      <c r="J1302" s="715"/>
      <c r="K1302" s="552">
        <f t="shared" si="81"/>
        <v>0</v>
      </c>
      <c r="L1302" s="217"/>
      <c r="M1302" s="211">
        <f t="shared" si="80"/>
        <v>-46136</v>
      </c>
      <c r="N1302" s="683">
        <f t="shared" si="82"/>
        <v>7</v>
      </c>
      <c r="O1302" s="212"/>
      <c r="P1302" s="544"/>
      <c r="Q1302" s="561">
        <f t="shared" si="79"/>
        <v>0</v>
      </c>
      <c r="R1302" s="223"/>
      <c r="S1302" s="223"/>
      <c r="T1302" s="223"/>
      <c r="U1302" s="223"/>
      <c r="V1302" s="223"/>
    </row>
    <row r="1303" spans="1:22" s="278" customFormat="1" ht="15.75" customHeight="1">
      <c r="A1303" s="468" t="s">
        <v>348</v>
      </c>
      <c r="B1303" s="204" t="s">
        <v>184</v>
      </c>
      <c r="C1303" s="527"/>
      <c r="D1303" s="267"/>
      <c r="E1303" s="706"/>
      <c r="F1303" s="267"/>
      <c r="G1303" s="206"/>
      <c r="H1303" s="268"/>
      <c r="I1303" s="500"/>
      <c r="J1303" s="715"/>
      <c r="K1303" s="552">
        <f t="shared" si="81"/>
        <v>0</v>
      </c>
      <c r="L1303" s="217"/>
      <c r="M1303" s="211">
        <f t="shared" si="80"/>
        <v>-46136</v>
      </c>
      <c r="N1303" s="683">
        <f t="shared" si="82"/>
        <v>7</v>
      </c>
      <c r="O1303" s="212"/>
      <c r="P1303" s="544"/>
      <c r="Q1303" s="561">
        <f t="shared" si="79"/>
        <v>0</v>
      </c>
      <c r="R1303" s="223"/>
      <c r="S1303" s="223"/>
      <c r="T1303" s="223"/>
      <c r="U1303" s="223"/>
      <c r="V1303" s="223"/>
    </row>
    <row r="1304" spans="1:22" s="278" customFormat="1" ht="15.75" customHeight="1">
      <c r="A1304" s="468" t="s">
        <v>348</v>
      </c>
      <c r="B1304" s="204" t="s">
        <v>184</v>
      </c>
      <c r="C1304" s="527"/>
      <c r="D1304" s="267"/>
      <c r="E1304" s="706"/>
      <c r="F1304" s="267"/>
      <c r="G1304" s="206"/>
      <c r="H1304" s="268"/>
      <c r="I1304" s="502"/>
      <c r="J1304" s="715"/>
      <c r="K1304" s="552">
        <f t="shared" si="81"/>
        <v>0</v>
      </c>
      <c r="L1304" s="217"/>
      <c r="M1304" s="211">
        <f t="shared" si="80"/>
        <v>-46136</v>
      </c>
      <c r="N1304" s="683">
        <f t="shared" si="82"/>
        <v>7</v>
      </c>
      <c r="O1304" s="212"/>
      <c r="P1304" s="544"/>
      <c r="Q1304" s="561">
        <f t="shared" si="79"/>
        <v>0</v>
      </c>
      <c r="R1304" s="223"/>
      <c r="S1304" s="223"/>
      <c r="T1304" s="223"/>
      <c r="U1304" s="223"/>
      <c r="V1304" s="223"/>
    </row>
    <row r="1305" spans="1:22" s="278" customFormat="1" ht="15.75" customHeight="1">
      <c r="A1305" s="468" t="s">
        <v>348</v>
      </c>
      <c r="B1305" s="204" t="s">
        <v>184</v>
      </c>
      <c r="C1305" s="527"/>
      <c r="D1305" s="267"/>
      <c r="E1305" s="706"/>
      <c r="F1305" s="267"/>
      <c r="G1305" s="206"/>
      <c r="H1305" s="268"/>
      <c r="I1305" s="502"/>
      <c r="J1305" s="715"/>
      <c r="K1305" s="552">
        <f t="shared" si="81"/>
        <v>0</v>
      </c>
      <c r="L1305" s="217"/>
      <c r="M1305" s="211">
        <f t="shared" si="80"/>
        <v>-46136</v>
      </c>
      <c r="N1305" s="683">
        <f t="shared" si="82"/>
        <v>7</v>
      </c>
      <c r="O1305" s="212"/>
      <c r="P1305" s="544"/>
      <c r="Q1305" s="561">
        <f t="shared" si="79"/>
        <v>0</v>
      </c>
      <c r="R1305" s="223"/>
      <c r="S1305" s="223"/>
      <c r="T1305" s="223"/>
      <c r="U1305" s="223"/>
      <c r="V1305" s="223"/>
    </row>
    <row r="1306" spans="1:22" s="278" customFormat="1" ht="15.75" customHeight="1">
      <c r="A1306" s="468" t="s">
        <v>348</v>
      </c>
      <c r="B1306" s="204" t="s">
        <v>184</v>
      </c>
      <c r="C1306" s="527"/>
      <c r="D1306" s="267"/>
      <c r="E1306" s="706"/>
      <c r="F1306" s="267"/>
      <c r="G1306" s="206"/>
      <c r="H1306" s="268"/>
      <c r="I1306" s="502"/>
      <c r="J1306" s="715"/>
      <c r="K1306" s="552">
        <f t="shared" si="81"/>
        <v>0</v>
      </c>
      <c r="L1306" s="217"/>
      <c r="M1306" s="211">
        <f t="shared" si="80"/>
        <v>-46136</v>
      </c>
      <c r="N1306" s="683">
        <f t="shared" si="82"/>
        <v>7</v>
      </c>
      <c r="O1306" s="212"/>
      <c r="P1306" s="544"/>
      <c r="Q1306" s="561">
        <f t="shared" si="79"/>
        <v>0</v>
      </c>
      <c r="R1306" s="223"/>
      <c r="S1306" s="223"/>
      <c r="T1306" s="223"/>
      <c r="U1306" s="223"/>
      <c r="V1306" s="223"/>
    </row>
    <row r="1307" spans="1:22" s="278" customFormat="1" ht="15.75" customHeight="1">
      <c r="A1307" s="468" t="s">
        <v>348</v>
      </c>
      <c r="B1307" s="204" t="s">
        <v>184</v>
      </c>
      <c r="C1307" s="527"/>
      <c r="D1307" s="267"/>
      <c r="E1307" s="706"/>
      <c r="F1307" s="267"/>
      <c r="G1307" s="206"/>
      <c r="H1307" s="268"/>
      <c r="I1307" s="502"/>
      <c r="J1307" s="715"/>
      <c r="K1307" s="552">
        <f t="shared" si="81"/>
        <v>0</v>
      </c>
      <c r="L1307" s="217"/>
      <c r="M1307" s="211">
        <f t="shared" si="80"/>
        <v>-46136</v>
      </c>
      <c r="N1307" s="683">
        <f t="shared" si="82"/>
        <v>7</v>
      </c>
      <c r="O1307" s="212"/>
      <c r="P1307" s="544"/>
      <c r="Q1307" s="561">
        <f t="shared" si="79"/>
        <v>0</v>
      </c>
      <c r="R1307" s="223"/>
      <c r="S1307" s="223"/>
      <c r="T1307" s="223"/>
      <c r="U1307" s="223"/>
      <c r="V1307" s="223"/>
    </row>
    <row r="1308" spans="1:22" s="278" customFormat="1" ht="15.75" customHeight="1">
      <c r="A1308" s="468" t="s">
        <v>348</v>
      </c>
      <c r="B1308" s="204" t="s">
        <v>184</v>
      </c>
      <c r="C1308" s="527"/>
      <c r="D1308" s="267"/>
      <c r="E1308" s="706"/>
      <c r="F1308" s="267"/>
      <c r="G1308" s="206"/>
      <c r="H1308" s="268"/>
      <c r="I1308" s="500"/>
      <c r="J1308" s="715"/>
      <c r="K1308" s="552">
        <f t="shared" si="81"/>
        <v>0</v>
      </c>
      <c r="L1308" s="217"/>
      <c r="M1308" s="211">
        <f t="shared" si="80"/>
        <v>-46136</v>
      </c>
      <c r="N1308" s="683">
        <f t="shared" si="82"/>
        <v>7</v>
      </c>
      <c r="O1308" s="212"/>
      <c r="P1308" s="544"/>
      <c r="Q1308" s="561">
        <f t="shared" si="79"/>
        <v>0</v>
      </c>
      <c r="R1308" s="223"/>
      <c r="S1308" s="223"/>
      <c r="T1308" s="223"/>
      <c r="U1308" s="223"/>
      <c r="V1308" s="223"/>
    </row>
    <row r="1309" spans="1:22" s="278" customFormat="1" ht="15.75" customHeight="1">
      <c r="A1309" s="468" t="s">
        <v>348</v>
      </c>
      <c r="B1309" s="204" t="s">
        <v>184</v>
      </c>
      <c r="C1309" s="527"/>
      <c r="D1309" s="267"/>
      <c r="E1309" s="706"/>
      <c r="F1309" s="267"/>
      <c r="G1309" s="206"/>
      <c r="H1309" s="268"/>
      <c r="I1309" s="500"/>
      <c r="J1309" s="715"/>
      <c r="K1309" s="552">
        <f t="shared" si="81"/>
        <v>0</v>
      </c>
      <c r="L1309" s="217"/>
      <c r="M1309" s="211">
        <f t="shared" si="80"/>
        <v>-46136</v>
      </c>
      <c r="N1309" s="683">
        <f t="shared" si="82"/>
        <v>7</v>
      </c>
      <c r="O1309" s="212"/>
      <c r="P1309" s="544"/>
      <c r="Q1309" s="561">
        <f t="shared" si="79"/>
        <v>0</v>
      </c>
      <c r="R1309" s="223"/>
      <c r="S1309" s="223"/>
      <c r="T1309" s="223"/>
      <c r="U1309" s="223"/>
      <c r="V1309" s="223"/>
    </row>
    <row r="1310" spans="1:22" s="278" customFormat="1" ht="15.75" customHeight="1">
      <c r="A1310" s="468" t="s">
        <v>348</v>
      </c>
      <c r="B1310" s="204" t="s">
        <v>184</v>
      </c>
      <c r="C1310" s="527"/>
      <c r="D1310" s="267"/>
      <c r="E1310" s="706"/>
      <c r="F1310" s="267"/>
      <c r="G1310" s="206"/>
      <c r="H1310" s="268"/>
      <c r="I1310" s="500"/>
      <c r="J1310" s="715"/>
      <c r="K1310" s="552">
        <f t="shared" si="81"/>
        <v>0</v>
      </c>
      <c r="L1310" s="217"/>
      <c r="M1310" s="211">
        <f t="shared" si="80"/>
        <v>-46136</v>
      </c>
      <c r="N1310" s="683">
        <f t="shared" si="82"/>
        <v>7</v>
      </c>
      <c r="O1310" s="212"/>
      <c r="P1310" s="544"/>
      <c r="Q1310" s="561">
        <f t="shared" si="79"/>
        <v>0</v>
      </c>
      <c r="R1310" s="223"/>
      <c r="S1310" s="223"/>
      <c r="T1310" s="223"/>
      <c r="U1310" s="223"/>
      <c r="V1310" s="223"/>
    </row>
    <row r="1311" spans="1:22" s="278" customFormat="1" ht="15.75" customHeight="1">
      <c r="A1311" s="468" t="s">
        <v>348</v>
      </c>
      <c r="B1311" s="204" t="s">
        <v>184</v>
      </c>
      <c r="C1311" s="527"/>
      <c r="D1311" s="267"/>
      <c r="E1311" s="706"/>
      <c r="F1311" s="267"/>
      <c r="G1311" s="206"/>
      <c r="H1311" s="268"/>
      <c r="I1311" s="500"/>
      <c r="J1311" s="715"/>
      <c r="K1311" s="552">
        <f t="shared" si="81"/>
        <v>0</v>
      </c>
      <c r="L1311" s="217"/>
      <c r="M1311" s="211">
        <f t="shared" si="80"/>
        <v>-46136</v>
      </c>
      <c r="N1311" s="683">
        <f t="shared" si="82"/>
        <v>7</v>
      </c>
      <c r="O1311" s="212"/>
      <c r="P1311" s="544"/>
      <c r="Q1311" s="561">
        <f t="shared" si="79"/>
        <v>0</v>
      </c>
      <c r="R1311" s="223"/>
      <c r="S1311" s="223"/>
      <c r="T1311" s="223"/>
      <c r="U1311" s="223"/>
      <c r="V1311" s="223"/>
    </row>
    <row r="1312" spans="1:22" s="278" customFormat="1" ht="15.75" customHeight="1">
      <c r="A1312" s="468" t="s">
        <v>348</v>
      </c>
      <c r="B1312" s="204" t="s">
        <v>184</v>
      </c>
      <c r="C1312" s="527"/>
      <c r="D1312" s="267"/>
      <c r="E1312" s="706"/>
      <c r="F1312" s="267"/>
      <c r="G1312" s="206"/>
      <c r="H1312" s="268"/>
      <c r="I1312" s="500"/>
      <c r="J1312" s="715"/>
      <c r="K1312" s="552">
        <f t="shared" si="81"/>
        <v>0</v>
      </c>
      <c r="L1312" s="217"/>
      <c r="M1312" s="211">
        <f t="shared" si="80"/>
        <v>-46136</v>
      </c>
      <c r="N1312" s="683">
        <f t="shared" si="82"/>
        <v>7</v>
      </c>
      <c r="O1312" s="212"/>
      <c r="P1312" s="544"/>
      <c r="Q1312" s="561">
        <f t="shared" si="79"/>
        <v>0</v>
      </c>
      <c r="R1312" s="223"/>
      <c r="S1312" s="223"/>
      <c r="T1312" s="223"/>
      <c r="U1312" s="223"/>
      <c r="V1312" s="223"/>
    </row>
    <row r="1313" spans="1:22" s="278" customFormat="1" ht="15.75" customHeight="1">
      <c r="A1313" s="468" t="s">
        <v>348</v>
      </c>
      <c r="B1313" s="204" t="s">
        <v>184</v>
      </c>
      <c r="C1313" s="527"/>
      <c r="D1313" s="267"/>
      <c r="E1313" s="706"/>
      <c r="F1313" s="267"/>
      <c r="G1313" s="206"/>
      <c r="H1313" s="494"/>
      <c r="I1313" s="500"/>
      <c r="J1313" s="715"/>
      <c r="K1313" s="552">
        <f t="shared" si="81"/>
        <v>0</v>
      </c>
      <c r="L1313" s="217"/>
      <c r="M1313" s="211">
        <f t="shared" si="80"/>
        <v>-46136</v>
      </c>
      <c r="N1313" s="683">
        <f t="shared" si="82"/>
        <v>7</v>
      </c>
      <c r="O1313" s="212"/>
      <c r="P1313" s="544"/>
      <c r="Q1313" s="561">
        <f t="shared" si="79"/>
        <v>0</v>
      </c>
      <c r="R1313" s="223"/>
      <c r="S1313" s="223"/>
      <c r="T1313" s="223"/>
      <c r="U1313" s="223"/>
      <c r="V1313" s="223"/>
    </row>
    <row r="1314" spans="1:22" s="278" customFormat="1" ht="15.75" customHeight="1">
      <c r="A1314" s="468" t="s">
        <v>348</v>
      </c>
      <c r="B1314" s="204" t="s">
        <v>184</v>
      </c>
      <c r="C1314" s="527"/>
      <c r="D1314" s="267"/>
      <c r="E1314" s="706"/>
      <c r="F1314" s="267"/>
      <c r="G1314" s="206"/>
      <c r="H1314" s="268"/>
      <c r="I1314" s="500"/>
      <c r="J1314" s="715"/>
      <c r="K1314" s="552">
        <f t="shared" si="81"/>
        <v>0</v>
      </c>
      <c r="L1314" s="217"/>
      <c r="M1314" s="211">
        <f t="shared" si="80"/>
        <v>-46136</v>
      </c>
      <c r="N1314" s="683">
        <f t="shared" si="82"/>
        <v>7</v>
      </c>
      <c r="O1314" s="212"/>
      <c r="P1314" s="544"/>
      <c r="Q1314" s="561">
        <f t="shared" si="79"/>
        <v>0</v>
      </c>
      <c r="R1314" s="223"/>
      <c r="S1314" s="223"/>
      <c r="T1314" s="223"/>
      <c r="U1314" s="223"/>
      <c r="V1314" s="223"/>
    </row>
    <row r="1315" spans="1:22" s="278" customFormat="1" ht="15.75" customHeight="1">
      <c r="A1315" s="468" t="s">
        <v>348</v>
      </c>
      <c r="B1315" s="204" t="s">
        <v>184</v>
      </c>
      <c r="C1315" s="527"/>
      <c r="D1315" s="267"/>
      <c r="E1315" s="706"/>
      <c r="F1315" s="267"/>
      <c r="G1315" s="206"/>
      <c r="H1315" s="268"/>
      <c r="I1315" s="502"/>
      <c r="J1315" s="715"/>
      <c r="K1315" s="552">
        <f t="shared" si="81"/>
        <v>0</v>
      </c>
      <c r="L1315" s="217"/>
      <c r="M1315" s="211">
        <f t="shared" si="80"/>
        <v>-46136</v>
      </c>
      <c r="N1315" s="683">
        <f t="shared" si="82"/>
        <v>7</v>
      </c>
      <c r="O1315" s="212"/>
      <c r="P1315" s="544"/>
      <c r="Q1315" s="561">
        <f t="shared" si="79"/>
        <v>0</v>
      </c>
      <c r="R1315" s="223"/>
      <c r="S1315" s="223"/>
      <c r="T1315" s="223"/>
      <c r="U1315" s="223"/>
      <c r="V1315" s="223"/>
    </row>
    <row r="1316" spans="1:22" s="278" customFormat="1" ht="15.75" customHeight="1">
      <c r="A1316" s="468" t="s">
        <v>348</v>
      </c>
      <c r="B1316" s="204" t="s">
        <v>184</v>
      </c>
      <c r="C1316" s="527"/>
      <c r="D1316" s="267"/>
      <c r="E1316" s="706"/>
      <c r="F1316" s="267"/>
      <c r="G1316" s="206"/>
      <c r="H1316" s="268"/>
      <c r="I1316" s="500"/>
      <c r="J1316" s="715"/>
      <c r="K1316" s="552">
        <f t="shared" si="81"/>
        <v>0</v>
      </c>
      <c r="L1316" s="217"/>
      <c r="M1316" s="211">
        <f t="shared" si="80"/>
        <v>-46136</v>
      </c>
      <c r="N1316" s="683">
        <f t="shared" si="82"/>
        <v>7</v>
      </c>
      <c r="O1316" s="212"/>
      <c r="P1316" s="544"/>
      <c r="Q1316" s="561">
        <f t="shared" ref="Q1316:Q1379" si="83">+K1316+J1316</f>
        <v>0</v>
      </c>
      <c r="R1316" s="223"/>
      <c r="S1316" s="223"/>
      <c r="T1316" s="223"/>
      <c r="U1316" s="223"/>
      <c r="V1316" s="223"/>
    </row>
    <row r="1317" spans="1:22" s="278" customFormat="1" ht="15.75" customHeight="1">
      <c r="A1317" s="468" t="s">
        <v>348</v>
      </c>
      <c r="B1317" s="204" t="s">
        <v>184</v>
      </c>
      <c r="C1317" s="527"/>
      <c r="D1317" s="267"/>
      <c r="E1317" s="706"/>
      <c r="F1317" s="267"/>
      <c r="G1317" s="206"/>
      <c r="H1317" s="268"/>
      <c r="I1317" s="500"/>
      <c r="J1317" s="715"/>
      <c r="K1317" s="552">
        <f t="shared" si="81"/>
        <v>0</v>
      </c>
      <c r="L1317" s="217"/>
      <c r="M1317" s="211">
        <f t="shared" si="80"/>
        <v>-46136</v>
      </c>
      <c r="N1317" s="683">
        <f t="shared" si="82"/>
        <v>7</v>
      </c>
      <c r="O1317" s="212"/>
      <c r="P1317" s="544"/>
      <c r="Q1317" s="561">
        <f t="shared" si="83"/>
        <v>0</v>
      </c>
      <c r="R1317" s="223"/>
      <c r="S1317" s="223"/>
      <c r="T1317" s="223"/>
      <c r="U1317" s="223"/>
      <c r="V1317" s="223"/>
    </row>
    <row r="1318" spans="1:22" s="278" customFormat="1" ht="15.75" customHeight="1">
      <c r="A1318" s="468" t="s">
        <v>348</v>
      </c>
      <c r="B1318" s="204" t="s">
        <v>184</v>
      </c>
      <c r="C1318" s="527"/>
      <c r="D1318" s="267"/>
      <c r="E1318" s="706"/>
      <c r="F1318" s="267"/>
      <c r="G1318" s="206"/>
      <c r="H1318" s="268"/>
      <c r="I1318" s="500"/>
      <c r="J1318" s="715"/>
      <c r="K1318" s="552">
        <f t="shared" si="81"/>
        <v>0</v>
      </c>
      <c r="L1318" s="217"/>
      <c r="M1318" s="211">
        <f t="shared" si="80"/>
        <v>-46136</v>
      </c>
      <c r="N1318" s="683">
        <f t="shared" si="82"/>
        <v>7</v>
      </c>
      <c r="O1318" s="212"/>
      <c r="P1318" s="544"/>
      <c r="Q1318" s="561">
        <f t="shared" si="83"/>
        <v>0</v>
      </c>
      <c r="R1318" s="223"/>
      <c r="S1318" s="223"/>
      <c r="T1318" s="223"/>
      <c r="U1318" s="223"/>
      <c r="V1318" s="223"/>
    </row>
    <row r="1319" spans="1:22" s="278" customFormat="1" ht="15.75" customHeight="1">
      <c r="A1319" s="468" t="s">
        <v>348</v>
      </c>
      <c r="B1319" s="204" t="s">
        <v>184</v>
      </c>
      <c r="C1319" s="527"/>
      <c r="D1319" s="267"/>
      <c r="E1319" s="706"/>
      <c r="F1319" s="267"/>
      <c r="G1319" s="206"/>
      <c r="H1319" s="268"/>
      <c r="I1319" s="500"/>
      <c r="J1319" s="715"/>
      <c r="K1319" s="552">
        <f t="shared" si="81"/>
        <v>0</v>
      </c>
      <c r="L1319" s="217"/>
      <c r="M1319" s="211">
        <f t="shared" si="80"/>
        <v>-46136</v>
      </c>
      <c r="N1319" s="683">
        <f t="shared" si="82"/>
        <v>7</v>
      </c>
      <c r="O1319" s="212"/>
      <c r="P1319" s="544"/>
      <c r="Q1319" s="561">
        <f t="shared" si="83"/>
        <v>0</v>
      </c>
      <c r="R1319" s="223"/>
      <c r="S1319" s="223"/>
      <c r="T1319" s="223"/>
      <c r="U1319" s="223"/>
      <c r="V1319" s="223"/>
    </row>
    <row r="1320" spans="1:22" s="278" customFormat="1" ht="15.75" customHeight="1">
      <c r="A1320" s="468" t="s">
        <v>348</v>
      </c>
      <c r="B1320" s="204" t="s">
        <v>184</v>
      </c>
      <c r="C1320" s="527"/>
      <c r="D1320" s="267"/>
      <c r="E1320" s="706"/>
      <c r="F1320" s="267"/>
      <c r="G1320" s="206"/>
      <c r="H1320" s="268"/>
      <c r="I1320" s="500"/>
      <c r="J1320" s="715"/>
      <c r="K1320" s="552">
        <f t="shared" si="81"/>
        <v>0</v>
      </c>
      <c r="L1320" s="217"/>
      <c r="M1320" s="211">
        <f t="shared" si="80"/>
        <v>-46136</v>
      </c>
      <c r="N1320" s="683">
        <f t="shared" si="82"/>
        <v>7</v>
      </c>
      <c r="O1320" s="212"/>
      <c r="P1320" s="544"/>
      <c r="Q1320" s="561">
        <f t="shared" si="83"/>
        <v>0</v>
      </c>
      <c r="R1320" s="223"/>
      <c r="S1320" s="223"/>
      <c r="T1320" s="223"/>
      <c r="U1320" s="223"/>
      <c r="V1320" s="223"/>
    </row>
    <row r="1321" spans="1:22" s="278" customFormat="1" ht="15.75" customHeight="1">
      <c r="A1321" s="468" t="s">
        <v>348</v>
      </c>
      <c r="B1321" s="204" t="s">
        <v>184</v>
      </c>
      <c r="C1321" s="527"/>
      <c r="D1321" s="267"/>
      <c r="E1321" s="706"/>
      <c r="F1321" s="267"/>
      <c r="G1321" s="206"/>
      <c r="H1321" s="268"/>
      <c r="I1321" s="500"/>
      <c r="J1321" s="715"/>
      <c r="K1321" s="552">
        <f t="shared" si="81"/>
        <v>0</v>
      </c>
      <c r="L1321" s="217"/>
      <c r="M1321" s="211">
        <f t="shared" si="80"/>
        <v>-46136</v>
      </c>
      <c r="N1321" s="683">
        <f t="shared" si="82"/>
        <v>7</v>
      </c>
      <c r="O1321" s="212"/>
      <c r="P1321" s="544"/>
      <c r="Q1321" s="561">
        <f t="shared" si="83"/>
        <v>0</v>
      </c>
      <c r="R1321" s="223"/>
      <c r="S1321" s="223"/>
      <c r="T1321" s="223"/>
      <c r="U1321" s="223"/>
      <c r="V1321" s="223"/>
    </row>
    <row r="1322" spans="1:22" s="278" customFormat="1" ht="15.75" customHeight="1">
      <c r="A1322" s="468" t="s">
        <v>348</v>
      </c>
      <c r="B1322" s="204" t="s">
        <v>184</v>
      </c>
      <c r="C1322" s="527"/>
      <c r="D1322" s="267"/>
      <c r="E1322" s="706"/>
      <c r="F1322" s="267"/>
      <c r="G1322" s="206"/>
      <c r="H1322" s="268"/>
      <c r="I1322" s="500"/>
      <c r="J1322" s="715"/>
      <c r="K1322" s="552">
        <f t="shared" si="81"/>
        <v>0</v>
      </c>
      <c r="L1322" s="217"/>
      <c r="M1322" s="211">
        <f t="shared" si="80"/>
        <v>-46136</v>
      </c>
      <c r="N1322" s="683">
        <f t="shared" si="82"/>
        <v>7</v>
      </c>
      <c r="O1322" s="212"/>
      <c r="P1322" s="544"/>
      <c r="Q1322" s="561">
        <f t="shared" si="83"/>
        <v>0</v>
      </c>
      <c r="R1322" s="223"/>
      <c r="S1322" s="223"/>
      <c r="T1322" s="223"/>
      <c r="U1322" s="223"/>
      <c r="V1322" s="223"/>
    </row>
    <row r="1323" spans="1:22" s="278" customFormat="1" ht="15.75" customHeight="1">
      <c r="A1323" s="468" t="s">
        <v>348</v>
      </c>
      <c r="B1323" s="204" t="s">
        <v>184</v>
      </c>
      <c r="C1323" s="527"/>
      <c r="D1323" s="267"/>
      <c r="E1323" s="706"/>
      <c r="F1323" s="267"/>
      <c r="G1323" s="206"/>
      <c r="H1323" s="268"/>
      <c r="I1323" s="500"/>
      <c r="J1323" s="715"/>
      <c r="K1323" s="552">
        <f t="shared" si="81"/>
        <v>0</v>
      </c>
      <c r="L1323" s="217"/>
      <c r="M1323" s="211">
        <f t="shared" si="80"/>
        <v>-46136</v>
      </c>
      <c r="N1323" s="683">
        <f t="shared" si="82"/>
        <v>7</v>
      </c>
      <c r="O1323" s="212"/>
      <c r="P1323" s="544"/>
      <c r="Q1323" s="561">
        <f t="shared" si="83"/>
        <v>0</v>
      </c>
      <c r="R1323" s="223"/>
      <c r="S1323" s="223"/>
      <c r="T1323" s="223"/>
      <c r="U1323" s="223"/>
      <c r="V1323" s="223"/>
    </row>
    <row r="1324" spans="1:22" s="278" customFormat="1" ht="15.75" customHeight="1">
      <c r="A1324" s="468" t="s">
        <v>348</v>
      </c>
      <c r="B1324" s="204" t="s">
        <v>184</v>
      </c>
      <c r="C1324" s="527"/>
      <c r="D1324" s="267"/>
      <c r="E1324" s="706"/>
      <c r="F1324" s="267"/>
      <c r="G1324" s="206"/>
      <c r="H1324" s="268"/>
      <c r="I1324" s="500"/>
      <c r="J1324" s="715"/>
      <c r="K1324" s="552">
        <f t="shared" si="81"/>
        <v>0</v>
      </c>
      <c r="L1324" s="217"/>
      <c r="M1324" s="211">
        <f t="shared" si="80"/>
        <v>-46136</v>
      </c>
      <c r="N1324" s="683">
        <f t="shared" si="82"/>
        <v>7</v>
      </c>
      <c r="O1324" s="212"/>
      <c r="P1324" s="544"/>
      <c r="Q1324" s="561">
        <f t="shared" si="83"/>
        <v>0</v>
      </c>
      <c r="R1324" s="223"/>
      <c r="S1324" s="223"/>
      <c r="T1324" s="223"/>
      <c r="U1324" s="223"/>
      <c r="V1324" s="223"/>
    </row>
    <row r="1325" spans="1:22" s="278" customFormat="1" ht="15.75" customHeight="1">
      <c r="A1325" s="468" t="s">
        <v>348</v>
      </c>
      <c r="B1325" s="204" t="s">
        <v>184</v>
      </c>
      <c r="C1325" s="527"/>
      <c r="D1325" s="267"/>
      <c r="E1325" s="706"/>
      <c r="F1325" s="267"/>
      <c r="G1325" s="206"/>
      <c r="H1325" s="268"/>
      <c r="I1325" s="500"/>
      <c r="J1325" s="715"/>
      <c r="K1325" s="552">
        <f t="shared" si="81"/>
        <v>0</v>
      </c>
      <c r="L1325" s="217"/>
      <c r="M1325" s="211">
        <f t="shared" si="80"/>
        <v>-46136</v>
      </c>
      <c r="N1325" s="683">
        <f t="shared" si="82"/>
        <v>7</v>
      </c>
      <c r="O1325" s="212"/>
      <c r="P1325" s="544"/>
      <c r="Q1325" s="561">
        <f t="shared" si="83"/>
        <v>0</v>
      </c>
      <c r="R1325" s="223"/>
      <c r="S1325" s="223"/>
      <c r="T1325" s="223"/>
      <c r="U1325" s="223"/>
      <c r="V1325" s="223"/>
    </row>
    <row r="1326" spans="1:22" s="278" customFormat="1" ht="15.75" customHeight="1">
      <c r="A1326" s="468" t="s">
        <v>348</v>
      </c>
      <c r="B1326" s="204" t="s">
        <v>184</v>
      </c>
      <c r="C1326" s="527"/>
      <c r="D1326" s="267"/>
      <c r="E1326" s="706"/>
      <c r="F1326" s="267"/>
      <c r="G1326" s="206"/>
      <c r="H1326" s="268"/>
      <c r="I1326" s="500"/>
      <c r="J1326" s="715"/>
      <c r="K1326" s="552">
        <f t="shared" si="81"/>
        <v>0</v>
      </c>
      <c r="L1326" s="217"/>
      <c r="M1326" s="211">
        <f t="shared" si="80"/>
        <v>-46136</v>
      </c>
      <c r="N1326" s="683">
        <f t="shared" si="82"/>
        <v>7</v>
      </c>
      <c r="O1326" s="212"/>
      <c r="P1326" s="544"/>
      <c r="Q1326" s="561">
        <f t="shared" si="83"/>
        <v>0</v>
      </c>
      <c r="R1326" s="223"/>
      <c r="S1326" s="223"/>
      <c r="T1326" s="223"/>
      <c r="U1326" s="223"/>
      <c r="V1326" s="223"/>
    </row>
    <row r="1327" spans="1:22" s="278" customFormat="1" ht="15.75" customHeight="1">
      <c r="A1327" s="468" t="s">
        <v>348</v>
      </c>
      <c r="B1327" s="204" t="s">
        <v>184</v>
      </c>
      <c r="C1327" s="527"/>
      <c r="D1327" s="267"/>
      <c r="E1327" s="706"/>
      <c r="F1327" s="267"/>
      <c r="G1327" s="206"/>
      <c r="H1327" s="268"/>
      <c r="I1327" s="500"/>
      <c r="J1327" s="715"/>
      <c r="K1327" s="552">
        <f t="shared" si="81"/>
        <v>0</v>
      </c>
      <c r="L1327" s="217"/>
      <c r="M1327" s="211">
        <f t="shared" si="80"/>
        <v>-46136</v>
      </c>
      <c r="N1327" s="683">
        <f t="shared" si="82"/>
        <v>7</v>
      </c>
      <c r="O1327" s="212"/>
      <c r="P1327" s="544"/>
      <c r="Q1327" s="561">
        <f t="shared" si="83"/>
        <v>0</v>
      </c>
      <c r="R1327" s="223"/>
      <c r="S1327" s="223"/>
      <c r="T1327" s="223"/>
      <c r="U1327" s="223"/>
      <c r="V1327" s="223"/>
    </row>
    <row r="1328" spans="1:22" s="278" customFormat="1" ht="15.75" customHeight="1">
      <c r="A1328" s="468" t="s">
        <v>348</v>
      </c>
      <c r="B1328" s="204" t="s">
        <v>184</v>
      </c>
      <c r="C1328" s="527"/>
      <c r="D1328" s="267"/>
      <c r="E1328" s="706"/>
      <c r="F1328" s="267"/>
      <c r="G1328" s="206"/>
      <c r="H1328" s="268"/>
      <c r="I1328" s="500"/>
      <c r="J1328" s="715"/>
      <c r="K1328" s="552">
        <f t="shared" si="81"/>
        <v>0</v>
      </c>
      <c r="L1328" s="217"/>
      <c r="M1328" s="211">
        <f t="shared" si="80"/>
        <v>-46136</v>
      </c>
      <c r="N1328" s="683">
        <f t="shared" si="82"/>
        <v>7</v>
      </c>
      <c r="O1328" s="212"/>
      <c r="P1328" s="544"/>
      <c r="Q1328" s="561">
        <f t="shared" si="83"/>
        <v>0</v>
      </c>
      <c r="R1328" s="223"/>
      <c r="S1328" s="223"/>
      <c r="T1328" s="223"/>
      <c r="U1328" s="223"/>
      <c r="V1328" s="223"/>
    </row>
    <row r="1329" spans="1:22" s="278" customFormat="1" ht="15.75" customHeight="1">
      <c r="A1329" s="468" t="s">
        <v>348</v>
      </c>
      <c r="B1329" s="204" t="s">
        <v>184</v>
      </c>
      <c r="C1329" s="527"/>
      <c r="D1329" s="267"/>
      <c r="E1329" s="706"/>
      <c r="F1329" s="267"/>
      <c r="G1329" s="206"/>
      <c r="H1329" s="268"/>
      <c r="I1329" s="500"/>
      <c r="J1329" s="715"/>
      <c r="K1329" s="552">
        <f t="shared" si="81"/>
        <v>0</v>
      </c>
      <c r="L1329" s="217"/>
      <c r="M1329" s="211">
        <f t="shared" si="80"/>
        <v>-46136</v>
      </c>
      <c r="N1329" s="683">
        <f t="shared" si="82"/>
        <v>7</v>
      </c>
      <c r="O1329" s="212"/>
      <c r="P1329" s="544"/>
      <c r="Q1329" s="561">
        <f t="shared" si="83"/>
        <v>0</v>
      </c>
      <c r="R1329" s="223"/>
      <c r="S1329" s="223"/>
      <c r="T1329" s="223"/>
      <c r="U1329" s="223"/>
      <c r="V1329" s="223"/>
    </row>
    <row r="1330" spans="1:22" s="278" customFormat="1" ht="15.75" customHeight="1">
      <c r="A1330" s="468" t="s">
        <v>348</v>
      </c>
      <c r="B1330" s="204" t="s">
        <v>184</v>
      </c>
      <c r="C1330" s="527"/>
      <c r="D1330" s="267"/>
      <c r="E1330" s="706"/>
      <c r="F1330" s="267"/>
      <c r="G1330" s="206"/>
      <c r="H1330" s="268"/>
      <c r="I1330" s="500"/>
      <c r="J1330" s="715"/>
      <c r="K1330" s="552">
        <f t="shared" si="81"/>
        <v>0</v>
      </c>
      <c r="L1330" s="217"/>
      <c r="M1330" s="211">
        <f t="shared" si="80"/>
        <v>-46136</v>
      </c>
      <c r="N1330" s="683">
        <f t="shared" si="82"/>
        <v>7</v>
      </c>
      <c r="O1330" s="212"/>
      <c r="P1330" s="544"/>
      <c r="Q1330" s="561">
        <f t="shared" si="83"/>
        <v>0</v>
      </c>
      <c r="R1330" s="223"/>
      <c r="S1330" s="223"/>
      <c r="T1330" s="223"/>
      <c r="U1330" s="223"/>
      <c r="V1330" s="223"/>
    </row>
    <row r="1331" spans="1:22" s="278" customFormat="1" ht="15.75" customHeight="1">
      <c r="A1331" s="468" t="s">
        <v>348</v>
      </c>
      <c r="B1331" s="204" t="s">
        <v>184</v>
      </c>
      <c r="C1331" s="527"/>
      <c r="D1331" s="267"/>
      <c r="E1331" s="706"/>
      <c r="F1331" s="267"/>
      <c r="G1331" s="206"/>
      <c r="H1331" s="268"/>
      <c r="I1331" s="500"/>
      <c r="J1331" s="715"/>
      <c r="K1331" s="552">
        <f t="shared" si="81"/>
        <v>0</v>
      </c>
      <c r="L1331" s="217"/>
      <c r="M1331" s="211">
        <f t="shared" si="80"/>
        <v>-46136</v>
      </c>
      <c r="N1331" s="683">
        <f t="shared" si="82"/>
        <v>7</v>
      </c>
      <c r="O1331" s="212"/>
      <c r="P1331" s="544"/>
      <c r="Q1331" s="561">
        <f t="shared" si="83"/>
        <v>0</v>
      </c>
      <c r="R1331" s="223"/>
      <c r="S1331" s="223"/>
      <c r="T1331" s="223"/>
      <c r="U1331" s="223"/>
      <c r="V1331" s="223"/>
    </row>
    <row r="1332" spans="1:22" s="278" customFormat="1" ht="15.75" customHeight="1">
      <c r="A1332" s="468" t="s">
        <v>348</v>
      </c>
      <c r="B1332" s="204" t="s">
        <v>184</v>
      </c>
      <c r="C1332" s="527"/>
      <c r="D1332" s="267"/>
      <c r="E1332" s="706"/>
      <c r="F1332" s="267"/>
      <c r="G1332" s="206"/>
      <c r="H1332" s="268"/>
      <c r="I1332" s="500"/>
      <c r="J1332" s="715"/>
      <c r="K1332" s="552">
        <f t="shared" si="81"/>
        <v>0</v>
      </c>
      <c r="L1332" s="217"/>
      <c r="M1332" s="211">
        <f t="shared" si="80"/>
        <v>-46136</v>
      </c>
      <c r="N1332" s="683">
        <f t="shared" si="82"/>
        <v>7</v>
      </c>
      <c r="O1332" s="212"/>
      <c r="P1332" s="544"/>
      <c r="Q1332" s="561">
        <f t="shared" si="83"/>
        <v>0</v>
      </c>
      <c r="R1332" s="223"/>
      <c r="S1332" s="223"/>
      <c r="T1332" s="223"/>
      <c r="U1332" s="223"/>
      <c r="V1332" s="223"/>
    </row>
    <row r="1333" spans="1:22" s="278" customFormat="1" ht="15.75" customHeight="1">
      <c r="A1333" s="468" t="s">
        <v>348</v>
      </c>
      <c r="B1333" s="204" t="s">
        <v>184</v>
      </c>
      <c r="C1333" s="527"/>
      <c r="D1333" s="267"/>
      <c r="E1333" s="706"/>
      <c r="F1333" s="267"/>
      <c r="G1333" s="206"/>
      <c r="H1333" s="268"/>
      <c r="I1333" s="500"/>
      <c r="J1333" s="715"/>
      <c r="K1333" s="552">
        <f t="shared" si="81"/>
        <v>0</v>
      </c>
      <c r="L1333" s="217"/>
      <c r="M1333" s="211">
        <f t="shared" si="80"/>
        <v>-46136</v>
      </c>
      <c r="N1333" s="683">
        <f t="shared" si="82"/>
        <v>7</v>
      </c>
      <c r="O1333" s="212"/>
      <c r="P1333" s="544"/>
      <c r="Q1333" s="561">
        <f t="shared" si="83"/>
        <v>0</v>
      </c>
      <c r="R1333" s="223"/>
      <c r="S1333" s="223"/>
      <c r="T1333" s="223"/>
      <c r="U1333" s="223"/>
      <c r="V1333" s="223"/>
    </row>
    <row r="1334" spans="1:22" s="278" customFormat="1" ht="15.75" customHeight="1">
      <c r="A1334" s="468" t="s">
        <v>348</v>
      </c>
      <c r="B1334" s="204" t="s">
        <v>184</v>
      </c>
      <c r="C1334" s="527"/>
      <c r="D1334" s="267"/>
      <c r="E1334" s="706"/>
      <c r="F1334" s="267"/>
      <c r="G1334" s="206"/>
      <c r="H1334" s="268"/>
      <c r="I1334" s="501"/>
      <c r="J1334" s="715"/>
      <c r="K1334" s="552">
        <f t="shared" si="81"/>
        <v>0</v>
      </c>
      <c r="L1334" s="217"/>
      <c r="M1334" s="211">
        <f t="shared" si="80"/>
        <v>-46136</v>
      </c>
      <c r="N1334" s="683">
        <f t="shared" si="82"/>
        <v>7</v>
      </c>
      <c r="O1334" s="212"/>
      <c r="P1334" s="544"/>
      <c r="Q1334" s="561">
        <f t="shared" si="83"/>
        <v>0</v>
      </c>
      <c r="R1334" s="223"/>
      <c r="S1334" s="223"/>
      <c r="T1334" s="223"/>
      <c r="U1334" s="223"/>
      <c r="V1334" s="223"/>
    </row>
    <row r="1335" spans="1:22" s="278" customFormat="1" ht="15.75" customHeight="1">
      <c r="A1335" s="468" t="s">
        <v>348</v>
      </c>
      <c r="B1335" s="204" t="s">
        <v>184</v>
      </c>
      <c r="C1335" s="527"/>
      <c r="D1335" s="267"/>
      <c r="E1335" s="706"/>
      <c r="F1335" s="267"/>
      <c r="G1335" s="206"/>
      <c r="H1335" s="268"/>
      <c r="I1335" s="500"/>
      <c r="J1335" s="715"/>
      <c r="K1335" s="552">
        <f t="shared" si="81"/>
        <v>0</v>
      </c>
      <c r="L1335" s="217"/>
      <c r="M1335" s="211">
        <f t="shared" si="80"/>
        <v>-46136</v>
      </c>
      <c r="N1335" s="683">
        <f t="shared" si="82"/>
        <v>7</v>
      </c>
      <c r="O1335" s="212"/>
      <c r="P1335" s="544"/>
      <c r="Q1335" s="561">
        <f t="shared" si="83"/>
        <v>0</v>
      </c>
      <c r="R1335" s="223"/>
      <c r="S1335" s="223"/>
      <c r="T1335" s="223"/>
      <c r="U1335" s="223"/>
      <c r="V1335" s="223"/>
    </row>
    <row r="1336" spans="1:22" s="278" customFormat="1" ht="15.75" customHeight="1">
      <c r="A1336" s="468" t="s">
        <v>348</v>
      </c>
      <c r="B1336" s="204" t="s">
        <v>184</v>
      </c>
      <c r="C1336" s="527"/>
      <c r="D1336" s="267"/>
      <c r="E1336" s="706"/>
      <c r="F1336" s="267"/>
      <c r="G1336" s="206"/>
      <c r="H1336" s="268"/>
      <c r="I1336" s="502"/>
      <c r="J1336" s="715"/>
      <c r="K1336" s="552">
        <f t="shared" si="81"/>
        <v>0</v>
      </c>
      <c r="L1336" s="217"/>
      <c r="M1336" s="211">
        <f t="shared" si="80"/>
        <v>-46136</v>
      </c>
      <c r="N1336" s="683">
        <f t="shared" si="82"/>
        <v>7</v>
      </c>
      <c r="O1336" s="212"/>
      <c r="P1336" s="544"/>
      <c r="Q1336" s="561">
        <f t="shared" si="83"/>
        <v>0</v>
      </c>
      <c r="R1336" s="223"/>
      <c r="S1336" s="223"/>
      <c r="T1336" s="223"/>
      <c r="U1336" s="223"/>
      <c r="V1336" s="223"/>
    </row>
    <row r="1337" spans="1:22" s="278" customFormat="1" ht="15.75" customHeight="1">
      <c r="A1337" s="468" t="s">
        <v>348</v>
      </c>
      <c r="B1337" s="204" t="s">
        <v>184</v>
      </c>
      <c r="C1337" s="527"/>
      <c r="D1337" s="267"/>
      <c r="E1337" s="706"/>
      <c r="F1337" s="267"/>
      <c r="G1337" s="206"/>
      <c r="H1337" s="268"/>
      <c r="I1337" s="500"/>
      <c r="J1337" s="715"/>
      <c r="K1337" s="552">
        <f t="shared" si="81"/>
        <v>0</v>
      </c>
      <c r="L1337" s="217"/>
      <c r="M1337" s="211">
        <f t="shared" si="80"/>
        <v>-46136</v>
      </c>
      <c r="N1337" s="683">
        <f t="shared" si="82"/>
        <v>7</v>
      </c>
      <c r="O1337" s="212"/>
      <c r="P1337" s="544"/>
      <c r="Q1337" s="561">
        <f t="shared" si="83"/>
        <v>0</v>
      </c>
      <c r="R1337" s="223"/>
      <c r="S1337" s="223"/>
      <c r="T1337" s="223"/>
      <c r="U1337" s="223"/>
      <c r="V1337" s="223"/>
    </row>
    <row r="1338" spans="1:22" s="278" customFormat="1" ht="15.75" customHeight="1">
      <c r="A1338" s="468" t="s">
        <v>348</v>
      </c>
      <c r="B1338" s="204" t="s">
        <v>184</v>
      </c>
      <c r="C1338" s="527"/>
      <c r="D1338" s="267"/>
      <c r="E1338" s="706"/>
      <c r="F1338" s="267"/>
      <c r="G1338" s="206"/>
      <c r="H1338" s="268"/>
      <c r="I1338" s="500"/>
      <c r="J1338" s="715"/>
      <c r="K1338" s="552">
        <f t="shared" si="81"/>
        <v>0</v>
      </c>
      <c r="L1338" s="217"/>
      <c r="M1338" s="211">
        <f t="shared" si="80"/>
        <v>-46136</v>
      </c>
      <c r="N1338" s="683">
        <f t="shared" si="82"/>
        <v>7</v>
      </c>
      <c r="O1338" s="212"/>
      <c r="P1338" s="544"/>
      <c r="Q1338" s="561">
        <f t="shared" si="83"/>
        <v>0</v>
      </c>
      <c r="R1338" s="223"/>
      <c r="S1338" s="223"/>
      <c r="T1338" s="223"/>
      <c r="U1338" s="223"/>
      <c r="V1338" s="223"/>
    </row>
    <row r="1339" spans="1:22" s="278" customFormat="1" ht="15.75" customHeight="1">
      <c r="A1339" s="468" t="s">
        <v>348</v>
      </c>
      <c r="B1339" s="204" t="s">
        <v>184</v>
      </c>
      <c r="C1339" s="527"/>
      <c r="D1339" s="267"/>
      <c r="E1339" s="706"/>
      <c r="F1339" s="267"/>
      <c r="G1339" s="206"/>
      <c r="H1339" s="268"/>
      <c r="I1339" s="500"/>
      <c r="J1339" s="715"/>
      <c r="K1339" s="552">
        <f t="shared" si="81"/>
        <v>0</v>
      </c>
      <c r="L1339" s="217"/>
      <c r="M1339" s="211">
        <f t="shared" si="80"/>
        <v>-46136</v>
      </c>
      <c r="N1339" s="683">
        <f t="shared" si="82"/>
        <v>7</v>
      </c>
      <c r="O1339" s="212"/>
      <c r="P1339" s="544"/>
      <c r="Q1339" s="561">
        <f t="shared" si="83"/>
        <v>0</v>
      </c>
      <c r="R1339" s="223"/>
      <c r="S1339" s="223"/>
      <c r="T1339" s="223"/>
      <c r="U1339" s="223"/>
      <c r="V1339" s="223"/>
    </row>
    <row r="1340" spans="1:22" s="278" customFormat="1" ht="15.75" customHeight="1">
      <c r="A1340" s="468" t="s">
        <v>348</v>
      </c>
      <c r="B1340" s="204" t="s">
        <v>184</v>
      </c>
      <c r="C1340" s="527"/>
      <c r="D1340" s="267"/>
      <c r="E1340" s="706"/>
      <c r="F1340" s="267"/>
      <c r="G1340" s="206"/>
      <c r="H1340" s="268"/>
      <c r="I1340" s="500"/>
      <c r="J1340" s="715"/>
      <c r="K1340" s="552">
        <f t="shared" si="81"/>
        <v>0</v>
      </c>
      <c r="L1340" s="217"/>
      <c r="M1340" s="211">
        <f t="shared" si="80"/>
        <v>-46136</v>
      </c>
      <c r="N1340" s="683">
        <f t="shared" si="82"/>
        <v>7</v>
      </c>
      <c r="O1340" s="212"/>
      <c r="P1340" s="544"/>
      <c r="Q1340" s="561">
        <f t="shared" si="83"/>
        <v>0</v>
      </c>
      <c r="R1340" s="223"/>
      <c r="S1340" s="223"/>
      <c r="T1340" s="223"/>
      <c r="U1340" s="223"/>
      <c r="V1340" s="223"/>
    </row>
    <row r="1341" spans="1:22" s="278" customFormat="1" ht="15.75" customHeight="1">
      <c r="A1341" s="468" t="s">
        <v>348</v>
      </c>
      <c r="B1341" s="204" t="s">
        <v>184</v>
      </c>
      <c r="C1341" s="527"/>
      <c r="D1341" s="267"/>
      <c r="E1341" s="706"/>
      <c r="F1341" s="267"/>
      <c r="G1341" s="206"/>
      <c r="H1341" s="268"/>
      <c r="I1341" s="500"/>
      <c r="J1341" s="715"/>
      <c r="K1341" s="552">
        <f t="shared" si="81"/>
        <v>0</v>
      </c>
      <c r="L1341" s="217"/>
      <c r="M1341" s="211">
        <f t="shared" si="80"/>
        <v>-46136</v>
      </c>
      <c r="N1341" s="683">
        <f t="shared" si="82"/>
        <v>7</v>
      </c>
      <c r="O1341" s="212"/>
      <c r="P1341" s="544"/>
      <c r="Q1341" s="561">
        <f t="shared" si="83"/>
        <v>0</v>
      </c>
      <c r="R1341" s="223"/>
      <c r="S1341" s="223"/>
      <c r="T1341" s="223"/>
      <c r="U1341" s="223"/>
      <c r="V1341" s="223"/>
    </row>
    <row r="1342" spans="1:22" s="278" customFormat="1" ht="15.75" customHeight="1">
      <c r="A1342" s="468" t="s">
        <v>348</v>
      </c>
      <c r="B1342" s="204" t="s">
        <v>184</v>
      </c>
      <c r="C1342" s="527"/>
      <c r="D1342" s="267"/>
      <c r="E1342" s="706"/>
      <c r="F1342" s="267"/>
      <c r="G1342" s="206"/>
      <c r="H1342" s="268"/>
      <c r="I1342" s="500"/>
      <c r="J1342" s="715"/>
      <c r="K1342" s="552">
        <f t="shared" si="81"/>
        <v>0</v>
      </c>
      <c r="L1342" s="217"/>
      <c r="M1342" s="211">
        <f t="shared" si="80"/>
        <v>-46136</v>
      </c>
      <c r="N1342" s="683">
        <f t="shared" si="82"/>
        <v>7</v>
      </c>
      <c r="O1342" s="212"/>
      <c r="P1342" s="544"/>
      <c r="Q1342" s="561">
        <f t="shared" si="83"/>
        <v>0</v>
      </c>
      <c r="R1342" s="223"/>
      <c r="S1342" s="223"/>
      <c r="T1342" s="223"/>
      <c r="U1342" s="223"/>
      <c r="V1342" s="223"/>
    </row>
    <row r="1343" spans="1:22" s="278" customFormat="1" ht="15.75" customHeight="1">
      <c r="A1343" s="468" t="s">
        <v>348</v>
      </c>
      <c r="B1343" s="204" t="s">
        <v>184</v>
      </c>
      <c r="C1343" s="527"/>
      <c r="D1343" s="267"/>
      <c r="E1343" s="706"/>
      <c r="F1343" s="267"/>
      <c r="G1343" s="206"/>
      <c r="H1343" s="268"/>
      <c r="I1343" s="500"/>
      <c r="J1343" s="715"/>
      <c r="K1343" s="552">
        <f t="shared" si="81"/>
        <v>0</v>
      </c>
      <c r="L1343" s="217"/>
      <c r="M1343" s="211">
        <f t="shared" si="80"/>
        <v>-46136</v>
      </c>
      <c r="N1343" s="683">
        <f t="shared" si="82"/>
        <v>7</v>
      </c>
      <c r="O1343" s="212"/>
      <c r="P1343" s="544"/>
      <c r="Q1343" s="561">
        <f t="shared" si="83"/>
        <v>0</v>
      </c>
      <c r="R1343" s="223"/>
      <c r="S1343" s="223"/>
      <c r="T1343" s="223"/>
      <c r="U1343" s="223"/>
      <c r="V1343" s="223"/>
    </row>
    <row r="1344" spans="1:22" s="278" customFormat="1" ht="15.75" customHeight="1">
      <c r="A1344" s="468" t="s">
        <v>348</v>
      </c>
      <c r="B1344" s="204" t="s">
        <v>184</v>
      </c>
      <c r="C1344" s="527"/>
      <c r="D1344" s="267"/>
      <c r="E1344" s="706"/>
      <c r="F1344" s="267"/>
      <c r="G1344" s="206"/>
      <c r="H1344" s="268"/>
      <c r="I1344" s="500"/>
      <c r="J1344" s="715"/>
      <c r="K1344" s="552">
        <f t="shared" si="81"/>
        <v>0</v>
      </c>
      <c r="L1344" s="217"/>
      <c r="M1344" s="211">
        <f t="shared" si="80"/>
        <v>-46136</v>
      </c>
      <c r="N1344" s="683">
        <f t="shared" si="82"/>
        <v>7</v>
      </c>
      <c r="O1344" s="212"/>
      <c r="P1344" s="544"/>
      <c r="Q1344" s="561">
        <f t="shared" si="83"/>
        <v>0</v>
      </c>
      <c r="R1344" s="223"/>
      <c r="S1344" s="223"/>
      <c r="T1344" s="223"/>
      <c r="U1344" s="223"/>
      <c r="V1344" s="223"/>
    </row>
    <row r="1345" spans="1:22" s="278" customFormat="1" ht="15.75" customHeight="1">
      <c r="A1345" s="468" t="s">
        <v>348</v>
      </c>
      <c r="B1345" s="204" t="s">
        <v>184</v>
      </c>
      <c r="C1345" s="527"/>
      <c r="D1345" s="267"/>
      <c r="E1345" s="706"/>
      <c r="F1345" s="267"/>
      <c r="G1345" s="206"/>
      <c r="H1345" s="268"/>
      <c r="I1345" s="500"/>
      <c r="J1345" s="715"/>
      <c r="K1345" s="552">
        <f t="shared" si="81"/>
        <v>0</v>
      </c>
      <c r="L1345" s="217"/>
      <c r="M1345" s="211">
        <f t="shared" si="80"/>
        <v>-46136</v>
      </c>
      <c r="N1345" s="683">
        <f t="shared" si="82"/>
        <v>7</v>
      </c>
      <c r="O1345" s="212"/>
      <c r="P1345" s="544"/>
      <c r="Q1345" s="561">
        <f t="shared" si="83"/>
        <v>0</v>
      </c>
      <c r="R1345" s="223"/>
      <c r="S1345" s="223"/>
      <c r="T1345" s="223"/>
      <c r="U1345" s="223"/>
      <c r="V1345" s="223"/>
    </row>
    <row r="1346" spans="1:22" s="278" customFormat="1" ht="15.75" customHeight="1">
      <c r="A1346" s="468" t="s">
        <v>348</v>
      </c>
      <c r="B1346" s="204" t="s">
        <v>184</v>
      </c>
      <c r="C1346" s="527"/>
      <c r="D1346" s="267"/>
      <c r="E1346" s="706"/>
      <c r="F1346" s="267"/>
      <c r="G1346" s="206"/>
      <c r="H1346" s="268"/>
      <c r="I1346" s="500"/>
      <c r="J1346" s="715"/>
      <c r="K1346" s="552">
        <f t="shared" si="81"/>
        <v>0</v>
      </c>
      <c r="L1346" s="217"/>
      <c r="M1346" s="211">
        <f t="shared" si="80"/>
        <v>-46136</v>
      </c>
      <c r="N1346" s="683">
        <f t="shared" si="82"/>
        <v>7</v>
      </c>
      <c r="O1346" s="212"/>
      <c r="P1346" s="544"/>
      <c r="Q1346" s="561">
        <f t="shared" si="83"/>
        <v>0</v>
      </c>
      <c r="R1346" s="223"/>
      <c r="S1346" s="223"/>
      <c r="T1346" s="223"/>
      <c r="U1346" s="223"/>
      <c r="V1346" s="223"/>
    </row>
    <row r="1347" spans="1:22" s="278" customFormat="1" ht="15.75" customHeight="1">
      <c r="A1347" s="468" t="s">
        <v>348</v>
      </c>
      <c r="B1347" s="204" t="s">
        <v>184</v>
      </c>
      <c r="C1347" s="527"/>
      <c r="D1347" s="267"/>
      <c r="E1347" s="706"/>
      <c r="F1347" s="267"/>
      <c r="G1347" s="206"/>
      <c r="H1347" s="494"/>
      <c r="I1347" s="500"/>
      <c r="J1347" s="715"/>
      <c r="K1347" s="552">
        <f t="shared" si="81"/>
        <v>0</v>
      </c>
      <c r="L1347" s="217"/>
      <c r="M1347" s="211">
        <f t="shared" si="80"/>
        <v>-46136</v>
      </c>
      <c r="N1347" s="683">
        <f t="shared" si="82"/>
        <v>7</v>
      </c>
      <c r="O1347" s="212"/>
      <c r="P1347" s="544"/>
      <c r="Q1347" s="561">
        <f t="shared" si="83"/>
        <v>0</v>
      </c>
      <c r="R1347" s="223"/>
      <c r="S1347" s="223"/>
      <c r="T1347" s="223"/>
      <c r="U1347" s="223"/>
      <c r="V1347" s="223"/>
    </row>
    <row r="1348" spans="1:22" s="278" customFormat="1" ht="15.75" customHeight="1">
      <c r="A1348" s="468" t="s">
        <v>348</v>
      </c>
      <c r="B1348" s="204" t="s">
        <v>184</v>
      </c>
      <c r="C1348" s="527"/>
      <c r="D1348" s="267"/>
      <c r="E1348" s="706"/>
      <c r="F1348" s="267"/>
      <c r="G1348" s="206"/>
      <c r="H1348" s="268"/>
      <c r="I1348" s="502"/>
      <c r="J1348" s="715"/>
      <c r="K1348" s="552">
        <f t="shared" si="81"/>
        <v>0</v>
      </c>
      <c r="L1348" s="217"/>
      <c r="M1348" s="211">
        <f t="shared" si="80"/>
        <v>-46136</v>
      </c>
      <c r="N1348" s="683">
        <f t="shared" si="82"/>
        <v>7</v>
      </c>
      <c r="O1348" s="212"/>
      <c r="P1348" s="544"/>
      <c r="Q1348" s="561">
        <f t="shared" si="83"/>
        <v>0</v>
      </c>
      <c r="R1348" s="223"/>
      <c r="S1348" s="223"/>
      <c r="T1348" s="223"/>
      <c r="U1348" s="223"/>
      <c r="V1348" s="223"/>
    </row>
    <row r="1349" spans="1:22" s="278" customFormat="1" ht="15.75" customHeight="1">
      <c r="A1349" s="468" t="s">
        <v>348</v>
      </c>
      <c r="B1349" s="204" t="s">
        <v>184</v>
      </c>
      <c r="C1349" s="527"/>
      <c r="D1349" s="267"/>
      <c r="E1349" s="706"/>
      <c r="F1349" s="267"/>
      <c r="G1349" s="206"/>
      <c r="H1349" s="268"/>
      <c r="I1349" s="502"/>
      <c r="J1349" s="715"/>
      <c r="K1349" s="552">
        <f t="shared" si="81"/>
        <v>0</v>
      </c>
      <c r="L1349" s="217"/>
      <c r="M1349" s="211">
        <f t="shared" si="80"/>
        <v>-46136</v>
      </c>
      <c r="N1349" s="683">
        <f t="shared" si="82"/>
        <v>7</v>
      </c>
      <c r="O1349" s="212"/>
      <c r="P1349" s="544"/>
      <c r="Q1349" s="561">
        <f t="shared" si="83"/>
        <v>0</v>
      </c>
      <c r="R1349" s="223"/>
      <c r="S1349" s="223"/>
      <c r="T1349" s="223"/>
      <c r="U1349" s="223"/>
      <c r="V1349" s="223"/>
    </row>
    <row r="1350" spans="1:22" s="278" customFormat="1" ht="15.75" customHeight="1">
      <c r="A1350" s="468" t="s">
        <v>348</v>
      </c>
      <c r="B1350" s="204" t="s">
        <v>184</v>
      </c>
      <c r="C1350" s="527"/>
      <c r="D1350" s="267"/>
      <c r="E1350" s="706"/>
      <c r="F1350" s="267"/>
      <c r="G1350" s="206"/>
      <c r="H1350" s="268"/>
      <c r="I1350" s="502"/>
      <c r="J1350" s="715"/>
      <c r="K1350" s="552">
        <f t="shared" si="81"/>
        <v>0</v>
      </c>
      <c r="L1350" s="217"/>
      <c r="M1350" s="211">
        <f t="shared" si="80"/>
        <v>-46136</v>
      </c>
      <c r="N1350" s="683">
        <f t="shared" si="82"/>
        <v>7</v>
      </c>
      <c r="O1350" s="212"/>
      <c r="P1350" s="544"/>
      <c r="Q1350" s="561">
        <f t="shared" si="83"/>
        <v>0</v>
      </c>
      <c r="R1350" s="223"/>
      <c r="S1350" s="223"/>
      <c r="T1350" s="223"/>
      <c r="U1350" s="223"/>
      <c r="V1350" s="223"/>
    </row>
    <row r="1351" spans="1:22" s="278" customFormat="1" ht="15.75" customHeight="1">
      <c r="A1351" s="468" t="s">
        <v>348</v>
      </c>
      <c r="B1351" s="204" t="s">
        <v>184</v>
      </c>
      <c r="C1351" s="527"/>
      <c r="D1351" s="267"/>
      <c r="E1351" s="706"/>
      <c r="F1351" s="267"/>
      <c r="G1351" s="724"/>
      <c r="H1351" s="268"/>
      <c r="I1351" s="500"/>
      <c r="J1351" s="715"/>
      <c r="K1351" s="552">
        <f t="shared" si="81"/>
        <v>0</v>
      </c>
      <c r="L1351" s="217"/>
      <c r="M1351" s="211">
        <f t="shared" si="80"/>
        <v>-46136</v>
      </c>
      <c r="N1351" s="683">
        <f t="shared" si="82"/>
        <v>7</v>
      </c>
      <c r="O1351" s="212"/>
      <c r="P1351" s="544"/>
      <c r="Q1351" s="561">
        <f t="shared" si="83"/>
        <v>0</v>
      </c>
      <c r="R1351" s="223"/>
      <c r="S1351" s="223"/>
      <c r="T1351" s="223"/>
      <c r="U1351" s="223"/>
      <c r="V1351" s="223"/>
    </row>
    <row r="1352" spans="1:22" s="278" customFormat="1" ht="15.75" customHeight="1">
      <c r="A1352" s="468" t="s">
        <v>348</v>
      </c>
      <c r="B1352" s="204" t="s">
        <v>184</v>
      </c>
      <c r="C1352" s="527"/>
      <c r="D1352" s="267"/>
      <c r="E1352" s="706"/>
      <c r="F1352" s="267"/>
      <c r="G1352" s="724"/>
      <c r="H1352" s="268"/>
      <c r="I1352" s="500"/>
      <c r="J1352" s="715"/>
      <c r="K1352" s="552">
        <f t="shared" si="81"/>
        <v>0</v>
      </c>
      <c r="L1352" s="217"/>
      <c r="M1352" s="211">
        <f t="shared" si="80"/>
        <v>-46136</v>
      </c>
      <c r="N1352" s="683">
        <f t="shared" si="82"/>
        <v>7</v>
      </c>
      <c r="O1352" s="212"/>
      <c r="P1352" s="544"/>
      <c r="Q1352" s="561">
        <f t="shared" si="83"/>
        <v>0</v>
      </c>
      <c r="R1352" s="223"/>
      <c r="S1352" s="223"/>
      <c r="T1352" s="223"/>
      <c r="U1352" s="223"/>
      <c r="V1352" s="223"/>
    </row>
    <row r="1353" spans="1:22" s="278" customFormat="1" ht="15.75" customHeight="1">
      <c r="A1353" s="468" t="s">
        <v>348</v>
      </c>
      <c r="B1353" s="204" t="s">
        <v>184</v>
      </c>
      <c r="C1353" s="527"/>
      <c r="D1353" s="267"/>
      <c r="E1353" s="706"/>
      <c r="F1353" s="267"/>
      <c r="G1353" s="724"/>
      <c r="H1353" s="268"/>
      <c r="I1353" s="500"/>
      <c r="J1353" s="715"/>
      <c r="K1353" s="552">
        <f t="shared" si="81"/>
        <v>0</v>
      </c>
      <c r="L1353" s="217"/>
      <c r="M1353" s="211">
        <f t="shared" ref="M1353:M1416" si="84">+L1353-$E$6</f>
        <v>-46136</v>
      </c>
      <c r="N1353" s="683">
        <f t="shared" si="82"/>
        <v>7</v>
      </c>
      <c r="O1353" s="212"/>
      <c r="P1353" s="544"/>
      <c r="Q1353" s="561">
        <f t="shared" si="83"/>
        <v>0</v>
      </c>
      <c r="R1353" s="223"/>
      <c r="S1353" s="223"/>
      <c r="T1353" s="223"/>
      <c r="U1353" s="223"/>
      <c r="V1353" s="223"/>
    </row>
    <row r="1354" spans="1:22" s="278" customFormat="1" ht="15.75" customHeight="1">
      <c r="A1354" s="468" t="s">
        <v>348</v>
      </c>
      <c r="B1354" s="204" t="s">
        <v>184</v>
      </c>
      <c r="C1354" s="527"/>
      <c r="D1354" s="267"/>
      <c r="E1354" s="706"/>
      <c r="F1354" s="267"/>
      <c r="G1354" s="206"/>
      <c r="H1354" s="268"/>
      <c r="I1354" s="500"/>
      <c r="J1354" s="715"/>
      <c r="K1354" s="552">
        <f t="shared" ref="K1354:K1417" si="85">-J1354</f>
        <v>0</v>
      </c>
      <c r="L1354" s="217"/>
      <c r="M1354" s="211">
        <f t="shared" si="84"/>
        <v>-46136</v>
      </c>
      <c r="N1354" s="683">
        <f t="shared" ref="N1354:N1417" si="86">+L1354+7</f>
        <v>7</v>
      </c>
      <c r="O1354" s="212"/>
      <c r="P1354" s="544"/>
      <c r="Q1354" s="561">
        <f t="shared" si="83"/>
        <v>0</v>
      </c>
      <c r="R1354" s="223"/>
      <c r="S1354" s="223"/>
      <c r="T1354" s="223"/>
      <c r="U1354" s="223"/>
      <c r="V1354" s="223"/>
    </row>
    <row r="1355" spans="1:22" s="278" customFormat="1" ht="15.75" customHeight="1">
      <c r="A1355" s="468" t="s">
        <v>348</v>
      </c>
      <c r="B1355" s="204" t="s">
        <v>184</v>
      </c>
      <c r="C1355" s="527"/>
      <c r="D1355" s="267"/>
      <c r="E1355" s="706"/>
      <c r="F1355" s="267"/>
      <c r="G1355" s="206"/>
      <c r="H1355" s="268"/>
      <c r="I1355" s="500"/>
      <c r="J1355" s="715"/>
      <c r="K1355" s="552">
        <f t="shared" si="85"/>
        <v>0</v>
      </c>
      <c r="L1355" s="217"/>
      <c r="M1355" s="211">
        <f t="shared" si="84"/>
        <v>-46136</v>
      </c>
      <c r="N1355" s="683">
        <f t="shared" si="86"/>
        <v>7</v>
      </c>
      <c r="O1355" s="212"/>
      <c r="P1355" s="544"/>
      <c r="Q1355" s="561">
        <f t="shared" si="83"/>
        <v>0</v>
      </c>
      <c r="R1355" s="223"/>
      <c r="S1355" s="223"/>
      <c r="T1355" s="223"/>
      <c r="U1355" s="223"/>
      <c r="V1355" s="223"/>
    </row>
    <row r="1356" spans="1:22" s="278" customFormat="1" ht="15.75" customHeight="1">
      <c r="A1356" s="468" t="s">
        <v>348</v>
      </c>
      <c r="B1356" s="204" t="s">
        <v>184</v>
      </c>
      <c r="C1356" s="527"/>
      <c r="D1356" s="267"/>
      <c r="E1356" s="706"/>
      <c r="F1356" s="267"/>
      <c r="G1356" s="206"/>
      <c r="H1356" s="268"/>
      <c r="I1356" s="501"/>
      <c r="J1356" s="715"/>
      <c r="K1356" s="552">
        <f t="shared" si="85"/>
        <v>0</v>
      </c>
      <c r="L1356" s="217"/>
      <c r="M1356" s="211">
        <f t="shared" si="84"/>
        <v>-46136</v>
      </c>
      <c r="N1356" s="683">
        <f t="shared" si="86"/>
        <v>7</v>
      </c>
      <c r="O1356" s="212"/>
      <c r="P1356" s="544"/>
      <c r="Q1356" s="561">
        <f t="shared" si="83"/>
        <v>0</v>
      </c>
      <c r="R1356" s="223"/>
      <c r="S1356" s="223"/>
      <c r="T1356" s="223"/>
      <c r="U1356" s="223"/>
      <c r="V1356" s="223"/>
    </row>
    <row r="1357" spans="1:22" s="278" customFormat="1" ht="15.75" customHeight="1">
      <c r="A1357" s="468" t="s">
        <v>348</v>
      </c>
      <c r="B1357" s="204" t="s">
        <v>184</v>
      </c>
      <c r="C1357" s="527"/>
      <c r="D1357" s="267"/>
      <c r="E1357" s="706"/>
      <c r="F1357" s="267"/>
      <c r="G1357" s="206"/>
      <c r="H1357" s="268"/>
      <c r="I1357" s="500"/>
      <c r="J1357" s="715"/>
      <c r="K1357" s="552">
        <f t="shared" si="85"/>
        <v>0</v>
      </c>
      <c r="L1357" s="217"/>
      <c r="M1357" s="211">
        <f t="shared" si="84"/>
        <v>-46136</v>
      </c>
      <c r="N1357" s="683">
        <f t="shared" si="86"/>
        <v>7</v>
      </c>
      <c r="O1357" s="212"/>
      <c r="P1357" s="544"/>
      <c r="Q1357" s="561">
        <f t="shared" si="83"/>
        <v>0</v>
      </c>
      <c r="R1357" s="223"/>
      <c r="S1357" s="223"/>
      <c r="T1357" s="223"/>
      <c r="U1357" s="223"/>
      <c r="V1357" s="223"/>
    </row>
    <row r="1358" spans="1:22" s="278" customFormat="1" ht="15.75" customHeight="1">
      <c r="A1358" s="468" t="s">
        <v>348</v>
      </c>
      <c r="B1358" s="204" t="s">
        <v>184</v>
      </c>
      <c r="C1358" s="527"/>
      <c r="D1358" s="267"/>
      <c r="E1358" s="706"/>
      <c r="F1358" s="267"/>
      <c r="G1358" s="206"/>
      <c r="H1358" s="268"/>
      <c r="I1358" s="500"/>
      <c r="J1358" s="715"/>
      <c r="K1358" s="552">
        <f t="shared" si="85"/>
        <v>0</v>
      </c>
      <c r="L1358" s="217"/>
      <c r="M1358" s="211">
        <f t="shared" si="84"/>
        <v>-46136</v>
      </c>
      <c r="N1358" s="683">
        <f t="shared" si="86"/>
        <v>7</v>
      </c>
      <c r="O1358" s="212"/>
      <c r="P1358" s="544"/>
      <c r="Q1358" s="561">
        <f t="shared" si="83"/>
        <v>0</v>
      </c>
      <c r="R1358" s="223"/>
      <c r="S1358" s="223"/>
      <c r="T1358" s="223"/>
      <c r="U1358" s="223"/>
      <c r="V1358" s="223"/>
    </row>
    <row r="1359" spans="1:22" s="278" customFormat="1" ht="15.75" customHeight="1">
      <c r="A1359" s="468" t="s">
        <v>348</v>
      </c>
      <c r="B1359" s="204" t="s">
        <v>184</v>
      </c>
      <c r="C1359" s="527"/>
      <c r="D1359" s="267"/>
      <c r="E1359" s="706"/>
      <c r="F1359" s="267"/>
      <c r="G1359" s="206"/>
      <c r="H1359" s="268"/>
      <c r="I1359" s="500"/>
      <c r="J1359" s="715"/>
      <c r="K1359" s="552">
        <f t="shared" si="85"/>
        <v>0</v>
      </c>
      <c r="L1359" s="217"/>
      <c r="M1359" s="211">
        <f t="shared" si="84"/>
        <v>-46136</v>
      </c>
      <c r="N1359" s="683">
        <f t="shared" si="86"/>
        <v>7</v>
      </c>
      <c r="O1359" s="212"/>
      <c r="P1359" s="544"/>
      <c r="Q1359" s="561">
        <f t="shared" si="83"/>
        <v>0</v>
      </c>
      <c r="R1359" s="223"/>
      <c r="S1359" s="223"/>
      <c r="T1359" s="223"/>
      <c r="U1359" s="223"/>
      <c r="V1359" s="223"/>
    </row>
    <row r="1360" spans="1:22" s="278" customFormat="1" ht="15.75" customHeight="1">
      <c r="A1360" s="468" t="s">
        <v>348</v>
      </c>
      <c r="B1360" s="204" t="s">
        <v>184</v>
      </c>
      <c r="C1360" s="527"/>
      <c r="D1360" s="267"/>
      <c r="E1360" s="706"/>
      <c r="F1360" s="267"/>
      <c r="G1360" s="206"/>
      <c r="H1360" s="268"/>
      <c r="I1360" s="500"/>
      <c r="J1360" s="715"/>
      <c r="K1360" s="552">
        <f t="shared" si="85"/>
        <v>0</v>
      </c>
      <c r="L1360" s="217"/>
      <c r="M1360" s="211">
        <f t="shared" si="84"/>
        <v>-46136</v>
      </c>
      <c r="N1360" s="683">
        <f t="shared" si="86"/>
        <v>7</v>
      </c>
      <c r="O1360" s="212"/>
      <c r="P1360" s="544"/>
      <c r="Q1360" s="561">
        <f t="shared" si="83"/>
        <v>0</v>
      </c>
      <c r="R1360" s="223"/>
      <c r="S1360" s="223"/>
      <c r="T1360" s="223"/>
      <c r="U1360" s="223"/>
      <c r="V1360" s="223"/>
    </row>
    <row r="1361" spans="1:22" s="278" customFormat="1" ht="15.75" customHeight="1">
      <c r="A1361" s="468" t="s">
        <v>348</v>
      </c>
      <c r="B1361" s="204" t="s">
        <v>184</v>
      </c>
      <c r="C1361" s="527"/>
      <c r="D1361" s="267"/>
      <c r="E1361" s="706"/>
      <c r="F1361" s="267"/>
      <c r="G1361" s="206"/>
      <c r="H1361" s="268"/>
      <c r="I1361" s="502"/>
      <c r="J1361" s="715"/>
      <c r="K1361" s="552">
        <f t="shared" si="85"/>
        <v>0</v>
      </c>
      <c r="L1361" s="217"/>
      <c r="M1361" s="211">
        <f t="shared" si="84"/>
        <v>-46136</v>
      </c>
      <c r="N1361" s="683">
        <f t="shared" si="86"/>
        <v>7</v>
      </c>
      <c r="O1361" s="212"/>
      <c r="P1361" s="544"/>
      <c r="Q1361" s="561">
        <f t="shared" si="83"/>
        <v>0</v>
      </c>
      <c r="R1361" s="223"/>
      <c r="S1361" s="223"/>
      <c r="T1361" s="223"/>
      <c r="U1361" s="223"/>
      <c r="V1361" s="223"/>
    </row>
    <row r="1362" spans="1:22" s="278" customFormat="1" ht="15.75" customHeight="1">
      <c r="A1362" s="468" t="s">
        <v>348</v>
      </c>
      <c r="B1362" s="204" t="s">
        <v>184</v>
      </c>
      <c r="C1362" s="527"/>
      <c r="D1362" s="267"/>
      <c r="E1362" s="706"/>
      <c r="F1362" s="267"/>
      <c r="G1362" s="206"/>
      <c r="H1362" s="268"/>
      <c r="I1362" s="502"/>
      <c r="J1362" s="715"/>
      <c r="K1362" s="552">
        <f t="shared" si="85"/>
        <v>0</v>
      </c>
      <c r="L1362" s="217"/>
      <c r="M1362" s="211">
        <f t="shared" si="84"/>
        <v>-46136</v>
      </c>
      <c r="N1362" s="683">
        <f t="shared" si="86"/>
        <v>7</v>
      </c>
      <c r="O1362" s="212"/>
      <c r="P1362" s="544"/>
      <c r="Q1362" s="561">
        <f t="shared" si="83"/>
        <v>0</v>
      </c>
      <c r="R1362" s="223"/>
      <c r="S1362" s="223"/>
      <c r="T1362" s="223"/>
      <c r="U1362" s="223"/>
      <c r="V1362" s="223"/>
    </row>
    <row r="1363" spans="1:22" s="278" customFormat="1" ht="15.75" customHeight="1">
      <c r="A1363" s="468" t="s">
        <v>348</v>
      </c>
      <c r="B1363" s="204" t="s">
        <v>184</v>
      </c>
      <c r="C1363" s="527"/>
      <c r="D1363" s="267"/>
      <c r="E1363" s="706"/>
      <c r="F1363" s="267"/>
      <c r="G1363" s="206"/>
      <c r="H1363" s="268"/>
      <c r="I1363" s="500"/>
      <c r="J1363" s="715"/>
      <c r="K1363" s="552">
        <f t="shared" si="85"/>
        <v>0</v>
      </c>
      <c r="L1363" s="217"/>
      <c r="M1363" s="211">
        <f t="shared" si="84"/>
        <v>-46136</v>
      </c>
      <c r="N1363" s="683">
        <f t="shared" si="86"/>
        <v>7</v>
      </c>
      <c r="O1363" s="212"/>
      <c r="P1363" s="544"/>
      <c r="Q1363" s="561">
        <f t="shared" si="83"/>
        <v>0</v>
      </c>
      <c r="R1363" s="223"/>
      <c r="S1363" s="223"/>
      <c r="T1363" s="223"/>
      <c r="U1363" s="223"/>
      <c r="V1363" s="223"/>
    </row>
    <row r="1364" spans="1:22" s="280" customFormat="1" ht="15.75" customHeight="1">
      <c r="A1364" s="468" t="s">
        <v>348</v>
      </c>
      <c r="B1364" s="204" t="s">
        <v>184</v>
      </c>
      <c r="C1364" s="527"/>
      <c r="D1364" s="267"/>
      <c r="E1364" s="706"/>
      <c r="F1364" s="267"/>
      <c r="G1364" s="206"/>
      <c r="H1364" s="268"/>
      <c r="I1364" s="276"/>
      <c r="J1364" s="715"/>
      <c r="K1364" s="552">
        <f t="shared" si="85"/>
        <v>0</v>
      </c>
      <c r="L1364" s="217"/>
      <c r="M1364" s="211">
        <f t="shared" si="84"/>
        <v>-46136</v>
      </c>
      <c r="N1364" s="683">
        <f t="shared" si="86"/>
        <v>7</v>
      </c>
      <c r="O1364" s="212"/>
      <c r="P1364" s="544"/>
      <c r="Q1364" s="561">
        <f t="shared" si="83"/>
        <v>0</v>
      </c>
      <c r="R1364" s="223"/>
      <c r="S1364" s="223"/>
      <c r="T1364" s="223"/>
      <c r="U1364" s="223"/>
      <c r="V1364" s="223"/>
    </row>
    <row r="1365" spans="1:22" s="280" customFormat="1" ht="15.75" customHeight="1">
      <c r="A1365" s="468" t="s">
        <v>348</v>
      </c>
      <c r="B1365" s="204" t="s">
        <v>184</v>
      </c>
      <c r="C1365" s="527"/>
      <c r="D1365" s="267"/>
      <c r="E1365" s="706"/>
      <c r="F1365" s="267"/>
      <c r="G1365" s="206"/>
      <c r="H1365" s="268"/>
      <c r="I1365" s="501"/>
      <c r="J1365" s="715"/>
      <c r="K1365" s="552">
        <f t="shared" si="85"/>
        <v>0</v>
      </c>
      <c r="L1365" s="217"/>
      <c r="M1365" s="211">
        <f t="shared" si="84"/>
        <v>-46136</v>
      </c>
      <c r="N1365" s="683">
        <f t="shared" si="86"/>
        <v>7</v>
      </c>
      <c r="O1365" s="212"/>
      <c r="P1365" s="544"/>
      <c r="Q1365" s="561">
        <f t="shared" si="83"/>
        <v>0</v>
      </c>
      <c r="R1365" s="223"/>
      <c r="S1365" s="223"/>
      <c r="T1365" s="223"/>
      <c r="U1365" s="223"/>
      <c r="V1365" s="223"/>
    </row>
    <row r="1366" spans="1:22" s="280" customFormat="1" ht="15.75" customHeight="1">
      <c r="A1366" s="468" t="s">
        <v>348</v>
      </c>
      <c r="B1366" s="204" t="s">
        <v>184</v>
      </c>
      <c r="C1366" s="527"/>
      <c r="D1366" s="267"/>
      <c r="E1366" s="706"/>
      <c r="F1366" s="267"/>
      <c r="G1366" s="206"/>
      <c r="H1366" s="268"/>
      <c r="I1366" s="500"/>
      <c r="J1366" s="715"/>
      <c r="K1366" s="552">
        <f t="shared" si="85"/>
        <v>0</v>
      </c>
      <c r="L1366" s="217"/>
      <c r="M1366" s="211">
        <f t="shared" si="84"/>
        <v>-46136</v>
      </c>
      <c r="N1366" s="683">
        <f t="shared" si="86"/>
        <v>7</v>
      </c>
      <c r="O1366" s="212"/>
      <c r="P1366" s="544"/>
      <c r="Q1366" s="561">
        <f t="shared" si="83"/>
        <v>0</v>
      </c>
      <c r="R1366" s="223"/>
      <c r="S1366" s="223"/>
      <c r="T1366" s="223"/>
      <c r="U1366" s="223"/>
      <c r="V1366" s="223"/>
    </row>
    <row r="1367" spans="1:22" s="280" customFormat="1" ht="15.75" customHeight="1">
      <c r="A1367" s="468" t="s">
        <v>348</v>
      </c>
      <c r="B1367" s="204" t="s">
        <v>184</v>
      </c>
      <c r="C1367" s="527"/>
      <c r="D1367" s="267"/>
      <c r="E1367" s="706"/>
      <c r="F1367" s="267"/>
      <c r="G1367" s="206"/>
      <c r="H1367" s="268"/>
      <c r="I1367" s="500"/>
      <c r="J1367" s="715"/>
      <c r="K1367" s="552">
        <f t="shared" si="85"/>
        <v>0</v>
      </c>
      <c r="L1367" s="217"/>
      <c r="M1367" s="211">
        <f t="shared" si="84"/>
        <v>-46136</v>
      </c>
      <c r="N1367" s="683">
        <f t="shared" si="86"/>
        <v>7</v>
      </c>
      <c r="O1367" s="212"/>
      <c r="P1367" s="544"/>
      <c r="Q1367" s="561">
        <f t="shared" si="83"/>
        <v>0</v>
      </c>
      <c r="R1367" s="223"/>
      <c r="S1367" s="223"/>
      <c r="T1367" s="223"/>
      <c r="U1367" s="223"/>
      <c r="V1367" s="223"/>
    </row>
    <row r="1368" spans="1:22" s="280" customFormat="1" ht="15.75" customHeight="1">
      <c r="A1368" s="468" t="s">
        <v>348</v>
      </c>
      <c r="B1368" s="204" t="s">
        <v>184</v>
      </c>
      <c r="C1368" s="527"/>
      <c r="D1368" s="267"/>
      <c r="E1368" s="706"/>
      <c r="F1368" s="267"/>
      <c r="G1368" s="206"/>
      <c r="H1368" s="268"/>
      <c r="I1368" s="500"/>
      <c r="J1368" s="715"/>
      <c r="K1368" s="552">
        <f t="shared" si="85"/>
        <v>0</v>
      </c>
      <c r="L1368" s="217"/>
      <c r="M1368" s="211">
        <f t="shared" si="84"/>
        <v>-46136</v>
      </c>
      <c r="N1368" s="683">
        <f t="shared" si="86"/>
        <v>7</v>
      </c>
      <c r="O1368" s="212"/>
      <c r="P1368" s="544"/>
      <c r="Q1368" s="561">
        <f t="shared" si="83"/>
        <v>0</v>
      </c>
      <c r="R1368" s="223"/>
      <c r="S1368" s="223"/>
      <c r="T1368" s="223"/>
      <c r="U1368" s="223"/>
      <c r="V1368" s="223"/>
    </row>
    <row r="1369" spans="1:22" s="280" customFormat="1" ht="15.75" customHeight="1">
      <c r="A1369" s="468" t="s">
        <v>348</v>
      </c>
      <c r="B1369" s="204" t="s">
        <v>184</v>
      </c>
      <c r="C1369" s="527"/>
      <c r="D1369" s="267"/>
      <c r="E1369" s="706"/>
      <c r="F1369" s="267"/>
      <c r="G1369" s="206"/>
      <c r="H1369" s="268"/>
      <c r="I1369" s="502"/>
      <c r="J1369" s="715"/>
      <c r="K1369" s="552">
        <f t="shared" si="85"/>
        <v>0</v>
      </c>
      <c r="L1369" s="217"/>
      <c r="M1369" s="211">
        <f t="shared" si="84"/>
        <v>-46136</v>
      </c>
      <c r="N1369" s="683">
        <f t="shared" si="86"/>
        <v>7</v>
      </c>
      <c r="O1369" s="212"/>
      <c r="P1369" s="544"/>
      <c r="Q1369" s="561">
        <f t="shared" si="83"/>
        <v>0</v>
      </c>
      <c r="R1369" s="223"/>
      <c r="S1369" s="223"/>
      <c r="T1369" s="223"/>
      <c r="U1369" s="223"/>
      <c r="V1369" s="223"/>
    </row>
    <row r="1370" spans="1:22" s="280" customFormat="1" ht="15.75" customHeight="1">
      <c r="A1370" s="468" t="s">
        <v>348</v>
      </c>
      <c r="B1370" s="204" t="s">
        <v>184</v>
      </c>
      <c r="C1370" s="527"/>
      <c r="D1370" s="267"/>
      <c r="E1370" s="706"/>
      <c r="F1370" s="267"/>
      <c r="G1370" s="206"/>
      <c r="H1370" s="268"/>
      <c r="I1370" s="500"/>
      <c r="J1370" s="715"/>
      <c r="K1370" s="552">
        <f t="shared" si="85"/>
        <v>0</v>
      </c>
      <c r="L1370" s="217"/>
      <c r="M1370" s="211">
        <f t="shared" si="84"/>
        <v>-46136</v>
      </c>
      <c r="N1370" s="683">
        <f t="shared" si="86"/>
        <v>7</v>
      </c>
      <c r="O1370" s="212"/>
      <c r="P1370" s="544"/>
      <c r="Q1370" s="561">
        <f t="shared" si="83"/>
        <v>0</v>
      </c>
      <c r="R1370" s="223"/>
      <c r="S1370" s="223"/>
      <c r="T1370" s="223"/>
      <c r="U1370" s="223"/>
      <c r="V1370" s="223"/>
    </row>
    <row r="1371" spans="1:22" s="280" customFormat="1" ht="15.75" customHeight="1">
      <c r="A1371" s="468" t="s">
        <v>348</v>
      </c>
      <c r="B1371" s="204" t="s">
        <v>184</v>
      </c>
      <c r="C1371" s="527"/>
      <c r="D1371" s="267"/>
      <c r="E1371" s="706"/>
      <c r="F1371" s="267"/>
      <c r="G1371" s="206"/>
      <c r="H1371" s="268"/>
      <c r="I1371" s="502"/>
      <c r="J1371" s="715"/>
      <c r="K1371" s="552">
        <f t="shared" si="85"/>
        <v>0</v>
      </c>
      <c r="L1371" s="217"/>
      <c r="M1371" s="211">
        <f t="shared" si="84"/>
        <v>-46136</v>
      </c>
      <c r="N1371" s="683">
        <f t="shared" si="86"/>
        <v>7</v>
      </c>
      <c r="O1371" s="212"/>
      <c r="P1371" s="544"/>
      <c r="Q1371" s="561">
        <f t="shared" si="83"/>
        <v>0</v>
      </c>
      <c r="R1371" s="223"/>
      <c r="S1371" s="223"/>
      <c r="T1371" s="223"/>
      <c r="U1371" s="223"/>
      <c r="V1371" s="223"/>
    </row>
    <row r="1372" spans="1:22" s="280" customFormat="1" ht="15.75" customHeight="1">
      <c r="A1372" s="468" t="s">
        <v>348</v>
      </c>
      <c r="B1372" s="204" t="s">
        <v>184</v>
      </c>
      <c r="C1372" s="527"/>
      <c r="D1372" s="267"/>
      <c r="E1372" s="706"/>
      <c r="F1372" s="267"/>
      <c r="G1372" s="206"/>
      <c r="H1372" s="268"/>
      <c r="I1372" s="501"/>
      <c r="J1372" s="715"/>
      <c r="K1372" s="552">
        <f t="shared" si="85"/>
        <v>0</v>
      </c>
      <c r="L1372" s="217"/>
      <c r="M1372" s="211">
        <f t="shared" si="84"/>
        <v>-46136</v>
      </c>
      <c r="N1372" s="683">
        <f t="shared" si="86"/>
        <v>7</v>
      </c>
      <c r="O1372" s="212"/>
      <c r="P1372" s="544"/>
      <c r="Q1372" s="561">
        <f t="shared" si="83"/>
        <v>0</v>
      </c>
      <c r="R1372" s="223"/>
      <c r="S1372" s="223"/>
      <c r="T1372" s="223"/>
      <c r="U1372" s="223"/>
      <c r="V1372" s="223"/>
    </row>
    <row r="1373" spans="1:22" s="280" customFormat="1" ht="15.75" customHeight="1">
      <c r="A1373" s="468" t="s">
        <v>348</v>
      </c>
      <c r="B1373" s="204" t="s">
        <v>184</v>
      </c>
      <c r="C1373" s="527"/>
      <c r="D1373" s="267"/>
      <c r="E1373" s="706"/>
      <c r="F1373" s="267"/>
      <c r="G1373" s="206"/>
      <c r="H1373" s="268"/>
      <c r="I1373" s="503"/>
      <c r="J1373" s="715"/>
      <c r="K1373" s="552">
        <f t="shared" si="85"/>
        <v>0</v>
      </c>
      <c r="L1373" s="217"/>
      <c r="M1373" s="211">
        <f t="shared" si="84"/>
        <v>-46136</v>
      </c>
      <c r="N1373" s="683">
        <f t="shared" si="86"/>
        <v>7</v>
      </c>
      <c r="O1373" s="212"/>
      <c r="P1373" s="544"/>
      <c r="Q1373" s="561">
        <f t="shared" si="83"/>
        <v>0</v>
      </c>
      <c r="R1373" s="223"/>
      <c r="S1373" s="223"/>
      <c r="T1373" s="223"/>
      <c r="U1373" s="223"/>
      <c r="V1373" s="223"/>
    </row>
    <row r="1374" spans="1:22" s="280" customFormat="1" ht="15.75" customHeight="1">
      <c r="A1374" s="468" t="s">
        <v>348</v>
      </c>
      <c r="B1374" s="204" t="s">
        <v>184</v>
      </c>
      <c r="C1374" s="527"/>
      <c r="D1374" s="267"/>
      <c r="E1374" s="706"/>
      <c r="F1374" s="267"/>
      <c r="G1374" s="206"/>
      <c r="H1374" s="268"/>
      <c r="I1374" s="500"/>
      <c r="J1374" s="715"/>
      <c r="K1374" s="552">
        <f t="shared" si="85"/>
        <v>0</v>
      </c>
      <c r="L1374" s="217"/>
      <c r="M1374" s="211">
        <f t="shared" si="84"/>
        <v>-46136</v>
      </c>
      <c r="N1374" s="683">
        <f t="shared" si="86"/>
        <v>7</v>
      </c>
      <c r="O1374" s="212"/>
      <c r="P1374" s="544"/>
      <c r="Q1374" s="561">
        <f t="shared" si="83"/>
        <v>0</v>
      </c>
      <c r="R1374" s="223"/>
      <c r="S1374" s="223"/>
      <c r="T1374" s="223"/>
      <c r="U1374" s="223"/>
      <c r="V1374" s="223"/>
    </row>
    <row r="1375" spans="1:22" s="280" customFormat="1" ht="15.75" customHeight="1">
      <c r="A1375" s="468" t="s">
        <v>348</v>
      </c>
      <c r="B1375" s="204" t="s">
        <v>184</v>
      </c>
      <c r="C1375" s="527"/>
      <c r="D1375" s="267"/>
      <c r="E1375" s="706"/>
      <c r="F1375" s="267"/>
      <c r="G1375" s="206"/>
      <c r="H1375" s="268"/>
      <c r="I1375" s="500"/>
      <c r="J1375" s="715"/>
      <c r="K1375" s="552">
        <f t="shared" si="85"/>
        <v>0</v>
      </c>
      <c r="L1375" s="217"/>
      <c r="M1375" s="211">
        <f t="shared" si="84"/>
        <v>-46136</v>
      </c>
      <c r="N1375" s="683">
        <f t="shared" si="86"/>
        <v>7</v>
      </c>
      <c r="O1375" s="212"/>
      <c r="P1375" s="544"/>
      <c r="Q1375" s="561">
        <f t="shared" si="83"/>
        <v>0</v>
      </c>
      <c r="R1375" s="223"/>
      <c r="S1375" s="223"/>
      <c r="T1375" s="223"/>
      <c r="U1375" s="223"/>
      <c r="V1375" s="223"/>
    </row>
    <row r="1376" spans="1:22" s="280" customFormat="1" ht="15.75" customHeight="1">
      <c r="A1376" s="468" t="s">
        <v>348</v>
      </c>
      <c r="B1376" s="204" t="s">
        <v>184</v>
      </c>
      <c r="C1376" s="527"/>
      <c r="D1376" s="267"/>
      <c r="E1376" s="706"/>
      <c r="F1376" s="267"/>
      <c r="G1376" s="206"/>
      <c r="H1376" s="268"/>
      <c r="I1376" s="500"/>
      <c r="J1376" s="715"/>
      <c r="K1376" s="552">
        <f t="shared" si="85"/>
        <v>0</v>
      </c>
      <c r="L1376" s="217"/>
      <c r="M1376" s="211">
        <f t="shared" si="84"/>
        <v>-46136</v>
      </c>
      <c r="N1376" s="683">
        <f t="shared" si="86"/>
        <v>7</v>
      </c>
      <c r="O1376" s="212"/>
      <c r="P1376" s="544"/>
      <c r="Q1376" s="561">
        <f t="shared" si="83"/>
        <v>0</v>
      </c>
      <c r="R1376" s="223"/>
      <c r="S1376" s="223"/>
      <c r="T1376" s="223"/>
      <c r="U1376" s="223"/>
      <c r="V1376" s="223"/>
    </row>
    <row r="1377" spans="1:22" s="280" customFormat="1" ht="15.75" customHeight="1">
      <c r="A1377" s="468" t="s">
        <v>348</v>
      </c>
      <c r="B1377" s="204" t="s">
        <v>184</v>
      </c>
      <c r="C1377" s="527"/>
      <c r="D1377" s="267"/>
      <c r="E1377" s="706"/>
      <c r="F1377" s="267"/>
      <c r="G1377" s="206"/>
      <c r="H1377" s="268"/>
      <c r="I1377" s="502"/>
      <c r="J1377" s="715"/>
      <c r="K1377" s="552">
        <f t="shared" si="85"/>
        <v>0</v>
      </c>
      <c r="L1377" s="217"/>
      <c r="M1377" s="211">
        <f t="shared" si="84"/>
        <v>-46136</v>
      </c>
      <c r="N1377" s="683">
        <f t="shared" si="86"/>
        <v>7</v>
      </c>
      <c r="O1377" s="212"/>
      <c r="P1377" s="544"/>
      <c r="Q1377" s="561">
        <f t="shared" si="83"/>
        <v>0</v>
      </c>
      <c r="R1377" s="223"/>
      <c r="S1377" s="223"/>
      <c r="T1377" s="223"/>
      <c r="U1377" s="223"/>
      <c r="V1377" s="223"/>
    </row>
    <row r="1378" spans="1:22" s="280" customFormat="1" ht="15.75" customHeight="1">
      <c r="A1378" s="468" t="s">
        <v>348</v>
      </c>
      <c r="B1378" s="204" t="s">
        <v>184</v>
      </c>
      <c r="C1378" s="527"/>
      <c r="D1378" s="267"/>
      <c r="E1378" s="706"/>
      <c r="F1378" s="267"/>
      <c r="G1378" s="206"/>
      <c r="H1378" s="268"/>
      <c r="I1378" s="500"/>
      <c r="J1378" s="715"/>
      <c r="K1378" s="552">
        <f t="shared" si="85"/>
        <v>0</v>
      </c>
      <c r="L1378" s="217"/>
      <c r="M1378" s="211">
        <f t="shared" si="84"/>
        <v>-46136</v>
      </c>
      <c r="N1378" s="683">
        <f t="shared" si="86"/>
        <v>7</v>
      </c>
      <c r="O1378" s="212"/>
      <c r="P1378" s="544"/>
      <c r="Q1378" s="561">
        <f t="shared" si="83"/>
        <v>0</v>
      </c>
      <c r="R1378" s="223"/>
      <c r="S1378" s="223"/>
      <c r="T1378" s="223"/>
      <c r="U1378" s="223"/>
      <c r="V1378" s="223"/>
    </row>
    <row r="1379" spans="1:22" s="280" customFormat="1" ht="15.75" customHeight="1">
      <c r="A1379" s="468" t="s">
        <v>348</v>
      </c>
      <c r="B1379" s="204" t="s">
        <v>184</v>
      </c>
      <c r="C1379" s="527"/>
      <c r="D1379" s="267"/>
      <c r="E1379" s="706"/>
      <c r="F1379" s="267"/>
      <c r="G1379" s="206"/>
      <c r="H1379" s="268"/>
      <c r="I1379" s="500"/>
      <c r="J1379" s="715"/>
      <c r="K1379" s="552">
        <f t="shared" si="85"/>
        <v>0</v>
      </c>
      <c r="L1379" s="217"/>
      <c r="M1379" s="211">
        <f t="shared" si="84"/>
        <v>-46136</v>
      </c>
      <c r="N1379" s="683">
        <f t="shared" si="86"/>
        <v>7</v>
      </c>
      <c r="O1379" s="212"/>
      <c r="P1379" s="544"/>
      <c r="Q1379" s="561">
        <f t="shared" si="83"/>
        <v>0</v>
      </c>
      <c r="R1379" s="223"/>
      <c r="S1379" s="223"/>
      <c r="T1379" s="223"/>
      <c r="U1379" s="223"/>
      <c r="V1379" s="223"/>
    </row>
    <row r="1380" spans="1:22" s="280" customFormat="1" ht="15.75" customHeight="1">
      <c r="A1380" s="468" t="s">
        <v>348</v>
      </c>
      <c r="B1380" s="204" t="s">
        <v>184</v>
      </c>
      <c r="C1380" s="527"/>
      <c r="D1380" s="267"/>
      <c r="E1380" s="706"/>
      <c r="F1380" s="267"/>
      <c r="G1380" s="206"/>
      <c r="H1380" s="268"/>
      <c r="I1380" s="500"/>
      <c r="J1380" s="715"/>
      <c r="K1380" s="552">
        <f t="shared" si="85"/>
        <v>0</v>
      </c>
      <c r="L1380" s="217"/>
      <c r="M1380" s="211">
        <f t="shared" si="84"/>
        <v>-46136</v>
      </c>
      <c r="N1380" s="683">
        <f t="shared" si="86"/>
        <v>7</v>
      </c>
      <c r="O1380" s="212"/>
      <c r="P1380" s="544"/>
      <c r="Q1380" s="561">
        <f t="shared" ref="Q1380:Q1443" si="87">+K1380+J1380</f>
        <v>0</v>
      </c>
      <c r="R1380" s="223"/>
      <c r="S1380" s="223"/>
      <c r="T1380" s="223"/>
      <c r="U1380" s="223"/>
      <c r="V1380" s="223"/>
    </row>
    <row r="1381" spans="1:22" s="280" customFormat="1" ht="15.75" customHeight="1">
      <c r="A1381" s="468" t="s">
        <v>348</v>
      </c>
      <c r="B1381" s="204" t="s">
        <v>184</v>
      </c>
      <c r="C1381" s="527"/>
      <c r="D1381" s="267"/>
      <c r="E1381" s="706"/>
      <c r="F1381" s="267"/>
      <c r="G1381" s="206"/>
      <c r="H1381" s="268"/>
      <c r="I1381" s="500"/>
      <c r="J1381" s="715"/>
      <c r="K1381" s="552">
        <f t="shared" si="85"/>
        <v>0</v>
      </c>
      <c r="L1381" s="217"/>
      <c r="M1381" s="211">
        <f t="shared" si="84"/>
        <v>-46136</v>
      </c>
      <c r="N1381" s="683">
        <f t="shared" si="86"/>
        <v>7</v>
      </c>
      <c r="O1381" s="212"/>
      <c r="P1381" s="544"/>
      <c r="Q1381" s="561">
        <f t="shared" si="87"/>
        <v>0</v>
      </c>
      <c r="R1381" s="223"/>
      <c r="S1381" s="223"/>
      <c r="T1381" s="223"/>
      <c r="U1381" s="223"/>
      <c r="V1381" s="223"/>
    </row>
    <row r="1382" spans="1:22" s="280" customFormat="1" ht="15.75" customHeight="1">
      <c r="A1382" s="468" t="s">
        <v>348</v>
      </c>
      <c r="B1382" s="204" t="s">
        <v>184</v>
      </c>
      <c r="C1382" s="527"/>
      <c r="D1382" s="267"/>
      <c r="E1382" s="706"/>
      <c r="F1382" s="267"/>
      <c r="G1382" s="206"/>
      <c r="H1382" s="268"/>
      <c r="I1382" s="500"/>
      <c r="J1382" s="715"/>
      <c r="K1382" s="552">
        <f t="shared" si="85"/>
        <v>0</v>
      </c>
      <c r="L1382" s="217"/>
      <c r="M1382" s="211">
        <f t="shared" si="84"/>
        <v>-46136</v>
      </c>
      <c r="N1382" s="683">
        <f t="shared" si="86"/>
        <v>7</v>
      </c>
      <c r="O1382" s="212"/>
      <c r="P1382" s="544"/>
      <c r="Q1382" s="561">
        <f t="shared" si="87"/>
        <v>0</v>
      </c>
      <c r="R1382" s="223"/>
      <c r="S1382" s="223"/>
      <c r="T1382" s="223"/>
      <c r="U1382" s="223"/>
      <c r="V1382" s="223"/>
    </row>
    <row r="1383" spans="1:22" s="280" customFormat="1" ht="15.75" customHeight="1">
      <c r="A1383" s="468" t="s">
        <v>348</v>
      </c>
      <c r="B1383" s="204" t="s">
        <v>184</v>
      </c>
      <c r="C1383" s="527"/>
      <c r="D1383" s="267"/>
      <c r="E1383" s="706"/>
      <c r="F1383" s="267"/>
      <c r="G1383" s="206"/>
      <c r="H1383" s="268"/>
      <c r="I1383" s="500"/>
      <c r="J1383" s="715"/>
      <c r="K1383" s="552">
        <f t="shared" si="85"/>
        <v>0</v>
      </c>
      <c r="L1383" s="217"/>
      <c r="M1383" s="211">
        <f t="shared" si="84"/>
        <v>-46136</v>
      </c>
      <c r="N1383" s="683">
        <f t="shared" si="86"/>
        <v>7</v>
      </c>
      <c r="O1383" s="212"/>
      <c r="P1383" s="544"/>
      <c r="Q1383" s="561">
        <f t="shared" si="87"/>
        <v>0</v>
      </c>
      <c r="R1383" s="223"/>
      <c r="S1383" s="223"/>
      <c r="T1383" s="223"/>
      <c r="U1383" s="223"/>
      <c r="V1383" s="223"/>
    </row>
    <row r="1384" spans="1:22" s="280" customFormat="1" ht="15.75" customHeight="1">
      <c r="A1384" s="468" t="s">
        <v>348</v>
      </c>
      <c r="B1384" s="204" t="s">
        <v>184</v>
      </c>
      <c r="C1384" s="527"/>
      <c r="D1384" s="267"/>
      <c r="E1384" s="706"/>
      <c r="F1384" s="267"/>
      <c r="G1384" s="206"/>
      <c r="H1384" s="268"/>
      <c r="I1384" s="502"/>
      <c r="J1384" s="715"/>
      <c r="K1384" s="552">
        <f t="shared" si="85"/>
        <v>0</v>
      </c>
      <c r="L1384" s="217"/>
      <c r="M1384" s="211">
        <f t="shared" si="84"/>
        <v>-46136</v>
      </c>
      <c r="N1384" s="683">
        <f t="shared" si="86"/>
        <v>7</v>
      </c>
      <c r="O1384" s="212"/>
      <c r="P1384" s="544"/>
      <c r="Q1384" s="561">
        <f t="shared" si="87"/>
        <v>0</v>
      </c>
      <c r="R1384" s="223"/>
      <c r="S1384" s="223"/>
      <c r="T1384" s="223"/>
      <c r="U1384" s="223"/>
      <c r="V1384" s="223"/>
    </row>
    <row r="1385" spans="1:22" s="280" customFormat="1" ht="15.75" customHeight="1">
      <c r="A1385" s="468" t="s">
        <v>348</v>
      </c>
      <c r="B1385" s="204" t="s">
        <v>184</v>
      </c>
      <c r="C1385" s="527"/>
      <c r="D1385" s="267"/>
      <c r="E1385" s="706"/>
      <c r="F1385" s="267"/>
      <c r="G1385" s="206"/>
      <c r="H1385" s="268"/>
      <c r="I1385" s="500"/>
      <c r="J1385" s="715"/>
      <c r="K1385" s="552">
        <f t="shared" si="85"/>
        <v>0</v>
      </c>
      <c r="L1385" s="217"/>
      <c r="M1385" s="211">
        <f t="shared" si="84"/>
        <v>-46136</v>
      </c>
      <c r="N1385" s="683">
        <f t="shared" si="86"/>
        <v>7</v>
      </c>
      <c r="O1385" s="212"/>
      <c r="P1385" s="544"/>
      <c r="Q1385" s="561">
        <f t="shared" si="87"/>
        <v>0</v>
      </c>
      <c r="R1385" s="223"/>
      <c r="S1385" s="223"/>
      <c r="T1385" s="223"/>
      <c r="U1385" s="223"/>
      <c r="V1385" s="223"/>
    </row>
    <row r="1386" spans="1:22" s="280" customFormat="1" ht="15.75" customHeight="1">
      <c r="A1386" s="468" t="s">
        <v>348</v>
      </c>
      <c r="B1386" s="204" t="s">
        <v>184</v>
      </c>
      <c r="C1386" s="527"/>
      <c r="D1386" s="267"/>
      <c r="E1386" s="706"/>
      <c r="F1386" s="267"/>
      <c r="G1386" s="206"/>
      <c r="H1386" s="268"/>
      <c r="I1386" s="500"/>
      <c r="J1386" s="715"/>
      <c r="K1386" s="552">
        <f t="shared" si="85"/>
        <v>0</v>
      </c>
      <c r="L1386" s="217"/>
      <c r="M1386" s="211">
        <f t="shared" si="84"/>
        <v>-46136</v>
      </c>
      <c r="N1386" s="683">
        <f t="shared" si="86"/>
        <v>7</v>
      </c>
      <c r="O1386" s="212"/>
      <c r="P1386" s="544"/>
      <c r="Q1386" s="561">
        <f t="shared" si="87"/>
        <v>0</v>
      </c>
      <c r="R1386" s="223"/>
      <c r="S1386" s="223"/>
      <c r="T1386" s="223"/>
      <c r="U1386" s="223"/>
      <c r="V1386" s="223"/>
    </row>
    <row r="1387" spans="1:22" s="280" customFormat="1" ht="15.75" customHeight="1">
      <c r="A1387" s="468" t="s">
        <v>348</v>
      </c>
      <c r="B1387" s="204" t="s">
        <v>184</v>
      </c>
      <c r="C1387" s="527"/>
      <c r="D1387" s="267"/>
      <c r="E1387" s="706"/>
      <c r="F1387" s="267"/>
      <c r="G1387" s="206"/>
      <c r="H1387" s="268"/>
      <c r="I1387" s="501"/>
      <c r="J1387" s="715"/>
      <c r="K1387" s="552">
        <f t="shared" si="85"/>
        <v>0</v>
      </c>
      <c r="L1387" s="217"/>
      <c r="M1387" s="211">
        <f t="shared" si="84"/>
        <v>-46136</v>
      </c>
      <c r="N1387" s="683">
        <f t="shared" si="86"/>
        <v>7</v>
      </c>
      <c r="O1387" s="212"/>
      <c r="P1387" s="544"/>
      <c r="Q1387" s="561">
        <f t="shared" si="87"/>
        <v>0</v>
      </c>
      <c r="R1387" s="223"/>
      <c r="S1387" s="223"/>
      <c r="T1387" s="223"/>
      <c r="U1387" s="223"/>
      <c r="V1387" s="223"/>
    </row>
    <row r="1388" spans="1:22" s="280" customFormat="1" ht="15.75" customHeight="1">
      <c r="A1388" s="468" t="s">
        <v>348</v>
      </c>
      <c r="B1388" s="204" t="s">
        <v>184</v>
      </c>
      <c r="C1388" s="527"/>
      <c r="D1388" s="267"/>
      <c r="E1388" s="706"/>
      <c r="F1388" s="267"/>
      <c r="G1388" s="206"/>
      <c r="H1388" s="268"/>
      <c r="I1388" s="501"/>
      <c r="J1388" s="715"/>
      <c r="K1388" s="552">
        <f t="shared" si="85"/>
        <v>0</v>
      </c>
      <c r="L1388" s="217"/>
      <c r="M1388" s="211">
        <f t="shared" si="84"/>
        <v>-46136</v>
      </c>
      <c r="N1388" s="683">
        <f t="shared" si="86"/>
        <v>7</v>
      </c>
      <c r="O1388" s="212"/>
      <c r="P1388" s="544"/>
      <c r="Q1388" s="561">
        <f t="shared" si="87"/>
        <v>0</v>
      </c>
      <c r="R1388" s="223"/>
      <c r="S1388" s="223"/>
      <c r="T1388" s="223"/>
      <c r="U1388" s="223"/>
      <c r="V1388" s="223"/>
    </row>
    <row r="1389" spans="1:22" s="280" customFormat="1" ht="15.75" customHeight="1">
      <c r="A1389" s="468" t="s">
        <v>348</v>
      </c>
      <c r="B1389" s="204" t="s">
        <v>184</v>
      </c>
      <c r="C1389" s="527"/>
      <c r="D1389" s="267"/>
      <c r="E1389" s="706"/>
      <c r="F1389" s="267"/>
      <c r="G1389" s="206"/>
      <c r="H1389" s="268"/>
      <c r="I1389" s="500"/>
      <c r="J1389" s="715"/>
      <c r="K1389" s="552">
        <f t="shared" si="85"/>
        <v>0</v>
      </c>
      <c r="L1389" s="217"/>
      <c r="M1389" s="211">
        <f t="shared" si="84"/>
        <v>-46136</v>
      </c>
      <c r="N1389" s="683">
        <f t="shared" si="86"/>
        <v>7</v>
      </c>
      <c r="O1389" s="212"/>
      <c r="P1389" s="544"/>
      <c r="Q1389" s="561">
        <f t="shared" si="87"/>
        <v>0</v>
      </c>
      <c r="R1389" s="223"/>
      <c r="S1389" s="223"/>
      <c r="T1389" s="223"/>
      <c r="U1389" s="223"/>
      <c r="V1389" s="223"/>
    </row>
    <row r="1390" spans="1:22" s="280" customFormat="1" ht="15.75" customHeight="1">
      <c r="A1390" s="468" t="s">
        <v>348</v>
      </c>
      <c r="B1390" s="204" t="s">
        <v>184</v>
      </c>
      <c r="C1390" s="527"/>
      <c r="D1390" s="267"/>
      <c r="E1390" s="706"/>
      <c r="F1390" s="267"/>
      <c r="G1390" s="206"/>
      <c r="H1390" s="268"/>
      <c r="I1390" s="500"/>
      <c r="J1390" s="715"/>
      <c r="K1390" s="552">
        <f t="shared" si="85"/>
        <v>0</v>
      </c>
      <c r="L1390" s="217"/>
      <c r="M1390" s="211">
        <f t="shared" si="84"/>
        <v>-46136</v>
      </c>
      <c r="N1390" s="683">
        <f t="shared" si="86"/>
        <v>7</v>
      </c>
      <c r="O1390" s="212"/>
      <c r="P1390" s="544"/>
      <c r="Q1390" s="561">
        <f t="shared" si="87"/>
        <v>0</v>
      </c>
      <c r="R1390" s="223"/>
      <c r="S1390" s="223"/>
      <c r="T1390" s="223"/>
      <c r="U1390" s="223"/>
      <c r="V1390" s="223"/>
    </row>
    <row r="1391" spans="1:22" s="280" customFormat="1" ht="15.75" customHeight="1">
      <c r="A1391" s="468" t="s">
        <v>348</v>
      </c>
      <c r="B1391" s="204" t="s">
        <v>184</v>
      </c>
      <c r="C1391" s="527"/>
      <c r="D1391" s="267"/>
      <c r="E1391" s="706"/>
      <c r="F1391" s="267"/>
      <c r="G1391" s="206"/>
      <c r="H1391" s="268"/>
      <c r="I1391" s="500"/>
      <c r="J1391" s="715"/>
      <c r="K1391" s="552">
        <f t="shared" si="85"/>
        <v>0</v>
      </c>
      <c r="L1391" s="217"/>
      <c r="M1391" s="211">
        <f t="shared" si="84"/>
        <v>-46136</v>
      </c>
      <c r="N1391" s="683">
        <f t="shared" si="86"/>
        <v>7</v>
      </c>
      <c r="O1391" s="212"/>
      <c r="P1391" s="544"/>
      <c r="Q1391" s="561">
        <f t="shared" si="87"/>
        <v>0</v>
      </c>
      <c r="R1391" s="223"/>
      <c r="S1391" s="223"/>
      <c r="T1391" s="223"/>
      <c r="U1391" s="223"/>
      <c r="V1391" s="223"/>
    </row>
    <row r="1392" spans="1:22" s="280" customFormat="1" ht="15.75" customHeight="1">
      <c r="A1392" s="468" t="s">
        <v>348</v>
      </c>
      <c r="B1392" s="204" t="s">
        <v>184</v>
      </c>
      <c r="C1392" s="527"/>
      <c r="D1392" s="267"/>
      <c r="E1392" s="706"/>
      <c r="F1392" s="267"/>
      <c r="G1392" s="206"/>
      <c r="H1392" s="268"/>
      <c r="I1392" s="500"/>
      <c r="J1392" s="715"/>
      <c r="K1392" s="552">
        <f t="shared" si="85"/>
        <v>0</v>
      </c>
      <c r="L1392" s="217"/>
      <c r="M1392" s="211">
        <f t="shared" si="84"/>
        <v>-46136</v>
      </c>
      <c r="N1392" s="683">
        <f t="shared" si="86"/>
        <v>7</v>
      </c>
      <c r="O1392" s="212"/>
      <c r="P1392" s="544"/>
      <c r="Q1392" s="561">
        <f t="shared" si="87"/>
        <v>0</v>
      </c>
      <c r="R1392" s="223"/>
      <c r="S1392" s="223"/>
      <c r="T1392" s="223"/>
      <c r="U1392" s="223"/>
      <c r="V1392" s="223"/>
    </row>
    <row r="1393" spans="1:22" s="280" customFormat="1" ht="15.75" customHeight="1">
      <c r="A1393" s="468" t="s">
        <v>348</v>
      </c>
      <c r="B1393" s="204" t="s">
        <v>184</v>
      </c>
      <c r="C1393" s="527"/>
      <c r="D1393" s="267"/>
      <c r="E1393" s="706"/>
      <c r="F1393" s="267"/>
      <c r="G1393" s="206"/>
      <c r="H1393" s="268"/>
      <c r="I1393" s="500"/>
      <c r="J1393" s="715"/>
      <c r="K1393" s="552">
        <f t="shared" si="85"/>
        <v>0</v>
      </c>
      <c r="L1393" s="217"/>
      <c r="M1393" s="211">
        <f t="shared" si="84"/>
        <v>-46136</v>
      </c>
      <c r="N1393" s="683">
        <f t="shared" si="86"/>
        <v>7</v>
      </c>
      <c r="O1393" s="212"/>
      <c r="P1393" s="544"/>
      <c r="Q1393" s="561">
        <f t="shared" si="87"/>
        <v>0</v>
      </c>
      <c r="R1393" s="223"/>
      <c r="S1393" s="223"/>
      <c r="T1393" s="223"/>
      <c r="U1393" s="223"/>
      <c r="V1393" s="223"/>
    </row>
    <row r="1394" spans="1:22" s="280" customFormat="1" ht="15.75" customHeight="1">
      <c r="A1394" s="468" t="s">
        <v>348</v>
      </c>
      <c r="B1394" s="204" t="s">
        <v>184</v>
      </c>
      <c r="C1394" s="527"/>
      <c r="D1394" s="267"/>
      <c r="E1394" s="706"/>
      <c r="F1394" s="267"/>
      <c r="G1394" s="206"/>
      <c r="H1394" s="268"/>
      <c r="I1394" s="500"/>
      <c r="J1394" s="715"/>
      <c r="K1394" s="552">
        <f t="shared" si="85"/>
        <v>0</v>
      </c>
      <c r="L1394" s="217"/>
      <c r="M1394" s="211">
        <f t="shared" si="84"/>
        <v>-46136</v>
      </c>
      <c r="N1394" s="683">
        <f t="shared" si="86"/>
        <v>7</v>
      </c>
      <c r="O1394" s="212"/>
      <c r="P1394" s="544"/>
      <c r="Q1394" s="561">
        <f t="shared" si="87"/>
        <v>0</v>
      </c>
      <c r="R1394" s="223"/>
      <c r="S1394" s="223"/>
      <c r="T1394" s="223"/>
      <c r="U1394" s="223"/>
      <c r="V1394" s="223"/>
    </row>
    <row r="1395" spans="1:22" s="280" customFormat="1" ht="15.75" customHeight="1">
      <c r="A1395" s="468" t="s">
        <v>348</v>
      </c>
      <c r="B1395" s="204" t="s">
        <v>184</v>
      </c>
      <c r="C1395" s="527"/>
      <c r="D1395" s="267"/>
      <c r="E1395" s="706"/>
      <c r="F1395" s="267"/>
      <c r="G1395" s="206"/>
      <c r="H1395" s="268"/>
      <c r="I1395" s="500"/>
      <c r="J1395" s="715"/>
      <c r="K1395" s="552">
        <f t="shared" si="85"/>
        <v>0</v>
      </c>
      <c r="L1395" s="217"/>
      <c r="M1395" s="211">
        <f t="shared" si="84"/>
        <v>-46136</v>
      </c>
      <c r="N1395" s="683">
        <f t="shared" si="86"/>
        <v>7</v>
      </c>
      <c r="O1395" s="212"/>
      <c r="P1395" s="544"/>
      <c r="Q1395" s="561">
        <f t="shared" si="87"/>
        <v>0</v>
      </c>
      <c r="R1395" s="223"/>
      <c r="S1395" s="223"/>
      <c r="T1395" s="223"/>
      <c r="U1395" s="223"/>
      <c r="V1395" s="223"/>
    </row>
    <row r="1396" spans="1:22" s="731" customFormat="1" ht="15.75" customHeight="1">
      <c r="A1396" s="468" t="s">
        <v>348</v>
      </c>
      <c r="B1396" s="204" t="s">
        <v>184</v>
      </c>
      <c r="C1396" s="527"/>
      <c r="D1396" s="267"/>
      <c r="E1396" s="706"/>
      <c r="F1396" s="267"/>
      <c r="G1396" s="206"/>
      <c r="H1396" s="268"/>
      <c r="I1396" s="500"/>
      <c r="J1396" s="715"/>
      <c r="K1396" s="552">
        <f t="shared" si="85"/>
        <v>0</v>
      </c>
      <c r="L1396" s="217"/>
      <c r="M1396" s="211">
        <f t="shared" si="84"/>
        <v>-46136</v>
      </c>
      <c r="N1396" s="683">
        <f t="shared" si="86"/>
        <v>7</v>
      </c>
      <c r="O1396" s="212"/>
      <c r="P1396" s="544"/>
      <c r="Q1396" s="561">
        <f t="shared" si="87"/>
        <v>0</v>
      </c>
      <c r="R1396" s="223"/>
      <c r="S1396" s="223"/>
      <c r="T1396" s="223"/>
      <c r="U1396" s="223"/>
      <c r="V1396" s="223"/>
    </row>
    <row r="1397" spans="1:22" s="731" customFormat="1" ht="15.75" customHeight="1">
      <c r="A1397" s="468" t="s">
        <v>348</v>
      </c>
      <c r="B1397" s="204" t="s">
        <v>184</v>
      </c>
      <c r="C1397" s="527"/>
      <c r="D1397" s="267"/>
      <c r="E1397" s="706"/>
      <c r="F1397" s="267"/>
      <c r="G1397" s="206"/>
      <c r="H1397" s="268"/>
      <c r="I1397" s="501"/>
      <c r="J1397" s="715"/>
      <c r="K1397" s="552">
        <f t="shared" si="85"/>
        <v>0</v>
      </c>
      <c r="L1397" s="217"/>
      <c r="M1397" s="211">
        <f t="shared" si="84"/>
        <v>-46136</v>
      </c>
      <c r="N1397" s="683">
        <f t="shared" si="86"/>
        <v>7</v>
      </c>
      <c r="O1397" s="212"/>
      <c r="P1397" s="544"/>
      <c r="Q1397" s="561">
        <f t="shared" si="87"/>
        <v>0</v>
      </c>
      <c r="R1397" s="223"/>
      <c r="S1397" s="223"/>
      <c r="T1397" s="223"/>
      <c r="U1397" s="223"/>
      <c r="V1397" s="223"/>
    </row>
    <row r="1398" spans="1:22" s="731" customFormat="1" ht="15.75" customHeight="1">
      <c r="A1398" s="468" t="s">
        <v>348</v>
      </c>
      <c r="B1398" s="204" t="s">
        <v>184</v>
      </c>
      <c r="C1398" s="527"/>
      <c r="D1398" s="267"/>
      <c r="E1398" s="706"/>
      <c r="F1398" s="267"/>
      <c r="G1398" s="206"/>
      <c r="H1398" s="268"/>
      <c r="I1398" s="501"/>
      <c r="J1398" s="715"/>
      <c r="K1398" s="552">
        <f t="shared" si="85"/>
        <v>0</v>
      </c>
      <c r="L1398" s="217"/>
      <c r="M1398" s="211">
        <f t="shared" si="84"/>
        <v>-46136</v>
      </c>
      <c r="N1398" s="683">
        <f t="shared" si="86"/>
        <v>7</v>
      </c>
      <c r="O1398" s="212"/>
      <c r="P1398" s="544"/>
      <c r="Q1398" s="561">
        <f t="shared" si="87"/>
        <v>0</v>
      </c>
      <c r="R1398" s="223"/>
      <c r="S1398" s="223"/>
      <c r="T1398" s="223"/>
      <c r="U1398" s="223"/>
      <c r="V1398" s="223"/>
    </row>
    <row r="1399" spans="1:22" s="731" customFormat="1" ht="15.75" customHeight="1">
      <c r="A1399" s="468" t="s">
        <v>348</v>
      </c>
      <c r="B1399" s="204" t="s">
        <v>184</v>
      </c>
      <c r="C1399" s="527"/>
      <c r="D1399" s="267"/>
      <c r="E1399" s="706"/>
      <c r="F1399" s="267"/>
      <c r="G1399" s="206"/>
      <c r="H1399" s="268"/>
      <c r="I1399" s="500"/>
      <c r="J1399" s="715"/>
      <c r="K1399" s="552">
        <f t="shared" si="85"/>
        <v>0</v>
      </c>
      <c r="L1399" s="217"/>
      <c r="M1399" s="211">
        <f t="shared" si="84"/>
        <v>-46136</v>
      </c>
      <c r="N1399" s="683">
        <f t="shared" si="86"/>
        <v>7</v>
      </c>
      <c r="O1399" s="212"/>
      <c r="P1399" s="544"/>
      <c r="Q1399" s="561">
        <f t="shared" si="87"/>
        <v>0</v>
      </c>
      <c r="R1399" s="223"/>
      <c r="S1399" s="223"/>
      <c r="T1399" s="223"/>
      <c r="U1399" s="223"/>
      <c r="V1399" s="223"/>
    </row>
    <row r="1400" spans="1:22" s="731" customFormat="1" ht="15.75" customHeight="1">
      <c r="A1400" s="468" t="s">
        <v>348</v>
      </c>
      <c r="B1400" s="204" t="s">
        <v>184</v>
      </c>
      <c r="C1400" s="527"/>
      <c r="D1400" s="267"/>
      <c r="E1400" s="706"/>
      <c r="F1400" s="267"/>
      <c r="G1400" s="206"/>
      <c r="H1400" s="268"/>
      <c r="I1400" s="502"/>
      <c r="J1400" s="715"/>
      <c r="K1400" s="552">
        <f t="shared" si="85"/>
        <v>0</v>
      </c>
      <c r="L1400" s="217"/>
      <c r="M1400" s="211">
        <f t="shared" si="84"/>
        <v>-46136</v>
      </c>
      <c r="N1400" s="683">
        <f t="shared" si="86"/>
        <v>7</v>
      </c>
      <c r="O1400" s="212"/>
      <c r="P1400" s="544"/>
      <c r="Q1400" s="561">
        <f t="shared" si="87"/>
        <v>0</v>
      </c>
      <c r="R1400" s="223"/>
      <c r="S1400" s="223"/>
      <c r="T1400" s="223"/>
      <c r="U1400" s="223"/>
      <c r="V1400" s="223"/>
    </row>
    <row r="1401" spans="1:22" s="731" customFormat="1" ht="15.75" customHeight="1">
      <c r="A1401" s="468" t="s">
        <v>348</v>
      </c>
      <c r="B1401" s="204" t="s">
        <v>184</v>
      </c>
      <c r="C1401" s="527"/>
      <c r="D1401" s="267"/>
      <c r="E1401" s="706"/>
      <c r="F1401" s="267"/>
      <c r="G1401" s="206"/>
      <c r="H1401" s="268"/>
      <c r="I1401" s="502"/>
      <c r="J1401" s="715"/>
      <c r="K1401" s="552">
        <f t="shared" si="85"/>
        <v>0</v>
      </c>
      <c r="L1401" s="217"/>
      <c r="M1401" s="211">
        <f t="shared" si="84"/>
        <v>-46136</v>
      </c>
      <c r="N1401" s="683">
        <f t="shared" si="86"/>
        <v>7</v>
      </c>
      <c r="O1401" s="212"/>
      <c r="P1401" s="544"/>
      <c r="Q1401" s="561">
        <f t="shared" si="87"/>
        <v>0</v>
      </c>
      <c r="R1401" s="223"/>
      <c r="S1401" s="223"/>
      <c r="T1401" s="223"/>
      <c r="U1401" s="223"/>
      <c r="V1401" s="223"/>
    </row>
    <row r="1402" spans="1:22" s="731" customFormat="1" ht="15.75" customHeight="1">
      <c r="A1402" s="468" t="s">
        <v>348</v>
      </c>
      <c r="B1402" s="204" t="s">
        <v>184</v>
      </c>
      <c r="C1402" s="527"/>
      <c r="D1402" s="267"/>
      <c r="E1402" s="706"/>
      <c r="F1402" s="267"/>
      <c r="G1402" s="206"/>
      <c r="H1402" s="268"/>
      <c r="I1402" s="500"/>
      <c r="J1402" s="715"/>
      <c r="K1402" s="552">
        <f t="shared" si="85"/>
        <v>0</v>
      </c>
      <c r="L1402" s="217"/>
      <c r="M1402" s="211">
        <f t="shared" si="84"/>
        <v>-46136</v>
      </c>
      <c r="N1402" s="683">
        <f t="shared" si="86"/>
        <v>7</v>
      </c>
      <c r="O1402" s="212"/>
      <c r="P1402" s="544"/>
      <c r="Q1402" s="561">
        <f t="shared" si="87"/>
        <v>0</v>
      </c>
      <c r="R1402" s="223"/>
      <c r="S1402" s="223"/>
      <c r="T1402" s="223"/>
      <c r="U1402" s="223"/>
      <c r="V1402" s="223"/>
    </row>
    <row r="1403" spans="1:22" s="731" customFormat="1" ht="15.75" customHeight="1">
      <c r="A1403" s="468" t="s">
        <v>348</v>
      </c>
      <c r="B1403" s="204" t="s">
        <v>184</v>
      </c>
      <c r="C1403" s="527"/>
      <c r="D1403" s="267"/>
      <c r="E1403" s="706"/>
      <c r="F1403" s="267"/>
      <c r="G1403" s="206"/>
      <c r="H1403" s="268"/>
      <c r="I1403" s="500"/>
      <c r="J1403" s="715"/>
      <c r="K1403" s="552">
        <f t="shared" si="85"/>
        <v>0</v>
      </c>
      <c r="L1403" s="217"/>
      <c r="M1403" s="211">
        <f t="shared" si="84"/>
        <v>-46136</v>
      </c>
      <c r="N1403" s="683">
        <f t="shared" si="86"/>
        <v>7</v>
      </c>
      <c r="O1403" s="212"/>
      <c r="P1403" s="544"/>
      <c r="Q1403" s="561">
        <f t="shared" si="87"/>
        <v>0</v>
      </c>
      <c r="R1403" s="223"/>
      <c r="S1403" s="223"/>
      <c r="T1403" s="223"/>
      <c r="U1403" s="223"/>
      <c r="V1403" s="223"/>
    </row>
    <row r="1404" spans="1:22" s="731" customFormat="1" ht="15.75" customHeight="1">
      <c r="A1404" s="468" t="s">
        <v>348</v>
      </c>
      <c r="B1404" s="204" t="s">
        <v>184</v>
      </c>
      <c r="C1404" s="527"/>
      <c r="D1404" s="267"/>
      <c r="E1404" s="706"/>
      <c r="F1404" s="267"/>
      <c r="G1404" s="206"/>
      <c r="H1404" s="268"/>
      <c r="I1404" s="500"/>
      <c r="J1404" s="715"/>
      <c r="K1404" s="552">
        <f t="shared" si="85"/>
        <v>0</v>
      </c>
      <c r="L1404" s="217"/>
      <c r="M1404" s="211">
        <f t="shared" si="84"/>
        <v>-46136</v>
      </c>
      <c r="N1404" s="683">
        <f t="shared" si="86"/>
        <v>7</v>
      </c>
      <c r="O1404" s="212"/>
      <c r="P1404" s="544"/>
      <c r="Q1404" s="561">
        <f t="shared" si="87"/>
        <v>0</v>
      </c>
      <c r="R1404" s="223"/>
      <c r="S1404" s="223"/>
      <c r="T1404" s="223"/>
      <c r="U1404" s="223"/>
      <c r="V1404" s="223"/>
    </row>
    <row r="1405" spans="1:22" s="731" customFormat="1" ht="15.75" customHeight="1">
      <c r="A1405" s="468" t="s">
        <v>348</v>
      </c>
      <c r="B1405" s="204" t="s">
        <v>184</v>
      </c>
      <c r="C1405" s="527"/>
      <c r="D1405" s="267"/>
      <c r="E1405" s="706"/>
      <c r="F1405" s="267"/>
      <c r="G1405" s="206"/>
      <c r="H1405" s="268"/>
      <c r="I1405" s="500"/>
      <c r="J1405" s="715"/>
      <c r="K1405" s="552">
        <f t="shared" si="85"/>
        <v>0</v>
      </c>
      <c r="L1405" s="217"/>
      <c r="M1405" s="211">
        <f t="shared" si="84"/>
        <v>-46136</v>
      </c>
      <c r="N1405" s="683">
        <f t="shared" si="86"/>
        <v>7</v>
      </c>
      <c r="O1405" s="212"/>
      <c r="P1405" s="544"/>
      <c r="Q1405" s="561">
        <f t="shared" si="87"/>
        <v>0</v>
      </c>
      <c r="R1405" s="223"/>
      <c r="S1405" s="223"/>
      <c r="T1405" s="223"/>
      <c r="U1405" s="223"/>
      <c r="V1405" s="223"/>
    </row>
    <row r="1406" spans="1:22" s="731" customFormat="1" ht="15.75" customHeight="1">
      <c r="A1406" s="468" t="s">
        <v>348</v>
      </c>
      <c r="B1406" s="204" t="s">
        <v>184</v>
      </c>
      <c r="C1406" s="527"/>
      <c r="D1406" s="267"/>
      <c r="E1406" s="706"/>
      <c r="F1406" s="267"/>
      <c r="G1406" s="206"/>
      <c r="H1406" s="268"/>
      <c r="I1406" s="500"/>
      <c r="J1406" s="715"/>
      <c r="K1406" s="552">
        <f t="shared" si="85"/>
        <v>0</v>
      </c>
      <c r="L1406" s="217"/>
      <c r="M1406" s="211">
        <f t="shared" si="84"/>
        <v>-46136</v>
      </c>
      <c r="N1406" s="683">
        <f t="shared" si="86"/>
        <v>7</v>
      </c>
      <c r="O1406" s="212"/>
      <c r="P1406" s="544"/>
      <c r="Q1406" s="561">
        <f t="shared" si="87"/>
        <v>0</v>
      </c>
      <c r="R1406" s="223"/>
      <c r="S1406" s="223"/>
      <c r="T1406" s="223"/>
      <c r="U1406" s="223"/>
      <c r="V1406" s="223"/>
    </row>
    <row r="1407" spans="1:22" s="731" customFormat="1" ht="15.75" customHeight="1">
      <c r="A1407" s="468" t="s">
        <v>348</v>
      </c>
      <c r="B1407" s="204" t="s">
        <v>184</v>
      </c>
      <c r="C1407" s="527"/>
      <c r="D1407" s="267"/>
      <c r="E1407" s="706"/>
      <c r="F1407" s="267"/>
      <c r="G1407" s="206"/>
      <c r="H1407" s="268"/>
      <c r="I1407" s="500"/>
      <c r="J1407" s="715"/>
      <c r="K1407" s="552">
        <f t="shared" si="85"/>
        <v>0</v>
      </c>
      <c r="L1407" s="217"/>
      <c r="M1407" s="211">
        <f t="shared" si="84"/>
        <v>-46136</v>
      </c>
      <c r="N1407" s="683">
        <f t="shared" si="86"/>
        <v>7</v>
      </c>
      <c r="O1407" s="212"/>
      <c r="P1407" s="544"/>
      <c r="Q1407" s="561">
        <f t="shared" si="87"/>
        <v>0</v>
      </c>
      <c r="R1407" s="223"/>
      <c r="S1407" s="223"/>
      <c r="T1407" s="223"/>
      <c r="U1407" s="223"/>
      <c r="V1407" s="223"/>
    </row>
    <row r="1408" spans="1:22" s="731" customFormat="1" ht="15.75" customHeight="1">
      <c r="A1408" s="468" t="s">
        <v>348</v>
      </c>
      <c r="B1408" s="204" t="s">
        <v>184</v>
      </c>
      <c r="C1408" s="527"/>
      <c r="D1408" s="267"/>
      <c r="E1408" s="706"/>
      <c r="F1408" s="267"/>
      <c r="G1408" s="206"/>
      <c r="H1408" s="268"/>
      <c r="I1408" s="500"/>
      <c r="J1408" s="715"/>
      <c r="K1408" s="552">
        <f t="shared" si="85"/>
        <v>0</v>
      </c>
      <c r="L1408" s="217"/>
      <c r="M1408" s="211">
        <f t="shared" si="84"/>
        <v>-46136</v>
      </c>
      <c r="N1408" s="683">
        <f t="shared" si="86"/>
        <v>7</v>
      </c>
      <c r="O1408" s="212"/>
      <c r="P1408" s="544"/>
      <c r="Q1408" s="561">
        <f t="shared" si="87"/>
        <v>0</v>
      </c>
      <c r="R1408" s="223"/>
      <c r="S1408" s="223"/>
      <c r="T1408" s="223"/>
      <c r="U1408" s="223"/>
      <c r="V1408" s="223"/>
    </row>
    <row r="1409" spans="1:22" s="731" customFormat="1" ht="15.75" customHeight="1">
      <c r="A1409" s="468" t="s">
        <v>348</v>
      </c>
      <c r="B1409" s="204" t="s">
        <v>184</v>
      </c>
      <c r="C1409" s="527"/>
      <c r="D1409" s="267"/>
      <c r="E1409" s="706"/>
      <c r="F1409" s="267"/>
      <c r="G1409" s="206"/>
      <c r="H1409" s="268"/>
      <c r="I1409" s="500"/>
      <c r="J1409" s="715"/>
      <c r="K1409" s="552">
        <f t="shared" si="85"/>
        <v>0</v>
      </c>
      <c r="L1409" s="217"/>
      <c r="M1409" s="211">
        <f t="shared" si="84"/>
        <v>-46136</v>
      </c>
      <c r="N1409" s="683">
        <f t="shared" si="86"/>
        <v>7</v>
      </c>
      <c r="O1409" s="212"/>
      <c r="P1409" s="544"/>
      <c r="Q1409" s="561">
        <f t="shared" si="87"/>
        <v>0</v>
      </c>
      <c r="R1409" s="223"/>
      <c r="S1409" s="223"/>
      <c r="T1409" s="223"/>
      <c r="U1409" s="223"/>
      <c r="V1409" s="223"/>
    </row>
    <row r="1410" spans="1:22" s="731" customFormat="1" ht="15.75" customHeight="1">
      <c r="A1410" s="468" t="s">
        <v>348</v>
      </c>
      <c r="B1410" s="204" t="s">
        <v>184</v>
      </c>
      <c r="C1410" s="527"/>
      <c r="D1410" s="205"/>
      <c r="E1410" s="706"/>
      <c r="F1410" s="205"/>
      <c r="G1410" s="206"/>
      <c r="H1410" s="268"/>
      <c r="I1410" s="500"/>
      <c r="J1410" s="715"/>
      <c r="K1410" s="552">
        <f t="shared" si="85"/>
        <v>0</v>
      </c>
      <c r="L1410" s="217"/>
      <c r="M1410" s="211">
        <f t="shared" si="84"/>
        <v>-46136</v>
      </c>
      <c r="N1410" s="683">
        <f t="shared" si="86"/>
        <v>7</v>
      </c>
      <c r="O1410" s="212"/>
      <c r="P1410" s="544"/>
      <c r="Q1410" s="561">
        <f t="shared" si="87"/>
        <v>0</v>
      </c>
      <c r="R1410" s="223"/>
      <c r="S1410" s="223"/>
      <c r="T1410" s="223"/>
      <c r="U1410" s="223"/>
      <c r="V1410" s="223"/>
    </row>
    <row r="1411" spans="1:22" s="731" customFormat="1" ht="15.75" customHeight="1">
      <c r="A1411" s="468" t="s">
        <v>348</v>
      </c>
      <c r="B1411" s="204" t="s">
        <v>184</v>
      </c>
      <c r="C1411" s="527"/>
      <c r="D1411" s="205"/>
      <c r="E1411" s="706"/>
      <c r="F1411" s="205"/>
      <c r="G1411" s="206"/>
      <c r="H1411" s="268"/>
      <c r="I1411" s="500"/>
      <c r="J1411" s="715"/>
      <c r="K1411" s="552">
        <f t="shared" si="85"/>
        <v>0</v>
      </c>
      <c r="L1411" s="217"/>
      <c r="M1411" s="211">
        <f t="shared" si="84"/>
        <v>-46136</v>
      </c>
      <c r="N1411" s="683">
        <f t="shared" si="86"/>
        <v>7</v>
      </c>
      <c r="O1411" s="212"/>
      <c r="P1411" s="544"/>
      <c r="Q1411" s="561">
        <f t="shared" si="87"/>
        <v>0</v>
      </c>
      <c r="R1411" s="223"/>
      <c r="S1411" s="223"/>
      <c r="T1411" s="223"/>
      <c r="U1411" s="223"/>
      <c r="V1411" s="223"/>
    </row>
    <row r="1412" spans="1:22" s="731" customFormat="1" ht="15.75" customHeight="1">
      <c r="A1412" s="468" t="s">
        <v>348</v>
      </c>
      <c r="B1412" s="204" t="s">
        <v>184</v>
      </c>
      <c r="C1412" s="527"/>
      <c r="D1412" s="267"/>
      <c r="E1412" s="706"/>
      <c r="F1412" s="267"/>
      <c r="G1412" s="206"/>
      <c r="H1412" s="268"/>
      <c r="I1412" s="502"/>
      <c r="J1412" s="715"/>
      <c r="K1412" s="552">
        <f t="shared" si="85"/>
        <v>0</v>
      </c>
      <c r="L1412" s="217"/>
      <c r="M1412" s="211">
        <f t="shared" si="84"/>
        <v>-46136</v>
      </c>
      <c r="N1412" s="683">
        <f t="shared" si="86"/>
        <v>7</v>
      </c>
      <c r="O1412" s="212"/>
      <c r="P1412" s="544"/>
      <c r="Q1412" s="561">
        <f t="shared" si="87"/>
        <v>0</v>
      </c>
      <c r="R1412" s="223"/>
      <c r="S1412" s="223"/>
      <c r="T1412" s="223"/>
      <c r="U1412" s="223"/>
      <c r="V1412" s="223"/>
    </row>
    <row r="1413" spans="1:22" s="731" customFormat="1" ht="15.75" customHeight="1">
      <c r="A1413" s="468" t="s">
        <v>348</v>
      </c>
      <c r="B1413" s="204" t="s">
        <v>184</v>
      </c>
      <c r="C1413" s="527"/>
      <c r="D1413" s="267"/>
      <c r="E1413" s="706"/>
      <c r="F1413" s="267"/>
      <c r="G1413" s="206"/>
      <c r="H1413" s="268"/>
      <c r="I1413" s="500"/>
      <c r="J1413" s="715"/>
      <c r="K1413" s="552">
        <f t="shared" si="85"/>
        <v>0</v>
      </c>
      <c r="L1413" s="217"/>
      <c r="M1413" s="211">
        <f t="shared" si="84"/>
        <v>-46136</v>
      </c>
      <c r="N1413" s="683">
        <f t="shared" si="86"/>
        <v>7</v>
      </c>
      <c r="O1413" s="212"/>
      <c r="P1413" s="544"/>
      <c r="Q1413" s="561">
        <f t="shared" si="87"/>
        <v>0</v>
      </c>
      <c r="R1413" s="223"/>
      <c r="S1413" s="223"/>
      <c r="T1413" s="223"/>
      <c r="U1413" s="223"/>
      <c r="V1413" s="223"/>
    </row>
    <row r="1414" spans="1:22" s="731" customFormat="1" ht="15.75" customHeight="1">
      <c r="A1414" s="468" t="s">
        <v>348</v>
      </c>
      <c r="B1414" s="204" t="s">
        <v>184</v>
      </c>
      <c r="C1414" s="527"/>
      <c r="D1414" s="267"/>
      <c r="E1414" s="706"/>
      <c r="F1414" s="267"/>
      <c r="G1414" s="206"/>
      <c r="H1414" s="268"/>
      <c r="I1414" s="500"/>
      <c r="J1414" s="715"/>
      <c r="K1414" s="552">
        <f t="shared" si="85"/>
        <v>0</v>
      </c>
      <c r="L1414" s="217"/>
      <c r="M1414" s="211">
        <f t="shared" si="84"/>
        <v>-46136</v>
      </c>
      <c r="N1414" s="683">
        <f t="shared" si="86"/>
        <v>7</v>
      </c>
      <c r="O1414" s="212"/>
      <c r="P1414" s="544"/>
      <c r="Q1414" s="561">
        <f t="shared" si="87"/>
        <v>0</v>
      </c>
      <c r="R1414" s="223"/>
      <c r="S1414" s="223"/>
      <c r="T1414" s="223"/>
      <c r="U1414" s="223"/>
      <c r="V1414" s="223"/>
    </row>
    <row r="1415" spans="1:22" s="731" customFormat="1" ht="15.75" customHeight="1">
      <c r="A1415" s="468" t="s">
        <v>348</v>
      </c>
      <c r="B1415" s="204" t="s">
        <v>184</v>
      </c>
      <c r="C1415" s="527"/>
      <c r="D1415" s="267"/>
      <c r="E1415" s="706"/>
      <c r="F1415" s="267"/>
      <c r="G1415" s="206"/>
      <c r="H1415" s="268"/>
      <c r="I1415" s="501"/>
      <c r="J1415" s="715"/>
      <c r="K1415" s="552">
        <f t="shared" si="85"/>
        <v>0</v>
      </c>
      <c r="L1415" s="217"/>
      <c r="M1415" s="211">
        <f t="shared" si="84"/>
        <v>-46136</v>
      </c>
      <c r="N1415" s="683">
        <f t="shared" si="86"/>
        <v>7</v>
      </c>
      <c r="O1415" s="212"/>
      <c r="P1415" s="544"/>
      <c r="Q1415" s="561">
        <f t="shared" si="87"/>
        <v>0</v>
      </c>
      <c r="R1415" s="223"/>
      <c r="S1415" s="223"/>
      <c r="T1415" s="223"/>
      <c r="U1415" s="223"/>
      <c r="V1415" s="223"/>
    </row>
    <row r="1416" spans="1:22" s="731" customFormat="1" ht="15.75" customHeight="1">
      <c r="A1416" s="468" t="s">
        <v>348</v>
      </c>
      <c r="B1416" s="204" t="s">
        <v>184</v>
      </c>
      <c r="C1416" s="527"/>
      <c r="D1416" s="267"/>
      <c r="E1416" s="706"/>
      <c r="F1416" s="267"/>
      <c r="G1416" s="206"/>
      <c r="H1416" s="268"/>
      <c r="I1416" s="500"/>
      <c r="J1416" s="715"/>
      <c r="K1416" s="552">
        <f t="shared" si="85"/>
        <v>0</v>
      </c>
      <c r="L1416" s="217"/>
      <c r="M1416" s="211">
        <f t="shared" si="84"/>
        <v>-46136</v>
      </c>
      <c r="N1416" s="683">
        <f t="shared" si="86"/>
        <v>7</v>
      </c>
      <c r="O1416" s="212"/>
      <c r="P1416" s="544"/>
      <c r="Q1416" s="561">
        <f t="shared" si="87"/>
        <v>0</v>
      </c>
      <c r="R1416" s="223"/>
      <c r="S1416" s="223"/>
      <c r="T1416" s="223"/>
      <c r="U1416" s="223"/>
      <c r="V1416" s="223"/>
    </row>
    <row r="1417" spans="1:22" s="731" customFormat="1" ht="15.75" customHeight="1">
      <c r="A1417" s="468" t="s">
        <v>348</v>
      </c>
      <c r="B1417" s="204" t="s">
        <v>184</v>
      </c>
      <c r="C1417" s="527"/>
      <c r="D1417" s="267"/>
      <c r="E1417" s="706"/>
      <c r="F1417" s="267"/>
      <c r="G1417" s="206"/>
      <c r="H1417" s="268"/>
      <c r="I1417" s="500"/>
      <c r="J1417" s="715"/>
      <c r="K1417" s="552">
        <f t="shared" si="85"/>
        <v>0</v>
      </c>
      <c r="L1417" s="217"/>
      <c r="M1417" s="211">
        <f t="shared" ref="M1417:M1480" si="88">+L1417-$E$6</f>
        <v>-46136</v>
      </c>
      <c r="N1417" s="683">
        <f t="shared" si="86"/>
        <v>7</v>
      </c>
      <c r="O1417" s="212"/>
      <c r="P1417" s="544"/>
      <c r="Q1417" s="561">
        <f t="shared" si="87"/>
        <v>0</v>
      </c>
      <c r="R1417" s="223"/>
      <c r="S1417" s="223"/>
      <c r="T1417" s="223"/>
      <c r="U1417" s="223"/>
      <c r="V1417" s="223"/>
    </row>
    <row r="1418" spans="1:22" s="731" customFormat="1" ht="15.75" customHeight="1">
      <c r="A1418" s="468" t="s">
        <v>348</v>
      </c>
      <c r="B1418" s="204" t="s">
        <v>184</v>
      </c>
      <c r="C1418" s="527"/>
      <c r="D1418" s="267"/>
      <c r="E1418" s="706"/>
      <c r="F1418" s="267"/>
      <c r="G1418" s="486"/>
      <c r="H1418" s="268"/>
      <c r="I1418" s="503"/>
      <c r="J1418" s="715"/>
      <c r="K1418" s="552">
        <f t="shared" ref="K1418:K1481" si="89">-J1418</f>
        <v>0</v>
      </c>
      <c r="L1418" s="217"/>
      <c r="M1418" s="211">
        <f t="shared" si="88"/>
        <v>-46136</v>
      </c>
      <c r="N1418" s="683">
        <f t="shared" ref="N1418:N1481" si="90">+L1418+7</f>
        <v>7</v>
      </c>
      <c r="O1418" s="212"/>
      <c r="P1418" s="544"/>
      <c r="Q1418" s="561">
        <f t="shared" si="87"/>
        <v>0</v>
      </c>
      <c r="R1418" s="223"/>
      <c r="S1418" s="223"/>
      <c r="T1418" s="223"/>
      <c r="U1418" s="223"/>
      <c r="V1418" s="223"/>
    </row>
    <row r="1419" spans="1:22" s="731" customFormat="1" ht="15.75" customHeight="1">
      <c r="A1419" s="468" t="s">
        <v>348</v>
      </c>
      <c r="B1419" s="204" t="s">
        <v>184</v>
      </c>
      <c r="C1419" s="527"/>
      <c r="D1419" s="267"/>
      <c r="E1419" s="706"/>
      <c r="F1419" s="267"/>
      <c r="G1419" s="206"/>
      <c r="H1419" s="268"/>
      <c r="I1419" s="500"/>
      <c r="J1419" s="715"/>
      <c r="K1419" s="552">
        <f t="shared" si="89"/>
        <v>0</v>
      </c>
      <c r="L1419" s="217"/>
      <c r="M1419" s="211">
        <f t="shared" si="88"/>
        <v>-46136</v>
      </c>
      <c r="N1419" s="683">
        <f t="shared" si="90"/>
        <v>7</v>
      </c>
      <c r="O1419" s="212"/>
      <c r="P1419" s="544"/>
      <c r="Q1419" s="561">
        <f t="shared" si="87"/>
        <v>0</v>
      </c>
      <c r="R1419" s="223"/>
      <c r="S1419" s="223"/>
      <c r="T1419" s="223"/>
      <c r="U1419" s="223"/>
      <c r="V1419" s="223"/>
    </row>
    <row r="1420" spans="1:22" s="731" customFormat="1" ht="15.75" customHeight="1">
      <c r="A1420" s="468" t="s">
        <v>348</v>
      </c>
      <c r="B1420" s="204" t="s">
        <v>184</v>
      </c>
      <c r="C1420" s="527"/>
      <c r="D1420" s="267"/>
      <c r="E1420" s="706"/>
      <c r="F1420" s="267"/>
      <c r="G1420" s="206"/>
      <c r="H1420" s="268"/>
      <c r="I1420" s="501"/>
      <c r="J1420" s="715"/>
      <c r="K1420" s="552">
        <f t="shared" si="89"/>
        <v>0</v>
      </c>
      <c r="L1420" s="217"/>
      <c r="M1420" s="211">
        <f t="shared" si="88"/>
        <v>-46136</v>
      </c>
      <c r="N1420" s="683">
        <f t="shared" si="90"/>
        <v>7</v>
      </c>
      <c r="O1420" s="212"/>
      <c r="P1420" s="544"/>
      <c r="Q1420" s="561">
        <f t="shared" si="87"/>
        <v>0</v>
      </c>
      <c r="R1420" s="223"/>
      <c r="S1420" s="223"/>
      <c r="T1420" s="223"/>
      <c r="U1420" s="223"/>
      <c r="V1420" s="223"/>
    </row>
    <row r="1421" spans="1:22" s="731" customFormat="1" ht="15.75" customHeight="1">
      <c r="A1421" s="468" t="s">
        <v>348</v>
      </c>
      <c r="B1421" s="204" t="s">
        <v>184</v>
      </c>
      <c r="C1421" s="527"/>
      <c r="D1421" s="267"/>
      <c r="E1421" s="706"/>
      <c r="F1421" s="267"/>
      <c r="G1421" s="206"/>
      <c r="H1421" s="268"/>
      <c r="I1421" s="500"/>
      <c r="J1421" s="715"/>
      <c r="K1421" s="552">
        <f t="shared" si="89"/>
        <v>0</v>
      </c>
      <c r="L1421" s="217"/>
      <c r="M1421" s="211">
        <f t="shared" si="88"/>
        <v>-46136</v>
      </c>
      <c r="N1421" s="683">
        <f t="shared" si="90"/>
        <v>7</v>
      </c>
      <c r="O1421" s="212"/>
      <c r="P1421" s="544"/>
      <c r="Q1421" s="561">
        <f t="shared" si="87"/>
        <v>0</v>
      </c>
      <c r="R1421" s="223"/>
      <c r="S1421" s="223"/>
      <c r="T1421" s="223"/>
      <c r="U1421" s="223"/>
      <c r="V1421" s="223"/>
    </row>
    <row r="1422" spans="1:22" s="731" customFormat="1" ht="15.75" customHeight="1">
      <c r="A1422" s="468" t="s">
        <v>348</v>
      </c>
      <c r="B1422" s="204" t="s">
        <v>184</v>
      </c>
      <c r="C1422" s="527"/>
      <c r="D1422" s="267"/>
      <c r="E1422" s="706"/>
      <c r="F1422" s="267"/>
      <c r="G1422" s="206"/>
      <c r="H1422" s="268"/>
      <c r="I1422" s="500"/>
      <c r="J1422" s="715"/>
      <c r="K1422" s="552">
        <f t="shared" si="89"/>
        <v>0</v>
      </c>
      <c r="L1422" s="217"/>
      <c r="M1422" s="211">
        <f t="shared" si="88"/>
        <v>-46136</v>
      </c>
      <c r="N1422" s="683">
        <f t="shared" si="90"/>
        <v>7</v>
      </c>
      <c r="O1422" s="212"/>
      <c r="P1422" s="544"/>
      <c r="Q1422" s="561">
        <f t="shared" si="87"/>
        <v>0</v>
      </c>
      <c r="R1422" s="223"/>
      <c r="S1422" s="223"/>
      <c r="T1422" s="223"/>
      <c r="U1422" s="223"/>
      <c r="V1422" s="223"/>
    </row>
    <row r="1423" spans="1:22" s="731" customFormat="1" ht="15.75" customHeight="1">
      <c r="A1423" s="468" t="s">
        <v>348</v>
      </c>
      <c r="B1423" s="204" t="s">
        <v>184</v>
      </c>
      <c r="C1423" s="527"/>
      <c r="D1423" s="267"/>
      <c r="E1423" s="706"/>
      <c r="F1423" s="267"/>
      <c r="G1423" s="206"/>
      <c r="H1423" s="268"/>
      <c r="I1423" s="500"/>
      <c r="J1423" s="715"/>
      <c r="K1423" s="552">
        <f t="shared" si="89"/>
        <v>0</v>
      </c>
      <c r="L1423" s="217"/>
      <c r="M1423" s="211">
        <f t="shared" si="88"/>
        <v>-46136</v>
      </c>
      <c r="N1423" s="683">
        <f t="shared" si="90"/>
        <v>7</v>
      </c>
      <c r="O1423" s="212"/>
      <c r="P1423" s="544"/>
      <c r="Q1423" s="561">
        <f t="shared" si="87"/>
        <v>0</v>
      </c>
      <c r="R1423" s="223"/>
      <c r="S1423" s="223"/>
      <c r="T1423" s="223"/>
      <c r="U1423" s="223"/>
      <c r="V1423" s="223"/>
    </row>
    <row r="1424" spans="1:22" s="731" customFormat="1" ht="15.75" customHeight="1">
      <c r="A1424" s="468" t="s">
        <v>348</v>
      </c>
      <c r="B1424" s="204" t="s">
        <v>184</v>
      </c>
      <c r="C1424" s="527"/>
      <c r="D1424" s="267"/>
      <c r="E1424" s="706"/>
      <c r="F1424" s="267"/>
      <c r="G1424" s="206"/>
      <c r="H1424" s="268"/>
      <c r="I1424" s="502"/>
      <c r="J1424" s="715"/>
      <c r="K1424" s="552">
        <f t="shared" si="89"/>
        <v>0</v>
      </c>
      <c r="L1424" s="217"/>
      <c r="M1424" s="211">
        <f t="shared" si="88"/>
        <v>-46136</v>
      </c>
      <c r="N1424" s="683">
        <f t="shared" si="90"/>
        <v>7</v>
      </c>
      <c r="O1424" s="212"/>
      <c r="P1424" s="544"/>
      <c r="Q1424" s="561">
        <f t="shared" si="87"/>
        <v>0</v>
      </c>
      <c r="R1424" s="223"/>
      <c r="S1424" s="223"/>
      <c r="T1424" s="223"/>
      <c r="U1424" s="223"/>
      <c r="V1424" s="223"/>
    </row>
    <row r="1425" spans="1:22" s="731" customFormat="1" ht="15.75" customHeight="1">
      <c r="A1425" s="468" t="s">
        <v>348</v>
      </c>
      <c r="B1425" s="204" t="s">
        <v>184</v>
      </c>
      <c r="C1425" s="527"/>
      <c r="D1425" s="267"/>
      <c r="E1425" s="706"/>
      <c r="F1425" s="267"/>
      <c r="G1425" s="206"/>
      <c r="H1425" s="268"/>
      <c r="I1425" s="500"/>
      <c r="J1425" s="715"/>
      <c r="K1425" s="552">
        <f t="shared" si="89"/>
        <v>0</v>
      </c>
      <c r="L1425" s="217"/>
      <c r="M1425" s="211">
        <f t="shared" si="88"/>
        <v>-46136</v>
      </c>
      <c r="N1425" s="683">
        <f t="shared" si="90"/>
        <v>7</v>
      </c>
      <c r="O1425" s="212"/>
      <c r="P1425" s="544"/>
      <c r="Q1425" s="561">
        <f t="shared" si="87"/>
        <v>0</v>
      </c>
      <c r="R1425" s="223"/>
      <c r="S1425" s="223"/>
      <c r="T1425" s="223"/>
      <c r="U1425" s="223"/>
      <c r="V1425" s="223"/>
    </row>
    <row r="1426" spans="1:22" s="731" customFormat="1" ht="15.75" customHeight="1">
      <c r="A1426" s="468" t="s">
        <v>348</v>
      </c>
      <c r="B1426" s="204" t="s">
        <v>184</v>
      </c>
      <c r="C1426" s="527"/>
      <c r="D1426" s="267"/>
      <c r="E1426" s="706"/>
      <c r="F1426" s="267"/>
      <c r="G1426" s="206"/>
      <c r="H1426" s="268"/>
      <c r="I1426" s="502"/>
      <c r="J1426" s="715"/>
      <c r="K1426" s="552">
        <f t="shared" si="89"/>
        <v>0</v>
      </c>
      <c r="L1426" s="217"/>
      <c r="M1426" s="211">
        <f t="shared" si="88"/>
        <v>-46136</v>
      </c>
      <c r="N1426" s="683">
        <f t="shared" si="90"/>
        <v>7</v>
      </c>
      <c r="O1426" s="212"/>
      <c r="P1426" s="544"/>
      <c r="Q1426" s="561">
        <f t="shared" si="87"/>
        <v>0</v>
      </c>
      <c r="R1426" s="223"/>
      <c r="S1426" s="223"/>
      <c r="T1426" s="223"/>
      <c r="U1426" s="223"/>
      <c r="V1426" s="223"/>
    </row>
    <row r="1427" spans="1:22" s="731" customFormat="1" ht="15.75" customHeight="1">
      <c r="A1427" s="468" t="s">
        <v>348</v>
      </c>
      <c r="B1427" s="204" t="s">
        <v>184</v>
      </c>
      <c r="C1427" s="527"/>
      <c r="D1427" s="267"/>
      <c r="E1427" s="706"/>
      <c r="F1427" s="267"/>
      <c r="G1427" s="206"/>
      <c r="H1427" s="268"/>
      <c r="I1427" s="500"/>
      <c r="J1427" s="715"/>
      <c r="K1427" s="552">
        <f t="shared" si="89"/>
        <v>0</v>
      </c>
      <c r="L1427" s="217"/>
      <c r="M1427" s="211">
        <f t="shared" si="88"/>
        <v>-46136</v>
      </c>
      <c r="N1427" s="683">
        <f t="shared" si="90"/>
        <v>7</v>
      </c>
      <c r="O1427" s="212"/>
      <c r="P1427" s="544"/>
      <c r="Q1427" s="561">
        <f t="shared" si="87"/>
        <v>0</v>
      </c>
      <c r="R1427" s="223"/>
      <c r="S1427" s="223"/>
      <c r="T1427" s="223"/>
      <c r="U1427" s="223"/>
      <c r="V1427" s="223"/>
    </row>
    <row r="1428" spans="1:22" s="731" customFormat="1" ht="15.75" customHeight="1">
      <c r="A1428" s="468" t="s">
        <v>348</v>
      </c>
      <c r="B1428" s="204" t="s">
        <v>184</v>
      </c>
      <c r="C1428" s="527"/>
      <c r="D1428" s="267"/>
      <c r="E1428" s="706"/>
      <c r="F1428" s="267"/>
      <c r="G1428" s="206"/>
      <c r="H1428" s="268"/>
      <c r="I1428" s="502"/>
      <c r="J1428" s="715"/>
      <c r="K1428" s="552">
        <f t="shared" si="89"/>
        <v>0</v>
      </c>
      <c r="L1428" s="217"/>
      <c r="M1428" s="211">
        <f t="shared" si="88"/>
        <v>-46136</v>
      </c>
      <c r="N1428" s="683">
        <f t="shared" si="90"/>
        <v>7</v>
      </c>
      <c r="O1428" s="212"/>
      <c r="P1428" s="544"/>
      <c r="Q1428" s="561">
        <f t="shared" si="87"/>
        <v>0</v>
      </c>
      <c r="R1428" s="223"/>
      <c r="S1428" s="223"/>
      <c r="T1428" s="223"/>
      <c r="U1428" s="223"/>
      <c r="V1428" s="223"/>
    </row>
    <row r="1429" spans="1:22" s="731" customFormat="1" ht="15.75" customHeight="1">
      <c r="A1429" s="468" t="s">
        <v>348</v>
      </c>
      <c r="B1429" s="204" t="s">
        <v>184</v>
      </c>
      <c r="C1429" s="527"/>
      <c r="D1429" s="267"/>
      <c r="E1429" s="706"/>
      <c r="F1429" s="267"/>
      <c r="G1429" s="206"/>
      <c r="H1429" s="268"/>
      <c r="I1429" s="500"/>
      <c r="J1429" s="715"/>
      <c r="K1429" s="552">
        <f t="shared" si="89"/>
        <v>0</v>
      </c>
      <c r="L1429" s="217"/>
      <c r="M1429" s="211">
        <f t="shared" si="88"/>
        <v>-46136</v>
      </c>
      <c r="N1429" s="683">
        <f t="shared" si="90"/>
        <v>7</v>
      </c>
      <c r="O1429" s="212"/>
      <c r="P1429" s="544"/>
      <c r="Q1429" s="561">
        <f t="shared" si="87"/>
        <v>0</v>
      </c>
      <c r="R1429" s="223"/>
      <c r="S1429" s="223"/>
      <c r="T1429" s="223"/>
      <c r="U1429" s="223"/>
      <c r="V1429" s="223"/>
    </row>
    <row r="1430" spans="1:22" s="731" customFormat="1" ht="15.75" customHeight="1">
      <c r="A1430" s="468" t="s">
        <v>348</v>
      </c>
      <c r="B1430" s="204" t="s">
        <v>184</v>
      </c>
      <c r="C1430" s="527"/>
      <c r="D1430" s="267"/>
      <c r="E1430" s="706"/>
      <c r="F1430" s="267"/>
      <c r="G1430" s="206"/>
      <c r="H1430" s="268"/>
      <c r="I1430" s="500"/>
      <c r="J1430" s="715"/>
      <c r="K1430" s="552">
        <f t="shared" si="89"/>
        <v>0</v>
      </c>
      <c r="L1430" s="217"/>
      <c r="M1430" s="211">
        <f t="shared" si="88"/>
        <v>-46136</v>
      </c>
      <c r="N1430" s="683">
        <f t="shared" si="90"/>
        <v>7</v>
      </c>
      <c r="O1430" s="212"/>
      <c r="P1430" s="544"/>
      <c r="Q1430" s="561">
        <f t="shared" si="87"/>
        <v>0</v>
      </c>
      <c r="R1430" s="223"/>
      <c r="S1430" s="223"/>
      <c r="T1430" s="223"/>
      <c r="U1430" s="223"/>
      <c r="V1430" s="223"/>
    </row>
    <row r="1431" spans="1:22" s="731" customFormat="1" ht="15.75" customHeight="1">
      <c r="A1431" s="468" t="s">
        <v>348</v>
      </c>
      <c r="B1431" s="204" t="s">
        <v>184</v>
      </c>
      <c r="C1431" s="527"/>
      <c r="D1431" s="267"/>
      <c r="E1431" s="706"/>
      <c r="F1431" s="267"/>
      <c r="G1431" s="206"/>
      <c r="H1431" s="268"/>
      <c r="I1431" s="501"/>
      <c r="J1431" s="715"/>
      <c r="K1431" s="552">
        <f t="shared" si="89"/>
        <v>0</v>
      </c>
      <c r="L1431" s="217"/>
      <c r="M1431" s="211">
        <f t="shared" si="88"/>
        <v>-46136</v>
      </c>
      <c r="N1431" s="683">
        <f t="shared" si="90"/>
        <v>7</v>
      </c>
      <c r="O1431" s="212"/>
      <c r="P1431" s="544"/>
      <c r="Q1431" s="561">
        <f t="shared" si="87"/>
        <v>0</v>
      </c>
      <c r="R1431" s="223"/>
      <c r="S1431" s="223"/>
      <c r="T1431" s="223"/>
      <c r="U1431" s="223"/>
      <c r="V1431" s="223"/>
    </row>
    <row r="1432" spans="1:22" s="731" customFormat="1" ht="15.75" customHeight="1">
      <c r="A1432" s="468" t="s">
        <v>348</v>
      </c>
      <c r="B1432" s="204" t="s">
        <v>184</v>
      </c>
      <c r="C1432" s="527"/>
      <c r="D1432" s="267"/>
      <c r="E1432" s="706"/>
      <c r="F1432" s="267"/>
      <c r="G1432" s="206"/>
      <c r="H1432" s="268"/>
      <c r="I1432" s="500"/>
      <c r="J1432" s="715"/>
      <c r="K1432" s="552">
        <f t="shared" si="89"/>
        <v>0</v>
      </c>
      <c r="L1432" s="217"/>
      <c r="M1432" s="211">
        <f t="shared" si="88"/>
        <v>-46136</v>
      </c>
      <c r="N1432" s="683">
        <f t="shared" si="90"/>
        <v>7</v>
      </c>
      <c r="O1432" s="212"/>
      <c r="P1432" s="544"/>
      <c r="Q1432" s="561">
        <f t="shared" si="87"/>
        <v>0</v>
      </c>
      <c r="R1432" s="223"/>
      <c r="S1432" s="223"/>
      <c r="T1432" s="223"/>
      <c r="U1432" s="223"/>
      <c r="V1432" s="223"/>
    </row>
    <row r="1433" spans="1:22" s="731" customFormat="1" ht="15.75" customHeight="1">
      <c r="A1433" s="468" t="s">
        <v>348</v>
      </c>
      <c r="B1433" s="204" t="s">
        <v>184</v>
      </c>
      <c r="C1433" s="527"/>
      <c r="D1433" s="267"/>
      <c r="E1433" s="706"/>
      <c r="F1433" s="267"/>
      <c r="G1433" s="206"/>
      <c r="H1433" s="268"/>
      <c r="I1433" s="500"/>
      <c r="J1433" s="715"/>
      <c r="K1433" s="552">
        <f t="shared" si="89"/>
        <v>0</v>
      </c>
      <c r="L1433" s="217"/>
      <c r="M1433" s="211">
        <f t="shared" si="88"/>
        <v>-46136</v>
      </c>
      <c r="N1433" s="683">
        <f t="shared" si="90"/>
        <v>7</v>
      </c>
      <c r="O1433" s="212"/>
      <c r="P1433" s="544"/>
      <c r="Q1433" s="561">
        <f t="shared" si="87"/>
        <v>0</v>
      </c>
      <c r="R1433" s="223"/>
      <c r="S1433" s="223"/>
      <c r="T1433" s="223"/>
      <c r="U1433" s="223"/>
      <c r="V1433" s="223"/>
    </row>
    <row r="1434" spans="1:22" s="731" customFormat="1" ht="15.75" customHeight="1">
      <c r="A1434" s="468" t="s">
        <v>348</v>
      </c>
      <c r="B1434" s="204" t="s">
        <v>184</v>
      </c>
      <c r="C1434" s="527"/>
      <c r="D1434" s="267"/>
      <c r="E1434" s="706"/>
      <c r="F1434" s="267"/>
      <c r="G1434" s="206"/>
      <c r="H1434" s="268"/>
      <c r="I1434" s="500"/>
      <c r="J1434" s="715"/>
      <c r="K1434" s="552">
        <f t="shared" si="89"/>
        <v>0</v>
      </c>
      <c r="L1434" s="217"/>
      <c r="M1434" s="211">
        <f t="shared" si="88"/>
        <v>-46136</v>
      </c>
      <c r="N1434" s="683">
        <f t="shared" si="90"/>
        <v>7</v>
      </c>
      <c r="O1434" s="212"/>
      <c r="P1434" s="544"/>
      <c r="Q1434" s="561">
        <f t="shared" si="87"/>
        <v>0</v>
      </c>
      <c r="R1434" s="223"/>
      <c r="S1434" s="223"/>
      <c r="T1434" s="223"/>
      <c r="U1434" s="223"/>
      <c r="V1434" s="223"/>
    </row>
    <row r="1435" spans="1:22" s="731" customFormat="1" ht="15.75" customHeight="1">
      <c r="A1435" s="468" t="s">
        <v>348</v>
      </c>
      <c r="B1435" s="204" t="s">
        <v>184</v>
      </c>
      <c r="C1435" s="527"/>
      <c r="D1435" s="267"/>
      <c r="E1435" s="706"/>
      <c r="F1435" s="267"/>
      <c r="G1435" s="206"/>
      <c r="H1435" s="268"/>
      <c r="I1435" s="502"/>
      <c r="J1435" s="715"/>
      <c r="K1435" s="552">
        <f t="shared" si="89"/>
        <v>0</v>
      </c>
      <c r="L1435" s="217"/>
      <c r="M1435" s="211">
        <f t="shared" si="88"/>
        <v>-46136</v>
      </c>
      <c r="N1435" s="683">
        <f t="shared" si="90"/>
        <v>7</v>
      </c>
      <c r="O1435" s="212"/>
      <c r="P1435" s="544"/>
      <c r="Q1435" s="561">
        <f t="shared" si="87"/>
        <v>0</v>
      </c>
      <c r="R1435" s="223"/>
      <c r="S1435" s="223"/>
      <c r="T1435" s="223"/>
      <c r="U1435" s="223"/>
      <c r="V1435" s="223"/>
    </row>
    <row r="1436" spans="1:22" s="731" customFormat="1" ht="15.75" customHeight="1">
      <c r="A1436" s="468" t="s">
        <v>348</v>
      </c>
      <c r="B1436" s="204" t="s">
        <v>184</v>
      </c>
      <c r="C1436" s="527"/>
      <c r="D1436" s="267"/>
      <c r="E1436" s="706"/>
      <c r="F1436" s="267"/>
      <c r="G1436" s="206"/>
      <c r="H1436" s="268"/>
      <c r="I1436" s="501"/>
      <c r="J1436" s="715"/>
      <c r="K1436" s="552">
        <f t="shared" si="89"/>
        <v>0</v>
      </c>
      <c r="L1436" s="217"/>
      <c r="M1436" s="211">
        <f t="shared" si="88"/>
        <v>-46136</v>
      </c>
      <c r="N1436" s="683">
        <f t="shared" si="90"/>
        <v>7</v>
      </c>
      <c r="O1436" s="212"/>
      <c r="P1436" s="544"/>
      <c r="Q1436" s="561">
        <f t="shared" si="87"/>
        <v>0</v>
      </c>
      <c r="R1436" s="223"/>
      <c r="S1436" s="223"/>
      <c r="T1436" s="223"/>
      <c r="U1436" s="223"/>
      <c r="V1436" s="223"/>
    </row>
    <row r="1437" spans="1:22" s="731" customFormat="1" ht="15.75" customHeight="1">
      <c r="A1437" s="468" t="s">
        <v>348</v>
      </c>
      <c r="B1437" s="204" t="s">
        <v>184</v>
      </c>
      <c r="C1437" s="527"/>
      <c r="D1437" s="267"/>
      <c r="E1437" s="706"/>
      <c r="F1437" s="267"/>
      <c r="G1437" s="206"/>
      <c r="H1437" s="268"/>
      <c r="I1437" s="500"/>
      <c r="J1437" s="715"/>
      <c r="K1437" s="552">
        <f t="shared" si="89"/>
        <v>0</v>
      </c>
      <c r="L1437" s="217"/>
      <c r="M1437" s="211">
        <f t="shared" si="88"/>
        <v>-46136</v>
      </c>
      <c r="N1437" s="683">
        <f t="shared" si="90"/>
        <v>7</v>
      </c>
      <c r="O1437" s="212"/>
      <c r="P1437" s="544"/>
      <c r="Q1437" s="561">
        <f t="shared" si="87"/>
        <v>0</v>
      </c>
      <c r="R1437" s="223"/>
      <c r="S1437" s="223"/>
      <c r="T1437" s="223"/>
      <c r="U1437" s="223"/>
      <c r="V1437" s="223"/>
    </row>
    <row r="1438" spans="1:22" s="731" customFormat="1" ht="15.75" customHeight="1">
      <c r="A1438" s="468" t="s">
        <v>348</v>
      </c>
      <c r="B1438" s="204" t="s">
        <v>184</v>
      </c>
      <c r="C1438" s="527"/>
      <c r="D1438" s="267"/>
      <c r="E1438" s="706"/>
      <c r="F1438" s="267"/>
      <c r="G1438" s="206"/>
      <c r="H1438" s="268"/>
      <c r="I1438" s="500"/>
      <c r="J1438" s="715"/>
      <c r="K1438" s="552">
        <f t="shared" si="89"/>
        <v>0</v>
      </c>
      <c r="L1438" s="217"/>
      <c r="M1438" s="211">
        <f t="shared" si="88"/>
        <v>-46136</v>
      </c>
      <c r="N1438" s="683">
        <f t="shared" si="90"/>
        <v>7</v>
      </c>
      <c r="O1438" s="212"/>
      <c r="P1438" s="544"/>
      <c r="Q1438" s="561">
        <f t="shared" si="87"/>
        <v>0</v>
      </c>
      <c r="R1438" s="223"/>
      <c r="S1438" s="223"/>
      <c r="T1438" s="223"/>
      <c r="U1438" s="223"/>
      <c r="V1438" s="223"/>
    </row>
    <row r="1439" spans="1:22" s="731" customFormat="1" ht="15.75" customHeight="1">
      <c r="A1439" s="468" t="s">
        <v>348</v>
      </c>
      <c r="B1439" s="204" t="s">
        <v>184</v>
      </c>
      <c r="C1439" s="527"/>
      <c r="D1439" s="267"/>
      <c r="E1439" s="706"/>
      <c r="F1439" s="267"/>
      <c r="G1439" s="206"/>
      <c r="H1439" s="268"/>
      <c r="I1439" s="500"/>
      <c r="J1439" s="715"/>
      <c r="K1439" s="552">
        <f t="shared" si="89"/>
        <v>0</v>
      </c>
      <c r="L1439" s="217"/>
      <c r="M1439" s="211">
        <f t="shared" si="88"/>
        <v>-46136</v>
      </c>
      <c r="N1439" s="683">
        <f t="shared" si="90"/>
        <v>7</v>
      </c>
      <c r="O1439" s="212"/>
      <c r="P1439" s="544"/>
      <c r="Q1439" s="561">
        <f t="shared" si="87"/>
        <v>0</v>
      </c>
      <c r="R1439" s="223"/>
      <c r="S1439" s="223"/>
      <c r="T1439" s="223"/>
      <c r="U1439" s="223"/>
      <c r="V1439" s="223"/>
    </row>
    <row r="1440" spans="1:22" s="731" customFormat="1" ht="15.75" customHeight="1">
      <c r="A1440" s="468" t="s">
        <v>348</v>
      </c>
      <c r="B1440" s="204" t="s">
        <v>184</v>
      </c>
      <c r="C1440" s="527"/>
      <c r="D1440" s="267"/>
      <c r="E1440" s="706"/>
      <c r="F1440" s="267"/>
      <c r="G1440" s="206"/>
      <c r="H1440" s="268"/>
      <c r="I1440" s="500"/>
      <c r="J1440" s="715"/>
      <c r="K1440" s="552">
        <f t="shared" si="89"/>
        <v>0</v>
      </c>
      <c r="L1440" s="217"/>
      <c r="M1440" s="211">
        <f t="shared" si="88"/>
        <v>-46136</v>
      </c>
      <c r="N1440" s="683">
        <f t="shared" si="90"/>
        <v>7</v>
      </c>
      <c r="O1440" s="212"/>
      <c r="P1440" s="544"/>
      <c r="Q1440" s="561">
        <f t="shared" si="87"/>
        <v>0</v>
      </c>
      <c r="R1440" s="223"/>
      <c r="S1440" s="223"/>
      <c r="T1440" s="223"/>
      <c r="U1440" s="223"/>
      <c r="V1440" s="223"/>
    </row>
    <row r="1441" spans="1:22" s="731" customFormat="1" ht="15.75" customHeight="1">
      <c r="A1441" s="468" t="s">
        <v>348</v>
      </c>
      <c r="B1441" s="204" t="s">
        <v>184</v>
      </c>
      <c r="C1441" s="527"/>
      <c r="D1441" s="267"/>
      <c r="E1441" s="706"/>
      <c r="F1441" s="267"/>
      <c r="G1441" s="206"/>
      <c r="H1441" s="268"/>
      <c r="I1441" s="501"/>
      <c r="J1441" s="715"/>
      <c r="K1441" s="552">
        <f t="shared" si="89"/>
        <v>0</v>
      </c>
      <c r="L1441" s="217"/>
      <c r="M1441" s="211">
        <f t="shared" si="88"/>
        <v>-46136</v>
      </c>
      <c r="N1441" s="683">
        <f t="shared" si="90"/>
        <v>7</v>
      </c>
      <c r="O1441" s="212"/>
      <c r="P1441" s="544"/>
      <c r="Q1441" s="561">
        <f t="shared" si="87"/>
        <v>0</v>
      </c>
      <c r="R1441" s="223"/>
      <c r="S1441" s="223"/>
      <c r="T1441" s="223"/>
      <c r="U1441" s="223"/>
      <c r="V1441" s="223"/>
    </row>
    <row r="1442" spans="1:22" s="731" customFormat="1" ht="15.75" customHeight="1">
      <c r="A1442" s="468" t="s">
        <v>348</v>
      </c>
      <c r="B1442" s="204" t="s">
        <v>184</v>
      </c>
      <c r="C1442" s="527"/>
      <c r="D1442" s="267"/>
      <c r="E1442" s="706"/>
      <c r="F1442" s="267"/>
      <c r="G1442" s="206"/>
      <c r="H1442" s="268"/>
      <c r="I1442" s="500"/>
      <c r="J1442" s="715"/>
      <c r="K1442" s="552">
        <f t="shared" si="89"/>
        <v>0</v>
      </c>
      <c r="L1442" s="217"/>
      <c r="M1442" s="211">
        <f t="shared" si="88"/>
        <v>-46136</v>
      </c>
      <c r="N1442" s="683">
        <f t="shared" si="90"/>
        <v>7</v>
      </c>
      <c r="O1442" s="212"/>
      <c r="P1442" s="544"/>
      <c r="Q1442" s="561">
        <f t="shared" si="87"/>
        <v>0</v>
      </c>
      <c r="R1442" s="223"/>
      <c r="S1442" s="223"/>
      <c r="T1442" s="223"/>
      <c r="U1442" s="223"/>
      <c r="V1442" s="223"/>
    </row>
    <row r="1443" spans="1:22" s="731" customFormat="1" ht="15.75" customHeight="1">
      <c r="A1443" s="468" t="s">
        <v>348</v>
      </c>
      <c r="B1443" s="204" t="s">
        <v>184</v>
      </c>
      <c r="C1443" s="527"/>
      <c r="D1443" s="267"/>
      <c r="E1443" s="706"/>
      <c r="F1443" s="267"/>
      <c r="G1443" s="206"/>
      <c r="H1443" s="268"/>
      <c r="I1443" s="500"/>
      <c r="J1443" s="715"/>
      <c r="K1443" s="552">
        <f t="shared" si="89"/>
        <v>0</v>
      </c>
      <c r="L1443" s="217"/>
      <c r="M1443" s="211">
        <f t="shared" si="88"/>
        <v>-46136</v>
      </c>
      <c r="N1443" s="683">
        <f t="shared" si="90"/>
        <v>7</v>
      </c>
      <c r="O1443" s="212"/>
      <c r="P1443" s="544"/>
      <c r="Q1443" s="561">
        <f t="shared" si="87"/>
        <v>0</v>
      </c>
      <c r="R1443" s="223"/>
      <c r="S1443" s="223"/>
      <c r="T1443" s="223"/>
      <c r="U1443" s="223"/>
      <c r="V1443" s="223"/>
    </row>
    <row r="1444" spans="1:22" s="731" customFormat="1" ht="15.75" customHeight="1">
      <c r="A1444" s="468" t="s">
        <v>348</v>
      </c>
      <c r="B1444" s="204" t="s">
        <v>184</v>
      </c>
      <c r="C1444" s="527"/>
      <c r="D1444" s="267"/>
      <c r="E1444" s="706"/>
      <c r="F1444" s="267"/>
      <c r="G1444" s="206"/>
      <c r="H1444" s="268"/>
      <c r="I1444" s="500"/>
      <c r="J1444" s="715"/>
      <c r="K1444" s="552">
        <f t="shared" si="89"/>
        <v>0</v>
      </c>
      <c r="L1444" s="217"/>
      <c r="M1444" s="211">
        <f t="shared" si="88"/>
        <v>-46136</v>
      </c>
      <c r="N1444" s="683">
        <f t="shared" si="90"/>
        <v>7</v>
      </c>
      <c r="O1444" s="212"/>
      <c r="P1444" s="544"/>
      <c r="Q1444" s="561">
        <f t="shared" ref="Q1444:Q1467" si="91">+K1444+J1444</f>
        <v>0</v>
      </c>
      <c r="R1444" s="223"/>
      <c r="S1444" s="223"/>
      <c r="T1444" s="223"/>
      <c r="U1444" s="223"/>
      <c r="V1444" s="223"/>
    </row>
    <row r="1445" spans="1:22" s="731" customFormat="1" ht="15.75" customHeight="1">
      <c r="A1445" s="468" t="s">
        <v>348</v>
      </c>
      <c r="B1445" s="204" t="s">
        <v>184</v>
      </c>
      <c r="C1445" s="527"/>
      <c r="D1445" s="267"/>
      <c r="E1445" s="706"/>
      <c r="F1445" s="267"/>
      <c r="G1445" s="206"/>
      <c r="H1445" s="268"/>
      <c r="I1445" s="501"/>
      <c r="J1445" s="715"/>
      <c r="K1445" s="552">
        <f t="shared" si="89"/>
        <v>0</v>
      </c>
      <c r="L1445" s="217"/>
      <c r="M1445" s="211">
        <f t="shared" si="88"/>
        <v>-46136</v>
      </c>
      <c r="N1445" s="683">
        <f t="shared" si="90"/>
        <v>7</v>
      </c>
      <c r="O1445" s="212"/>
      <c r="P1445" s="544"/>
      <c r="Q1445" s="561">
        <f t="shared" si="91"/>
        <v>0</v>
      </c>
      <c r="R1445" s="223"/>
      <c r="S1445" s="223"/>
      <c r="T1445" s="223"/>
      <c r="U1445" s="223"/>
      <c r="V1445" s="223"/>
    </row>
    <row r="1446" spans="1:22" s="731" customFormat="1" ht="15.75" customHeight="1">
      <c r="A1446" s="468" t="s">
        <v>348</v>
      </c>
      <c r="B1446" s="204" t="s">
        <v>184</v>
      </c>
      <c r="C1446" s="527"/>
      <c r="D1446" s="267"/>
      <c r="E1446" s="706"/>
      <c r="F1446" s="267"/>
      <c r="G1446" s="206"/>
      <c r="H1446" s="268"/>
      <c r="I1446" s="500"/>
      <c r="J1446" s="715"/>
      <c r="K1446" s="552">
        <f t="shared" si="89"/>
        <v>0</v>
      </c>
      <c r="L1446" s="217"/>
      <c r="M1446" s="211">
        <f t="shared" si="88"/>
        <v>-46136</v>
      </c>
      <c r="N1446" s="683">
        <f t="shared" si="90"/>
        <v>7</v>
      </c>
      <c r="O1446" s="212"/>
      <c r="P1446" s="544"/>
      <c r="Q1446" s="561">
        <f t="shared" si="91"/>
        <v>0</v>
      </c>
      <c r="R1446" s="223"/>
      <c r="S1446" s="223"/>
      <c r="T1446" s="223"/>
      <c r="U1446" s="223"/>
      <c r="V1446" s="223"/>
    </row>
    <row r="1447" spans="1:22" s="731" customFormat="1" ht="15.75" customHeight="1">
      <c r="A1447" s="468" t="s">
        <v>348</v>
      </c>
      <c r="B1447" s="204" t="s">
        <v>184</v>
      </c>
      <c r="C1447" s="527"/>
      <c r="D1447" s="267"/>
      <c r="E1447" s="706"/>
      <c r="F1447" s="267"/>
      <c r="G1447" s="206"/>
      <c r="H1447" s="268"/>
      <c r="I1447" s="502"/>
      <c r="J1447" s="715"/>
      <c r="K1447" s="552">
        <f t="shared" si="89"/>
        <v>0</v>
      </c>
      <c r="L1447" s="217"/>
      <c r="M1447" s="211">
        <f t="shared" si="88"/>
        <v>-46136</v>
      </c>
      <c r="N1447" s="683">
        <f t="shared" si="90"/>
        <v>7</v>
      </c>
      <c r="O1447" s="212"/>
      <c r="P1447" s="544"/>
      <c r="Q1447" s="561">
        <f t="shared" si="91"/>
        <v>0</v>
      </c>
      <c r="R1447" s="223"/>
      <c r="S1447" s="223"/>
      <c r="T1447" s="223"/>
      <c r="U1447" s="223"/>
      <c r="V1447" s="223"/>
    </row>
    <row r="1448" spans="1:22" s="731" customFormat="1" ht="15.75" customHeight="1">
      <c r="A1448" s="468" t="s">
        <v>348</v>
      </c>
      <c r="B1448" s="204" t="s">
        <v>184</v>
      </c>
      <c r="C1448" s="527"/>
      <c r="D1448" s="267"/>
      <c r="E1448" s="706"/>
      <c r="F1448" s="267"/>
      <c r="G1448" s="206"/>
      <c r="H1448" s="268"/>
      <c r="I1448" s="502"/>
      <c r="J1448" s="715"/>
      <c r="K1448" s="552">
        <f t="shared" si="89"/>
        <v>0</v>
      </c>
      <c r="L1448" s="217"/>
      <c r="M1448" s="211">
        <f t="shared" si="88"/>
        <v>-46136</v>
      </c>
      <c r="N1448" s="683">
        <f t="shared" si="90"/>
        <v>7</v>
      </c>
      <c r="O1448" s="212"/>
      <c r="P1448" s="544"/>
      <c r="Q1448" s="561">
        <f t="shared" si="91"/>
        <v>0</v>
      </c>
      <c r="R1448" s="223"/>
      <c r="S1448" s="223"/>
      <c r="T1448" s="223"/>
      <c r="U1448" s="223"/>
      <c r="V1448" s="223"/>
    </row>
    <row r="1449" spans="1:22" s="731" customFormat="1" ht="15.75" customHeight="1">
      <c r="A1449" s="468" t="s">
        <v>348</v>
      </c>
      <c r="B1449" s="204" t="s">
        <v>184</v>
      </c>
      <c r="C1449" s="527"/>
      <c r="D1449" s="267"/>
      <c r="E1449" s="706"/>
      <c r="F1449" s="267"/>
      <c r="G1449" s="206"/>
      <c r="H1449" s="268"/>
      <c r="I1449" s="500"/>
      <c r="J1449" s="715"/>
      <c r="K1449" s="552">
        <f t="shared" si="89"/>
        <v>0</v>
      </c>
      <c r="L1449" s="217"/>
      <c r="M1449" s="211">
        <f t="shared" si="88"/>
        <v>-46136</v>
      </c>
      <c r="N1449" s="683">
        <f t="shared" si="90"/>
        <v>7</v>
      </c>
      <c r="O1449" s="212"/>
      <c r="P1449" s="544"/>
      <c r="Q1449" s="561">
        <f t="shared" si="91"/>
        <v>0</v>
      </c>
      <c r="R1449" s="223"/>
      <c r="S1449" s="223"/>
      <c r="T1449" s="223"/>
      <c r="U1449" s="223"/>
      <c r="V1449" s="223"/>
    </row>
    <row r="1450" spans="1:22" s="731" customFormat="1" ht="15.75" customHeight="1">
      <c r="A1450" s="468" t="s">
        <v>348</v>
      </c>
      <c r="B1450" s="204" t="s">
        <v>184</v>
      </c>
      <c r="C1450" s="527"/>
      <c r="D1450" s="267"/>
      <c r="E1450" s="706"/>
      <c r="F1450" s="267"/>
      <c r="G1450" s="206"/>
      <c r="H1450" s="268"/>
      <c r="I1450" s="502"/>
      <c r="J1450" s="715"/>
      <c r="K1450" s="552">
        <f t="shared" si="89"/>
        <v>0</v>
      </c>
      <c r="L1450" s="217"/>
      <c r="M1450" s="211">
        <f t="shared" si="88"/>
        <v>-46136</v>
      </c>
      <c r="N1450" s="683">
        <f t="shared" si="90"/>
        <v>7</v>
      </c>
      <c r="O1450" s="212"/>
      <c r="P1450" s="544"/>
      <c r="Q1450" s="561">
        <f t="shared" si="91"/>
        <v>0</v>
      </c>
      <c r="R1450" s="223"/>
      <c r="S1450" s="223"/>
      <c r="T1450" s="223"/>
      <c r="U1450" s="223"/>
      <c r="V1450" s="223"/>
    </row>
    <row r="1451" spans="1:22" s="731" customFormat="1" ht="15.75" customHeight="1">
      <c r="A1451" s="468" t="s">
        <v>348</v>
      </c>
      <c r="B1451" s="204" t="s">
        <v>184</v>
      </c>
      <c r="C1451" s="527"/>
      <c r="D1451" s="267"/>
      <c r="E1451" s="706"/>
      <c r="F1451" s="267"/>
      <c r="G1451" s="206"/>
      <c r="H1451" s="268"/>
      <c r="I1451" s="500"/>
      <c r="J1451" s="715"/>
      <c r="K1451" s="552">
        <f t="shared" si="89"/>
        <v>0</v>
      </c>
      <c r="L1451" s="217"/>
      <c r="M1451" s="211">
        <f t="shared" si="88"/>
        <v>-46136</v>
      </c>
      <c r="N1451" s="683">
        <f t="shared" si="90"/>
        <v>7</v>
      </c>
      <c r="O1451" s="212"/>
      <c r="P1451" s="544"/>
      <c r="Q1451" s="561">
        <f t="shared" si="91"/>
        <v>0</v>
      </c>
      <c r="R1451" s="223"/>
      <c r="S1451" s="223"/>
      <c r="T1451" s="223"/>
      <c r="U1451" s="223"/>
      <c r="V1451" s="223"/>
    </row>
    <row r="1452" spans="1:22" s="731" customFormat="1" ht="15.75" customHeight="1">
      <c r="A1452" s="468" t="s">
        <v>348</v>
      </c>
      <c r="B1452" s="204" t="s">
        <v>184</v>
      </c>
      <c r="C1452" s="527"/>
      <c r="D1452" s="267"/>
      <c r="E1452" s="706"/>
      <c r="F1452" s="267"/>
      <c r="G1452" s="206"/>
      <c r="H1452" s="268"/>
      <c r="I1452" s="500"/>
      <c r="J1452" s="715"/>
      <c r="K1452" s="552">
        <f t="shared" si="89"/>
        <v>0</v>
      </c>
      <c r="L1452" s="217"/>
      <c r="M1452" s="211">
        <f t="shared" si="88"/>
        <v>-46136</v>
      </c>
      <c r="N1452" s="683">
        <f t="shared" si="90"/>
        <v>7</v>
      </c>
      <c r="O1452" s="212"/>
      <c r="P1452" s="544"/>
      <c r="Q1452" s="561">
        <f t="shared" si="91"/>
        <v>0</v>
      </c>
      <c r="R1452" s="223"/>
      <c r="S1452" s="223"/>
      <c r="T1452" s="223"/>
      <c r="U1452" s="223"/>
      <c r="V1452" s="223"/>
    </row>
    <row r="1453" spans="1:22" s="731" customFormat="1" ht="15.75" customHeight="1">
      <c r="A1453" s="468" t="s">
        <v>348</v>
      </c>
      <c r="B1453" s="204" t="s">
        <v>184</v>
      </c>
      <c r="C1453" s="527"/>
      <c r="D1453" s="267"/>
      <c r="E1453" s="706"/>
      <c r="F1453" s="267"/>
      <c r="G1453" s="206"/>
      <c r="H1453" s="268"/>
      <c r="I1453" s="500"/>
      <c r="J1453" s="715"/>
      <c r="K1453" s="552">
        <f t="shared" si="89"/>
        <v>0</v>
      </c>
      <c r="L1453" s="217"/>
      <c r="M1453" s="211">
        <f t="shared" si="88"/>
        <v>-46136</v>
      </c>
      <c r="N1453" s="683">
        <f t="shared" si="90"/>
        <v>7</v>
      </c>
      <c r="O1453" s="212"/>
      <c r="P1453" s="544"/>
      <c r="Q1453" s="561">
        <f t="shared" si="91"/>
        <v>0</v>
      </c>
      <c r="R1453" s="223"/>
      <c r="S1453" s="223"/>
      <c r="T1453" s="223"/>
      <c r="U1453" s="223"/>
      <c r="V1453" s="223"/>
    </row>
    <row r="1454" spans="1:22" s="731" customFormat="1" ht="15.75" customHeight="1">
      <c r="A1454" s="468" t="s">
        <v>348</v>
      </c>
      <c r="B1454" s="204" t="s">
        <v>184</v>
      </c>
      <c r="C1454" s="527"/>
      <c r="D1454" s="267"/>
      <c r="E1454" s="706"/>
      <c r="F1454" s="267"/>
      <c r="G1454" s="206"/>
      <c r="H1454" s="268"/>
      <c r="I1454" s="500"/>
      <c r="J1454" s="715"/>
      <c r="K1454" s="552">
        <f t="shared" si="89"/>
        <v>0</v>
      </c>
      <c r="L1454" s="217"/>
      <c r="M1454" s="211">
        <f t="shared" si="88"/>
        <v>-46136</v>
      </c>
      <c r="N1454" s="683">
        <f t="shared" si="90"/>
        <v>7</v>
      </c>
      <c r="O1454" s="212"/>
      <c r="P1454" s="544"/>
      <c r="Q1454" s="561">
        <f t="shared" si="91"/>
        <v>0</v>
      </c>
      <c r="R1454" s="223"/>
      <c r="S1454" s="223"/>
      <c r="T1454" s="223"/>
      <c r="U1454" s="223"/>
      <c r="V1454" s="223"/>
    </row>
    <row r="1455" spans="1:22" s="731" customFormat="1" ht="15.75" customHeight="1">
      <c r="A1455" s="468" t="s">
        <v>348</v>
      </c>
      <c r="B1455" s="204" t="s">
        <v>184</v>
      </c>
      <c r="C1455" s="527"/>
      <c r="D1455" s="267"/>
      <c r="E1455" s="706"/>
      <c r="F1455" s="267"/>
      <c r="G1455" s="206"/>
      <c r="H1455" s="268"/>
      <c r="I1455" s="500"/>
      <c r="J1455" s="715"/>
      <c r="K1455" s="552">
        <f t="shared" si="89"/>
        <v>0</v>
      </c>
      <c r="L1455" s="217"/>
      <c r="M1455" s="211">
        <f t="shared" si="88"/>
        <v>-46136</v>
      </c>
      <c r="N1455" s="683">
        <f t="shared" si="90"/>
        <v>7</v>
      </c>
      <c r="O1455" s="212"/>
      <c r="P1455" s="544"/>
      <c r="Q1455" s="561">
        <f t="shared" si="91"/>
        <v>0</v>
      </c>
      <c r="R1455" s="223"/>
      <c r="S1455" s="223"/>
      <c r="T1455" s="223"/>
      <c r="U1455" s="223"/>
      <c r="V1455" s="223"/>
    </row>
    <row r="1456" spans="1:22" s="731" customFormat="1" ht="15.75" customHeight="1">
      <c r="A1456" s="468" t="s">
        <v>348</v>
      </c>
      <c r="B1456" s="204" t="s">
        <v>184</v>
      </c>
      <c r="C1456" s="527"/>
      <c r="D1456" s="267"/>
      <c r="E1456" s="706"/>
      <c r="F1456" s="267"/>
      <c r="G1456" s="206"/>
      <c r="H1456" s="268"/>
      <c r="I1456" s="500"/>
      <c r="J1456" s="715"/>
      <c r="K1456" s="552">
        <f t="shared" si="89"/>
        <v>0</v>
      </c>
      <c r="L1456" s="217"/>
      <c r="M1456" s="211">
        <f t="shared" si="88"/>
        <v>-46136</v>
      </c>
      <c r="N1456" s="683">
        <f t="shared" si="90"/>
        <v>7</v>
      </c>
      <c r="O1456" s="212"/>
      <c r="P1456" s="544"/>
      <c r="Q1456" s="561">
        <f t="shared" si="91"/>
        <v>0</v>
      </c>
      <c r="R1456" s="223"/>
      <c r="S1456" s="223"/>
      <c r="T1456" s="223"/>
      <c r="U1456" s="223"/>
      <c r="V1456" s="223"/>
    </row>
    <row r="1457" spans="1:22" s="731" customFormat="1" ht="15.75" customHeight="1">
      <c r="A1457" s="468" t="s">
        <v>348</v>
      </c>
      <c r="B1457" s="204" t="s">
        <v>184</v>
      </c>
      <c r="C1457" s="527"/>
      <c r="D1457" s="267"/>
      <c r="E1457" s="706"/>
      <c r="F1457" s="267"/>
      <c r="G1457" s="206"/>
      <c r="H1457" s="268"/>
      <c r="I1457" s="500"/>
      <c r="J1457" s="715"/>
      <c r="K1457" s="552">
        <f t="shared" si="89"/>
        <v>0</v>
      </c>
      <c r="L1457" s="217"/>
      <c r="M1457" s="211">
        <f t="shared" si="88"/>
        <v>-46136</v>
      </c>
      <c r="N1457" s="683">
        <f t="shared" si="90"/>
        <v>7</v>
      </c>
      <c r="O1457" s="212"/>
      <c r="P1457" s="544"/>
      <c r="Q1457" s="561">
        <f t="shared" si="91"/>
        <v>0</v>
      </c>
      <c r="R1457" s="223"/>
      <c r="S1457" s="223"/>
      <c r="T1457" s="223"/>
      <c r="U1457" s="223"/>
      <c r="V1457" s="223"/>
    </row>
    <row r="1458" spans="1:22" s="731" customFormat="1" ht="15.75" customHeight="1">
      <c r="A1458" s="468" t="s">
        <v>348</v>
      </c>
      <c r="B1458" s="204" t="s">
        <v>184</v>
      </c>
      <c r="C1458" s="527"/>
      <c r="D1458" s="267"/>
      <c r="E1458" s="706"/>
      <c r="F1458" s="267"/>
      <c r="G1458" s="206"/>
      <c r="H1458" s="268"/>
      <c r="I1458" s="500"/>
      <c r="J1458" s="715"/>
      <c r="K1458" s="552">
        <f t="shared" si="89"/>
        <v>0</v>
      </c>
      <c r="L1458" s="217"/>
      <c r="M1458" s="211">
        <f t="shared" si="88"/>
        <v>-46136</v>
      </c>
      <c r="N1458" s="683">
        <f t="shared" si="90"/>
        <v>7</v>
      </c>
      <c r="O1458" s="212"/>
      <c r="P1458" s="544"/>
      <c r="Q1458" s="561">
        <f t="shared" si="91"/>
        <v>0</v>
      </c>
      <c r="R1458" s="223"/>
      <c r="S1458" s="223"/>
      <c r="T1458" s="223"/>
      <c r="U1458" s="223"/>
      <c r="V1458" s="223"/>
    </row>
    <row r="1459" spans="1:22" s="731" customFormat="1" ht="15.75" customHeight="1">
      <c r="A1459" s="468" t="s">
        <v>348</v>
      </c>
      <c r="B1459" s="204" t="s">
        <v>184</v>
      </c>
      <c r="C1459" s="527"/>
      <c r="D1459" s="267"/>
      <c r="E1459" s="706"/>
      <c r="F1459" s="267"/>
      <c r="G1459" s="206"/>
      <c r="H1459" s="268"/>
      <c r="I1459" s="502"/>
      <c r="J1459" s="715"/>
      <c r="K1459" s="552">
        <f t="shared" si="89"/>
        <v>0</v>
      </c>
      <c r="L1459" s="217"/>
      <c r="M1459" s="211">
        <f t="shared" si="88"/>
        <v>-46136</v>
      </c>
      <c r="N1459" s="683">
        <f t="shared" si="90"/>
        <v>7</v>
      </c>
      <c r="O1459" s="212"/>
      <c r="P1459" s="544"/>
      <c r="Q1459" s="561">
        <f t="shared" si="91"/>
        <v>0</v>
      </c>
      <c r="R1459" s="223"/>
      <c r="S1459" s="223"/>
      <c r="T1459" s="223"/>
      <c r="U1459" s="223"/>
      <c r="V1459" s="223"/>
    </row>
    <row r="1460" spans="1:22" s="731" customFormat="1" ht="15.75" customHeight="1">
      <c r="A1460" s="468" t="s">
        <v>348</v>
      </c>
      <c r="B1460" s="204" t="s">
        <v>184</v>
      </c>
      <c r="C1460" s="527"/>
      <c r="D1460" s="267"/>
      <c r="E1460" s="706"/>
      <c r="F1460" s="267"/>
      <c r="G1460" s="206"/>
      <c r="H1460" s="268"/>
      <c r="I1460" s="502"/>
      <c r="J1460" s="715"/>
      <c r="K1460" s="552">
        <f t="shared" si="89"/>
        <v>0</v>
      </c>
      <c r="L1460" s="217"/>
      <c r="M1460" s="211">
        <f t="shared" si="88"/>
        <v>-46136</v>
      </c>
      <c r="N1460" s="683">
        <f t="shared" si="90"/>
        <v>7</v>
      </c>
      <c r="O1460" s="212"/>
      <c r="P1460" s="544"/>
      <c r="Q1460" s="561">
        <f t="shared" si="91"/>
        <v>0</v>
      </c>
      <c r="R1460" s="223"/>
      <c r="S1460" s="223"/>
      <c r="T1460" s="223"/>
      <c r="U1460" s="223"/>
      <c r="V1460" s="223"/>
    </row>
    <row r="1461" spans="1:22" s="731" customFormat="1" ht="15.75" customHeight="1">
      <c r="A1461" s="468" t="s">
        <v>348</v>
      </c>
      <c r="B1461" s="204" t="s">
        <v>184</v>
      </c>
      <c r="C1461" s="527"/>
      <c r="D1461" s="267"/>
      <c r="E1461" s="706"/>
      <c r="F1461" s="267"/>
      <c r="G1461" s="206"/>
      <c r="H1461" s="268"/>
      <c r="I1461" s="501"/>
      <c r="J1461" s="715"/>
      <c r="K1461" s="552">
        <f t="shared" si="89"/>
        <v>0</v>
      </c>
      <c r="L1461" s="217"/>
      <c r="M1461" s="211">
        <f t="shared" si="88"/>
        <v>-46136</v>
      </c>
      <c r="N1461" s="683">
        <f t="shared" si="90"/>
        <v>7</v>
      </c>
      <c r="O1461" s="212"/>
      <c r="P1461" s="544"/>
      <c r="Q1461" s="561">
        <f t="shared" si="91"/>
        <v>0</v>
      </c>
      <c r="R1461" s="223"/>
      <c r="S1461" s="223"/>
      <c r="T1461" s="223"/>
      <c r="U1461" s="223"/>
      <c r="V1461" s="223"/>
    </row>
    <row r="1462" spans="1:22" s="731" customFormat="1" ht="15.75" customHeight="1">
      <c r="A1462" s="468" t="s">
        <v>348</v>
      </c>
      <c r="B1462" s="204" t="s">
        <v>184</v>
      </c>
      <c r="C1462" s="527"/>
      <c r="D1462" s="267"/>
      <c r="E1462" s="706"/>
      <c r="F1462" s="267"/>
      <c r="G1462" s="206"/>
      <c r="H1462" s="268"/>
      <c r="I1462" s="501"/>
      <c r="J1462" s="715"/>
      <c r="K1462" s="552">
        <f t="shared" si="89"/>
        <v>0</v>
      </c>
      <c r="L1462" s="217"/>
      <c r="M1462" s="211">
        <f t="shared" si="88"/>
        <v>-46136</v>
      </c>
      <c r="N1462" s="683">
        <f t="shared" si="90"/>
        <v>7</v>
      </c>
      <c r="O1462" s="212"/>
      <c r="P1462" s="544"/>
      <c r="Q1462" s="561">
        <f t="shared" si="91"/>
        <v>0</v>
      </c>
      <c r="R1462" s="223"/>
      <c r="S1462" s="223"/>
      <c r="T1462" s="223"/>
      <c r="U1462" s="223"/>
      <c r="V1462" s="223"/>
    </row>
    <row r="1463" spans="1:22" s="731" customFormat="1" ht="15.75" customHeight="1">
      <c r="A1463" s="468" t="s">
        <v>348</v>
      </c>
      <c r="B1463" s="204" t="s">
        <v>184</v>
      </c>
      <c r="C1463" s="527"/>
      <c r="D1463" s="267"/>
      <c r="E1463" s="706"/>
      <c r="F1463" s="267"/>
      <c r="G1463" s="206"/>
      <c r="H1463" s="268"/>
      <c r="I1463" s="501"/>
      <c r="J1463" s="715"/>
      <c r="K1463" s="552">
        <f t="shared" si="89"/>
        <v>0</v>
      </c>
      <c r="L1463" s="217"/>
      <c r="M1463" s="211">
        <f t="shared" si="88"/>
        <v>-46136</v>
      </c>
      <c r="N1463" s="683">
        <f t="shared" si="90"/>
        <v>7</v>
      </c>
      <c r="O1463" s="212"/>
      <c r="P1463" s="544"/>
      <c r="Q1463" s="561">
        <f t="shared" si="91"/>
        <v>0</v>
      </c>
      <c r="R1463" s="223"/>
      <c r="S1463" s="223"/>
      <c r="T1463" s="223"/>
      <c r="U1463" s="223"/>
      <c r="V1463" s="223"/>
    </row>
    <row r="1464" spans="1:22" s="731" customFormat="1" ht="15.75" customHeight="1">
      <c r="A1464" s="468" t="s">
        <v>348</v>
      </c>
      <c r="B1464" s="204" t="s">
        <v>184</v>
      </c>
      <c r="C1464" s="527"/>
      <c r="D1464" s="267"/>
      <c r="E1464" s="706"/>
      <c r="F1464" s="267"/>
      <c r="G1464" s="206"/>
      <c r="H1464" s="268"/>
      <c r="I1464" s="500"/>
      <c r="J1464" s="715"/>
      <c r="K1464" s="552">
        <f t="shared" si="89"/>
        <v>0</v>
      </c>
      <c r="L1464" s="217"/>
      <c r="M1464" s="211">
        <f t="shared" si="88"/>
        <v>-46136</v>
      </c>
      <c r="N1464" s="683">
        <f t="shared" si="90"/>
        <v>7</v>
      </c>
      <c r="O1464" s="212"/>
      <c r="P1464" s="544"/>
      <c r="Q1464" s="561">
        <f t="shared" si="91"/>
        <v>0</v>
      </c>
      <c r="R1464" s="223"/>
      <c r="S1464" s="223"/>
      <c r="T1464" s="223"/>
      <c r="U1464" s="223"/>
      <c r="V1464" s="223"/>
    </row>
    <row r="1465" spans="1:22" s="731" customFormat="1" ht="15.75" customHeight="1">
      <c r="A1465" s="468" t="s">
        <v>348</v>
      </c>
      <c r="B1465" s="204" t="s">
        <v>184</v>
      </c>
      <c r="C1465" s="527"/>
      <c r="D1465" s="267"/>
      <c r="E1465" s="706"/>
      <c r="F1465" s="267"/>
      <c r="G1465" s="206"/>
      <c r="H1465" s="268"/>
      <c r="I1465" s="500"/>
      <c r="J1465" s="715"/>
      <c r="K1465" s="552">
        <f t="shared" si="89"/>
        <v>0</v>
      </c>
      <c r="L1465" s="217"/>
      <c r="M1465" s="211">
        <f t="shared" si="88"/>
        <v>-46136</v>
      </c>
      <c r="N1465" s="683">
        <f t="shared" si="90"/>
        <v>7</v>
      </c>
      <c r="O1465" s="212"/>
      <c r="P1465" s="544"/>
      <c r="Q1465" s="561">
        <f t="shared" si="91"/>
        <v>0</v>
      </c>
      <c r="R1465" s="223"/>
      <c r="S1465" s="223"/>
      <c r="T1465" s="223"/>
      <c r="U1465" s="223"/>
      <c r="V1465" s="223"/>
    </row>
    <row r="1466" spans="1:22" s="731" customFormat="1" ht="15.75" customHeight="1">
      <c r="A1466" s="468" t="s">
        <v>348</v>
      </c>
      <c r="B1466" s="204" t="s">
        <v>184</v>
      </c>
      <c r="C1466" s="527"/>
      <c r="D1466" s="267"/>
      <c r="E1466" s="706"/>
      <c r="F1466" s="267"/>
      <c r="G1466" s="206"/>
      <c r="H1466" s="494"/>
      <c r="I1466" s="500"/>
      <c r="J1466" s="715"/>
      <c r="K1466" s="552">
        <f t="shared" si="89"/>
        <v>0</v>
      </c>
      <c r="L1466" s="217"/>
      <c r="M1466" s="211">
        <f t="shared" si="88"/>
        <v>-46136</v>
      </c>
      <c r="N1466" s="683">
        <f t="shared" si="90"/>
        <v>7</v>
      </c>
      <c r="O1466" s="212"/>
      <c r="P1466" s="544"/>
      <c r="Q1466" s="561">
        <f t="shared" si="91"/>
        <v>0</v>
      </c>
      <c r="R1466" s="223"/>
      <c r="S1466" s="223"/>
      <c r="T1466" s="223"/>
      <c r="U1466" s="223"/>
      <c r="V1466" s="223"/>
    </row>
    <row r="1467" spans="1:22" s="280" customFormat="1" ht="15.75" customHeight="1">
      <c r="A1467" s="468" t="s">
        <v>348</v>
      </c>
      <c r="B1467" s="204" t="s">
        <v>184</v>
      </c>
      <c r="C1467" s="527"/>
      <c r="D1467" s="267"/>
      <c r="E1467" s="706"/>
      <c r="F1467" s="267"/>
      <c r="G1467" s="206"/>
      <c r="H1467" s="214"/>
      <c r="I1467" s="500"/>
      <c r="J1467" s="715"/>
      <c r="K1467" s="552">
        <f t="shared" si="89"/>
        <v>0</v>
      </c>
      <c r="L1467" s="217"/>
      <c r="M1467" s="211">
        <f t="shared" si="88"/>
        <v>-46136</v>
      </c>
      <c r="N1467" s="683">
        <f t="shared" si="90"/>
        <v>7</v>
      </c>
      <c r="O1467" s="212"/>
      <c r="P1467" s="544"/>
      <c r="Q1467" s="561">
        <f t="shared" si="91"/>
        <v>0</v>
      </c>
      <c r="R1467" s="223"/>
      <c r="S1467" s="223"/>
      <c r="T1467" s="223"/>
      <c r="U1467" s="223"/>
      <c r="V1467" s="223"/>
    </row>
    <row r="1468" spans="1:22" s="280" customFormat="1" ht="15.75" customHeight="1">
      <c r="A1468" s="468" t="s">
        <v>348</v>
      </c>
      <c r="B1468" s="204" t="s">
        <v>184</v>
      </c>
      <c r="C1468" s="527"/>
      <c r="D1468" s="267"/>
      <c r="E1468" s="706"/>
      <c r="F1468" s="267"/>
      <c r="G1468" s="206"/>
      <c r="H1468" s="268"/>
      <c r="I1468" s="500"/>
      <c r="J1468" s="715"/>
      <c r="K1468" s="552">
        <f t="shared" si="89"/>
        <v>0</v>
      </c>
      <c r="L1468" s="217"/>
      <c r="M1468" s="211">
        <f t="shared" si="88"/>
        <v>-46136</v>
      </c>
      <c r="N1468" s="683">
        <f t="shared" si="90"/>
        <v>7</v>
      </c>
      <c r="O1468" s="212"/>
      <c r="P1468" s="544"/>
      <c r="Q1468" s="561">
        <f t="shared" ref="Q1468:Q1507" si="92">+K1468+J1468</f>
        <v>0</v>
      </c>
      <c r="R1468" s="223"/>
      <c r="S1468" s="223"/>
      <c r="T1468" s="223"/>
      <c r="U1468" s="223"/>
      <c r="V1468" s="223"/>
    </row>
    <row r="1469" spans="1:22" s="280" customFormat="1" ht="15.75" customHeight="1">
      <c r="A1469" s="468" t="s">
        <v>348</v>
      </c>
      <c r="B1469" s="204" t="s">
        <v>184</v>
      </c>
      <c r="C1469" s="527"/>
      <c r="D1469" s="267"/>
      <c r="E1469" s="706"/>
      <c r="F1469" s="267"/>
      <c r="G1469" s="206"/>
      <c r="H1469" s="268"/>
      <c r="I1469" s="500"/>
      <c r="J1469" s="715"/>
      <c r="K1469" s="552">
        <f t="shared" si="89"/>
        <v>0</v>
      </c>
      <c r="L1469" s="217"/>
      <c r="M1469" s="211">
        <f t="shared" si="88"/>
        <v>-46136</v>
      </c>
      <c r="N1469" s="683">
        <f t="shared" si="90"/>
        <v>7</v>
      </c>
      <c r="O1469" s="212"/>
      <c r="P1469" s="544"/>
      <c r="Q1469" s="561">
        <f t="shared" si="92"/>
        <v>0</v>
      </c>
      <c r="R1469" s="223"/>
      <c r="S1469" s="223"/>
      <c r="T1469" s="223"/>
      <c r="U1469" s="223"/>
      <c r="V1469" s="223"/>
    </row>
    <row r="1470" spans="1:22" s="280" customFormat="1" ht="15.75" customHeight="1">
      <c r="A1470" s="468" t="s">
        <v>348</v>
      </c>
      <c r="B1470" s="204" t="s">
        <v>184</v>
      </c>
      <c r="C1470" s="527"/>
      <c r="D1470" s="267"/>
      <c r="E1470" s="706"/>
      <c r="F1470" s="267"/>
      <c r="G1470" s="206"/>
      <c r="H1470" s="268"/>
      <c r="I1470" s="502"/>
      <c r="J1470" s="715"/>
      <c r="K1470" s="552">
        <f t="shared" si="89"/>
        <v>0</v>
      </c>
      <c r="L1470" s="217"/>
      <c r="M1470" s="211">
        <f t="shared" si="88"/>
        <v>-46136</v>
      </c>
      <c r="N1470" s="683">
        <f t="shared" si="90"/>
        <v>7</v>
      </c>
      <c r="O1470" s="212"/>
      <c r="P1470" s="544"/>
      <c r="Q1470" s="561">
        <f t="shared" si="92"/>
        <v>0</v>
      </c>
      <c r="R1470" s="223"/>
      <c r="S1470" s="223"/>
      <c r="T1470" s="223"/>
      <c r="U1470" s="223"/>
      <c r="V1470" s="223"/>
    </row>
    <row r="1471" spans="1:22" s="280" customFormat="1" ht="15.75" customHeight="1">
      <c r="A1471" s="468" t="s">
        <v>348</v>
      </c>
      <c r="B1471" s="204" t="s">
        <v>184</v>
      </c>
      <c r="C1471" s="527"/>
      <c r="D1471" s="267"/>
      <c r="E1471" s="706"/>
      <c r="F1471" s="267"/>
      <c r="G1471" s="206"/>
      <c r="H1471" s="268"/>
      <c r="I1471" s="500"/>
      <c r="J1471" s="715"/>
      <c r="K1471" s="552">
        <f t="shared" si="89"/>
        <v>0</v>
      </c>
      <c r="L1471" s="217"/>
      <c r="M1471" s="211">
        <f t="shared" si="88"/>
        <v>-46136</v>
      </c>
      <c r="N1471" s="683">
        <f t="shared" si="90"/>
        <v>7</v>
      </c>
      <c r="O1471" s="212"/>
      <c r="P1471" s="544"/>
      <c r="Q1471" s="561">
        <f t="shared" si="92"/>
        <v>0</v>
      </c>
      <c r="R1471" s="223"/>
      <c r="S1471" s="223"/>
      <c r="T1471" s="223"/>
      <c r="U1471" s="223"/>
      <c r="V1471" s="223"/>
    </row>
    <row r="1472" spans="1:22" s="280" customFormat="1" ht="15.75" customHeight="1">
      <c r="A1472" s="468" t="s">
        <v>348</v>
      </c>
      <c r="B1472" s="204" t="s">
        <v>184</v>
      </c>
      <c r="C1472" s="527"/>
      <c r="D1472" s="267"/>
      <c r="E1472" s="706"/>
      <c r="F1472" s="267"/>
      <c r="G1472" s="206"/>
      <c r="H1472" s="268"/>
      <c r="I1472" s="500"/>
      <c r="J1472" s="715"/>
      <c r="K1472" s="552">
        <f t="shared" si="89"/>
        <v>0</v>
      </c>
      <c r="L1472" s="217"/>
      <c r="M1472" s="211">
        <f t="shared" si="88"/>
        <v>-46136</v>
      </c>
      <c r="N1472" s="683">
        <f t="shared" si="90"/>
        <v>7</v>
      </c>
      <c r="O1472" s="212"/>
      <c r="P1472" s="544"/>
      <c r="Q1472" s="561">
        <f t="shared" si="92"/>
        <v>0</v>
      </c>
      <c r="R1472" s="223"/>
      <c r="S1472" s="223"/>
      <c r="T1472" s="223"/>
      <c r="U1472" s="223"/>
      <c r="V1472" s="223"/>
    </row>
    <row r="1473" spans="1:22" s="280" customFormat="1" ht="15.75" customHeight="1">
      <c r="A1473" s="468" t="s">
        <v>348</v>
      </c>
      <c r="B1473" s="204" t="s">
        <v>184</v>
      </c>
      <c r="C1473" s="527"/>
      <c r="D1473" s="267"/>
      <c r="E1473" s="706"/>
      <c r="F1473" s="267"/>
      <c r="G1473" s="206"/>
      <c r="H1473" s="268"/>
      <c r="I1473" s="500"/>
      <c r="J1473" s="715"/>
      <c r="K1473" s="552">
        <f t="shared" si="89"/>
        <v>0</v>
      </c>
      <c r="L1473" s="217"/>
      <c r="M1473" s="211">
        <f t="shared" si="88"/>
        <v>-46136</v>
      </c>
      <c r="N1473" s="683">
        <f t="shared" si="90"/>
        <v>7</v>
      </c>
      <c r="O1473" s="212"/>
      <c r="P1473" s="544"/>
      <c r="Q1473" s="561">
        <f t="shared" si="92"/>
        <v>0</v>
      </c>
      <c r="R1473" s="223"/>
      <c r="S1473" s="223"/>
      <c r="T1473" s="223"/>
      <c r="U1473" s="223"/>
      <c r="V1473" s="223"/>
    </row>
    <row r="1474" spans="1:22" s="280" customFormat="1" ht="15.75" customHeight="1">
      <c r="A1474" s="468" t="s">
        <v>348</v>
      </c>
      <c r="B1474" s="204" t="s">
        <v>184</v>
      </c>
      <c r="C1474" s="527"/>
      <c r="D1474" s="267"/>
      <c r="E1474" s="706"/>
      <c r="F1474" s="267"/>
      <c r="G1474" s="206"/>
      <c r="H1474" s="268"/>
      <c r="I1474" s="500"/>
      <c r="J1474" s="715"/>
      <c r="K1474" s="552">
        <f t="shared" si="89"/>
        <v>0</v>
      </c>
      <c r="L1474" s="217"/>
      <c r="M1474" s="211">
        <f t="shared" si="88"/>
        <v>-46136</v>
      </c>
      <c r="N1474" s="683">
        <f t="shared" si="90"/>
        <v>7</v>
      </c>
      <c r="O1474" s="212"/>
      <c r="P1474" s="544"/>
      <c r="Q1474" s="561">
        <f t="shared" si="92"/>
        <v>0</v>
      </c>
      <c r="R1474" s="223"/>
      <c r="S1474" s="223"/>
      <c r="T1474" s="223"/>
      <c r="U1474" s="223"/>
      <c r="V1474" s="223"/>
    </row>
    <row r="1475" spans="1:22" s="280" customFormat="1" ht="15.75" customHeight="1">
      <c r="A1475" s="468" t="s">
        <v>348</v>
      </c>
      <c r="B1475" s="204" t="s">
        <v>184</v>
      </c>
      <c r="C1475" s="527"/>
      <c r="D1475" s="267"/>
      <c r="E1475" s="706"/>
      <c r="F1475" s="267"/>
      <c r="G1475" s="206"/>
      <c r="H1475" s="268"/>
      <c r="I1475" s="501"/>
      <c r="J1475" s="715"/>
      <c r="K1475" s="552">
        <f t="shared" si="89"/>
        <v>0</v>
      </c>
      <c r="L1475" s="217"/>
      <c r="M1475" s="211">
        <f t="shared" si="88"/>
        <v>-46136</v>
      </c>
      <c r="N1475" s="683">
        <f t="shared" si="90"/>
        <v>7</v>
      </c>
      <c r="O1475" s="212"/>
      <c r="P1475" s="544"/>
      <c r="Q1475" s="561">
        <f t="shared" si="92"/>
        <v>0</v>
      </c>
      <c r="R1475" s="223"/>
      <c r="S1475" s="223"/>
      <c r="T1475" s="223"/>
      <c r="U1475" s="223"/>
      <c r="V1475" s="223"/>
    </row>
    <row r="1476" spans="1:22" s="280" customFormat="1" ht="15.75" customHeight="1">
      <c r="A1476" s="468" t="s">
        <v>348</v>
      </c>
      <c r="B1476" s="204" t="s">
        <v>184</v>
      </c>
      <c r="C1476" s="527"/>
      <c r="D1476" s="267"/>
      <c r="E1476" s="706"/>
      <c r="F1476" s="267"/>
      <c r="G1476" s="206"/>
      <c r="H1476" s="268"/>
      <c r="I1476" s="500"/>
      <c r="J1476" s="715"/>
      <c r="K1476" s="552">
        <f t="shared" si="89"/>
        <v>0</v>
      </c>
      <c r="L1476" s="217"/>
      <c r="M1476" s="211">
        <f t="shared" si="88"/>
        <v>-46136</v>
      </c>
      <c r="N1476" s="683">
        <f t="shared" si="90"/>
        <v>7</v>
      </c>
      <c r="O1476" s="212"/>
      <c r="P1476" s="544"/>
      <c r="Q1476" s="561">
        <f t="shared" si="92"/>
        <v>0</v>
      </c>
      <c r="R1476" s="223"/>
      <c r="S1476" s="223"/>
      <c r="T1476" s="223"/>
      <c r="U1476" s="223"/>
      <c r="V1476" s="223"/>
    </row>
    <row r="1477" spans="1:22" s="280" customFormat="1" ht="15.75" customHeight="1">
      <c r="A1477" s="468" t="s">
        <v>348</v>
      </c>
      <c r="B1477" s="204" t="s">
        <v>184</v>
      </c>
      <c r="C1477" s="527"/>
      <c r="D1477" s="267"/>
      <c r="E1477" s="706"/>
      <c r="F1477" s="267"/>
      <c r="G1477" s="206"/>
      <c r="H1477" s="268"/>
      <c r="I1477" s="500"/>
      <c r="J1477" s="715"/>
      <c r="K1477" s="552">
        <f t="shared" si="89"/>
        <v>0</v>
      </c>
      <c r="L1477" s="217"/>
      <c r="M1477" s="211">
        <f t="shared" si="88"/>
        <v>-46136</v>
      </c>
      <c r="N1477" s="683">
        <f t="shared" si="90"/>
        <v>7</v>
      </c>
      <c r="O1477" s="212"/>
      <c r="P1477" s="544"/>
      <c r="Q1477" s="561">
        <f t="shared" si="92"/>
        <v>0</v>
      </c>
      <c r="R1477" s="223"/>
      <c r="S1477" s="223"/>
      <c r="T1477" s="223"/>
      <c r="U1477" s="223"/>
      <c r="V1477" s="223"/>
    </row>
    <row r="1478" spans="1:22" s="280" customFormat="1" ht="15.75" customHeight="1">
      <c r="A1478" s="468" t="s">
        <v>348</v>
      </c>
      <c r="B1478" s="204" t="s">
        <v>184</v>
      </c>
      <c r="C1478" s="527"/>
      <c r="D1478" s="267"/>
      <c r="E1478" s="706"/>
      <c r="F1478" s="267"/>
      <c r="G1478" s="206"/>
      <c r="H1478" s="268"/>
      <c r="I1478" s="500"/>
      <c r="J1478" s="715"/>
      <c r="K1478" s="552">
        <f t="shared" si="89"/>
        <v>0</v>
      </c>
      <c r="L1478" s="217"/>
      <c r="M1478" s="211">
        <f t="shared" si="88"/>
        <v>-46136</v>
      </c>
      <c r="N1478" s="683">
        <f t="shared" si="90"/>
        <v>7</v>
      </c>
      <c r="O1478" s="212"/>
      <c r="P1478" s="544"/>
      <c r="Q1478" s="561">
        <f t="shared" si="92"/>
        <v>0</v>
      </c>
      <c r="R1478" s="223"/>
      <c r="S1478" s="223"/>
      <c r="T1478" s="223"/>
      <c r="U1478" s="223"/>
      <c r="V1478" s="223"/>
    </row>
    <row r="1479" spans="1:22" s="280" customFormat="1" ht="15.75" customHeight="1">
      <c r="A1479" s="468" t="s">
        <v>348</v>
      </c>
      <c r="B1479" s="204" t="s">
        <v>184</v>
      </c>
      <c r="C1479" s="527"/>
      <c r="D1479" s="267"/>
      <c r="E1479" s="706"/>
      <c r="F1479" s="267"/>
      <c r="G1479" s="206"/>
      <c r="H1479" s="268"/>
      <c r="I1479" s="500"/>
      <c r="J1479" s="715"/>
      <c r="K1479" s="552">
        <f t="shared" si="89"/>
        <v>0</v>
      </c>
      <c r="L1479" s="217"/>
      <c r="M1479" s="211">
        <f t="shared" si="88"/>
        <v>-46136</v>
      </c>
      <c r="N1479" s="683">
        <f t="shared" si="90"/>
        <v>7</v>
      </c>
      <c r="O1479" s="212"/>
      <c r="P1479" s="544"/>
      <c r="Q1479" s="561">
        <f t="shared" si="92"/>
        <v>0</v>
      </c>
      <c r="R1479" s="223"/>
      <c r="S1479" s="223"/>
      <c r="T1479" s="223"/>
      <c r="U1479" s="223"/>
      <c r="V1479" s="223"/>
    </row>
    <row r="1480" spans="1:22" s="280" customFormat="1" ht="15.75" customHeight="1">
      <c r="A1480" s="468" t="s">
        <v>348</v>
      </c>
      <c r="B1480" s="204" t="s">
        <v>184</v>
      </c>
      <c r="C1480" s="527"/>
      <c r="D1480" s="267"/>
      <c r="E1480" s="706"/>
      <c r="F1480" s="267"/>
      <c r="G1480" s="206"/>
      <c r="H1480" s="268"/>
      <c r="I1480" s="500"/>
      <c r="J1480" s="715"/>
      <c r="K1480" s="552">
        <f t="shared" si="89"/>
        <v>0</v>
      </c>
      <c r="L1480" s="217"/>
      <c r="M1480" s="211">
        <f t="shared" si="88"/>
        <v>-46136</v>
      </c>
      <c r="N1480" s="683">
        <f t="shared" si="90"/>
        <v>7</v>
      </c>
      <c r="O1480" s="212"/>
      <c r="P1480" s="544"/>
      <c r="Q1480" s="561">
        <f t="shared" si="92"/>
        <v>0</v>
      </c>
      <c r="R1480" s="223"/>
      <c r="S1480" s="223"/>
      <c r="T1480" s="223"/>
      <c r="U1480" s="223"/>
      <c r="V1480" s="223"/>
    </row>
    <row r="1481" spans="1:22" s="280" customFormat="1" ht="15.75" customHeight="1">
      <c r="A1481" s="468" t="s">
        <v>348</v>
      </c>
      <c r="B1481" s="204" t="s">
        <v>184</v>
      </c>
      <c r="C1481" s="527"/>
      <c r="D1481" s="267"/>
      <c r="E1481" s="706"/>
      <c r="F1481" s="267"/>
      <c r="G1481" s="206"/>
      <c r="H1481" s="268"/>
      <c r="I1481" s="500"/>
      <c r="J1481" s="715"/>
      <c r="K1481" s="552">
        <f t="shared" si="89"/>
        <v>0</v>
      </c>
      <c r="L1481" s="217"/>
      <c r="M1481" s="211">
        <f t="shared" ref="M1481:M1544" si="93">+L1481-$E$6</f>
        <v>-46136</v>
      </c>
      <c r="N1481" s="683">
        <f t="shared" si="90"/>
        <v>7</v>
      </c>
      <c r="O1481" s="212"/>
      <c r="P1481" s="544"/>
      <c r="Q1481" s="561">
        <f t="shared" si="92"/>
        <v>0</v>
      </c>
      <c r="R1481" s="223"/>
      <c r="S1481" s="223"/>
      <c r="T1481" s="223"/>
      <c r="U1481" s="223"/>
      <c r="V1481" s="223"/>
    </row>
    <row r="1482" spans="1:22" s="280" customFormat="1" ht="15.75" customHeight="1">
      <c r="A1482" s="468" t="s">
        <v>348</v>
      </c>
      <c r="B1482" s="204" t="s">
        <v>184</v>
      </c>
      <c r="C1482" s="527"/>
      <c r="D1482" s="267"/>
      <c r="E1482" s="706"/>
      <c r="F1482" s="267"/>
      <c r="G1482" s="206"/>
      <c r="H1482" s="268"/>
      <c r="I1482" s="500"/>
      <c r="J1482" s="715"/>
      <c r="K1482" s="552">
        <f t="shared" ref="K1482:K1545" si="94">-J1482</f>
        <v>0</v>
      </c>
      <c r="L1482" s="217"/>
      <c r="M1482" s="211">
        <f t="shared" si="93"/>
        <v>-46136</v>
      </c>
      <c r="N1482" s="683">
        <f t="shared" ref="N1482:N1545" si="95">+L1482+7</f>
        <v>7</v>
      </c>
      <c r="O1482" s="212"/>
      <c r="P1482" s="544"/>
      <c r="Q1482" s="561">
        <f t="shared" si="92"/>
        <v>0</v>
      </c>
      <c r="R1482" s="223"/>
      <c r="S1482" s="223"/>
      <c r="T1482" s="223"/>
      <c r="U1482" s="223"/>
      <c r="V1482" s="223"/>
    </row>
    <row r="1483" spans="1:22" s="280" customFormat="1" ht="15.75" customHeight="1">
      <c r="A1483" s="468" t="s">
        <v>348</v>
      </c>
      <c r="B1483" s="204" t="s">
        <v>184</v>
      </c>
      <c r="C1483" s="527"/>
      <c r="D1483" s="267"/>
      <c r="E1483" s="706"/>
      <c r="F1483" s="267"/>
      <c r="G1483" s="206"/>
      <c r="H1483" s="268"/>
      <c r="I1483" s="500"/>
      <c r="J1483" s="715"/>
      <c r="K1483" s="552">
        <f t="shared" si="94"/>
        <v>0</v>
      </c>
      <c r="L1483" s="217"/>
      <c r="M1483" s="211">
        <f t="shared" si="93"/>
        <v>-46136</v>
      </c>
      <c r="N1483" s="683">
        <f t="shared" si="95"/>
        <v>7</v>
      </c>
      <c r="O1483" s="212"/>
      <c r="P1483" s="544"/>
      <c r="Q1483" s="561">
        <f t="shared" si="92"/>
        <v>0</v>
      </c>
      <c r="R1483" s="223"/>
      <c r="S1483" s="223"/>
      <c r="T1483" s="223"/>
      <c r="U1483" s="223"/>
      <c r="V1483" s="223"/>
    </row>
    <row r="1484" spans="1:22" s="280" customFormat="1" ht="15.75" customHeight="1">
      <c r="A1484" s="468" t="s">
        <v>348</v>
      </c>
      <c r="B1484" s="204" t="s">
        <v>184</v>
      </c>
      <c r="C1484" s="527"/>
      <c r="D1484" s="267"/>
      <c r="E1484" s="706"/>
      <c r="F1484" s="267"/>
      <c r="G1484" s="206"/>
      <c r="H1484" s="268"/>
      <c r="I1484" s="500"/>
      <c r="J1484" s="715"/>
      <c r="K1484" s="552">
        <f t="shared" si="94"/>
        <v>0</v>
      </c>
      <c r="L1484" s="217"/>
      <c r="M1484" s="211">
        <f t="shared" si="93"/>
        <v>-46136</v>
      </c>
      <c r="N1484" s="683">
        <f t="shared" si="95"/>
        <v>7</v>
      </c>
      <c r="O1484" s="212"/>
      <c r="P1484" s="544"/>
      <c r="Q1484" s="561">
        <f t="shared" si="92"/>
        <v>0</v>
      </c>
      <c r="R1484" s="223"/>
      <c r="S1484" s="223"/>
      <c r="T1484" s="223"/>
      <c r="U1484" s="223"/>
      <c r="V1484" s="223"/>
    </row>
    <row r="1485" spans="1:22" s="280" customFormat="1" ht="15.75" customHeight="1">
      <c r="A1485" s="468" t="s">
        <v>348</v>
      </c>
      <c r="B1485" s="204" t="s">
        <v>184</v>
      </c>
      <c r="C1485" s="527"/>
      <c r="D1485" s="267"/>
      <c r="E1485" s="706"/>
      <c r="F1485" s="267"/>
      <c r="G1485" s="206"/>
      <c r="H1485" s="268"/>
      <c r="I1485" s="500"/>
      <c r="J1485" s="715"/>
      <c r="K1485" s="552">
        <f t="shared" si="94"/>
        <v>0</v>
      </c>
      <c r="L1485" s="217"/>
      <c r="M1485" s="211">
        <f t="shared" si="93"/>
        <v>-46136</v>
      </c>
      <c r="N1485" s="683">
        <f t="shared" si="95"/>
        <v>7</v>
      </c>
      <c r="O1485" s="212"/>
      <c r="P1485" s="544"/>
      <c r="Q1485" s="561">
        <f t="shared" si="92"/>
        <v>0</v>
      </c>
      <c r="R1485" s="223"/>
      <c r="S1485" s="223"/>
      <c r="T1485" s="223"/>
      <c r="U1485" s="223"/>
      <c r="V1485" s="223"/>
    </row>
    <row r="1486" spans="1:22" s="280" customFormat="1" ht="15.75" customHeight="1">
      <c r="A1486" s="468" t="s">
        <v>348</v>
      </c>
      <c r="B1486" s="204" t="s">
        <v>184</v>
      </c>
      <c r="C1486" s="527"/>
      <c r="D1486" s="267"/>
      <c r="E1486" s="706"/>
      <c r="F1486" s="267"/>
      <c r="G1486" s="206"/>
      <c r="H1486" s="268"/>
      <c r="I1486" s="502"/>
      <c r="J1486" s="715"/>
      <c r="K1486" s="552">
        <f t="shared" si="94"/>
        <v>0</v>
      </c>
      <c r="L1486" s="217"/>
      <c r="M1486" s="211">
        <f t="shared" si="93"/>
        <v>-46136</v>
      </c>
      <c r="N1486" s="683">
        <f t="shared" si="95"/>
        <v>7</v>
      </c>
      <c r="O1486" s="212"/>
      <c r="P1486" s="544"/>
      <c r="Q1486" s="561">
        <f t="shared" si="92"/>
        <v>0</v>
      </c>
      <c r="R1486" s="223"/>
      <c r="S1486" s="223"/>
      <c r="T1486" s="223"/>
      <c r="U1486" s="223"/>
      <c r="V1486" s="223"/>
    </row>
    <row r="1487" spans="1:22" s="280" customFormat="1" ht="15.75" customHeight="1">
      <c r="A1487" s="468" t="s">
        <v>348</v>
      </c>
      <c r="B1487" s="204" t="s">
        <v>184</v>
      </c>
      <c r="C1487" s="527"/>
      <c r="D1487" s="267"/>
      <c r="E1487" s="706"/>
      <c r="F1487" s="267"/>
      <c r="G1487" s="206"/>
      <c r="H1487" s="268"/>
      <c r="I1487" s="500"/>
      <c r="J1487" s="715"/>
      <c r="K1487" s="552">
        <f t="shared" si="94"/>
        <v>0</v>
      </c>
      <c r="L1487" s="217"/>
      <c r="M1487" s="211">
        <f t="shared" si="93"/>
        <v>-46136</v>
      </c>
      <c r="N1487" s="683">
        <f t="shared" si="95"/>
        <v>7</v>
      </c>
      <c r="O1487" s="212"/>
      <c r="P1487" s="544"/>
      <c r="Q1487" s="561">
        <f t="shared" si="92"/>
        <v>0</v>
      </c>
      <c r="R1487" s="223"/>
      <c r="S1487" s="223"/>
      <c r="T1487" s="223"/>
      <c r="U1487" s="223"/>
      <c r="V1487" s="223"/>
    </row>
    <row r="1488" spans="1:22" s="280" customFormat="1" ht="15.75" customHeight="1">
      <c r="A1488" s="468" t="s">
        <v>348</v>
      </c>
      <c r="B1488" s="204" t="s">
        <v>184</v>
      </c>
      <c r="C1488" s="527"/>
      <c r="D1488" s="267"/>
      <c r="E1488" s="706"/>
      <c r="F1488" s="267"/>
      <c r="G1488" s="206"/>
      <c r="H1488" s="268"/>
      <c r="I1488" s="500"/>
      <c r="J1488" s="715"/>
      <c r="K1488" s="552">
        <f t="shared" si="94"/>
        <v>0</v>
      </c>
      <c r="L1488" s="217"/>
      <c r="M1488" s="211">
        <f t="shared" si="93"/>
        <v>-46136</v>
      </c>
      <c r="N1488" s="683">
        <f t="shared" si="95"/>
        <v>7</v>
      </c>
      <c r="O1488" s="212"/>
      <c r="P1488" s="544"/>
      <c r="Q1488" s="561">
        <f t="shared" si="92"/>
        <v>0</v>
      </c>
      <c r="R1488" s="223"/>
      <c r="S1488" s="223"/>
      <c r="T1488" s="223"/>
      <c r="U1488" s="223"/>
      <c r="V1488" s="223"/>
    </row>
    <row r="1489" spans="1:22" s="280" customFormat="1" ht="15.75" customHeight="1">
      <c r="A1489" s="468" t="s">
        <v>348</v>
      </c>
      <c r="B1489" s="204" t="s">
        <v>184</v>
      </c>
      <c r="C1489" s="527"/>
      <c r="D1489" s="267"/>
      <c r="E1489" s="706"/>
      <c r="F1489" s="267"/>
      <c r="G1489" s="206"/>
      <c r="H1489" s="268"/>
      <c r="I1489" s="502"/>
      <c r="J1489" s="715"/>
      <c r="K1489" s="552">
        <f t="shared" si="94"/>
        <v>0</v>
      </c>
      <c r="L1489" s="217"/>
      <c r="M1489" s="211">
        <f t="shared" si="93"/>
        <v>-46136</v>
      </c>
      <c r="N1489" s="683">
        <f t="shared" si="95"/>
        <v>7</v>
      </c>
      <c r="O1489" s="212"/>
      <c r="P1489" s="544"/>
      <c r="Q1489" s="561">
        <f t="shared" si="92"/>
        <v>0</v>
      </c>
      <c r="R1489" s="223"/>
      <c r="S1489" s="223"/>
      <c r="T1489" s="223"/>
      <c r="U1489" s="223"/>
      <c r="V1489" s="223"/>
    </row>
    <row r="1490" spans="1:22" s="280" customFormat="1" ht="15.75" customHeight="1">
      <c r="A1490" s="468" t="s">
        <v>348</v>
      </c>
      <c r="B1490" s="204" t="s">
        <v>184</v>
      </c>
      <c r="C1490" s="527"/>
      <c r="D1490" s="267"/>
      <c r="E1490" s="706"/>
      <c r="F1490" s="267"/>
      <c r="G1490" s="206"/>
      <c r="H1490" s="268"/>
      <c r="I1490" s="502"/>
      <c r="J1490" s="715"/>
      <c r="K1490" s="552">
        <f t="shared" si="94"/>
        <v>0</v>
      </c>
      <c r="L1490" s="217"/>
      <c r="M1490" s="211">
        <f t="shared" si="93"/>
        <v>-46136</v>
      </c>
      <c r="N1490" s="683">
        <f t="shared" si="95"/>
        <v>7</v>
      </c>
      <c r="O1490" s="212"/>
      <c r="P1490" s="544"/>
      <c r="Q1490" s="561">
        <f t="shared" si="92"/>
        <v>0</v>
      </c>
      <c r="R1490" s="223"/>
      <c r="S1490" s="223"/>
      <c r="T1490" s="223"/>
      <c r="U1490" s="223"/>
      <c r="V1490" s="223"/>
    </row>
    <row r="1491" spans="1:22" s="280" customFormat="1" ht="15.75" customHeight="1">
      <c r="A1491" s="468" t="s">
        <v>348</v>
      </c>
      <c r="B1491" s="204" t="s">
        <v>184</v>
      </c>
      <c r="C1491" s="527"/>
      <c r="D1491" s="267"/>
      <c r="E1491" s="706"/>
      <c r="F1491" s="267"/>
      <c r="G1491" s="206"/>
      <c r="H1491" s="268"/>
      <c r="I1491" s="500"/>
      <c r="J1491" s="715"/>
      <c r="K1491" s="552">
        <f t="shared" si="94"/>
        <v>0</v>
      </c>
      <c r="L1491" s="217"/>
      <c r="M1491" s="211">
        <f t="shared" si="93"/>
        <v>-46136</v>
      </c>
      <c r="N1491" s="683">
        <f t="shared" si="95"/>
        <v>7</v>
      </c>
      <c r="O1491" s="212"/>
      <c r="P1491" s="544"/>
      <c r="Q1491" s="561">
        <f t="shared" si="92"/>
        <v>0</v>
      </c>
      <c r="R1491" s="223"/>
      <c r="S1491" s="223"/>
      <c r="T1491" s="223"/>
      <c r="U1491" s="223"/>
      <c r="V1491" s="223"/>
    </row>
    <row r="1492" spans="1:22" s="280" customFormat="1" ht="15.75" customHeight="1">
      <c r="A1492" s="468" t="s">
        <v>348</v>
      </c>
      <c r="B1492" s="204" t="s">
        <v>184</v>
      </c>
      <c r="C1492" s="527"/>
      <c r="D1492" s="267"/>
      <c r="E1492" s="706"/>
      <c r="F1492" s="267"/>
      <c r="G1492" s="206"/>
      <c r="H1492" s="268"/>
      <c r="I1492" s="500"/>
      <c r="J1492" s="715"/>
      <c r="K1492" s="552">
        <f t="shared" si="94"/>
        <v>0</v>
      </c>
      <c r="L1492" s="217"/>
      <c r="M1492" s="211">
        <f t="shared" si="93"/>
        <v>-46136</v>
      </c>
      <c r="N1492" s="683">
        <f t="shared" si="95"/>
        <v>7</v>
      </c>
      <c r="O1492" s="212"/>
      <c r="P1492" s="544"/>
      <c r="Q1492" s="561">
        <f t="shared" si="92"/>
        <v>0</v>
      </c>
      <c r="R1492" s="223"/>
      <c r="S1492" s="223"/>
      <c r="T1492" s="223"/>
      <c r="U1492" s="223"/>
      <c r="V1492" s="223"/>
    </row>
    <row r="1493" spans="1:22" s="280" customFormat="1" ht="15.75" customHeight="1">
      <c r="A1493" s="468" t="s">
        <v>348</v>
      </c>
      <c r="B1493" s="204" t="s">
        <v>184</v>
      </c>
      <c r="C1493" s="527"/>
      <c r="D1493" s="267"/>
      <c r="E1493" s="706"/>
      <c r="F1493" s="267"/>
      <c r="G1493" s="206"/>
      <c r="H1493" s="268"/>
      <c r="I1493" s="502"/>
      <c r="J1493" s="715"/>
      <c r="K1493" s="552">
        <f t="shared" si="94"/>
        <v>0</v>
      </c>
      <c r="L1493" s="217"/>
      <c r="M1493" s="211">
        <f t="shared" si="93"/>
        <v>-46136</v>
      </c>
      <c r="N1493" s="683">
        <f t="shared" si="95"/>
        <v>7</v>
      </c>
      <c r="O1493" s="212"/>
      <c r="P1493" s="544"/>
      <c r="Q1493" s="561">
        <f t="shared" si="92"/>
        <v>0</v>
      </c>
      <c r="R1493" s="223"/>
      <c r="S1493" s="223"/>
      <c r="T1493" s="223"/>
      <c r="U1493" s="223"/>
      <c r="V1493" s="223"/>
    </row>
    <row r="1494" spans="1:22" s="280" customFormat="1" ht="15.75" customHeight="1">
      <c r="A1494" s="468" t="s">
        <v>348</v>
      </c>
      <c r="B1494" s="204" t="s">
        <v>184</v>
      </c>
      <c r="C1494" s="527"/>
      <c r="D1494" s="267"/>
      <c r="E1494" s="706"/>
      <c r="F1494" s="267"/>
      <c r="G1494" s="206"/>
      <c r="H1494" s="268"/>
      <c r="I1494" s="500"/>
      <c r="J1494" s="715"/>
      <c r="K1494" s="552">
        <f t="shared" si="94"/>
        <v>0</v>
      </c>
      <c r="L1494" s="217"/>
      <c r="M1494" s="211">
        <f t="shared" si="93"/>
        <v>-46136</v>
      </c>
      <c r="N1494" s="683">
        <f t="shared" si="95"/>
        <v>7</v>
      </c>
      <c r="O1494" s="212"/>
      <c r="P1494" s="544"/>
      <c r="Q1494" s="561">
        <f t="shared" si="92"/>
        <v>0</v>
      </c>
      <c r="R1494" s="223"/>
      <c r="S1494" s="223"/>
      <c r="T1494" s="223"/>
      <c r="U1494" s="223"/>
      <c r="V1494" s="223"/>
    </row>
    <row r="1495" spans="1:22" s="280" customFormat="1" ht="15.75" customHeight="1">
      <c r="A1495" s="468" t="s">
        <v>348</v>
      </c>
      <c r="B1495" s="204" t="s">
        <v>184</v>
      </c>
      <c r="C1495" s="527"/>
      <c r="D1495" s="267"/>
      <c r="E1495" s="706"/>
      <c r="F1495" s="267"/>
      <c r="G1495" s="206"/>
      <c r="H1495" s="268"/>
      <c r="I1495" s="500"/>
      <c r="J1495" s="715"/>
      <c r="K1495" s="552">
        <f t="shared" si="94"/>
        <v>0</v>
      </c>
      <c r="L1495" s="217"/>
      <c r="M1495" s="211">
        <f t="shared" si="93"/>
        <v>-46136</v>
      </c>
      <c r="N1495" s="683">
        <f t="shared" si="95"/>
        <v>7</v>
      </c>
      <c r="O1495" s="212"/>
      <c r="P1495" s="544"/>
      <c r="Q1495" s="561">
        <f t="shared" si="92"/>
        <v>0</v>
      </c>
      <c r="R1495" s="223"/>
      <c r="S1495" s="223"/>
      <c r="T1495" s="223"/>
      <c r="U1495" s="223"/>
      <c r="V1495" s="223"/>
    </row>
    <row r="1496" spans="1:22" s="280" customFormat="1" ht="15.75" customHeight="1">
      <c r="A1496" s="468" t="s">
        <v>348</v>
      </c>
      <c r="B1496" s="204" t="s">
        <v>184</v>
      </c>
      <c r="C1496" s="527"/>
      <c r="D1496" s="267"/>
      <c r="E1496" s="706"/>
      <c r="F1496" s="267"/>
      <c r="G1496" s="206"/>
      <c r="H1496" s="268"/>
      <c r="I1496" s="500"/>
      <c r="J1496" s="715"/>
      <c r="K1496" s="552">
        <f t="shared" si="94"/>
        <v>0</v>
      </c>
      <c r="L1496" s="217"/>
      <c r="M1496" s="211">
        <f t="shared" si="93"/>
        <v>-46136</v>
      </c>
      <c r="N1496" s="683">
        <f t="shared" si="95"/>
        <v>7</v>
      </c>
      <c r="O1496" s="212"/>
      <c r="P1496" s="544"/>
      <c r="Q1496" s="561">
        <f t="shared" si="92"/>
        <v>0</v>
      </c>
      <c r="R1496" s="223"/>
      <c r="S1496" s="223"/>
      <c r="T1496" s="223"/>
      <c r="U1496" s="223"/>
      <c r="V1496" s="223"/>
    </row>
    <row r="1497" spans="1:22" s="280" customFormat="1" ht="15.75" customHeight="1">
      <c r="A1497" s="468" t="s">
        <v>348</v>
      </c>
      <c r="B1497" s="204" t="s">
        <v>184</v>
      </c>
      <c r="C1497" s="527"/>
      <c r="D1497" s="267"/>
      <c r="E1497" s="706"/>
      <c r="F1497" s="267"/>
      <c r="G1497" s="206"/>
      <c r="H1497" s="268"/>
      <c r="I1497" s="500"/>
      <c r="J1497" s="715"/>
      <c r="K1497" s="552">
        <f t="shared" si="94"/>
        <v>0</v>
      </c>
      <c r="L1497" s="217"/>
      <c r="M1497" s="211">
        <f t="shared" si="93"/>
        <v>-46136</v>
      </c>
      <c r="N1497" s="683">
        <f t="shared" si="95"/>
        <v>7</v>
      </c>
      <c r="O1497" s="212"/>
      <c r="P1497" s="544"/>
      <c r="Q1497" s="561">
        <f t="shared" si="92"/>
        <v>0</v>
      </c>
      <c r="R1497" s="223"/>
      <c r="S1497" s="223"/>
      <c r="T1497" s="223"/>
      <c r="U1497" s="223"/>
      <c r="V1497" s="223"/>
    </row>
    <row r="1498" spans="1:22" s="280" customFormat="1" ht="15.75" customHeight="1">
      <c r="A1498" s="468" t="s">
        <v>348</v>
      </c>
      <c r="B1498" s="204" t="s">
        <v>184</v>
      </c>
      <c r="C1498" s="527"/>
      <c r="D1498" s="267"/>
      <c r="E1498" s="706"/>
      <c r="F1498" s="267"/>
      <c r="G1498" s="206"/>
      <c r="H1498" s="268"/>
      <c r="I1498" s="500"/>
      <c r="J1498" s="715"/>
      <c r="K1498" s="552">
        <f t="shared" si="94"/>
        <v>0</v>
      </c>
      <c r="L1498" s="217"/>
      <c r="M1498" s="211">
        <f t="shared" si="93"/>
        <v>-46136</v>
      </c>
      <c r="N1498" s="683">
        <f t="shared" si="95"/>
        <v>7</v>
      </c>
      <c r="O1498" s="212"/>
      <c r="P1498" s="544"/>
      <c r="Q1498" s="561">
        <f t="shared" si="92"/>
        <v>0</v>
      </c>
      <c r="R1498" s="223"/>
      <c r="S1498" s="223"/>
      <c r="T1498" s="223"/>
      <c r="U1498" s="223"/>
      <c r="V1498" s="223"/>
    </row>
    <row r="1499" spans="1:22" s="280" customFormat="1" ht="15.75" customHeight="1">
      <c r="A1499" s="468" t="s">
        <v>348</v>
      </c>
      <c r="B1499" s="204" t="s">
        <v>184</v>
      </c>
      <c r="C1499" s="527"/>
      <c r="D1499" s="267"/>
      <c r="E1499" s="706"/>
      <c r="F1499" s="267"/>
      <c r="G1499" s="206"/>
      <c r="H1499" s="268"/>
      <c r="I1499" s="502"/>
      <c r="J1499" s="715"/>
      <c r="K1499" s="552">
        <f t="shared" si="94"/>
        <v>0</v>
      </c>
      <c r="L1499" s="217"/>
      <c r="M1499" s="211">
        <f t="shared" si="93"/>
        <v>-46136</v>
      </c>
      <c r="N1499" s="683">
        <f t="shared" si="95"/>
        <v>7</v>
      </c>
      <c r="O1499" s="212"/>
      <c r="P1499" s="544"/>
      <c r="Q1499" s="561">
        <f t="shared" si="92"/>
        <v>0</v>
      </c>
      <c r="R1499" s="223"/>
      <c r="S1499" s="223"/>
      <c r="T1499" s="223"/>
      <c r="U1499" s="223"/>
      <c r="V1499" s="223"/>
    </row>
    <row r="1500" spans="1:22" s="280" customFormat="1" ht="15.75" customHeight="1">
      <c r="A1500" s="468" t="s">
        <v>348</v>
      </c>
      <c r="B1500" s="204" t="s">
        <v>184</v>
      </c>
      <c r="C1500" s="527"/>
      <c r="D1500" s="267"/>
      <c r="E1500" s="706"/>
      <c r="F1500" s="267"/>
      <c r="G1500" s="206"/>
      <c r="H1500" s="268"/>
      <c r="I1500" s="500"/>
      <c r="J1500" s="715"/>
      <c r="K1500" s="552">
        <f t="shared" si="94"/>
        <v>0</v>
      </c>
      <c r="L1500" s="217"/>
      <c r="M1500" s="211">
        <f t="shared" si="93"/>
        <v>-46136</v>
      </c>
      <c r="N1500" s="683">
        <f t="shared" si="95"/>
        <v>7</v>
      </c>
      <c r="O1500" s="212"/>
      <c r="P1500" s="544"/>
      <c r="Q1500" s="561">
        <f t="shared" si="92"/>
        <v>0</v>
      </c>
      <c r="R1500" s="223"/>
      <c r="S1500" s="223"/>
      <c r="T1500" s="223"/>
      <c r="U1500" s="223"/>
      <c r="V1500" s="223"/>
    </row>
    <row r="1501" spans="1:22" s="280" customFormat="1" ht="15.75" customHeight="1">
      <c r="A1501" s="468" t="s">
        <v>348</v>
      </c>
      <c r="B1501" s="204" t="s">
        <v>184</v>
      </c>
      <c r="C1501" s="527"/>
      <c r="D1501" s="267"/>
      <c r="E1501" s="706"/>
      <c r="F1501" s="267"/>
      <c r="G1501" s="206"/>
      <c r="H1501" s="268"/>
      <c r="I1501" s="501"/>
      <c r="J1501" s="715"/>
      <c r="K1501" s="552">
        <f t="shared" si="94"/>
        <v>0</v>
      </c>
      <c r="L1501" s="217"/>
      <c r="M1501" s="211">
        <f t="shared" si="93"/>
        <v>-46136</v>
      </c>
      <c r="N1501" s="683">
        <f t="shared" si="95"/>
        <v>7</v>
      </c>
      <c r="O1501" s="212"/>
      <c r="P1501" s="544"/>
      <c r="Q1501" s="561">
        <f t="shared" si="92"/>
        <v>0</v>
      </c>
      <c r="R1501" s="223"/>
      <c r="S1501" s="223"/>
      <c r="T1501" s="223"/>
      <c r="U1501" s="223"/>
      <c r="V1501" s="223"/>
    </row>
    <row r="1502" spans="1:22" s="280" customFormat="1" ht="15.75" customHeight="1">
      <c r="A1502" s="468" t="s">
        <v>348</v>
      </c>
      <c r="B1502" s="204" t="s">
        <v>184</v>
      </c>
      <c r="C1502" s="527"/>
      <c r="D1502" s="267"/>
      <c r="E1502" s="706"/>
      <c r="F1502" s="267"/>
      <c r="G1502" s="206"/>
      <c r="H1502" s="268"/>
      <c r="I1502" s="500"/>
      <c r="J1502" s="715"/>
      <c r="K1502" s="552">
        <f t="shared" si="94"/>
        <v>0</v>
      </c>
      <c r="L1502" s="217"/>
      <c r="M1502" s="211">
        <f t="shared" si="93"/>
        <v>-46136</v>
      </c>
      <c r="N1502" s="683">
        <f t="shared" si="95"/>
        <v>7</v>
      </c>
      <c r="O1502" s="212"/>
      <c r="P1502" s="544"/>
      <c r="Q1502" s="561">
        <f t="shared" si="92"/>
        <v>0</v>
      </c>
      <c r="R1502" s="223"/>
      <c r="S1502" s="223"/>
      <c r="T1502" s="223"/>
      <c r="U1502" s="223"/>
      <c r="V1502" s="223"/>
    </row>
    <row r="1503" spans="1:22" s="280" customFormat="1" ht="15.75" customHeight="1">
      <c r="A1503" s="468" t="s">
        <v>348</v>
      </c>
      <c r="B1503" s="204" t="s">
        <v>184</v>
      </c>
      <c r="C1503" s="527"/>
      <c r="D1503" s="267"/>
      <c r="E1503" s="706"/>
      <c r="F1503" s="267"/>
      <c r="G1503" s="206"/>
      <c r="H1503" s="268"/>
      <c r="I1503" s="501"/>
      <c r="J1503" s="715"/>
      <c r="K1503" s="552">
        <f t="shared" si="94"/>
        <v>0</v>
      </c>
      <c r="L1503" s="217"/>
      <c r="M1503" s="211">
        <f t="shared" si="93"/>
        <v>-46136</v>
      </c>
      <c r="N1503" s="683">
        <f t="shared" si="95"/>
        <v>7</v>
      </c>
      <c r="O1503" s="212"/>
      <c r="P1503" s="544"/>
      <c r="Q1503" s="561">
        <f t="shared" si="92"/>
        <v>0</v>
      </c>
      <c r="R1503" s="223"/>
      <c r="S1503" s="223"/>
      <c r="T1503" s="223"/>
      <c r="U1503" s="223"/>
      <c r="V1503" s="223"/>
    </row>
    <row r="1504" spans="1:22" s="280" customFormat="1" ht="15.75" customHeight="1">
      <c r="A1504" s="468" t="s">
        <v>348</v>
      </c>
      <c r="B1504" s="204" t="s">
        <v>184</v>
      </c>
      <c r="C1504" s="527"/>
      <c r="D1504" s="267"/>
      <c r="E1504" s="706"/>
      <c r="F1504" s="267"/>
      <c r="G1504" s="206"/>
      <c r="H1504" s="268"/>
      <c r="I1504" s="500"/>
      <c r="J1504" s="715"/>
      <c r="K1504" s="552">
        <f t="shared" si="94"/>
        <v>0</v>
      </c>
      <c r="L1504" s="217"/>
      <c r="M1504" s="211">
        <f t="shared" si="93"/>
        <v>-46136</v>
      </c>
      <c r="N1504" s="683">
        <f t="shared" si="95"/>
        <v>7</v>
      </c>
      <c r="O1504" s="212"/>
      <c r="P1504" s="544"/>
      <c r="Q1504" s="561">
        <f t="shared" si="92"/>
        <v>0</v>
      </c>
      <c r="R1504" s="223"/>
      <c r="S1504" s="223"/>
      <c r="T1504" s="223"/>
      <c r="U1504" s="223"/>
      <c r="V1504" s="223"/>
    </row>
    <row r="1505" spans="1:22" s="280" customFormat="1" ht="15.75" customHeight="1">
      <c r="A1505" s="468" t="s">
        <v>348</v>
      </c>
      <c r="B1505" s="204" t="s">
        <v>184</v>
      </c>
      <c r="C1505" s="527"/>
      <c r="D1505" s="267"/>
      <c r="E1505" s="706"/>
      <c r="F1505" s="267"/>
      <c r="G1505" s="206"/>
      <c r="H1505" s="268"/>
      <c r="I1505" s="501"/>
      <c r="J1505" s="715"/>
      <c r="K1505" s="552">
        <f t="shared" si="94"/>
        <v>0</v>
      </c>
      <c r="L1505" s="217"/>
      <c r="M1505" s="211">
        <f t="shared" si="93"/>
        <v>-46136</v>
      </c>
      <c r="N1505" s="683">
        <f t="shared" si="95"/>
        <v>7</v>
      </c>
      <c r="O1505" s="212"/>
      <c r="P1505" s="544"/>
      <c r="Q1505" s="561">
        <f t="shared" si="92"/>
        <v>0</v>
      </c>
      <c r="R1505" s="223"/>
      <c r="S1505" s="223"/>
      <c r="T1505" s="223"/>
      <c r="U1505" s="223"/>
      <c r="V1505" s="223"/>
    </row>
    <row r="1506" spans="1:22" s="280" customFormat="1" ht="15.75" customHeight="1">
      <c r="A1506" s="468" t="s">
        <v>348</v>
      </c>
      <c r="B1506" s="204" t="s">
        <v>184</v>
      </c>
      <c r="C1506" s="527"/>
      <c r="D1506" s="267"/>
      <c r="E1506" s="706"/>
      <c r="F1506" s="267"/>
      <c r="G1506" s="206"/>
      <c r="H1506" s="268"/>
      <c r="I1506" s="500"/>
      <c r="J1506" s="715"/>
      <c r="K1506" s="552">
        <f t="shared" si="94"/>
        <v>0</v>
      </c>
      <c r="L1506" s="217"/>
      <c r="M1506" s="211">
        <f t="shared" si="93"/>
        <v>-46136</v>
      </c>
      <c r="N1506" s="683">
        <f t="shared" si="95"/>
        <v>7</v>
      </c>
      <c r="O1506" s="212"/>
      <c r="P1506" s="544"/>
      <c r="Q1506" s="561">
        <f t="shared" si="92"/>
        <v>0</v>
      </c>
      <c r="R1506" s="223"/>
      <c r="S1506" s="223"/>
      <c r="T1506" s="223"/>
      <c r="U1506" s="223"/>
      <c r="V1506" s="223"/>
    </row>
    <row r="1507" spans="1:22" s="280" customFormat="1" ht="15.75" customHeight="1">
      <c r="A1507" s="468" t="s">
        <v>348</v>
      </c>
      <c r="B1507" s="204" t="s">
        <v>184</v>
      </c>
      <c r="C1507" s="527"/>
      <c r="D1507" s="267"/>
      <c r="E1507" s="706"/>
      <c r="F1507" s="267"/>
      <c r="G1507" s="206"/>
      <c r="H1507" s="268"/>
      <c r="I1507" s="500"/>
      <c r="J1507" s="715"/>
      <c r="K1507" s="552">
        <f t="shared" si="94"/>
        <v>0</v>
      </c>
      <c r="L1507" s="217"/>
      <c r="M1507" s="211">
        <f t="shared" si="93"/>
        <v>-46136</v>
      </c>
      <c r="N1507" s="683">
        <f t="shared" si="95"/>
        <v>7</v>
      </c>
      <c r="O1507" s="212"/>
      <c r="P1507" s="544"/>
      <c r="Q1507" s="561">
        <f t="shared" si="92"/>
        <v>0</v>
      </c>
      <c r="R1507" s="223"/>
      <c r="S1507" s="223"/>
      <c r="T1507" s="223"/>
      <c r="U1507" s="223"/>
      <c r="V1507" s="223"/>
    </row>
    <row r="1508" spans="1:22" s="280" customFormat="1" ht="15.75" customHeight="1">
      <c r="A1508" s="468" t="s">
        <v>348</v>
      </c>
      <c r="B1508" s="204" t="s">
        <v>184</v>
      </c>
      <c r="C1508" s="527"/>
      <c r="D1508" s="267"/>
      <c r="E1508" s="706"/>
      <c r="F1508" s="267"/>
      <c r="G1508" s="206"/>
      <c r="H1508" s="268"/>
      <c r="I1508" s="500"/>
      <c r="J1508" s="715"/>
      <c r="K1508" s="552">
        <f t="shared" si="94"/>
        <v>0</v>
      </c>
      <c r="L1508" s="217"/>
      <c r="M1508" s="211">
        <f t="shared" si="93"/>
        <v>-46136</v>
      </c>
      <c r="N1508" s="683">
        <f t="shared" si="95"/>
        <v>7</v>
      </c>
      <c r="O1508" s="212"/>
      <c r="P1508" s="544"/>
      <c r="Q1508" s="561">
        <f t="shared" ref="Q1508:Q1572" si="96">+K1508+J1508</f>
        <v>0</v>
      </c>
      <c r="R1508" s="223"/>
      <c r="S1508" s="223"/>
      <c r="T1508" s="223"/>
      <c r="U1508" s="223"/>
      <c r="V1508" s="223"/>
    </row>
    <row r="1509" spans="1:22" s="280" customFormat="1" ht="15.75" customHeight="1">
      <c r="A1509" s="468" t="s">
        <v>348</v>
      </c>
      <c r="B1509" s="204" t="s">
        <v>184</v>
      </c>
      <c r="C1509" s="527"/>
      <c r="D1509" s="267"/>
      <c r="E1509" s="706"/>
      <c r="F1509" s="267"/>
      <c r="G1509" s="206"/>
      <c r="H1509" s="268"/>
      <c r="I1509" s="500"/>
      <c r="J1509" s="715"/>
      <c r="K1509" s="552">
        <f t="shared" si="94"/>
        <v>0</v>
      </c>
      <c r="L1509" s="217"/>
      <c r="M1509" s="211">
        <f t="shared" si="93"/>
        <v>-46136</v>
      </c>
      <c r="N1509" s="683">
        <f t="shared" si="95"/>
        <v>7</v>
      </c>
      <c r="O1509" s="212"/>
      <c r="P1509" s="544"/>
      <c r="Q1509" s="561">
        <f t="shared" si="96"/>
        <v>0</v>
      </c>
      <c r="R1509" s="223"/>
      <c r="S1509" s="223"/>
      <c r="T1509" s="223"/>
      <c r="U1509" s="223"/>
      <c r="V1509" s="223"/>
    </row>
    <row r="1510" spans="1:22" s="739" customFormat="1" ht="15.75" customHeight="1">
      <c r="A1510" s="468" t="s">
        <v>348</v>
      </c>
      <c r="B1510" s="204" t="s">
        <v>184</v>
      </c>
      <c r="C1510" s="527"/>
      <c r="D1510" s="205"/>
      <c r="E1510" s="706"/>
      <c r="F1510" s="205"/>
      <c r="G1510" s="206"/>
      <c r="H1510" s="268"/>
      <c r="I1510" s="500"/>
      <c r="J1510" s="715"/>
      <c r="K1510" s="552">
        <f t="shared" si="94"/>
        <v>0</v>
      </c>
      <c r="L1510" s="217"/>
      <c r="M1510" s="211">
        <f t="shared" si="93"/>
        <v>-46136</v>
      </c>
      <c r="N1510" s="683">
        <f t="shared" si="95"/>
        <v>7</v>
      </c>
      <c r="O1510" s="212"/>
      <c r="P1510" s="544"/>
      <c r="Q1510" s="561">
        <f>+K1510+J1510</f>
        <v>0</v>
      </c>
      <c r="R1510" s="223"/>
      <c r="S1510" s="223"/>
      <c r="T1510" s="223"/>
      <c r="U1510" s="223"/>
      <c r="V1510" s="223"/>
    </row>
    <row r="1511" spans="1:22" s="280" customFormat="1" ht="15.75" customHeight="1">
      <c r="A1511" s="468" t="s">
        <v>348</v>
      </c>
      <c r="B1511" s="204" t="s">
        <v>184</v>
      </c>
      <c r="C1511" s="527"/>
      <c r="D1511" s="267"/>
      <c r="E1511" s="706"/>
      <c r="F1511" s="267"/>
      <c r="G1511" s="206"/>
      <c r="H1511" s="268"/>
      <c r="I1511" s="500"/>
      <c r="J1511" s="715"/>
      <c r="K1511" s="552">
        <f t="shared" si="94"/>
        <v>0</v>
      </c>
      <c r="L1511" s="217"/>
      <c r="M1511" s="211">
        <f t="shared" si="93"/>
        <v>-46136</v>
      </c>
      <c r="N1511" s="683">
        <f t="shared" si="95"/>
        <v>7</v>
      </c>
      <c r="O1511" s="212"/>
      <c r="P1511" s="544"/>
      <c r="Q1511" s="561">
        <f t="shared" si="96"/>
        <v>0</v>
      </c>
      <c r="R1511" s="223"/>
      <c r="S1511" s="223"/>
      <c r="T1511" s="223"/>
      <c r="U1511" s="223"/>
      <c r="V1511" s="223"/>
    </row>
    <row r="1512" spans="1:22" s="280" customFormat="1" ht="15.75" customHeight="1">
      <c r="A1512" s="468" t="s">
        <v>348</v>
      </c>
      <c r="B1512" s="204" t="s">
        <v>184</v>
      </c>
      <c r="C1512" s="527"/>
      <c r="D1512" s="267"/>
      <c r="E1512" s="706"/>
      <c r="F1512" s="267"/>
      <c r="G1512" s="206"/>
      <c r="H1512" s="268"/>
      <c r="I1512" s="500"/>
      <c r="J1512" s="715"/>
      <c r="K1512" s="552">
        <f t="shared" si="94"/>
        <v>0</v>
      </c>
      <c r="L1512" s="217"/>
      <c r="M1512" s="211">
        <f t="shared" si="93"/>
        <v>-46136</v>
      </c>
      <c r="N1512" s="683">
        <f t="shared" si="95"/>
        <v>7</v>
      </c>
      <c r="O1512" s="212"/>
      <c r="P1512" s="544"/>
      <c r="Q1512" s="561">
        <f t="shared" si="96"/>
        <v>0</v>
      </c>
      <c r="R1512" s="223"/>
      <c r="S1512" s="223"/>
      <c r="T1512" s="223"/>
      <c r="U1512" s="223"/>
      <c r="V1512" s="223"/>
    </row>
    <row r="1513" spans="1:22" s="280" customFormat="1" ht="15.75" customHeight="1">
      <c r="A1513" s="468" t="s">
        <v>348</v>
      </c>
      <c r="B1513" s="204" t="s">
        <v>184</v>
      </c>
      <c r="C1513" s="527"/>
      <c r="D1513" s="267"/>
      <c r="E1513" s="706"/>
      <c r="F1513" s="267"/>
      <c r="G1513" s="206"/>
      <c r="H1513" s="268"/>
      <c r="I1513" s="500"/>
      <c r="J1513" s="715"/>
      <c r="K1513" s="552">
        <f t="shared" si="94"/>
        <v>0</v>
      </c>
      <c r="L1513" s="217"/>
      <c r="M1513" s="211">
        <f t="shared" si="93"/>
        <v>-46136</v>
      </c>
      <c r="N1513" s="683">
        <f t="shared" si="95"/>
        <v>7</v>
      </c>
      <c r="O1513" s="212"/>
      <c r="P1513" s="544"/>
      <c r="Q1513" s="561">
        <f t="shared" si="96"/>
        <v>0</v>
      </c>
      <c r="R1513" s="223"/>
      <c r="S1513" s="223"/>
      <c r="T1513" s="223"/>
      <c r="U1513" s="223"/>
      <c r="V1513" s="223"/>
    </row>
    <row r="1514" spans="1:22" s="280" customFormat="1" ht="15.75" customHeight="1">
      <c r="A1514" s="468" t="s">
        <v>348</v>
      </c>
      <c r="B1514" s="204" t="s">
        <v>184</v>
      </c>
      <c r="C1514" s="527"/>
      <c r="D1514" s="267"/>
      <c r="E1514" s="706"/>
      <c r="F1514" s="267"/>
      <c r="G1514" s="206"/>
      <c r="H1514" s="268"/>
      <c r="I1514" s="500"/>
      <c r="J1514" s="715"/>
      <c r="K1514" s="552">
        <f t="shared" si="94"/>
        <v>0</v>
      </c>
      <c r="L1514" s="217"/>
      <c r="M1514" s="211">
        <f t="shared" si="93"/>
        <v>-46136</v>
      </c>
      <c r="N1514" s="683">
        <f t="shared" si="95"/>
        <v>7</v>
      </c>
      <c r="O1514" s="212"/>
      <c r="P1514" s="544"/>
      <c r="Q1514" s="561">
        <f t="shared" si="96"/>
        <v>0</v>
      </c>
      <c r="R1514" s="223"/>
      <c r="S1514" s="223"/>
      <c r="T1514" s="223"/>
      <c r="U1514" s="223"/>
      <c r="V1514" s="223"/>
    </row>
    <row r="1515" spans="1:22" s="280" customFormat="1" ht="15.75" customHeight="1">
      <c r="A1515" s="468" t="s">
        <v>348</v>
      </c>
      <c r="B1515" s="204" t="s">
        <v>184</v>
      </c>
      <c r="C1515" s="527"/>
      <c r="D1515" s="267"/>
      <c r="E1515" s="706"/>
      <c r="F1515" s="267"/>
      <c r="G1515" s="206"/>
      <c r="H1515" s="268"/>
      <c r="I1515" s="500"/>
      <c r="J1515" s="715"/>
      <c r="K1515" s="552">
        <f t="shared" si="94"/>
        <v>0</v>
      </c>
      <c r="L1515" s="217"/>
      <c r="M1515" s="211">
        <f t="shared" si="93"/>
        <v>-46136</v>
      </c>
      <c r="N1515" s="683">
        <f t="shared" si="95"/>
        <v>7</v>
      </c>
      <c r="O1515" s="212"/>
      <c r="P1515" s="544"/>
      <c r="Q1515" s="561">
        <f t="shared" si="96"/>
        <v>0</v>
      </c>
      <c r="R1515" s="223"/>
      <c r="S1515" s="223"/>
      <c r="T1515" s="223"/>
      <c r="U1515" s="223"/>
      <c r="V1515" s="223"/>
    </row>
    <row r="1516" spans="1:22" s="280" customFormat="1" ht="15.75" customHeight="1">
      <c r="A1516" s="468" t="s">
        <v>348</v>
      </c>
      <c r="B1516" s="204" t="s">
        <v>184</v>
      </c>
      <c r="C1516" s="527"/>
      <c r="D1516" s="267"/>
      <c r="E1516" s="706"/>
      <c r="F1516" s="267"/>
      <c r="G1516" s="206"/>
      <c r="H1516" s="268"/>
      <c r="I1516" s="500"/>
      <c r="J1516" s="715"/>
      <c r="K1516" s="552">
        <f t="shared" si="94"/>
        <v>0</v>
      </c>
      <c r="L1516" s="217"/>
      <c r="M1516" s="211">
        <f t="shared" si="93"/>
        <v>-46136</v>
      </c>
      <c r="N1516" s="683">
        <f t="shared" si="95"/>
        <v>7</v>
      </c>
      <c r="O1516" s="212"/>
      <c r="P1516" s="544"/>
      <c r="Q1516" s="561">
        <f t="shared" si="96"/>
        <v>0</v>
      </c>
      <c r="R1516" s="223"/>
      <c r="S1516" s="223"/>
      <c r="T1516" s="223"/>
      <c r="U1516" s="223"/>
      <c r="V1516" s="223"/>
    </row>
    <row r="1517" spans="1:22" s="280" customFormat="1" ht="15.75" customHeight="1">
      <c r="A1517" s="468" t="s">
        <v>348</v>
      </c>
      <c r="B1517" s="204" t="s">
        <v>184</v>
      </c>
      <c r="C1517" s="527"/>
      <c r="D1517" s="267"/>
      <c r="E1517" s="706"/>
      <c r="F1517" s="267"/>
      <c r="G1517" s="206"/>
      <c r="H1517" s="268"/>
      <c r="I1517" s="501"/>
      <c r="J1517" s="715"/>
      <c r="K1517" s="552">
        <f t="shared" si="94"/>
        <v>0</v>
      </c>
      <c r="L1517" s="217"/>
      <c r="M1517" s="211">
        <f t="shared" si="93"/>
        <v>-46136</v>
      </c>
      <c r="N1517" s="683">
        <f t="shared" si="95"/>
        <v>7</v>
      </c>
      <c r="O1517" s="212"/>
      <c r="P1517" s="544"/>
      <c r="Q1517" s="561">
        <f t="shared" si="96"/>
        <v>0</v>
      </c>
      <c r="R1517" s="223"/>
      <c r="S1517" s="223"/>
      <c r="T1517" s="223"/>
      <c r="U1517" s="223"/>
      <c r="V1517" s="223"/>
    </row>
    <row r="1518" spans="1:22" s="280" customFormat="1" ht="15.75" customHeight="1">
      <c r="A1518" s="468" t="s">
        <v>348</v>
      </c>
      <c r="B1518" s="204" t="s">
        <v>184</v>
      </c>
      <c r="C1518" s="527"/>
      <c r="D1518" s="267"/>
      <c r="E1518" s="706"/>
      <c r="F1518" s="267"/>
      <c r="G1518" s="206"/>
      <c r="H1518" s="268"/>
      <c r="I1518" s="500"/>
      <c r="J1518" s="715"/>
      <c r="K1518" s="552">
        <f t="shared" si="94"/>
        <v>0</v>
      </c>
      <c r="L1518" s="217"/>
      <c r="M1518" s="211">
        <f t="shared" si="93"/>
        <v>-46136</v>
      </c>
      <c r="N1518" s="683">
        <f t="shared" si="95"/>
        <v>7</v>
      </c>
      <c r="O1518" s="212"/>
      <c r="P1518" s="544"/>
      <c r="Q1518" s="561">
        <f t="shared" si="96"/>
        <v>0</v>
      </c>
      <c r="R1518" s="223"/>
      <c r="S1518" s="223"/>
      <c r="T1518" s="223"/>
      <c r="U1518" s="223"/>
      <c r="V1518" s="223"/>
    </row>
    <row r="1519" spans="1:22" s="280" customFormat="1" ht="15.75" customHeight="1">
      <c r="A1519" s="468" t="s">
        <v>348</v>
      </c>
      <c r="B1519" s="204" t="s">
        <v>184</v>
      </c>
      <c r="C1519" s="527"/>
      <c r="D1519" s="267"/>
      <c r="E1519" s="706"/>
      <c r="F1519" s="267"/>
      <c r="G1519" s="206"/>
      <c r="H1519" s="268"/>
      <c r="I1519" s="500"/>
      <c r="J1519" s="715"/>
      <c r="K1519" s="552">
        <f t="shared" si="94"/>
        <v>0</v>
      </c>
      <c r="L1519" s="217"/>
      <c r="M1519" s="211">
        <f t="shared" si="93"/>
        <v>-46136</v>
      </c>
      <c r="N1519" s="683">
        <f t="shared" si="95"/>
        <v>7</v>
      </c>
      <c r="O1519" s="212"/>
      <c r="P1519" s="544"/>
      <c r="Q1519" s="561">
        <f t="shared" si="96"/>
        <v>0</v>
      </c>
      <c r="R1519" s="223"/>
      <c r="S1519" s="223"/>
      <c r="T1519" s="223"/>
      <c r="U1519" s="223"/>
      <c r="V1519" s="223"/>
    </row>
    <row r="1520" spans="1:22" s="280" customFormat="1" ht="15.75" customHeight="1">
      <c r="A1520" s="468" t="s">
        <v>348</v>
      </c>
      <c r="B1520" s="204" t="s">
        <v>184</v>
      </c>
      <c r="C1520" s="527"/>
      <c r="D1520" s="267"/>
      <c r="E1520" s="706"/>
      <c r="F1520" s="267"/>
      <c r="G1520" s="206"/>
      <c r="H1520" s="268"/>
      <c r="I1520" s="500"/>
      <c r="J1520" s="715"/>
      <c r="K1520" s="552">
        <f t="shared" si="94"/>
        <v>0</v>
      </c>
      <c r="L1520" s="217"/>
      <c r="M1520" s="211">
        <f t="shared" si="93"/>
        <v>-46136</v>
      </c>
      <c r="N1520" s="683">
        <f t="shared" si="95"/>
        <v>7</v>
      </c>
      <c r="O1520" s="212"/>
      <c r="P1520" s="544"/>
      <c r="Q1520" s="561">
        <f t="shared" si="96"/>
        <v>0</v>
      </c>
      <c r="R1520" s="223"/>
      <c r="S1520" s="223"/>
      <c r="T1520" s="223"/>
      <c r="U1520" s="223"/>
      <c r="V1520" s="223"/>
    </row>
    <row r="1521" spans="1:22" s="280" customFormat="1" ht="15.75" customHeight="1">
      <c r="A1521" s="468" t="s">
        <v>348</v>
      </c>
      <c r="B1521" s="204" t="s">
        <v>184</v>
      </c>
      <c r="C1521" s="527"/>
      <c r="D1521" s="267"/>
      <c r="E1521" s="706"/>
      <c r="F1521" s="267"/>
      <c r="G1521" s="206"/>
      <c r="H1521" s="268"/>
      <c r="I1521" s="500"/>
      <c r="J1521" s="715"/>
      <c r="K1521" s="552">
        <f t="shared" si="94"/>
        <v>0</v>
      </c>
      <c r="L1521" s="217"/>
      <c r="M1521" s="211">
        <f t="shared" si="93"/>
        <v>-46136</v>
      </c>
      <c r="N1521" s="683">
        <f t="shared" si="95"/>
        <v>7</v>
      </c>
      <c r="O1521" s="212"/>
      <c r="P1521" s="544"/>
      <c r="Q1521" s="561">
        <f t="shared" si="96"/>
        <v>0</v>
      </c>
      <c r="R1521" s="223"/>
      <c r="S1521" s="223"/>
      <c r="T1521" s="223"/>
      <c r="U1521" s="223"/>
      <c r="V1521" s="223"/>
    </row>
    <row r="1522" spans="1:22" s="280" customFormat="1" ht="15.75" customHeight="1">
      <c r="A1522" s="468" t="s">
        <v>348</v>
      </c>
      <c r="B1522" s="204" t="s">
        <v>184</v>
      </c>
      <c r="C1522" s="527"/>
      <c r="D1522" s="267"/>
      <c r="E1522" s="706"/>
      <c r="F1522" s="267"/>
      <c r="G1522" s="206"/>
      <c r="H1522" s="268"/>
      <c r="I1522" s="500"/>
      <c r="J1522" s="715"/>
      <c r="K1522" s="552">
        <f t="shared" si="94"/>
        <v>0</v>
      </c>
      <c r="L1522" s="217"/>
      <c r="M1522" s="211">
        <f t="shared" si="93"/>
        <v>-46136</v>
      </c>
      <c r="N1522" s="683">
        <f t="shared" si="95"/>
        <v>7</v>
      </c>
      <c r="O1522" s="212"/>
      <c r="P1522" s="544"/>
      <c r="Q1522" s="561">
        <f t="shared" si="96"/>
        <v>0</v>
      </c>
      <c r="R1522" s="223"/>
      <c r="S1522" s="223"/>
      <c r="T1522" s="223"/>
      <c r="U1522" s="223"/>
      <c r="V1522" s="223"/>
    </row>
    <row r="1523" spans="1:22" s="280" customFormat="1" ht="15.75" customHeight="1">
      <c r="A1523" s="468" t="s">
        <v>348</v>
      </c>
      <c r="B1523" s="204" t="s">
        <v>184</v>
      </c>
      <c r="C1523" s="527"/>
      <c r="D1523" s="267"/>
      <c r="E1523" s="706"/>
      <c r="F1523" s="267"/>
      <c r="G1523" s="206"/>
      <c r="H1523" s="268"/>
      <c r="I1523" s="500"/>
      <c r="J1523" s="715"/>
      <c r="K1523" s="552">
        <f t="shared" si="94"/>
        <v>0</v>
      </c>
      <c r="L1523" s="217"/>
      <c r="M1523" s="211">
        <f t="shared" si="93"/>
        <v>-46136</v>
      </c>
      <c r="N1523" s="683">
        <f t="shared" si="95"/>
        <v>7</v>
      </c>
      <c r="O1523" s="212"/>
      <c r="P1523" s="544"/>
      <c r="Q1523" s="561">
        <f t="shared" si="96"/>
        <v>0</v>
      </c>
      <c r="R1523" s="223"/>
      <c r="S1523" s="223"/>
      <c r="T1523" s="223"/>
      <c r="U1523" s="223"/>
      <c r="V1523" s="223"/>
    </row>
    <row r="1524" spans="1:22" s="280" customFormat="1" ht="15.75" customHeight="1">
      <c r="A1524" s="468" t="s">
        <v>348</v>
      </c>
      <c r="B1524" s="204" t="s">
        <v>184</v>
      </c>
      <c r="C1524" s="527"/>
      <c r="D1524" s="267"/>
      <c r="E1524" s="706"/>
      <c r="F1524" s="267"/>
      <c r="G1524" s="206"/>
      <c r="H1524" s="268"/>
      <c r="I1524" s="500"/>
      <c r="J1524" s="715"/>
      <c r="K1524" s="552">
        <f t="shared" si="94"/>
        <v>0</v>
      </c>
      <c r="L1524" s="217"/>
      <c r="M1524" s="211">
        <f t="shared" si="93"/>
        <v>-46136</v>
      </c>
      <c r="N1524" s="683">
        <f t="shared" si="95"/>
        <v>7</v>
      </c>
      <c r="O1524" s="212"/>
      <c r="P1524" s="544"/>
      <c r="Q1524" s="561">
        <f t="shared" si="96"/>
        <v>0</v>
      </c>
      <c r="R1524" s="223"/>
      <c r="S1524" s="223"/>
      <c r="T1524" s="223"/>
      <c r="U1524" s="223"/>
      <c r="V1524" s="223"/>
    </row>
    <row r="1525" spans="1:22" s="280" customFormat="1" ht="15.75" customHeight="1">
      <c r="A1525" s="468" t="s">
        <v>348</v>
      </c>
      <c r="B1525" s="204" t="s">
        <v>184</v>
      </c>
      <c r="C1525" s="527"/>
      <c r="D1525" s="205"/>
      <c r="E1525" s="706"/>
      <c r="F1525" s="205"/>
      <c r="G1525" s="206"/>
      <c r="H1525" s="268"/>
      <c r="I1525" s="500"/>
      <c r="J1525" s="715"/>
      <c r="K1525" s="552">
        <f t="shared" si="94"/>
        <v>0</v>
      </c>
      <c r="L1525" s="217"/>
      <c r="M1525" s="211">
        <f t="shared" si="93"/>
        <v>-46136</v>
      </c>
      <c r="N1525" s="683">
        <f t="shared" si="95"/>
        <v>7</v>
      </c>
      <c r="O1525" s="212"/>
      <c r="P1525" s="544"/>
      <c r="Q1525" s="561">
        <f t="shared" si="96"/>
        <v>0</v>
      </c>
      <c r="R1525" s="223"/>
      <c r="S1525" s="223"/>
      <c r="T1525" s="223"/>
      <c r="U1525" s="223"/>
      <c r="V1525" s="223"/>
    </row>
    <row r="1526" spans="1:22" s="280" customFormat="1" ht="15.75" customHeight="1">
      <c r="A1526" s="468" t="s">
        <v>348</v>
      </c>
      <c r="B1526" s="204" t="s">
        <v>184</v>
      </c>
      <c r="C1526" s="527"/>
      <c r="D1526" s="267"/>
      <c r="E1526" s="706"/>
      <c r="F1526" s="267"/>
      <c r="G1526" s="206"/>
      <c r="H1526" s="268"/>
      <c r="I1526" s="500"/>
      <c r="J1526" s="715"/>
      <c r="K1526" s="552">
        <f t="shared" si="94"/>
        <v>0</v>
      </c>
      <c r="L1526" s="217"/>
      <c r="M1526" s="211">
        <f t="shared" si="93"/>
        <v>-46136</v>
      </c>
      <c r="N1526" s="683">
        <f t="shared" si="95"/>
        <v>7</v>
      </c>
      <c r="O1526" s="212"/>
      <c r="P1526" s="544"/>
      <c r="Q1526" s="561">
        <f t="shared" si="96"/>
        <v>0</v>
      </c>
      <c r="R1526" s="223"/>
      <c r="S1526" s="223"/>
      <c r="T1526" s="223"/>
      <c r="U1526" s="223"/>
      <c r="V1526" s="223"/>
    </row>
    <row r="1527" spans="1:22" s="280" customFormat="1" ht="15.75" customHeight="1">
      <c r="A1527" s="468" t="s">
        <v>348</v>
      </c>
      <c r="B1527" s="204" t="s">
        <v>184</v>
      </c>
      <c r="C1527" s="527"/>
      <c r="D1527" s="267"/>
      <c r="E1527" s="706"/>
      <c r="F1527" s="267"/>
      <c r="G1527" s="206"/>
      <c r="H1527" s="268"/>
      <c r="I1527" s="500"/>
      <c r="J1527" s="715"/>
      <c r="K1527" s="552">
        <f t="shared" si="94"/>
        <v>0</v>
      </c>
      <c r="L1527" s="217"/>
      <c r="M1527" s="211">
        <f t="shared" si="93"/>
        <v>-46136</v>
      </c>
      <c r="N1527" s="683">
        <f t="shared" si="95"/>
        <v>7</v>
      </c>
      <c r="O1527" s="212"/>
      <c r="P1527" s="544"/>
      <c r="Q1527" s="561">
        <f t="shared" si="96"/>
        <v>0</v>
      </c>
      <c r="R1527" s="223"/>
      <c r="S1527" s="223"/>
      <c r="T1527" s="223"/>
      <c r="U1527" s="223"/>
      <c r="V1527" s="223"/>
    </row>
    <row r="1528" spans="1:22" s="280" customFormat="1" ht="15.75" customHeight="1">
      <c r="A1528" s="468" t="s">
        <v>348</v>
      </c>
      <c r="B1528" s="204" t="s">
        <v>184</v>
      </c>
      <c r="C1528" s="527"/>
      <c r="D1528" s="267"/>
      <c r="E1528" s="706"/>
      <c r="F1528" s="267"/>
      <c r="G1528" s="206"/>
      <c r="H1528" s="268"/>
      <c r="I1528" s="500"/>
      <c r="J1528" s="715"/>
      <c r="K1528" s="552">
        <f t="shared" si="94"/>
        <v>0</v>
      </c>
      <c r="L1528" s="217"/>
      <c r="M1528" s="211">
        <f t="shared" si="93"/>
        <v>-46136</v>
      </c>
      <c r="N1528" s="683">
        <f t="shared" si="95"/>
        <v>7</v>
      </c>
      <c r="O1528" s="212"/>
      <c r="P1528" s="544"/>
      <c r="Q1528" s="561">
        <f t="shared" si="96"/>
        <v>0</v>
      </c>
      <c r="R1528" s="223"/>
      <c r="S1528" s="223"/>
      <c r="T1528" s="223"/>
      <c r="U1528" s="223"/>
      <c r="V1528" s="223"/>
    </row>
    <row r="1529" spans="1:22" s="280" customFormat="1" ht="15.75" customHeight="1">
      <c r="A1529" s="468" t="s">
        <v>348</v>
      </c>
      <c r="B1529" s="204" t="s">
        <v>184</v>
      </c>
      <c r="C1529" s="527"/>
      <c r="D1529" s="267"/>
      <c r="E1529" s="706"/>
      <c r="F1529" s="267"/>
      <c r="G1529" s="206"/>
      <c r="H1529" s="268"/>
      <c r="I1529" s="500"/>
      <c r="J1529" s="715"/>
      <c r="K1529" s="552">
        <f t="shared" si="94"/>
        <v>0</v>
      </c>
      <c r="L1529" s="217"/>
      <c r="M1529" s="211">
        <f t="shared" si="93"/>
        <v>-46136</v>
      </c>
      <c r="N1529" s="683">
        <f t="shared" si="95"/>
        <v>7</v>
      </c>
      <c r="O1529" s="212"/>
      <c r="P1529" s="544"/>
      <c r="Q1529" s="561">
        <f t="shared" si="96"/>
        <v>0</v>
      </c>
      <c r="R1529" s="223"/>
      <c r="S1529" s="223"/>
      <c r="T1529" s="223"/>
      <c r="U1529" s="223"/>
      <c r="V1529" s="223"/>
    </row>
    <row r="1530" spans="1:22" s="280" customFormat="1" ht="15.75" customHeight="1">
      <c r="A1530" s="468" t="s">
        <v>348</v>
      </c>
      <c r="B1530" s="204" t="s">
        <v>184</v>
      </c>
      <c r="C1530" s="527"/>
      <c r="D1530" s="267"/>
      <c r="E1530" s="706"/>
      <c r="F1530" s="267"/>
      <c r="G1530" s="206"/>
      <c r="H1530" s="268"/>
      <c r="I1530" s="500"/>
      <c r="J1530" s="715"/>
      <c r="K1530" s="552">
        <f t="shared" si="94"/>
        <v>0</v>
      </c>
      <c r="L1530" s="217"/>
      <c r="M1530" s="211">
        <f t="shared" si="93"/>
        <v>-46136</v>
      </c>
      <c r="N1530" s="683">
        <f t="shared" si="95"/>
        <v>7</v>
      </c>
      <c r="O1530" s="212"/>
      <c r="P1530" s="544"/>
      <c r="Q1530" s="561">
        <f t="shared" si="96"/>
        <v>0</v>
      </c>
      <c r="R1530" s="223"/>
      <c r="S1530" s="223"/>
      <c r="T1530" s="223"/>
      <c r="U1530" s="223"/>
      <c r="V1530" s="223"/>
    </row>
    <row r="1531" spans="1:22" s="280" customFormat="1" ht="15.75" customHeight="1">
      <c r="A1531" s="468" t="s">
        <v>348</v>
      </c>
      <c r="B1531" s="204" t="s">
        <v>184</v>
      </c>
      <c r="C1531" s="527"/>
      <c r="D1531" s="267"/>
      <c r="E1531" s="706"/>
      <c r="F1531" s="267"/>
      <c r="G1531" s="206"/>
      <c r="H1531" s="268"/>
      <c r="I1531" s="500"/>
      <c r="J1531" s="715"/>
      <c r="K1531" s="552">
        <f t="shared" si="94"/>
        <v>0</v>
      </c>
      <c r="L1531" s="217"/>
      <c r="M1531" s="211">
        <f t="shared" si="93"/>
        <v>-46136</v>
      </c>
      <c r="N1531" s="683">
        <f t="shared" si="95"/>
        <v>7</v>
      </c>
      <c r="O1531" s="212"/>
      <c r="P1531" s="544"/>
      <c r="Q1531" s="561">
        <f t="shared" si="96"/>
        <v>0</v>
      </c>
      <c r="R1531" s="223"/>
      <c r="S1531" s="223"/>
      <c r="T1531" s="223"/>
      <c r="U1531" s="223"/>
      <c r="V1531" s="223"/>
    </row>
    <row r="1532" spans="1:22" s="280" customFormat="1" ht="15.75" customHeight="1">
      <c r="A1532" s="468" t="s">
        <v>348</v>
      </c>
      <c r="B1532" s="204" t="s">
        <v>184</v>
      </c>
      <c r="C1532" s="527"/>
      <c r="D1532" s="267"/>
      <c r="E1532" s="706"/>
      <c r="F1532" s="267"/>
      <c r="G1532" s="206"/>
      <c r="H1532" s="268"/>
      <c r="I1532" s="500"/>
      <c r="J1532" s="555"/>
      <c r="K1532" s="552">
        <f t="shared" si="94"/>
        <v>0</v>
      </c>
      <c r="L1532" s="217"/>
      <c r="M1532" s="211">
        <f t="shared" si="93"/>
        <v>-46136</v>
      </c>
      <c r="N1532" s="683">
        <f t="shared" si="95"/>
        <v>7</v>
      </c>
      <c r="O1532" s="212"/>
      <c r="P1532" s="544"/>
      <c r="Q1532" s="561">
        <f t="shared" si="96"/>
        <v>0</v>
      </c>
      <c r="R1532" s="223"/>
      <c r="S1532" s="223"/>
      <c r="T1532" s="223"/>
      <c r="U1532" s="223"/>
      <c r="V1532" s="223"/>
    </row>
    <row r="1533" spans="1:22" s="280" customFormat="1" ht="15.75" customHeight="1">
      <c r="A1533" s="468" t="s">
        <v>348</v>
      </c>
      <c r="B1533" s="204" t="s">
        <v>184</v>
      </c>
      <c r="C1533" s="527"/>
      <c r="D1533" s="267"/>
      <c r="E1533" s="706"/>
      <c r="F1533" s="267"/>
      <c r="G1533" s="206"/>
      <c r="H1533" s="268"/>
      <c r="I1533" s="500"/>
      <c r="J1533" s="555"/>
      <c r="K1533" s="552">
        <f t="shared" si="94"/>
        <v>0</v>
      </c>
      <c r="L1533" s="217"/>
      <c r="M1533" s="211">
        <f t="shared" si="93"/>
        <v>-46136</v>
      </c>
      <c r="N1533" s="683">
        <f t="shared" si="95"/>
        <v>7</v>
      </c>
      <c r="O1533" s="212"/>
      <c r="P1533" s="544"/>
      <c r="Q1533" s="561">
        <f t="shared" si="96"/>
        <v>0</v>
      </c>
      <c r="R1533" s="223"/>
      <c r="S1533" s="223"/>
      <c r="T1533" s="223"/>
      <c r="U1533" s="223"/>
      <c r="V1533" s="223"/>
    </row>
    <row r="1534" spans="1:22" s="280" customFormat="1" ht="15.75" customHeight="1">
      <c r="A1534" s="468" t="s">
        <v>348</v>
      </c>
      <c r="B1534" s="204" t="s">
        <v>184</v>
      </c>
      <c r="C1534" s="527"/>
      <c r="D1534" s="267"/>
      <c r="E1534" s="706"/>
      <c r="F1534" s="267"/>
      <c r="G1534" s="206"/>
      <c r="H1534" s="268"/>
      <c r="I1534" s="502"/>
      <c r="J1534" s="555"/>
      <c r="K1534" s="552">
        <f t="shared" si="94"/>
        <v>0</v>
      </c>
      <c r="L1534" s="217"/>
      <c r="M1534" s="211">
        <f t="shared" si="93"/>
        <v>-46136</v>
      </c>
      <c r="N1534" s="683">
        <f t="shared" si="95"/>
        <v>7</v>
      </c>
      <c r="O1534" s="212"/>
      <c r="P1534" s="544"/>
      <c r="Q1534" s="561">
        <f t="shared" si="96"/>
        <v>0</v>
      </c>
      <c r="R1534" s="223"/>
      <c r="S1534" s="223"/>
      <c r="T1534" s="223"/>
      <c r="U1534" s="223"/>
      <c r="V1534" s="223"/>
    </row>
    <row r="1535" spans="1:22" s="280" customFormat="1" ht="15.75" customHeight="1">
      <c r="A1535" s="468" t="s">
        <v>348</v>
      </c>
      <c r="B1535" s="204" t="s">
        <v>184</v>
      </c>
      <c r="C1535" s="527"/>
      <c r="D1535" s="267"/>
      <c r="E1535" s="706"/>
      <c r="F1535" s="267"/>
      <c r="G1535" s="206"/>
      <c r="H1535" s="268"/>
      <c r="I1535" s="500"/>
      <c r="J1535" s="555"/>
      <c r="K1535" s="552">
        <f t="shared" si="94"/>
        <v>0</v>
      </c>
      <c r="L1535" s="217"/>
      <c r="M1535" s="211">
        <f t="shared" si="93"/>
        <v>-46136</v>
      </c>
      <c r="N1535" s="683">
        <f t="shared" si="95"/>
        <v>7</v>
      </c>
      <c r="O1535" s="212"/>
      <c r="P1535" s="544"/>
      <c r="Q1535" s="561">
        <f t="shared" si="96"/>
        <v>0</v>
      </c>
      <c r="R1535" s="223"/>
      <c r="S1535" s="223"/>
      <c r="T1535" s="223"/>
      <c r="U1535" s="223"/>
      <c r="V1535" s="223"/>
    </row>
    <row r="1536" spans="1:22" s="280" customFormat="1" ht="15.75" customHeight="1">
      <c r="A1536" s="468" t="s">
        <v>348</v>
      </c>
      <c r="B1536" s="204" t="s">
        <v>184</v>
      </c>
      <c r="C1536" s="527"/>
      <c r="D1536" s="267"/>
      <c r="E1536" s="706"/>
      <c r="F1536" s="267"/>
      <c r="G1536" s="206"/>
      <c r="H1536" s="268"/>
      <c r="I1536" s="500"/>
      <c r="J1536" s="715"/>
      <c r="K1536" s="552">
        <f t="shared" si="94"/>
        <v>0</v>
      </c>
      <c r="L1536" s="217"/>
      <c r="M1536" s="211">
        <f t="shared" si="93"/>
        <v>-46136</v>
      </c>
      <c r="N1536" s="683">
        <f t="shared" si="95"/>
        <v>7</v>
      </c>
      <c r="O1536" s="212"/>
      <c r="P1536" s="544"/>
      <c r="Q1536" s="561">
        <f t="shared" si="96"/>
        <v>0</v>
      </c>
      <c r="R1536" s="223"/>
      <c r="S1536" s="223"/>
      <c r="T1536" s="223"/>
      <c r="U1536" s="223"/>
      <c r="V1536" s="223"/>
    </row>
    <row r="1537" spans="1:22" s="280" customFormat="1" ht="15.75" customHeight="1">
      <c r="A1537" s="468" t="s">
        <v>348</v>
      </c>
      <c r="B1537" s="204" t="s">
        <v>184</v>
      </c>
      <c r="C1537" s="527"/>
      <c r="D1537" s="267"/>
      <c r="E1537" s="706"/>
      <c r="F1537" s="267"/>
      <c r="G1537" s="206"/>
      <c r="H1537" s="268"/>
      <c r="I1537" s="500"/>
      <c r="J1537" s="715"/>
      <c r="K1537" s="552">
        <f t="shared" si="94"/>
        <v>0</v>
      </c>
      <c r="L1537" s="217"/>
      <c r="M1537" s="211">
        <f t="shared" si="93"/>
        <v>-46136</v>
      </c>
      <c r="N1537" s="683">
        <f t="shared" si="95"/>
        <v>7</v>
      </c>
      <c r="O1537" s="212"/>
      <c r="P1537" s="544"/>
      <c r="Q1537" s="561">
        <f t="shared" si="96"/>
        <v>0</v>
      </c>
      <c r="R1537" s="223"/>
      <c r="S1537" s="223"/>
      <c r="T1537" s="223"/>
      <c r="U1537" s="223"/>
      <c r="V1537" s="223"/>
    </row>
    <row r="1538" spans="1:22" s="280" customFormat="1" ht="15.75" customHeight="1">
      <c r="A1538" s="468" t="s">
        <v>348</v>
      </c>
      <c r="B1538" s="204" t="s">
        <v>184</v>
      </c>
      <c r="C1538" s="527"/>
      <c r="D1538" s="267"/>
      <c r="E1538" s="706"/>
      <c r="F1538" s="267"/>
      <c r="G1538" s="206"/>
      <c r="H1538" s="268"/>
      <c r="I1538" s="500"/>
      <c r="J1538" s="715"/>
      <c r="K1538" s="552">
        <f t="shared" si="94"/>
        <v>0</v>
      </c>
      <c r="L1538" s="217"/>
      <c r="M1538" s="211">
        <f t="shared" si="93"/>
        <v>-46136</v>
      </c>
      <c r="N1538" s="683">
        <f t="shared" si="95"/>
        <v>7</v>
      </c>
      <c r="O1538" s="212"/>
      <c r="P1538" s="544"/>
      <c r="Q1538" s="561">
        <f t="shared" si="96"/>
        <v>0</v>
      </c>
      <c r="R1538" s="223"/>
      <c r="S1538" s="223"/>
      <c r="T1538" s="223"/>
      <c r="U1538" s="223"/>
      <c r="V1538" s="223"/>
    </row>
    <row r="1539" spans="1:22" s="280" customFormat="1" ht="15.75" customHeight="1">
      <c r="A1539" s="468" t="s">
        <v>348</v>
      </c>
      <c r="B1539" s="204" t="s">
        <v>184</v>
      </c>
      <c r="C1539" s="527"/>
      <c r="D1539" s="267"/>
      <c r="E1539" s="706"/>
      <c r="F1539" s="267"/>
      <c r="G1539" s="206"/>
      <c r="H1539" s="268"/>
      <c r="I1539" s="500"/>
      <c r="J1539" s="715"/>
      <c r="K1539" s="552">
        <f t="shared" si="94"/>
        <v>0</v>
      </c>
      <c r="L1539" s="217"/>
      <c r="M1539" s="211">
        <f t="shared" si="93"/>
        <v>-46136</v>
      </c>
      <c r="N1539" s="683">
        <f t="shared" si="95"/>
        <v>7</v>
      </c>
      <c r="O1539" s="212"/>
      <c r="P1539" s="544"/>
      <c r="Q1539" s="561">
        <f t="shared" si="96"/>
        <v>0</v>
      </c>
      <c r="R1539" s="223"/>
      <c r="S1539" s="223"/>
      <c r="T1539" s="223"/>
      <c r="U1539" s="223"/>
      <c r="V1539" s="223"/>
    </row>
    <row r="1540" spans="1:22" s="280" customFormat="1" ht="15.75" customHeight="1">
      <c r="A1540" s="468" t="s">
        <v>348</v>
      </c>
      <c r="B1540" s="204" t="s">
        <v>184</v>
      </c>
      <c r="C1540" s="527"/>
      <c r="D1540" s="267"/>
      <c r="E1540" s="706"/>
      <c r="F1540" s="267"/>
      <c r="G1540" s="206"/>
      <c r="H1540" s="268"/>
      <c r="I1540" s="501"/>
      <c r="J1540" s="715"/>
      <c r="K1540" s="552">
        <f t="shared" si="94"/>
        <v>0</v>
      </c>
      <c r="L1540" s="217"/>
      <c r="M1540" s="211">
        <f t="shared" si="93"/>
        <v>-46136</v>
      </c>
      <c r="N1540" s="683">
        <f t="shared" si="95"/>
        <v>7</v>
      </c>
      <c r="O1540" s="212"/>
      <c r="P1540" s="544"/>
      <c r="Q1540" s="561">
        <f t="shared" si="96"/>
        <v>0</v>
      </c>
      <c r="R1540" s="223"/>
      <c r="S1540" s="223"/>
      <c r="T1540" s="223"/>
      <c r="U1540" s="223"/>
      <c r="V1540" s="223"/>
    </row>
    <row r="1541" spans="1:22" s="280" customFormat="1" ht="15.75" customHeight="1">
      <c r="A1541" s="468" t="s">
        <v>348</v>
      </c>
      <c r="B1541" s="204" t="s">
        <v>184</v>
      </c>
      <c r="C1541" s="527"/>
      <c r="D1541" s="267"/>
      <c r="E1541" s="706"/>
      <c r="F1541" s="267"/>
      <c r="G1541" s="206"/>
      <c r="H1541" s="268"/>
      <c r="I1541" s="501"/>
      <c r="J1541" s="715"/>
      <c r="K1541" s="552">
        <f t="shared" si="94"/>
        <v>0</v>
      </c>
      <c r="L1541" s="217"/>
      <c r="M1541" s="211">
        <f t="shared" si="93"/>
        <v>-46136</v>
      </c>
      <c r="N1541" s="683">
        <f t="shared" si="95"/>
        <v>7</v>
      </c>
      <c r="O1541" s="212"/>
      <c r="P1541" s="544"/>
      <c r="Q1541" s="561">
        <f t="shared" si="96"/>
        <v>0</v>
      </c>
      <c r="R1541" s="223"/>
      <c r="S1541" s="223"/>
      <c r="T1541" s="223"/>
      <c r="U1541" s="223"/>
      <c r="V1541" s="223"/>
    </row>
    <row r="1542" spans="1:22" s="280" customFormat="1" ht="15.75" customHeight="1">
      <c r="A1542" s="468" t="s">
        <v>348</v>
      </c>
      <c r="B1542" s="204" t="s">
        <v>184</v>
      </c>
      <c r="C1542" s="527"/>
      <c r="D1542" s="267"/>
      <c r="E1542" s="706"/>
      <c r="F1542" s="267"/>
      <c r="G1542" s="206"/>
      <c r="H1542" s="268"/>
      <c r="I1542" s="501"/>
      <c r="J1542" s="715"/>
      <c r="K1542" s="552">
        <f t="shared" si="94"/>
        <v>0</v>
      </c>
      <c r="L1542" s="217"/>
      <c r="M1542" s="211">
        <f t="shared" si="93"/>
        <v>-46136</v>
      </c>
      <c r="N1542" s="683">
        <f t="shared" si="95"/>
        <v>7</v>
      </c>
      <c r="O1542" s="212"/>
      <c r="P1542" s="544"/>
      <c r="Q1542" s="561">
        <f t="shared" si="96"/>
        <v>0</v>
      </c>
      <c r="R1542" s="223"/>
      <c r="S1542" s="223"/>
      <c r="T1542" s="223"/>
      <c r="U1542" s="223"/>
      <c r="V1542" s="223"/>
    </row>
    <row r="1543" spans="1:22" s="280" customFormat="1" ht="15.75" customHeight="1">
      <c r="A1543" s="468" t="s">
        <v>348</v>
      </c>
      <c r="B1543" s="204" t="s">
        <v>184</v>
      </c>
      <c r="C1543" s="527"/>
      <c r="D1543" s="267"/>
      <c r="E1543" s="706"/>
      <c r="F1543" s="267"/>
      <c r="G1543" s="206"/>
      <c r="H1543" s="268"/>
      <c r="I1543" s="501"/>
      <c r="J1543" s="715"/>
      <c r="K1543" s="552">
        <f t="shared" si="94"/>
        <v>0</v>
      </c>
      <c r="L1543" s="217"/>
      <c r="M1543" s="211">
        <f t="shared" si="93"/>
        <v>-46136</v>
      </c>
      <c r="N1543" s="683">
        <f t="shared" si="95"/>
        <v>7</v>
      </c>
      <c r="O1543" s="212"/>
      <c r="P1543" s="544"/>
      <c r="Q1543" s="561">
        <f t="shared" si="96"/>
        <v>0</v>
      </c>
      <c r="R1543" s="223"/>
      <c r="S1543" s="223"/>
      <c r="T1543" s="223"/>
      <c r="U1543" s="223"/>
      <c r="V1543" s="223"/>
    </row>
    <row r="1544" spans="1:22" s="280" customFormat="1" ht="15.75" customHeight="1">
      <c r="A1544" s="468" t="s">
        <v>348</v>
      </c>
      <c r="B1544" s="204" t="s">
        <v>184</v>
      </c>
      <c r="C1544" s="527"/>
      <c r="D1544" s="267"/>
      <c r="E1544" s="706"/>
      <c r="F1544" s="267"/>
      <c r="G1544" s="206"/>
      <c r="H1544" s="268"/>
      <c r="I1544" s="501"/>
      <c r="J1544" s="715"/>
      <c r="K1544" s="552">
        <f t="shared" si="94"/>
        <v>0</v>
      </c>
      <c r="L1544" s="217"/>
      <c r="M1544" s="211">
        <f t="shared" si="93"/>
        <v>-46136</v>
      </c>
      <c r="N1544" s="683">
        <f t="shared" si="95"/>
        <v>7</v>
      </c>
      <c r="O1544" s="212"/>
      <c r="P1544" s="544"/>
      <c r="Q1544" s="561">
        <f t="shared" si="96"/>
        <v>0</v>
      </c>
      <c r="R1544" s="223"/>
      <c r="S1544" s="223"/>
      <c r="T1544" s="223"/>
      <c r="U1544" s="223"/>
      <c r="V1544" s="223"/>
    </row>
    <row r="1545" spans="1:22" s="280" customFormat="1" ht="15.75" customHeight="1">
      <c r="A1545" s="468" t="s">
        <v>348</v>
      </c>
      <c r="B1545" s="204" t="s">
        <v>184</v>
      </c>
      <c r="C1545" s="527"/>
      <c r="D1545" s="267"/>
      <c r="E1545" s="706"/>
      <c r="F1545" s="267"/>
      <c r="G1545" s="206"/>
      <c r="H1545" s="268"/>
      <c r="I1545" s="500"/>
      <c r="J1545" s="715"/>
      <c r="K1545" s="552">
        <f t="shared" si="94"/>
        <v>0</v>
      </c>
      <c r="L1545" s="217"/>
      <c r="M1545" s="211">
        <f t="shared" ref="M1545:M1608" si="97">+L1545-$E$6</f>
        <v>-46136</v>
      </c>
      <c r="N1545" s="683">
        <f t="shared" si="95"/>
        <v>7</v>
      </c>
      <c r="O1545" s="212"/>
      <c r="P1545" s="544"/>
      <c r="Q1545" s="561">
        <f t="shared" si="96"/>
        <v>0</v>
      </c>
      <c r="R1545" s="223"/>
      <c r="S1545" s="223"/>
      <c r="T1545" s="223"/>
      <c r="U1545" s="223"/>
      <c r="V1545" s="223"/>
    </row>
    <row r="1546" spans="1:22" s="280" customFormat="1" ht="15.75" customHeight="1">
      <c r="A1546" s="468" t="s">
        <v>348</v>
      </c>
      <c r="B1546" s="204" t="s">
        <v>184</v>
      </c>
      <c r="C1546" s="527"/>
      <c r="D1546" s="267"/>
      <c r="E1546" s="706"/>
      <c r="F1546" s="267"/>
      <c r="G1546" s="206"/>
      <c r="H1546" s="268"/>
      <c r="I1546" s="500"/>
      <c r="J1546" s="715"/>
      <c r="K1546" s="552">
        <f t="shared" ref="K1546:K1609" si="98">-J1546</f>
        <v>0</v>
      </c>
      <c r="L1546" s="217"/>
      <c r="M1546" s="211">
        <f t="shared" si="97"/>
        <v>-46136</v>
      </c>
      <c r="N1546" s="683">
        <f t="shared" ref="N1546:N1609" si="99">+L1546+7</f>
        <v>7</v>
      </c>
      <c r="O1546" s="212"/>
      <c r="P1546" s="544"/>
      <c r="Q1546" s="561">
        <f t="shared" si="96"/>
        <v>0</v>
      </c>
      <c r="R1546" s="223"/>
      <c r="S1546" s="223"/>
      <c r="T1546" s="223"/>
      <c r="U1546" s="223"/>
      <c r="V1546" s="223"/>
    </row>
    <row r="1547" spans="1:22" s="280" customFormat="1" ht="15.75" customHeight="1">
      <c r="A1547" s="468" t="s">
        <v>348</v>
      </c>
      <c r="B1547" s="204" t="s">
        <v>184</v>
      </c>
      <c r="C1547" s="527"/>
      <c r="D1547" s="267"/>
      <c r="E1547" s="706"/>
      <c r="F1547" s="267"/>
      <c r="G1547" s="206"/>
      <c r="H1547" s="268"/>
      <c r="I1547" s="500"/>
      <c r="J1547" s="715"/>
      <c r="K1547" s="552">
        <f t="shared" si="98"/>
        <v>0</v>
      </c>
      <c r="L1547" s="217"/>
      <c r="M1547" s="211">
        <f t="shared" si="97"/>
        <v>-46136</v>
      </c>
      <c r="N1547" s="683">
        <f t="shared" si="99"/>
        <v>7</v>
      </c>
      <c r="O1547" s="212"/>
      <c r="P1547" s="544"/>
      <c r="Q1547" s="561">
        <f t="shared" si="96"/>
        <v>0</v>
      </c>
      <c r="R1547" s="223"/>
      <c r="S1547" s="223"/>
      <c r="T1547" s="223"/>
      <c r="U1547" s="223"/>
      <c r="V1547" s="223"/>
    </row>
    <row r="1548" spans="1:22" s="280" customFormat="1" ht="15.75" customHeight="1">
      <c r="A1548" s="468" t="s">
        <v>348</v>
      </c>
      <c r="B1548" s="204" t="s">
        <v>184</v>
      </c>
      <c r="C1548" s="527"/>
      <c r="D1548" s="267"/>
      <c r="E1548" s="706"/>
      <c r="F1548" s="267"/>
      <c r="G1548" s="206"/>
      <c r="H1548" s="268"/>
      <c r="I1548" s="500"/>
      <c r="J1548" s="715"/>
      <c r="K1548" s="552">
        <f t="shared" si="98"/>
        <v>0</v>
      </c>
      <c r="L1548" s="217"/>
      <c r="M1548" s="211">
        <f t="shared" si="97"/>
        <v>-46136</v>
      </c>
      <c r="N1548" s="683">
        <f t="shared" si="99"/>
        <v>7</v>
      </c>
      <c r="O1548" s="212"/>
      <c r="P1548" s="544"/>
      <c r="Q1548" s="561">
        <f t="shared" si="96"/>
        <v>0</v>
      </c>
      <c r="R1548" s="223"/>
      <c r="S1548" s="223"/>
      <c r="T1548" s="223"/>
      <c r="U1548" s="223"/>
      <c r="V1548" s="223"/>
    </row>
    <row r="1549" spans="1:22" s="280" customFormat="1" ht="15.75" customHeight="1">
      <c r="A1549" s="468" t="s">
        <v>348</v>
      </c>
      <c r="B1549" s="204" t="s">
        <v>184</v>
      </c>
      <c r="C1549" s="527"/>
      <c r="D1549" s="267"/>
      <c r="E1549" s="706"/>
      <c r="F1549" s="267"/>
      <c r="G1549" s="206"/>
      <c r="H1549" s="268"/>
      <c r="I1549" s="500"/>
      <c r="J1549" s="715"/>
      <c r="K1549" s="552">
        <f t="shared" si="98"/>
        <v>0</v>
      </c>
      <c r="L1549" s="217"/>
      <c r="M1549" s="211">
        <f t="shared" si="97"/>
        <v>-46136</v>
      </c>
      <c r="N1549" s="683">
        <f t="shared" si="99"/>
        <v>7</v>
      </c>
      <c r="O1549" s="212"/>
      <c r="P1549" s="544"/>
      <c r="Q1549" s="561">
        <f t="shared" si="96"/>
        <v>0</v>
      </c>
      <c r="R1549" s="223"/>
      <c r="S1549" s="223"/>
      <c r="T1549" s="223"/>
      <c r="U1549" s="223"/>
      <c r="V1549" s="223"/>
    </row>
    <row r="1550" spans="1:22" s="280" customFormat="1" ht="15.75" customHeight="1">
      <c r="A1550" s="468" t="s">
        <v>348</v>
      </c>
      <c r="B1550" s="204" t="s">
        <v>184</v>
      </c>
      <c r="C1550" s="527"/>
      <c r="D1550" s="267"/>
      <c r="E1550" s="706"/>
      <c r="F1550" s="267"/>
      <c r="G1550" s="206"/>
      <c r="H1550" s="268"/>
      <c r="I1550" s="500"/>
      <c r="J1550" s="715"/>
      <c r="K1550" s="552">
        <f t="shared" si="98"/>
        <v>0</v>
      </c>
      <c r="L1550" s="217"/>
      <c r="M1550" s="211">
        <f t="shared" si="97"/>
        <v>-46136</v>
      </c>
      <c r="N1550" s="683">
        <f t="shared" si="99"/>
        <v>7</v>
      </c>
      <c r="O1550" s="212"/>
      <c r="P1550" s="544"/>
      <c r="Q1550" s="561">
        <f t="shared" si="96"/>
        <v>0</v>
      </c>
      <c r="R1550" s="223"/>
      <c r="S1550" s="223"/>
      <c r="T1550" s="223"/>
      <c r="U1550" s="223"/>
      <c r="V1550" s="223"/>
    </row>
    <row r="1551" spans="1:22" s="280" customFormat="1" ht="15.75" customHeight="1">
      <c r="A1551" s="468" t="s">
        <v>348</v>
      </c>
      <c r="B1551" s="204" t="s">
        <v>184</v>
      </c>
      <c r="C1551" s="527"/>
      <c r="D1551" s="267"/>
      <c r="E1551" s="706"/>
      <c r="F1551" s="267"/>
      <c r="G1551" s="206"/>
      <c r="H1551" s="268"/>
      <c r="I1551" s="500"/>
      <c r="J1551" s="715"/>
      <c r="K1551" s="552">
        <f t="shared" si="98"/>
        <v>0</v>
      </c>
      <c r="L1551" s="217"/>
      <c r="M1551" s="211">
        <f t="shared" si="97"/>
        <v>-46136</v>
      </c>
      <c r="N1551" s="683">
        <f t="shared" si="99"/>
        <v>7</v>
      </c>
      <c r="O1551" s="212"/>
      <c r="P1551" s="544"/>
      <c r="Q1551" s="561">
        <f t="shared" si="96"/>
        <v>0</v>
      </c>
      <c r="R1551" s="223"/>
      <c r="S1551" s="223"/>
      <c r="T1551" s="223"/>
      <c r="U1551" s="223"/>
      <c r="V1551" s="223"/>
    </row>
    <row r="1552" spans="1:22" s="280" customFormat="1" ht="15.75" customHeight="1">
      <c r="A1552" s="468" t="s">
        <v>348</v>
      </c>
      <c r="B1552" s="204" t="s">
        <v>184</v>
      </c>
      <c r="C1552" s="527"/>
      <c r="D1552" s="267"/>
      <c r="E1552" s="706"/>
      <c r="F1552" s="267"/>
      <c r="G1552" s="206"/>
      <c r="H1552" s="268"/>
      <c r="I1552" s="500"/>
      <c r="J1552" s="715"/>
      <c r="K1552" s="552">
        <f t="shared" si="98"/>
        <v>0</v>
      </c>
      <c r="L1552" s="217"/>
      <c r="M1552" s="211">
        <f t="shared" si="97"/>
        <v>-46136</v>
      </c>
      <c r="N1552" s="683">
        <f t="shared" si="99"/>
        <v>7</v>
      </c>
      <c r="O1552" s="212"/>
      <c r="P1552" s="544"/>
      <c r="Q1552" s="561">
        <f t="shared" si="96"/>
        <v>0</v>
      </c>
      <c r="R1552" s="223"/>
      <c r="S1552" s="223"/>
      <c r="T1552" s="223"/>
      <c r="U1552" s="223"/>
      <c r="V1552" s="223"/>
    </row>
    <row r="1553" spans="1:22" s="280" customFormat="1" ht="15.75" customHeight="1">
      <c r="A1553" s="468" t="s">
        <v>348</v>
      </c>
      <c r="B1553" s="204" t="s">
        <v>184</v>
      </c>
      <c r="C1553" s="527"/>
      <c r="D1553" s="267"/>
      <c r="E1553" s="706"/>
      <c r="F1553" s="267"/>
      <c r="G1553" s="206"/>
      <c r="H1553" s="268"/>
      <c r="I1553" s="501"/>
      <c r="J1553" s="715"/>
      <c r="K1553" s="552">
        <f t="shared" si="98"/>
        <v>0</v>
      </c>
      <c r="L1553" s="217"/>
      <c r="M1553" s="211">
        <f t="shared" si="97"/>
        <v>-46136</v>
      </c>
      <c r="N1553" s="683">
        <f t="shared" si="99"/>
        <v>7</v>
      </c>
      <c r="O1553" s="212"/>
      <c r="P1553" s="544"/>
      <c r="Q1553" s="561">
        <f t="shared" si="96"/>
        <v>0</v>
      </c>
      <c r="R1553" s="223"/>
      <c r="S1553" s="223"/>
      <c r="T1553" s="223"/>
      <c r="U1553" s="223"/>
      <c r="V1553" s="223"/>
    </row>
    <row r="1554" spans="1:22" s="280" customFormat="1" ht="15.75" customHeight="1">
      <c r="A1554" s="468" t="s">
        <v>348</v>
      </c>
      <c r="B1554" s="204" t="s">
        <v>184</v>
      </c>
      <c r="C1554" s="527"/>
      <c r="D1554" s="267"/>
      <c r="E1554" s="706"/>
      <c r="F1554" s="267"/>
      <c r="G1554" s="206"/>
      <c r="H1554" s="268"/>
      <c r="I1554" s="500"/>
      <c r="J1554" s="715"/>
      <c r="K1554" s="552">
        <f t="shared" si="98"/>
        <v>0</v>
      </c>
      <c r="L1554" s="217"/>
      <c r="M1554" s="211">
        <f t="shared" si="97"/>
        <v>-46136</v>
      </c>
      <c r="N1554" s="683">
        <f t="shared" si="99"/>
        <v>7</v>
      </c>
      <c r="O1554" s="212"/>
      <c r="P1554" s="544"/>
      <c r="Q1554" s="561">
        <f t="shared" si="96"/>
        <v>0</v>
      </c>
      <c r="R1554" s="223"/>
      <c r="S1554" s="223"/>
      <c r="T1554" s="223"/>
      <c r="U1554" s="223"/>
      <c r="V1554" s="223"/>
    </row>
    <row r="1555" spans="1:22" s="280" customFormat="1" ht="15.75" customHeight="1">
      <c r="A1555" s="468" t="s">
        <v>348</v>
      </c>
      <c r="B1555" s="204" t="s">
        <v>184</v>
      </c>
      <c r="C1555" s="527"/>
      <c r="D1555" s="267"/>
      <c r="E1555" s="706"/>
      <c r="F1555" s="267"/>
      <c r="G1555" s="206"/>
      <c r="H1555" s="268"/>
      <c r="I1555" s="500"/>
      <c r="J1555" s="715"/>
      <c r="K1555" s="552">
        <f t="shared" si="98"/>
        <v>0</v>
      </c>
      <c r="L1555" s="217"/>
      <c r="M1555" s="211">
        <f t="shared" si="97"/>
        <v>-46136</v>
      </c>
      <c r="N1555" s="683">
        <f t="shared" si="99"/>
        <v>7</v>
      </c>
      <c r="O1555" s="212"/>
      <c r="P1555" s="544"/>
      <c r="Q1555" s="561">
        <f t="shared" si="96"/>
        <v>0</v>
      </c>
      <c r="R1555" s="223"/>
      <c r="S1555" s="223"/>
      <c r="T1555" s="223"/>
      <c r="U1555" s="223"/>
      <c r="V1555" s="223"/>
    </row>
    <row r="1556" spans="1:22" s="280" customFormat="1" ht="15.75" customHeight="1">
      <c r="A1556" s="468" t="s">
        <v>348</v>
      </c>
      <c r="B1556" s="204" t="s">
        <v>184</v>
      </c>
      <c r="C1556" s="527"/>
      <c r="D1556" s="267"/>
      <c r="E1556" s="706"/>
      <c r="F1556" s="267"/>
      <c r="G1556" s="206"/>
      <c r="H1556" s="268"/>
      <c r="I1556" s="500"/>
      <c r="J1556" s="715"/>
      <c r="K1556" s="552">
        <f t="shared" si="98"/>
        <v>0</v>
      </c>
      <c r="L1556" s="217"/>
      <c r="M1556" s="211">
        <f t="shared" si="97"/>
        <v>-46136</v>
      </c>
      <c r="N1556" s="683">
        <f t="shared" si="99"/>
        <v>7</v>
      </c>
      <c r="O1556" s="212"/>
      <c r="P1556" s="544"/>
      <c r="Q1556" s="561">
        <f t="shared" si="96"/>
        <v>0</v>
      </c>
      <c r="R1556" s="223"/>
      <c r="S1556" s="223"/>
      <c r="T1556" s="223"/>
      <c r="U1556" s="223"/>
      <c r="V1556" s="223"/>
    </row>
    <row r="1557" spans="1:22" s="280" customFormat="1" ht="15.75" customHeight="1">
      <c r="A1557" s="468" t="s">
        <v>348</v>
      </c>
      <c r="B1557" s="204" t="s">
        <v>184</v>
      </c>
      <c r="C1557" s="527"/>
      <c r="D1557" s="267"/>
      <c r="E1557" s="706"/>
      <c r="F1557" s="267"/>
      <c r="G1557" s="206"/>
      <c r="H1557" s="268"/>
      <c r="I1557" s="500"/>
      <c r="J1557" s="715"/>
      <c r="K1557" s="552">
        <f t="shared" si="98"/>
        <v>0</v>
      </c>
      <c r="L1557" s="217"/>
      <c r="M1557" s="211">
        <f t="shared" si="97"/>
        <v>-46136</v>
      </c>
      <c r="N1557" s="683">
        <f t="shared" si="99"/>
        <v>7</v>
      </c>
      <c r="O1557" s="212"/>
      <c r="P1557" s="544"/>
      <c r="Q1557" s="561">
        <f t="shared" si="96"/>
        <v>0</v>
      </c>
      <c r="R1557" s="223"/>
      <c r="S1557" s="223"/>
      <c r="T1557" s="223"/>
      <c r="U1557" s="223"/>
      <c r="V1557" s="223"/>
    </row>
    <row r="1558" spans="1:22" s="280" customFormat="1" ht="15.75" customHeight="1">
      <c r="A1558" s="468" t="s">
        <v>348</v>
      </c>
      <c r="B1558" s="204" t="s">
        <v>184</v>
      </c>
      <c r="C1558" s="527"/>
      <c r="D1558" s="267"/>
      <c r="E1558" s="706"/>
      <c r="F1558" s="267"/>
      <c r="G1558" s="206"/>
      <c r="H1558" s="268"/>
      <c r="I1558" s="500"/>
      <c r="J1558" s="715"/>
      <c r="K1558" s="552">
        <f t="shared" si="98"/>
        <v>0</v>
      </c>
      <c r="L1558" s="217"/>
      <c r="M1558" s="211">
        <f t="shared" si="97"/>
        <v>-46136</v>
      </c>
      <c r="N1558" s="683">
        <f t="shared" si="99"/>
        <v>7</v>
      </c>
      <c r="O1558" s="212"/>
      <c r="P1558" s="544"/>
      <c r="Q1558" s="561">
        <f t="shared" si="96"/>
        <v>0</v>
      </c>
      <c r="R1558" s="223"/>
      <c r="S1558" s="223"/>
      <c r="T1558" s="223"/>
      <c r="U1558" s="223"/>
      <c r="V1558" s="223"/>
    </row>
    <row r="1559" spans="1:22" s="280" customFormat="1" ht="15.75" customHeight="1">
      <c r="A1559" s="468" t="s">
        <v>348</v>
      </c>
      <c r="B1559" s="204" t="s">
        <v>184</v>
      </c>
      <c r="C1559" s="527"/>
      <c r="D1559" s="267"/>
      <c r="E1559" s="706"/>
      <c r="F1559" s="267"/>
      <c r="G1559" s="206"/>
      <c r="H1559" s="268"/>
      <c r="I1559" s="500"/>
      <c r="J1559" s="715"/>
      <c r="K1559" s="552">
        <f t="shared" si="98"/>
        <v>0</v>
      </c>
      <c r="L1559" s="217"/>
      <c r="M1559" s="211">
        <f t="shared" si="97"/>
        <v>-46136</v>
      </c>
      <c r="N1559" s="683">
        <f t="shared" si="99"/>
        <v>7</v>
      </c>
      <c r="O1559" s="212"/>
      <c r="P1559" s="544"/>
      <c r="Q1559" s="561">
        <f t="shared" si="96"/>
        <v>0</v>
      </c>
      <c r="R1559" s="223"/>
      <c r="S1559" s="223"/>
      <c r="T1559" s="223"/>
      <c r="U1559" s="223"/>
      <c r="V1559" s="223"/>
    </row>
    <row r="1560" spans="1:22" s="280" customFormat="1" ht="15.75" customHeight="1">
      <c r="A1560" s="468" t="s">
        <v>348</v>
      </c>
      <c r="B1560" s="204" t="s">
        <v>184</v>
      </c>
      <c r="C1560" s="527"/>
      <c r="D1560" s="267"/>
      <c r="E1560" s="706"/>
      <c r="F1560" s="267"/>
      <c r="G1560" s="206"/>
      <c r="H1560" s="268"/>
      <c r="I1560" s="500"/>
      <c r="J1560" s="715"/>
      <c r="K1560" s="552">
        <f t="shared" si="98"/>
        <v>0</v>
      </c>
      <c r="L1560" s="217"/>
      <c r="M1560" s="211">
        <f t="shared" si="97"/>
        <v>-46136</v>
      </c>
      <c r="N1560" s="683">
        <f t="shared" si="99"/>
        <v>7</v>
      </c>
      <c r="O1560" s="212"/>
      <c r="P1560" s="544"/>
      <c r="Q1560" s="561">
        <f t="shared" si="96"/>
        <v>0</v>
      </c>
      <c r="R1560" s="223"/>
      <c r="S1560" s="223"/>
      <c r="T1560" s="223"/>
      <c r="U1560" s="223"/>
      <c r="V1560" s="223"/>
    </row>
    <row r="1561" spans="1:22" s="280" customFormat="1" ht="15.75" customHeight="1">
      <c r="A1561" s="468" t="s">
        <v>348</v>
      </c>
      <c r="B1561" s="204" t="s">
        <v>184</v>
      </c>
      <c r="C1561" s="527"/>
      <c r="D1561" s="267"/>
      <c r="E1561" s="706"/>
      <c r="F1561" s="267"/>
      <c r="G1561" s="206"/>
      <c r="H1561" s="268"/>
      <c r="I1561" s="500"/>
      <c r="J1561" s="715"/>
      <c r="K1561" s="552">
        <f t="shared" si="98"/>
        <v>0</v>
      </c>
      <c r="L1561" s="217"/>
      <c r="M1561" s="211">
        <f t="shared" si="97"/>
        <v>-46136</v>
      </c>
      <c r="N1561" s="683">
        <f t="shared" si="99"/>
        <v>7</v>
      </c>
      <c r="O1561" s="212"/>
      <c r="P1561" s="544"/>
      <c r="Q1561" s="561">
        <f t="shared" si="96"/>
        <v>0</v>
      </c>
      <c r="R1561" s="223"/>
      <c r="S1561" s="223"/>
      <c r="T1561" s="223"/>
      <c r="U1561" s="223"/>
      <c r="V1561" s="223"/>
    </row>
    <row r="1562" spans="1:22" s="280" customFormat="1" ht="15.75" customHeight="1">
      <c r="A1562" s="468" t="s">
        <v>348</v>
      </c>
      <c r="B1562" s="204" t="s">
        <v>184</v>
      </c>
      <c r="C1562" s="527"/>
      <c r="D1562" s="267"/>
      <c r="E1562" s="706"/>
      <c r="F1562" s="267"/>
      <c r="G1562" s="206"/>
      <c r="H1562" s="268"/>
      <c r="I1562" s="500"/>
      <c r="J1562" s="715"/>
      <c r="K1562" s="552">
        <f t="shared" si="98"/>
        <v>0</v>
      </c>
      <c r="L1562" s="217"/>
      <c r="M1562" s="211">
        <f t="shared" si="97"/>
        <v>-46136</v>
      </c>
      <c r="N1562" s="683">
        <f t="shared" si="99"/>
        <v>7</v>
      </c>
      <c r="O1562" s="212"/>
      <c r="P1562" s="544"/>
      <c r="Q1562" s="561">
        <f t="shared" si="96"/>
        <v>0</v>
      </c>
      <c r="R1562" s="223"/>
      <c r="S1562" s="223"/>
      <c r="T1562" s="223"/>
      <c r="U1562" s="223"/>
      <c r="V1562" s="223"/>
    </row>
    <row r="1563" spans="1:22" s="280" customFormat="1" ht="15.75" customHeight="1">
      <c r="A1563" s="468" t="s">
        <v>348</v>
      </c>
      <c r="B1563" s="204" t="s">
        <v>184</v>
      </c>
      <c r="C1563" s="527"/>
      <c r="D1563" s="267"/>
      <c r="E1563" s="706"/>
      <c r="F1563" s="267"/>
      <c r="G1563" s="206"/>
      <c r="H1563" s="268"/>
      <c r="I1563" s="500"/>
      <c r="J1563" s="715"/>
      <c r="K1563" s="552">
        <f t="shared" si="98"/>
        <v>0</v>
      </c>
      <c r="L1563" s="217"/>
      <c r="M1563" s="211">
        <f t="shared" si="97"/>
        <v>-46136</v>
      </c>
      <c r="N1563" s="683">
        <f t="shared" si="99"/>
        <v>7</v>
      </c>
      <c r="O1563" s="212"/>
      <c r="P1563" s="544"/>
      <c r="Q1563" s="561">
        <f t="shared" si="96"/>
        <v>0</v>
      </c>
      <c r="R1563" s="223"/>
      <c r="S1563" s="223"/>
      <c r="T1563" s="223"/>
      <c r="U1563" s="223"/>
      <c r="V1563" s="223"/>
    </row>
    <row r="1564" spans="1:22" s="280" customFormat="1" ht="15.75" customHeight="1">
      <c r="A1564" s="468" t="s">
        <v>348</v>
      </c>
      <c r="B1564" s="204" t="s">
        <v>184</v>
      </c>
      <c r="C1564" s="527"/>
      <c r="D1564" s="267"/>
      <c r="E1564" s="706"/>
      <c r="F1564" s="267"/>
      <c r="G1564" s="206"/>
      <c r="H1564" s="268"/>
      <c r="I1564" s="500"/>
      <c r="J1564" s="715"/>
      <c r="K1564" s="552">
        <f t="shared" si="98"/>
        <v>0</v>
      </c>
      <c r="L1564" s="217"/>
      <c r="M1564" s="211">
        <f t="shared" si="97"/>
        <v>-46136</v>
      </c>
      <c r="N1564" s="683">
        <f t="shared" si="99"/>
        <v>7</v>
      </c>
      <c r="O1564" s="212"/>
      <c r="P1564" s="544"/>
      <c r="Q1564" s="561">
        <f t="shared" si="96"/>
        <v>0</v>
      </c>
      <c r="R1564" s="223"/>
      <c r="S1564" s="223"/>
      <c r="T1564" s="223"/>
      <c r="U1564" s="223"/>
      <c r="V1564" s="223"/>
    </row>
    <row r="1565" spans="1:22" s="280" customFormat="1" ht="15.75" customHeight="1">
      <c r="A1565" s="468" t="s">
        <v>348</v>
      </c>
      <c r="B1565" s="204" t="s">
        <v>184</v>
      </c>
      <c r="C1565" s="527"/>
      <c r="D1565" s="267"/>
      <c r="E1565" s="706"/>
      <c r="F1565" s="267"/>
      <c r="G1565" s="206"/>
      <c r="H1565" s="268"/>
      <c r="I1565" s="502"/>
      <c r="J1565" s="715"/>
      <c r="K1565" s="552">
        <f t="shared" si="98"/>
        <v>0</v>
      </c>
      <c r="L1565" s="217"/>
      <c r="M1565" s="211">
        <f t="shared" si="97"/>
        <v>-46136</v>
      </c>
      <c r="N1565" s="683">
        <f t="shared" si="99"/>
        <v>7</v>
      </c>
      <c r="O1565" s="212"/>
      <c r="P1565" s="544"/>
      <c r="Q1565" s="561">
        <f t="shared" si="96"/>
        <v>0</v>
      </c>
      <c r="R1565" s="223"/>
      <c r="S1565" s="223"/>
      <c r="T1565" s="223"/>
      <c r="U1565" s="223"/>
      <c r="V1565" s="223"/>
    </row>
    <row r="1566" spans="1:22" s="280" customFormat="1" ht="15.75" customHeight="1">
      <c r="A1566" s="468" t="s">
        <v>348</v>
      </c>
      <c r="B1566" s="204" t="s">
        <v>184</v>
      </c>
      <c r="C1566" s="527"/>
      <c r="D1566" s="267"/>
      <c r="E1566" s="706"/>
      <c r="F1566" s="267"/>
      <c r="G1566" s="206"/>
      <c r="H1566" s="268"/>
      <c r="I1566" s="500"/>
      <c r="J1566" s="715"/>
      <c r="K1566" s="552">
        <f t="shared" si="98"/>
        <v>0</v>
      </c>
      <c r="L1566" s="217"/>
      <c r="M1566" s="211">
        <f t="shared" si="97"/>
        <v>-46136</v>
      </c>
      <c r="N1566" s="683">
        <f t="shared" si="99"/>
        <v>7</v>
      </c>
      <c r="O1566" s="212"/>
      <c r="P1566" s="544"/>
      <c r="Q1566" s="561">
        <f t="shared" si="96"/>
        <v>0</v>
      </c>
      <c r="R1566" s="223"/>
      <c r="S1566" s="223"/>
      <c r="T1566" s="223"/>
      <c r="U1566" s="223"/>
      <c r="V1566" s="223"/>
    </row>
    <row r="1567" spans="1:22" s="280" customFormat="1" ht="15.75" customHeight="1">
      <c r="A1567" s="468" t="s">
        <v>348</v>
      </c>
      <c r="B1567" s="204" t="s">
        <v>184</v>
      </c>
      <c r="C1567" s="527"/>
      <c r="D1567" s="267"/>
      <c r="E1567" s="706"/>
      <c r="F1567" s="267"/>
      <c r="G1567" s="206"/>
      <c r="H1567" s="268"/>
      <c r="I1567" s="500"/>
      <c r="J1567" s="715"/>
      <c r="K1567" s="552">
        <f t="shared" si="98"/>
        <v>0</v>
      </c>
      <c r="L1567" s="217"/>
      <c r="M1567" s="211">
        <f t="shared" si="97"/>
        <v>-46136</v>
      </c>
      <c r="N1567" s="683">
        <f t="shared" si="99"/>
        <v>7</v>
      </c>
      <c r="O1567" s="212"/>
      <c r="P1567" s="544"/>
      <c r="Q1567" s="561">
        <f t="shared" si="96"/>
        <v>0</v>
      </c>
      <c r="R1567" s="223"/>
      <c r="S1567" s="223"/>
      <c r="T1567" s="223"/>
      <c r="U1567" s="223"/>
      <c r="V1567" s="223"/>
    </row>
    <row r="1568" spans="1:22" s="280" customFormat="1" ht="15.75" customHeight="1">
      <c r="A1568" s="468" t="s">
        <v>348</v>
      </c>
      <c r="B1568" s="204" t="s">
        <v>184</v>
      </c>
      <c r="C1568" s="527"/>
      <c r="D1568" s="267"/>
      <c r="E1568" s="706"/>
      <c r="F1568" s="267"/>
      <c r="G1568" s="206"/>
      <c r="H1568" s="268"/>
      <c r="I1568" s="500"/>
      <c r="J1568" s="715"/>
      <c r="K1568" s="552">
        <f t="shared" si="98"/>
        <v>0</v>
      </c>
      <c r="L1568" s="217"/>
      <c r="M1568" s="211">
        <f t="shared" si="97"/>
        <v>-46136</v>
      </c>
      <c r="N1568" s="683">
        <f t="shared" si="99"/>
        <v>7</v>
      </c>
      <c r="O1568" s="212"/>
      <c r="P1568" s="544"/>
      <c r="Q1568" s="561">
        <f t="shared" si="96"/>
        <v>0</v>
      </c>
      <c r="R1568" s="223"/>
      <c r="S1568" s="223"/>
      <c r="T1568" s="223"/>
      <c r="U1568" s="223"/>
      <c r="V1568" s="223"/>
    </row>
    <row r="1569" spans="1:22" s="280" customFormat="1" ht="15.75" customHeight="1">
      <c r="A1569" s="468" t="s">
        <v>348</v>
      </c>
      <c r="B1569" s="204" t="s">
        <v>184</v>
      </c>
      <c r="C1569" s="527"/>
      <c r="D1569" s="267"/>
      <c r="E1569" s="706"/>
      <c r="F1569" s="267"/>
      <c r="G1569" s="206"/>
      <c r="H1569" s="268"/>
      <c r="I1569" s="500"/>
      <c r="J1569" s="715"/>
      <c r="K1569" s="552">
        <f t="shared" si="98"/>
        <v>0</v>
      </c>
      <c r="L1569" s="217"/>
      <c r="M1569" s="211">
        <f t="shared" si="97"/>
        <v>-46136</v>
      </c>
      <c r="N1569" s="683">
        <f t="shared" si="99"/>
        <v>7</v>
      </c>
      <c r="O1569" s="212"/>
      <c r="P1569" s="544"/>
      <c r="Q1569" s="561">
        <f t="shared" si="96"/>
        <v>0</v>
      </c>
      <c r="R1569" s="223"/>
      <c r="S1569" s="223"/>
      <c r="T1569" s="223"/>
      <c r="U1569" s="223"/>
      <c r="V1569" s="223"/>
    </row>
    <row r="1570" spans="1:22" s="280" customFormat="1" ht="15.75" customHeight="1">
      <c r="A1570" s="468" t="s">
        <v>348</v>
      </c>
      <c r="B1570" s="204" t="s">
        <v>184</v>
      </c>
      <c r="C1570" s="527"/>
      <c r="D1570" s="267"/>
      <c r="E1570" s="706"/>
      <c r="F1570" s="267"/>
      <c r="G1570" s="206"/>
      <c r="H1570" s="268"/>
      <c r="I1570" s="500"/>
      <c r="J1570" s="715"/>
      <c r="K1570" s="552">
        <f t="shared" si="98"/>
        <v>0</v>
      </c>
      <c r="L1570" s="217"/>
      <c r="M1570" s="211">
        <f t="shared" si="97"/>
        <v>-46136</v>
      </c>
      <c r="N1570" s="683">
        <f t="shared" si="99"/>
        <v>7</v>
      </c>
      <c r="O1570" s="212"/>
      <c r="P1570" s="544"/>
      <c r="Q1570" s="561">
        <f t="shared" si="96"/>
        <v>0</v>
      </c>
      <c r="R1570" s="223"/>
      <c r="S1570" s="223"/>
      <c r="T1570" s="223"/>
      <c r="U1570" s="223"/>
      <c r="V1570" s="223"/>
    </row>
    <row r="1571" spans="1:22" s="280" customFormat="1" ht="15.75" customHeight="1">
      <c r="A1571" s="468" t="s">
        <v>348</v>
      </c>
      <c r="B1571" s="204" t="s">
        <v>184</v>
      </c>
      <c r="C1571" s="527"/>
      <c r="D1571" s="267"/>
      <c r="E1571" s="706"/>
      <c r="F1571" s="267"/>
      <c r="G1571" s="206"/>
      <c r="H1571" s="268"/>
      <c r="I1571" s="500"/>
      <c r="J1571" s="715"/>
      <c r="K1571" s="552">
        <f t="shared" si="98"/>
        <v>0</v>
      </c>
      <c r="L1571" s="217"/>
      <c r="M1571" s="211">
        <f t="shared" si="97"/>
        <v>-46136</v>
      </c>
      <c r="N1571" s="683">
        <f t="shared" si="99"/>
        <v>7</v>
      </c>
      <c r="O1571" s="212"/>
      <c r="P1571" s="544"/>
      <c r="Q1571" s="561">
        <f t="shared" si="96"/>
        <v>0</v>
      </c>
      <c r="R1571" s="223"/>
      <c r="S1571" s="223"/>
      <c r="T1571" s="223"/>
      <c r="U1571" s="223"/>
      <c r="V1571" s="223"/>
    </row>
    <row r="1572" spans="1:22" s="280" customFormat="1" ht="15.75" customHeight="1">
      <c r="A1572" s="468" t="s">
        <v>348</v>
      </c>
      <c r="B1572" s="204" t="s">
        <v>184</v>
      </c>
      <c r="C1572" s="527"/>
      <c r="D1572" s="267"/>
      <c r="E1572" s="706"/>
      <c r="F1572" s="267"/>
      <c r="G1572" s="206"/>
      <c r="H1572" s="268"/>
      <c r="I1572" s="500"/>
      <c r="J1572" s="715"/>
      <c r="K1572" s="552">
        <f t="shared" si="98"/>
        <v>0</v>
      </c>
      <c r="L1572" s="217"/>
      <c r="M1572" s="211">
        <f t="shared" si="97"/>
        <v>-46136</v>
      </c>
      <c r="N1572" s="683">
        <f t="shared" si="99"/>
        <v>7</v>
      </c>
      <c r="O1572" s="212"/>
      <c r="P1572" s="544"/>
      <c r="Q1572" s="561">
        <f t="shared" si="96"/>
        <v>0</v>
      </c>
      <c r="R1572" s="223"/>
      <c r="S1572" s="223"/>
      <c r="T1572" s="223"/>
      <c r="U1572" s="223"/>
      <c r="V1572" s="223"/>
    </row>
    <row r="1573" spans="1:22" s="280" customFormat="1" ht="15.75" customHeight="1">
      <c r="A1573" s="468" t="s">
        <v>348</v>
      </c>
      <c r="B1573" s="204" t="s">
        <v>184</v>
      </c>
      <c r="C1573" s="527"/>
      <c r="D1573" s="267"/>
      <c r="E1573" s="706"/>
      <c r="F1573" s="267"/>
      <c r="G1573" s="206"/>
      <c r="H1573" s="268"/>
      <c r="I1573" s="500"/>
      <c r="J1573" s="715"/>
      <c r="K1573" s="552">
        <f t="shared" si="98"/>
        <v>0</v>
      </c>
      <c r="L1573" s="217"/>
      <c r="M1573" s="211">
        <f t="shared" si="97"/>
        <v>-46136</v>
      </c>
      <c r="N1573" s="683">
        <f t="shared" si="99"/>
        <v>7</v>
      </c>
      <c r="O1573" s="212"/>
      <c r="P1573" s="544"/>
      <c r="Q1573" s="561">
        <f t="shared" ref="Q1573:Q1636" si="100">+K1573+J1573</f>
        <v>0</v>
      </c>
      <c r="R1573" s="223"/>
      <c r="S1573" s="223"/>
      <c r="T1573" s="223"/>
      <c r="U1573" s="223"/>
      <c r="V1573" s="223"/>
    </row>
    <row r="1574" spans="1:22" s="280" customFormat="1" ht="15.75" customHeight="1">
      <c r="A1574" s="468" t="s">
        <v>348</v>
      </c>
      <c r="B1574" s="204" t="s">
        <v>184</v>
      </c>
      <c r="C1574" s="527"/>
      <c r="D1574" s="267"/>
      <c r="E1574" s="706"/>
      <c r="F1574" s="267"/>
      <c r="G1574" s="206"/>
      <c r="H1574" s="268"/>
      <c r="I1574" s="500"/>
      <c r="J1574" s="715"/>
      <c r="K1574" s="552">
        <f t="shared" si="98"/>
        <v>0</v>
      </c>
      <c r="L1574" s="217"/>
      <c r="M1574" s="211">
        <f t="shared" si="97"/>
        <v>-46136</v>
      </c>
      <c r="N1574" s="683">
        <f t="shared" si="99"/>
        <v>7</v>
      </c>
      <c r="O1574" s="212"/>
      <c r="P1574" s="544"/>
      <c r="Q1574" s="561">
        <f t="shared" si="100"/>
        <v>0</v>
      </c>
      <c r="R1574" s="223"/>
      <c r="S1574" s="223"/>
      <c r="T1574" s="223"/>
      <c r="U1574" s="223"/>
      <c r="V1574" s="223"/>
    </row>
    <row r="1575" spans="1:22" s="280" customFormat="1" ht="15.75" customHeight="1">
      <c r="A1575" s="468" t="s">
        <v>348</v>
      </c>
      <c r="B1575" s="204" t="s">
        <v>184</v>
      </c>
      <c r="C1575" s="527"/>
      <c r="D1575" s="267"/>
      <c r="E1575" s="706"/>
      <c r="F1575" s="267"/>
      <c r="G1575" s="206"/>
      <c r="H1575" s="268"/>
      <c r="I1575" s="500"/>
      <c r="J1575" s="715"/>
      <c r="K1575" s="552">
        <f t="shared" si="98"/>
        <v>0</v>
      </c>
      <c r="L1575" s="217"/>
      <c r="M1575" s="211">
        <f t="shared" si="97"/>
        <v>-46136</v>
      </c>
      <c r="N1575" s="683">
        <f t="shared" si="99"/>
        <v>7</v>
      </c>
      <c r="O1575" s="212"/>
      <c r="P1575" s="544"/>
      <c r="Q1575" s="561">
        <f t="shared" si="100"/>
        <v>0</v>
      </c>
      <c r="R1575" s="223"/>
      <c r="S1575" s="223"/>
      <c r="T1575" s="223"/>
      <c r="U1575" s="223"/>
      <c r="V1575" s="223"/>
    </row>
    <row r="1576" spans="1:22" s="280" customFormat="1" ht="15.75" customHeight="1">
      <c r="A1576" s="468" t="s">
        <v>348</v>
      </c>
      <c r="B1576" s="204" t="s">
        <v>184</v>
      </c>
      <c r="C1576" s="527"/>
      <c r="D1576" s="267"/>
      <c r="E1576" s="706"/>
      <c r="F1576" s="267"/>
      <c r="G1576" s="206"/>
      <c r="H1576" s="268"/>
      <c r="I1576" s="500"/>
      <c r="J1576" s="715"/>
      <c r="K1576" s="552">
        <f t="shared" si="98"/>
        <v>0</v>
      </c>
      <c r="L1576" s="217"/>
      <c r="M1576" s="211">
        <f t="shared" si="97"/>
        <v>-46136</v>
      </c>
      <c r="N1576" s="683">
        <f t="shared" si="99"/>
        <v>7</v>
      </c>
      <c r="O1576" s="212"/>
      <c r="P1576" s="544"/>
      <c r="Q1576" s="561">
        <f t="shared" si="100"/>
        <v>0</v>
      </c>
      <c r="R1576" s="223"/>
      <c r="S1576" s="223"/>
      <c r="T1576" s="223"/>
      <c r="U1576" s="223"/>
      <c r="V1576" s="223"/>
    </row>
    <row r="1577" spans="1:22" s="280" customFormat="1" ht="15.75" customHeight="1">
      <c r="A1577" s="468" t="s">
        <v>348</v>
      </c>
      <c r="B1577" s="204" t="s">
        <v>184</v>
      </c>
      <c r="C1577" s="527"/>
      <c r="D1577" s="267"/>
      <c r="E1577" s="706"/>
      <c r="F1577" s="267"/>
      <c r="G1577" s="206"/>
      <c r="H1577" s="268"/>
      <c r="I1577" s="500"/>
      <c r="J1577" s="715"/>
      <c r="K1577" s="552">
        <f t="shared" si="98"/>
        <v>0</v>
      </c>
      <c r="L1577" s="217"/>
      <c r="M1577" s="211">
        <f t="shared" si="97"/>
        <v>-46136</v>
      </c>
      <c r="N1577" s="683">
        <f t="shared" si="99"/>
        <v>7</v>
      </c>
      <c r="O1577" s="212"/>
      <c r="P1577" s="544"/>
      <c r="Q1577" s="561">
        <f t="shared" si="100"/>
        <v>0</v>
      </c>
      <c r="R1577" s="223"/>
      <c r="S1577" s="223"/>
      <c r="T1577" s="223"/>
      <c r="U1577" s="223"/>
      <c r="V1577" s="223"/>
    </row>
    <row r="1578" spans="1:22" s="280" customFormat="1" ht="15.75" customHeight="1">
      <c r="A1578" s="468" t="s">
        <v>348</v>
      </c>
      <c r="B1578" s="204" t="s">
        <v>184</v>
      </c>
      <c r="C1578" s="527"/>
      <c r="D1578" s="267"/>
      <c r="E1578" s="706"/>
      <c r="F1578" s="267"/>
      <c r="G1578" s="206"/>
      <c r="H1578" s="268"/>
      <c r="I1578" s="500"/>
      <c r="J1578" s="555"/>
      <c r="K1578" s="552">
        <f t="shared" si="98"/>
        <v>0</v>
      </c>
      <c r="L1578" s="217"/>
      <c r="M1578" s="211">
        <f t="shared" si="97"/>
        <v>-46136</v>
      </c>
      <c r="N1578" s="683">
        <f t="shared" si="99"/>
        <v>7</v>
      </c>
      <c r="O1578" s="212"/>
      <c r="P1578" s="544"/>
      <c r="Q1578" s="561">
        <f t="shared" si="100"/>
        <v>0</v>
      </c>
      <c r="R1578" s="223"/>
      <c r="S1578" s="223"/>
      <c r="T1578" s="223"/>
      <c r="U1578" s="223"/>
      <c r="V1578" s="223"/>
    </row>
    <row r="1579" spans="1:22" s="280" customFormat="1" ht="15.75" customHeight="1">
      <c r="A1579" s="468" t="s">
        <v>348</v>
      </c>
      <c r="B1579" s="204" t="s">
        <v>184</v>
      </c>
      <c r="C1579" s="527"/>
      <c r="D1579" s="267"/>
      <c r="E1579" s="706"/>
      <c r="F1579" s="267"/>
      <c r="G1579" s="206"/>
      <c r="H1579" s="268"/>
      <c r="I1579" s="500"/>
      <c r="J1579" s="555"/>
      <c r="K1579" s="552">
        <f t="shared" si="98"/>
        <v>0</v>
      </c>
      <c r="L1579" s="217"/>
      <c r="M1579" s="211">
        <f t="shared" si="97"/>
        <v>-46136</v>
      </c>
      <c r="N1579" s="683">
        <f t="shared" si="99"/>
        <v>7</v>
      </c>
      <c r="O1579" s="212"/>
      <c r="P1579" s="544"/>
      <c r="Q1579" s="561">
        <f t="shared" si="100"/>
        <v>0</v>
      </c>
      <c r="R1579" s="223"/>
      <c r="S1579" s="223"/>
      <c r="T1579" s="223"/>
      <c r="U1579" s="223"/>
      <c r="V1579" s="223"/>
    </row>
    <row r="1580" spans="1:22" s="280" customFormat="1" ht="15.75" customHeight="1">
      <c r="A1580" s="468" t="s">
        <v>348</v>
      </c>
      <c r="B1580" s="204" t="s">
        <v>184</v>
      </c>
      <c r="C1580" s="527"/>
      <c r="D1580" s="267"/>
      <c r="E1580" s="706"/>
      <c r="F1580" s="267"/>
      <c r="G1580" s="206"/>
      <c r="H1580" s="268"/>
      <c r="I1580" s="500"/>
      <c r="J1580" s="555"/>
      <c r="K1580" s="552">
        <f t="shared" si="98"/>
        <v>0</v>
      </c>
      <c r="L1580" s="217"/>
      <c r="M1580" s="211">
        <f t="shared" si="97"/>
        <v>-46136</v>
      </c>
      <c r="N1580" s="683">
        <f t="shared" si="99"/>
        <v>7</v>
      </c>
      <c r="O1580" s="212"/>
      <c r="P1580" s="544"/>
      <c r="Q1580" s="561">
        <f t="shared" si="100"/>
        <v>0</v>
      </c>
      <c r="R1580" s="223"/>
      <c r="S1580" s="223"/>
      <c r="T1580" s="223"/>
      <c r="U1580" s="223"/>
      <c r="V1580" s="223"/>
    </row>
    <row r="1581" spans="1:22" s="280" customFormat="1" ht="15.75" customHeight="1">
      <c r="A1581" s="468" t="s">
        <v>348</v>
      </c>
      <c r="B1581" s="204" t="s">
        <v>184</v>
      </c>
      <c r="C1581" s="527"/>
      <c r="D1581" s="267"/>
      <c r="E1581" s="706"/>
      <c r="F1581" s="267"/>
      <c r="G1581" s="206"/>
      <c r="H1581" s="268"/>
      <c r="I1581" s="500"/>
      <c r="J1581" s="555"/>
      <c r="K1581" s="552">
        <f t="shared" si="98"/>
        <v>0</v>
      </c>
      <c r="L1581" s="217"/>
      <c r="M1581" s="211">
        <f t="shared" si="97"/>
        <v>-46136</v>
      </c>
      <c r="N1581" s="683">
        <f t="shared" si="99"/>
        <v>7</v>
      </c>
      <c r="O1581" s="212"/>
      <c r="P1581" s="544"/>
      <c r="Q1581" s="561">
        <f t="shared" si="100"/>
        <v>0</v>
      </c>
      <c r="R1581" s="223"/>
      <c r="S1581" s="223"/>
      <c r="T1581" s="223"/>
      <c r="U1581" s="223"/>
      <c r="V1581" s="223"/>
    </row>
    <row r="1582" spans="1:22" s="280" customFormat="1" ht="15.75" customHeight="1">
      <c r="A1582" s="468" t="s">
        <v>348</v>
      </c>
      <c r="B1582" s="204" t="s">
        <v>184</v>
      </c>
      <c r="C1582" s="527"/>
      <c r="D1582" s="267"/>
      <c r="E1582" s="706"/>
      <c r="F1582" s="267"/>
      <c r="G1582" s="206"/>
      <c r="H1582" s="268"/>
      <c r="I1582" s="500"/>
      <c r="J1582" s="555"/>
      <c r="K1582" s="552">
        <f t="shared" si="98"/>
        <v>0</v>
      </c>
      <c r="L1582" s="217"/>
      <c r="M1582" s="211">
        <f t="shared" si="97"/>
        <v>-46136</v>
      </c>
      <c r="N1582" s="683">
        <f t="shared" si="99"/>
        <v>7</v>
      </c>
      <c r="O1582" s="212"/>
      <c r="P1582" s="544"/>
      <c r="Q1582" s="561">
        <f t="shared" si="100"/>
        <v>0</v>
      </c>
      <c r="R1582" s="223"/>
      <c r="S1582" s="223"/>
      <c r="T1582" s="223"/>
      <c r="U1582" s="223"/>
      <c r="V1582" s="223"/>
    </row>
    <row r="1583" spans="1:22" s="280" customFormat="1" ht="15.75" customHeight="1">
      <c r="A1583" s="468" t="s">
        <v>348</v>
      </c>
      <c r="B1583" s="204" t="s">
        <v>184</v>
      </c>
      <c r="C1583" s="527"/>
      <c r="D1583" s="205"/>
      <c r="E1583" s="706"/>
      <c r="F1583" s="205"/>
      <c r="G1583" s="206"/>
      <c r="H1583" s="268"/>
      <c r="I1583" s="500"/>
      <c r="J1583" s="715"/>
      <c r="K1583" s="552">
        <f t="shared" si="98"/>
        <v>0</v>
      </c>
      <c r="L1583" s="217"/>
      <c r="M1583" s="211">
        <f t="shared" si="97"/>
        <v>-46136</v>
      </c>
      <c r="N1583" s="683">
        <f t="shared" si="99"/>
        <v>7</v>
      </c>
      <c r="O1583" s="212"/>
      <c r="P1583" s="544"/>
      <c r="Q1583" s="561">
        <f t="shared" si="100"/>
        <v>0</v>
      </c>
      <c r="R1583" s="223"/>
      <c r="S1583" s="223"/>
      <c r="T1583" s="223"/>
      <c r="U1583" s="223"/>
      <c r="V1583" s="223"/>
    </row>
    <row r="1584" spans="1:22" s="280" customFormat="1" ht="15.75" customHeight="1">
      <c r="A1584" s="468" t="s">
        <v>348</v>
      </c>
      <c r="B1584" s="204" t="s">
        <v>184</v>
      </c>
      <c r="C1584" s="527"/>
      <c r="D1584" s="205"/>
      <c r="E1584" s="706"/>
      <c r="F1584" s="205"/>
      <c r="G1584" s="206"/>
      <c r="H1584" s="268"/>
      <c r="I1584" s="500"/>
      <c r="J1584" s="715"/>
      <c r="K1584" s="552">
        <f t="shared" si="98"/>
        <v>0</v>
      </c>
      <c r="L1584" s="217"/>
      <c r="M1584" s="211">
        <f t="shared" si="97"/>
        <v>-46136</v>
      </c>
      <c r="N1584" s="683">
        <f t="shared" si="99"/>
        <v>7</v>
      </c>
      <c r="O1584" s="212"/>
      <c r="P1584" s="544"/>
      <c r="Q1584" s="561">
        <f t="shared" si="100"/>
        <v>0</v>
      </c>
      <c r="R1584" s="223"/>
      <c r="S1584" s="223"/>
      <c r="T1584" s="223"/>
      <c r="U1584" s="223"/>
      <c r="V1584" s="223"/>
    </row>
    <row r="1585" spans="1:22" s="280" customFormat="1" ht="15.75" customHeight="1">
      <c r="A1585" s="468" t="s">
        <v>348</v>
      </c>
      <c r="B1585" s="204" t="s">
        <v>184</v>
      </c>
      <c r="C1585" s="527"/>
      <c r="D1585" s="205"/>
      <c r="E1585" s="706"/>
      <c r="F1585" s="205"/>
      <c r="G1585" s="206"/>
      <c r="H1585" s="268"/>
      <c r="I1585" s="500"/>
      <c r="J1585" s="715"/>
      <c r="K1585" s="552">
        <f t="shared" si="98"/>
        <v>0</v>
      </c>
      <c r="L1585" s="217"/>
      <c r="M1585" s="211">
        <f t="shared" si="97"/>
        <v>-46136</v>
      </c>
      <c r="N1585" s="683">
        <f t="shared" si="99"/>
        <v>7</v>
      </c>
      <c r="O1585" s="212"/>
      <c r="P1585" s="544"/>
      <c r="Q1585" s="561">
        <f t="shared" si="100"/>
        <v>0</v>
      </c>
      <c r="R1585" s="223"/>
      <c r="S1585" s="223"/>
      <c r="T1585" s="223"/>
      <c r="U1585" s="223"/>
      <c r="V1585" s="223"/>
    </row>
    <row r="1586" spans="1:22" s="280" customFormat="1" ht="15.75" customHeight="1">
      <c r="A1586" s="468" t="s">
        <v>348</v>
      </c>
      <c r="B1586" s="204" t="s">
        <v>184</v>
      </c>
      <c r="C1586" s="527"/>
      <c r="D1586" s="267"/>
      <c r="E1586" s="706"/>
      <c r="F1586" s="267"/>
      <c r="G1586" s="206"/>
      <c r="H1586" s="268"/>
      <c r="I1586" s="500"/>
      <c r="J1586" s="715"/>
      <c r="K1586" s="552">
        <f t="shared" si="98"/>
        <v>0</v>
      </c>
      <c r="L1586" s="217"/>
      <c r="M1586" s="211">
        <f t="shared" si="97"/>
        <v>-46136</v>
      </c>
      <c r="N1586" s="683">
        <f t="shared" si="99"/>
        <v>7</v>
      </c>
      <c r="O1586" s="212"/>
      <c r="P1586" s="544"/>
      <c r="Q1586" s="561">
        <f t="shared" si="100"/>
        <v>0</v>
      </c>
      <c r="R1586" s="223"/>
      <c r="S1586" s="223"/>
      <c r="T1586" s="223"/>
      <c r="U1586" s="223"/>
      <c r="V1586" s="223"/>
    </row>
    <row r="1587" spans="1:22" s="280" customFormat="1" ht="15.75" customHeight="1">
      <c r="A1587" s="468" t="s">
        <v>348</v>
      </c>
      <c r="B1587" s="204" t="s">
        <v>184</v>
      </c>
      <c r="C1587" s="527"/>
      <c r="D1587" s="267"/>
      <c r="E1587" s="706"/>
      <c r="F1587" s="267"/>
      <c r="G1587" s="206"/>
      <c r="H1587" s="268"/>
      <c r="I1587" s="500"/>
      <c r="J1587" s="715"/>
      <c r="K1587" s="552">
        <f t="shared" si="98"/>
        <v>0</v>
      </c>
      <c r="L1587" s="217"/>
      <c r="M1587" s="211">
        <f t="shared" si="97"/>
        <v>-46136</v>
      </c>
      <c r="N1587" s="683">
        <f t="shared" si="99"/>
        <v>7</v>
      </c>
      <c r="O1587" s="212"/>
      <c r="P1587" s="544"/>
      <c r="Q1587" s="561">
        <f t="shared" si="100"/>
        <v>0</v>
      </c>
      <c r="R1587" s="223"/>
      <c r="S1587" s="223"/>
      <c r="T1587" s="223"/>
      <c r="U1587" s="223"/>
      <c r="V1587" s="223"/>
    </row>
    <row r="1588" spans="1:22" s="280" customFormat="1" ht="15.75" customHeight="1">
      <c r="A1588" s="468" t="s">
        <v>348</v>
      </c>
      <c r="B1588" s="204" t="s">
        <v>184</v>
      </c>
      <c r="C1588" s="527"/>
      <c r="D1588" s="267"/>
      <c r="E1588" s="706"/>
      <c r="F1588" s="267"/>
      <c r="G1588" s="206"/>
      <c r="H1588" s="268"/>
      <c r="I1588" s="500"/>
      <c r="J1588" s="715"/>
      <c r="K1588" s="552">
        <f t="shared" si="98"/>
        <v>0</v>
      </c>
      <c r="L1588" s="217"/>
      <c r="M1588" s="211">
        <f t="shared" si="97"/>
        <v>-46136</v>
      </c>
      <c r="N1588" s="683">
        <f t="shared" si="99"/>
        <v>7</v>
      </c>
      <c r="O1588" s="212"/>
      <c r="P1588" s="544"/>
      <c r="Q1588" s="561">
        <f t="shared" si="100"/>
        <v>0</v>
      </c>
      <c r="R1588" s="223"/>
      <c r="S1588" s="223"/>
      <c r="T1588" s="223"/>
      <c r="U1588" s="223"/>
      <c r="V1588" s="223"/>
    </row>
    <row r="1589" spans="1:22" s="280" customFormat="1" ht="15.75" customHeight="1">
      <c r="A1589" s="468" t="s">
        <v>348</v>
      </c>
      <c r="B1589" s="204" t="s">
        <v>184</v>
      </c>
      <c r="C1589" s="527"/>
      <c r="D1589" s="267"/>
      <c r="E1589" s="706"/>
      <c r="F1589" s="267"/>
      <c r="G1589" s="206"/>
      <c r="H1589" s="268"/>
      <c r="I1589" s="500"/>
      <c r="J1589" s="715"/>
      <c r="K1589" s="552">
        <f t="shared" si="98"/>
        <v>0</v>
      </c>
      <c r="L1589" s="217"/>
      <c r="M1589" s="211">
        <f t="shared" si="97"/>
        <v>-46136</v>
      </c>
      <c r="N1589" s="683">
        <f t="shared" si="99"/>
        <v>7</v>
      </c>
      <c r="O1589" s="212"/>
      <c r="P1589" s="544"/>
      <c r="Q1589" s="561">
        <f t="shared" si="100"/>
        <v>0</v>
      </c>
      <c r="R1589" s="223"/>
      <c r="S1589" s="223"/>
      <c r="T1589" s="223"/>
      <c r="U1589" s="223"/>
      <c r="V1589" s="223"/>
    </row>
    <row r="1590" spans="1:22" s="280" customFormat="1" ht="15.75" customHeight="1">
      <c r="A1590" s="468" t="s">
        <v>348</v>
      </c>
      <c r="B1590" s="204" t="s">
        <v>184</v>
      </c>
      <c r="C1590" s="527"/>
      <c r="D1590" s="267"/>
      <c r="E1590" s="706"/>
      <c r="F1590" s="267"/>
      <c r="G1590" s="206"/>
      <c r="H1590" s="268"/>
      <c r="I1590" s="500"/>
      <c r="J1590" s="715"/>
      <c r="K1590" s="552">
        <f t="shared" si="98"/>
        <v>0</v>
      </c>
      <c r="L1590" s="217"/>
      <c r="M1590" s="211">
        <f t="shared" si="97"/>
        <v>-46136</v>
      </c>
      <c r="N1590" s="683">
        <f t="shared" si="99"/>
        <v>7</v>
      </c>
      <c r="O1590" s="212"/>
      <c r="P1590" s="544"/>
      <c r="Q1590" s="561">
        <f t="shared" si="100"/>
        <v>0</v>
      </c>
      <c r="R1590" s="223"/>
      <c r="S1590" s="223"/>
      <c r="T1590" s="223"/>
      <c r="U1590" s="223"/>
      <c r="V1590" s="223"/>
    </row>
    <row r="1591" spans="1:22" s="280" customFormat="1" ht="15.75" customHeight="1">
      <c r="A1591" s="468" t="s">
        <v>348</v>
      </c>
      <c r="B1591" s="204" t="s">
        <v>184</v>
      </c>
      <c r="C1591" s="527"/>
      <c r="D1591" s="267"/>
      <c r="E1591" s="706"/>
      <c r="F1591" s="267"/>
      <c r="G1591" s="206"/>
      <c r="H1591" s="268"/>
      <c r="I1591" s="500"/>
      <c r="J1591" s="715"/>
      <c r="K1591" s="552">
        <f t="shared" si="98"/>
        <v>0</v>
      </c>
      <c r="L1591" s="217"/>
      <c r="M1591" s="211">
        <f t="shared" si="97"/>
        <v>-46136</v>
      </c>
      <c r="N1591" s="683">
        <f t="shared" si="99"/>
        <v>7</v>
      </c>
      <c r="O1591" s="212"/>
      <c r="P1591" s="544"/>
      <c r="Q1591" s="561">
        <f t="shared" si="100"/>
        <v>0</v>
      </c>
      <c r="R1591" s="223"/>
      <c r="S1591" s="223"/>
      <c r="T1591" s="223"/>
      <c r="U1591" s="223"/>
      <c r="V1591" s="223"/>
    </row>
    <row r="1592" spans="1:22" s="280" customFormat="1" ht="15.75" customHeight="1">
      <c r="A1592" s="468" t="s">
        <v>348</v>
      </c>
      <c r="B1592" s="204" t="s">
        <v>184</v>
      </c>
      <c r="C1592" s="527"/>
      <c r="D1592" s="267"/>
      <c r="E1592" s="706"/>
      <c r="F1592" s="267"/>
      <c r="G1592" s="206"/>
      <c r="H1592" s="268"/>
      <c r="I1592" s="500"/>
      <c r="J1592" s="715"/>
      <c r="K1592" s="552">
        <f t="shared" si="98"/>
        <v>0</v>
      </c>
      <c r="L1592" s="217"/>
      <c r="M1592" s="211">
        <f t="shared" si="97"/>
        <v>-46136</v>
      </c>
      <c r="N1592" s="683">
        <f t="shared" si="99"/>
        <v>7</v>
      </c>
      <c r="O1592" s="212"/>
      <c r="P1592" s="544"/>
      <c r="Q1592" s="561">
        <f t="shared" si="100"/>
        <v>0</v>
      </c>
      <c r="R1592" s="223"/>
      <c r="S1592" s="223"/>
      <c r="T1592" s="223"/>
      <c r="U1592" s="223"/>
      <c r="V1592" s="223"/>
    </row>
    <row r="1593" spans="1:22" s="280" customFormat="1" ht="15.75" customHeight="1">
      <c r="A1593" s="468" t="s">
        <v>348</v>
      </c>
      <c r="B1593" s="204" t="s">
        <v>184</v>
      </c>
      <c r="C1593" s="527"/>
      <c r="D1593" s="267"/>
      <c r="E1593" s="706"/>
      <c r="F1593" s="267"/>
      <c r="G1593" s="206"/>
      <c r="H1593" s="268"/>
      <c r="I1593" s="500"/>
      <c r="J1593" s="715"/>
      <c r="K1593" s="552">
        <f t="shared" si="98"/>
        <v>0</v>
      </c>
      <c r="L1593" s="217"/>
      <c r="M1593" s="211">
        <f t="shared" si="97"/>
        <v>-46136</v>
      </c>
      <c r="N1593" s="683">
        <f t="shared" si="99"/>
        <v>7</v>
      </c>
      <c r="O1593" s="212"/>
      <c r="P1593" s="544"/>
      <c r="Q1593" s="561">
        <f t="shared" si="100"/>
        <v>0</v>
      </c>
      <c r="R1593" s="223"/>
      <c r="S1593" s="223"/>
      <c r="T1593" s="223"/>
      <c r="U1593" s="223"/>
      <c r="V1593" s="223"/>
    </row>
    <row r="1594" spans="1:22" s="280" customFormat="1" ht="15.75" customHeight="1">
      <c r="A1594" s="468" t="s">
        <v>348</v>
      </c>
      <c r="B1594" s="204" t="s">
        <v>184</v>
      </c>
      <c r="C1594" s="527"/>
      <c r="D1594" s="267"/>
      <c r="E1594" s="706"/>
      <c r="F1594" s="267"/>
      <c r="G1594" s="206"/>
      <c r="H1594" s="268"/>
      <c r="I1594" s="500"/>
      <c r="J1594" s="715"/>
      <c r="K1594" s="552">
        <f t="shared" si="98"/>
        <v>0</v>
      </c>
      <c r="L1594" s="217"/>
      <c r="M1594" s="211">
        <f t="shared" si="97"/>
        <v>-46136</v>
      </c>
      <c r="N1594" s="683">
        <f t="shared" si="99"/>
        <v>7</v>
      </c>
      <c r="O1594" s="212"/>
      <c r="P1594" s="544"/>
      <c r="Q1594" s="561">
        <f t="shared" si="100"/>
        <v>0</v>
      </c>
      <c r="R1594" s="223"/>
      <c r="S1594" s="223"/>
      <c r="T1594" s="223"/>
      <c r="U1594" s="223"/>
      <c r="V1594" s="223"/>
    </row>
    <row r="1595" spans="1:22" s="280" customFormat="1" ht="15.75" customHeight="1">
      <c r="A1595" s="468" t="s">
        <v>348</v>
      </c>
      <c r="B1595" s="204" t="s">
        <v>184</v>
      </c>
      <c r="C1595" s="527"/>
      <c r="D1595" s="267"/>
      <c r="E1595" s="706"/>
      <c r="F1595" s="267"/>
      <c r="G1595" s="206"/>
      <c r="H1595" s="268"/>
      <c r="I1595" s="500"/>
      <c r="J1595" s="715"/>
      <c r="K1595" s="552">
        <f t="shared" si="98"/>
        <v>0</v>
      </c>
      <c r="L1595" s="217"/>
      <c r="M1595" s="211">
        <f t="shared" si="97"/>
        <v>-46136</v>
      </c>
      <c r="N1595" s="683">
        <f t="shared" si="99"/>
        <v>7</v>
      </c>
      <c r="O1595" s="212"/>
      <c r="P1595" s="544"/>
      <c r="Q1595" s="561">
        <f t="shared" si="100"/>
        <v>0</v>
      </c>
      <c r="R1595" s="223"/>
      <c r="S1595" s="223"/>
      <c r="T1595" s="223"/>
      <c r="U1595" s="223"/>
      <c r="V1595" s="223"/>
    </row>
    <row r="1596" spans="1:22" s="280" customFormat="1" ht="15.75" customHeight="1">
      <c r="A1596" s="468" t="s">
        <v>348</v>
      </c>
      <c r="B1596" s="204" t="s">
        <v>184</v>
      </c>
      <c r="C1596" s="527"/>
      <c r="D1596" s="267"/>
      <c r="E1596" s="706"/>
      <c r="F1596" s="267"/>
      <c r="G1596" s="206"/>
      <c r="H1596" s="268"/>
      <c r="I1596" s="500"/>
      <c r="J1596" s="715"/>
      <c r="K1596" s="552">
        <f t="shared" si="98"/>
        <v>0</v>
      </c>
      <c r="L1596" s="217"/>
      <c r="M1596" s="211">
        <f t="shared" si="97"/>
        <v>-46136</v>
      </c>
      <c r="N1596" s="683">
        <f t="shared" si="99"/>
        <v>7</v>
      </c>
      <c r="O1596" s="212"/>
      <c r="P1596" s="544"/>
      <c r="Q1596" s="561">
        <f t="shared" si="100"/>
        <v>0</v>
      </c>
      <c r="R1596" s="223"/>
      <c r="S1596" s="223"/>
      <c r="T1596" s="223"/>
      <c r="U1596" s="223"/>
      <c r="V1596" s="223"/>
    </row>
    <row r="1597" spans="1:22" s="280" customFormat="1" ht="15.75" customHeight="1">
      <c r="A1597" s="468" t="s">
        <v>348</v>
      </c>
      <c r="B1597" s="204" t="s">
        <v>184</v>
      </c>
      <c r="C1597" s="527"/>
      <c r="D1597" s="267"/>
      <c r="E1597" s="706"/>
      <c r="F1597" s="267"/>
      <c r="G1597" s="206"/>
      <c r="H1597" s="268"/>
      <c r="I1597" s="500"/>
      <c r="J1597" s="715"/>
      <c r="K1597" s="552">
        <f t="shared" si="98"/>
        <v>0</v>
      </c>
      <c r="L1597" s="217"/>
      <c r="M1597" s="211">
        <f t="shared" si="97"/>
        <v>-46136</v>
      </c>
      <c r="N1597" s="683">
        <f t="shared" si="99"/>
        <v>7</v>
      </c>
      <c r="O1597" s="212"/>
      <c r="P1597" s="544"/>
      <c r="Q1597" s="561">
        <f t="shared" si="100"/>
        <v>0</v>
      </c>
      <c r="R1597" s="223"/>
      <c r="S1597" s="223"/>
      <c r="T1597" s="223"/>
      <c r="U1597" s="223"/>
      <c r="V1597" s="223"/>
    </row>
    <row r="1598" spans="1:22" s="280" customFormat="1" ht="15.75" customHeight="1">
      <c r="A1598" s="468" t="s">
        <v>348</v>
      </c>
      <c r="B1598" s="204" t="s">
        <v>184</v>
      </c>
      <c r="C1598" s="527"/>
      <c r="D1598" s="267"/>
      <c r="E1598" s="706"/>
      <c r="F1598" s="267"/>
      <c r="G1598" s="206"/>
      <c r="H1598" s="268"/>
      <c r="I1598" s="500"/>
      <c r="J1598" s="715"/>
      <c r="K1598" s="552">
        <f t="shared" si="98"/>
        <v>0</v>
      </c>
      <c r="L1598" s="217"/>
      <c r="M1598" s="211">
        <f t="shared" si="97"/>
        <v>-46136</v>
      </c>
      <c r="N1598" s="683">
        <f t="shared" si="99"/>
        <v>7</v>
      </c>
      <c r="O1598" s="212"/>
      <c r="P1598" s="544"/>
      <c r="Q1598" s="561">
        <f t="shared" si="100"/>
        <v>0</v>
      </c>
      <c r="R1598" s="223"/>
      <c r="S1598" s="223"/>
      <c r="T1598" s="223"/>
      <c r="U1598" s="223"/>
      <c r="V1598" s="223"/>
    </row>
    <row r="1599" spans="1:22" s="280" customFormat="1" ht="15.75" customHeight="1">
      <c r="A1599" s="468" t="s">
        <v>348</v>
      </c>
      <c r="B1599" s="204" t="s">
        <v>184</v>
      </c>
      <c r="C1599" s="527"/>
      <c r="D1599" s="267"/>
      <c r="E1599" s="706"/>
      <c r="F1599" s="267"/>
      <c r="G1599" s="206"/>
      <c r="H1599" s="268"/>
      <c r="I1599" s="500"/>
      <c r="J1599" s="715"/>
      <c r="K1599" s="552">
        <f t="shared" si="98"/>
        <v>0</v>
      </c>
      <c r="L1599" s="217"/>
      <c r="M1599" s="211">
        <f t="shared" si="97"/>
        <v>-46136</v>
      </c>
      <c r="N1599" s="683">
        <f t="shared" si="99"/>
        <v>7</v>
      </c>
      <c r="O1599" s="212"/>
      <c r="P1599" s="544"/>
      <c r="Q1599" s="561">
        <f t="shared" si="100"/>
        <v>0</v>
      </c>
      <c r="R1599" s="223"/>
      <c r="S1599" s="223"/>
      <c r="T1599" s="223"/>
      <c r="U1599" s="223"/>
      <c r="V1599" s="223"/>
    </row>
    <row r="1600" spans="1:22" s="280" customFormat="1" ht="15.75" customHeight="1">
      <c r="A1600" s="468" t="s">
        <v>348</v>
      </c>
      <c r="B1600" s="204" t="s">
        <v>184</v>
      </c>
      <c r="C1600" s="527"/>
      <c r="D1600" s="267"/>
      <c r="E1600" s="706"/>
      <c r="F1600" s="267"/>
      <c r="G1600" s="206"/>
      <c r="H1600" s="268"/>
      <c r="I1600" s="500"/>
      <c r="J1600" s="715"/>
      <c r="K1600" s="552">
        <f t="shared" si="98"/>
        <v>0</v>
      </c>
      <c r="L1600" s="217"/>
      <c r="M1600" s="211">
        <f t="shared" si="97"/>
        <v>-46136</v>
      </c>
      <c r="N1600" s="683">
        <f t="shared" si="99"/>
        <v>7</v>
      </c>
      <c r="O1600" s="212"/>
      <c r="P1600" s="544"/>
      <c r="Q1600" s="561">
        <f t="shared" si="100"/>
        <v>0</v>
      </c>
      <c r="R1600" s="223"/>
      <c r="S1600" s="223"/>
      <c r="T1600" s="223"/>
      <c r="U1600" s="223"/>
      <c r="V1600" s="223"/>
    </row>
    <row r="1601" spans="1:22" s="280" customFormat="1" ht="15.75" customHeight="1">
      <c r="A1601" s="468" t="s">
        <v>348</v>
      </c>
      <c r="B1601" s="204" t="s">
        <v>184</v>
      </c>
      <c r="C1601" s="527"/>
      <c r="D1601" s="267"/>
      <c r="E1601" s="706"/>
      <c r="F1601" s="267"/>
      <c r="G1601" s="206"/>
      <c r="H1601" s="268"/>
      <c r="I1601" s="500"/>
      <c r="J1601" s="715"/>
      <c r="K1601" s="552">
        <f t="shared" si="98"/>
        <v>0</v>
      </c>
      <c r="L1601" s="217"/>
      <c r="M1601" s="211">
        <f t="shared" si="97"/>
        <v>-46136</v>
      </c>
      <c r="N1601" s="683">
        <f t="shared" si="99"/>
        <v>7</v>
      </c>
      <c r="O1601" s="212"/>
      <c r="P1601" s="544"/>
      <c r="Q1601" s="561">
        <f t="shared" si="100"/>
        <v>0</v>
      </c>
      <c r="R1601" s="223"/>
      <c r="S1601" s="223"/>
      <c r="T1601" s="223"/>
      <c r="U1601" s="223"/>
      <c r="V1601" s="223"/>
    </row>
    <row r="1602" spans="1:22" s="280" customFormat="1" ht="15.75" customHeight="1">
      <c r="A1602" s="468" t="s">
        <v>348</v>
      </c>
      <c r="B1602" s="204" t="s">
        <v>184</v>
      </c>
      <c r="C1602" s="527"/>
      <c r="D1602" s="267"/>
      <c r="E1602" s="706"/>
      <c r="F1602" s="267"/>
      <c r="G1602" s="206"/>
      <c r="H1602" s="268"/>
      <c r="I1602" s="500"/>
      <c r="J1602" s="715"/>
      <c r="K1602" s="552">
        <f t="shared" si="98"/>
        <v>0</v>
      </c>
      <c r="L1602" s="217"/>
      <c r="M1602" s="211">
        <f t="shared" si="97"/>
        <v>-46136</v>
      </c>
      <c r="N1602" s="683">
        <f t="shared" si="99"/>
        <v>7</v>
      </c>
      <c r="O1602" s="212"/>
      <c r="P1602" s="544"/>
      <c r="Q1602" s="561">
        <f t="shared" si="100"/>
        <v>0</v>
      </c>
      <c r="R1602" s="223"/>
      <c r="S1602" s="223"/>
      <c r="T1602" s="223"/>
      <c r="U1602" s="223"/>
      <c r="V1602" s="223"/>
    </row>
    <row r="1603" spans="1:22" s="280" customFormat="1" ht="15.75" customHeight="1">
      <c r="A1603" s="468" t="s">
        <v>348</v>
      </c>
      <c r="B1603" s="204" t="s">
        <v>184</v>
      </c>
      <c r="C1603" s="527"/>
      <c r="D1603" s="267"/>
      <c r="E1603" s="706"/>
      <c r="F1603" s="267"/>
      <c r="G1603" s="206"/>
      <c r="H1603" s="268"/>
      <c r="I1603" s="500"/>
      <c r="J1603" s="715"/>
      <c r="K1603" s="552">
        <f t="shared" si="98"/>
        <v>0</v>
      </c>
      <c r="L1603" s="217"/>
      <c r="M1603" s="211">
        <f t="shared" si="97"/>
        <v>-46136</v>
      </c>
      <c r="N1603" s="683">
        <f t="shared" si="99"/>
        <v>7</v>
      </c>
      <c r="O1603" s="212"/>
      <c r="P1603" s="544"/>
      <c r="Q1603" s="561">
        <f t="shared" si="100"/>
        <v>0</v>
      </c>
      <c r="R1603" s="223"/>
      <c r="S1603" s="223"/>
      <c r="T1603" s="223"/>
      <c r="U1603" s="223"/>
      <c r="V1603" s="223"/>
    </row>
    <row r="1604" spans="1:22" s="280" customFormat="1" ht="15.75" customHeight="1">
      <c r="A1604" s="468" t="s">
        <v>348</v>
      </c>
      <c r="B1604" s="204" t="s">
        <v>184</v>
      </c>
      <c r="C1604" s="527"/>
      <c r="D1604" s="267"/>
      <c r="E1604" s="706"/>
      <c r="F1604" s="267"/>
      <c r="G1604" s="206"/>
      <c r="H1604" s="268"/>
      <c r="I1604" s="500"/>
      <c r="J1604" s="715"/>
      <c r="K1604" s="552">
        <f t="shared" si="98"/>
        <v>0</v>
      </c>
      <c r="L1604" s="217"/>
      <c r="M1604" s="211">
        <f t="shared" si="97"/>
        <v>-46136</v>
      </c>
      <c r="N1604" s="683">
        <f t="shared" si="99"/>
        <v>7</v>
      </c>
      <c r="O1604" s="212"/>
      <c r="P1604" s="544"/>
      <c r="Q1604" s="561">
        <f t="shared" si="100"/>
        <v>0</v>
      </c>
      <c r="R1604" s="223"/>
      <c r="S1604" s="223"/>
      <c r="T1604" s="223"/>
      <c r="U1604" s="223"/>
      <c r="V1604" s="223"/>
    </row>
    <row r="1605" spans="1:22" s="280" customFormat="1" ht="15.75" customHeight="1">
      <c r="A1605" s="468" t="s">
        <v>348</v>
      </c>
      <c r="B1605" s="204" t="s">
        <v>184</v>
      </c>
      <c r="C1605" s="527"/>
      <c r="D1605" s="267"/>
      <c r="E1605" s="706"/>
      <c r="F1605" s="267"/>
      <c r="G1605" s="206"/>
      <c r="H1605" s="268"/>
      <c r="I1605" s="500"/>
      <c r="J1605" s="715"/>
      <c r="K1605" s="552">
        <f t="shared" si="98"/>
        <v>0</v>
      </c>
      <c r="L1605" s="217"/>
      <c r="M1605" s="211">
        <f t="shared" si="97"/>
        <v>-46136</v>
      </c>
      <c r="N1605" s="683">
        <f t="shared" si="99"/>
        <v>7</v>
      </c>
      <c r="O1605" s="212"/>
      <c r="P1605" s="544"/>
      <c r="Q1605" s="561">
        <f t="shared" si="100"/>
        <v>0</v>
      </c>
      <c r="R1605" s="223"/>
      <c r="S1605" s="223"/>
      <c r="T1605" s="223"/>
      <c r="U1605" s="223"/>
      <c r="V1605" s="223"/>
    </row>
    <row r="1606" spans="1:22" s="280" customFormat="1" ht="15.75" customHeight="1">
      <c r="A1606" s="468" t="s">
        <v>348</v>
      </c>
      <c r="B1606" s="204" t="s">
        <v>184</v>
      </c>
      <c r="C1606" s="527"/>
      <c r="D1606" s="267"/>
      <c r="E1606" s="706"/>
      <c r="F1606" s="267"/>
      <c r="G1606" s="206"/>
      <c r="H1606" s="268"/>
      <c r="I1606" s="500"/>
      <c r="J1606" s="715"/>
      <c r="K1606" s="552">
        <f t="shared" si="98"/>
        <v>0</v>
      </c>
      <c r="L1606" s="217"/>
      <c r="M1606" s="211">
        <f t="shared" si="97"/>
        <v>-46136</v>
      </c>
      <c r="N1606" s="683">
        <f t="shared" si="99"/>
        <v>7</v>
      </c>
      <c r="O1606" s="212"/>
      <c r="P1606" s="544"/>
      <c r="Q1606" s="561">
        <f t="shared" si="100"/>
        <v>0</v>
      </c>
      <c r="R1606" s="223"/>
      <c r="S1606" s="223"/>
      <c r="T1606" s="223"/>
      <c r="U1606" s="223"/>
      <c r="V1606" s="223"/>
    </row>
    <row r="1607" spans="1:22" s="280" customFormat="1" ht="15.75" customHeight="1">
      <c r="A1607" s="468" t="s">
        <v>348</v>
      </c>
      <c r="B1607" s="204" t="s">
        <v>184</v>
      </c>
      <c r="C1607" s="527"/>
      <c r="D1607" s="267"/>
      <c r="E1607" s="706"/>
      <c r="F1607" s="267"/>
      <c r="G1607" s="206"/>
      <c r="H1607" s="268"/>
      <c r="I1607" s="500"/>
      <c r="J1607" s="715"/>
      <c r="K1607" s="552">
        <f t="shared" si="98"/>
        <v>0</v>
      </c>
      <c r="L1607" s="217"/>
      <c r="M1607" s="211">
        <f t="shared" si="97"/>
        <v>-46136</v>
      </c>
      <c r="N1607" s="683">
        <f t="shared" si="99"/>
        <v>7</v>
      </c>
      <c r="O1607" s="212"/>
      <c r="P1607" s="544"/>
      <c r="Q1607" s="561">
        <f t="shared" si="100"/>
        <v>0</v>
      </c>
      <c r="R1607" s="223"/>
      <c r="S1607" s="223"/>
      <c r="T1607" s="223"/>
      <c r="U1607" s="223"/>
      <c r="V1607" s="223"/>
    </row>
    <row r="1608" spans="1:22" s="280" customFormat="1" ht="15.75" customHeight="1">
      <c r="A1608" s="468" t="s">
        <v>348</v>
      </c>
      <c r="B1608" s="204" t="s">
        <v>184</v>
      </c>
      <c r="C1608" s="527"/>
      <c r="D1608" s="267"/>
      <c r="E1608" s="706"/>
      <c r="F1608" s="267"/>
      <c r="G1608" s="206"/>
      <c r="H1608" s="268"/>
      <c r="I1608" s="500"/>
      <c r="J1608" s="715"/>
      <c r="K1608" s="552">
        <f t="shared" si="98"/>
        <v>0</v>
      </c>
      <c r="L1608" s="217"/>
      <c r="M1608" s="211">
        <f t="shared" si="97"/>
        <v>-46136</v>
      </c>
      <c r="N1608" s="683">
        <f t="shared" si="99"/>
        <v>7</v>
      </c>
      <c r="O1608" s="212"/>
      <c r="P1608" s="544"/>
      <c r="Q1608" s="561">
        <f t="shared" si="100"/>
        <v>0</v>
      </c>
      <c r="R1608" s="223"/>
      <c r="S1608" s="223"/>
      <c r="T1608" s="223"/>
      <c r="U1608" s="223"/>
      <c r="V1608" s="223"/>
    </row>
    <row r="1609" spans="1:22" s="280" customFormat="1" ht="15.75" customHeight="1">
      <c r="A1609" s="468" t="s">
        <v>348</v>
      </c>
      <c r="B1609" s="204" t="s">
        <v>184</v>
      </c>
      <c r="C1609" s="527"/>
      <c r="D1609" s="267"/>
      <c r="E1609" s="706"/>
      <c r="F1609" s="267"/>
      <c r="G1609" s="206"/>
      <c r="H1609" s="268"/>
      <c r="I1609" s="500"/>
      <c r="J1609" s="715"/>
      <c r="K1609" s="552">
        <f t="shared" si="98"/>
        <v>0</v>
      </c>
      <c r="L1609" s="217"/>
      <c r="M1609" s="211">
        <f t="shared" ref="M1609:M1672" si="101">+L1609-$E$6</f>
        <v>-46136</v>
      </c>
      <c r="N1609" s="683">
        <f t="shared" si="99"/>
        <v>7</v>
      </c>
      <c r="O1609" s="212"/>
      <c r="P1609" s="544"/>
      <c r="Q1609" s="561">
        <f t="shared" si="100"/>
        <v>0</v>
      </c>
      <c r="R1609" s="223"/>
      <c r="S1609" s="223"/>
      <c r="T1609" s="223"/>
      <c r="U1609" s="223"/>
      <c r="V1609" s="223"/>
    </row>
    <row r="1610" spans="1:22" s="280" customFormat="1" ht="15.75" customHeight="1">
      <c r="A1610" s="468" t="s">
        <v>348</v>
      </c>
      <c r="B1610" s="204" t="s">
        <v>184</v>
      </c>
      <c r="C1610" s="527"/>
      <c r="D1610" s="267"/>
      <c r="E1610" s="706"/>
      <c r="F1610" s="267"/>
      <c r="G1610" s="206"/>
      <c r="H1610" s="268"/>
      <c r="I1610" s="500"/>
      <c r="J1610" s="715"/>
      <c r="K1610" s="552">
        <f t="shared" ref="K1610:K1673" si="102">-J1610</f>
        <v>0</v>
      </c>
      <c r="L1610" s="217"/>
      <c r="M1610" s="211">
        <f t="shared" si="101"/>
        <v>-46136</v>
      </c>
      <c r="N1610" s="683">
        <f t="shared" ref="N1610:N1673" si="103">+L1610+7</f>
        <v>7</v>
      </c>
      <c r="O1610" s="212"/>
      <c r="P1610" s="544"/>
      <c r="Q1610" s="561">
        <f t="shared" si="100"/>
        <v>0</v>
      </c>
      <c r="R1610" s="223"/>
      <c r="S1610" s="223"/>
      <c r="T1610" s="223"/>
      <c r="U1610" s="223"/>
      <c r="V1610" s="223"/>
    </row>
    <row r="1611" spans="1:22" s="280" customFormat="1" ht="15.75" customHeight="1">
      <c r="A1611" s="468" t="s">
        <v>348</v>
      </c>
      <c r="B1611" s="204" t="s">
        <v>184</v>
      </c>
      <c r="C1611" s="527"/>
      <c r="D1611" s="267"/>
      <c r="E1611" s="706"/>
      <c r="F1611" s="267"/>
      <c r="G1611" s="206"/>
      <c r="H1611" s="268"/>
      <c r="I1611" s="500"/>
      <c r="J1611" s="715"/>
      <c r="K1611" s="552">
        <f t="shared" si="102"/>
        <v>0</v>
      </c>
      <c r="L1611" s="217"/>
      <c r="M1611" s="211">
        <f t="shared" si="101"/>
        <v>-46136</v>
      </c>
      <c r="N1611" s="683">
        <f t="shared" si="103"/>
        <v>7</v>
      </c>
      <c r="O1611" s="212"/>
      <c r="P1611" s="544"/>
      <c r="Q1611" s="561">
        <f t="shared" si="100"/>
        <v>0</v>
      </c>
      <c r="R1611" s="223"/>
      <c r="S1611" s="223"/>
      <c r="T1611" s="223"/>
      <c r="U1611" s="223"/>
      <c r="V1611" s="223"/>
    </row>
    <row r="1612" spans="1:22" s="280" customFormat="1" ht="15.75" customHeight="1">
      <c r="A1612" s="468" t="s">
        <v>348</v>
      </c>
      <c r="B1612" s="204" t="s">
        <v>184</v>
      </c>
      <c r="C1612" s="527"/>
      <c r="D1612" s="267"/>
      <c r="E1612" s="706"/>
      <c r="F1612" s="267"/>
      <c r="G1612" s="206"/>
      <c r="H1612" s="268"/>
      <c r="I1612" s="500"/>
      <c r="J1612" s="715"/>
      <c r="K1612" s="552">
        <f t="shared" si="102"/>
        <v>0</v>
      </c>
      <c r="L1612" s="217"/>
      <c r="M1612" s="211">
        <f t="shared" si="101"/>
        <v>-46136</v>
      </c>
      <c r="N1612" s="683">
        <f t="shared" si="103"/>
        <v>7</v>
      </c>
      <c r="O1612" s="212"/>
      <c r="P1612" s="544"/>
      <c r="Q1612" s="561">
        <f t="shared" si="100"/>
        <v>0</v>
      </c>
      <c r="R1612" s="223"/>
      <c r="S1612" s="223"/>
      <c r="T1612" s="223"/>
      <c r="U1612" s="223"/>
      <c r="V1612" s="223"/>
    </row>
    <row r="1613" spans="1:22" s="280" customFormat="1" ht="15.75" customHeight="1">
      <c r="A1613" s="468" t="s">
        <v>348</v>
      </c>
      <c r="B1613" s="204" t="s">
        <v>184</v>
      </c>
      <c r="C1613" s="527"/>
      <c r="D1613" s="267"/>
      <c r="E1613" s="706"/>
      <c r="F1613" s="267"/>
      <c r="G1613" s="206"/>
      <c r="H1613" s="268"/>
      <c r="I1613" s="500"/>
      <c r="J1613" s="715"/>
      <c r="K1613" s="552">
        <f t="shared" si="102"/>
        <v>0</v>
      </c>
      <c r="L1613" s="217"/>
      <c r="M1613" s="211">
        <f t="shared" si="101"/>
        <v>-46136</v>
      </c>
      <c r="N1613" s="683">
        <f t="shared" si="103"/>
        <v>7</v>
      </c>
      <c r="O1613" s="212"/>
      <c r="P1613" s="544"/>
      <c r="Q1613" s="561">
        <f t="shared" si="100"/>
        <v>0</v>
      </c>
      <c r="R1613" s="223"/>
      <c r="S1613" s="223"/>
      <c r="T1613" s="223"/>
      <c r="U1613" s="223"/>
      <c r="V1613" s="223"/>
    </row>
    <row r="1614" spans="1:22" s="280" customFormat="1" ht="15.75" customHeight="1">
      <c r="A1614" s="468" t="s">
        <v>348</v>
      </c>
      <c r="B1614" s="204" t="s">
        <v>184</v>
      </c>
      <c r="C1614" s="527"/>
      <c r="D1614" s="267"/>
      <c r="E1614" s="706"/>
      <c r="F1614" s="267"/>
      <c r="G1614" s="206"/>
      <c r="H1614" s="268"/>
      <c r="I1614" s="500"/>
      <c r="J1614" s="715"/>
      <c r="K1614" s="552">
        <f t="shared" si="102"/>
        <v>0</v>
      </c>
      <c r="L1614" s="217"/>
      <c r="M1614" s="211">
        <f t="shared" si="101"/>
        <v>-46136</v>
      </c>
      <c r="N1614" s="683">
        <f t="shared" si="103"/>
        <v>7</v>
      </c>
      <c r="O1614" s="212"/>
      <c r="P1614" s="544"/>
      <c r="Q1614" s="561">
        <f t="shared" si="100"/>
        <v>0</v>
      </c>
      <c r="R1614" s="223"/>
      <c r="S1614" s="223"/>
      <c r="T1614" s="223"/>
      <c r="U1614" s="223"/>
      <c r="V1614" s="223"/>
    </row>
    <row r="1615" spans="1:22" s="280" customFormat="1" ht="15.75" customHeight="1">
      <c r="A1615" s="468" t="s">
        <v>348</v>
      </c>
      <c r="B1615" s="204" t="s">
        <v>184</v>
      </c>
      <c r="C1615" s="527"/>
      <c r="D1615" s="267"/>
      <c r="E1615" s="706"/>
      <c r="F1615" s="267"/>
      <c r="G1615" s="206"/>
      <c r="H1615" s="268"/>
      <c r="I1615" s="500"/>
      <c r="J1615" s="715"/>
      <c r="K1615" s="552">
        <f t="shared" si="102"/>
        <v>0</v>
      </c>
      <c r="L1615" s="217"/>
      <c r="M1615" s="211">
        <f t="shared" si="101"/>
        <v>-46136</v>
      </c>
      <c r="N1615" s="683">
        <f t="shared" si="103"/>
        <v>7</v>
      </c>
      <c r="O1615" s="212"/>
      <c r="P1615" s="544"/>
      <c r="Q1615" s="561">
        <f t="shared" si="100"/>
        <v>0</v>
      </c>
      <c r="R1615" s="223"/>
      <c r="S1615" s="223"/>
      <c r="T1615" s="223"/>
      <c r="U1615" s="223"/>
      <c r="V1615" s="223"/>
    </row>
    <row r="1616" spans="1:22" s="280" customFormat="1" ht="15.75" customHeight="1">
      <c r="A1616" s="468" t="s">
        <v>348</v>
      </c>
      <c r="B1616" s="204" t="s">
        <v>184</v>
      </c>
      <c r="C1616" s="527"/>
      <c r="D1616" s="267"/>
      <c r="E1616" s="706"/>
      <c r="F1616" s="267"/>
      <c r="G1616" s="206"/>
      <c r="H1616" s="268"/>
      <c r="I1616" s="500"/>
      <c r="J1616" s="715"/>
      <c r="K1616" s="552">
        <f t="shared" si="102"/>
        <v>0</v>
      </c>
      <c r="L1616" s="217"/>
      <c r="M1616" s="211">
        <f t="shared" si="101"/>
        <v>-46136</v>
      </c>
      <c r="N1616" s="683">
        <f t="shared" si="103"/>
        <v>7</v>
      </c>
      <c r="O1616" s="212"/>
      <c r="P1616" s="544"/>
      <c r="Q1616" s="561">
        <f t="shared" si="100"/>
        <v>0</v>
      </c>
      <c r="R1616" s="223"/>
      <c r="S1616" s="223"/>
      <c r="T1616" s="223"/>
      <c r="U1616" s="223"/>
      <c r="V1616" s="223"/>
    </row>
    <row r="1617" spans="1:22" s="280" customFormat="1" ht="15.75" customHeight="1">
      <c r="A1617" s="468" t="s">
        <v>348</v>
      </c>
      <c r="B1617" s="204" t="s">
        <v>184</v>
      </c>
      <c r="C1617" s="527"/>
      <c r="D1617" s="267"/>
      <c r="E1617" s="706"/>
      <c r="F1617" s="267"/>
      <c r="G1617" s="206"/>
      <c r="H1617" s="268"/>
      <c r="I1617" s="500"/>
      <c r="J1617" s="715"/>
      <c r="K1617" s="552">
        <f t="shared" si="102"/>
        <v>0</v>
      </c>
      <c r="L1617" s="217"/>
      <c r="M1617" s="211">
        <f t="shared" si="101"/>
        <v>-46136</v>
      </c>
      <c r="N1617" s="683">
        <f t="shared" si="103"/>
        <v>7</v>
      </c>
      <c r="O1617" s="212"/>
      <c r="P1617" s="544"/>
      <c r="Q1617" s="561">
        <f t="shared" si="100"/>
        <v>0</v>
      </c>
      <c r="R1617" s="223"/>
      <c r="S1617" s="223"/>
      <c r="T1617" s="223"/>
      <c r="U1617" s="223"/>
      <c r="V1617" s="223"/>
    </row>
    <row r="1618" spans="1:22" s="280" customFormat="1" ht="15.75" customHeight="1">
      <c r="A1618" s="468" t="s">
        <v>348</v>
      </c>
      <c r="B1618" s="204" t="s">
        <v>184</v>
      </c>
      <c r="C1618" s="527"/>
      <c r="D1618" s="267"/>
      <c r="E1618" s="706"/>
      <c r="F1618" s="267"/>
      <c r="G1618" s="206"/>
      <c r="H1618" s="268"/>
      <c r="I1618" s="500"/>
      <c r="J1618" s="715"/>
      <c r="K1618" s="552">
        <f t="shared" si="102"/>
        <v>0</v>
      </c>
      <c r="L1618" s="217"/>
      <c r="M1618" s="211">
        <f t="shared" si="101"/>
        <v>-46136</v>
      </c>
      <c r="N1618" s="683">
        <f t="shared" si="103"/>
        <v>7</v>
      </c>
      <c r="O1618" s="212"/>
      <c r="P1618" s="544"/>
      <c r="Q1618" s="561">
        <f t="shared" si="100"/>
        <v>0</v>
      </c>
      <c r="R1618" s="223"/>
      <c r="S1618" s="223"/>
      <c r="T1618" s="223"/>
      <c r="U1618" s="223"/>
      <c r="V1618" s="223"/>
    </row>
    <row r="1619" spans="1:22" s="280" customFormat="1" ht="15.75" customHeight="1">
      <c r="A1619" s="468" t="s">
        <v>348</v>
      </c>
      <c r="B1619" s="204" t="s">
        <v>184</v>
      </c>
      <c r="C1619" s="527"/>
      <c r="D1619" s="267"/>
      <c r="E1619" s="706"/>
      <c r="F1619" s="267"/>
      <c r="G1619" s="206"/>
      <c r="H1619" s="268"/>
      <c r="I1619" s="500"/>
      <c r="J1619" s="715"/>
      <c r="K1619" s="552">
        <f t="shared" si="102"/>
        <v>0</v>
      </c>
      <c r="L1619" s="217"/>
      <c r="M1619" s="211">
        <f t="shared" si="101"/>
        <v>-46136</v>
      </c>
      <c r="N1619" s="683">
        <f t="shared" si="103"/>
        <v>7</v>
      </c>
      <c r="O1619" s="212"/>
      <c r="P1619" s="544"/>
      <c r="Q1619" s="561">
        <f t="shared" si="100"/>
        <v>0</v>
      </c>
      <c r="R1619" s="223"/>
      <c r="S1619" s="223"/>
      <c r="T1619" s="223"/>
      <c r="U1619" s="223"/>
      <c r="V1619" s="223"/>
    </row>
    <row r="1620" spans="1:22" s="280" customFormat="1" ht="15.75" customHeight="1">
      <c r="A1620" s="468" t="s">
        <v>348</v>
      </c>
      <c r="B1620" s="204" t="s">
        <v>184</v>
      </c>
      <c r="C1620" s="527"/>
      <c r="D1620" s="267"/>
      <c r="E1620" s="706"/>
      <c r="F1620" s="267"/>
      <c r="G1620" s="206"/>
      <c r="H1620" s="268"/>
      <c r="I1620" s="500"/>
      <c r="J1620" s="715"/>
      <c r="K1620" s="552">
        <f t="shared" si="102"/>
        <v>0</v>
      </c>
      <c r="L1620" s="217"/>
      <c r="M1620" s="211">
        <f t="shared" si="101"/>
        <v>-46136</v>
      </c>
      <c r="N1620" s="683">
        <f t="shared" si="103"/>
        <v>7</v>
      </c>
      <c r="O1620" s="212"/>
      <c r="P1620" s="544"/>
      <c r="Q1620" s="561">
        <f t="shared" si="100"/>
        <v>0</v>
      </c>
      <c r="R1620" s="223"/>
      <c r="S1620" s="223"/>
      <c r="T1620" s="223"/>
      <c r="U1620" s="223"/>
      <c r="V1620" s="223"/>
    </row>
    <row r="1621" spans="1:22" s="280" customFormat="1" ht="15.75" customHeight="1">
      <c r="A1621" s="468" t="s">
        <v>348</v>
      </c>
      <c r="B1621" s="204" t="s">
        <v>184</v>
      </c>
      <c r="C1621" s="527"/>
      <c r="D1621" s="267"/>
      <c r="E1621" s="706"/>
      <c r="F1621" s="267"/>
      <c r="G1621" s="206"/>
      <c r="H1621" s="268"/>
      <c r="I1621" s="500"/>
      <c r="J1621" s="715"/>
      <c r="K1621" s="552">
        <f t="shared" si="102"/>
        <v>0</v>
      </c>
      <c r="L1621" s="217"/>
      <c r="M1621" s="211">
        <f t="shared" si="101"/>
        <v>-46136</v>
      </c>
      <c r="N1621" s="683">
        <f t="shared" si="103"/>
        <v>7</v>
      </c>
      <c r="O1621" s="212"/>
      <c r="P1621" s="544"/>
      <c r="Q1621" s="561">
        <f t="shared" si="100"/>
        <v>0</v>
      </c>
      <c r="R1621" s="223"/>
      <c r="S1621" s="223"/>
      <c r="T1621" s="223"/>
      <c r="U1621" s="223"/>
      <c r="V1621" s="223"/>
    </row>
    <row r="1622" spans="1:22" s="280" customFormat="1" ht="15.75" customHeight="1">
      <c r="A1622" s="468" t="s">
        <v>348</v>
      </c>
      <c r="B1622" s="204" t="s">
        <v>184</v>
      </c>
      <c r="C1622" s="527"/>
      <c r="D1622" s="267"/>
      <c r="E1622" s="706"/>
      <c r="F1622" s="267"/>
      <c r="G1622" s="206"/>
      <c r="H1622" s="268"/>
      <c r="I1622" s="500"/>
      <c r="J1622" s="715"/>
      <c r="K1622" s="552">
        <f t="shared" si="102"/>
        <v>0</v>
      </c>
      <c r="L1622" s="217"/>
      <c r="M1622" s="211">
        <f t="shared" si="101"/>
        <v>-46136</v>
      </c>
      <c r="N1622" s="683">
        <f t="shared" si="103"/>
        <v>7</v>
      </c>
      <c r="O1622" s="212"/>
      <c r="P1622" s="544"/>
      <c r="Q1622" s="561">
        <f t="shared" si="100"/>
        <v>0</v>
      </c>
      <c r="R1622" s="223"/>
      <c r="S1622" s="223"/>
      <c r="T1622" s="223"/>
      <c r="U1622" s="223"/>
      <c r="V1622" s="223"/>
    </row>
    <row r="1623" spans="1:22" s="280" customFormat="1" ht="15.75" customHeight="1">
      <c r="A1623" s="468" t="s">
        <v>348</v>
      </c>
      <c r="B1623" s="204" t="s">
        <v>184</v>
      </c>
      <c r="C1623" s="527"/>
      <c r="D1623" s="267"/>
      <c r="E1623" s="706"/>
      <c r="F1623" s="267"/>
      <c r="G1623" s="486"/>
      <c r="H1623" s="268"/>
      <c r="I1623" s="503"/>
      <c r="J1623" s="715"/>
      <c r="K1623" s="552">
        <f t="shared" si="102"/>
        <v>0</v>
      </c>
      <c r="L1623" s="217"/>
      <c r="M1623" s="211">
        <f t="shared" si="101"/>
        <v>-46136</v>
      </c>
      <c r="N1623" s="683">
        <f t="shared" si="103"/>
        <v>7</v>
      </c>
      <c r="O1623" s="212"/>
      <c r="P1623" s="544"/>
      <c r="Q1623" s="561">
        <f t="shared" si="100"/>
        <v>0</v>
      </c>
      <c r="R1623" s="223"/>
      <c r="S1623" s="223"/>
      <c r="T1623" s="223"/>
      <c r="U1623" s="223"/>
      <c r="V1623" s="223"/>
    </row>
    <row r="1624" spans="1:22" s="280" customFormat="1" ht="15.75" customHeight="1">
      <c r="A1624" s="468" t="s">
        <v>348</v>
      </c>
      <c r="B1624" s="204" t="s">
        <v>184</v>
      </c>
      <c r="C1624" s="527"/>
      <c r="D1624" s="267"/>
      <c r="E1624" s="706"/>
      <c r="F1624" s="267"/>
      <c r="G1624" s="206"/>
      <c r="H1624" s="268"/>
      <c r="I1624" s="500"/>
      <c r="J1624" s="715"/>
      <c r="K1624" s="552">
        <f t="shared" si="102"/>
        <v>0</v>
      </c>
      <c r="L1624" s="217"/>
      <c r="M1624" s="211">
        <f t="shared" si="101"/>
        <v>-46136</v>
      </c>
      <c r="N1624" s="683">
        <f t="shared" si="103"/>
        <v>7</v>
      </c>
      <c r="O1624" s="212"/>
      <c r="P1624" s="544"/>
      <c r="Q1624" s="561">
        <f t="shared" si="100"/>
        <v>0</v>
      </c>
      <c r="R1624" s="223"/>
      <c r="S1624" s="223"/>
      <c r="T1624" s="223"/>
      <c r="U1624" s="223"/>
      <c r="V1624" s="223"/>
    </row>
    <row r="1625" spans="1:22" s="280" customFormat="1" ht="15.75" customHeight="1">
      <c r="A1625" s="468" t="s">
        <v>348</v>
      </c>
      <c r="B1625" s="204" t="s">
        <v>184</v>
      </c>
      <c r="C1625" s="527"/>
      <c r="D1625" s="267"/>
      <c r="E1625" s="706"/>
      <c r="F1625" s="267"/>
      <c r="G1625" s="206"/>
      <c r="H1625" s="268"/>
      <c r="I1625" s="500"/>
      <c r="J1625" s="715"/>
      <c r="K1625" s="552">
        <f t="shared" si="102"/>
        <v>0</v>
      </c>
      <c r="L1625" s="217"/>
      <c r="M1625" s="211">
        <f t="shared" si="101"/>
        <v>-46136</v>
      </c>
      <c r="N1625" s="683">
        <f t="shared" si="103"/>
        <v>7</v>
      </c>
      <c r="O1625" s="212"/>
      <c r="P1625" s="544"/>
      <c r="Q1625" s="561">
        <f t="shared" si="100"/>
        <v>0</v>
      </c>
      <c r="R1625" s="223"/>
      <c r="S1625" s="223"/>
      <c r="T1625" s="223"/>
      <c r="U1625" s="223"/>
      <c r="V1625" s="223"/>
    </row>
    <row r="1626" spans="1:22" s="280" customFormat="1" ht="15.75" customHeight="1">
      <c r="A1626" s="468" t="s">
        <v>348</v>
      </c>
      <c r="B1626" s="204" t="s">
        <v>184</v>
      </c>
      <c r="C1626" s="527"/>
      <c r="D1626" s="267"/>
      <c r="E1626" s="706"/>
      <c r="F1626" s="267"/>
      <c r="G1626" s="206"/>
      <c r="H1626" s="268"/>
      <c r="I1626" s="500"/>
      <c r="J1626" s="715"/>
      <c r="K1626" s="552">
        <f t="shared" si="102"/>
        <v>0</v>
      </c>
      <c r="L1626" s="217"/>
      <c r="M1626" s="211">
        <f t="shared" si="101"/>
        <v>-46136</v>
      </c>
      <c r="N1626" s="683">
        <f t="shared" si="103"/>
        <v>7</v>
      </c>
      <c r="O1626" s="212"/>
      <c r="P1626" s="544"/>
      <c r="Q1626" s="561">
        <f t="shared" si="100"/>
        <v>0</v>
      </c>
      <c r="R1626" s="223"/>
      <c r="S1626" s="223"/>
      <c r="T1626" s="223"/>
      <c r="U1626" s="223"/>
      <c r="V1626" s="223"/>
    </row>
    <row r="1627" spans="1:22" s="280" customFormat="1" ht="15.75" customHeight="1">
      <c r="A1627" s="468" t="s">
        <v>348</v>
      </c>
      <c r="B1627" s="204" t="s">
        <v>184</v>
      </c>
      <c r="C1627" s="527"/>
      <c r="D1627" s="267"/>
      <c r="E1627" s="706"/>
      <c r="F1627" s="267"/>
      <c r="G1627" s="206"/>
      <c r="H1627" s="268"/>
      <c r="I1627" s="500"/>
      <c r="J1627" s="715"/>
      <c r="K1627" s="552">
        <f t="shared" si="102"/>
        <v>0</v>
      </c>
      <c r="L1627" s="217"/>
      <c r="M1627" s="211">
        <f t="shared" si="101"/>
        <v>-46136</v>
      </c>
      <c r="N1627" s="683">
        <f t="shared" si="103"/>
        <v>7</v>
      </c>
      <c r="O1627" s="212"/>
      <c r="P1627" s="544"/>
      <c r="Q1627" s="561">
        <f t="shared" si="100"/>
        <v>0</v>
      </c>
      <c r="R1627" s="223"/>
      <c r="S1627" s="223"/>
      <c r="T1627" s="223"/>
      <c r="U1627" s="223"/>
      <c r="V1627" s="223"/>
    </row>
    <row r="1628" spans="1:22" s="280" customFormat="1" ht="15.75" customHeight="1">
      <c r="A1628" s="468" t="s">
        <v>348</v>
      </c>
      <c r="B1628" s="204" t="s">
        <v>184</v>
      </c>
      <c r="C1628" s="527"/>
      <c r="D1628" s="267"/>
      <c r="E1628" s="706"/>
      <c r="F1628" s="267"/>
      <c r="G1628" s="206"/>
      <c r="H1628" s="268"/>
      <c r="I1628" s="500"/>
      <c r="J1628" s="715"/>
      <c r="K1628" s="552">
        <f t="shared" si="102"/>
        <v>0</v>
      </c>
      <c r="L1628" s="217"/>
      <c r="M1628" s="211">
        <f t="shared" si="101"/>
        <v>-46136</v>
      </c>
      <c r="N1628" s="683">
        <f t="shared" si="103"/>
        <v>7</v>
      </c>
      <c r="O1628" s="212"/>
      <c r="P1628" s="544"/>
      <c r="Q1628" s="561">
        <f t="shared" si="100"/>
        <v>0</v>
      </c>
      <c r="R1628" s="223"/>
      <c r="S1628" s="223"/>
      <c r="T1628" s="223"/>
      <c r="U1628" s="223"/>
      <c r="V1628" s="223"/>
    </row>
    <row r="1629" spans="1:22" s="280" customFormat="1" ht="15.75" customHeight="1">
      <c r="A1629" s="468" t="s">
        <v>348</v>
      </c>
      <c r="B1629" s="204" t="s">
        <v>184</v>
      </c>
      <c r="C1629" s="527"/>
      <c r="D1629" s="267"/>
      <c r="E1629" s="706"/>
      <c r="F1629" s="267"/>
      <c r="G1629" s="206"/>
      <c r="H1629" s="268"/>
      <c r="I1629" s="500"/>
      <c r="J1629" s="715"/>
      <c r="K1629" s="552">
        <f t="shared" si="102"/>
        <v>0</v>
      </c>
      <c r="L1629" s="217"/>
      <c r="M1629" s="211">
        <f t="shared" si="101"/>
        <v>-46136</v>
      </c>
      <c r="N1629" s="683">
        <f t="shared" si="103"/>
        <v>7</v>
      </c>
      <c r="O1629" s="212"/>
      <c r="P1629" s="544"/>
      <c r="Q1629" s="561">
        <f t="shared" si="100"/>
        <v>0</v>
      </c>
      <c r="R1629" s="223"/>
      <c r="S1629" s="223"/>
      <c r="T1629" s="223"/>
      <c r="U1629" s="223"/>
      <c r="V1629" s="223"/>
    </row>
    <row r="1630" spans="1:22" s="280" customFormat="1" ht="15.75" customHeight="1">
      <c r="A1630" s="468" t="s">
        <v>348</v>
      </c>
      <c r="B1630" s="204" t="s">
        <v>184</v>
      </c>
      <c r="C1630" s="527"/>
      <c r="D1630" s="267"/>
      <c r="E1630" s="706"/>
      <c r="F1630" s="267"/>
      <c r="G1630" s="206"/>
      <c r="H1630" s="268"/>
      <c r="I1630" s="500"/>
      <c r="J1630" s="715"/>
      <c r="K1630" s="552">
        <f t="shared" si="102"/>
        <v>0</v>
      </c>
      <c r="L1630" s="217"/>
      <c r="M1630" s="211">
        <f t="shared" si="101"/>
        <v>-46136</v>
      </c>
      <c r="N1630" s="683">
        <f t="shared" si="103"/>
        <v>7</v>
      </c>
      <c r="O1630" s="212"/>
      <c r="P1630" s="544"/>
      <c r="Q1630" s="561">
        <f t="shared" si="100"/>
        <v>0</v>
      </c>
      <c r="R1630" s="223"/>
      <c r="S1630" s="223"/>
      <c r="T1630" s="223"/>
      <c r="U1630" s="223"/>
      <c r="V1630" s="223"/>
    </row>
    <row r="1631" spans="1:22" s="280" customFormat="1" ht="15.75" customHeight="1">
      <c r="A1631" s="468" t="s">
        <v>348</v>
      </c>
      <c r="B1631" s="204" t="s">
        <v>184</v>
      </c>
      <c r="C1631" s="527"/>
      <c r="D1631" s="267"/>
      <c r="E1631" s="706"/>
      <c r="F1631" s="267"/>
      <c r="G1631" s="206"/>
      <c r="H1631" s="268"/>
      <c r="I1631" s="500"/>
      <c r="J1631" s="715"/>
      <c r="K1631" s="552">
        <f t="shared" si="102"/>
        <v>0</v>
      </c>
      <c r="L1631" s="217"/>
      <c r="M1631" s="211">
        <f t="shared" si="101"/>
        <v>-46136</v>
      </c>
      <c r="N1631" s="683">
        <f t="shared" si="103"/>
        <v>7</v>
      </c>
      <c r="O1631" s="212"/>
      <c r="P1631" s="544"/>
      <c r="Q1631" s="561">
        <f t="shared" si="100"/>
        <v>0</v>
      </c>
      <c r="R1631" s="223"/>
      <c r="S1631" s="223"/>
      <c r="T1631" s="223"/>
      <c r="U1631" s="223"/>
      <c r="V1631" s="223"/>
    </row>
    <row r="1632" spans="1:22" s="280" customFormat="1" ht="15.75" customHeight="1">
      <c r="A1632" s="468" t="s">
        <v>348</v>
      </c>
      <c r="B1632" s="204" t="s">
        <v>184</v>
      </c>
      <c r="C1632" s="527"/>
      <c r="D1632" s="267"/>
      <c r="E1632" s="706"/>
      <c r="F1632" s="267"/>
      <c r="G1632" s="206"/>
      <c r="H1632" s="268"/>
      <c r="I1632" s="500"/>
      <c r="J1632" s="715"/>
      <c r="K1632" s="552">
        <f t="shared" si="102"/>
        <v>0</v>
      </c>
      <c r="L1632" s="217"/>
      <c r="M1632" s="211">
        <f t="shared" si="101"/>
        <v>-46136</v>
      </c>
      <c r="N1632" s="683">
        <f t="shared" si="103"/>
        <v>7</v>
      </c>
      <c r="O1632" s="212"/>
      <c r="P1632" s="544"/>
      <c r="Q1632" s="561">
        <f t="shared" si="100"/>
        <v>0</v>
      </c>
      <c r="R1632" s="223"/>
      <c r="S1632" s="223"/>
      <c r="T1632" s="223"/>
      <c r="U1632" s="223"/>
      <c r="V1632" s="223"/>
    </row>
    <row r="1633" spans="1:22" s="280" customFormat="1" ht="15.75" customHeight="1">
      <c r="A1633" s="468" t="s">
        <v>348</v>
      </c>
      <c r="B1633" s="204" t="s">
        <v>184</v>
      </c>
      <c r="C1633" s="527"/>
      <c r="D1633" s="267"/>
      <c r="E1633" s="706"/>
      <c r="F1633" s="267"/>
      <c r="G1633" s="206"/>
      <c r="H1633" s="268"/>
      <c r="I1633" s="500"/>
      <c r="J1633" s="715"/>
      <c r="K1633" s="552">
        <f t="shared" si="102"/>
        <v>0</v>
      </c>
      <c r="L1633" s="217"/>
      <c r="M1633" s="211">
        <f t="shared" si="101"/>
        <v>-46136</v>
      </c>
      <c r="N1633" s="683">
        <f t="shared" si="103"/>
        <v>7</v>
      </c>
      <c r="O1633" s="212"/>
      <c r="P1633" s="544"/>
      <c r="Q1633" s="561">
        <f t="shared" si="100"/>
        <v>0</v>
      </c>
      <c r="R1633" s="223"/>
      <c r="S1633" s="223"/>
      <c r="T1633" s="223"/>
      <c r="U1633" s="223"/>
      <c r="V1633" s="223"/>
    </row>
    <row r="1634" spans="1:22" s="280" customFormat="1" ht="15.75" customHeight="1">
      <c r="A1634" s="468" t="s">
        <v>348</v>
      </c>
      <c r="B1634" s="204" t="s">
        <v>184</v>
      </c>
      <c r="C1634" s="527"/>
      <c r="D1634" s="267"/>
      <c r="E1634" s="706"/>
      <c r="F1634" s="267"/>
      <c r="G1634" s="206"/>
      <c r="H1634" s="268"/>
      <c r="I1634" s="500"/>
      <c r="J1634" s="715"/>
      <c r="K1634" s="552">
        <f t="shared" si="102"/>
        <v>0</v>
      </c>
      <c r="L1634" s="217"/>
      <c r="M1634" s="211">
        <f t="shared" si="101"/>
        <v>-46136</v>
      </c>
      <c r="N1634" s="683">
        <f t="shared" si="103"/>
        <v>7</v>
      </c>
      <c r="O1634" s="212"/>
      <c r="P1634" s="544"/>
      <c r="Q1634" s="561">
        <f t="shared" si="100"/>
        <v>0</v>
      </c>
      <c r="R1634" s="223"/>
      <c r="S1634" s="223"/>
      <c r="T1634" s="223"/>
      <c r="U1634" s="223"/>
      <c r="V1634" s="223"/>
    </row>
    <row r="1635" spans="1:22" s="280" customFormat="1" ht="15.75" customHeight="1">
      <c r="A1635" s="468" t="s">
        <v>348</v>
      </c>
      <c r="B1635" s="204" t="s">
        <v>184</v>
      </c>
      <c r="C1635" s="527"/>
      <c r="D1635" s="267"/>
      <c r="E1635" s="706"/>
      <c r="F1635" s="267"/>
      <c r="G1635" s="206"/>
      <c r="H1635" s="268"/>
      <c r="I1635" s="500"/>
      <c r="J1635" s="715"/>
      <c r="K1635" s="552">
        <f t="shared" si="102"/>
        <v>0</v>
      </c>
      <c r="L1635" s="217"/>
      <c r="M1635" s="211">
        <f t="shared" si="101"/>
        <v>-46136</v>
      </c>
      <c r="N1635" s="683">
        <f t="shared" si="103"/>
        <v>7</v>
      </c>
      <c r="O1635" s="212"/>
      <c r="P1635" s="544"/>
      <c r="Q1635" s="561">
        <f t="shared" si="100"/>
        <v>0</v>
      </c>
      <c r="R1635" s="223"/>
      <c r="S1635" s="223"/>
      <c r="T1635" s="223"/>
      <c r="U1635" s="223"/>
      <c r="V1635" s="223"/>
    </row>
    <row r="1636" spans="1:22" s="280" customFormat="1" ht="15.75" customHeight="1">
      <c r="A1636" s="468" t="s">
        <v>348</v>
      </c>
      <c r="B1636" s="204" t="s">
        <v>184</v>
      </c>
      <c r="C1636" s="527"/>
      <c r="D1636" s="267"/>
      <c r="E1636" s="706"/>
      <c r="F1636" s="267"/>
      <c r="G1636" s="206"/>
      <c r="H1636" s="268"/>
      <c r="I1636" s="500"/>
      <c r="J1636" s="715"/>
      <c r="K1636" s="552">
        <f t="shared" si="102"/>
        <v>0</v>
      </c>
      <c r="L1636" s="217"/>
      <c r="M1636" s="211">
        <f t="shared" si="101"/>
        <v>-46136</v>
      </c>
      <c r="N1636" s="683">
        <f t="shared" si="103"/>
        <v>7</v>
      </c>
      <c r="O1636" s="212"/>
      <c r="P1636" s="544"/>
      <c r="Q1636" s="561">
        <f t="shared" si="100"/>
        <v>0</v>
      </c>
      <c r="R1636" s="223"/>
      <c r="S1636" s="223"/>
      <c r="T1636" s="223"/>
      <c r="U1636" s="223"/>
      <c r="V1636" s="223"/>
    </row>
    <row r="1637" spans="1:22" s="280" customFormat="1" ht="15.75" customHeight="1">
      <c r="A1637" s="468" t="s">
        <v>348</v>
      </c>
      <c r="B1637" s="204" t="s">
        <v>184</v>
      </c>
      <c r="C1637" s="527"/>
      <c r="D1637" s="267"/>
      <c r="E1637" s="706"/>
      <c r="F1637" s="267"/>
      <c r="G1637" s="206"/>
      <c r="H1637" s="268"/>
      <c r="I1637" s="500"/>
      <c r="J1637" s="715"/>
      <c r="K1637" s="552">
        <f t="shared" si="102"/>
        <v>0</v>
      </c>
      <c r="L1637" s="217"/>
      <c r="M1637" s="211">
        <f t="shared" si="101"/>
        <v>-46136</v>
      </c>
      <c r="N1637" s="683">
        <f t="shared" si="103"/>
        <v>7</v>
      </c>
      <c r="O1637" s="212"/>
      <c r="P1637" s="544"/>
      <c r="Q1637" s="561">
        <f t="shared" ref="Q1637:Q1700" si="104">+K1637+J1637</f>
        <v>0</v>
      </c>
      <c r="R1637" s="223"/>
      <c r="S1637" s="223"/>
      <c r="T1637" s="223"/>
      <c r="U1637" s="223"/>
      <c r="V1637" s="223"/>
    </row>
    <row r="1638" spans="1:22" s="280" customFormat="1" ht="15.75" customHeight="1">
      <c r="A1638" s="468" t="s">
        <v>348</v>
      </c>
      <c r="B1638" s="204" t="s">
        <v>184</v>
      </c>
      <c r="C1638" s="527"/>
      <c r="D1638" s="267"/>
      <c r="E1638" s="706"/>
      <c r="F1638" s="267"/>
      <c r="G1638" s="206"/>
      <c r="H1638" s="268"/>
      <c r="I1638" s="500"/>
      <c r="J1638" s="715"/>
      <c r="K1638" s="552">
        <f t="shared" si="102"/>
        <v>0</v>
      </c>
      <c r="L1638" s="217"/>
      <c r="M1638" s="211">
        <f t="shared" si="101"/>
        <v>-46136</v>
      </c>
      <c r="N1638" s="683">
        <f t="shared" si="103"/>
        <v>7</v>
      </c>
      <c r="O1638" s="212"/>
      <c r="P1638" s="544"/>
      <c r="Q1638" s="561">
        <f t="shared" si="104"/>
        <v>0</v>
      </c>
      <c r="R1638" s="223"/>
      <c r="S1638" s="223"/>
      <c r="T1638" s="223"/>
      <c r="U1638" s="223"/>
      <c r="V1638" s="223"/>
    </row>
    <row r="1639" spans="1:22" s="280" customFormat="1" ht="15.75" customHeight="1">
      <c r="A1639" s="468" t="s">
        <v>348</v>
      </c>
      <c r="B1639" s="204" t="s">
        <v>184</v>
      </c>
      <c r="C1639" s="527"/>
      <c r="D1639" s="267"/>
      <c r="E1639" s="706"/>
      <c r="F1639" s="267"/>
      <c r="G1639" s="206"/>
      <c r="H1639" s="268"/>
      <c r="I1639" s="500"/>
      <c r="J1639" s="715"/>
      <c r="K1639" s="552">
        <f t="shared" si="102"/>
        <v>0</v>
      </c>
      <c r="L1639" s="217"/>
      <c r="M1639" s="211">
        <f t="shared" si="101"/>
        <v>-46136</v>
      </c>
      <c r="N1639" s="683">
        <f t="shared" si="103"/>
        <v>7</v>
      </c>
      <c r="O1639" s="212"/>
      <c r="P1639" s="544"/>
      <c r="Q1639" s="561">
        <f t="shared" si="104"/>
        <v>0</v>
      </c>
      <c r="R1639" s="223"/>
      <c r="S1639" s="223"/>
      <c r="T1639" s="223"/>
      <c r="U1639" s="223"/>
      <c r="V1639" s="223"/>
    </row>
    <row r="1640" spans="1:22" s="280" customFormat="1" ht="15.75" customHeight="1">
      <c r="A1640" s="468" t="s">
        <v>348</v>
      </c>
      <c r="B1640" s="204" t="s">
        <v>184</v>
      </c>
      <c r="C1640" s="527"/>
      <c r="D1640" s="267"/>
      <c r="E1640" s="706"/>
      <c r="F1640" s="267"/>
      <c r="G1640" s="206"/>
      <c r="H1640" s="268"/>
      <c r="I1640" s="500"/>
      <c r="J1640" s="715"/>
      <c r="K1640" s="552">
        <f t="shared" si="102"/>
        <v>0</v>
      </c>
      <c r="L1640" s="217"/>
      <c r="M1640" s="211">
        <f t="shared" si="101"/>
        <v>-46136</v>
      </c>
      <c r="N1640" s="683">
        <f t="shared" si="103"/>
        <v>7</v>
      </c>
      <c r="O1640" s="212"/>
      <c r="P1640" s="544"/>
      <c r="Q1640" s="561">
        <f t="shared" si="104"/>
        <v>0</v>
      </c>
      <c r="R1640" s="223"/>
      <c r="S1640" s="223"/>
      <c r="T1640" s="223"/>
      <c r="U1640" s="223"/>
      <c r="V1640" s="223"/>
    </row>
    <row r="1641" spans="1:22" s="280" customFormat="1" ht="15.75" customHeight="1">
      <c r="A1641" s="468" t="s">
        <v>348</v>
      </c>
      <c r="B1641" s="204" t="s">
        <v>184</v>
      </c>
      <c r="C1641" s="527"/>
      <c r="D1641" s="267"/>
      <c r="E1641" s="706"/>
      <c r="F1641" s="267"/>
      <c r="G1641" s="206"/>
      <c r="H1641" s="268"/>
      <c r="I1641" s="500"/>
      <c r="J1641" s="715"/>
      <c r="K1641" s="552">
        <f t="shared" si="102"/>
        <v>0</v>
      </c>
      <c r="L1641" s="217"/>
      <c r="M1641" s="211">
        <f t="shared" si="101"/>
        <v>-46136</v>
      </c>
      <c r="N1641" s="683">
        <f t="shared" si="103"/>
        <v>7</v>
      </c>
      <c r="O1641" s="212"/>
      <c r="P1641" s="544"/>
      <c r="Q1641" s="561">
        <f t="shared" si="104"/>
        <v>0</v>
      </c>
      <c r="R1641" s="223"/>
      <c r="S1641" s="223"/>
      <c r="T1641" s="223"/>
      <c r="U1641" s="223"/>
      <c r="V1641" s="223"/>
    </row>
    <row r="1642" spans="1:22" s="280" customFormat="1" ht="15.75" customHeight="1">
      <c r="A1642" s="468" t="s">
        <v>348</v>
      </c>
      <c r="B1642" s="204" t="s">
        <v>184</v>
      </c>
      <c r="C1642" s="527"/>
      <c r="D1642" s="267"/>
      <c r="E1642" s="706"/>
      <c r="F1642" s="267"/>
      <c r="G1642" s="206"/>
      <c r="H1642" s="268"/>
      <c r="I1642" s="500"/>
      <c r="J1642" s="715"/>
      <c r="K1642" s="552">
        <f t="shared" si="102"/>
        <v>0</v>
      </c>
      <c r="L1642" s="217"/>
      <c r="M1642" s="211">
        <f t="shared" si="101"/>
        <v>-46136</v>
      </c>
      <c r="N1642" s="683">
        <f t="shared" si="103"/>
        <v>7</v>
      </c>
      <c r="O1642" s="212"/>
      <c r="P1642" s="544"/>
      <c r="Q1642" s="561">
        <f t="shared" si="104"/>
        <v>0</v>
      </c>
      <c r="R1642" s="223"/>
      <c r="S1642" s="223"/>
      <c r="T1642" s="223"/>
      <c r="U1642" s="223"/>
      <c r="V1642" s="223"/>
    </row>
    <row r="1643" spans="1:22" s="280" customFormat="1" ht="15.75" customHeight="1">
      <c r="A1643" s="468" t="s">
        <v>348</v>
      </c>
      <c r="B1643" s="204" t="s">
        <v>184</v>
      </c>
      <c r="C1643" s="527"/>
      <c r="D1643" s="267"/>
      <c r="E1643" s="706"/>
      <c r="F1643" s="267"/>
      <c r="G1643" s="206"/>
      <c r="H1643" s="268"/>
      <c r="I1643" s="500"/>
      <c r="J1643" s="715"/>
      <c r="K1643" s="552">
        <f t="shared" si="102"/>
        <v>0</v>
      </c>
      <c r="L1643" s="217"/>
      <c r="M1643" s="211">
        <f t="shared" si="101"/>
        <v>-46136</v>
      </c>
      <c r="N1643" s="683">
        <f t="shared" si="103"/>
        <v>7</v>
      </c>
      <c r="O1643" s="212"/>
      <c r="P1643" s="544"/>
      <c r="Q1643" s="561">
        <f t="shared" si="104"/>
        <v>0</v>
      </c>
      <c r="R1643" s="223"/>
      <c r="S1643" s="223"/>
      <c r="T1643" s="223"/>
      <c r="U1643" s="223"/>
      <c r="V1643" s="223"/>
    </row>
    <row r="1644" spans="1:22" s="280" customFormat="1" ht="15.75" customHeight="1">
      <c r="A1644" s="468" t="s">
        <v>348</v>
      </c>
      <c r="B1644" s="204" t="s">
        <v>184</v>
      </c>
      <c r="C1644" s="527"/>
      <c r="D1644" s="267"/>
      <c r="E1644" s="706"/>
      <c r="F1644" s="267"/>
      <c r="G1644" s="206"/>
      <c r="H1644" s="268"/>
      <c r="I1644" s="500"/>
      <c r="J1644" s="715"/>
      <c r="K1644" s="552">
        <f t="shared" si="102"/>
        <v>0</v>
      </c>
      <c r="L1644" s="217"/>
      <c r="M1644" s="211">
        <f t="shared" si="101"/>
        <v>-46136</v>
      </c>
      <c r="N1644" s="683">
        <f t="shared" si="103"/>
        <v>7</v>
      </c>
      <c r="O1644" s="212"/>
      <c r="P1644" s="544"/>
      <c r="Q1644" s="561">
        <f t="shared" si="104"/>
        <v>0</v>
      </c>
      <c r="R1644" s="223"/>
      <c r="S1644" s="223"/>
      <c r="T1644" s="223"/>
      <c r="U1644" s="223"/>
      <c r="V1644" s="223"/>
    </row>
    <row r="1645" spans="1:22" s="280" customFormat="1" ht="15.75" customHeight="1">
      <c r="A1645" s="468" t="s">
        <v>348</v>
      </c>
      <c r="B1645" s="204" t="s">
        <v>184</v>
      </c>
      <c r="C1645" s="527"/>
      <c r="D1645" s="267"/>
      <c r="E1645" s="706"/>
      <c r="F1645" s="267"/>
      <c r="G1645" s="206"/>
      <c r="H1645" s="268"/>
      <c r="I1645" s="500"/>
      <c r="J1645" s="715"/>
      <c r="K1645" s="552">
        <f t="shared" si="102"/>
        <v>0</v>
      </c>
      <c r="L1645" s="217"/>
      <c r="M1645" s="211">
        <f t="shared" si="101"/>
        <v>-46136</v>
      </c>
      <c r="N1645" s="683">
        <f t="shared" si="103"/>
        <v>7</v>
      </c>
      <c r="O1645" s="212"/>
      <c r="P1645" s="544"/>
      <c r="Q1645" s="561">
        <f t="shared" si="104"/>
        <v>0</v>
      </c>
      <c r="R1645" s="223"/>
      <c r="S1645" s="223"/>
      <c r="T1645" s="223"/>
      <c r="U1645" s="223"/>
      <c r="V1645" s="223"/>
    </row>
    <row r="1646" spans="1:22" s="280" customFormat="1" ht="15.75" customHeight="1">
      <c r="A1646" s="468" t="s">
        <v>348</v>
      </c>
      <c r="B1646" s="204" t="s">
        <v>184</v>
      </c>
      <c r="C1646" s="527"/>
      <c r="D1646" s="267"/>
      <c r="E1646" s="706"/>
      <c r="F1646" s="267"/>
      <c r="G1646" s="206"/>
      <c r="H1646" s="268"/>
      <c r="I1646" s="500"/>
      <c r="J1646" s="715"/>
      <c r="K1646" s="552">
        <f t="shared" si="102"/>
        <v>0</v>
      </c>
      <c r="L1646" s="217"/>
      <c r="M1646" s="211">
        <f t="shared" si="101"/>
        <v>-46136</v>
      </c>
      <c r="N1646" s="683">
        <f t="shared" si="103"/>
        <v>7</v>
      </c>
      <c r="O1646" s="212"/>
      <c r="P1646" s="544"/>
      <c r="Q1646" s="561">
        <f t="shared" si="104"/>
        <v>0</v>
      </c>
      <c r="R1646" s="223"/>
      <c r="S1646" s="223"/>
      <c r="T1646" s="223"/>
      <c r="U1646" s="223"/>
      <c r="V1646" s="223"/>
    </row>
    <row r="1647" spans="1:22" s="280" customFormat="1" ht="15.75" customHeight="1">
      <c r="A1647" s="468" t="s">
        <v>348</v>
      </c>
      <c r="B1647" s="204" t="s">
        <v>184</v>
      </c>
      <c r="C1647" s="527"/>
      <c r="D1647" s="267"/>
      <c r="E1647" s="706"/>
      <c r="F1647" s="267"/>
      <c r="G1647" s="206"/>
      <c r="H1647" s="268"/>
      <c r="I1647" s="500"/>
      <c r="J1647" s="715"/>
      <c r="K1647" s="552">
        <f t="shared" si="102"/>
        <v>0</v>
      </c>
      <c r="L1647" s="217"/>
      <c r="M1647" s="211">
        <f t="shared" si="101"/>
        <v>-46136</v>
      </c>
      <c r="N1647" s="683">
        <f t="shared" si="103"/>
        <v>7</v>
      </c>
      <c r="O1647" s="212"/>
      <c r="P1647" s="544"/>
      <c r="Q1647" s="561">
        <f t="shared" si="104"/>
        <v>0</v>
      </c>
      <c r="R1647" s="223"/>
      <c r="S1647" s="223"/>
      <c r="T1647" s="223"/>
      <c r="U1647" s="223"/>
      <c r="V1647" s="223"/>
    </row>
    <row r="1648" spans="1:22" s="280" customFormat="1" ht="15.75" customHeight="1">
      <c r="A1648" s="468" t="s">
        <v>348</v>
      </c>
      <c r="B1648" s="204" t="s">
        <v>184</v>
      </c>
      <c r="C1648" s="527"/>
      <c r="D1648" s="267"/>
      <c r="E1648" s="706"/>
      <c r="F1648" s="267"/>
      <c r="G1648" s="206"/>
      <c r="H1648" s="268"/>
      <c r="I1648" s="500"/>
      <c r="J1648" s="715"/>
      <c r="K1648" s="552">
        <f t="shared" si="102"/>
        <v>0</v>
      </c>
      <c r="L1648" s="217"/>
      <c r="M1648" s="211">
        <f t="shared" si="101"/>
        <v>-46136</v>
      </c>
      <c r="N1648" s="683">
        <f t="shared" si="103"/>
        <v>7</v>
      </c>
      <c r="O1648" s="212"/>
      <c r="P1648" s="544"/>
      <c r="Q1648" s="561">
        <f t="shared" si="104"/>
        <v>0</v>
      </c>
      <c r="R1648" s="223"/>
      <c r="S1648" s="223"/>
      <c r="T1648" s="223"/>
      <c r="U1648" s="223"/>
      <c r="V1648" s="223"/>
    </row>
    <row r="1649" spans="1:22" s="280" customFormat="1" ht="15.75" customHeight="1">
      <c r="A1649" s="468" t="s">
        <v>348</v>
      </c>
      <c r="B1649" s="204" t="s">
        <v>184</v>
      </c>
      <c r="C1649" s="527"/>
      <c r="D1649" s="267"/>
      <c r="E1649" s="706"/>
      <c r="F1649" s="267"/>
      <c r="G1649" s="206"/>
      <c r="H1649" s="268"/>
      <c r="I1649" s="500"/>
      <c r="J1649" s="715"/>
      <c r="K1649" s="552">
        <f t="shared" si="102"/>
        <v>0</v>
      </c>
      <c r="L1649" s="217"/>
      <c r="M1649" s="211">
        <f t="shared" si="101"/>
        <v>-46136</v>
      </c>
      <c r="N1649" s="683">
        <f t="shared" si="103"/>
        <v>7</v>
      </c>
      <c r="O1649" s="212"/>
      <c r="P1649" s="544"/>
      <c r="Q1649" s="561">
        <f t="shared" si="104"/>
        <v>0</v>
      </c>
      <c r="R1649" s="223"/>
      <c r="S1649" s="223"/>
      <c r="T1649" s="223"/>
      <c r="U1649" s="223"/>
      <c r="V1649" s="223"/>
    </row>
    <row r="1650" spans="1:22" s="280" customFormat="1" ht="15.75" customHeight="1">
      <c r="A1650" s="468" t="s">
        <v>348</v>
      </c>
      <c r="B1650" s="204" t="s">
        <v>184</v>
      </c>
      <c r="C1650" s="527"/>
      <c r="D1650" s="267"/>
      <c r="E1650" s="706"/>
      <c r="F1650" s="267"/>
      <c r="G1650" s="206"/>
      <c r="H1650" s="268"/>
      <c r="I1650" s="500"/>
      <c r="J1650" s="715"/>
      <c r="K1650" s="552">
        <f t="shared" si="102"/>
        <v>0</v>
      </c>
      <c r="L1650" s="217"/>
      <c r="M1650" s="211">
        <f t="shared" si="101"/>
        <v>-46136</v>
      </c>
      <c r="N1650" s="683">
        <f t="shared" si="103"/>
        <v>7</v>
      </c>
      <c r="O1650" s="212"/>
      <c r="P1650" s="544"/>
      <c r="Q1650" s="561">
        <f t="shared" si="104"/>
        <v>0</v>
      </c>
      <c r="R1650" s="223"/>
      <c r="S1650" s="223"/>
      <c r="T1650" s="223"/>
      <c r="U1650" s="223"/>
      <c r="V1650" s="223"/>
    </row>
    <row r="1651" spans="1:22" s="280" customFormat="1" ht="15.75" customHeight="1">
      <c r="A1651" s="468" t="s">
        <v>348</v>
      </c>
      <c r="B1651" s="204" t="s">
        <v>184</v>
      </c>
      <c r="C1651" s="527"/>
      <c r="D1651" s="267"/>
      <c r="E1651" s="706"/>
      <c r="F1651" s="267"/>
      <c r="G1651" s="206"/>
      <c r="H1651" s="268"/>
      <c r="I1651" s="500"/>
      <c r="J1651" s="715"/>
      <c r="K1651" s="552">
        <f t="shared" si="102"/>
        <v>0</v>
      </c>
      <c r="L1651" s="217"/>
      <c r="M1651" s="211">
        <f t="shared" si="101"/>
        <v>-46136</v>
      </c>
      <c r="N1651" s="683">
        <f t="shared" si="103"/>
        <v>7</v>
      </c>
      <c r="O1651" s="212"/>
      <c r="P1651" s="544"/>
      <c r="Q1651" s="561">
        <f t="shared" si="104"/>
        <v>0</v>
      </c>
      <c r="R1651" s="223"/>
      <c r="S1651" s="223"/>
      <c r="T1651" s="223"/>
      <c r="U1651" s="223"/>
      <c r="V1651" s="223"/>
    </row>
    <row r="1652" spans="1:22" s="280" customFormat="1" ht="15.75" customHeight="1">
      <c r="A1652" s="468" t="s">
        <v>348</v>
      </c>
      <c r="B1652" s="204" t="s">
        <v>184</v>
      </c>
      <c r="C1652" s="527"/>
      <c r="D1652" s="267"/>
      <c r="E1652" s="706"/>
      <c r="F1652" s="267"/>
      <c r="G1652" s="206"/>
      <c r="H1652" s="268"/>
      <c r="I1652" s="500"/>
      <c r="J1652" s="715"/>
      <c r="K1652" s="552">
        <f t="shared" si="102"/>
        <v>0</v>
      </c>
      <c r="L1652" s="217"/>
      <c r="M1652" s="211">
        <f t="shared" si="101"/>
        <v>-46136</v>
      </c>
      <c r="N1652" s="683">
        <f t="shared" si="103"/>
        <v>7</v>
      </c>
      <c r="O1652" s="212"/>
      <c r="P1652" s="544"/>
      <c r="Q1652" s="561">
        <f t="shared" si="104"/>
        <v>0</v>
      </c>
      <c r="R1652" s="223"/>
      <c r="S1652" s="223"/>
      <c r="T1652" s="223"/>
      <c r="U1652" s="223"/>
      <c r="V1652" s="223"/>
    </row>
    <row r="1653" spans="1:22" s="280" customFormat="1" ht="15.75" customHeight="1">
      <c r="A1653" s="468" t="s">
        <v>348</v>
      </c>
      <c r="B1653" s="204" t="s">
        <v>184</v>
      </c>
      <c r="C1653" s="527"/>
      <c r="D1653" s="267"/>
      <c r="E1653" s="706"/>
      <c r="F1653" s="267"/>
      <c r="G1653" s="206"/>
      <c r="H1653" s="268"/>
      <c r="I1653" s="500"/>
      <c r="J1653" s="715"/>
      <c r="K1653" s="552">
        <f t="shared" si="102"/>
        <v>0</v>
      </c>
      <c r="L1653" s="217"/>
      <c r="M1653" s="211">
        <f t="shared" si="101"/>
        <v>-46136</v>
      </c>
      <c r="N1653" s="683">
        <f t="shared" si="103"/>
        <v>7</v>
      </c>
      <c r="O1653" s="212"/>
      <c r="P1653" s="544"/>
      <c r="Q1653" s="561">
        <f t="shared" si="104"/>
        <v>0</v>
      </c>
      <c r="R1653" s="223"/>
      <c r="S1653" s="223"/>
      <c r="T1653" s="223"/>
      <c r="U1653" s="223"/>
      <c r="V1653" s="223"/>
    </row>
    <row r="1654" spans="1:22" s="280" customFormat="1" ht="15.75" customHeight="1">
      <c r="A1654" s="468" t="s">
        <v>348</v>
      </c>
      <c r="B1654" s="204" t="s">
        <v>184</v>
      </c>
      <c r="C1654" s="527"/>
      <c r="D1654" s="267"/>
      <c r="E1654" s="706"/>
      <c r="F1654" s="267"/>
      <c r="G1654" s="206"/>
      <c r="H1654" s="268"/>
      <c r="I1654" s="500"/>
      <c r="J1654" s="715"/>
      <c r="K1654" s="552">
        <f t="shared" si="102"/>
        <v>0</v>
      </c>
      <c r="L1654" s="217"/>
      <c r="M1654" s="211">
        <f t="shared" si="101"/>
        <v>-46136</v>
      </c>
      <c r="N1654" s="683">
        <f t="shared" si="103"/>
        <v>7</v>
      </c>
      <c r="O1654" s="212"/>
      <c r="P1654" s="544"/>
      <c r="Q1654" s="561">
        <f t="shared" si="104"/>
        <v>0</v>
      </c>
      <c r="R1654" s="223"/>
      <c r="S1654" s="223"/>
      <c r="T1654" s="223"/>
      <c r="U1654" s="223"/>
      <c r="V1654" s="223"/>
    </row>
    <row r="1655" spans="1:22" s="280" customFormat="1" ht="15.75" customHeight="1">
      <c r="A1655" s="468" t="s">
        <v>348</v>
      </c>
      <c r="B1655" s="204" t="s">
        <v>184</v>
      </c>
      <c r="C1655" s="527"/>
      <c r="D1655" s="267"/>
      <c r="E1655" s="706"/>
      <c r="F1655" s="267"/>
      <c r="G1655" s="206"/>
      <c r="H1655" s="268"/>
      <c r="I1655" s="500"/>
      <c r="J1655" s="715"/>
      <c r="K1655" s="552">
        <f t="shared" si="102"/>
        <v>0</v>
      </c>
      <c r="L1655" s="217"/>
      <c r="M1655" s="211">
        <f t="shared" si="101"/>
        <v>-46136</v>
      </c>
      <c r="N1655" s="683">
        <f t="shared" si="103"/>
        <v>7</v>
      </c>
      <c r="O1655" s="212"/>
      <c r="P1655" s="544"/>
      <c r="Q1655" s="561">
        <f t="shared" si="104"/>
        <v>0</v>
      </c>
      <c r="R1655" s="223"/>
      <c r="S1655" s="223"/>
      <c r="T1655" s="223"/>
      <c r="U1655" s="223"/>
      <c r="V1655" s="223"/>
    </row>
    <row r="1656" spans="1:22" s="280" customFormat="1" ht="15.75" customHeight="1">
      <c r="A1656" s="468" t="s">
        <v>348</v>
      </c>
      <c r="B1656" s="204" t="s">
        <v>184</v>
      </c>
      <c r="C1656" s="527"/>
      <c r="D1656" s="267"/>
      <c r="E1656" s="706"/>
      <c r="F1656" s="267"/>
      <c r="G1656" s="206"/>
      <c r="H1656" s="268"/>
      <c r="I1656" s="500"/>
      <c r="J1656" s="715"/>
      <c r="K1656" s="552">
        <f t="shared" si="102"/>
        <v>0</v>
      </c>
      <c r="L1656" s="217"/>
      <c r="M1656" s="211">
        <f t="shared" si="101"/>
        <v>-46136</v>
      </c>
      <c r="N1656" s="683">
        <f t="shared" si="103"/>
        <v>7</v>
      </c>
      <c r="O1656" s="212"/>
      <c r="P1656" s="544"/>
      <c r="Q1656" s="561">
        <f t="shared" si="104"/>
        <v>0</v>
      </c>
      <c r="R1656" s="223"/>
      <c r="S1656" s="223"/>
      <c r="T1656" s="223"/>
      <c r="U1656" s="223"/>
      <c r="V1656" s="223"/>
    </row>
    <row r="1657" spans="1:22" s="280" customFormat="1" ht="15.75" customHeight="1">
      <c r="A1657" s="468" t="s">
        <v>348</v>
      </c>
      <c r="B1657" s="204" t="s">
        <v>184</v>
      </c>
      <c r="C1657" s="527"/>
      <c r="D1657" s="267"/>
      <c r="E1657" s="706"/>
      <c r="F1657" s="267"/>
      <c r="G1657" s="206"/>
      <c r="H1657" s="268"/>
      <c r="I1657" s="500"/>
      <c r="J1657" s="715"/>
      <c r="K1657" s="552">
        <f t="shared" si="102"/>
        <v>0</v>
      </c>
      <c r="L1657" s="217"/>
      <c r="M1657" s="211">
        <f t="shared" si="101"/>
        <v>-46136</v>
      </c>
      <c r="N1657" s="683">
        <f t="shared" si="103"/>
        <v>7</v>
      </c>
      <c r="O1657" s="212"/>
      <c r="P1657" s="544"/>
      <c r="Q1657" s="561">
        <f t="shared" si="104"/>
        <v>0</v>
      </c>
      <c r="R1657" s="223"/>
      <c r="S1657" s="223"/>
      <c r="T1657" s="223"/>
      <c r="U1657" s="223"/>
      <c r="V1657" s="223"/>
    </row>
    <row r="1658" spans="1:22" s="280" customFormat="1" ht="15.75" customHeight="1">
      <c r="A1658" s="468" t="s">
        <v>348</v>
      </c>
      <c r="B1658" s="204" t="s">
        <v>184</v>
      </c>
      <c r="C1658" s="527"/>
      <c r="D1658" s="267"/>
      <c r="E1658" s="706"/>
      <c r="F1658" s="267"/>
      <c r="G1658" s="206"/>
      <c r="H1658" s="268"/>
      <c r="I1658" s="500"/>
      <c r="J1658" s="715"/>
      <c r="K1658" s="552">
        <f t="shared" si="102"/>
        <v>0</v>
      </c>
      <c r="L1658" s="217"/>
      <c r="M1658" s="211">
        <f t="shared" si="101"/>
        <v>-46136</v>
      </c>
      <c r="N1658" s="683">
        <f t="shared" si="103"/>
        <v>7</v>
      </c>
      <c r="O1658" s="212"/>
      <c r="P1658" s="544"/>
      <c r="Q1658" s="561">
        <f t="shared" si="104"/>
        <v>0</v>
      </c>
      <c r="R1658" s="223"/>
      <c r="S1658" s="223"/>
      <c r="T1658" s="223"/>
      <c r="U1658" s="223"/>
      <c r="V1658" s="223"/>
    </row>
    <row r="1659" spans="1:22" s="280" customFormat="1" ht="15.75" customHeight="1">
      <c r="A1659" s="468" t="s">
        <v>348</v>
      </c>
      <c r="B1659" s="204" t="s">
        <v>184</v>
      </c>
      <c r="C1659" s="527"/>
      <c r="D1659" s="267"/>
      <c r="E1659" s="706"/>
      <c r="F1659" s="267"/>
      <c r="G1659" s="206"/>
      <c r="H1659" s="268"/>
      <c r="I1659" s="500"/>
      <c r="J1659" s="715"/>
      <c r="K1659" s="552">
        <f t="shared" si="102"/>
        <v>0</v>
      </c>
      <c r="L1659" s="217"/>
      <c r="M1659" s="211">
        <f t="shared" si="101"/>
        <v>-46136</v>
      </c>
      <c r="N1659" s="683">
        <f t="shared" si="103"/>
        <v>7</v>
      </c>
      <c r="O1659" s="212"/>
      <c r="P1659" s="544"/>
      <c r="Q1659" s="561">
        <f t="shared" si="104"/>
        <v>0</v>
      </c>
      <c r="R1659" s="223"/>
      <c r="S1659" s="223"/>
      <c r="T1659" s="223"/>
      <c r="U1659" s="223"/>
      <c r="V1659" s="223"/>
    </row>
    <row r="1660" spans="1:22" s="280" customFormat="1" ht="15.75" customHeight="1">
      <c r="A1660" s="468" t="s">
        <v>348</v>
      </c>
      <c r="B1660" s="204" t="s">
        <v>184</v>
      </c>
      <c r="C1660" s="527"/>
      <c r="D1660" s="267"/>
      <c r="E1660" s="706"/>
      <c r="F1660" s="267"/>
      <c r="G1660" s="206"/>
      <c r="H1660" s="268"/>
      <c r="I1660" s="500"/>
      <c r="J1660" s="715"/>
      <c r="K1660" s="552">
        <f t="shared" si="102"/>
        <v>0</v>
      </c>
      <c r="L1660" s="217"/>
      <c r="M1660" s="211">
        <f t="shared" si="101"/>
        <v>-46136</v>
      </c>
      <c r="N1660" s="683">
        <f t="shared" si="103"/>
        <v>7</v>
      </c>
      <c r="O1660" s="212"/>
      <c r="P1660" s="544"/>
      <c r="Q1660" s="561">
        <f t="shared" si="104"/>
        <v>0</v>
      </c>
      <c r="R1660" s="223"/>
      <c r="S1660" s="223"/>
      <c r="T1660" s="223"/>
      <c r="U1660" s="223"/>
      <c r="V1660" s="223"/>
    </row>
    <row r="1661" spans="1:22" s="280" customFormat="1" ht="15.75" customHeight="1">
      <c r="A1661" s="468" t="s">
        <v>348</v>
      </c>
      <c r="B1661" s="204" t="s">
        <v>184</v>
      </c>
      <c r="C1661" s="527"/>
      <c r="D1661" s="267"/>
      <c r="E1661" s="706"/>
      <c r="F1661" s="267"/>
      <c r="G1661" s="206"/>
      <c r="H1661" s="268"/>
      <c r="I1661" s="500"/>
      <c r="J1661" s="715"/>
      <c r="K1661" s="552">
        <f t="shared" si="102"/>
        <v>0</v>
      </c>
      <c r="L1661" s="217"/>
      <c r="M1661" s="211">
        <f t="shared" si="101"/>
        <v>-46136</v>
      </c>
      <c r="N1661" s="683">
        <f t="shared" si="103"/>
        <v>7</v>
      </c>
      <c r="O1661" s="212"/>
      <c r="P1661" s="544"/>
      <c r="Q1661" s="561">
        <f t="shared" si="104"/>
        <v>0</v>
      </c>
      <c r="R1661" s="223"/>
      <c r="S1661" s="223"/>
      <c r="T1661" s="223"/>
      <c r="U1661" s="223"/>
      <c r="V1661" s="223"/>
    </row>
    <row r="1662" spans="1:22" s="280" customFormat="1" ht="15.75" customHeight="1">
      <c r="A1662" s="468" t="s">
        <v>348</v>
      </c>
      <c r="B1662" s="204" t="s">
        <v>184</v>
      </c>
      <c r="C1662" s="527"/>
      <c r="D1662" s="267"/>
      <c r="E1662" s="706"/>
      <c r="F1662" s="267"/>
      <c r="G1662" s="206"/>
      <c r="H1662" s="268"/>
      <c r="I1662" s="500"/>
      <c r="J1662" s="715"/>
      <c r="K1662" s="552">
        <f t="shared" si="102"/>
        <v>0</v>
      </c>
      <c r="L1662" s="217"/>
      <c r="M1662" s="211">
        <f t="shared" si="101"/>
        <v>-46136</v>
      </c>
      <c r="N1662" s="683">
        <f t="shared" si="103"/>
        <v>7</v>
      </c>
      <c r="O1662" s="212"/>
      <c r="P1662" s="544"/>
      <c r="Q1662" s="561">
        <f t="shared" si="104"/>
        <v>0</v>
      </c>
      <c r="R1662" s="223"/>
      <c r="S1662" s="223"/>
      <c r="T1662" s="223"/>
      <c r="U1662" s="223"/>
      <c r="V1662" s="223"/>
    </row>
    <row r="1663" spans="1:22" s="278" customFormat="1" ht="15.75" customHeight="1">
      <c r="A1663" s="468" t="s">
        <v>348</v>
      </c>
      <c r="B1663" s="204" t="s">
        <v>184</v>
      </c>
      <c r="C1663" s="527"/>
      <c r="D1663" s="267"/>
      <c r="E1663" s="706"/>
      <c r="F1663" s="267"/>
      <c r="G1663" s="206"/>
      <c r="H1663" s="268"/>
      <c r="I1663" s="500"/>
      <c r="J1663" s="715"/>
      <c r="K1663" s="552">
        <f t="shared" si="102"/>
        <v>0</v>
      </c>
      <c r="L1663" s="217"/>
      <c r="M1663" s="211">
        <f t="shared" si="101"/>
        <v>-46136</v>
      </c>
      <c r="N1663" s="683">
        <f t="shared" si="103"/>
        <v>7</v>
      </c>
      <c r="O1663" s="212"/>
      <c r="P1663" s="544"/>
      <c r="Q1663" s="561">
        <f t="shared" si="104"/>
        <v>0</v>
      </c>
      <c r="R1663" s="223"/>
      <c r="S1663" s="223"/>
      <c r="T1663" s="223"/>
      <c r="U1663" s="223"/>
      <c r="V1663" s="223"/>
    </row>
    <row r="1664" spans="1:22" s="278" customFormat="1" ht="15.75" customHeight="1">
      <c r="A1664" s="468" t="s">
        <v>348</v>
      </c>
      <c r="B1664" s="204" t="s">
        <v>184</v>
      </c>
      <c r="C1664" s="527"/>
      <c r="D1664" s="267"/>
      <c r="E1664" s="706"/>
      <c r="F1664" s="267"/>
      <c r="G1664" s="206"/>
      <c r="H1664" s="268"/>
      <c r="I1664" s="500"/>
      <c r="J1664" s="715"/>
      <c r="K1664" s="552">
        <f t="shared" si="102"/>
        <v>0</v>
      </c>
      <c r="L1664" s="217"/>
      <c r="M1664" s="211">
        <f t="shared" si="101"/>
        <v>-46136</v>
      </c>
      <c r="N1664" s="683">
        <f t="shared" si="103"/>
        <v>7</v>
      </c>
      <c r="O1664" s="212"/>
      <c r="P1664" s="544"/>
      <c r="Q1664" s="561">
        <f t="shared" si="104"/>
        <v>0</v>
      </c>
      <c r="R1664" s="223"/>
      <c r="S1664" s="223"/>
      <c r="T1664" s="223"/>
      <c r="U1664" s="223"/>
      <c r="V1664" s="223"/>
    </row>
    <row r="1665" spans="1:22" s="278" customFormat="1" ht="15.75" customHeight="1">
      <c r="A1665" s="468" t="s">
        <v>348</v>
      </c>
      <c r="B1665" s="204" t="s">
        <v>184</v>
      </c>
      <c r="C1665" s="527"/>
      <c r="D1665" s="267"/>
      <c r="E1665" s="706"/>
      <c r="F1665" s="267"/>
      <c r="G1665" s="206"/>
      <c r="H1665" s="268"/>
      <c r="I1665" s="500"/>
      <c r="J1665" s="715"/>
      <c r="K1665" s="552">
        <f t="shared" si="102"/>
        <v>0</v>
      </c>
      <c r="L1665" s="217"/>
      <c r="M1665" s="211">
        <f t="shared" si="101"/>
        <v>-46136</v>
      </c>
      <c r="N1665" s="683">
        <f t="shared" si="103"/>
        <v>7</v>
      </c>
      <c r="O1665" s="212"/>
      <c r="P1665" s="544"/>
      <c r="Q1665" s="561">
        <f t="shared" si="104"/>
        <v>0</v>
      </c>
      <c r="R1665" s="223"/>
      <c r="S1665" s="223"/>
      <c r="T1665" s="223"/>
      <c r="U1665" s="223"/>
      <c r="V1665" s="223"/>
    </row>
    <row r="1666" spans="1:22" s="278" customFormat="1" ht="15.75" customHeight="1">
      <c r="A1666" s="468" t="s">
        <v>348</v>
      </c>
      <c r="B1666" s="204" t="s">
        <v>184</v>
      </c>
      <c r="C1666" s="527"/>
      <c r="D1666" s="267"/>
      <c r="E1666" s="706"/>
      <c r="F1666" s="267"/>
      <c r="G1666" s="206"/>
      <c r="H1666" s="268"/>
      <c r="I1666" s="500"/>
      <c r="J1666" s="715"/>
      <c r="K1666" s="552">
        <f t="shared" si="102"/>
        <v>0</v>
      </c>
      <c r="L1666" s="217"/>
      <c r="M1666" s="211">
        <f t="shared" si="101"/>
        <v>-46136</v>
      </c>
      <c r="N1666" s="683">
        <f t="shared" si="103"/>
        <v>7</v>
      </c>
      <c r="O1666" s="212"/>
      <c r="P1666" s="544"/>
      <c r="Q1666" s="561">
        <f t="shared" si="104"/>
        <v>0</v>
      </c>
      <c r="R1666" s="223"/>
      <c r="S1666" s="223"/>
      <c r="T1666" s="223"/>
      <c r="U1666" s="223"/>
      <c r="V1666" s="223"/>
    </row>
    <row r="1667" spans="1:22" s="278" customFormat="1" ht="15.75" customHeight="1">
      <c r="A1667" s="468" t="s">
        <v>348</v>
      </c>
      <c r="B1667" s="204" t="s">
        <v>184</v>
      </c>
      <c r="C1667" s="527"/>
      <c r="D1667" s="267"/>
      <c r="E1667" s="706"/>
      <c r="F1667" s="267"/>
      <c r="G1667" s="206"/>
      <c r="H1667" s="268"/>
      <c r="I1667" s="500"/>
      <c r="J1667" s="715"/>
      <c r="K1667" s="552">
        <f t="shared" si="102"/>
        <v>0</v>
      </c>
      <c r="L1667" s="217"/>
      <c r="M1667" s="211">
        <f t="shared" si="101"/>
        <v>-46136</v>
      </c>
      <c r="N1667" s="683">
        <f t="shared" si="103"/>
        <v>7</v>
      </c>
      <c r="O1667" s="212"/>
      <c r="P1667" s="544"/>
      <c r="Q1667" s="561">
        <f t="shared" si="104"/>
        <v>0</v>
      </c>
      <c r="R1667" s="223"/>
      <c r="S1667" s="223"/>
      <c r="T1667" s="223"/>
      <c r="U1667" s="223"/>
      <c r="V1667" s="223"/>
    </row>
    <row r="1668" spans="1:22" s="278" customFormat="1" ht="15.75" customHeight="1">
      <c r="A1668" s="468" t="s">
        <v>348</v>
      </c>
      <c r="B1668" s="204" t="s">
        <v>184</v>
      </c>
      <c r="C1668" s="527"/>
      <c r="D1668" s="267"/>
      <c r="E1668" s="706"/>
      <c r="F1668" s="267"/>
      <c r="G1668" s="206"/>
      <c r="H1668" s="268"/>
      <c r="I1668" s="500"/>
      <c r="J1668" s="715"/>
      <c r="K1668" s="552">
        <f t="shared" si="102"/>
        <v>0</v>
      </c>
      <c r="L1668" s="217"/>
      <c r="M1668" s="211">
        <f t="shared" si="101"/>
        <v>-46136</v>
      </c>
      <c r="N1668" s="683">
        <f t="shared" si="103"/>
        <v>7</v>
      </c>
      <c r="O1668" s="212"/>
      <c r="P1668" s="544"/>
      <c r="Q1668" s="561">
        <f t="shared" si="104"/>
        <v>0</v>
      </c>
      <c r="R1668" s="223"/>
      <c r="S1668" s="223"/>
      <c r="T1668" s="223"/>
      <c r="U1668" s="223"/>
      <c r="V1668" s="223"/>
    </row>
    <row r="1669" spans="1:22" s="278" customFormat="1" ht="15.75" customHeight="1">
      <c r="A1669" s="468" t="s">
        <v>348</v>
      </c>
      <c r="B1669" s="204" t="s">
        <v>184</v>
      </c>
      <c r="C1669" s="527"/>
      <c r="D1669" s="267"/>
      <c r="E1669" s="706"/>
      <c r="F1669" s="267"/>
      <c r="G1669" s="206"/>
      <c r="H1669" s="268"/>
      <c r="I1669" s="500"/>
      <c r="J1669" s="715"/>
      <c r="K1669" s="552">
        <f t="shared" si="102"/>
        <v>0</v>
      </c>
      <c r="L1669" s="217"/>
      <c r="M1669" s="211">
        <f t="shared" si="101"/>
        <v>-46136</v>
      </c>
      <c r="N1669" s="683">
        <f t="shared" si="103"/>
        <v>7</v>
      </c>
      <c r="O1669" s="212"/>
      <c r="P1669" s="544"/>
      <c r="Q1669" s="561">
        <f t="shared" si="104"/>
        <v>0</v>
      </c>
      <c r="R1669" s="223"/>
      <c r="S1669" s="223"/>
      <c r="T1669" s="223"/>
      <c r="U1669" s="223"/>
      <c r="V1669" s="223"/>
    </row>
    <row r="1670" spans="1:22" s="278" customFormat="1" ht="15.75" customHeight="1">
      <c r="A1670" s="468" t="s">
        <v>348</v>
      </c>
      <c r="B1670" s="204" t="s">
        <v>184</v>
      </c>
      <c r="C1670" s="527"/>
      <c r="D1670" s="267"/>
      <c r="E1670" s="706"/>
      <c r="F1670" s="267"/>
      <c r="G1670" s="206"/>
      <c r="H1670" s="268"/>
      <c r="I1670" s="500"/>
      <c r="J1670" s="715"/>
      <c r="K1670" s="552">
        <f t="shared" si="102"/>
        <v>0</v>
      </c>
      <c r="L1670" s="217"/>
      <c r="M1670" s="211">
        <f t="shared" si="101"/>
        <v>-46136</v>
      </c>
      <c r="N1670" s="683">
        <f t="shared" si="103"/>
        <v>7</v>
      </c>
      <c r="O1670" s="212"/>
      <c r="P1670" s="544"/>
      <c r="Q1670" s="561">
        <f t="shared" si="104"/>
        <v>0</v>
      </c>
      <c r="R1670" s="223"/>
      <c r="S1670" s="223"/>
      <c r="T1670" s="223"/>
      <c r="U1670" s="223"/>
      <c r="V1670" s="223"/>
    </row>
    <row r="1671" spans="1:22" s="278" customFormat="1" ht="15.75" customHeight="1">
      <c r="A1671" s="468" t="s">
        <v>348</v>
      </c>
      <c r="B1671" s="204" t="s">
        <v>184</v>
      </c>
      <c r="C1671" s="527"/>
      <c r="D1671" s="267"/>
      <c r="E1671" s="706"/>
      <c r="F1671" s="267"/>
      <c r="G1671" s="206"/>
      <c r="H1671" s="268"/>
      <c r="I1671" s="500"/>
      <c r="J1671" s="715"/>
      <c r="K1671" s="552">
        <f t="shared" si="102"/>
        <v>0</v>
      </c>
      <c r="L1671" s="217"/>
      <c r="M1671" s="211">
        <f t="shared" si="101"/>
        <v>-46136</v>
      </c>
      <c r="N1671" s="683">
        <f t="shared" si="103"/>
        <v>7</v>
      </c>
      <c r="O1671" s="212"/>
      <c r="P1671" s="544"/>
      <c r="Q1671" s="561">
        <f t="shared" si="104"/>
        <v>0</v>
      </c>
      <c r="R1671" s="223"/>
      <c r="S1671" s="223"/>
      <c r="T1671" s="223"/>
      <c r="U1671" s="223"/>
      <c r="V1671" s="223"/>
    </row>
    <row r="1672" spans="1:22" s="274" customFormat="1" ht="15.75" customHeight="1">
      <c r="A1672" s="468" t="s">
        <v>348</v>
      </c>
      <c r="B1672" s="204" t="s">
        <v>184</v>
      </c>
      <c r="C1672" s="527"/>
      <c r="D1672" s="267"/>
      <c r="E1672" s="706"/>
      <c r="F1672" s="267"/>
      <c r="G1672" s="486"/>
      <c r="H1672" s="268"/>
      <c r="I1672" s="503"/>
      <c r="J1672" s="715"/>
      <c r="K1672" s="552">
        <f t="shared" si="102"/>
        <v>0</v>
      </c>
      <c r="L1672" s="217"/>
      <c r="M1672" s="211">
        <f t="shared" si="101"/>
        <v>-46136</v>
      </c>
      <c r="N1672" s="683">
        <f t="shared" si="103"/>
        <v>7</v>
      </c>
      <c r="O1672" s="212"/>
      <c r="P1672" s="544"/>
      <c r="Q1672" s="561">
        <f t="shared" si="104"/>
        <v>0</v>
      </c>
      <c r="R1672" s="223"/>
      <c r="S1672" s="223"/>
      <c r="T1672" s="223"/>
      <c r="U1672" s="223"/>
      <c r="V1672" s="223"/>
    </row>
    <row r="1673" spans="1:22" s="274" customFormat="1" ht="15.75" customHeight="1">
      <c r="A1673" s="468" t="s">
        <v>348</v>
      </c>
      <c r="B1673" s="204" t="s">
        <v>184</v>
      </c>
      <c r="C1673" s="527"/>
      <c r="D1673" s="205"/>
      <c r="E1673" s="706"/>
      <c r="F1673" s="205"/>
      <c r="G1673" s="206"/>
      <c r="H1673" s="268"/>
      <c r="I1673" s="500"/>
      <c r="J1673" s="715"/>
      <c r="K1673" s="552">
        <f t="shared" si="102"/>
        <v>0</v>
      </c>
      <c r="L1673" s="217"/>
      <c r="M1673" s="211">
        <f t="shared" ref="M1673:M1712" si="105">+L1673-$E$6</f>
        <v>-46136</v>
      </c>
      <c r="N1673" s="683">
        <f t="shared" si="103"/>
        <v>7</v>
      </c>
      <c r="O1673" s="212"/>
      <c r="P1673" s="544"/>
      <c r="Q1673" s="561">
        <f t="shared" si="104"/>
        <v>0</v>
      </c>
      <c r="R1673" s="223"/>
      <c r="S1673" s="223"/>
      <c r="T1673" s="223"/>
      <c r="U1673" s="223"/>
      <c r="V1673" s="223"/>
    </row>
    <row r="1674" spans="1:22" s="274" customFormat="1" ht="15.75" customHeight="1">
      <c r="A1674" s="468" t="s">
        <v>348</v>
      </c>
      <c r="B1674" s="204" t="s">
        <v>184</v>
      </c>
      <c r="C1674" s="527"/>
      <c r="D1674" s="205"/>
      <c r="E1674" s="706"/>
      <c r="F1674" s="205"/>
      <c r="G1674" s="206"/>
      <c r="H1674" s="268"/>
      <c r="I1674" s="500"/>
      <c r="J1674" s="715"/>
      <c r="K1674" s="552">
        <f t="shared" ref="K1674:K1712" si="106">-J1674</f>
        <v>0</v>
      </c>
      <c r="L1674" s="217"/>
      <c r="M1674" s="211">
        <f t="shared" si="105"/>
        <v>-46136</v>
      </c>
      <c r="N1674" s="683">
        <f t="shared" ref="N1674:N1712" si="107">+L1674+7</f>
        <v>7</v>
      </c>
      <c r="O1674" s="212"/>
      <c r="P1674" s="544"/>
      <c r="Q1674" s="561">
        <f t="shared" si="104"/>
        <v>0</v>
      </c>
      <c r="R1674" s="223"/>
      <c r="S1674" s="223"/>
      <c r="T1674" s="223"/>
      <c r="U1674" s="223"/>
      <c r="V1674" s="223"/>
    </row>
    <row r="1675" spans="1:22" s="274" customFormat="1" ht="15.75" customHeight="1">
      <c r="A1675" s="468" t="s">
        <v>348</v>
      </c>
      <c r="B1675" s="204" t="s">
        <v>184</v>
      </c>
      <c r="C1675" s="527"/>
      <c r="D1675" s="267"/>
      <c r="E1675" s="706"/>
      <c r="F1675" s="267"/>
      <c r="G1675" s="206"/>
      <c r="H1675" s="268"/>
      <c r="I1675" s="500"/>
      <c r="J1675" s="715"/>
      <c r="K1675" s="552">
        <f t="shared" si="106"/>
        <v>0</v>
      </c>
      <c r="L1675" s="217"/>
      <c r="M1675" s="211">
        <f t="shared" si="105"/>
        <v>-46136</v>
      </c>
      <c r="N1675" s="683">
        <f t="shared" si="107"/>
        <v>7</v>
      </c>
      <c r="O1675" s="212"/>
      <c r="P1675" s="544"/>
      <c r="Q1675" s="561">
        <f t="shared" si="104"/>
        <v>0</v>
      </c>
      <c r="R1675" s="223"/>
      <c r="S1675" s="223"/>
      <c r="T1675" s="223"/>
      <c r="U1675" s="223"/>
      <c r="V1675" s="223"/>
    </row>
    <row r="1676" spans="1:22" s="274" customFormat="1" ht="15.75" customHeight="1">
      <c r="A1676" s="468" t="s">
        <v>348</v>
      </c>
      <c r="B1676" s="204" t="s">
        <v>184</v>
      </c>
      <c r="C1676" s="527"/>
      <c r="D1676" s="267"/>
      <c r="E1676" s="706"/>
      <c r="F1676" s="267"/>
      <c r="G1676" s="206"/>
      <c r="H1676" s="268"/>
      <c r="I1676" s="500"/>
      <c r="J1676" s="715"/>
      <c r="K1676" s="552">
        <f t="shared" si="106"/>
        <v>0</v>
      </c>
      <c r="L1676" s="217"/>
      <c r="M1676" s="211">
        <f t="shared" si="105"/>
        <v>-46136</v>
      </c>
      <c r="N1676" s="683">
        <f t="shared" si="107"/>
        <v>7</v>
      </c>
      <c r="O1676" s="212"/>
      <c r="P1676" s="544"/>
      <c r="Q1676" s="561">
        <f t="shared" si="104"/>
        <v>0</v>
      </c>
      <c r="R1676" s="223"/>
      <c r="S1676" s="223"/>
      <c r="T1676" s="223"/>
      <c r="U1676" s="223"/>
      <c r="V1676" s="223"/>
    </row>
    <row r="1677" spans="1:22" s="274" customFormat="1" ht="15.75" customHeight="1">
      <c r="A1677" s="468" t="s">
        <v>348</v>
      </c>
      <c r="B1677" s="204" t="s">
        <v>184</v>
      </c>
      <c r="C1677" s="527"/>
      <c r="D1677" s="267"/>
      <c r="E1677" s="706"/>
      <c r="F1677" s="267"/>
      <c r="G1677" s="206"/>
      <c r="H1677" s="268"/>
      <c r="I1677" s="500"/>
      <c r="J1677" s="715"/>
      <c r="K1677" s="552">
        <f t="shared" si="106"/>
        <v>0</v>
      </c>
      <c r="L1677" s="217"/>
      <c r="M1677" s="211">
        <f t="shared" si="105"/>
        <v>-46136</v>
      </c>
      <c r="N1677" s="683">
        <f t="shared" si="107"/>
        <v>7</v>
      </c>
      <c r="O1677" s="212"/>
      <c r="P1677" s="544"/>
      <c r="Q1677" s="561">
        <f t="shared" si="104"/>
        <v>0</v>
      </c>
      <c r="R1677" s="223"/>
      <c r="S1677" s="223"/>
      <c r="T1677" s="223"/>
      <c r="U1677" s="223"/>
      <c r="V1677" s="223"/>
    </row>
    <row r="1678" spans="1:22" s="274" customFormat="1" ht="15.75" customHeight="1">
      <c r="A1678" s="468" t="s">
        <v>348</v>
      </c>
      <c r="B1678" s="204" t="s">
        <v>184</v>
      </c>
      <c r="C1678" s="527"/>
      <c r="D1678" s="267"/>
      <c r="E1678" s="706"/>
      <c r="F1678" s="267"/>
      <c r="G1678" s="486"/>
      <c r="H1678" s="268"/>
      <c r="I1678" s="503"/>
      <c r="J1678" s="715"/>
      <c r="K1678" s="552">
        <f t="shared" si="106"/>
        <v>0</v>
      </c>
      <c r="L1678" s="217"/>
      <c r="M1678" s="211">
        <f t="shared" si="105"/>
        <v>-46136</v>
      </c>
      <c r="N1678" s="683">
        <f t="shared" si="107"/>
        <v>7</v>
      </c>
      <c r="O1678" s="212"/>
      <c r="P1678" s="544"/>
      <c r="Q1678" s="561">
        <f t="shared" si="104"/>
        <v>0</v>
      </c>
      <c r="R1678" s="223"/>
      <c r="S1678" s="223"/>
      <c r="T1678" s="223"/>
      <c r="U1678" s="223"/>
      <c r="V1678" s="223"/>
    </row>
    <row r="1679" spans="1:22" s="274" customFormat="1" ht="15.75" customHeight="1">
      <c r="A1679" s="468" t="s">
        <v>348</v>
      </c>
      <c r="B1679" s="204" t="s">
        <v>184</v>
      </c>
      <c r="C1679" s="527"/>
      <c r="D1679" s="267"/>
      <c r="E1679" s="706"/>
      <c r="F1679" s="267"/>
      <c r="G1679" s="206"/>
      <c r="H1679" s="268"/>
      <c r="I1679" s="500"/>
      <c r="J1679" s="715"/>
      <c r="K1679" s="552">
        <f t="shared" si="106"/>
        <v>0</v>
      </c>
      <c r="L1679" s="217"/>
      <c r="M1679" s="211">
        <f t="shared" si="105"/>
        <v>-46136</v>
      </c>
      <c r="N1679" s="683">
        <f t="shared" si="107"/>
        <v>7</v>
      </c>
      <c r="O1679" s="212"/>
      <c r="P1679" s="544"/>
      <c r="Q1679" s="561">
        <f t="shared" si="104"/>
        <v>0</v>
      </c>
      <c r="R1679" s="223"/>
      <c r="S1679" s="223"/>
      <c r="T1679" s="223"/>
      <c r="U1679" s="223"/>
      <c r="V1679" s="223"/>
    </row>
    <row r="1680" spans="1:22" s="274" customFormat="1" ht="15.75" customHeight="1">
      <c r="A1680" s="468" t="s">
        <v>348</v>
      </c>
      <c r="B1680" s="204" t="s">
        <v>184</v>
      </c>
      <c r="C1680" s="527"/>
      <c r="D1680" s="267"/>
      <c r="E1680" s="706"/>
      <c r="F1680" s="267"/>
      <c r="G1680" s="206"/>
      <c r="H1680" s="268"/>
      <c r="I1680" s="500"/>
      <c r="J1680" s="715"/>
      <c r="K1680" s="552">
        <f t="shared" si="106"/>
        <v>0</v>
      </c>
      <c r="L1680" s="217"/>
      <c r="M1680" s="211">
        <f t="shared" si="105"/>
        <v>-46136</v>
      </c>
      <c r="N1680" s="683">
        <f t="shared" si="107"/>
        <v>7</v>
      </c>
      <c r="O1680" s="212"/>
      <c r="P1680" s="544"/>
      <c r="Q1680" s="561">
        <f t="shared" si="104"/>
        <v>0</v>
      </c>
      <c r="R1680" s="223"/>
      <c r="S1680" s="223"/>
      <c r="T1680" s="223"/>
      <c r="U1680" s="223"/>
      <c r="V1680" s="223"/>
    </row>
    <row r="1681" spans="1:22" s="274" customFormat="1" ht="15.75" customHeight="1">
      <c r="A1681" s="468" t="s">
        <v>348</v>
      </c>
      <c r="B1681" s="204" t="s">
        <v>184</v>
      </c>
      <c r="C1681" s="527"/>
      <c r="D1681" s="267"/>
      <c r="E1681" s="706"/>
      <c r="F1681" s="267"/>
      <c r="G1681" s="206"/>
      <c r="H1681" s="268"/>
      <c r="I1681" s="500"/>
      <c r="J1681" s="715"/>
      <c r="K1681" s="552">
        <f t="shared" si="106"/>
        <v>0</v>
      </c>
      <c r="L1681" s="217"/>
      <c r="M1681" s="211">
        <f t="shared" si="105"/>
        <v>-46136</v>
      </c>
      <c r="N1681" s="683">
        <f t="shared" si="107"/>
        <v>7</v>
      </c>
      <c r="O1681" s="212"/>
      <c r="P1681" s="544"/>
      <c r="Q1681" s="561">
        <f t="shared" si="104"/>
        <v>0</v>
      </c>
      <c r="R1681" s="223"/>
      <c r="S1681" s="223"/>
      <c r="T1681" s="223"/>
      <c r="U1681" s="223"/>
      <c r="V1681" s="223"/>
    </row>
    <row r="1682" spans="1:22" s="274" customFormat="1" ht="15.75" customHeight="1">
      <c r="A1682" s="468" t="s">
        <v>348</v>
      </c>
      <c r="B1682" s="204" t="s">
        <v>184</v>
      </c>
      <c r="C1682" s="527"/>
      <c r="D1682" s="267"/>
      <c r="E1682" s="706"/>
      <c r="F1682" s="267"/>
      <c r="G1682" s="206"/>
      <c r="H1682" s="268"/>
      <c r="I1682" s="500"/>
      <c r="J1682" s="715"/>
      <c r="K1682" s="552">
        <f t="shared" si="106"/>
        <v>0</v>
      </c>
      <c r="L1682" s="217"/>
      <c r="M1682" s="211">
        <f t="shared" si="105"/>
        <v>-46136</v>
      </c>
      <c r="N1682" s="683">
        <f t="shared" si="107"/>
        <v>7</v>
      </c>
      <c r="O1682" s="212"/>
      <c r="P1682" s="544"/>
      <c r="Q1682" s="561">
        <f t="shared" si="104"/>
        <v>0</v>
      </c>
      <c r="R1682" s="223"/>
      <c r="S1682" s="223"/>
      <c r="T1682" s="223"/>
      <c r="U1682" s="223"/>
      <c r="V1682" s="223"/>
    </row>
    <row r="1683" spans="1:22" s="274" customFormat="1" ht="15.75" customHeight="1">
      <c r="A1683" s="468" t="s">
        <v>348</v>
      </c>
      <c r="B1683" s="204" t="s">
        <v>184</v>
      </c>
      <c r="C1683" s="527"/>
      <c r="D1683" s="267"/>
      <c r="E1683" s="706"/>
      <c r="F1683" s="267"/>
      <c r="G1683" s="206"/>
      <c r="H1683" s="268"/>
      <c r="I1683" s="500"/>
      <c r="J1683" s="715"/>
      <c r="K1683" s="552">
        <f t="shared" si="106"/>
        <v>0</v>
      </c>
      <c r="L1683" s="217"/>
      <c r="M1683" s="211">
        <f t="shared" si="105"/>
        <v>-46136</v>
      </c>
      <c r="N1683" s="683">
        <f t="shared" si="107"/>
        <v>7</v>
      </c>
      <c r="O1683" s="212"/>
      <c r="P1683" s="544"/>
      <c r="Q1683" s="561">
        <f t="shared" si="104"/>
        <v>0</v>
      </c>
      <c r="R1683" s="223"/>
      <c r="S1683" s="223"/>
      <c r="T1683" s="223"/>
      <c r="U1683" s="223"/>
      <c r="V1683" s="223"/>
    </row>
    <row r="1684" spans="1:22" s="274" customFormat="1" ht="15.75" customHeight="1">
      <c r="A1684" s="468" t="s">
        <v>348</v>
      </c>
      <c r="B1684" s="204" t="s">
        <v>184</v>
      </c>
      <c r="C1684" s="527"/>
      <c r="D1684" s="267"/>
      <c r="E1684" s="706"/>
      <c r="F1684" s="267"/>
      <c r="G1684" s="206"/>
      <c r="H1684" s="268"/>
      <c r="I1684" s="500"/>
      <c r="J1684" s="715"/>
      <c r="K1684" s="552">
        <f t="shared" si="106"/>
        <v>0</v>
      </c>
      <c r="L1684" s="217"/>
      <c r="M1684" s="211">
        <f t="shared" si="105"/>
        <v>-46136</v>
      </c>
      <c r="N1684" s="683">
        <f t="shared" si="107"/>
        <v>7</v>
      </c>
      <c r="O1684" s="212"/>
      <c r="P1684" s="544"/>
      <c r="Q1684" s="561">
        <f t="shared" si="104"/>
        <v>0</v>
      </c>
      <c r="R1684" s="223"/>
      <c r="S1684" s="223"/>
      <c r="T1684" s="223"/>
      <c r="U1684" s="223"/>
      <c r="V1684" s="223"/>
    </row>
    <row r="1685" spans="1:22" s="274" customFormat="1" ht="15.75" customHeight="1">
      <c r="A1685" s="468" t="s">
        <v>348</v>
      </c>
      <c r="B1685" s="204" t="s">
        <v>184</v>
      </c>
      <c r="C1685" s="527"/>
      <c r="D1685" s="267"/>
      <c r="E1685" s="706"/>
      <c r="F1685" s="267"/>
      <c r="G1685" s="206"/>
      <c r="H1685" s="268"/>
      <c r="I1685" s="500"/>
      <c r="J1685" s="715"/>
      <c r="K1685" s="552">
        <f t="shared" si="106"/>
        <v>0</v>
      </c>
      <c r="L1685" s="217"/>
      <c r="M1685" s="211">
        <f t="shared" si="105"/>
        <v>-46136</v>
      </c>
      <c r="N1685" s="683">
        <f t="shared" si="107"/>
        <v>7</v>
      </c>
      <c r="O1685" s="212"/>
      <c r="P1685" s="544"/>
      <c r="Q1685" s="561">
        <f t="shared" si="104"/>
        <v>0</v>
      </c>
      <c r="R1685" s="223"/>
      <c r="S1685" s="223"/>
      <c r="T1685" s="223"/>
      <c r="U1685" s="223"/>
      <c r="V1685" s="223"/>
    </row>
    <row r="1686" spans="1:22" s="274" customFormat="1" ht="15.75" customHeight="1">
      <c r="A1686" s="468" t="s">
        <v>348</v>
      </c>
      <c r="B1686" s="204" t="s">
        <v>184</v>
      </c>
      <c r="C1686" s="527"/>
      <c r="D1686" s="267"/>
      <c r="E1686" s="706"/>
      <c r="F1686" s="267"/>
      <c r="G1686" s="206"/>
      <c r="H1686" s="268"/>
      <c r="I1686" s="500"/>
      <c r="J1686" s="715"/>
      <c r="K1686" s="552">
        <f t="shared" si="106"/>
        <v>0</v>
      </c>
      <c r="L1686" s="217"/>
      <c r="M1686" s="211">
        <f t="shared" si="105"/>
        <v>-46136</v>
      </c>
      <c r="N1686" s="683">
        <f t="shared" si="107"/>
        <v>7</v>
      </c>
      <c r="O1686" s="212"/>
      <c r="P1686" s="544"/>
      <c r="Q1686" s="561">
        <f t="shared" si="104"/>
        <v>0</v>
      </c>
      <c r="R1686" s="223"/>
      <c r="S1686" s="223"/>
      <c r="T1686" s="223"/>
      <c r="U1686" s="223"/>
      <c r="V1686" s="223"/>
    </row>
    <row r="1687" spans="1:22" s="274" customFormat="1" ht="15.75" customHeight="1">
      <c r="A1687" s="468" t="s">
        <v>348</v>
      </c>
      <c r="B1687" s="204" t="s">
        <v>184</v>
      </c>
      <c r="C1687" s="527"/>
      <c r="D1687" s="267"/>
      <c r="E1687" s="706"/>
      <c r="F1687" s="267"/>
      <c r="G1687" s="206"/>
      <c r="H1687" s="268"/>
      <c r="I1687" s="500"/>
      <c r="J1687" s="715"/>
      <c r="K1687" s="552">
        <f t="shared" si="106"/>
        <v>0</v>
      </c>
      <c r="L1687" s="217"/>
      <c r="M1687" s="211">
        <f t="shared" si="105"/>
        <v>-46136</v>
      </c>
      <c r="N1687" s="683">
        <f t="shared" si="107"/>
        <v>7</v>
      </c>
      <c r="O1687" s="212"/>
      <c r="P1687" s="544"/>
      <c r="Q1687" s="561">
        <f t="shared" si="104"/>
        <v>0</v>
      </c>
      <c r="R1687" s="223"/>
      <c r="S1687" s="223"/>
      <c r="T1687" s="223"/>
      <c r="U1687" s="223"/>
      <c r="V1687" s="223"/>
    </row>
    <row r="1688" spans="1:22" s="274" customFormat="1" ht="15.75" customHeight="1">
      <c r="A1688" s="468" t="s">
        <v>348</v>
      </c>
      <c r="B1688" s="204" t="s">
        <v>184</v>
      </c>
      <c r="C1688" s="527"/>
      <c r="D1688" s="267"/>
      <c r="E1688" s="706"/>
      <c r="F1688" s="267"/>
      <c r="G1688" s="206"/>
      <c r="H1688" s="268"/>
      <c r="I1688" s="500"/>
      <c r="J1688" s="715"/>
      <c r="K1688" s="552">
        <f t="shared" si="106"/>
        <v>0</v>
      </c>
      <c r="L1688" s="217"/>
      <c r="M1688" s="211">
        <f t="shared" si="105"/>
        <v>-46136</v>
      </c>
      <c r="N1688" s="683">
        <f t="shared" si="107"/>
        <v>7</v>
      </c>
      <c r="O1688" s="212"/>
      <c r="P1688" s="544"/>
      <c r="Q1688" s="561">
        <f t="shared" si="104"/>
        <v>0</v>
      </c>
      <c r="R1688" s="223"/>
      <c r="S1688" s="223"/>
      <c r="T1688" s="223"/>
      <c r="U1688" s="223"/>
      <c r="V1688" s="223"/>
    </row>
    <row r="1689" spans="1:22" s="274" customFormat="1" ht="15.75" customHeight="1">
      <c r="A1689" s="468" t="s">
        <v>348</v>
      </c>
      <c r="B1689" s="204" t="s">
        <v>184</v>
      </c>
      <c r="C1689" s="527"/>
      <c r="D1689" s="267"/>
      <c r="E1689" s="706"/>
      <c r="F1689" s="267"/>
      <c r="G1689" s="206"/>
      <c r="H1689" s="268"/>
      <c r="I1689" s="500"/>
      <c r="J1689" s="715"/>
      <c r="K1689" s="552">
        <f t="shared" si="106"/>
        <v>0</v>
      </c>
      <c r="L1689" s="217"/>
      <c r="M1689" s="211">
        <f t="shared" si="105"/>
        <v>-46136</v>
      </c>
      <c r="N1689" s="683">
        <f t="shared" si="107"/>
        <v>7</v>
      </c>
      <c r="O1689" s="212"/>
      <c r="P1689" s="544"/>
      <c r="Q1689" s="561">
        <f t="shared" si="104"/>
        <v>0</v>
      </c>
      <c r="R1689" s="223"/>
      <c r="S1689" s="223"/>
      <c r="T1689" s="223"/>
      <c r="U1689" s="223"/>
      <c r="V1689" s="223"/>
    </row>
    <row r="1690" spans="1:22" s="274" customFormat="1" ht="15.75" customHeight="1">
      <c r="A1690" s="468" t="s">
        <v>348</v>
      </c>
      <c r="B1690" s="204" t="s">
        <v>184</v>
      </c>
      <c r="C1690" s="527"/>
      <c r="D1690" s="267"/>
      <c r="E1690" s="706"/>
      <c r="F1690" s="267"/>
      <c r="G1690" s="206"/>
      <c r="H1690" s="268"/>
      <c r="I1690" s="500"/>
      <c r="J1690" s="715"/>
      <c r="K1690" s="552">
        <f t="shared" si="106"/>
        <v>0</v>
      </c>
      <c r="L1690" s="217"/>
      <c r="M1690" s="211">
        <f t="shared" si="105"/>
        <v>-46136</v>
      </c>
      <c r="N1690" s="683">
        <f t="shared" si="107"/>
        <v>7</v>
      </c>
      <c r="O1690" s="212"/>
      <c r="P1690" s="544"/>
      <c r="Q1690" s="561">
        <f t="shared" si="104"/>
        <v>0</v>
      </c>
      <c r="R1690" s="223"/>
      <c r="S1690" s="223"/>
      <c r="T1690" s="223"/>
      <c r="U1690" s="223"/>
      <c r="V1690" s="223"/>
    </row>
    <row r="1691" spans="1:22" s="274" customFormat="1" ht="15.75" customHeight="1">
      <c r="A1691" s="468" t="s">
        <v>348</v>
      </c>
      <c r="B1691" s="204" t="s">
        <v>184</v>
      </c>
      <c r="C1691" s="527"/>
      <c r="D1691" s="267"/>
      <c r="E1691" s="706"/>
      <c r="F1691" s="267"/>
      <c r="G1691" s="206"/>
      <c r="H1691" s="268"/>
      <c r="I1691" s="500"/>
      <c r="J1691" s="715"/>
      <c r="K1691" s="552">
        <f t="shared" si="106"/>
        <v>0</v>
      </c>
      <c r="L1691" s="217"/>
      <c r="M1691" s="211">
        <f t="shared" si="105"/>
        <v>-46136</v>
      </c>
      <c r="N1691" s="683">
        <f t="shared" si="107"/>
        <v>7</v>
      </c>
      <c r="O1691" s="212"/>
      <c r="P1691" s="544"/>
      <c r="Q1691" s="561">
        <f t="shared" si="104"/>
        <v>0</v>
      </c>
      <c r="R1691" s="223"/>
      <c r="S1691" s="223"/>
      <c r="T1691" s="223"/>
      <c r="U1691" s="223"/>
      <c r="V1691" s="223"/>
    </row>
    <row r="1692" spans="1:22" s="274" customFormat="1" ht="15.75" customHeight="1">
      <c r="A1692" s="468" t="s">
        <v>348</v>
      </c>
      <c r="B1692" s="204" t="s">
        <v>184</v>
      </c>
      <c r="C1692" s="527"/>
      <c r="D1692" s="267"/>
      <c r="E1692" s="706"/>
      <c r="F1692" s="267"/>
      <c r="G1692" s="206"/>
      <c r="H1692" s="268"/>
      <c r="I1692" s="500"/>
      <c r="J1692" s="715"/>
      <c r="K1692" s="552">
        <f t="shared" si="106"/>
        <v>0</v>
      </c>
      <c r="L1692" s="217"/>
      <c r="M1692" s="211">
        <f t="shared" si="105"/>
        <v>-46136</v>
      </c>
      <c r="N1692" s="683">
        <f t="shared" si="107"/>
        <v>7</v>
      </c>
      <c r="O1692" s="212"/>
      <c r="P1692" s="544"/>
      <c r="Q1692" s="561">
        <f t="shared" si="104"/>
        <v>0</v>
      </c>
      <c r="R1692" s="223"/>
      <c r="S1692" s="223"/>
      <c r="T1692" s="223"/>
      <c r="U1692" s="223"/>
      <c r="V1692" s="223"/>
    </row>
    <row r="1693" spans="1:22" s="274" customFormat="1" ht="15.75" customHeight="1">
      <c r="A1693" s="468" t="s">
        <v>348</v>
      </c>
      <c r="B1693" s="204" t="s">
        <v>184</v>
      </c>
      <c r="C1693" s="527"/>
      <c r="D1693" s="267"/>
      <c r="E1693" s="706"/>
      <c r="F1693" s="267"/>
      <c r="G1693" s="206"/>
      <c r="H1693" s="268"/>
      <c r="I1693" s="500"/>
      <c r="J1693" s="715"/>
      <c r="K1693" s="552">
        <f t="shared" si="106"/>
        <v>0</v>
      </c>
      <c r="L1693" s="217"/>
      <c r="M1693" s="211">
        <f t="shared" si="105"/>
        <v>-46136</v>
      </c>
      <c r="N1693" s="683">
        <f t="shared" si="107"/>
        <v>7</v>
      </c>
      <c r="O1693" s="212"/>
      <c r="P1693" s="544"/>
      <c r="Q1693" s="561">
        <f t="shared" si="104"/>
        <v>0</v>
      </c>
      <c r="R1693" s="223"/>
      <c r="S1693" s="223"/>
      <c r="T1693" s="223"/>
      <c r="U1693" s="223"/>
      <c r="V1693" s="223"/>
    </row>
    <row r="1694" spans="1:22" s="274" customFormat="1" ht="15.75" customHeight="1">
      <c r="A1694" s="468" t="s">
        <v>348</v>
      </c>
      <c r="B1694" s="204" t="s">
        <v>184</v>
      </c>
      <c r="C1694" s="527"/>
      <c r="D1694" s="267"/>
      <c r="E1694" s="706"/>
      <c r="F1694" s="267"/>
      <c r="G1694" s="206"/>
      <c r="H1694" s="268"/>
      <c r="I1694" s="500"/>
      <c r="J1694" s="715"/>
      <c r="K1694" s="552">
        <f t="shared" si="106"/>
        <v>0</v>
      </c>
      <c r="L1694" s="217"/>
      <c r="M1694" s="211">
        <f t="shared" si="105"/>
        <v>-46136</v>
      </c>
      <c r="N1694" s="683">
        <f t="shared" si="107"/>
        <v>7</v>
      </c>
      <c r="O1694" s="212"/>
      <c r="P1694" s="544"/>
      <c r="Q1694" s="561">
        <f t="shared" si="104"/>
        <v>0</v>
      </c>
      <c r="R1694" s="223"/>
      <c r="S1694" s="223"/>
      <c r="T1694" s="223"/>
      <c r="U1694" s="223"/>
      <c r="V1694" s="223"/>
    </row>
    <row r="1695" spans="1:22" s="274" customFormat="1" ht="15.75" customHeight="1">
      <c r="A1695" s="468" t="s">
        <v>348</v>
      </c>
      <c r="B1695" s="204" t="s">
        <v>184</v>
      </c>
      <c r="C1695" s="527"/>
      <c r="D1695" s="267"/>
      <c r="E1695" s="706"/>
      <c r="F1695" s="267"/>
      <c r="G1695" s="206"/>
      <c r="H1695" s="268"/>
      <c r="I1695" s="500"/>
      <c r="J1695" s="715"/>
      <c r="K1695" s="552">
        <f t="shared" si="106"/>
        <v>0</v>
      </c>
      <c r="L1695" s="217"/>
      <c r="M1695" s="211">
        <f t="shared" si="105"/>
        <v>-46136</v>
      </c>
      <c r="N1695" s="683">
        <f t="shared" si="107"/>
        <v>7</v>
      </c>
      <c r="O1695" s="212"/>
      <c r="P1695" s="544"/>
      <c r="Q1695" s="561">
        <f t="shared" si="104"/>
        <v>0</v>
      </c>
      <c r="R1695" s="223"/>
      <c r="S1695" s="223"/>
      <c r="T1695" s="223"/>
      <c r="U1695" s="223"/>
      <c r="V1695" s="223"/>
    </row>
    <row r="1696" spans="1:22" s="274" customFormat="1" ht="15.75" customHeight="1">
      <c r="A1696" s="468" t="s">
        <v>348</v>
      </c>
      <c r="B1696" s="204" t="s">
        <v>184</v>
      </c>
      <c r="C1696" s="527"/>
      <c r="D1696" s="267"/>
      <c r="E1696" s="706"/>
      <c r="F1696" s="267"/>
      <c r="G1696" s="206"/>
      <c r="H1696" s="268"/>
      <c r="I1696" s="500"/>
      <c r="J1696" s="715"/>
      <c r="K1696" s="552">
        <f t="shared" si="106"/>
        <v>0</v>
      </c>
      <c r="L1696" s="217"/>
      <c r="M1696" s="211">
        <f t="shared" si="105"/>
        <v>-46136</v>
      </c>
      <c r="N1696" s="683">
        <f t="shared" si="107"/>
        <v>7</v>
      </c>
      <c r="O1696" s="212"/>
      <c r="P1696" s="544"/>
      <c r="Q1696" s="561">
        <f t="shared" si="104"/>
        <v>0</v>
      </c>
      <c r="R1696" s="223"/>
      <c r="S1696" s="223"/>
      <c r="T1696" s="223"/>
      <c r="U1696" s="223"/>
      <c r="V1696" s="223"/>
    </row>
    <row r="1697" spans="1:22" s="274" customFormat="1" ht="15.75" customHeight="1">
      <c r="A1697" s="468" t="s">
        <v>348</v>
      </c>
      <c r="B1697" s="204" t="s">
        <v>184</v>
      </c>
      <c r="C1697" s="527"/>
      <c r="D1697" s="267"/>
      <c r="E1697" s="706"/>
      <c r="F1697" s="267"/>
      <c r="G1697" s="206"/>
      <c r="H1697" s="268"/>
      <c r="I1697" s="500"/>
      <c r="J1697" s="715"/>
      <c r="K1697" s="552">
        <f t="shared" si="106"/>
        <v>0</v>
      </c>
      <c r="L1697" s="217"/>
      <c r="M1697" s="211">
        <f t="shared" si="105"/>
        <v>-46136</v>
      </c>
      <c r="N1697" s="683">
        <f t="shared" si="107"/>
        <v>7</v>
      </c>
      <c r="O1697" s="212"/>
      <c r="P1697" s="544"/>
      <c r="Q1697" s="561">
        <f t="shared" si="104"/>
        <v>0</v>
      </c>
      <c r="R1697" s="223"/>
      <c r="S1697" s="223"/>
      <c r="T1697" s="223"/>
      <c r="U1697" s="223"/>
      <c r="V1697" s="223"/>
    </row>
    <row r="1698" spans="1:22" s="274" customFormat="1" ht="15.75" customHeight="1">
      <c r="A1698" s="468" t="s">
        <v>348</v>
      </c>
      <c r="B1698" s="204" t="s">
        <v>184</v>
      </c>
      <c r="C1698" s="527"/>
      <c r="D1698" s="267"/>
      <c r="E1698" s="706"/>
      <c r="F1698" s="267"/>
      <c r="G1698" s="206"/>
      <c r="H1698" s="268"/>
      <c r="I1698" s="500"/>
      <c r="J1698" s="715"/>
      <c r="K1698" s="552">
        <f t="shared" si="106"/>
        <v>0</v>
      </c>
      <c r="L1698" s="217"/>
      <c r="M1698" s="211">
        <f t="shared" si="105"/>
        <v>-46136</v>
      </c>
      <c r="N1698" s="683">
        <f t="shared" si="107"/>
        <v>7</v>
      </c>
      <c r="O1698" s="212"/>
      <c r="P1698" s="544"/>
      <c r="Q1698" s="561">
        <f t="shared" si="104"/>
        <v>0</v>
      </c>
      <c r="R1698" s="223"/>
      <c r="S1698" s="223"/>
      <c r="T1698" s="223"/>
      <c r="U1698" s="223"/>
      <c r="V1698" s="223"/>
    </row>
    <row r="1699" spans="1:22" s="274" customFormat="1" ht="15.75" customHeight="1">
      <c r="A1699" s="468" t="s">
        <v>348</v>
      </c>
      <c r="B1699" s="204" t="s">
        <v>184</v>
      </c>
      <c r="C1699" s="527"/>
      <c r="D1699" s="267"/>
      <c r="E1699" s="706"/>
      <c r="F1699" s="267"/>
      <c r="G1699" s="206"/>
      <c r="H1699" s="268"/>
      <c r="I1699" s="500"/>
      <c r="J1699" s="715"/>
      <c r="K1699" s="552">
        <f t="shared" si="106"/>
        <v>0</v>
      </c>
      <c r="L1699" s="217"/>
      <c r="M1699" s="211">
        <f t="shared" si="105"/>
        <v>-46136</v>
      </c>
      <c r="N1699" s="683">
        <f t="shared" si="107"/>
        <v>7</v>
      </c>
      <c r="O1699" s="212"/>
      <c r="P1699" s="544"/>
      <c r="Q1699" s="561">
        <f t="shared" si="104"/>
        <v>0</v>
      </c>
      <c r="R1699" s="223"/>
      <c r="S1699" s="223"/>
      <c r="T1699" s="223"/>
      <c r="U1699" s="223"/>
      <c r="V1699" s="223"/>
    </row>
    <row r="1700" spans="1:22" s="274" customFormat="1" ht="15.75" customHeight="1">
      <c r="A1700" s="468" t="s">
        <v>348</v>
      </c>
      <c r="B1700" s="204" t="s">
        <v>184</v>
      </c>
      <c r="C1700" s="527"/>
      <c r="D1700" s="267"/>
      <c r="E1700" s="706"/>
      <c r="F1700" s="267"/>
      <c r="G1700" s="206"/>
      <c r="H1700" s="268"/>
      <c r="I1700" s="500"/>
      <c r="J1700" s="715"/>
      <c r="K1700" s="552">
        <f t="shared" si="106"/>
        <v>0</v>
      </c>
      <c r="L1700" s="217"/>
      <c r="M1700" s="211">
        <f t="shared" si="105"/>
        <v>-46136</v>
      </c>
      <c r="N1700" s="683">
        <f t="shared" si="107"/>
        <v>7</v>
      </c>
      <c r="O1700" s="212"/>
      <c r="P1700" s="544"/>
      <c r="Q1700" s="561">
        <f t="shared" si="104"/>
        <v>0</v>
      </c>
      <c r="R1700" s="223"/>
      <c r="S1700" s="223"/>
      <c r="T1700" s="223"/>
      <c r="U1700" s="223"/>
      <c r="V1700" s="223"/>
    </row>
    <row r="1701" spans="1:22" s="274" customFormat="1" ht="15.75" customHeight="1">
      <c r="A1701" s="468" t="s">
        <v>348</v>
      </c>
      <c r="B1701" s="204" t="s">
        <v>184</v>
      </c>
      <c r="C1701" s="527"/>
      <c r="D1701" s="267"/>
      <c r="E1701" s="706"/>
      <c r="F1701" s="267"/>
      <c r="G1701" s="206"/>
      <c r="H1701" s="268"/>
      <c r="I1701" s="500"/>
      <c r="J1701" s="715"/>
      <c r="K1701" s="552">
        <f t="shared" si="106"/>
        <v>0</v>
      </c>
      <c r="L1701" s="217"/>
      <c r="M1701" s="211">
        <f t="shared" si="105"/>
        <v>-46136</v>
      </c>
      <c r="N1701" s="683">
        <f t="shared" si="107"/>
        <v>7</v>
      </c>
      <c r="O1701" s="212"/>
      <c r="P1701" s="544"/>
      <c r="Q1701" s="561">
        <f t="shared" ref="Q1701:Q1712" si="108">+K1701+J1701</f>
        <v>0</v>
      </c>
      <c r="R1701" s="223"/>
      <c r="S1701" s="223"/>
      <c r="T1701" s="223"/>
      <c r="U1701" s="223"/>
      <c r="V1701" s="223"/>
    </row>
    <row r="1702" spans="1:22" ht="15.75" customHeight="1">
      <c r="A1702" s="468" t="s">
        <v>348</v>
      </c>
      <c r="B1702" s="204" t="s">
        <v>184</v>
      </c>
      <c r="C1702" s="527"/>
      <c r="D1702" s="267"/>
      <c r="E1702" s="706"/>
      <c r="F1702" s="267"/>
      <c r="G1702" s="206"/>
      <c r="H1702" s="268"/>
      <c r="I1702" s="500"/>
      <c r="J1702" s="715"/>
      <c r="K1702" s="552">
        <f t="shared" si="106"/>
        <v>0</v>
      </c>
      <c r="L1702" s="217"/>
      <c r="M1702" s="211">
        <f t="shared" si="105"/>
        <v>-46136</v>
      </c>
      <c r="N1702" s="683">
        <f t="shared" si="107"/>
        <v>7</v>
      </c>
      <c r="O1702" s="212"/>
      <c r="P1702" s="544"/>
      <c r="Q1702" s="561">
        <f t="shared" si="108"/>
        <v>0</v>
      </c>
      <c r="R1702" s="58"/>
      <c r="S1702" s="58"/>
      <c r="T1702" s="58"/>
      <c r="U1702" s="58"/>
      <c r="V1702" s="58"/>
    </row>
    <row r="1703" spans="1:22" ht="15.75" customHeight="1">
      <c r="A1703" s="468" t="s">
        <v>348</v>
      </c>
      <c r="B1703" s="204" t="s">
        <v>184</v>
      </c>
      <c r="C1703" s="527"/>
      <c r="D1703" s="267"/>
      <c r="E1703" s="706"/>
      <c r="F1703" s="267"/>
      <c r="G1703" s="206"/>
      <c r="H1703" s="268"/>
      <c r="I1703" s="500"/>
      <c r="J1703" s="715"/>
      <c r="K1703" s="552">
        <f t="shared" si="106"/>
        <v>0</v>
      </c>
      <c r="L1703" s="217"/>
      <c r="M1703" s="211">
        <f t="shared" si="105"/>
        <v>-46136</v>
      </c>
      <c r="N1703" s="683">
        <f t="shared" si="107"/>
        <v>7</v>
      </c>
      <c r="O1703" s="212"/>
      <c r="P1703" s="544"/>
      <c r="Q1703" s="561">
        <f t="shared" si="108"/>
        <v>0</v>
      </c>
      <c r="R1703" s="58"/>
      <c r="S1703" s="58"/>
      <c r="T1703" s="58"/>
      <c r="U1703" s="58"/>
      <c r="V1703" s="58"/>
    </row>
    <row r="1704" spans="1:22" ht="15.75" customHeight="1">
      <c r="A1704" s="468" t="s">
        <v>348</v>
      </c>
      <c r="B1704" s="204" t="s">
        <v>184</v>
      </c>
      <c r="C1704" s="527"/>
      <c r="D1704" s="267"/>
      <c r="E1704" s="706"/>
      <c r="F1704" s="267"/>
      <c r="G1704" s="206"/>
      <c r="H1704" s="268"/>
      <c r="I1704" s="500"/>
      <c r="J1704" s="715"/>
      <c r="K1704" s="552">
        <f t="shared" si="106"/>
        <v>0</v>
      </c>
      <c r="L1704" s="217"/>
      <c r="M1704" s="211">
        <f t="shared" si="105"/>
        <v>-46136</v>
      </c>
      <c r="N1704" s="683">
        <f t="shared" si="107"/>
        <v>7</v>
      </c>
      <c r="O1704" s="212"/>
      <c r="P1704" s="544"/>
      <c r="Q1704" s="561">
        <f t="shared" si="108"/>
        <v>0</v>
      </c>
      <c r="R1704" s="58"/>
      <c r="S1704" s="58"/>
      <c r="T1704" s="58"/>
      <c r="U1704" s="58"/>
      <c r="V1704" s="58"/>
    </row>
    <row r="1705" spans="1:22" ht="15.75" customHeight="1">
      <c r="A1705" s="468" t="s">
        <v>348</v>
      </c>
      <c r="B1705" s="204" t="s">
        <v>184</v>
      </c>
      <c r="C1705" s="527"/>
      <c r="D1705" s="267"/>
      <c r="E1705" s="706"/>
      <c r="F1705" s="267"/>
      <c r="G1705" s="206"/>
      <c r="H1705" s="214"/>
      <c r="I1705" s="500"/>
      <c r="J1705" s="715"/>
      <c r="K1705" s="552">
        <f t="shared" si="106"/>
        <v>0</v>
      </c>
      <c r="L1705" s="217"/>
      <c r="M1705" s="211">
        <f t="shared" si="105"/>
        <v>-46136</v>
      </c>
      <c r="N1705" s="683">
        <f t="shared" si="107"/>
        <v>7</v>
      </c>
      <c r="O1705" s="212"/>
      <c r="P1705" s="544"/>
      <c r="Q1705" s="561">
        <f t="shared" si="108"/>
        <v>0</v>
      </c>
      <c r="R1705" s="58"/>
      <c r="S1705" s="58"/>
      <c r="T1705" s="58"/>
      <c r="U1705" s="58"/>
      <c r="V1705" s="58"/>
    </row>
    <row r="1706" spans="1:22" ht="15.75" customHeight="1">
      <c r="A1706" s="468" t="s">
        <v>348</v>
      </c>
      <c r="B1706" s="204" t="s">
        <v>184</v>
      </c>
      <c r="C1706" s="527"/>
      <c r="D1706" s="267"/>
      <c r="E1706" s="706"/>
      <c r="F1706" s="267"/>
      <c r="G1706" s="206"/>
      <c r="H1706" s="214"/>
      <c r="I1706" s="500"/>
      <c r="J1706" s="715"/>
      <c r="K1706" s="552">
        <f t="shared" si="106"/>
        <v>0</v>
      </c>
      <c r="L1706" s="217"/>
      <c r="M1706" s="211">
        <f t="shared" si="105"/>
        <v>-46136</v>
      </c>
      <c r="N1706" s="683">
        <f t="shared" si="107"/>
        <v>7</v>
      </c>
      <c r="O1706" s="212"/>
      <c r="P1706" s="544"/>
      <c r="Q1706" s="561">
        <f t="shared" si="108"/>
        <v>0</v>
      </c>
      <c r="R1706" s="58"/>
      <c r="S1706" s="58"/>
      <c r="T1706" s="58"/>
      <c r="U1706" s="58"/>
      <c r="V1706" s="58"/>
    </row>
    <row r="1707" spans="1:22" ht="15.75" customHeight="1">
      <c r="A1707" s="468" t="s">
        <v>348</v>
      </c>
      <c r="B1707" s="204" t="s">
        <v>184</v>
      </c>
      <c r="C1707" s="527"/>
      <c r="D1707" s="267"/>
      <c r="E1707" s="706"/>
      <c r="F1707" s="267"/>
      <c r="G1707" s="206"/>
      <c r="H1707" s="214"/>
      <c r="I1707" s="500"/>
      <c r="J1707" s="715"/>
      <c r="K1707" s="552">
        <f t="shared" si="106"/>
        <v>0</v>
      </c>
      <c r="L1707" s="217"/>
      <c r="M1707" s="211">
        <f t="shared" si="105"/>
        <v>-46136</v>
      </c>
      <c r="N1707" s="683">
        <f t="shared" si="107"/>
        <v>7</v>
      </c>
      <c r="O1707" s="212"/>
      <c r="P1707" s="544"/>
      <c r="Q1707" s="561">
        <f t="shared" si="108"/>
        <v>0</v>
      </c>
      <c r="R1707" s="58"/>
      <c r="S1707" s="58"/>
      <c r="T1707" s="58"/>
      <c r="U1707" s="58"/>
      <c r="V1707" s="58"/>
    </row>
    <row r="1708" spans="1:22" ht="15.75" customHeight="1">
      <c r="A1708" s="468" t="s">
        <v>348</v>
      </c>
      <c r="B1708" s="204" t="s">
        <v>184</v>
      </c>
      <c r="C1708" s="527"/>
      <c r="D1708" s="267"/>
      <c r="E1708" s="706"/>
      <c r="F1708" s="267"/>
      <c r="G1708" s="206"/>
      <c r="H1708" s="214"/>
      <c r="I1708" s="500"/>
      <c r="J1708" s="715"/>
      <c r="K1708" s="552">
        <f t="shared" si="106"/>
        <v>0</v>
      </c>
      <c r="L1708" s="217"/>
      <c r="M1708" s="211">
        <f t="shared" si="105"/>
        <v>-46136</v>
      </c>
      <c r="N1708" s="683">
        <f t="shared" si="107"/>
        <v>7</v>
      </c>
      <c r="O1708" s="212"/>
      <c r="P1708" s="544"/>
      <c r="Q1708" s="561">
        <f t="shared" si="108"/>
        <v>0</v>
      </c>
      <c r="R1708" s="58"/>
      <c r="S1708" s="58"/>
      <c r="T1708" s="58"/>
      <c r="U1708" s="58"/>
      <c r="V1708" s="58"/>
    </row>
    <row r="1709" spans="1:22" s="234" customFormat="1" ht="15.75" customHeight="1">
      <c r="A1709" s="468" t="s">
        <v>348</v>
      </c>
      <c r="B1709" s="204" t="s">
        <v>184</v>
      </c>
      <c r="C1709" s="527"/>
      <c r="D1709" s="267"/>
      <c r="E1709" s="706"/>
      <c r="F1709" s="267"/>
      <c r="G1709" s="206"/>
      <c r="H1709" s="214"/>
      <c r="I1709" s="500"/>
      <c r="J1709" s="715"/>
      <c r="K1709" s="552">
        <f t="shared" si="106"/>
        <v>0</v>
      </c>
      <c r="L1709" s="217"/>
      <c r="M1709" s="211">
        <f t="shared" si="105"/>
        <v>-46136</v>
      </c>
      <c r="N1709" s="683">
        <f t="shared" si="107"/>
        <v>7</v>
      </c>
      <c r="O1709" s="212"/>
      <c r="P1709" s="544"/>
      <c r="Q1709" s="561">
        <f t="shared" si="108"/>
        <v>0</v>
      </c>
      <c r="R1709" s="223"/>
      <c r="S1709" s="223"/>
      <c r="T1709" s="223"/>
      <c r="U1709" s="223"/>
      <c r="V1709" s="223"/>
    </row>
    <row r="1710" spans="1:22" ht="15.75" customHeight="1">
      <c r="A1710" s="468" t="s">
        <v>348</v>
      </c>
      <c r="B1710" s="204" t="s">
        <v>184</v>
      </c>
      <c r="C1710" s="527"/>
      <c r="D1710" s="267"/>
      <c r="E1710" s="706"/>
      <c r="F1710" s="267"/>
      <c r="G1710" s="206"/>
      <c r="H1710" s="214"/>
      <c r="I1710" s="500"/>
      <c r="J1710" s="715"/>
      <c r="K1710" s="552">
        <f t="shared" si="106"/>
        <v>0</v>
      </c>
      <c r="L1710" s="217"/>
      <c r="M1710" s="211">
        <f t="shared" si="105"/>
        <v>-46136</v>
      </c>
      <c r="N1710" s="683">
        <f t="shared" si="107"/>
        <v>7</v>
      </c>
      <c r="O1710" s="212"/>
      <c r="P1710" s="544"/>
      <c r="Q1710" s="561">
        <f t="shared" si="108"/>
        <v>0</v>
      </c>
      <c r="R1710" s="58"/>
      <c r="S1710" s="58"/>
      <c r="T1710" s="58"/>
      <c r="U1710" s="58"/>
      <c r="V1710" s="58"/>
    </row>
    <row r="1711" spans="1:22" ht="15.75" customHeight="1">
      <c r="A1711" s="468" t="s">
        <v>348</v>
      </c>
      <c r="B1711" s="204" t="s">
        <v>184</v>
      </c>
      <c r="C1711" s="527"/>
      <c r="D1711" s="267"/>
      <c r="E1711" s="706"/>
      <c r="F1711" s="267"/>
      <c r="G1711" s="206"/>
      <c r="H1711" s="214"/>
      <c r="I1711" s="500"/>
      <c r="J1711" s="715"/>
      <c r="K1711" s="552">
        <f t="shared" si="106"/>
        <v>0</v>
      </c>
      <c r="L1711" s="217"/>
      <c r="M1711" s="211">
        <f t="shared" si="105"/>
        <v>-46136</v>
      </c>
      <c r="N1711" s="683">
        <f t="shared" si="107"/>
        <v>7</v>
      </c>
      <c r="O1711" s="212"/>
      <c r="P1711" s="544"/>
      <c r="Q1711" s="561">
        <f t="shared" si="108"/>
        <v>0</v>
      </c>
      <c r="R1711" s="58"/>
      <c r="S1711" s="58"/>
      <c r="T1711" s="58"/>
      <c r="U1711" s="58"/>
      <c r="V1711" s="58"/>
    </row>
    <row r="1712" spans="1:22" ht="15.75" customHeight="1" thickBot="1">
      <c r="A1712" s="468" t="s">
        <v>348</v>
      </c>
      <c r="B1712" s="204" t="s">
        <v>184</v>
      </c>
      <c r="C1712" s="532"/>
      <c r="D1712" s="717"/>
      <c r="E1712" s="710"/>
      <c r="F1712" s="717"/>
      <c r="G1712" s="218"/>
      <c r="H1712" s="718"/>
      <c r="I1712" s="500"/>
      <c r="J1712" s="719"/>
      <c r="K1712" s="552">
        <f t="shared" si="106"/>
        <v>0</v>
      </c>
      <c r="L1712" s="720"/>
      <c r="M1712" s="211">
        <f t="shared" si="105"/>
        <v>-46136</v>
      </c>
      <c r="N1712" s="683">
        <f t="shared" si="107"/>
        <v>7</v>
      </c>
      <c r="O1712" s="721"/>
      <c r="P1712" s="722"/>
      <c r="Q1712" s="723">
        <f t="shared" si="108"/>
        <v>0</v>
      </c>
      <c r="R1712" s="58"/>
      <c r="S1712" s="58"/>
      <c r="T1712" s="58"/>
      <c r="U1712" s="58"/>
      <c r="V1712" s="58"/>
    </row>
    <row r="1713" spans="1:22" ht="15.75" customHeight="1" thickBot="1">
      <c r="A1713" s="58"/>
      <c r="B1713" s="58"/>
      <c r="C1713" s="528"/>
      <c r="D1713" s="58"/>
      <c r="E1713" s="704"/>
      <c r="F1713" s="223"/>
      <c r="G1713" s="199"/>
      <c r="H1713" s="224"/>
      <c r="I1713" s="504" t="s">
        <v>44</v>
      </c>
      <c r="J1713" s="556">
        <f>SUM(J13:J1712)</f>
        <v>0</v>
      </c>
      <c r="K1713" s="556">
        <f>SUM(K13:K1712)</f>
        <v>0</v>
      </c>
      <c r="L1713" s="221"/>
      <c r="M1713" s="740"/>
      <c r="N1713" s="224"/>
      <c r="O1713" s="58"/>
      <c r="P1713" s="58"/>
      <c r="Q1713" s="561"/>
      <c r="R1713" s="58"/>
      <c r="S1713" s="58"/>
      <c r="T1713" s="58"/>
      <c r="U1713" s="58"/>
      <c r="V1713" s="58"/>
    </row>
    <row r="1714" spans="1:22" ht="15.75" customHeight="1" thickBot="1">
      <c r="A1714" s="58"/>
      <c r="B1714" s="58"/>
      <c r="C1714" s="528"/>
      <c r="D1714" s="58"/>
      <c r="E1714" s="487"/>
      <c r="F1714" s="487"/>
      <c r="G1714" s="487"/>
      <c r="I1714" s="505" t="s">
        <v>185</v>
      </c>
      <c r="J1714" s="557"/>
      <c r="K1714" s="558">
        <f>+J1713+K1713</f>
        <v>0</v>
      </c>
      <c r="L1714" s="227"/>
      <c r="M1714" s="740"/>
      <c r="N1714" s="224"/>
      <c r="O1714" s="58"/>
      <c r="P1714" s="58"/>
      <c r="Q1714" s="58"/>
      <c r="R1714" s="58"/>
      <c r="S1714" s="58"/>
      <c r="T1714" s="58"/>
      <c r="U1714" s="58"/>
      <c r="V1714" s="58"/>
    </row>
    <row r="1715" spans="1:22" ht="15.75" customHeight="1">
      <c r="A1715" s="58"/>
      <c r="B1715" s="58"/>
      <c r="C1715" s="528"/>
      <c r="D1715" s="487"/>
      <c r="E1715" s="487"/>
      <c r="F1715" s="487"/>
      <c r="G1715" s="487"/>
      <c r="I1715" s="498"/>
      <c r="J1715" s="547"/>
      <c r="K1715" s="547"/>
      <c r="L1715" s="227"/>
      <c r="M1715" s="740"/>
      <c r="N1715" s="224"/>
      <c r="O1715" s="58"/>
      <c r="P1715" s="58"/>
      <c r="Q1715" s="58"/>
      <c r="R1715" s="58"/>
      <c r="S1715" s="58"/>
      <c r="T1715" s="58"/>
      <c r="U1715" s="58"/>
      <c r="V1715" s="58"/>
    </row>
    <row r="1716" spans="1:22" ht="15.75" customHeight="1">
      <c r="A1716" s="58"/>
      <c r="B1716" s="58"/>
      <c r="C1716" s="528"/>
      <c r="D1716" s="488"/>
      <c r="E1716" s="487"/>
      <c r="F1716" s="487"/>
      <c r="G1716" s="487"/>
      <c r="I1716" s="498"/>
      <c r="J1716" s="547"/>
      <c r="K1716" s="547"/>
      <c r="L1716" s="227"/>
      <c r="M1716" s="740"/>
      <c r="N1716" s="224"/>
      <c r="O1716" s="58"/>
      <c r="P1716" s="58"/>
      <c r="Q1716" s="58"/>
      <c r="R1716" s="58"/>
      <c r="S1716" s="58"/>
      <c r="T1716" s="58"/>
      <c r="U1716" s="58"/>
      <c r="V1716" s="58"/>
    </row>
    <row r="1717" spans="1:22" ht="15.75" customHeight="1">
      <c r="A1717" s="58"/>
      <c r="B1717" s="58"/>
      <c r="C1717" s="528"/>
      <c r="D1717" s="488"/>
      <c r="E1717" s="487"/>
      <c r="F1717" s="487"/>
      <c r="G1717" s="487"/>
      <c r="I1717" s="498"/>
      <c r="J1717" s="547"/>
      <c r="K1717" s="547"/>
      <c r="L1717" s="227"/>
      <c r="M1717" s="740"/>
      <c r="N1717" s="224"/>
      <c r="O1717" s="58"/>
      <c r="P1717" s="58"/>
      <c r="Q1717" s="58"/>
      <c r="R1717" s="58"/>
      <c r="S1717" s="58"/>
      <c r="T1717" s="58"/>
      <c r="U1717" s="58"/>
      <c r="V1717" s="58"/>
    </row>
    <row r="1718" spans="1:22" ht="15.75" customHeight="1">
      <c r="A1718" s="58"/>
      <c r="B1718" s="58"/>
      <c r="C1718" s="528"/>
      <c r="D1718" s="488"/>
      <c r="E1718" s="487"/>
      <c r="F1718" s="487"/>
      <c r="G1718" s="487"/>
      <c r="I1718" s="498"/>
      <c r="J1718" s="547"/>
      <c r="K1718" s="547"/>
      <c r="L1718" s="227"/>
      <c r="M1718" s="740"/>
      <c r="N1718" s="224"/>
      <c r="O1718" s="58"/>
      <c r="P1718" s="58"/>
      <c r="Q1718" s="58"/>
      <c r="R1718" s="58"/>
      <c r="S1718" s="58"/>
      <c r="T1718" s="58"/>
      <c r="U1718" s="58"/>
      <c r="V1718" s="58"/>
    </row>
    <row r="1719" spans="1:22" ht="15.75" customHeight="1">
      <c r="A1719" s="58"/>
      <c r="B1719" s="58"/>
      <c r="C1719" s="528"/>
      <c r="D1719" s="488"/>
      <c r="E1719" s="487"/>
      <c r="F1719" s="487"/>
      <c r="G1719" s="487"/>
      <c r="I1719" s="498"/>
      <c r="J1719" s="547"/>
      <c r="K1719" s="547"/>
      <c r="L1719" s="227"/>
      <c r="M1719" s="740"/>
      <c r="N1719" s="224"/>
      <c r="O1719" s="58"/>
      <c r="P1719" s="58"/>
      <c r="Q1719" s="58"/>
      <c r="R1719" s="58"/>
      <c r="S1719" s="58"/>
      <c r="T1719" s="58"/>
      <c r="U1719" s="58"/>
      <c r="V1719" s="58"/>
    </row>
    <row r="1720" spans="1:22" ht="15.75" customHeight="1">
      <c r="A1720" s="58"/>
      <c r="B1720" s="58"/>
      <c r="C1720" s="528"/>
      <c r="D1720" s="488"/>
      <c r="E1720" s="487"/>
      <c r="F1720" s="487"/>
      <c r="G1720" s="487"/>
      <c r="I1720" s="498"/>
      <c r="J1720" s="559"/>
      <c r="K1720" s="559"/>
      <c r="L1720" s="227"/>
      <c r="M1720" s="740"/>
      <c r="N1720" s="224"/>
      <c r="O1720" s="58"/>
      <c r="P1720" s="58"/>
      <c r="Q1720" s="58"/>
      <c r="R1720" s="58"/>
      <c r="S1720" s="58"/>
      <c r="T1720" s="58"/>
      <c r="U1720" s="58"/>
      <c r="V1720" s="58"/>
    </row>
    <row r="1721" spans="1:22" ht="15.75" customHeight="1">
      <c r="A1721" s="58"/>
      <c r="B1721" s="58"/>
      <c r="C1721" s="528"/>
      <c r="D1721" s="488"/>
      <c r="E1721" s="487"/>
      <c r="F1721" s="487"/>
      <c r="G1721" s="487"/>
      <c r="I1721" s="498"/>
      <c r="J1721" s="559"/>
      <c r="K1721" s="559"/>
      <c r="L1721" s="227"/>
      <c r="M1721" s="740"/>
      <c r="N1721" s="224"/>
      <c r="O1721" s="58"/>
      <c r="P1721" s="58"/>
      <c r="Q1721" s="58"/>
      <c r="R1721" s="58"/>
      <c r="S1721" s="58"/>
      <c r="T1721" s="58"/>
      <c r="U1721" s="58"/>
      <c r="V1721" s="58"/>
    </row>
    <row r="1722" spans="1:22" ht="15.75" customHeight="1">
      <c r="A1722" s="58"/>
      <c r="B1722" s="58"/>
      <c r="C1722" s="528"/>
      <c r="D1722" s="488"/>
      <c r="E1722" s="487"/>
      <c r="F1722" s="487"/>
      <c r="G1722" s="487"/>
      <c r="I1722" s="498"/>
      <c r="J1722" s="559"/>
      <c r="K1722" s="559"/>
      <c r="L1722" s="227"/>
      <c r="M1722" s="740"/>
      <c r="N1722" s="224"/>
      <c r="O1722" s="58"/>
      <c r="P1722" s="58"/>
      <c r="Q1722" s="58"/>
      <c r="R1722" s="58"/>
      <c r="S1722" s="58"/>
      <c r="T1722" s="58"/>
      <c r="U1722" s="58"/>
      <c r="V1722" s="58"/>
    </row>
    <row r="1723" spans="1:22" ht="15.75" customHeight="1">
      <c r="A1723" s="58"/>
      <c r="B1723" s="58"/>
      <c r="C1723" s="528"/>
      <c r="D1723" s="488"/>
      <c r="E1723" s="487"/>
      <c r="F1723" s="487"/>
      <c r="G1723" s="487"/>
      <c r="I1723" s="498"/>
      <c r="J1723" s="559"/>
      <c r="K1723" s="559"/>
      <c r="L1723" s="227"/>
      <c r="M1723" s="740"/>
      <c r="N1723" s="224"/>
      <c r="O1723" s="58"/>
      <c r="P1723" s="58"/>
      <c r="Q1723" s="58"/>
      <c r="R1723" s="58"/>
      <c r="S1723" s="58"/>
      <c r="T1723" s="58"/>
      <c r="U1723" s="58"/>
      <c r="V1723" s="58"/>
    </row>
    <row r="1724" spans="1:22" ht="15.75" customHeight="1">
      <c r="A1724" s="58"/>
      <c r="B1724" s="58"/>
      <c r="C1724" s="528"/>
      <c r="D1724" s="488"/>
      <c r="E1724" s="487"/>
      <c r="F1724" s="487"/>
      <c r="G1724" s="487"/>
      <c r="I1724" s="498"/>
      <c r="J1724" s="559"/>
      <c r="K1724" s="559"/>
      <c r="L1724" s="227"/>
      <c r="M1724" s="740"/>
      <c r="N1724" s="224"/>
      <c r="O1724" s="58"/>
      <c r="P1724" s="58"/>
      <c r="Q1724" s="58"/>
      <c r="R1724" s="58"/>
      <c r="S1724" s="58"/>
      <c r="T1724" s="58"/>
      <c r="U1724" s="58"/>
      <c r="V1724" s="58"/>
    </row>
    <row r="1725" spans="1:22" ht="15.75" customHeight="1">
      <c r="A1725" s="58"/>
      <c r="B1725" s="58"/>
      <c r="C1725" s="528"/>
      <c r="D1725" s="488"/>
      <c r="E1725" s="487"/>
      <c r="F1725" s="487"/>
      <c r="G1725" s="487"/>
      <c r="I1725" s="498"/>
      <c r="J1725" s="559"/>
      <c r="K1725" s="559"/>
      <c r="L1725" s="227"/>
      <c r="M1725" s="740"/>
      <c r="N1725" s="224"/>
      <c r="O1725" s="58"/>
      <c r="P1725" s="58"/>
      <c r="Q1725" s="58"/>
      <c r="R1725" s="58"/>
      <c r="S1725" s="58"/>
      <c r="T1725" s="58"/>
      <c r="U1725" s="58"/>
      <c r="V1725" s="58"/>
    </row>
    <row r="1726" spans="1:22" ht="15.75" customHeight="1">
      <c r="A1726" s="58"/>
      <c r="B1726" s="58"/>
      <c r="C1726" s="528"/>
      <c r="D1726" s="488"/>
      <c r="E1726" s="487"/>
      <c r="F1726" s="487"/>
      <c r="G1726" s="487"/>
      <c r="I1726" s="498"/>
      <c r="J1726" s="559"/>
      <c r="K1726" s="559"/>
      <c r="L1726" s="227"/>
      <c r="M1726" s="740"/>
      <c r="N1726" s="224"/>
      <c r="O1726" s="58"/>
      <c r="P1726" s="58"/>
      <c r="Q1726" s="58"/>
      <c r="R1726" s="58"/>
      <c r="S1726" s="58"/>
      <c r="T1726" s="58"/>
      <c r="U1726" s="58"/>
      <c r="V1726" s="58"/>
    </row>
    <row r="1727" spans="1:22" ht="15.75" customHeight="1">
      <c r="A1727" s="58"/>
      <c r="B1727" s="58"/>
      <c r="C1727" s="528"/>
      <c r="D1727" s="488"/>
      <c r="E1727" s="487"/>
      <c r="F1727" s="487"/>
      <c r="G1727" s="487"/>
      <c r="I1727" s="498"/>
      <c r="J1727" s="559"/>
      <c r="K1727" s="559"/>
      <c r="L1727" s="227"/>
      <c r="M1727" s="740"/>
      <c r="N1727" s="224"/>
      <c r="O1727" s="58"/>
      <c r="P1727" s="58"/>
      <c r="Q1727" s="58"/>
      <c r="R1727" s="58"/>
      <c r="S1727" s="58"/>
      <c r="T1727" s="58"/>
      <c r="U1727" s="58"/>
      <c r="V1727" s="58"/>
    </row>
    <row r="1728" spans="1:22" ht="15.75" customHeight="1">
      <c r="A1728" s="58"/>
      <c r="B1728" s="58"/>
      <c r="C1728" s="528"/>
      <c r="D1728" s="488"/>
      <c r="I1728" s="498"/>
      <c r="J1728" s="559"/>
      <c r="K1728" s="559"/>
      <c r="L1728" s="227"/>
      <c r="M1728" s="740"/>
      <c r="N1728" s="224"/>
      <c r="O1728" s="58"/>
      <c r="P1728" s="58"/>
      <c r="Q1728" s="58"/>
      <c r="R1728" s="58"/>
      <c r="S1728" s="58"/>
      <c r="T1728" s="58"/>
      <c r="U1728" s="58"/>
      <c r="V1728" s="58"/>
    </row>
    <row r="1729" spans="1:22" ht="15.75" customHeight="1">
      <c r="A1729" s="58"/>
      <c r="B1729" s="58"/>
      <c r="C1729" s="528"/>
      <c r="D1729" s="224"/>
      <c r="I1729" s="498"/>
      <c r="J1729" s="559"/>
      <c r="K1729" s="559"/>
      <c r="L1729" s="227"/>
      <c r="M1729" s="740"/>
      <c r="N1729" s="224"/>
      <c r="O1729" s="58"/>
      <c r="P1729" s="58"/>
      <c r="Q1729" s="58"/>
      <c r="R1729" s="58"/>
      <c r="S1729" s="58"/>
      <c r="T1729" s="58"/>
      <c r="U1729" s="58"/>
      <c r="V1729" s="58"/>
    </row>
    <row r="1730" spans="1:22" ht="15.75" customHeight="1">
      <c r="A1730" s="58"/>
      <c r="B1730" s="58"/>
      <c r="C1730" s="528"/>
      <c r="D1730" s="224"/>
      <c r="I1730" s="498"/>
      <c r="J1730" s="559"/>
      <c r="K1730" s="559"/>
      <c r="L1730" s="227"/>
      <c r="M1730" s="740"/>
      <c r="N1730" s="224"/>
      <c r="O1730" s="58"/>
      <c r="P1730" s="58"/>
      <c r="Q1730" s="58"/>
      <c r="R1730" s="58"/>
      <c r="S1730" s="58"/>
      <c r="T1730" s="58"/>
      <c r="U1730" s="58"/>
      <c r="V1730" s="58"/>
    </row>
    <row r="1731" spans="1:22" ht="15.75" customHeight="1">
      <c r="A1731" s="58"/>
      <c r="B1731" s="58"/>
      <c r="C1731" s="528"/>
      <c r="D1731" s="224"/>
      <c r="I1731" s="498"/>
      <c r="J1731" s="559"/>
      <c r="K1731" s="559"/>
      <c r="L1731" s="227"/>
      <c r="M1731" s="740"/>
      <c r="N1731" s="224"/>
      <c r="O1731" s="58"/>
      <c r="P1731" s="58"/>
      <c r="Q1731" s="58"/>
      <c r="R1731" s="58"/>
      <c r="S1731" s="58"/>
      <c r="T1731" s="58"/>
      <c r="U1731" s="58"/>
      <c r="V1731" s="58"/>
    </row>
    <row r="1732" spans="1:22" ht="15.75" customHeight="1">
      <c r="A1732" s="58"/>
      <c r="B1732" s="58"/>
      <c r="C1732" s="528"/>
      <c r="D1732" s="224"/>
      <c r="I1732" s="498"/>
      <c r="J1732" s="559"/>
      <c r="K1732" s="559"/>
      <c r="L1732" s="227"/>
      <c r="M1732" s="740"/>
      <c r="N1732" s="224"/>
      <c r="O1732" s="58"/>
      <c r="P1732" s="58"/>
      <c r="Q1732" s="58"/>
      <c r="R1732" s="58"/>
      <c r="S1732" s="58"/>
      <c r="T1732" s="58"/>
      <c r="U1732" s="58"/>
      <c r="V1732" s="58"/>
    </row>
    <row r="1733" spans="1:22" ht="15.75" customHeight="1">
      <c r="A1733" s="58"/>
      <c r="B1733" s="58"/>
      <c r="C1733" s="528"/>
      <c r="D1733" s="224"/>
      <c r="I1733" s="498"/>
      <c r="J1733" s="559"/>
      <c r="K1733" s="559"/>
      <c r="L1733" s="227"/>
      <c r="M1733" s="740"/>
      <c r="N1733" s="224"/>
      <c r="O1733" s="58"/>
      <c r="P1733" s="58"/>
      <c r="Q1733" s="58"/>
      <c r="R1733" s="58"/>
      <c r="S1733" s="58"/>
      <c r="T1733" s="58"/>
      <c r="U1733" s="58"/>
      <c r="V1733" s="58"/>
    </row>
    <row r="1734" spans="1:22" ht="15.75" customHeight="1">
      <c r="A1734" s="58"/>
      <c r="B1734" s="58"/>
      <c r="C1734" s="528"/>
      <c r="D1734" s="224"/>
      <c r="I1734" s="498"/>
      <c r="J1734" s="559"/>
      <c r="K1734" s="559"/>
      <c r="L1734" s="227"/>
      <c r="M1734" s="740"/>
      <c r="N1734" s="224"/>
      <c r="O1734" s="58"/>
      <c r="P1734" s="58"/>
      <c r="Q1734" s="58"/>
      <c r="R1734" s="58"/>
      <c r="S1734" s="58"/>
      <c r="T1734" s="58"/>
      <c r="U1734" s="58"/>
      <c r="V1734" s="58"/>
    </row>
    <row r="1735" spans="1:22" ht="15.75" customHeight="1">
      <c r="A1735" s="58"/>
      <c r="B1735" s="58"/>
      <c r="C1735" s="528"/>
      <c r="D1735" s="224"/>
      <c r="I1735" s="498"/>
      <c r="J1735" s="559"/>
      <c r="K1735" s="559"/>
      <c r="L1735" s="227"/>
      <c r="M1735" s="740"/>
      <c r="N1735" s="224"/>
      <c r="O1735" s="58"/>
      <c r="P1735" s="58"/>
      <c r="Q1735" s="58"/>
      <c r="R1735" s="58"/>
      <c r="S1735" s="58"/>
      <c r="T1735" s="58"/>
      <c r="U1735" s="58"/>
      <c r="V1735" s="58"/>
    </row>
    <row r="1736" spans="1:22" ht="15.75" customHeight="1">
      <c r="A1736" s="58"/>
      <c r="B1736" s="58"/>
      <c r="C1736" s="528"/>
      <c r="D1736" s="224"/>
      <c r="I1736" s="498"/>
      <c r="J1736" s="559"/>
      <c r="K1736" s="559"/>
      <c r="L1736" s="227"/>
      <c r="M1736" s="740"/>
      <c r="N1736" s="224"/>
      <c r="O1736" s="58"/>
      <c r="P1736" s="58"/>
      <c r="Q1736" s="58"/>
      <c r="R1736" s="58"/>
      <c r="S1736" s="58"/>
      <c r="T1736" s="58"/>
      <c r="U1736" s="58"/>
      <c r="V1736" s="58"/>
    </row>
    <row r="1737" spans="1:22" ht="15.75" customHeight="1">
      <c r="A1737" s="58"/>
      <c r="B1737" s="58"/>
      <c r="C1737" s="528"/>
      <c r="D1737" s="224"/>
      <c r="I1737" s="498"/>
      <c r="J1737" s="559"/>
      <c r="K1737" s="559"/>
      <c r="L1737" s="227"/>
      <c r="M1737" s="740"/>
      <c r="N1737" s="224"/>
      <c r="O1737" s="58"/>
      <c r="P1737" s="58"/>
      <c r="Q1737" s="58"/>
      <c r="R1737" s="58"/>
      <c r="S1737" s="58"/>
      <c r="T1737" s="58"/>
      <c r="U1737" s="58"/>
      <c r="V1737" s="58"/>
    </row>
    <row r="1738" spans="1:22" ht="15.75" customHeight="1">
      <c r="A1738" s="58"/>
      <c r="B1738" s="58"/>
      <c r="C1738" s="528"/>
      <c r="D1738" s="224"/>
      <c r="I1738" s="498"/>
      <c r="J1738" s="559"/>
      <c r="K1738" s="559"/>
      <c r="L1738" s="227"/>
      <c r="M1738" s="740"/>
      <c r="N1738" s="224"/>
      <c r="O1738" s="58"/>
      <c r="P1738" s="58"/>
      <c r="Q1738" s="58"/>
      <c r="R1738" s="58"/>
      <c r="S1738" s="58"/>
      <c r="T1738" s="58"/>
      <c r="U1738" s="58"/>
      <c r="V1738" s="58"/>
    </row>
    <row r="1739" spans="1:22" ht="15.75" customHeight="1">
      <c r="A1739" s="58"/>
      <c r="B1739" s="58"/>
      <c r="C1739" s="528"/>
      <c r="D1739" s="224"/>
      <c r="I1739" s="498"/>
      <c r="J1739" s="559"/>
      <c r="K1739" s="559"/>
      <c r="L1739" s="227"/>
      <c r="M1739" s="740"/>
      <c r="N1739" s="224"/>
      <c r="O1739" s="58"/>
      <c r="P1739" s="58"/>
      <c r="Q1739" s="58"/>
      <c r="R1739" s="58"/>
      <c r="S1739" s="58"/>
      <c r="T1739" s="58"/>
      <c r="U1739" s="58"/>
      <c r="V1739" s="58"/>
    </row>
    <row r="1740" spans="1:22" ht="15.75" customHeight="1">
      <c r="A1740" s="58"/>
      <c r="B1740" s="58"/>
      <c r="C1740" s="528"/>
      <c r="D1740" s="224"/>
      <c r="I1740" s="498"/>
      <c r="J1740" s="559"/>
      <c r="K1740" s="559"/>
      <c r="L1740" s="227"/>
      <c r="M1740" s="740"/>
      <c r="N1740" s="224"/>
      <c r="O1740" s="58"/>
      <c r="P1740" s="58"/>
      <c r="Q1740" s="58"/>
      <c r="R1740" s="58"/>
      <c r="S1740" s="58"/>
      <c r="T1740" s="58"/>
      <c r="U1740" s="58"/>
      <c r="V1740" s="58"/>
    </row>
    <row r="1741" spans="1:22" ht="15.75" customHeight="1">
      <c r="A1741" s="58"/>
      <c r="B1741" s="58"/>
      <c r="C1741" s="528"/>
      <c r="D1741" s="224"/>
      <c r="I1741" s="498"/>
      <c r="J1741" s="559"/>
      <c r="K1741" s="559"/>
      <c r="L1741" s="227"/>
      <c r="M1741" s="740"/>
      <c r="N1741" s="224"/>
      <c r="O1741" s="58"/>
      <c r="P1741" s="58"/>
      <c r="Q1741" s="58"/>
      <c r="R1741" s="58"/>
      <c r="S1741" s="58"/>
      <c r="T1741" s="58"/>
      <c r="U1741" s="58"/>
      <c r="V1741" s="58"/>
    </row>
    <row r="1742" spans="1:22" ht="15.75" customHeight="1">
      <c r="A1742" s="58"/>
      <c r="B1742" s="58"/>
      <c r="C1742" s="528"/>
      <c r="D1742" s="224"/>
      <c r="I1742" s="498"/>
      <c r="J1742" s="559"/>
      <c r="K1742" s="559"/>
      <c r="L1742" s="227"/>
      <c r="M1742" s="740"/>
      <c r="N1742" s="224"/>
      <c r="O1742" s="58"/>
      <c r="P1742" s="58"/>
      <c r="Q1742" s="58"/>
      <c r="R1742" s="58"/>
      <c r="S1742" s="58"/>
      <c r="T1742" s="58"/>
      <c r="U1742" s="58"/>
      <c r="V1742" s="58"/>
    </row>
    <row r="1743" spans="1:22" ht="15.75" customHeight="1">
      <c r="A1743" s="58"/>
      <c r="B1743" s="58"/>
      <c r="C1743" s="528"/>
      <c r="D1743" s="224"/>
      <c r="I1743" s="498"/>
      <c r="J1743" s="559"/>
      <c r="K1743" s="559"/>
      <c r="L1743" s="227"/>
      <c r="M1743" s="740"/>
      <c r="N1743" s="224"/>
      <c r="O1743" s="58"/>
      <c r="P1743" s="58"/>
      <c r="Q1743" s="58"/>
      <c r="R1743" s="58"/>
      <c r="S1743" s="58"/>
      <c r="T1743" s="58"/>
      <c r="U1743" s="58"/>
      <c r="V1743" s="58"/>
    </row>
    <row r="1744" spans="1:22" ht="15.75" customHeight="1">
      <c r="A1744" s="58"/>
      <c r="B1744" s="58"/>
      <c r="C1744" s="528"/>
      <c r="D1744" s="224"/>
      <c r="I1744" s="498"/>
      <c r="J1744" s="547"/>
      <c r="K1744" s="547"/>
      <c r="L1744" s="227"/>
      <c r="M1744" s="740"/>
      <c r="N1744" s="224"/>
      <c r="O1744" s="58"/>
      <c r="P1744" s="58"/>
      <c r="Q1744" s="58"/>
      <c r="R1744" s="58"/>
      <c r="S1744" s="58"/>
      <c r="T1744" s="58"/>
      <c r="U1744" s="58"/>
      <c r="V1744" s="58"/>
    </row>
    <row r="1745" spans="1:22" ht="15.75" customHeight="1">
      <c r="A1745" s="58"/>
      <c r="B1745" s="58"/>
      <c r="C1745" s="528"/>
      <c r="D1745" s="224"/>
      <c r="I1745" s="498"/>
      <c r="J1745" s="547"/>
      <c r="K1745" s="547"/>
      <c r="L1745" s="227"/>
      <c r="M1745" s="740"/>
      <c r="N1745" s="224"/>
      <c r="O1745" s="58"/>
      <c r="P1745" s="58"/>
      <c r="Q1745" s="58"/>
      <c r="R1745" s="58"/>
      <c r="S1745" s="58"/>
      <c r="T1745" s="58"/>
      <c r="U1745" s="58"/>
      <c r="V1745" s="58"/>
    </row>
    <row r="1746" spans="1:22" ht="15.75" customHeight="1">
      <c r="A1746" s="58"/>
      <c r="B1746" s="58"/>
      <c r="C1746" s="528"/>
      <c r="D1746" s="224"/>
      <c r="I1746" s="498"/>
      <c r="J1746" s="547"/>
      <c r="K1746" s="547"/>
      <c r="L1746" s="227"/>
      <c r="M1746" s="740"/>
      <c r="N1746" s="224"/>
      <c r="O1746" s="58"/>
      <c r="P1746" s="58"/>
      <c r="Q1746" s="58"/>
      <c r="R1746" s="58"/>
      <c r="S1746" s="58"/>
      <c r="T1746" s="58"/>
      <c r="U1746" s="58"/>
      <c r="V1746" s="58"/>
    </row>
    <row r="1747" spans="1:22" ht="15.75" customHeight="1">
      <c r="A1747" s="58"/>
      <c r="B1747" s="58"/>
      <c r="C1747" s="528"/>
      <c r="D1747" s="224"/>
      <c r="I1747" s="498"/>
      <c r="J1747" s="547"/>
      <c r="K1747" s="547"/>
      <c r="L1747" s="227"/>
      <c r="M1747" s="740"/>
      <c r="N1747" s="224"/>
      <c r="O1747" s="58"/>
      <c r="P1747" s="58"/>
      <c r="Q1747" s="58"/>
      <c r="R1747" s="58"/>
      <c r="S1747" s="58"/>
      <c r="T1747" s="58"/>
      <c r="U1747" s="58"/>
      <c r="V1747" s="58"/>
    </row>
    <row r="1748" spans="1:22" ht="15.75" customHeight="1">
      <c r="A1748" s="58"/>
      <c r="B1748" s="58"/>
      <c r="C1748" s="528"/>
      <c r="D1748" s="224"/>
      <c r="I1748" s="498"/>
      <c r="J1748" s="547"/>
      <c r="K1748" s="547"/>
      <c r="L1748" s="227"/>
      <c r="M1748" s="740"/>
      <c r="N1748" s="224"/>
      <c r="O1748" s="58"/>
      <c r="P1748" s="58"/>
      <c r="Q1748" s="58"/>
      <c r="R1748" s="58"/>
      <c r="S1748" s="58"/>
      <c r="T1748" s="58"/>
      <c r="U1748" s="58"/>
      <c r="V1748" s="58"/>
    </row>
    <row r="1749" spans="1:22" ht="15.75" customHeight="1">
      <c r="A1749" s="58"/>
      <c r="B1749" s="58"/>
      <c r="C1749" s="528"/>
      <c r="D1749" s="224"/>
      <c r="I1749" s="498"/>
      <c r="J1749" s="547"/>
      <c r="K1749" s="547"/>
      <c r="L1749" s="227"/>
      <c r="M1749" s="740"/>
      <c r="N1749" s="224"/>
      <c r="O1749" s="58"/>
      <c r="P1749" s="58"/>
      <c r="Q1749" s="58"/>
      <c r="R1749" s="58"/>
      <c r="S1749" s="58"/>
      <c r="T1749" s="58"/>
      <c r="U1749" s="58"/>
      <c r="V1749" s="58"/>
    </row>
    <row r="1750" spans="1:22" ht="15.75" customHeight="1">
      <c r="A1750" s="58"/>
      <c r="B1750" s="58"/>
      <c r="C1750" s="528"/>
      <c r="D1750" s="224"/>
      <c r="I1750" s="498"/>
      <c r="J1750" s="547"/>
      <c r="K1750" s="547"/>
      <c r="L1750" s="227"/>
      <c r="M1750" s="740"/>
      <c r="N1750" s="224"/>
      <c r="O1750" s="58"/>
      <c r="P1750" s="58"/>
      <c r="Q1750" s="58"/>
      <c r="R1750" s="58"/>
      <c r="S1750" s="58"/>
      <c r="T1750" s="58"/>
      <c r="U1750" s="58"/>
      <c r="V1750" s="58"/>
    </row>
    <row r="1751" spans="1:22" ht="15.75" customHeight="1">
      <c r="A1751" s="58"/>
      <c r="B1751" s="58"/>
      <c r="C1751" s="528"/>
      <c r="D1751" s="224"/>
      <c r="I1751" s="498"/>
      <c r="J1751" s="547"/>
      <c r="K1751" s="547"/>
      <c r="L1751" s="227"/>
      <c r="M1751" s="740"/>
      <c r="N1751" s="224"/>
      <c r="O1751" s="58"/>
      <c r="P1751" s="58"/>
      <c r="Q1751" s="58"/>
      <c r="R1751" s="58"/>
      <c r="S1751" s="58"/>
      <c r="T1751" s="58"/>
      <c r="U1751" s="58"/>
      <c r="V1751" s="58"/>
    </row>
    <row r="1752" spans="1:22" ht="15.75" customHeight="1">
      <c r="A1752" s="58"/>
      <c r="B1752" s="58"/>
      <c r="C1752" s="528"/>
      <c r="D1752" s="224"/>
      <c r="I1752" s="498"/>
      <c r="J1752" s="547"/>
      <c r="K1752" s="547"/>
      <c r="L1752" s="227"/>
      <c r="M1752" s="740"/>
      <c r="N1752" s="224"/>
      <c r="O1752" s="58"/>
      <c r="P1752" s="58"/>
      <c r="Q1752" s="58"/>
      <c r="R1752" s="58"/>
      <c r="S1752" s="58"/>
      <c r="T1752" s="58"/>
      <c r="U1752" s="58"/>
      <c r="V1752" s="58"/>
    </row>
    <row r="1753" spans="1:22" ht="15.75" customHeight="1">
      <c r="A1753" s="58"/>
      <c r="B1753" s="58"/>
      <c r="C1753" s="528"/>
      <c r="D1753" s="224"/>
      <c r="I1753" s="498"/>
      <c r="J1753" s="547"/>
      <c r="K1753" s="547"/>
      <c r="L1753" s="227"/>
      <c r="M1753" s="740"/>
      <c r="N1753" s="224"/>
      <c r="O1753" s="58"/>
      <c r="P1753" s="58"/>
      <c r="Q1753" s="58"/>
      <c r="R1753" s="58"/>
      <c r="S1753" s="58"/>
      <c r="T1753" s="58"/>
      <c r="U1753" s="58"/>
      <c r="V1753" s="58"/>
    </row>
    <row r="1754" spans="1:22" ht="15.75" customHeight="1">
      <c r="A1754" s="58"/>
      <c r="B1754" s="58"/>
      <c r="C1754" s="528"/>
      <c r="D1754" s="224"/>
      <c r="I1754" s="498"/>
      <c r="J1754" s="547"/>
      <c r="K1754" s="547"/>
      <c r="L1754" s="227"/>
      <c r="M1754" s="740"/>
      <c r="N1754" s="224"/>
      <c r="O1754" s="58"/>
      <c r="P1754" s="58"/>
      <c r="Q1754" s="58"/>
      <c r="R1754" s="58"/>
      <c r="S1754" s="58"/>
      <c r="T1754" s="58"/>
      <c r="U1754" s="58"/>
      <c r="V1754" s="58"/>
    </row>
    <row r="1755" spans="1:22" ht="15.75" customHeight="1">
      <c r="A1755" s="58"/>
      <c r="B1755" s="58"/>
      <c r="C1755" s="528"/>
      <c r="D1755" s="224"/>
      <c r="I1755" s="498"/>
      <c r="J1755" s="547"/>
      <c r="K1755" s="547"/>
      <c r="L1755" s="227"/>
      <c r="M1755" s="740"/>
      <c r="N1755" s="224"/>
      <c r="O1755" s="58"/>
      <c r="P1755" s="58"/>
      <c r="Q1755" s="58"/>
      <c r="R1755" s="58"/>
      <c r="S1755" s="58"/>
      <c r="T1755" s="58"/>
      <c r="U1755" s="58"/>
      <c r="V1755" s="58"/>
    </row>
    <row r="1756" spans="1:22" ht="15.75" customHeight="1">
      <c r="A1756" s="58"/>
      <c r="B1756" s="58"/>
      <c r="C1756" s="528"/>
      <c r="D1756" s="224"/>
      <c r="I1756" s="498"/>
      <c r="J1756" s="547"/>
      <c r="K1756" s="547"/>
      <c r="L1756" s="227"/>
      <c r="M1756" s="740"/>
      <c r="N1756" s="224"/>
      <c r="O1756" s="58"/>
      <c r="P1756" s="58"/>
      <c r="Q1756" s="58"/>
      <c r="R1756" s="58"/>
      <c r="S1756" s="58"/>
      <c r="T1756" s="58"/>
      <c r="U1756" s="58"/>
      <c r="V1756" s="58"/>
    </row>
    <row r="1757" spans="1:22" ht="15.75" customHeight="1">
      <c r="A1757" s="58"/>
      <c r="B1757" s="58"/>
      <c r="C1757" s="528"/>
      <c r="D1757" s="224"/>
      <c r="I1757" s="498"/>
      <c r="J1757" s="547"/>
      <c r="K1757" s="547"/>
      <c r="L1757" s="227"/>
      <c r="M1757" s="740"/>
      <c r="N1757" s="224"/>
      <c r="O1757" s="58"/>
      <c r="P1757" s="58"/>
      <c r="Q1757" s="58"/>
      <c r="R1757" s="58"/>
      <c r="S1757" s="58"/>
      <c r="T1757" s="58"/>
      <c r="U1757" s="58"/>
      <c r="V1757" s="58"/>
    </row>
    <row r="1758" spans="1:22" ht="15.75" customHeight="1">
      <c r="A1758" s="58"/>
      <c r="B1758" s="58"/>
      <c r="C1758" s="528"/>
      <c r="D1758" s="224"/>
      <c r="I1758" s="498"/>
      <c r="J1758" s="547"/>
      <c r="K1758" s="547"/>
      <c r="L1758" s="227"/>
      <c r="M1758" s="740"/>
      <c r="N1758" s="224"/>
      <c r="O1758" s="58"/>
      <c r="P1758" s="58"/>
      <c r="Q1758" s="58"/>
      <c r="R1758" s="58"/>
      <c r="S1758" s="58"/>
      <c r="T1758" s="58"/>
      <c r="U1758" s="58"/>
      <c r="V1758" s="58"/>
    </row>
    <row r="1759" spans="1:22" ht="15.75" customHeight="1">
      <c r="A1759" s="58"/>
      <c r="B1759" s="58"/>
      <c r="C1759" s="528"/>
      <c r="D1759" s="224"/>
      <c r="I1759" s="498"/>
      <c r="J1759" s="547"/>
      <c r="K1759" s="547"/>
      <c r="L1759" s="227"/>
      <c r="M1759" s="740"/>
      <c r="N1759" s="224"/>
      <c r="O1759" s="58"/>
      <c r="P1759" s="58"/>
      <c r="Q1759" s="58"/>
      <c r="R1759" s="58"/>
      <c r="S1759" s="58"/>
      <c r="T1759" s="58"/>
      <c r="U1759" s="58"/>
      <c r="V1759" s="58"/>
    </row>
    <row r="1760" spans="1:22" ht="15.75" customHeight="1">
      <c r="A1760" s="58"/>
      <c r="B1760" s="58"/>
      <c r="C1760" s="528"/>
      <c r="D1760" s="224"/>
      <c r="I1760" s="498"/>
      <c r="J1760" s="547"/>
      <c r="K1760" s="547"/>
      <c r="L1760" s="227"/>
      <c r="M1760" s="740"/>
      <c r="N1760" s="224"/>
      <c r="O1760" s="58"/>
      <c r="P1760" s="58"/>
      <c r="Q1760" s="58"/>
      <c r="R1760" s="58"/>
      <c r="S1760" s="58"/>
      <c r="T1760" s="58"/>
      <c r="U1760" s="58"/>
      <c r="V1760" s="58"/>
    </row>
    <row r="1761" spans="1:22" ht="15.75" customHeight="1">
      <c r="A1761" s="58"/>
      <c r="B1761" s="58"/>
      <c r="C1761" s="528"/>
      <c r="D1761" s="224"/>
      <c r="I1761" s="498"/>
      <c r="J1761" s="547"/>
      <c r="K1761" s="547"/>
      <c r="L1761" s="227"/>
      <c r="M1761" s="740"/>
      <c r="N1761" s="224"/>
      <c r="O1761" s="58"/>
      <c r="P1761" s="58"/>
      <c r="Q1761" s="58"/>
      <c r="R1761" s="58"/>
      <c r="S1761" s="58"/>
      <c r="T1761" s="58"/>
      <c r="U1761" s="58"/>
      <c r="V1761" s="58"/>
    </row>
    <row r="1762" spans="1:22" ht="15.75" customHeight="1">
      <c r="A1762" s="58"/>
      <c r="B1762" s="58"/>
      <c r="C1762" s="528"/>
      <c r="D1762" s="224"/>
      <c r="I1762" s="498"/>
      <c r="J1762" s="547"/>
      <c r="K1762" s="547"/>
      <c r="L1762" s="227"/>
      <c r="M1762" s="740"/>
      <c r="N1762" s="224"/>
      <c r="O1762" s="58"/>
      <c r="P1762" s="58"/>
      <c r="Q1762" s="58"/>
      <c r="R1762" s="58"/>
      <c r="S1762" s="58"/>
      <c r="T1762" s="58"/>
      <c r="U1762" s="58"/>
      <c r="V1762" s="58"/>
    </row>
    <row r="1763" spans="1:22" ht="15.75" customHeight="1">
      <c r="A1763" s="58"/>
      <c r="B1763" s="58"/>
      <c r="C1763" s="528"/>
      <c r="D1763" s="58"/>
      <c r="I1763" s="498"/>
      <c r="J1763" s="547"/>
      <c r="K1763" s="547"/>
      <c r="L1763" s="227"/>
      <c r="M1763" s="740"/>
      <c r="N1763" s="224"/>
      <c r="O1763" s="58"/>
      <c r="P1763" s="58"/>
      <c r="Q1763" s="58"/>
      <c r="R1763" s="58"/>
      <c r="S1763" s="58"/>
      <c r="T1763" s="58"/>
      <c r="U1763" s="58"/>
      <c r="V1763" s="58"/>
    </row>
    <row r="1764" spans="1:22" ht="15.75" customHeight="1">
      <c r="A1764" s="58"/>
      <c r="B1764" s="58"/>
      <c r="C1764" s="528"/>
      <c r="D1764" s="58"/>
      <c r="E1764" s="704"/>
      <c r="F1764" s="223"/>
      <c r="G1764" s="199"/>
      <c r="H1764" s="224"/>
      <c r="I1764" s="498"/>
      <c r="J1764" s="547"/>
      <c r="K1764" s="547"/>
      <c r="L1764" s="227"/>
      <c r="M1764" s="740"/>
      <c r="N1764" s="224"/>
      <c r="O1764" s="58"/>
      <c r="P1764" s="58"/>
      <c r="Q1764" s="58"/>
      <c r="R1764" s="58"/>
      <c r="S1764" s="58"/>
      <c r="T1764" s="58"/>
      <c r="U1764" s="58"/>
      <c r="V1764" s="58"/>
    </row>
    <row r="1765" spans="1:22" ht="15.75" customHeight="1">
      <c r="A1765" s="58"/>
      <c r="B1765" s="58"/>
      <c r="C1765" s="528"/>
      <c r="D1765" s="58"/>
      <c r="E1765" s="704"/>
      <c r="F1765" s="223"/>
      <c r="G1765" s="199"/>
      <c r="H1765" s="224"/>
      <c r="I1765" s="498"/>
      <c r="J1765" s="547"/>
      <c r="K1765" s="547"/>
      <c r="L1765" s="227"/>
      <c r="M1765" s="740"/>
      <c r="N1765" s="224"/>
      <c r="O1765" s="58"/>
      <c r="P1765" s="58"/>
      <c r="Q1765" s="58"/>
      <c r="R1765" s="58"/>
      <c r="S1765" s="58"/>
      <c r="T1765" s="58"/>
      <c r="U1765" s="58"/>
      <c r="V1765" s="58"/>
    </row>
    <row r="1766" spans="1:22" ht="15.75" customHeight="1">
      <c r="A1766" s="58"/>
      <c r="B1766" s="58"/>
      <c r="C1766" s="528"/>
      <c r="D1766" s="58"/>
      <c r="E1766" s="704"/>
      <c r="F1766" s="223"/>
      <c r="G1766" s="199"/>
      <c r="H1766" s="224"/>
      <c r="I1766" s="498"/>
      <c r="J1766" s="547"/>
      <c r="K1766" s="547"/>
      <c r="L1766" s="227"/>
      <c r="M1766" s="740"/>
      <c r="N1766" s="224"/>
      <c r="O1766" s="58"/>
      <c r="P1766" s="58"/>
      <c r="Q1766" s="58"/>
      <c r="R1766" s="58"/>
      <c r="S1766" s="58"/>
      <c r="T1766" s="58"/>
      <c r="U1766" s="58"/>
      <c r="V1766" s="58"/>
    </row>
    <row r="1767" spans="1:22" ht="15.75" customHeight="1">
      <c r="A1767" s="58"/>
      <c r="B1767" s="58"/>
      <c r="C1767" s="528"/>
      <c r="D1767" s="58"/>
      <c r="E1767" s="704"/>
      <c r="F1767" s="223"/>
      <c r="G1767" s="199"/>
      <c r="H1767" s="224"/>
      <c r="I1767" s="498"/>
      <c r="J1767" s="547"/>
      <c r="K1767" s="547"/>
      <c r="L1767" s="227"/>
      <c r="M1767" s="740"/>
      <c r="N1767" s="224"/>
      <c r="O1767" s="58"/>
      <c r="P1767" s="58"/>
      <c r="Q1767" s="58"/>
      <c r="R1767" s="58"/>
      <c r="S1767" s="58"/>
      <c r="T1767" s="58"/>
      <c r="U1767" s="58"/>
      <c r="V1767" s="58"/>
    </row>
    <row r="1768" spans="1:22" ht="15.75" customHeight="1">
      <c r="A1768" s="58"/>
      <c r="B1768" s="58"/>
      <c r="C1768" s="528"/>
      <c r="D1768" s="58"/>
      <c r="E1768" s="704"/>
      <c r="F1768" s="223"/>
      <c r="G1768" s="199"/>
      <c r="H1768" s="224"/>
      <c r="I1768" s="498"/>
      <c r="J1768" s="547"/>
      <c r="K1768" s="547"/>
      <c r="L1768" s="227"/>
      <c r="M1768" s="740"/>
      <c r="N1768" s="224"/>
      <c r="O1768" s="58"/>
      <c r="P1768" s="58"/>
      <c r="Q1768" s="58"/>
      <c r="R1768" s="58"/>
      <c r="S1768" s="58"/>
      <c r="T1768" s="58"/>
      <c r="U1768" s="58"/>
      <c r="V1768" s="58"/>
    </row>
    <row r="1769" spans="1:22" ht="15.75" customHeight="1">
      <c r="A1769" s="58"/>
      <c r="B1769" s="58"/>
      <c r="C1769" s="528"/>
      <c r="D1769" s="58"/>
      <c r="E1769" s="704"/>
      <c r="F1769" s="223"/>
      <c r="G1769" s="199"/>
      <c r="H1769" s="224"/>
      <c r="I1769" s="498"/>
      <c r="J1769" s="547"/>
      <c r="K1769" s="547"/>
      <c r="L1769" s="227"/>
      <c r="M1769" s="740"/>
      <c r="N1769" s="224"/>
      <c r="O1769" s="58"/>
      <c r="P1769" s="58"/>
      <c r="Q1769" s="58"/>
      <c r="R1769" s="58"/>
      <c r="S1769" s="58"/>
      <c r="T1769" s="58"/>
      <c r="U1769" s="58"/>
      <c r="V1769" s="58"/>
    </row>
    <row r="1770" spans="1:22" ht="15.75" customHeight="1">
      <c r="A1770" s="58"/>
      <c r="B1770" s="58"/>
      <c r="C1770" s="528"/>
      <c r="D1770" s="58"/>
      <c r="E1770" s="704"/>
      <c r="F1770" s="223"/>
      <c r="G1770" s="199"/>
      <c r="H1770" s="224"/>
      <c r="I1770" s="498"/>
      <c r="J1770" s="547"/>
      <c r="K1770" s="547"/>
      <c r="L1770" s="227"/>
      <c r="M1770" s="740"/>
      <c r="N1770" s="224"/>
      <c r="O1770" s="58"/>
      <c r="P1770" s="58"/>
      <c r="Q1770" s="58"/>
      <c r="R1770" s="58"/>
      <c r="S1770" s="58"/>
      <c r="T1770" s="58"/>
      <c r="U1770" s="58"/>
      <c r="V1770" s="58"/>
    </row>
    <row r="1771" spans="1:22" ht="15.75" customHeight="1">
      <c r="A1771" s="58"/>
      <c r="B1771" s="58"/>
      <c r="C1771" s="528"/>
      <c r="D1771" s="58"/>
      <c r="E1771" s="704"/>
      <c r="F1771" s="223"/>
      <c r="G1771" s="199"/>
      <c r="H1771" s="224"/>
      <c r="I1771" s="498"/>
      <c r="J1771" s="547"/>
      <c r="K1771" s="547"/>
      <c r="L1771" s="227"/>
      <c r="M1771" s="740"/>
      <c r="N1771" s="224"/>
      <c r="O1771" s="58"/>
      <c r="P1771" s="58"/>
      <c r="Q1771" s="58"/>
      <c r="R1771" s="58"/>
      <c r="S1771" s="58"/>
      <c r="T1771" s="58"/>
      <c r="U1771" s="58"/>
      <c r="V1771" s="58"/>
    </row>
    <row r="1772" spans="1:22" ht="15.75" customHeight="1">
      <c r="A1772" s="58"/>
      <c r="B1772" s="58"/>
      <c r="C1772" s="528"/>
      <c r="D1772" s="58"/>
      <c r="E1772" s="704"/>
      <c r="F1772" s="223"/>
      <c r="G1772" s="199"/>
      <c r="H1772" s="224"/>
      <c r="I1772" s="498"/>
      <c r="J1772" s="547"/>
      <c r="K1772" s="547"/>
      <c r="L1772" s="227"/>
      <c r="M1772" s="740"/>
      <c r="N1772" s="224"/>
      <c r="O1772" s="58"/>
      <c r="P1772" s="58"/>
      <c r="Q1772" s="58"/>
      <c r="R1772" s="58"/>
      <c r="S1772" s="58"/>
      <c r="T1772" s="58"/>
      <c r="U1772" s="58"/>
      <c r="V1772" s="58"/>
    </row>
    <row r="1773" spans="1:22" ht="15.75" customHeight="1">
      <c r="A1773" s="58"/>
      <c r="B1773" s="58"/>
      <c r="C1773" s="528"/>
      <c r="D1773" s="58"/>
      <c r="E1773" s="704"/>
      <c r="F1773" s="223"/>
      <c r="G1773" s="199"/>
      <c r="H1773" s="224"/>
      <c r="I1773" s="498"/>
      <c r="J1773" s="547"/>
      <c r="K1773" s="547"/>
      <c r="L1773" s="227"/>
      <c r="M1773" s="740"/>
      <c r="N1773" s="224"/>
      <c r="O1773" s="58"/>
      <c r="P1773" s="58"/>
      <c r="Q1773" s="58"/>
      <c r="R1773" s="58"/>
      <c r="S1773" s="58"/>
      <c r="T1773" s="58"/>
      <c r="U1773" s="58"/>
      <c r="V1773" s="58"/>
    </row>
    <row r="1774" spans="1:22" ht="15.75" customHeight="1">
      <c r="A1774" s="58"/>
      <c r="B1774" s="58"/>
      <c r="C1774" s="528"/>
      <c r="D1774" s="58"/>
      <c r="E1774" s="704"/>
      <c r="F1774" s="223"/>
      <c r="G1774" s="199"/>
      <c r="H1774" s="224"/>
      <c r="I1774" s="498"/>
      <c r="J1774" s="547"/>
      <c r="K1774" s="547"/>
      <c r="L1774" s="227"/>
      <c r="M1774" s="740"/>
      <c r="N1774" s="224"/>
      <c r="O1774" s="58"/>
      <c r="P1774" s="58"/>
      <c r="Q1774" s="58"/>
      <c r="R1774" s="58"/>
      <c r="S1774" s="58"/>
      <c r="T1774" s="58"/>
      <c r="U1774" s="58"/>
      <c r="V1774" s="58"/>
    </row>
    <row r="1775" spans="1:22" ht="15.75" customHeight="1">
      <c r="A1775" s="58"/>
      <c r="B1775" s="58"/>
      <c r="C1775" s="528"/>
      <c r="D1775" s="58"/>
      <c r="E1775" s="704"/>
      <c r="F1775" s="223"/>
      <c r="G1775" s="199"/>
      <c r="H1775" s="224"/>
      <c r="I1775" s="498"/>
      <c r="J1775" s="547"/>
      <c r="K1775" s="547"/>
      <c r="L1775" s="227"/>
      <c r="M1775" s="740"/>
      <c r="N1775" s="224"/>
      <c r="O1775" s="58"/>
      <c r="P1775" s="58"/>
      <c r="Q1775" s="58"/>
      <c r="R1775" s="58"/>
      <c r="S1775" s="58"/>
      <c r="T1775" s="58"/>
      <c r="U1775" s="58"/>
      <c r="V1775" s="58"/>
    </row>
    <row r="1776" spans="1:22" ht="15.75" customHeight="1">
      <c r="A1776" s="58"/>
      <c r="B1776" s="58"/>
      <c r="C1776" s="528"/>
      <c r="D1776" s="58"/>
      <c r="E1776" s="704"/>
      <c r="F1776" s="223"/>
      <c r="G1776" s="199"/>
      <c r="H1776" s="224"/>
      <c r="I1776" s="498"/>
      <c r="J1776" s="547"/>
      <c r="K1776" s="547"/>
      <c r="L1776" s="227"/>
      <c r="M1776" s="740"/>
      <c r="N1776" s="224"/>
      <c r="O1776" s="58"/>
      <c r="P1776" s="58"/>
      <c r="Q1776" s="58"/>
      <c r="R1776" s="58"/>
      <c r="S1776" s="58"/>
      <c r="T1776" s="58"/>
      <c r="U1776" s="58"/>
      <c r="V1776" s="58"/>
    </row>
    <row r="1777" spans="1:22" ht="15.75" customHeight="1">
      <c r="A1777" s="58"/>
      <c r="B1777" s="58"/>
      <c r="C1777" s="528"/>
      <c r="D1777" s="58"/>
      <c r="E1777" s="704"/>
      <c r="F1777" s="223"/>
      <c r="G1777" s="199"/>
      <c r="H1777" s="224"/>
      <c r="I1777" s="498"/>
      <c r="J1777" s="547"/>
      <c r="K1777" s="547"/>
      <c r="L1777" s="227"/>
      <c r="M1777" s="740"/>
      <c r="N1777" s="224"/>
      <c r="O1777" s="58"/>
      <c r="P1777" s="58"/>
      <c r="Q1777" s="58"/>
      <c r="R1777" s="58"/>
      <c r="S1777" s="58"/>
      <c r="T1777" s="58"/>
      <c r="U1777" s="58"/>
      <c r="V1777" s="58"/>
    </row>
    <row r="1778" spans="1:22" ht="15.75" customHeight="1">
      <c r="A1778" s="58"/>
      <c r="B1778" s="58"/>
      <c r="C1778" s="528"/>
      <c r="D1778" s="58"/>
      <c r="E1778" s="704"/>
      <c r="F1778" s="223"/>
      <c r="G1778" s="199"/>
      <c r="H1778" s="224"/>
      <c r="I1778" s="498"/>
      <c r="J1778" s="547"/>
      <c r="K1778" s="547"/>
      <c r="L1778" s="227"/>
      <c r="M1778" s="740"/>
      <c r="N1778" s="224"/>
      <c r="O1778" s="58"/>
      <c r="P1778" s="58"/>
      <c r="Q1778" s="58"/>
      <c r="R1778" s="58"/>
      <c r="S1778" s="58"/>
      <c r="T1778" s="58"/>
      <c r="U1778" s="58"/>
      <c r="V1778" s="58"/>
    </row>
    <row r="1779" spans="1:22" ht="15.75" customHeight="1">
      <c r="A1779" s="58"/>
      <c r="B1779" s="58"/>
      <c r="C1779" s="528"/>
      <c r="D1779" s="58"/>
      <c r="E1779" s="704"/>
      <c r="F1779" s="223"/>
      <c r="G1779" s="199"/>
      <c r="H1779" s="224"/>
      <c r="I1779" s="498"/>
      <c r="J1779" s="547"/>
      <c r="K1779" s="547"/>
      <c r="L1779" s="227"/>
      <c r="M1779" s="740"/>
      <c r="N1779" s="224"/>
      <c r="O1779" s="58"/>
      <c r="P1779" s="58"/>
      <c r="Q1779" s="58"/>
      <c r="R1779" s="58"/>
      <c r="S1779" s="58"/>
      <c r="T1779" s="58"/>
      <c r="U1779" s="58"/>
      <c r="V1779" s="58"/>
    </row>
    <row r="1780" spans="1:22" ht="15.75" customHeight="1">
      <c r="A1780" s="58"/>
      <c r="B1780" s="58"/>
      <c r="C1780" s="528"/>
      <c r="D1780" s="58"/>
      <c r="E1780" s="704"/>
      <c r="F1780" s="223"/>
      <c r="G1780" s="199"/>
      <c r="H1780" s="224"/>
      <c r="I1780" s="498"/>
      <c r="J1780" s="547"/>
      <c r="K1780" s="547"/>
      <c r="L1780" s="227"/>
      <c r="M1780" s="740"/>
      <c r="N1780" s="224"/>
      <c r="O1780" s="58"/>
      <c r="P1780" s="58"/>
      <c r="Q1780" s="58"/>
      <c r="R1780" s="58"/>
      <c r="S1780" s="58"/>
      <c r="T1780" s="58"/>
      <c r="U1780" s="58"/>
      <c r="V1780" s="58"/>
    </row>
    <row r="1781" spans="1:22" ht="15.75" customHeight="1">
      <c r="A1781" s="58"/>
      <c r="B1781" s="58"/>
      <c r="C1781" s="528"/>
      <c r="D1781" s="58"/>
      <c r="E1781" s="704"/>
      <c r="F1781" s="223"/>
      <c r="G1781" s="199"/>
      <c r="H1781" s="224"/>
      <c r="I1781" s="498"/>
      <c r="J1781" s="547"/>
      <c r="K1781" s="547"/>
      <c r="L1781" s="227"/>
      <c r="M1781" s="740"/>
      <c r="N1781" s="224"/>
      <c r="O1781" s="58"/>
      <c r="P1781" s="58"/>
      <c r="Q1781" s="58"/>
      <c r="R1781" s="58"/>
      <c r="S1781" s="58"/>
      <c r="T1781" s="58"/>
      <c r="U1781" s="58"/>
      <c r="V1781" s="58"/>
    </row>
    <row r="1782" spans="1:22" ht="15.75" customHeight="1">
      <c r="A1782" s="58"/>
      <c r="B1782" s="58"/>
      <c r="C1782" s="528"/>
      <c r="D1782" s="58"/>
      <c r="E1782" s="704"/>
      <c r="F1782" s="223"/>
      <c r="G1782" s="199"/>
      <c r="H1782" s="224"/>
      <c r="I1782" s="498"/>
      <c r="J1782" s="547"/>
      <c r="K1782" s="547"/>
      <c r="L1782" s="227"/>
      <c r="M1782" s="740"/>
      <c r="N1782" s="224"/>
      <c r="O1782" s="58"/>
      <c r="P1782" s="58"/>
      <c r="Q1782" s="58"/>
      <c r="R1782" s="58"/>
      <c r="S1782" s="58"/>
      <c r="T1782" s="58"/>
      <c r="U1782" s="58"/>
      <c r="V1782" s="58"/>
    </row>
    <row r="1783" spans="1:22" ht="15.75" customHeight="1">
      <c r="A1783" s="58"/>
      <c r="B1783" s="58"/>
      <c r="C1783" s="528"/>
      <c r="D1783" s="58"/>
      <c r="E1783" s="704"/>
      <c r="F1783" s="223"/>
      <c r="G1783" s="199"/>
      <c r="H1783" s="224"/>
      <c r="I1783" s="498"/>
      <c r="J1783" s="547"/>
      <c r="K1783" s="547"/>
      <c r="L1783" s="227"/>
      <c r="M1783" s="740"/>
      <c r="N1783" s="224"/>
      <c r="O1783" s="58"/>
      <c r="P1783" s="58"/>
      <c r="Q1783" s="58"/>
      <c r="R1783" s="58"/>
      <c r="S1783" s="58"/>
      <c r="T1783" s="58"/>
      <c r="U1783" s="58"/>
      <c r="V1783" s="58"/>
    </row>
    <row r="1784" spans="1:22" ht="15.75" customHeight="1">
      <c r="A1784" s="58"/>
      <c r="B1784" s="58"/>
      <c r="C1784" s="528"/>
      <c r="D1784" s="58"/>
      <c r="E1784" s="704"/>
      <c r="F1784" s="223"/>
      <c r="G1784" s="199"/>
      <c r="H1784" s="224"/>
      <c r="I1784" s="498"/>
      <c r="J1784" s="547"/>
      <c r="K1784" s="547"/>
      <c r="L1784" s="227"/>
      <c r="M1784" s="740"/>
      <c r="N1784" s="224"/>
      <c r="O1784" s="58"/>
      <c r="P1784" s="58"/>
      <c r="Q1784" s="58"/>
      <c r="R1784" s="58"/>
      <c r="S1784" s="58"/>
      <c r="T1784" s="58"/>
      <c r="U1784" s="58"/>
      <c r="V1784" s="58"/>
    </row>
    <row r="1785" spans="1:22" ht="15.75" customHeight="1">
      <c r="A1785" s="58"/>
      <c r="B1785" s="58"/>
      <c r="C1785" s="528"/>
      <c r="D1785" s="58"/>
      <c r="E1785" s="704"/>
      <c r="F1785" s="223"/>
      <c r="G1785" s="199"/>
      <c r="H1785" s="224"/>
      <c r="I1785" s="498"/>
      <c r="J1785" s="547"/>
      <c r="K1785" s="547"/>
      <c r="L1785" s="227"/>
      <c r="M1785" s="740"/>
      <c r="N1785" s="224"/>
      <c r="O1785" s="58"/>
      <c r="P1785" s="58"/>
      <c r="Q1785" s="58"/>
      <c r="R1785" s="58"/>
      <c r="S1785" s="58"/>
      <c r="T1785" s="58"/>
      <c r="U1785" s="58"/>
      <c r="V1785" s="58"/>
    </row>
    <row r="1786" spans="1:22" ht="15.75" customHeight="1">
      <c r="A1786" s="58"/>
      <c r="B1786" s="58"/>
      <c r="C1786" s="528"/>
      <c r="D1786" s="58"/>
      <c r="E1786" s="704"/>
      <c r="F1786" s="223"/>
      <c r="G1786" s="199"/>
      <c r="H1786" s="224"/>
      <c r="I1786" s="498"/>
      <c r="J1786" s="547"/>
      <c r="K1786" s="547"/>
      <c r="L1786" s="227"/>
      <c r="M1786" s="740"/>
      <c r="N1786" s="224"/>
      <c r="O1786" s="58"/>
      <c r="P1786" s="58"/>
      <c r="Q1786" s="58"/>
      <c r="R1786" s="58"/>
      <c r="S1786" s="58"/>
      <c r="T1786" s="58"/>
      <c r="U1786" s="58"/>
      <c r="V1786" s="58"/>
    </row>
    <row r="1787" spans="1:22" ht="15.75" customHeight="1">
      <c r="A1787" s="58"/>
      <c r="B1787" s="58"/>
      <c r="C1787" s="528"/>
      <c r="D1787" s="58"/>
      <c r="E1787" s="704"/>
      <c r="F1787" s="223"/>
      <c r="G1787" s="199"/>
      <c r="H1787" s="224"/>
      <c r="I1787" s="498"/>
      <c r="J1787" s="547"/>
      <c r="K1787" s="547"/>
      <c r="L1787" s="227"/>
      <c r="M1787" s="740"/>
      <c r="N1787" s="224"/>
      <c r="O1787" s="58"/>
      <c r="P1787" s="58"/>
      <c r="Q1787" s="58"/>
      <c r="R1787" s="58"/>
      <c r="S1787" s="58"/>
      <c r="T1787" s="58"/>
      <c r="U1787" s="58"/>
      <c r="V1787" s="58"/>
    </row>
    <row r="1788" spans="1:22" ht="15.75" customHeight="1">
      <c r="A1788" s="58"/>
      <c r="B1788" s="58"/>
      <c r="C1788" s="528"/>
      <c r="D1788" s="58"/>
      <c r="E1788" s="704"/>
      <c r="F1788" s="223"/>
      <c r="G1788" s="199"/>
      <c r="H1788" s="224"/>
      <c r="I1788" s="498"/>
      <c r="J1788" s="547"/>
      <c r="K1788" s="547"/>
      <c r="L1788" s="227"/>
      <c r="M1788" s="740"/>
      <c r="N1788" s="224"/>
      <c r="O1788" s="58"/>
      <c r="P1788" s="58"/>
      <c r="Q1788" s="58"/>
      <c r="R1788" s="58"/>
      <c r="S1788" s="58"/>
      <c r="T1788" s="58"/>
      <c r="U1788" s="58"/>
      <c r="V1788" s="58"/>
    </row>
    <row r="1789" spans="1:22" ht="15.75" customHeight="1">
      <c r="A1789" s="58"/>
      <c r="B1789" s="58"/>
      <c r="C1789" s="528"/>
      <c r="D1789" s="58"/>
      <c r="E1789" s="704"/>
      <c r="F1789" s="223"/>
      <c r="G1789" s="199"/>
      <c r="H1789" s="224"/>
      <c r="I1789" s="498"/>
      <c r="J1789" s="547"/>
      <c r="K1789" s="547"/>
      <c r="L1789" s="227"/>
      <c r="M1789" s="740"/>
      <c r="N1789" s="224"/>
      <c r="O1789" s="58"/>
      <c r="P1789" s="58"/>
      <c r="Q1789" s="58"/>
      <c r="R1789" s="58"/>
      <c r="S1789" s="58"/>
      <c r="T1789" s="58"/>
      <c r="U1789" s="58"/>
      <c r="V1789" s="58"/>
    </row>
    <row r="1790" spans="1:22" ht="15.75" customHeight="1">
      <c r="A1790" s="58"/>
      <c r="B1790" s="58"/>
      <c r="C1790" s="528"/>
      <c r="D1790" s="58"/>
      <c r="E1790" s="704"/>
      <c r="F1790" s="223"/>
      <c r="G1790" s="199"/>
      <c r="H1790" s="224"/>
      <c r="I1790" s="498"/>
      <c r="J1790" s="547"/>
      <c r="K1790" s="547"/>
      <c r="L1790" s="227"/>
      <c r="M1790" s="740"/>
      <c r="N1790" s="224"/>
      <c r="O1790" s="58"/>
      <c r="P1790" s="58"/>
      <c r="Q1790" s="58"/>
      <c r="R1790" s="58"/>
      <c r="S1790" s="58"/>
      <c r="T1790" s="58"/>
      <c r="U1790" s="58"/>
      <c r="V1790" s="58"/>
    </row>
    <row r="1791" spans="1:22" ht="15.75" customHeight="1">
      <c r="A1791" s="58"/>
      <c r="B1791" s="58"/>
      <c r="C1791" s="528"/>
      <c r="D1791" s="58"/>
      <c r="E1791" s="704"/>
      <c r="F1791" s="223"/>
      <c r="G1791" s="199"/>
      <c r="H1791" s="224"/>
      <c r="I1791" s="498"/>
      <c r="J1791" s="547"/>
      <c r="K1791" s="547"/>
      <c r="L1791" s="227"/>
      <c r="M1791" s="740"/>
      <c r="N1791" s="224"/>
      <c r="O1791" s="58"/>
      <c r="P1791" s="58"/>
      <c r="Q1791" s="58"/>
      <c r="R1791" s="58"/>
      <c r="S1791" s="58"/>
      <c r="T1791" s="58"/>
      <c r="U1791" s="58"/>
      <c r="V1791" s="58"/>
    </row>
    <row r="1792" spans="1:22" ht="15.75" customHeight="1">
      <c r="A1792" s="58"/>
      <c r="B1792" s="58"/>
      <c r="C1792" s="528"/>
      <c r="D1792" s="58"/>
      <c r="E1792" s="704"/>
      <c r="F1792" s="223"/>
      <c r="G1792" s="199"/>
      <c r="H1792" s="224"/>
      <c r="I1792" s="498"/>
      <c r="J1792" s="547"/>
      <c r="K1792" s="547"/>
      <c r="L1792" s="227"/>
      <c r="M1792" s="740"/>
      <c r="N1792" s="224"/>
      <c r="O1792" s="58"/>
      <c r="P1792" s="58"/>
      <c r="Q1792" s="58"/>
      <c r="R1792" s="58"/>
      <c r="S1792" s="58"/>
      <c r="T1792" s="58"/>
      <c r="U1792" s="58"/>
      <c r="V1792" s="58"/>
    </row>
    <row r="1793" spans="1:22" ht="15.75" customHeight="1">
      <c r="A1793" s="58"/>
      <c r="B1793" s="58"/>
      <c r="C1793" s="528"/>
      <c r="D1793" s="58"/>
      <c r="E1793" s="704"/>
      <c r="F1793" s="223"/>
      <c r="G1793" s="199"/>
      <c r="H1793" s="224"/>
      <c r="I1793" s="498"/>
      <c r="J1793" s="547"/>
      <c r="K1793" s="547"/>
      <c r="L1793" s="227"/>
      <c r="M1793" s="740"/>
      <c r="N1793" s="224"/>
      <c r="O1793" s="58"/>
      <c r="P1793" s="58"/>
      <c r="Q1793" s="58"/>
      <c r="R1793" s="58"/>
      <c r="S1793" s="58"/>
      <c r="T1793" s="58"/>
      <c r="U1793" s="58"/>
      <c r="V1793" s="58"/>
    </row>
    <row r="1794" spans="1:22" ht="15.75" customHeight="1">
      <c r="A1794" s="58"/>
      <c r="B1794" s="58"/>
      <c r="C1794" s="528"/>
      <c r="D1794" s="58"/>
      <c r="E1794" s="704"/>
      <c r="F1794" s="223"/>
      <c r="G1794" s="199"/>
      <c r="H1794" s="224"/>
      <c r="I1794" s="498"/>
      <c r="J1794" s="547"/>
      <c r="K1794" s="547"/>
      <c r="L1794" s="227"/>
      <c r="M1794" s="740"/>
      <c r="N1794" s="224"/>
      <c r="O1794" s="58"/>
      <c r="P1794" s="58"/>
      <c r="Q1794" s="58"/>
      <c r="R1794" s="58"/>
      <c r="S1794" s="58"/>
      <c r="T1794" s="58"/>
      <c r="U1794" s="58"/>
      <c r="V1794" s="58"/>
    </row>
    <row r="1795" spans="1:22" ht="15.75" customHeight="1">
      <c r="A1795" s="58"/>
      <c r="B1795" s="58"/>
      <c r="C1795" s="528"/>
      <c r="D1795" s="58"/>
      <c r="E1795" s="704"/>
      <c r="F1795" s="223"/>
      <c r="G1795" s="199"/>
      <c r="H1795" s="224"/>
      <c r="I1795" s="498"/>
      <c r="J1795" s="547"/>
      <c r="K1795" s="547"/>
      <c r="L1795" s="227"/>
      <c r="M1795" s="740"/>
      <c r="N1795" s="224"/>
      <c r="O1795" s="58"/>
      <c r="P1795" s="58"/>
      <c r="Q1795" s="58"/>
      <c r="R1795" s="58"/>
      <c r="S1795" s="58"/>
      <c r="T1795" s="58"/>
      <c r="U1795" s="58"/>
      <c r="V1795" s="58"/>
    </row>
    <row r="1796" spans="1:22" ht="15.75" customHeight="1">
      <c r="A1796" s="58"/>
      <c r="B1796" s="58"/>
      <c r="C1796" s="528"/>
      <c r="D1796" s="58"/>
      <c r="E1796" s="704"/>
      <c r="F1796" s="223"/>
      <c r="G1796" s="199"/>
      <c r="H1796" s="224"/>
      <c r="I1796" s="498"/>
      <c r="J1796" s="547"/>
      <c r="K1796" s="547"/>
      <c r="L1796" s="227"/>
      <c r="M1796" s="740"/>
      <c r="N1796" s="224"/>
      <c r="O1796" s="58"/>
      <c r="P1796" s="58"/>
      <c r="Q1796" s="58"/>
      <c r="R1796" s="58"/>
      <c r="S1796" s="58"/>
      <c r="T1796" s="58"/>
      <c r="U1796" s="58"/>
      <c r="V1796" s="58"/>
    </row>
    <row r="1797" spans="1:22" ht="15.75" customHeight="1">
      <c r="A1797" s="58"/>
      <c r="B1797" s="58"/>
      <c r="C1797" s="528"/>
      <c r="D1797" s="58"/>
      <c r="E1797" s="704"/>
      <c r="F1797" s="223"/>
      <c r="G1797" s="199"/>
      <c r="H1797" s="224"/>
      <c r="I1797" s="498"/>
      <c r="J1797" s="547"/>
      <c r="K1797" s="547"/>
      <c r="L1797" s="227"/>
      <c r="M1797" s="740"/>
      <c r="N1797" s="224"/>
      <c r="O1797" s="58"/>
      <c r="P1797" s="58"/>
      <c r="Q1797" s="58"/>
      <c r="R1797" s="58"/>
      <c r="S1797" s="58"/>
      <c r="T1797" s="58"/>
      <c r="U1797" s="58"/>
      <c r="V1797" s="58"/>
    </row>
    <row r="1798" spans="1:22" ht="15.75" customHeight="1">
      <c r="A1798" s="58"/>
      <c r="B1798" s="58"/>
      <c r="C1798" s="528"/>
      <c r="D1798" s="58"/>
      <c r="E1798" s="704"/>
      <c r="F1798" s="223"/>
      <c r="G1798" s="199"/>
      <c r="H1798" s="224"/>
      <c r="I1798" s="498"/>
      <c r="J1798" s="547"/>
      <c r="K1798" s="547"/>
      <c r="L1798" s="227"/>
      <c r="M1798" s="740"/>
      <c r="N1798" s="224"/>
      <c r="O1798" s="58"/>
      <c r="P1798" s="58"/>
      <c r="Q1798" s="58"/>
      <c r="R1798" s="58"/>
      <c r="S1798" s="58"/>
      <c r="T1798" s="58"/>
      <c r="U1798" s="58"/>
      <c r="V1798" s="58"/>
    </row>
    <row r="1799" spans="1:22" ht="15.75" customHeight="1">
      <c r="A1799" s="58"/>
      <c r="B1799" s="58"/>
      <c r="C1799" s="528"/>
      <c r="D1799" s="58"/>
      <c r="E1799" s="704"/>
      <c r="F1799" s="223"/>
      <c r="G1799" s="199"/>
      <c r="H1799" s="224"/>
      <c r="I1799" s="498"/>
      <c r="J1799" s="547"/>
      <c r="K1799" s="547"/>
      <c r="L1799" s="227"/>
      <c r="M1799" s="740"/>
      <c r="N1799" s="224"/>
      <c r="O1799" s="58"/>
      <c r="P1799" s="58"/>
      <c r="Q1799" s="58"/>
      <c r="R1799" s="58"/>
      <c r="S1799" s="58"/>
      <c r="T1799" s="58"/>
      <c r="U1799" s="58"/>
      <c r="V1799" s="58"/>
    </row>
    <row r="1800" spans="1:22" ht="15.75" customHeight="1">
      <c r="A1800" s="58"/>
      <c r="B1800" s="58"/>
      <c r="C1800" s="528"/>
      <c r="D1800" s="58"/>
      <c r="E1800" s="704"/>
      <c r="F1800" s="223"/>
      <c r="G1800" s="199"/>
      <c r="H1800" s="224"/>
      <c r="I1800" s="498"/>
      <c r="J1800" s="547"/>
      <c r="K1800" s="547"/>
      <c r="L1800" s="227"/>
      <c r="M1800" s="740"/>
      <c r="N1800" s="224"/>
      <c r="O1800" s="58"/>
      <c r="P1800" s="58"/>
      <c r="Q1800" s="58"/>
      <c r="R1800" s="58"/>
      <c r="S1800" s="58"/>
      <c r="T1800" s="58"/>
      <c r="U1800" s="58"/>
      <c r="V1800" s="58"/>
    </row>
    <row r="1801" spans="1:22" ht="15.75" customHeight="1">
      <c r="A1801" s="58"/>
      <c r="B1801" s="58"/>
      <c r="C1801" s="528"/>
      <c r="D1801" s="58"/>
      <c r="E1801" s="704"/>
      <c r="F1801" s="223"/>
      <c r="G1801" s="199"/>
      <c r="H1801" s="224"/>
      <c r="I1801" s="498"/>
      <c r="J1801" s="547"/>
      <c r="K1801" s="547"/>
      <c r="L1801" s="227"/>
      <c r="M1801" s="740"/>
      <c r="N1801" s="224"/>
      <c r="O1801" s="58"/>
      <c r="P1801" s="58"/>
      <c r="Q1801" s="58"/>
      <c r="R1801" s="58"/>
      <c r="S1801" s="58"/>
      <c r="T1801" s="58"/>
      <c r="U1801" s="58"/>
      <c r="V1801" s="58"/>
    </row>
    <row r="1802" spans="1:22" ht="15.75" customHeight="1">
      <c r="A1802" s="58"/>
      <c r="B1802" s="58"/>
      <c r="C1802" s="528"/>
      <c r="D1802" s="58"/>
      <c r="E1802" s="704"/>
      <c r="F1802" s="223"/>
      <c r="G1802" s="199"/>
      <c r="H1802" s="224"/>
      <c r="I1802" s="498"/>
      <c r="J1802" s="547"/>
      <c r="K1802" s="547"/>
      <c r="L1802" s="227"/>
      <c r="M1802" s="740"/>
      <c r="N1802" s="224"/>
      <c r="O1802" s="58"/>
      <c r="P1802" s="58"/>
      <c r="Q1802" s="58"/>
      <c r="R1802" s="58"/>
      <c r="S1802" s="58"/>
      <c r="T1802" s="58"/>
      <c r="U1802" s="58"/>
      <c r="V1802" s="58"/>
    </row>
    <row r="1803" spans="1:22" ht="15.75" customHeight="1">
      <c r="A1803" s="58"/>
      <c r="B1803" s="58"/>
      <c r="C1803" s="528"/>
      <c r="D1803" s="58"/>
      <c r="E1803" s="704"/>
      <c r="F1803" s="223"/>
      <c r="G1803" s="199"/>
      <c r="H1803" s="224"/>
      <c r="I1803" s="498"/>
      <c r="J1803" s="547"/>
      <c r="K1803" s="547"/>
      <c r="L1803" s="227"/>
      <c r="M1803" s="740"/>
      <c r="N1803" s="224"/>
      <c r="O1803" s="58"/>
      <c r="P1803" s="58"/>
      <c r="Q1803" s="58"/>
      <c r="R1803" s="58"/>
      <c r="S1803" s="58"/>
      <c r="T1803" s="58"/>
      <c r="U1803" s="58"/>
      <c r="V1803" s="58"/>
    </row>
    <row r="1804" spans="1:22" ht="15.75" customHeight="1">
      <c r="A1804" s="58"/>
      <c r="B1804" s="58"/>
      <c r="C1804" s="528"/>
      <c r="D1804" s="58"/>
      <c r="E1804" s="704"/>
      <c r="F1804" s="223"/>
      <c r="G1804" s="199"/>
      <c r="H1804" s="224"/>
      <c r="I1804" s="498"/>
      <c r="J1804" s="547"/>
      <c r="K1804" s="547"/>
      <c r="L1804" s="227"/>
      <c r="M1804" s="740"/>
      <c r="N1804" s="224"/>
      <c r="O1804" s="58"/>
      <c r="P1804" s="58"/>
      <c r="Q1804" s="58"/>
      <c r="R1804" s="58"/>
      <c r="S1804" s="58"/>
      <c r="T1804" s="58"/>
      <c r="U1804" s="58"/>
      <c r="V1804" s="58"/>
    </row>
    <row r="1805" spans="1:22" ht="15.75" customHeight="1">
      <c r="A1805" s="58"/>
      <c r="B1805" s="58"/>
      <c r="C1805" s="528"/>
      <c r="D1805" s="58"/>
      <c r="E1805" s="704"/>
      <c r="F1805" s="223"/>
      <c r="G1805" s="199"/>
      <c r="H1805" s="224"/>
      <c r="I1805" s="498"/>
      <c r="J1805" s="547"/>
      <c r="K1805" s="547"/>
      <c r="L1805" s="227"/>
      <c r="M1805" s="740"/>
      <c r="N1805" s="224"/>
      <c r="O1805" s="58"/>
      <c r="P1805" s="58"/>
      <c r="Q1805" s="58"/>
      <c r="R1805" s="58"/>
      <c r="S1805" s="58"/>
      <c r="T1805" s="58"/>
      <c r="U1805" s="58"/>
      <c r="V1805" s="58"/>
    </row>
    <row r="1806" spans="1:22" ht="15.75" customHeight="1">
      <c r="A1806" s="58"/>
      <c r="B1806" s="58"/>
      <c r="C1806" s="528"/>
      <c r="D1806" s="58"/>
      <c r="E1806" s="704"/>
      <c r="F1806" s="223"/>
      <c r="G1806" s="199"/>
      <c r="H1806" s="224"/>
      <c r="I1806" s="498"/>
      <c r="J1806" s="547"/>
      <c r="K1806" s="547"/>
      <c r="L1806" s="227"/>
      <c r="M1806" s="740"/>
      <c r="N1806" s="224"/>
      <c r="O1806" s="58"/>
      <c r="P1806" s="58"/>
      <c r="Q1806" s="58"/>
      <c r="R1806" s="58"/>
      <c r="S1806" s="58"/>
      <c r="T1806" s="58"/>
      <c r="U1806" s="58"/>
      <c r="V1806" s="58"/>
    </row>
    <row r="1807" spans="1:22" ht="15.75" customHeight="1">
      <c r="A1807" s="58"/>
      <c r="B1807" s="58"/>
      <c r="C1807" s="528"/>
      <c r="D1807" s="58"/>
      <c r="E1807" s="704"/>
      <c r="F1807" s="223"/>
      <c r="G1807" s="199"/>
      <c r="H1807" s="224"/>
      <c r="I1807" s="498"/>
      <c r="J1807" s="547"/>
      <c r="K1807" s="547"/>
      <c r="L1807" s="227"/>
      <c r="M1807" s="740"/>
      <c r="N1807" s="224"/>
      <c r="O1807" s="58"/>
      <c r="P1807" s="58"/>
      <c r="Q1807" s="58"/>
      <c r="R1807" s="58"/>
      <c r="S1807" s="58"/>
      <c r="T1807" s="58"/>
      <c r="U1807" s="58"/>
      <c r="V1807" s="58"/>
    </row>
    <row r="1808" spans="1:22" ht="15.75" customHeight="1">
      <c r="A1808" s="58"/>
      <c r="B1808" s="58"/>
      <c r="C1808" s="528"/>
      <c r="D1808" s="58"/>
      <c r="E1808" s="704"/>
      <c r="F1808" s="223"/>
      <c r="G1808" s="199"/>
      <c r="H1808" s="224"/>
      <c r="I1808" s="498"/>
      <c r="J1808" s="547"/>
      <c r="K1808" s="547"/>
      <c r="L1808" s="227"/>
      <c r="M1808" s="740"/>
      <c r="N1808" s="224"/>
      <c r="O1808" s="58"/>
      <c r="P1808" s="58"/>
      <c r="Q1808" s="58"/>
      <c r="R1808" s="58"/>
      <c r="S1808" s="58"/>
      <c r="T1808" s="58"/>
      <c r="U1808" s="58"/>
      <c r="V1808" s="58"/>
    </row>
    <row r="1809" spans="1:22" ht="15.75" customHeight="1">
      <c r="A1809" s="58"/>
      <c r="B1809" s="58"/>
      <c r="C1809" s="528"/>
      <c r="D1809" s="58"/>
      <c r="E1809" s="704"/>
      <c r="F1809" s="223"/>
      <c r="G1809" s="199"/>
      <c r="H1809" s="224"/>
      <c r="I1809" s="498"/>
      <c r="J1809" s="547"/>
      <c r="K1809" s="547"/>
      <c r="L1809" s="227"/>
      <c r="M1809" s="740"/>
      <c r="N1809" s="224"/>
      <c r="O1809" s="58"/>
      <c r="P1809" s="58"/>
      <c r="Q1809" s="58"/>
      <c r="R1809" s="58"/>
      <c r="S1809" s="58"/>
      <c r="T1809" s="58"/>
      <c r="U1809" s="58"/>
      <c r="V1809" s="58"/>
    </row>
    <row r="1810" spans="1:22" ht="15.75" customHeight="1">
      <c r="A1810" s="58"/>
      <c r="B1810" s="58"/>
      <c r="C1810" s="528"/>
      <c r="D1810" s="58"/>
      <c r="E1810" s="704"/>
      <c r="F1810" s="223"/>
      <c r="G1810" s="199"/>
      <c r="H1810" s="224"/>
      <c r="I1810" s="498"/>
      <c r="J1810" s="547"/>
      <c r="K1810" s="547"/>
      <c r="L1810" s="227"/>
      <c r="M1810" s="740"/>
      <c r="N1810" s="224"/>
      <c r="O1810" s="58"/>
      <c r="P1810" s="58"/>
      <c r="Q1810" s="58"/>
      <c r="R1810" s="58"/>
      <c r="S1810" s="58"/>
      <c r="T1810" s="58"/>
      <c r="U1810" s="58"/>
      <c r="V1810" s="58"/>
    </row>
    <row r="1811" spans="1:22" ht="15.75" customHeight="1">
      <c r="A1811" s="58"/>
      <c r="B1811" s="58"/>
      <c r="C1811" s="528"/>
      <c r="D1811" s="58"/>
      <c r="E1811" s="704"/>
      <c r="F1811" s="223"/>
      <c r="G1811" s="199"/>
      <c r="H1811" s="224"/>
      <c r="I1811" s="498"/>
      <c r="J1811" s="547"/>
      <c r="K1811" s="547"/>
      <c r="L1811" s="227"/>
      <c r="M1811" s="740"/>
      <c r="N1811" s="224"/>
      <c r="O1811" s="58"/>
      <c r="P1811" s="58"/>
      <c r="Q1811" s="58"/>
      <c r="R1811" s="58"/>
      <c r="S1811" s="58"/>
      <c r="T1811" s="58"/>
      <c r="U1811" s="58"/>
      <c r="V1811" s="58"/>
    </row>
    <row r="1812" spans="1:22" ht="15.75" customHeight="1">
      <c r="A1812" s="58"/>
      <c r="B1812" s="58"/>
      <c r="C1812" s="528"/>
      <c r="D1812" s="58"/>
      <c r="E1812" s="704"/>
      <c r="F1812" s="223"/>
      <c r="G1812" s="199"/>
      <c r="H1812" s="224"/>
      <c r="I1812" s="498"/>
      <c r="J1812" s="547"/>
      <c r="K1812" s="547"/>
      <c r="L1812" s="227"/>
      <c r="M1812" s="740"/>
      <c r="N1812" s="224"/>
      <c r="O1812" s="58"/>
      <c r="P1812" s="58"/>
      <c r="Q1812" s="58"/>
      <c r="R1812" s="58"/>
      <c r="S1812" s="58"/>
      <c r="T1812" s="58"/>
      <c r="U1812" s="58"/>
      <c r="V1812" s="58"/>
    </row>
    <row r="1813" spans="1:22" ht="15.75" customHeight="1">
      <c r="A1813" s="58"/>
      <c r="B1813" s="58"/>
      <c r="C1813" s="528"/>
      <c r="D1813" s="58"/>
      <c r="E1813" s="704"/>
      <c r="F1813" s="223"/>
      <c r="G1813" s="199"/>
      <c r="H1813" s="224"/>
      <c r="I1813" s="498"/>
      <c r="J1813" s="547"/>
      <c r="K1813" s="547"/>
      <c r="L1813" s="227"/>
      <c r="M1813" s="740"/>
      <c r="N1813" s="224"/>
      <c r="O1813" s="58"/>
      <c r="P1813" s="58"/>
      <c r="Q1813" s="58"/>
      <c r="R1813" s="58"/>
      <c r="S1813" s="58"/>
      <c r="T1813" s="58"/>
      <c r="U1813" s="58"/>
      <c r="V1813" s="58"/>
    </row>
    <row r="1814" spans="1:22" ht="15.75" customHeight="1">
      <c r="A1814" s="58"/>
      <c r="B1814" s="58"/>
      <c r="C1814" s="528"/>
      <c r="D1814" s="58"/>
      <c r="E1814" s="704"/>
      <c r="F1814" s="223"/>
      <c r="G1814" s="199"/>
      <c r="H1814" s="224"/>
      <c r="I1814" s="498"/>
      <c r="J1814" s="547"/>
      <c r="K1814" s="547"/>
      <c r="L1814" s="227"/>
      <c r="M1814" s="740"/>
      <c r="N1814" s="224"/>
      <c r="O1814" s="58"/>
      <c r="P1814" s="58"/>
      <c r="Q1814" s="58"/>
      <c r="R1814" s="58"/>
      <c r="S1814" s="58"/>
      <c r="T1814" s="58"/>
      <c r="U1814" s="58"/>
      <c r="V1814" s="58"/>
    </row>
    <row r="1815" spans="1:22" ht="15.75" customHeight="1">
      <c r="A1815" s="58"/>
      <c r="B1815" s="58"/>
      <c r="C1815" s="528"/>
      <c r="D1815" s="58"/>
      <c r="E1815" s="704"/>
      <c r="F1815" s="223"/>
      <c r="G1815" s="199"/>
      <c r="H1815" s="224"/>
      <c r="I1815" s="498"/>
      <c r="J1815" s="547"/>
      <c r="K1815" s="547"/>
      <c r="L1815" s="227"/>
      <c r="M1815" s="740"/>
      <c r="N1815" s="224"/>
      <c r="O1815" s="58"/>
      <c r="P1815" s="58"/>
      <c r="Q1815" s="58"/>
      <c r="R1815" s="58"/>
      <c r="S1815" s="58"/>
      <c r="T1815" s="58"/>
      <c r="U1815" s="58"/>
      <c r="V1815" s="58"/>
    </row>
    <row r="1816" spans="1:22" ht="15.75" customHeight="1">
      <c r="A1816" s="58"/>
      <c r="B1816" s="58"/>
      <c r="C1816" s="528"/>
      <c r="D1816" s="58"/>
      <c r="E1816" s="704"/>
      <c r="F1816" s="223"/>
      <c r="G1816" s="199"/>
      <c r="H1816" s="224"/>
      <c r="I1816" s="498"/>
      <c r="J1816" s="547"/>
      <c r="K1816" s="547"/>
      <c r="L1816" s="227"/>
      <c r="M1816" s="740"/>
      <c r="N1816" s="224"/>
      <c r="O1816" s="58"/>
      <c r="P1816" s="58"/>
      <c r="Q1816" s="58"/>
      <c r="R1816" s="58"/>
      <c r="S1816" s="58"/>
      <c r="T1816" s="58"/>
      <c r="U1816" s="58"/>
      <c r="V1816" s="58"/>
    </row>
    <row r="1817" spans="1:22" ht="15.75" customHeight="1">
      <c r="A1817" s="58"/>
      <c r="B1817" s="58"/>
      <c r="C1817" s="528"/>
      <c r="D1817" s="58"/>
      <c r="E1817" s="704"/>
      <c r="F1817" s="223"/>
      <c r="G1817" s="199"/>
      <c r="H1817" s="224"/>
      <c r="I1817" s="498"/>
      <c r="J1817" s="547"/>
      <c r="K1817" s="547"/>
      <c r="L1817" s="227"/>
      <c r="M1817" s="740"/>
      <c r="N1817" s="224"/>
      <c r="O1817" s="58"/>
      <c r="P1817" s="58"/>
      <c r="Q1817" s="58"/>
      <c r="R1817" s="58"/>
      <c r="S1817" s="58"/>
      <c r="T1817" s="58"/>
      <c r="U1817" s="58"/>
      <c r="V1817" s="58"/>
    </row>
    <row r="1818" spans="1:22" ht="15.75" customHeight="1">
      <c r="A1818" s="58"/>
      <c r="B1818" s="58"/>
      <c r="C1818" s="528"/>
      <c r="D1818" s="58"/>
      <c r="E1818" s="704"/>
      <c r="F1818" s="223"/>
      <c r="G1818" s="199"/>
      <c r="H1818" s="224"/>
      <c r="I1818" s="498"/>
      <c r="J1818" s="547"/>
      <c r="K1818" s="547"/>
      <c r="L1818" s="227"/>
      <c r="M1818" s="740"/>
      <c r="N1818" s="224"/>
      <c r="O1818" s="58"/>
      <c r="P1818" s="58"/>
      <c r="Q1818" s="58"/>
      <c r="R1818" s="58"/>
      <c r="S1818" s="58"/>
      <c r="T1818" s="58"/>
      <c r="U1818" s="58"/>
      <c r="V1818" s="58"/>
    </row>
    <row r="1819" spans="1:22" ht="15.75" customHeight="1">
      <c r="A1819" s="58"/>
      <c r="B1819" s="58"/>
      <c r="C1819" s="528"/>
      <c r="D1819" s="58"/>
      <c r="E1819" s="704"/>
      <c r="F1819" s="223"/>
      <c r="G1819" s="199"/>
      <c r="H1819" s="224"/>
      <c r="I1819" s="498"/>
      <c r="J1819" s="547"/>
      <c r="K1819" s="547"/>
      <c r="L1819" s="227"/>
      <c r="M1819" s="740"/>
      <c r="N1819" s="224"/>
      <c r="O1819" s="58"/>
      <c r="P1819" s="58"/>
      <c r="Q1819" s="58"/>
      <c r="R1819" s="58"/>
      <c r="S1819" s="58"/>
      <c r="T1819" s="58"/>
      <c r="U1819" s="58"/>
      <c r="V1819" s="58"/>
    </row>
    <row r="1820" spans="1:22" ht="15.75" customHeight="1">
      <c r="A1820" s="58"/>
      <c r="B1820" s="58"/>
      <c r="C1820" s="528"/>
      <c r="D1820" s="58"/>
      <c r="E1820" s="704"/>
      <c r="F1820" s="223"/>
      <c r="G1820" s="199"/>
      <c r="H1820" s="224"/>
      <c r="I1820" s="498"/>
      <c r="J1820" s="547"/>
      <c r="K1820" s="547"/>
      <c r="L1820" s="227"/>
      <c r="M1820" s="740"/>
      <c r="N1820" s="224"/>
      <c r="O1820" s="58"/>
      <c r="P1820" s="58"/>
      <c r="Q1820" s="58"/>
      <c r="R1820" s="58"/>
      <c r="S1820" s="58"/>
      <c r="T1820" s="58"/>
      <c r="U1820" s="58"/>
      <c r="V1820" s="58"/>
    </row>
    <row r="1821" spans="1:22" ht="15.75" customHeight="1">
      <c r="A1821" s="58"/>
      <c r="B1821" s="58"/>
      <c r="C1821" s="528"/>
      <c r="D1821" s="58"/>
      <c r="E1821" s="704"/>
      <c r="F1821" s="223"/>
      <c r="G1821" s="199"/>
      <c r="H1821" s="224"/>
      <c r="I1821" s="498"/>
      <c r="J1821" s="547"/>
      <c r="K1821" s="547"/>
      <c r="L1821" s="227"/>
      <c r="M1821" s="740"/>
      <c r="N1821" s="224"/>
      <c r="O1821" s="58"/>
      <c r="P1821" s="58"/>
      <c r="Q1821" s="58"/>
      <c r="R1821" s="58"/>
      <c r="S1821" s="58"/>
      <c r="T1821" s="58"/>
      <c r="U1821" s="58"/>
      <c r="V1821" s="58"/>
    </row>
    <row r="1822" spans="1:22" ht="15.75" customHeight="1">
      <c r="A1822" s="58"/>
      <c r="B1822" s="58"/>
      <c r="C1822" s="528"/>
      <c r="D1822" s="58"/>
      <c r="E1822" s="704"/>
      <c r="F1822" s="223"/>
      <c r="G1822" s="199"/>
      <c r="H1822" s="224"/>
      <c r="I1822" s="498"/>
      <c r="J1822" s="547"/>
      <c r="K1822" s="547"/>
      <c r="L1822" s="227"/>
      <c r="M1822" s="740"/>
      <c r="N1822" s="224"/>
      <c r="O1822" s="58"/>
      <c r="P1822" s="58"/>
      <c r="Q1822" s="58"/>
      <c r="R1822" s="58"/>
      <c r="S1822" s="58"/>
      <c r="T1822" s="58"/>
      <c r="U1822" s="58"/>
      <c r="V1822" s="58"/>
    </row>
    <row r="1823" spans="1:22" ht="15.75" customHeight="1">
      <c r="A1823" s="58"/>
      <c r="B1823" s="58"/>
      <c r="C1823" s="528"/>
      <c r="D1823" s="58"/>
      <c r="E1823" s="704"/>
      <c r="F1823" s="223"/>
      <c r="G1823" s="199"/>
      <c r="H1823" s="224"/>
      <c r="I1823" s="498"/>
      <c r="J1823" s="547"/>
      <c r="K1823" s="547"/>
      <c r="L1823" s="227"/>
      <c r="M1823" s="740"/>
      <c r="N1823" s="224"/>
      <c r="O1823" s="58"/>
      <c r="P1823" s="58"/>
      <c r="Q1823" s="58"/>
      <c r="R1823" s="58"/>
      <c r="S1823" s="58"/>
      <c r="T1823" s="58"/>
      <c r="U1823" s="58"/>
      <c r="V1823" s="58"/>
    </row>
    <row r="1824" spans="1:22" ht="15.75" customHeight="1">
      <c r="A1824" s="58"/>
      <c r="B1824" s="58"/>
      <c r="C1824" s="528"/>
      <c r="D1824" s="58"/>
      <c r="E1824" s="704"/>
      <c r="F1824" s="223"/>
      <c r="G1824" s="199"/>
      <c r="H1824" s="224"/>
      <c r="I1824" s="498"/>
      <c r="J1824" s="547"/>
      <c r="K1824" s="547"/>
      <c r="L1824" s="227"/>
      <c r="M1824" s="740"/>
      <c r="N1824" s="224"/>
      <c r="O1824" s="58"/>
      <c r="P1824" s="58"/>
      <c r="Q1824" s="58"/>
      <c r="R1824" s="58"/>
      <c r="S1824" s="58"/>
      <c r="T1824" s="58"/>
      <c r="U1824" s="58"/>
      <c r="V1824" s="58"/>
    </row>
    <row r="1825" spans="1:22" ht="15.75" customHeight="1">
      <c r="A1825" s="58"/>
      <c r="B1825" s="58"/>
      <c r="C1825" s="528"/>
      <c r="D1825" s="58"/>
      <c r="E1825" s="704"/>
      <c r="F1825" s="223"/>
      <c r="G1825" s="199"/>
      <c r="H1825" s="224"/>
      <c r="I1825" s="498"/>
      <c r="J1825" s="547"/>
      <c r="K1825" s="547"/>
      <c r="L1825" s="227"/>
      <c r="M1825" s="740"/>
      <c r="N1825" s="224"/>
      <c r="O1825" s="58"/>
      <c r="P1825" s="58"/>
      <c r="Q1825" s="58"/>
      <c r="R1825" s="58"/>
      <c r="S1825" s="58"/>
      <c r="T1825" s="58"/>
      <c r="U1825" s="58"/>
      <c r="V1825" s="58"/>
    </row>
    <row r="1826" spans="1:22" ht="15.75" customHeight="1">
      <c r="A1826" s="58"/>
      <c r="B1826" s="58"/>
      <c r="C1826" s="528"/>
      <c r="D1826" s="58"/>
      <c r="E1826" s="704"/>
      <c r="F1826" s="223"/>
      <c r="G1826" s="199"/>
      <c r="H1826" s="224"/>
      <c r="I1826" s="498"/>
      <c r="J1826" s="547"/>
      <c r="K1826" s="547"/>
      <c r="L1826" s="227"/>
      <c r="M1826" s="740"/>
      <c r="N1826" s="224"/>
      <c r="O1826" s="58"/>
      <c r="P1826" s="58"/>
      <c r="Q1826" s="58"/>
      <c r="R1826" s="58"/>
      <c r="S1826" s="58"/>
      <c r="T1826" s="58"/>
      <c r="U1826" s="58"/>
      <c r="V1826" s="58"/>
    </row>
    <row r="1827" spans="1:22" ht="15.75" customHeight="1">
      <c r="A1827" s="58"/>
      <c r="B1827" s="58"/>
      <c r="C1827" s="528"/>
      <c r="D1827" s="58"/>
      <c r="E1827" s="704"/>
      <c r="F1827" s="223"/>
      <c r="G1827" s="199"/>
      <c r="H1827" s="224"/>
      <c r="I1827" s="498"/>
      <c r="J1827" s="547"/>
      <c r="K1827" s="547"/>
      <c r="L1827" s="227"/>
      <c r="M1827" s="740"/>
      <c r="N1827" s="224"/>
      <c r="O1827" s="58"/>
      <c r="P1827" s="58"/>
      <c r="Q1827" s="58"/>
      <c r="R1827" s="58"/>
      <c r="S1827" s="58"/>
      <c r="T1827" s="58"/>
      <c r="U1827" s="58"/>
      <c r="V1827" s="58"/>
    </row>
    <row r="1828" spans="1:22" ht="15.75" customHeight="1">
      <c r="A1828" s="58"/>
      <c r="B1828" s="58"/>
      <c r="C1828" s="528"/>
      <c r="D1828" s="58"/>
      <c r="E1828" s="704"/>
      <c r="F1828" s="223"/>
      <c r="G1828" s="199"/>
      <c r="H1828" s="224"/>
      <c r="I1828" s="498"/>
      <c r="J1828" s="547"/>
      <c r="K1828" s="547"/>
      <c r="L1828" s="227"/>
      <c r="M1828" s="740"/>
      <c r="N1828" s="224"/>
      <c r="O1828" s="58"/>
      <c r="P1828" s="58"/>
      <c r="Q1828" s="58"/>
      <c r="R1828" s="58"/>
      <c r="S1828" s="58"/>
      <c r="T1828" s="58"/>
      <c r="U1828" s="58"/>
      <c r="V1828" s="58"/>
    </row>
    <row r="1829" spans="1:22" ht="15.75" customHeight="1">
      <c r="A1829" s="58"/>
      <c r="B1829" s="58"/>
      <c r="C1829" s="528"/>
      <c r="D1829" s="58"/>
      <c r="E1829" s="704"/>
      <c r="F1829" s="223"/>
      <c r="G1829" s="199"/>
      <c r="H1829" s="224"/>
      <c r="I1829" s="498"/>
      <c r="J1829" s="547"/>
      <c r="K1829" s="547"/>
      <c r="L1829" s="227"/>
      <c r="M1829" s="740"/>
      <c r="N1829" s="224"/>
      <c r="O1829" s="58"/>
      <c r="P1829" s="58"/>
      <c r="Q1829" s="58"/>
      <c r="R1829" s="58"/>
      <c r="S1829" s="58"/>
      <c r="T1829" s="58"/>
      <c r="U1829" s="58"/>
      <c r="V1829" s="58"/>
    </row>
    <row r="1830" spans="1:22" ht="15.75" customHeight="1">
      <c r="A1830" s="58"/>
      <c r="B1830" s="58"/>
      <c r="C1830" s="528"/>
      <c r="D1830" s="58"/>
      <c r="E1830" s="704"/>
      <c r="F1830" s="223"/>
      <c r="G1830" s="199"/>
      <c r="H1830" s="224"/>
      <c r="I1830" s="498"/>
      <c r="J1830" s="547"/>
      <c r="K1830" s="547"/>
      <c r="L1830" s="227"/>
      <c r="M1830" s="740"/>
      <c r="N1830" s="224"/>
      <c r="O1830" s="58"/>
      <c r="P1830" s="58"/>
      <c r="Q1830" s="58"/>
      <c r="R1830" s="58"/>
      <c r="S1830" s="58"/>
      <c r="T1830" s="58"/>
      <c r="U1830" s="58"/>
      <c r="V1830" s="58"/>
    </row>
    <row r="1831" spans="1:22" ht="15.75" customHeight="1">
      <c r="A1831" s="58"/>
      <c r="B1831" s="58"/>
      <c r="C1831" s="528"/>
      <c r="D1831" s="58"/>
      <c r="E1831" s="704"/>
      <c r="F1831" s="223"/>
      <c r="G1831" s="199"/>
      <c r="H1831" s="224"/>
      <c r="I1831" s="498"/>
      <c r="J1831" s="547"/>
      <c r="K1831" s="547"/>
      <c r="L1831" s="227"/>
      <c r="M1831" s="740"/>
      <c r="N1831" s="224"/>
      <c r="O1831" s="58"/>
      <c r="P1831" s="58"/>
      <c r="Q1831" s="58"/>
      <c r="R1831" s="58"/>
      <c r="S1831" s="58"/>
      <c r="T1831" s="58"/>
      <c r="U1831" s="58"/>
      <c r="V1831" s="58"/>
    </row>
    <row r="1832" spans="1:22" ht="15.75" customHeight="1">
      <c r="A1832" s="58"/>
      <c r="B1832" s="58"/>
      <c r="C1832" s="528"/>
      <c r="D1832" s="58"/>
      <c r="E1832" s="704"/>
      <c r="F1832" s="223"/>
      <c r="G1832" s="199"/>
      <c r="H1832" s="224"/>
      <c r="I1832" s="498"/>
      <c r="J1832" s="547"/>
      <c r="K1832" s="547"/>
      <c r="L1832" s="227"/>
      <c r="M1832" s="740"/>
      <c r="N1832" s="224"/>
      <c r="O1832" s="58"/>
      <c r="P1832" s="58"/>
      <c r="Q1832" s="58"/>
      <c r="R1832" s="58"/>
      <c r="S1832" s="58"/>
      <c r="T1832" s="58"/>
      <c r="U1832" s="58"/>
      <c r="V1832" s="58"/>
    </row>
    <row r="1833" spans="1:22" ht="15.75" customHeight="1">
      <c r="A1833" s="58"/>
      <c r="B1833" s="58"/>
      <c r="C1833" s="528"/>
      <c r="D1833" s="58"/>
      <c r="E1833" s="704"/>
      <c r="F1833" s="223"/>
      <c r="G1833" s="199"/>
      <c r="H1833" s="224"/>
      <c r="I1833" s="498"/>
      <c r="J1833" s="547"/>
      <c r="K1833" s="547"/>
      <c r="L1833" s="227"/>
      <c r="M1833" s="740"/>
      <c r="N1833" s="224"/>
      <c r="O1833" s="58"/>
      <c r="P1833" s="58"/>
      <c r="Q1833" s="58"/>
      <c r="R1833" s="58"/>
      <c r="S1833" s="58"/>
      <c r="T1833" s="58"/>
      <c r="U1833" s="58"/>
      <c r="V1833" s="58"/>
    </row>
    <row r="1834" spans="1:22" ht="15.75" customHeight="1">
      <c r="A1834" s="58"/>
      <c r="B1834" s="58"/>
      <c r="C1834" s="528"/>
      <c r="D1834" s="58"/>
      <c r="E1834" s="704"/>
      <c r="F1834" s="223"/>
      <c r="G1834" s="199"/>
      <c r="H1834" s="224"/>
      <c r="I1834" s="498"/>
      <c r="J1834" s="547"/>
      <c r="K1834" s="547"/>
      <c r="L1834" s="227"/>
      <c r="M1834" s="740"/>
      <c r="N1834" s="224"/>
      <c r="O1834" s="58"/>
      <c r="P1834" s="58"/>
      <c r="Q1834" s="58"/>
      <c r="R1834" s="58"/>
      <c r="S1834" s="58"/>
      <c r="T1834" s="58"/>
      <c r="U1834" s="58"/>
      <c r="V1834" s="58"/>
    </row>
    <row r="1835" spans="1:22" ht="15.75" customHeight="1">
      <c r="A1835" s="58"/>
      <c r="B1835" s="58"/>
      <c r="C1835" s="528"/>
      <c r="D1835" s="58"/>
      <c r="E1835" s="704"/>
      <c r="F1835" s="223"/>
      <c r="G1835" s="199"/>
      <c r="H1835" s="224"/>
      <c r="I1835" s="498"/>
      <c r="J1835" s="547"/>
      <c r="K1835" s="547"/>
      <c r="L1835" s="227"/>
      <c r="M1835" s="740"/>
      <c r="N1835" s="224"/>
      <c r="O1835" s="58"/>
      <c r="P1835" s="58"/>
      <c r="Q1835" s="58"/>
      <c r="R1835" s="58"/>
      <c r="S1835" s="58"/>
      <c r="T1835" s="58"/>
      <c r="U1835" s="58"/>
      <c r="V1835" s="58"/>
    </row>
    <row r="1836" spans="1:22" ht="15.75" customHeight="1">
      <c r="A1836" s="58"/>
      <c r="B1836" s="58"/>
      <c r="C1836" s="528"/>
      <c r="D1836" s="58"/>
      <c r="E1836" s="704"/>
      <c r="F1836" s="223"/>
      <c r="G1836" s="199"/>
      <c r="H1836" s="224"/>
      <c r="I1836" s="498"/>
      <c r="J1836" s="547"/>
      <c r="K1836" s="547"/>
      <c r="L1836" s="227"/>
      <c r="M1836" s="740"/>
      <c r="N1836" s="224"/>
      <c r="O1836" s="58"/>
      <c r="P1836" s="58"/>
      <c r="Q1836" s="58"/>
      <c r="R1836" s="58"/>
      <c r="S1836" s="58"/>
      <c r="T1836" s="58"/>
      <c r="U1836" s="58"/>
      <c r="V1836" s="58"/>
    </row>
    <row r="1837" spans="1:22" ht="15.75" customHeight="1">
      <c r="A1837" s="58"/>
      <c r="B1837" s="58"/>
      <c r="C1837" s="528"/>
      <c r="D1837" s="58"/>
      <c r="E1837" s="704"/>
      <c r="F1837" s="223"/>
      <c r="G1837" s="199"/>
      <c r="H1837" s="224"/>
      <c r="I1837" s="498"/>
      <c r="J1837" s="547"/>
      <c r="K1837" s="547"/>
      <c r="L1837" s="227"/>
      <c r="M1837" s="740"/>
      <c r="N1837" s="224"/>
      <c r="O1837" s="58"/>
      <c r="P1837" s="58"/>
      <c r="Q1837" s="58"/>
      <c r="R1837" s="58"/>
      <c r="S1837" s="58"/>
      <c r="T1837" s="58"/>
      <c r="U1837" s="58"/>
      <c r="V1837" s="58"/>
    </row>
    <row r="1838" spans="1:22" ht="15.75" customHeight="1">
      <c r="A1838" s="58"/>
      <c r="B1838" s="58"/>
      <c r="C1838" s="528"/>
      <c r="D1838" s="58"/>
      <c r="E1838" s="704"/>
      <c r="F1838" s="223"/>
      <c r="G1838" s="199"/>
      <c r="H1838" s="224"/>
      <c r="I1838" s="498"/>
      <c r="J1838" s="547"/>
      <c r="K1838" s="547"/>
      <c r="L1838" s="227"/>
      <c r="M1838" s="740"/>
      <c r="N1838" s="224"/>
      <c r="O1838" s="58"/>
      <c r="P1838" s="58"/>
      <c r="Q1838" s="58"/>
      <c r="R1838" s="58"/>
      <c r="S1838" s="58"/>
      <c r="T1838" s="58"/>
      <c r="U1838" s="58"/>
      <c r="V1838" s="58"/>
    </row>
    <row r="1839" spans="1:22" ht="15.75" customHeight="1">
      <c r="A1839" s="58"/>
      <c r="B1839" s="58"/>
      <c r="C1839" s="528"/>
      <c r="D1839" s="58"/>
      <c r="E1839" s="704"/>
      <c r="F1839" s="223"/>
      <c r="G1839" s="199"/>
      <c r="H1839" s="224"/>
      <c r="I1839" s="498"/>
      <c r="J1839" s="547"/>
      <c r="K1839" s="547"/>
      <c r="L1839" s="227"/>
      <c r="M1839" s="740"/>
      <c r="N1839" s="224"/>
      <c r="O1839" s="58"/>
      <c r="P1839" s="58"/>
      <c r="Q1839" s="58"/>
      <c r="R1839" s="58"/>
      <c r="S1839" s="58"/>
      <c r="T1839" s="58"/>
      <c r="U1839" s="58"/>
      <c r="V1839" s="58"/>
    </row>
    <row r="1840" spans="1:22" ht="15.75" customHeight="1">
      <c r="A1840" s="58"/>
      <c r="B1840" s="58"/>
      <c r="C1840" s="528"/>
      <c r="D1840" s="58"/>
      <c r="E1840" s="704"/>
      <c r="F1840" s="223"/>
      <c r="G1840" s="199"/>
      <c r="H1840" s="224"/>
      <c r="I1840" s="498"/>
      <c r="J1840" s="547"/>
      <c r="K1840" s="547"/>
      <c r="L1840" s="227"/>
      <c r="M1840" s="740"/>
      <c r="N1840" s="224"/>
      <c r="O1840" s="58"/>
      <c r="P1840" s="58"/>
      <c r="Q1840" s="58"/>
      <c r="R1840" s="58"/>
      <c r="S1840" s="58"/>
      <c r="T1840" s="58"/>
      <c r="U1840" s="58"/>
      <c r="V1840" s="58"/>
    </row>
    <row r="1841" spans="1:22" ht="15.75" customHeight="1">
      <c r="A1841" s="58"/>
      <c r="B1841" s="58"/>
      <c r="C1841" s="528"/>
      <c r="D1841" s="58"/>
      <c r="E1841" s="704"/>
      <c r="F1841" s="223"/>
      <c r="G1841" s="199"/>
      <c r="H1841" s="224"/>
      <c r="I1841" s="498"/>
      <c r="J1841" s="547"/>
      <c r="K1841" s="547"/>
      <c r="L1841" s="227"/>
      <c r="M1841" s="740"/>
      <c r="N1841" s="224"/>
      <c r="O1841" s="58"/>
      <c r="P1841" s="58"/>
      <c r="Q1841" s="58"/>
      <c r="R1841" s="58"/>
      <c r="S1841" s="58"/>
      <c r="T1841" s="58"/>
      <c r="U1841" s="58"/>
      <c r="V1841" s="58"/>
    </row>
    <row r="1842" spans="1:22" ht="15.75" customHeight="1">
      <c r="A1842" s="58"/>
      <c r="B1842" s="58"/>
      <c r="C1842" s="528"/>
      <c r="D1842" s="58"/>
      <c r="E1842" s="704"/>
      <c r="F1842" s="223"/>
      <c r="G1842" s="199"/>
      <c r="H1842" s="224"/>
      <c r="I1842" s="498"/>
      <c r="J1842" s="547"/>
      <c r="K1842" s="547"/>
      <c r="L1842" s="227"/>
      <c r="M1842" s="740"/>
      <c r="N1842" s="224"/>
      <c r="O1842" s="58"/>
      <c r="P1842" s="58"/>
      <c r="Q1842" s="58"/>
      <c r="R1842" s="58"/>
      <c r="S1842" s="58"/>
      <c r="T1842" s="58"/>
      <c r="U1842" s="58"/>
      <c r="V1842" s="58"/>
    </row>
    <row r="1843" spans="1:22" ht="15.75" customHeight="1">
      <c r="A1843" s="58"/>
      <c r="B1843" s="58"/>
      <c r="C1843" s="528"/>
      <c r="D1843" s="58"/>
      <c r="E1843" s="704"/>
      <c r="F1843" s="223"/>
      <c r="G1843" s="199"/>
      <c r="H1843" s="224"/>
      <c r="I1843" s="498"/>
      <c r="J1843" s="547"/>
      <c r="K1843" s="547"/>
      <c r="L1843" s="227"/>
      <c r="M1843" s="740"/>
      <c r="N1843" s="224"/>
      <c r="O1843" s="58"/>
      <c r="P1843" s="58"/>
      <c r="Q1843" s="58"/>
      <c r="R1843" s="58"/>
      <c r="S1843" s="58"/>
      <c r="T1843" s="58"/>
      <c r="U1843" s="58"/>
      <c r="V1843" s="58"/>
    </row>
    <row r="1844" spans="1:22" ht="15.75" customHeight="1">
      <c r="A1844" s="58"/>
      <c r="B1844" s="58"/>
      <c r="C1844" s="528"/>
      <c r="D1844" s="58"/>
      <c r="E1844" s="704"/>
      <c r="F1844" s="223"/>
      <c r="G1844" s="199"/>
      <c r="H1844" s="224"/>
      <c r="I1844" s="498"/>
      <c r="J1844" s="547"/>
      <c r="K1844" s="547"/>
      <c r="L1844" s="227"/>
      <c r="M1844" s="740"/>
      <c r="N1844" s="224"/>
      <c r="O1844" s="58"/>
      <c r="P1844" s="58"/>
      <c r="Q1844" s="58"/>
      <c r="R1844" s="58"/>
      <c r="S1844" s="58"/>
      <c r="T1844" s="58"/>
      <c r="U1844" s="58"/>
      <c r="V1844" s="58"/>
    </row>
    <row r="1845" spans="1:22" ht="15.75" customHeight="1">
      <c r="A1845" s="58"/>
      <c r="B1845" s="58"/>
      <c r="C1845" s="528"/>
      <c r="D1845" s="58"/>
      <c r="E1845" s="704"/>
      <c r="F1845" s="223"/>
      <c r="G1845" s="199"/>
      <c r="H1845" s="224"/>
      <c r="I1845" s="498"/>
      <c r="J1845" s="547"/>
      <c r="K1845" s="547"/>
      <c r="L1845" s="227"/>
      <c r="M1845" s="740"/>
      <c r="N1845" s="224"/>
      <c r="O1845" s="58"/>
      <c r="P1845" s="58"/>
      <c r="Q1845" s="58"/>
      <c r="R1845" s="58"/>
      <c r="S1845" s="58"/>
      <c r="T1845" s="58"/>
      <c r="U1845" s="58"/>
      <c r="V1845" s="58"/>
    </row>
    <row r="1846" spans="1:22" ht="15.75" customHeight="1">
      <c r="A1846" s="58"/>
      <c r="B1846" s="58"/>
      <c r="C1846" s="528"/>
      <c r="D1846" s="58"/>
      <c r="E1846" s="704"/>
      <c r="F1846" s="223"/>
      <c r="G1846" s="199"/>
      <c r="H1846" s="224"/>
      <c r="I1846" s="498"/>
      <c r="J1846" s="547"/>
      <c r="K1846" s="547"/>
      <c r="L1846" s="227"/>
      <c r="M1846" s="740"/>
      <c r="N1846" s="224"/>
      <c r="O1846" s="58"/>
      <c r="P1846" s="58"/>
      <c r="Q1846" s="58"/>
      <c r="R1846" s="58"/>
      <c r="S1846" s="58"/>
      <c r="T1846" s="58"/>
      <c r="U1846" s="58"/>
      <c r="V1846" s="58"/>
    </row>
    <row r="1847" spans="1:22" ht="15.75" customHeight="1">
      <c r="A1847" s="58"/>
      <c r="B1847" s="58"/>
      <c r="C1847" s="528"/>
      <c r="D1847" s="58"/>
      <c r="E1847" s="704"/>
      <c r="F1847" s="223"/>
      <c r="G1847" s="199"/>
      <c r="H1847" s="224"/>
      <c r="I1847" s="498"/>
      <c r="J1847" s="547"/>
      <c r="K1847" s="547"/>
      <c r="L1847" s="227"/>
      <c r="M1847" s="740"/>
      <c r="N1847" s="224"/>
      <c r="O1847" s="58"/>
      <c r="P1847" s="58"/>
      <c r="Q1847" s="58"/>
      <c r="R1847" s="58"/>
      <c r="S1847" s="58"/>
      <c r="T1847" s="58"/>
      <c r="U1847" s="58"/>
      <c r="V1847" s="58"/>
    </row>
    <row r="1848" spans="1:22" ht="15.75" customHeight="1">
      <c r="A1848" s="58"/>
      <c r="B1848" s="58"/>
      <c r="C1848" s="528"/>
      <c r="D1848" s="58"/>
      <c r="E1848" s="704"/>
      <c r="F1848" s="223"/>
      <c r="G1848" s="199"/>
      <c r="H1848" s="224"/>
      <c r="I1848" s="498"/>
      <c r="J1848" s="547"/>
      <c r="K1848" s="547"/>
      <c r="L1848" s="227"/>
      <c r="M1848" s="740"/>
      <c r="N1848" s="224"/>
      <c r="O1848" s="58"/>
      <c r="P1848" s="58"/>
      <c r="Q1848" s="58"/>
      <c r="R1848" s="58"/>
      <c r="S1848" s="58"/>
      <c r="T1848" s="58"/>
      <c r="U1848" s="58"/>
      <c r="V1848" s="58"/>
    </row>
    <row r="1849" spans="1:22" ht="15.75" customHeight="1">
      <c r="A1849" s="58"/>
      <c r="B1849" s="58"/>
      <c r="C1849" s="528"/>
      <c r="D1849" s="58"/>
      <c r="E1849" s="704"/>
      <c r="F1849" s="223"/>
      <c r="G1849" s="199"/>
      <c r="H1849" s="224"/>
      <c r="I1849" s="498"/>
      <c r="J1849" s="547"/>
      <c r="K1849" s="547"/>
      <c r="L1849" s="227"/>
      <c r="M1849" s="740"/>
      <c r="N1849" s="224"/>
      <c r="O1849" s="58"/>
      <c r="P1849" s="58"/>
      <c r="Q1849" s="58"/>
      <c r="R1849" s="58"/>
      <c r="S1849" s="58"/>
      <c r="T1849" s="58"/>
      <c r="U1849" s="58"/>
      <c r="V1849" s="58"/>
    </row>
    <row r="1850" spans="1:22" ht="15.75" customHeight="1">
      <c r="A1850" s="58"/>
      <c r="B1850" s="58"/>
      <c r="C1850" s="528"/>
      <c r="D1850" s="58"/>
      <c r="E1850" s="704"/>
      <c r="F1850" s="223"/>
      <c r="G1850" s="199"/>
      <c r="H1850" s="224"/>
      <c r="I1850" s="498"/>
      <c r="J1850" s="547"/>
      <c r="K1850" s="547"/>
      <c r="L1850" s="227"/>
      <c r="M1850" s="740"/>
      <c r="N1850" s="224"/>
      <c r="O1850" s="58"/>
      <c r="P1850" s="58"/>
      <c r="Q1850" s="58"/>
      <c r="R1850" s="58"/>
      <c r="S1850" s="58"/>
      <c r="T1850" s="58"/>
      <c r="U1850" s="58"/>
      <c r="V1850" s="58"/>
    </row>
    <row r="1851" spans="1:22" ht="15.75" customHeight="1">
      <c r="A1851" s="58"/>
      <c r="B1851" s="58"/>
      <c r="C1851" s="528"/>
      <c r="D1851" s="58"/>
      <c r="E1851" s="704"/>
      <c r="F1851" s="223"/>
      <c r="G1851" s="199"/>
      <c r="H1851" s="224"/>
      <c r="I1851" s="498"/>
      <c r="J1851" s="547"/>
      <c r="K1851" s="547"/>
      <c r="L1851" s="227"/>
      <c r="M1851" s="740"/>
      <c r="N1851" s="224"/>
      <c r="O1851" s="58"/>
      <c r="P1851" s="58"/>
      <c r="Q1851" s="58"/>
      <c r="R1851" s="58"/>
      <c r="S1851" s="58"/>
      <c r="T1851" s="58"/>
      <c r="U1851" s="58"/>
      <c r="V1851" s="58"/>
    </row>
    <row r="1852" spans="1:22" ht="15.75" customHeight="1">
      <c r="A1852" s="58"/>
      <c r="B1852" s="58"/>
      <c r="C1852" s="528"/>
      <c r="D1852" s="58"/>
      <c r="E1852" s="704"/>
      <c r="F1852" s="223"/>
      <c r="G1852" s="199"/>
      <c r="H1852" s="224"/>
      <c r="I1852" s="498"/>
      <c r="J1852" s="547"/>
      <c r="K1852" s="547"/>
      <c r="L1852" s="227"/>
      <c r="M1852" s="740"/>
      <c r="N1852" s="224"/>
      <c r="O1852" s="58"/>
      <c r="P1852" s="58"/>
      <c r="Q1852" s="58"/>
      <c r="R1852" s="58"/>
      <c r="S1852" s="58"/>
      <c r="T1852" s="58"/>
      <c r="U1852" s="58"/>
      <c r="V1852" s="58"/>
    </row>
    <row r="1853" spans="1:22" ht="15.75" customHeight="1">
      <c r="A1853" s="58"/>
      <c r="B1853" s="58"/>
      <c r="C1853" s="528"/>
      <c r="D1853" s="58"/>
      <c r="E1853" s="704"/>
      <c r="F1853" s="223"/>
      <c r="G1853" s="199"/>
      <c r="H1853" s="224"/>
      <c r="I1853" s="498"/>
      <c r="J1853" s="547"/>
      <c r="K1853" s="547"/>
      <c r="L1853" s="227"/>
      <c r="M1853" s="740"/>
      <c r="N1853" s="224"/>
      <c r="O1853" s="58"/>
      <c r="P1853" s="58"/>
      <c r="Q1853" s="58"/>
      <c r="R1853" s="58"/>
      <c r="S1853" s="58"/>
      <c r="T1853" s="58"/>
      <c r="U1853" s="58"/>
      <c r="V1853" s="58"/>
    </row>
    <row r="1854" spans="1:22" ht="15.75" customHeight="1">
      <c r="A1854" s="58"/>
      <c r="B1854" s="58"/>
      <c r="C1854" s="528"/>
      <c r="D1854" s="58"/>
      <c r="E1854" s="704"/>
      <c r="F1854" s="223"/>
      <c r="G1854" s="199"/>
      <c r="H1854" s="224"/>
      <c r="I1854" s="498"/>
      <c r="J1854" s="547"/>
      <c r="K1854" s="547"/>
      <c r="L1854" s="227"/>
      <c r="M1854" s="740"/>
      <c r="N1854" s="224"/>
      <c r="O1854" s="58"/>
      <c r="P1854" s="58"/>
      <c r="Q1854" s="58"/>
      <c r="R1854" s="58"/>
      <c r="S1854" s="58"/>
      <c r="T1854" s="58"/>
      <c r="U1854" s="58"/>
      <c r="V1854" s="58"/>
    </row>
    <row r="1855" spans="1:22" ht="15.75" customHeight="1">
      <c r="A1855" s="58"/>
      <c r="B1855" s="58"/>
      <c r="C1855" s="528"/>
      <c r="D1855" s="58"/>
      <c r="E1855" s="704"/>
      <c r="F1855" s="223"/>
      <c r="G1855" s="199"/>
      <c r="H1855" s="224"/>
      <c r="I1855" s="498"/>
      <c r="J1855" s="547"/>
      <c r="K1855" s="547"/>
      <c r="L1855" s="227"/>
      <c r="M1855" s="740"/>
      <c r="N1855" s="224"/>
      <c r="O1855" s="58"/>
      <c r="P1855" s="58"/>
      <c r="Q1855" s="58"/>
      <c r="R1855" s="58"/>
      <c r="S1855" s="58"/>
      <c r="T1855" s="58"/>
      <c r="U1855" s="58"/>
      <c r="V1855" s="58"/>
    </row>
    <row r="1856" spans="1:22" ht="15.75" customHeight="1">
      <c r="A1856" s="58"/>
      <c r="B1856" s="58"/>
      <c r="C1856" s="528"/>
      <c r="D1856" s="58"/>
      <c r="E1856" s="704"/>
      <c r="F1856" s="223"/>
      <c r="G1856" s="199"/>
      <c r="H1856" s="224"/>
      <c r="I1856" s="498"/>
      <c r="J1856" s="547"/>
      <c r="K1856" s="547"/>
      <c r="L1856" s="227"/>
      <c r="M1856" s="740"/>
      <c r="N1856" s="224"/>
      <c r="O1856" s="58"/>
      <c r="P1856" s="58"/>
      <c r="Q1856" s="58"/>
      <c r="R1856" s="58"/>
      <c r="S1856" s="58"/>
      <c r="T1856" s="58"/>
      <c r="U1856" s="58"/>
      <c r="V1856" s="58"/>
    </row>
    <row r="1857" spans="1:22" ht="15.75" customHeight="1">
      <c r="A1857" s="58"/>
      <c r="B1857" s="58"/>
      <c r="C1857" s="528"/>
      <c r="D1857" s="58"/>
      <c r="E1857" s="704"/>
      <c r="F1857" s="223"/>
      <c r="G1857" s="199"/>
      <c r="H1857" s="224"/>
      <c r="I1857" s="498"/>
      <c r="J1857" s="547"/>
      <c r="K1857" s="547"/>
      <c r="L1857" s="227"/>
      <c r="M1857" s="740"/>
      <c r="N1857" s="224"/>
      <c r="O1857" s="58"/>
      <c r="P1857" s="58"/>
      <c r="Q1857" s="58"/>
      <c r="R1857" s="58"/>
      <c r="S1857" s="58"/>
      <c r="T1857" s="58"/>
      <c r="U1857" s="58"/>
      <c r="V1857" s="58"/>
    </row>
    <row r="1858" spans="1:22" ht="15.75" customHeight="1">
      <c r="A1858" s="58"/>
      <c r="B1858" s="58"/>
      <c r="C1858" s="528"/>
      <c r="D1858" s="58"/>
      <c r="E1858" s="704"/>
      <c r="F1858" s="223"/>
      <c r="G1858" s="199"/>
      <c r="H1858" s="224"/>
      <c r="I1858" s="498"/>
      <c r="J1858" s="547"/>
      <c r="K1858" s="547"/>
      <c r="L1858" s="227"/>
      <c r="M1858" s="740"/>
      <c r="N1858" s="224"/>
      <c r="O1858" s="58"/>
      <c r="P1858" s="58"/>
      <c r="Q1858" s="58"/>
      <c r="R1858" s="58"/>
      <c r="S1858" s="58"/>
      <c r="T1858" s="58"/>
      <c r="U1858" s="58"/>
      <c r="V1858" s="58"/>
    </row>
    <row r="1859" spans="1:22" ht="15.75" customHeight="1">
      <c r="A1859" s="58"/>
      <c r="B1859" s="58"/>
      <c r="C1859" s="528"/>
      <c r="D1859" s="58"/>
      <c r="E1859" s="704"/>
      <c r="F1859" s="223"/>
      <c r="G1859" s="199"/>
      <c r="H1859" s="224"/>
      <c r="I1859" s="498"/>
      <c r="J1859" s="547"/>
      <c r="K1859" s="547"/>
      <c r="L1859" s="227"/>
      <c r="M1859" s="740"/>
      <c r="N1859" s="224"/>
      <c r="O1859" s="58"/>
      <c r="P1859" s="58"/>
      <c r="Q1859" s="58"/>
      <c r="R1859" s="58"/>
      <c r="S1859" s="58"/>
      <c r="T1859" s="58"/>
      <c r="U1859" s="58"/>
      <c r="V1859" s="58"/>
    </row>
    <row r="1860" spans="1:22" ht="15.75" customHeight="1">
      <c r="A1860" s="58"/>
      <c r="B1860" s="58"/>
      <c r="C1860" s="528"/>
      <c r="D1860" s="58"/>
      <c r="E1860" s="704"/>
      <c r="F1860" s="223"/>
      <c r="G1860" s="199"/>
      <c r="H1860" s="224"/>
      <c r="I1860" s="498"/>
      <c r="J1860" s="547"/>
      <c r="K1860" s="547"/>
      <c r="L1860" s="227"/>
      <c r="M1860" s="740"/>
      <c r="N1860" s="224"/>
      <c r="O1860" s="58"/>
      <c r="P1860" s="58"/>
      <c r="Q1860" s="58"/>
      <c r="R1860" s="58"/>
      <c r="S1860" s="58"/>
      <c r="T1860" s="58"/>
      <c r="U1860" s="58"/>
      <c r="V1860" s="58"/>
    </row>
    <row r="1861" spans="1:22" ht="15.75" customHeight="1">
      <c r="A1861" s="58"/>
      <c r="B1861" s="58"/>
      <c r="C1861" s="528"/>
      <c r="D1861" s="58"/>
      <c r="E1861" s="704"/>
      <c r="F1861" s="223"/>
      <c r="G1861" s="199"/>
      <c r="H1861" s="224"/>
      <c r="I1861" s="498"/>
      <c r="J1861" s="547"/>
      <c r="K1861" s="547"/>
      <c r="L1861" s="227"/>
      <c r="M1861" s="740"/>
      <c r="N1861" s="224"/>
      <c r="O1861" s="58"/>
      <c r="P1861" s="58"/>
      <c r="Q1861" s="58"/>
      <c r="R1861" s="58"/>
      <c r="S1861" s="58"/>
      <c r="T1861" s="58"/>
      <c r="U1861" s="58"/>
      <c r="V1861" s="58"/>
    </row>
    <row r="1862" spans="1:22" ht="15.75" customHeight="1">
      <c r="A1862" s="58"/>
      <c r="B1862" s="58"/>
      <c r="C1862" s="528"/>
      <c r="D1862" s="58"/>
      <c r="E1862" s="704"/>
      <c r="F1862" s="223"/>
      <c r="G1862" s="199"/>
      <c r="H1862" s="224"/>
      <c r="I1862" s="498"/>
      <c r="J1862" s="547"/>
      <c r="K1862" s="547"/>
      <c r="L1862" s="227"/>
      <c r="M1862" s="740"/>
      <c r="N1862" s="224"/>
      <c r="O1862" s="58"/>
      <c r="P1862" s="58"/>
      <c r="Q1862" s="58"/>
      <c r="R1862" s="58"/>
      <c r="S1862" s="58"/>
      <c r="T1862" s="58"/>
      <c r="U1862" s="58"/>
      <c r="V1862" s="58"/>
    </row>
    <row r="1863" spans="1:22" ht="15.75" customHeight="1">
      <c r="A1863" s="58"/>
      <c r="B1863" s="58"/>
      <c r="C1863" s="528"/>
      <c r="D1863" s="58"/>
      <c r="E1863" s="704"/>
      <c r="F1863" s="223"/>
      <c r="G1863" s="199"/>
      <c r="H1863" s="224"/>
      <c r="I1863" s="498"/>
      <c r="J1863" s="547"/>
      <c r="K1863" s="547"/>
      <c r="L1863" s="227"/>
      <c r="M1863" s="740"/>
      <c r="N1863" s="224"/>
      <c r="O1863" s="58"/>
      <c r="P1863" s="58"/>
      <c r="Q1863" s="58"/>
      <c r="R1863" s="58"/>
      <c r="S1863" s="58"/>
      <c r="T1863" s="58"/>
      <c r="U1863" s="58"/>
      <c r="V1863" s="58"/>
    </row>
    <row r="1864" spans="1:22" ht="15.75" customHeight="1">
      <c r="A1864" s="58"/>
      <c r="B1864" s="58"/>
      <c r="C1864" s="528"/>
      <c r="D1864" s="58"/>
      <c r="E1864" s="704"/>
      <c r="F1864" s="223"/>
      <c r="G1864" s="199"/>
      <c r="H1864" s="224"/>
      <c r="I1864" s="498"/>
      <c r="J1864" s="547"/>
      <c r="K1864" s="547"/>
      <c r="L1864" s="227"/>
      <c r="M1864" s="740"/>
      <c r="N1864" s="224"/>
      <c r="O1864" s="58"/>
      <c r="P1864" s="58"/>
      <c r="Q1864" s="58"/>
      <c r="R1864" s="58"/>
      <c r="S1864" s="58"/>
      <c r="T1864" s="58"/>
      <c r="U1864" s="58"/>
      <c r="V1864" s="58"/>
    </row>
    <row r="1865" spans="1:22" ht="15.75" customHeight="1">
      <c r="A1865" s="58"/>
      <c r="B1865" s="58"/>
      <c r="C1865" s="528"/>
      <c r="D1865" s="58"/>
      <c r="E1865" s="704"/>
      <c r="F1865" s="223"/>
      <c r="G1865" s="199"/>
      <c r="H1865" s="224"/>
      <c r="I1865" s="498"/>
      <c r="J1865" s="547"/>
      <c r="K1865" s="547"/>
      <c r="L1865" s="227"/>
      <c r="M1865" s="740"/>
      <c r="N1865" s="224"/>
      <c r="O1865" s="58"/>
      <c r="P1865" s="58"/>
      <c r="Q1865" s="58"/>
      <c r="R1865" s="58"/>
      <c r="S1865" s="58"/>
      <c r="T1865" s="58"/>
      <c r="U1865" s="58"/>
      <c r="V1865" s="58"/>
    </row>
    <row r="1866" spans="1:22" ht="15.75" customHeight="1">
      <c r="A1866" s="58"/>
      <c r="B1866" s="58"/>
      <c r="C1866" s="528"/>
      <c r="D1866" s="58"/>
      <c r="E1866" s="704"/>
      <c r="F1866" s="223"/>
      <c r="G1866" s="199"/>
      <c r="H1866" s="224"/>
      <c r="I1866" s="498"/>
      <c r="J1866" s="547"/>
      <c r="K1866" s="547"/>
      <c r="L1866" s="227"/>
      <c r="M1866" s="740"/>
      <c r="N1866" s="224"/>
      <c r="O1866" s="58"/>
      <c r="P1866" s="58"/>
      <c r="Q1866" s="58"/>
      <c r="R1866" s="58"/>
      <c r="S1866" s="58"/>
      <c r="T1866" s="58"/>
      <c r="U1866" s="58"/>
      <c r="V1866" s="58"/>
    </row>
    <row r="1867" spans="1:22" ht="15.75" customHeight="1">
      <c r="A1867" s="58"/>
      <c r="B1867" s="58"/>
      <c r="C1867" s="528"/>
      <c r="D1867" s="58"/>
      <c r="E1867" s="704"/>
      <c r="F1867" s="223"/>
      <c r="G1867" s="199"/>
      <c r="H1867" s="224"/>
      <c r="I1867" s="498"/>
      <c r="J1867" s="547"/>
      <c r="K1867" s="547"/>
      <c r="L1867" s="227"/>
      <c r="M1867" s="740"/>
      <c r="N1867" s="224"/>
      <c r="O1867" s="58"/>
      <c r="P1867" s="58"/>
      <c r="Q1867" s="58"/>
      <c r="R1867" s="58"/>
      <c r="S1867" s="58"/>
      <c r="T1867" s="58"/>
      <c r="U1867" s="58"/>
      <c r="V1867" s="58"/>
    </row>
    <row r="1868" spans="1:22" ht="15.75" customHeight="1">
      <c r="A1868" s="58"/>
      <c r="B1868" s="58"/>
      <c r="C1868" s="528"/>
      <c r="D1868" s="58"/>
      <c r="E1868" s="704"/>
      <c r="F1868" s="223"/>
      <c r="G1868" s="199"/>
      <c r="H1868" s="224"/>
      <c r="I1868" s="498"/>
      <c r="J1868" s="547"/>
      <c r="K1868" s="547"/>
      <c r="L1868" s="227"/>
      <c r="M1868" s="740"/>
      <c r="N1868" s="224"/>
      <c r="O1868" s="58"/>
      <c r="P1868" s="58"/>
      <c r="Q1868" s="58"/>
      <c r="R1868" s="58"/>
      <c r="S1868" s="58"/>
      <c r="T1868" s="58"/>
      <c r="U1868" s="58"/>
      <c r="V1868" s="58"/>
    </row>
    <row r="1869" spans="1:22" ht="15.75" customHeight="1">
      <c r="A1869" s="58"/>
      <c r="B1869" s="58"/>
      <c r="C1869" s="528"/>
      <c r="D1869" s="58"/>
      <c r="E1869" s="704"/>
      <c r="F1869" s="223"/>
      <c r="G1869" s="199"/>
      <c r="H1869" s="224"/>
      <c r="I1869" s="498"/>
      <c r="J1869" s="547"/>
      <c r="K1869" s="547"/>
      <c r="L1869" s="227"/>
      <c r="M1869" s="740"/>
      <c r="N1869" s="224"/>
      <c r="O1869" s="58"/>
      <c r="P1869" s="58"/>
      <c r="Q1869" s="58"/>
      <c r="R1869" s="58"/>
      <c r="S1869" s="58"/>
      <c r="T1869" s="58"/>
      <c r="U1869" s="58"/>
      <c r="V1869" s="58"/>
    </row>
    <row r="1870" spans="1:22" ht="15.75" customHeight="1">
      <c r="A1870" s="58"/>
      <c r="B1870" s="58"/>
      <c r="C1870" s="528"/>
      <c r="D1870" s="58"/>
      <c r="E1870" s="704"/>
      <c r="F1870" s="223"/>
      <c r="G1870" s="199"/>
      <c r="H1870" s="224"/>
      <c r="I1870" s="498"/>
      <c r="J1870" s="547"/>
      <c r="K1870" s="547"/>
      <c r="L1870" s="227"/>
      <c r="M1870" s="740"/>
      <c r="N1870" s="224"/>
      <c r="O1870" s="58"/>
      <c r="P1870" s="58"/>
      <c r="Q1870" s="58"/>
      <c r="R1870" s="58"/>
      <c r="S1870" s="58"/>
      <c r="T1870" s="58"/>
      <c r="U1870" s="58"/>
      <c r="V1870" s="58"/>
    </row>
    <row r="1871" spans="1:22" ht="15.75" customHeight="1">
      <c r="A1871" s="58"/>
      <c r="B1871" s="58"/>
      <c r="C1871" s="528"/>
      <c r="D1871" s="58"/>
      <c r="E1871" s="704"/>
      <c r="F1871" s="223"/>
      <c r="G1871" s="199"/>
      <c r="H1871" s="224"/>
      <c r="I1871" s="498"/>
      <c r="J1871" s="547"/>
      <c r="K1871" s="547"/>
      <c r="L1871" s="227"/>
      <c r="M1871" s="740"/>
      <c r="N1871" s="224"/>
      <c r="O1871" s="58"/>
      <c r="P1871" s="58"/>
      <c r="Q1871" s="58"/>
      <c r="R1871" s="58"/>
      <c r="S1871" s="58"/>
      <c r="T1871" s="58"/>
      <c r="U1871" s="58"/>
      <c r="V1871" s="58"/>
    </row>
    <row r="1872" spans="1:22" ht="15.75" customHeight="1">
      <c r="A1872" s="58"/>
      <c r="B1872" s="58"/>
      <c r="C1872" s="528"/>
      <c r="D1872" s="58"/>
      <c r="E1872" s="704"/>
      <c r="F1872" s="223"/>
      <c r="G1872" s="199"/>
      <c r="H1872" s="224"/>
      <c r="I1872" s="498"/>
      <c r="J1872" s="547"/>
      <c r="K1872" s="547"/>
      <c r="L1872" s="227"/>
      <c r="M1872" s="740"/>
      <c r="N1872" s="224"/>
      <c r="O1872" s="58"/>
      <c r="P1872" s="58"/>
      <c r="Q1872" s="58"/>
      <c r="R1872" s="58"/>
      <c r="S1872" s="58"/>
      <c r="T1872" s="58"/>
      <c r="U1872" s="58"/>
      <c r="V1872" s="58"/>
    </row>
    <row r="1873" spans="1:22" ht="15.75" customHeight="1">
      <c r="A1873" s="58"/>
      <c r="B1873" s="58"/>
      <c r="C1873" s="528"/>
      <c r="D1873" s="58"/>
      <c r="E1873" s="704"/>
      <c r="F1873" s="223"/>
      <c r="G1873" s="199"/>
      <c r="H1873" s="224"/>
      <c r="I1873" s="498"/>
      <c r="J1873" s="547"/>
      <c r="K1873" s="547"/>
      <c r="L1873" s="227"/>
      <c r="M1873" s="740"/>
      <c r="N1873" s="224"/>
      <c r="O1873" s="58"/>
      <c r="P1873" s="58"/>
      <c r="Q1873" s="58"/>
      <c r="R1873" s="58"/>
      <c r="S1873" s="58"/>
      <c r="T1873" s="58"/>
      <c r="U1873" s="58"/>
      <c r="V1873" s="58"/>
    </row>
    <row r="1874" spans="1:22" ht="15.75" customHeight="1">
      <c r="A1874" s="58"/>
      <c r="B1874" s="58"/>
      <c r="C1874" s="528"/>
      <c r="D1874" s="58"/>
      <c r="E1874" s="704"/>
      <c r="F1874" s="223"/>
      <c r="G1874" s="199"/>
      <c r="H1874" s="224"/>
      <c r="I1874" s="498"/>
      <c r="J1874" s="547"/>
      <c r="K1874" s="547"/>
      <c r="L1874" s="227"/>
      <c r="M1874" s="740"/>
      <c r="N1874" s="224"/>
      <c r="O1874" s="58"/>
      <c r="P1874" s="58"/>
      <c r="Q1874" s="58"/>
      <c r="R1874" s="58"/>
      <c r="S1874" s="58"/>
      <c r="T1874" s="58"/>
      <c r="U1874" s="58"/>
      <c r="V1874" s="58"/>
    </row>
    <row r="1875" spans="1:22" ht="15.75" customHeight="1">
      <c r="A1875" s="58"/>
      <c r="B1875" s="58"/>
      <c r="C1875" s="528"/>
      <c r="D1875" s="58"/>
      <c r="E1875" s="704"/>
      <c r="F1875" s="223"/>
      <c r="G1875" s="199"/>
      <c r="H1875" s="224"/>
      <c r="I1875" s="498"/>
      <c r="J1875" s="547"/>
      <c r="K1875" s="547"/>
      <c r="L1875" s="227"/>
      <c r="M1875" s="740"/>
      <c r="N1875" s="224"/>
      <c r="O1875" s="58"/>
      <c r="P1875" s="58"/>
      <c r="Q1875" s="58"/>
      <c r="R1875" s="58"/>
      <c r="S1875" s="58"/>
      <c r="T1875" s="58"/>
      <c r="U1875" s="58"/>
      <c r="V1875" s="58"/>
    </row>
    <row r="1876" spans="1:22" ht="15.75" customHeight="1">
      <c r="A1876" s="58"/>
      <c r="B1876" s="58"/>
      <c r="C1876" s="528"/>
      <c r="D1876" s="58"/>
      <c r="E1876" s="704"/>
      <c r="F1876" s="223"/>
      <c r="G1876" s="199"/>
      <c r="H1876" s="224"/>
      <c r="I1876" s="498"/>
      <c r="J1876" s="547"/>
      <c r="K1876" s="547"/>
      <c r="L1876" s="227"/>
      <c r="M1876" s="740"/>
      <c r="N1876" s="224"/>
      <c r="O1876" s="58"/>
      <c r="P1876" s="58"/>
      <c r="Q1876" s="58"/>
      <c r="R1876" s="58"/>
      <c r="S1876" s="58"/>
      <c r="T1876" s="58"/>
      <c r="U1876" s="58"/>
      <c r="V1876" s="58"/>
    </row>
    <row r="1877" spans="1:22" ht="15.75" customHeight="1">
      <c r="A1877" s="58"/>
      <c r="B1877" s="58"/>
      <c r="C1877" s="528"/>
      <c r="D1877" s="58"/>
      <c r="E1877" s="704"/>
      <c r="F1877" s="223"/>
      <c r="G1877" s="199"/>
      <c r="H1877" s="224"/>
      <c r="I1877" s="498"/>
      <c r="J1877" s="547"/>
      <c r="K1877" s="547"/>
      <c r="L1877" s="227"/>
      <c r="M1877" s="740"/>
      <c r="N1877" s="224"/>
      <c r="O1877" s="58"/>
      <c r="P1877" s="58"/>
      <c r="Q1877" s="58"/>
      <c r="R1877" s="58"/>
      <c r="S1877" s="58"/>
      <c r="T1877" s="58"/>
      <c r="U1877" s="58"/>
      <c r="V1877" s="58"/>
    </row>
    <row r="1878" spans="1:22" ht="15.75" customHeight="1">
      <c r="A1878" s="58"/>
      <c r="B1878" s="58"/>
      <c r="C1878" s="528"/>
      <c r="D1878" s="58"/>
      <c r="E1878" s="704"/>
      <c r="F1878" s="223"/>
      <c r="G1878" s="199"/>
      <c r="H1878" s="224"/>
      <c r="I1878" s="498"/>
      <c r="J1878" s="547"/>
      <c r="K1878" s="547"/>
      <c r="L1878" s="227"/>
      <c r="M1878" s="740"/>
      <c r="N1878" s="224"/>
      <c r="O1878" s="58"/>
      <c r="P1878" s="58"/>
      <c r="Q1878" s="58"/>
      <c r="R1878" s="58"/>
      <c r="S1878" s="58"/>
      <c r="T1878" s="58"/>
      <c r="U1878" s="58"/>
      <c r="V1878" s="58"/>
    </row>
    <row r="1879" spans="1:22" ht="15.75" customHeight="1">
      <c r="A1879" s="58"/>
      <c r="B1879" s="58"/>
      <c r="C1879" s="528"/>
      <c r="D1879" s="58"/>
      <c r="E1879" s="704"/>
      <c r="F1879" s="223"/>
      <c r="G1879" s="199"/>
      <c r="H1879" s="224"/>
      <c r="I1879" s="498"/>
      <c r="J1879" s="547"/>
      <c r="K1879" s="547"/>
      <c r="L1879" s="227"/>
      <c r="M1879" s="740"/>
      <c r="N1879" s="224"/>
      <c r="O1879" s="58"/>
      <c r="P1879" s="58"/>
      <c r="Q1879" s="58"/>
      <c r="R1879" s="58"/>
      <c r="S1879" s="58"/>
      <c r="T1879" s="58"/>
      <c r="U1879" s="58"/>
      <c r="V1879" s="58"/>
    </row>
    <row r="1880" spans="1:22" ht="15.75" customHeight="1">
      <c r="A1880" s="58"/>
      <c r="B1880" s="58"/>
      <c r="C1880" s="528"/>
      <c r="D1880" s="58"/>
      <c r="E1880" s="704"/>
      <c r="F1880" s="223"/>
      <c r="G1880" s="199"/>
      <c r="H1880" s="224"/>
      <c r="I1880" s="498"/>
      <c r="J1880" s="547"/>
      <c r="K1880" s="547"/>
      <c r="L1880" s="227"/>
      <c r="M1880" s="740"/>
      <c r="N1880" s="224"/>
      <c r="O1880" s="58"/>
      <c r="P1880" s="58"/>
      <c r="Q1880" s="58"/>
      <c r="R1880" s="58"/>
      <c r="S1880" s="58"/>
      <c r="T1880" s="58"/>
      <c r="U1880" s="58"/>
      <c r="V1880" s="58"/>
    </row>
    <row r="1881" spans="1:22" ht="15.75" customHeight="1">
      <c r="A1881" s="58"/>
      <c r="B1881" s="58"/>
      <c r="C1881" s="528"/>
      <c r="D1881" s="58"/>
      <c r="E1881" s="704"/>
      <c r="F1881" s="223"/>
      <c r="G1881" s="199"/>
      <c r="H1881" s="224"/>
      <c r="I1881" s="498"/>
      <c r="J1881" s="547"/>
      <c r="K1881" s="547"/>
      <c r="L1881" s="227"/>
      <c r="M1881" s="740"/>
      <c r="N1881" s="224"/>
      <c r="O1881" s="58"/>
      <c r="P1881" s="58"/>
      <c r="Q1881" s="58"/>
      <c r="R1881" s="58"/>
      <c r="S1881" s="58"/>
      <c r="T1881" s="58"/>
      <c r="U1881" s="58"/>
      <c r="V1881" s="58"/>
    </row>
    <row r="1882" spans="1:22" ht="15.75" customHeight="1">
      <c r="A1882" s="58"/>
      <c r="B1882" s="58"/>
      <c r="C1882" s="528"/>
      <c r="D1882" s="58"/>
      <c r="E1882" s="704"/>
      <c r="F1882" s="223"/>
      <c r="G1882" s="199"/>
      <c r="H1882" s="224"/>
      <c r="I1882" s="498"/>
      <c r="J1882" s="547"/>
      <c r="K1882" s="547"/>
      <c r="L1882" s="227"/>
      <c r="M1882" s="740"/>
      <c r="N1882" s="224"/>
      <c r="O1882" s="58"/>
      <c r="P1882" s="58"/>
      <c r="Q1882" s="58"/>
      <c r="R1882" s="58"/>
      <c r="S1882" s="58"/>
      <c r="T1882" s="58"/>
      <c r="U1882" s="58"/>
      <c r="V1882" s="58"/>
    </row>
    <row r="1883" spans="1:22" ht="15.75" customHeight="1">
      <c r="A1883" s="58"/>
      <c r="B1883" s="58"/>
      <c r="C1883" s="528"/>
      <c r="D1883" s="58"/>
      <c r="E1883" s="704"/>
      <c r="F1883" s="223"/>
      <c r="G1883" s="199"/>
      <c r="H1883" s="224"/>
      <c r="I1883" s="498"/>
      <c r="J1883" s="547"/>
      <c r="K1883" s="547"/>
      <c r="L1883" s="227"/>
      <c r="M1883" s="740"/>
      <c r="N1883" s="224"/>
      <c r="O1883" s="58"/>
      <c r="P1883" s="58"/>
      <c r="Q1883" s="58"/>
      <c r="R1883" s="58"/>
      <c r="S1883" s="58"/>
      <c r="T1883" s="58"/>
      <c r="U1883" s="58"/>
      <c r="V1883" s="58"/>
    </row>
    <row r="1884" spans="1:22" ht="15.75" customHeight="1">
      <c r="A1884" s="58"/>
      <c r="B1884" s="58"/>
      <c r="C1884" s="528"/>
      <c r="D1884" s="58"/>
      <c r="E1884" s="704"/>
      <c r="F1884" s="223"/>
      <c r="G1884" s="199"/>
      <c r="H1884" s="224"/>
      <c r="I1884" s="498"/>
      <c r="J1884" s="547"/>
      <c r="K1884" s="547"/>
      <c r="L1884" s="227"/>
      <c r="M1884" s="740"/>
      <c r="N1884" s="224"/>
      <c r="O1884" s="58"/>
      <c r="P1884" s="58"/>
      <c r="Q1884" s="58"/>
      <c r="R1884" s="58"/>
      <c r="S1884" s="58"/>
      <c r="T1884" s="58"/>
      <c r="U1884" s="58"/>
      <c r="V1884" s="58"/>
    </row>
    <row r="1885" spans="1:22" ht="15.75" customHeight="1">
      <c r="A1885" s="58"/>
      <c r="B1885" s="58"/>
      <c r="C1885" s="528"/>
      <c r="D1885" s="58"/>
      <c r="E1885" s="704"/>
      <c r="F1885" s="223"/>
      <c r="G1885" s="199"/>
      <c r="H1885" s="224"/>
      <c r="I1885" s="498"/>
      <c r="J1885" s="547"/>
      <c r="K1885" s="547"/>
      <c r="L1885" s="227"/>
      <c r="M1885" s="740"/>
      <c r="N1885" s="224"/>
      <c r="O1885" s="58"/>
      <c r="P1885" s="58"/>
      <c r="Q1885" s="58"/>
      <c r="R1885" s="58"/>
      <c r="S1885" s="58"/>
      <c r="T1885" s="58"/>
      <c r="U1885" s="58"/>
      <c r="V1885" s="58"/>
    </row>
    <row r="1886" spans="1:22" ht="15.75" customHeight="1">
      <c r="A1886" s="58"/>
      <c r="B1886" s="58"/>
      <c r="C1886" s="528"/>
      <c r="D1886" s="58"/>
      <c r="E1886" s="704"/>
      <c r="F1886" s="223"/>
      <c r="G1886" s="199"/>
      <c r="H1886" s="224"/>
      <c r="I1886" s="498"/>
      <c r="J1886" s="547"/>
      <c r="K1886" s="547"/>
      <c r="L1886" s="227"/>
      <c r="M1886" s="740"/>
      <c r="N1886" s="224"/>
      <c r="O1886" s="58"/>
      <c r="P1886" s="58"/>
      <c r="Q1886" s="58"/>
      <c r="R1886" s="58"/>
      <c r="S1886" s="58"/>
      <c r="T1886" s="58"/>
      <c r="U1886" s="58"/>
      <c r="V1886" s="58"/>
    </row>
    <row r="1887" spans="1:22" ht="15.75" customHeight="1">
      <c r="A1887" s="58"/>
      <c r="B1887" s="58"/>
      <c r="C1887" s="528"/>
      <c r="D1887" s="58"/>
      <c r="E1887" s="704"/>
      <c r="F1887" s="223"/>
      <c r="G1887" s="199"/>
      <c r="H1887" s="224"/>
      <c r="I1887" s="498"/>
      <c r="J1887" s="547"/>
      <c r="K1887" s="547"/>
      <c r="L1887" s="227"/>
      <c r="M1887" s="740"/>
      <c r="N1887" s="224"/>
      <c r="O1887" s="58"/>
      <c r="P1887" s="58"/>
      <c r="Q1887" s="58"/>
      <c r="R1887" s="58"/>
      <c r="S1887" s="58"/>
      <c r="T1887" s="58"/>
      <c r="U1887" s="58"/>
      <c r="V1887" s="58"/>
    </row>
    <row r="1888" spans="1:22" ht="15.75" customHeight="1">
      <c r="A1888" s="58"/>
      <c r="B1888" s="58"/>
      <c r="C1888" s="528"/>
      <c r="D1888" s="58"/>
      <c r="E1888" s="704"/>
      <c r="F1888" s="223"/>
      <c r="G1888" s="199"/>
      <c r="H1888" s="224"/>
      <c r="I1888" s="498"/>
      <c r="J1888" s="547"/>
      <c r="K1888" s="547"/>
      <c r="L1888" s="227"/>
      <c r="M1888" s="740"/>
      <c r="N1888" s="224"/>
      <c r="O1888" s="58"/>
      <c r="P1888" s="58"/>
      <c r="Q1888" s="58"/>
      <c r="R1888" s="58"/>
      <c r="S1888" s="58"/>
      <c r="T1888" s="58"/>
      <c r="U1888" s="58"/>
      <c r="V1888" s="58"/>
    </row>
    <row r="1889" spans="1:22" ht="15.75" customHeight="1">
      <c r="A1889" s="58"/>
      <c r="B1889" s="58"/>
      <c r="C1889" s="528"/>
      <c r="D1889" s="58"/>
      <c r="E1889" s="704"/>
      <c r="F1889" s="223"/>
      <c r="G1889" s="199"/>
      <c r="H1889" s="224"/>
      <c r="I1889" s="498"/>
      <c r="J1889" s="547"/>
      <c r="K1889" s="547"/>
      <c r="L1889" s="227"/>
      <c r="M1889" s="740"/>
      <c r="N1889" s="224"/>
      <c r="O1889" s="58"/>
      <c r="P1889" s="58"/>
      <c r="Q1889" s="58"/>
      <c r="R1889" s="58"/>
      <c r="S1889" s="58"/>
      <c r="T1889" s="58"/>
      <c r="U1889" s="58"/>
      <c r="V1889" s="58"/>
    </row>
    <row r="1890" spans="1:22" ht="15.75" customHeight="1">
      <c r="A1890" s="58"/>
      <c r="B1890" s="58"/>
      <c r="C1890" s="528"/>
      <c r="D1890" s="58"/>
      <c r="E1890" s="704"/>
      <c r="F1890" s="223"/>
      <c r="G1890" s="199"/>
      <c r="H1890" s="224"/>
      <c r="I1890" s="498"/>
      <c r="J1890" s="547"/>
      <c r="K1890" s="547"/>
      <c r="L1890" s="227"/>
      <c r="M1890" s="740"/>
      <c r="N1890" s="224"/>
      <c r="O1890" s="58"/>
      <c r="P1890" s="58"/>
      <c r="Q1890" s="58"/>
      <c r="R1890" s="58"/>
      <c r="S1890" s="58"/>
      <c r="T1890" s="58"/>
      <c r="U1890" s="58"/>
      <c r="V1890" s="58"/>
    </row>
    <row r="1891" spans="1:22" ht="15.75" customHeight="1">
      <c r="A1891" s="58"/>
      <c r="B1891" s="58"/>
      <c r="C1891" s="528"/>
      <c r="D1891" s="58"/>
      <c r="E1891" s="704"/>
      <c r="F1891" s="223"/>
      <c r="G1891" s="199"/>
      <c r="H1891" s="224"/>
      <c r="I1891" s="498"/>
      <c r="J1891" s="547"/>
      <c r="K1891" s="547"/>
      <c r="L1891" s="227"/>
      <c r="M1891" s="740"/>
      <c r="N1891" s="224"/>
      <c r="O1891" s="58"/>
      <c r="P1891" s="58"/>
      <c r="Q1891" s="58"/>
      <c r="R1891" s="58"/>
      <c r="S1891" s="58"/>
      <c r="T1891" s="58"/>
      <c r="U1891" s="58"/>
      <c r="V1891" s="58"/>
    </row>
    <row r="1892" spans="1:22" ht="15.75" customHeight="1">
      <c r="A1892" s="58"/>
      <c r="B1892" s="58"/>
      <c r="C1892" s="528"/>
      <c r="D1892" s="58"/>
      <c r="E1892" s="704"/>
      <c r="F1892" s="223"/>
      <c r="G1892" s="199"/>
      <c r="H1892" s="224"/>
      <c r="I1892" s="498"/>
      <c r="J1892" s="547"/>
      <c r="K1892" s="547"/>
      <c r="L1892" s="227"/>
      <c r="M1892" s="740"/>
      <c r="N1892" s="224"/>
      <c r="O1892" s="58"/>
      <c r="P1892" s="58"/>
      <c r="Q1892" s="58"/>
      <c r="R1892" s="58"/>
      <c r="S1892" s="58"/>
      <c r="T1892" s="58"/>
      <c r="U1892" s="58"/>
      <c r="V1892" s="58"/>
    </row>
    <row r="1893" spans="1:22" ht="15.75" customHeight="1">
      <c r="A1893" s="58"/>
      <c r="B1893" s="58"/>
      <c r="C1893" s="528"/>
      <c r="D1893" s="58"/>
      <c r="E1893" s="704"/>
      <c r="F1893" s="223"/>
      <c r="G1893" s="199"/>
      <c r="H1893" s="224"/>
      <c r="I1893" s="498"/>
      <c r="J1893" s="547"/>
      <c r="K1893" s="547"/>
      <c r="L1893" s="227"/>
      <c r="M1893" s="740"/>
      <c r="N1893" s="224"/>
      <c r="O1893" s="58"/>
      <c r="P1893" s="58"/>
      <c r="Q1893" s="58"/>
      <c r="R1893" s="58"/>
      <c r="S1893" s="58"/>
      <c r="T1893" s="58"/>
      <c r="U1893" s="58"/>
      <c r="V1893" s="58"/>
    </row>
    <row r="1894" spans="1:22" ht="15.75" customHeight="1">
      <c r="A1894" s="58"/>
      <c r="B1894" s="58"/>
      <c r="C1894" s="528"/>
      <c r="D1894" s="58"/>
      <c r="E1894" s="704"/>
      <c r="F1894" s="223"/>
      <c r="G1894" s="199"/>
      <c r="H1894" s="224"/>
      <c r="I1894" s="498"/>
      <c r="J1894" s="547"/>
      <c r="K1894" s="547"/>
      <c r="L1894" s="227"/>
      <c r="M1894" s="740"/>
      <c r="N1894" s="224"/>
      <c r="O1894" s="58"/>
      <c r="P1894" s="58"/>
      <c r="Q1894" s="58"/>
      <c r="R1894" s="58"/>
      <c r="S1894" s="58"/>
      <c r="T1894" s="58"/>
      <c r="U1894" s="58"/>
      <c r="V1894" s="58"/>
    </row>
    <row r="1895" spans="1:22" ht="15.75" customHeight="1">
      <c r="A1895" s="58"/>
      <c r="B1895" s="58"/>
      <c r="C1895" s="528"/>
      <c r="D1895" s="58"/>
      <c r="E1895" s="704"/>
      <c r="F1895" s="223"/>
      <c r="G1895" s="199"/>
      <c r="H1895" s="224"/>
      <c r="I1895" s="498"/>
      <c r="J1895" s="547"/>
      <c r="K1895" s="547"/>
      <c r="L1895" s="227"/>
      <c r="M1895" s="740"/>
      <c r="N1895" s="224"/>
      <c r="O1895" s="58"/>
      <c r="P1895" s="58"/>
      <c r="Q1895" s="58"/>
      <c r="R1895" s="58"/>
      <c r="S1895" s="58"/>
      <c r="T1895" s="58"/>
      <c r="U1895" s="58"/>
      <c r="V1895" s="58"/>
    </row>
    <row r="1896" spans="1:22" ht="15.75" customHeight="1">
      <c r="A1896" s="58"/>
      <c r="B1896" s="58"/>
      <c r="C1896" s="528"/>
      <c r="D1896" s="58"/>
      <c r="E1896" s="704"/>
      <c r="F1896" s="223"/>
      <c r="G1896" s="199"/>
      <c r="H1896" s="224"/>
      <c r="I1896" s="498"/>
      <c r="J1896" s="547"/>
      <c r="K1896" s="547"/>
      <c r="L1896" s="227"/>
      <c r="M1896" s="740"/>
      <c r="N1896" s="224"/>
      <c r="O1896" s="58"/>
      <c r="P1896" s="58"/>
      <c r="Q1896" s="58"/>
      <c r="R1896" s="58"/>
      <c r="S1896" s="58"/>
      <c r="T1896" s="58"/>
      <c r="U1896" s="58"/>
      <c r="V1896" s="58"/>
    </row>
    <row r="1897" spans="1:22" ht="15.75" customHeight="1">
      <c r="A1897" s="58"/>
      <c r="B1897" s="58"/>
      <c r="C1897" s="528"/>
      <c r="D1897" s="58"/>
      <c r="E1897" s="704"/>
      <c r="F1897" s="223"/>
      <c r="G1897" s="199"/>
      <c r="H1897" s="224"/>
      <c r="I1897" s="498"/>
      <c r="J1897" s="547"/>
      <c r="K1897" s="547"/>
      <c r="L1897" s="227"/>
      <c r="M1897" s="740"/>
      <c r="N1897" s="224"/>
      <c r="O1897" s="58"/>
      <c r="P1897" s="58"/>
      <c r="Q1897" s="58"/>
      <c r="R1897" s="58"/>
      <c r="S1897" s="58"/>
      <c r="T1897" s="58"/>
      <c r="U1897" s="58"/>
      <c r="V1897" s="58"/>
    </row>
    <row r="1898" spans="1:22" ht="15.75" customHeight="1">
      <c r="A1898" s="58"/>
      <c r="B1898" s="58"/>
      <c r="C1898" s="528"/>
      <c r="D1898" s="58"/>
      <c r="E1898" s="704"/>
      <c r="F1898" s="223"/>
      <c r="G1898" s="199"/>
      <c r="H1898" s="224"/>
      <c r="I1898" s="498"/>
      <c r="J1898" s="547"/>
      <c r="K1898" s="547"/>
      <c r="L1898" s="227"/>
      <c r="M1898" s="740"/>
      <c r="N1898" s="224"/>
      <c r="O1898" s="58"/>
      <c r="P1898" s="58"/>
      <c r="Q1898" s="58"/>
      <c r="R1898" s="58"/>
      <c r="S1898" s="58"/>
      <c r="T1898" s="58"/>
      <c r="U1898" s="58"/>
      <c r="V1898" s="58"/>
    </row>
    <row r="1899" spans="1:22" ht="15.75" customHeight="1">
      <c r="A1899" s="58"/>
      <c r="B1899" s="58"/>
      <c r="C1899" s="528"/>
      <c r="D1899" s="58"/>
      <c r="E1899" s="704"/>
      <c r="F1899" s="223"/>
      <c r="G1899" s="199"/>
      <c r="H1899" s="224"/>
      <c r="I1899" s="498"/>
      <c r="J1899" s="547"/>
      <c r="K1899" s="547"/>
      <c r="L1899" s="227"/>
      <c r="M1899" s="740"/>
      <c r="N1899" s="224"/>
      <c r="O1899" s="58"/>
      <c r="P1899" s="58"/>
      <c r="Q1899" s="58"/>
      <c r="R1899" s="58"/>
      <c r="S1899" s="58"/>
      <c r="T1899" s="58"/>
      <c r="U1899" s="58"/>
      <c r="V1899" s="58"/>
    </row>
    <row r="1900" spans="1:22" ht="15.75" customHeight="1">
      <c r="A1900" s="58"/>
      <c r="B1900" s="58"/>
      <c r="C1900" s="528"/>
      <c r="D1900" s="58"/>
      <c r="E1900" s="704"/>
      <c r="F1900" s="223"/>
      <c r="G1900" s="199"/>
      <c r="H1900" s="224"/>
      <c r="I1900" s="498"/>
      <c r="J1900" s="547"/>
      <c r="K1900" s="547"/>
      <c r="L1900" s="227"/>
      <c r="M1900" s="740"/>
      <c r="N1900" s="224"/>
      <c r="O1900" s="58"/>
      <c r="P1900" s="58"/>
      <c r="Q1900" s="58"/>
      <c r="R1900" s="58"/>
      <c r="S1900" s="58"/>
      <c r="T1900" s="58"/>
      <c r="U1900" s="58"/>
      <c r="V1900" s="58"/>
    </row>
    <row r="1901" spans="1:22" ht="15.75" customHeight="1">
      <c r="A1901" s="58"/>
      <c r="B1901" s="58"/>
      <c r="C1901" s="528"/>
      <c r="D1901" s="58"/>
      <c r="E1901" s="704"/>
      <c r="F1901" s="223"/>
      <c r="G1901" s="199"/>
      <c r="H1901" s="224"/>
      <c r="I1901" s="498"/>
      <c r="J1901" s="547"/>
      <c r="K1901" s="547"/>
      <c r="L1901" s="227"/>
      <c r="M1901" s="740"/>
      <c r="N1901" s="224"/>
      <c r="O1901" s="58"/>
      <c r="P1901" s="58"/>
      <c r="Q1901" s="58"/>
      <c r="R1901" s="58"/>
      <c r="S1901" s="58"/>
      <c r="T1901" s="58"/>
      <c r="U1901" s="58"/>
      <c r="V1901" s="58"/>
    </row>
    <row r="1902" spans="1:22" ht="15.75" customHeight="1">
      <c r="A1902" s="58"/>
      <c r="B1902" s="58"/>
      <c r="C1902" s="528"/>
      <c r="D1902" s="58"/>
      <c r="E1902" s="704"/>
      <c r="F1902" s="223"/>
      <c r="G1902" s="199"/>
      <c r="H1902" s="224"/>
      <c r="I1902" s="498"/>
      <c r="J1902" s="547"/>
      <c r="K1902" s="547"/>
      <c r="L1902" s="227"/>
      <c r="M1902" s="740"/>
      <c r="N1902" s="224"/>
      <c r="O1902" s="58"/>
      <c r="P1902" s="58"/>
      <c r="Q1902" s="58"/>
      <c r="R1902" s="58"/>
      <c r="S1902" s="58"/>
      <c r="T1902" s="58"/>
      <c r="U1902" s="58"/>
      <c r="V1902" s="58"/>
    </row>
    <row r="1903" spans="1:22" ht="15.75" customHeight="1">
      <c r="A1903" s="58"/>
      <c r="B1903" s="58"/>
      <c r="C1903" s="528"/>
      <c r="D1903" s="58"/>
      <c r="E1903" s="704"/>
      <c r="F1903" s="223"/>
      <c r="G1903" s="199"/>
      <c r="H1903" s="224"/>
      <c r="I1903" s="498"/>
      <c r="J1903" s="547"/>
      <c r="K1903" s="547"/>
      <c r="L1903" s="227"/>
      <c r="M1903" s="740"/>
      <c r="N1903" s="224"/>
      <c r="O1903" s="58"/>
      <c r="P1903" s="58"/>
      <c r="Q1903" s="58"/>
      <c r="R1903" s="58"/>
      <c r="S1903" s="58"/>
      <c r="T1903" s="58"/>
      <c r="U1903" s="58"/>
      <c r="V1903" s="58"/>
    </row>
    <row r="1904" spans="1:22" ht="15.75" customHeight="1">
      <c r="A1904" s="58"/>
      <c r="B1904" s="58"/>
      <c r="C1904" s="528"/>
      <c r="D1904" s="58"/>
      <c r="E1904" s="704"/>
      <c r="F1904" s="223"/>
      <c r="G1904" s="199"/>
      <c r="H1904" s="224"/>
      <c r="I1904" s="498"/>
      <c r="J1904" s="547"/>
      <c r="K1904" s="547"/>
      <c r="L1904" s="227"/>
      <c r="M1904" s="740"/>
      <c r="N1904" s="224"/>
      <c r="O1904" s="58"/>
      <c r="P1904" s="58"/>
      <c r="Q1904" s="58"/>
      <c r="R1904" s="58"/>
      <c r="S1904" s="58"/>
      <c r="T1904" s="58"/>
      <c r="U1904" s="58"/>
      <c r="V1904" s="58"/>
    </row>
    <row r="1905" spans="1:22" ht="15.75" customHeight="1">
      <c r="A1905" s="58"/>
      <c r="B1905" s="58"/>
      <c r="C1905" s="528"/>
      <c r="D1905" s="58"/>
      <c r="E1905" s="704"/>
      <c r="F1905" s="223"/>
      <c r="G1905" s="199"/>
      <c r="H1905" s="224"/>
      <c r="I1905" s="498"/>
      <c r="J1905" s="547"/>
      <c r="K1905" s="547"/>
      <c r="L1905" s="227"/>
      <c r="M1905" s="740"/>
      <c r="N1905" s="224"/>
      <c r="O1905" s="58"/>
      <c r="P1905" s="58"/>
      <c r="Q1905" s="58"/>
      <c r="R1905" s="58"/>
      <c r="S1905" s="58"/>
      <c r="T1905" s="58"/>
      <c r="U1905" s="58"/>
      <c r="V1905" s="58"/>
    </row>
    <row r="1906" spans="1:22" ht="15.75" customHeight="1">
      <c r="A1906" s="58"/>
      <c r="B1906" s="58"/>
      <c r="C1906" s="528"/>
      <c r="D1906" s="58"/>
      <c r="E1906" s="704"/>
      <c r="F1906" s="223"/>
      <c r="G1906" s="199"/>
      <c r="H1906" s="224"/>
      <c r="I1906" s="498"/>
      <c r="J1906" s="547"/>
      <c r="K1906" s="547"/>
      <c r="L1906" s="227"/>
      <c r="M1906" s="740"/>
      <c r="N1906" s="224"/>
      <c r="O1906" s="58"/>
      <c r="P1906" s="58"/>
      <c r="Q1906" s="58"/>
      <c r="R1906" s="58"/>
      <c r="S1906" s="58"/>
      <c r="T1906" s="58"/>
      <c r="U1906" s="58"/>
      <c r="V1906" s="58"/>
    </row>
    <row r="1907" spans="1:22" ht="15.75" customHeight="1">
      <c r="A1907" s="58"/>
      <c r="B1907" s="58"/>
      <c r="C1907" s="528"/>
      <c r="D1907" s="58"/>
      <c r="E1907" s="704"/>
      <c r="F1907" s="223"/>
      <c r="G1907" s="199"/>
      <c r="H1907" s="224"/>
      <c r="I1907" s="498"/>
      <c r="J1907" s="547"/>
      <c r="K1907" s="547"/>
      <c r="L1907" s="227"/>
      <c r="M1907" s="740"/>
      <c r="N1907" s="224"/>
      <c r="O1907" s="58"/>
      <c r="P1907" s="58"/>
      <c r="Q1907" s="58"/>
      <c r="R1907" s="58"/>
      <c r="S1907" s="58"/>
      <c r="T1907" s="58"/>
      <c r="U1907" s="58"/>
      <c r="V1907" s="58"/>
    </row>
    <row r="1908" spans="1:22" ht="15.75" customHeight="1">
      <c r="A1908" s="58"/>
      <c r="B1908" s="58"/>
      <c r="C1908" s="528"/>
      <c r="D1908" s="58"/>
      <c r="E1908" s="704"/>
      <c r="F1908" s="223"/>
      <c r="G1908" s="199"/>
      <c r="H1908" s="224"/>
      <c r="I1908" s="498"/>
      <c r="J1908" s="547"/>
      <c r="K1908" s="547"/>
      <c r="L1908" s="227"/>
      <c r="M1908" s="740"/>
      <c r="N1908" s="224"/>
      <c r="O1908" s="58"/>
      <c r="P1908" s="58"/>
      <c r="Q1908" s="58"/>
      <c r="R1908" s="58"/>
      <c r="S1908" s="58"/>
      <c r="T1908" s="58"/>
      <c r="U1908" s="58"/>
      <c r="V1908" s="58"/>
    </row>
    <row r="1909" spans="1:22" ht="15.75" customHeight="1">
      <c r="A1909" s="58"/>
      <c r="B1909" s="58"/>
      <c r="C1909" s="528"/>
      <c r="D1909" s="58"/>
      <c r="E1909" s="704"/>
      <c r="F1909" s="223"/>
      <c r="G1909" s="199"/>
      <c r="H1909" s="224"/>
      <c r="I1909" s="498"/>
      <c r="J1909" s="547"/>
      <c r="K1909" s="547"/>
      <c r="L1909" s="227"/>
      <c r="M1909" s="740"/>
      <c r="N1909" s="224"/>
      <c r="O1909" s="58"/>
      <c r="P1909" s="58"/>
      <c r="Q1909" s="58"/>
      <c r="R1909" s="58"/>
      <c r="S1909" s="58"/>
      <c r="T1909" s="58"/>
      <c r="U1909" s="58"/>
      <c r="V1909" s="58"/>
    </row>
    <row r="1910" spans="1:22" ht="15.75" customHeight="1">
      <c r="A1910" s="58"/>
      <c r="B1910" s="58"/>
      <c r="C1910" s="528"/>
      <c r="D1910" s="58"/>
      <c r="E1910" s="704"/>
      <c r="F1910" s="223"/>
      <c r="G1910" s="199"/>
      <c r="H1910" s="224"/>
      <c r="I1910" s="498"/>
      <c r="J1910" s="547"/>
      <c r="K1910" s="547"/>
      <c r="L1910" s="227"/>
      <c r="M1910" s="740"/>
      <c r="N1910" s="224"/>
      <c r="O1910" s="58"/>
      <c r="P1910" s="58"/>
      <c r="Q1910" s="58"/>
      <c r="R1910" s="58"/>
      <c r="S1910" s="58"/>
      <c r="T1910" s="58"/>
      <c r="U1910" s="58"/>
      <c r="V1910" s="58"/>
    </row>
    <row r="1911" spans="1:22" ht="15.75" customHeight="1">
      <c r="A1911" s="58"/>
      <c r="B1911" s="58"/>
      <c r="C1911" s="528"/>
      <c r="D1911" s="58"/>
      <c r="E1911" s="704"/>
      <c r="F1911" s="223"/>
      <c r="G1911" s="199"/>
      <c r="H1911" s="224"/>
      <c r="I1911" s="498"/>
      <c r="J1911" s="547"/>
      <c r="K1911" s="547"/>
      <c r="L1911" s="227"/>
      <c r="M1911" s="740"/>
      <c r="N1911" s="224"/>
      <c r="O1911" s="58"/>
      <c r="P1911" s="58"/>
      <c r="Q1911" s="58"/>
      <c r="R1911" s="58"/>
      <c r="S1911" s="58"/>
      <c r="T1911" s="58"/>
      <c r="U1911" s="58"/>
      <c r="V1911" s="58"/>
    </row>
    <row r="1912" spans="1:22" ht="15" customHeight="1">
      <c r="A1912" s="58"/>
      <c r="B1912" s="58"/>
      <c r="C1912" s="528"/>
      <c r="D1912" s="58"/>
      <c r="E1912" s="704"/>
      <c r="F1912" s="223"/>
      <c r="G1912" s="199"/>
      <c r="H1912" s="224"/>
      <c r="I1912" s="498"/>
      <c r="J1912" s="547"/>
      <c r="K1912" s="547"/>
      <c r="L1912" s="227"/>
      <c r="M1912" s="740"/>
      <c r="N1912" s="224"/>
      <c r="O1912" s="58"/>
    </row>
    <row r="1913" spans="1:22" ht="15" customHeight="1">
      <c r="A1913" s="58"/>
      <c r="B1913" s="58"/>
      <c r="C1913" s="528"/>
      <c r="D1913" s="58"/>
      <c r="E1913" s="704"/>
      <c r="F1913" s="223"/>
      <c r="G1913" s="199"/>
      <c r="H1913" s="224"/>
      <c r="I1913" s="498"/>
      <c r="J1913" s="547"/>
      <c r="K1913" s="547"/>
      <c r="L1913" s="227"/>
      <c r="M1913" s="740"/>
      <c r="N1913" s="224"/>
      <c r="O1913" s="58"/>
    </row>
    <row r="1914" spans="1:22" ht="15" customHeight="1">
      <c r="A1914" s="58"/>
      <c r="B1914" s="58"/>
      <c r="C1914" s="528"/>
      <c r="D1914" s="58"/>
      <c r="E1914" s="704"/>
      <c r="F1914" s="223"/>
      <c r="G1914" s="199"/>
      <c r="H1914" s="224"/>
      <c r="I1914" s="498"/>
      <c r="J1914" s="547"/>
      <c r="K1914" s="547"/>
      <c r="L1914" s="227"/>
      <c r="M1914" s="740"/>
      <c r="N1914" s="224"/>
      <c r="O1914" s="58"/>
    </row>
  </sheetData>
  <mergeCells count="1">
    <mergeCell ref="D4:M4"/>
  </mergeCells>
  <pageMargins left="0.70866141732283472" right="0.70866141732283472" top="0.74803149606299213" bottom="0.74803149606299213" header="0" footer="0"/>
  <pageSetup paperSize="9" scale="10"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726FB-916F-49FD-9FA1-2D5B20106DA4}">
  <dimension ref="A1:B6"/>
  <sheetViews>
    <sheetView workbookViewId="0"/>
  </sheetViews>
  <sheetFormatPr baseColWidth="10" defaultRowHeight="15"/>
  <cols>
    <col min="1" max="1" width="17.5703125" bestFit="1" customWidth="1"/>
    <col min="2" max="2" width="17.140625" bestFit="1" customWidth="1"/>
  </cols>
  <sheetData>
    <row r="1" spans="1:2">
      <c r="A1" s="473" t="s">
        <v>241</v>
      </c>
      <c r="B1" s="780" t="s">
        <v>348</v>
      </c>
    </row>
    <row r="2" spans="1:2">
      <c r="A2" s="473" t="s">
        <v>151</v>
      </c>
      <c r="B2" s="780" t="s">
        <v>246</v>
      </c>
    </row>
    <row r="4" spans="1:2">
      <c r="A4" s="473" t="s">
        <v>279</v>
      </c>
      <c r="B4" t="s">
        <v>280</v>
      </c>
    </row>
    <row r="5" spans="1:2">
      <c r="A5" s="506" t="s">
        <v>265</v>
      </c>
      <c r="B5" s="726"/>
    </row>
    <row r="6" spans="1:2">
      <c r="A6" s="506" t="s">
        <v>243</v>
      </c>
      <c r="B6" s="70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A025D-338F-402B-9EB7-D104EF587710}">
  <dimension ref="A1:I1175"/>
  <sheetViews>
    <sheetView showGridLines="0" workbookViewId="0">
      <selection activeCell="A4" sqref="A4"/>
    </sheetView>
  </sheetViews>
  <sheetFormatPr baseColWidth="10" defaultRowHeight="15"/>
  <cols>
    <col min="1" max="1" width="40.5703125" bestFit="1" customWidth="1"/>
    <col min="2" max="2" width="19.7109375" style="235" bestFit="1" customWidth="1"/>
    <col min="3" max="3" width="19.7109375" bestFit="1" customWidth="1"/>
    <col min="4" max="4" width="15" bestFit="1" customWidth="1"/>
    <col min="5" max="5" width="21" customWidth="1"/>
    <col min="6" max="6" width="12" bestFit="1" customWidth="1"/>
    <col min="7" max="7" width="10.28515625" bestFit="1" customWidth="1"/>
    <col min="8" max="8" width="9.7109375" bestFit="1" customWidth="1"/>
    <col min="9" max="9" width="12.42578125" bestFit="1" customWidth="1"/>
    <col min="10" max="10" width="12.85546875" bestFit="1" customWidth="1"/>
    <col min="11" max="11" width="11.85546875" bestFit="1" customWidth="1"/>
    <col min="12" max="12" width="15.42578125" bestFit="1" customWidth="1"/>
    <col min="13" max="13" width="15.5703125" bestFit="1" customWidth="1"/>
    <col min="14" max="14" width="11.28515625" bestFit="1" customWidth="1"/>
  </cols>
  <sheetData>
    <row r="1" spans="1:9">
      <c r="B1"/>
      <c r="C1" s="479"/>
      <c r="D1" s="477"/>
      <c r="E1" s="484"/>
      <c r="F1" s="476"/>
      <c r="G1" s="541"/>
      <c r="H1" s="541"/>
      <c r="I1" s="240"/>
    </row>
    <row r="2" spans="1:9">
      <c r="A2" s="473" t="s">
        <v>230</v>
      </c>
      <c r="B2" s="938" t="s">
        <v>246</v>
      </c>
      <c r="C2" s="479"/>
      <c r="D2" s="477"/>
      <c r="E2" s="484"/>
      <c r="F2" s="476"/>
      <c r="G2" s="541"/>
      <c r="H2" s="541"/>
      <c r="I2" s="240"/>
    </row>
    <row r="3" spans="1:9">
      <c r="A3" s="541"/>
      <c r="C3" s="541"/>
      <c r="D3" s="541"/>
      <c r="E3" s="485"/>
      <c r="F3" s="541"/>
      <c r="G3" s="541"/>
      <c r="H3" s="475"/>
      <c r="I3" s="520"/>
    </row>
    <row r="4" spans="1:9" ht="60">
      <c r="A4" s="474" t="s">
        <v>151</v>
      </c>
      <c r="B4" s="473" t="s">
        <v>291</v>
      </c>
      <c r="C4" s="473" t="s">
        <v>292</v>
      </c>
      <c r="D4" s="473" t="s">
        <v>154</v>
      </c>
      <c r="E4" s="546" t="s">
        <v>200</v>
      </c>
      <c r="F4" s="473" t="s">
        <v>188</v>
      </c>
      <c r="G4" s="478" t="s">
        <v>244</v>
      </c>
      <c r="H4" s="478" t="s">
        <v>245</v>
      </c>
    </row>
    <row r="5" spans="1:9">
      <c r="A5" s="938" t="s">
        <v>411</v>
      </c>
      <c r="B5" s="938" t="s">
        <v>282</v>
      </c>
      <c r="C5" s="938" t="s">
        <v>284</v>
      </c>
      <c r="D5" s="545" t="s">
        <v>288</v>
      </c>
      <c r="E5" s="938">
        <v>13035</v>
      </c>
      <c r="F5" s="938">
        <v>2846</v>
      </c>
      <c r="G5" s="477">
        <v>6</v>
      </c>
      <c r="H5" s="477">
        <v>3360</v>
      </c>
    </row>
    <row r="6" spans="1:9">
      <c r="B6"/>
      <c r="E6" s="938" t="s">
        <v>512</v>
      </c>
      <c r="F6" s="938"/>
      <c r="G6" s="477">
        <v>6</v>
      </c>
      <c r="H6" s="477">
        <v>3360</v>
      </c>
    </row>
    <row r="7" spans="1:9">
      <c r="B7"/>
      <c r="D7" s="545" t="s">
        <v>513</v>
      </c>
      <c r="E7" s="938"/>
      <c r="F7" s="938"/>
      <c r="G7" s="477">
        <v>6</v>
      </c>
      <c r="H7" s="477">
        <v>3360</v>
      </c>
    </row>
    <row r="8" spans="1:9">
      <c r="B8"/>
      <c r="C8" s="938" t="s">
        <v>285</v>
      </c>
      <c r="D8" s="938"/>
      <c r="E8" s="938"/>
      <c r="F8" s="938"/>
      <c r="G8" s="477">
        <v>6</v>
      </c>
      <c r="H8" s="477">
        <v>3360</v>
      </c>
    </row>
    <row r="9" spans="1:9">
      <c r="B9" s="938" t="s">
        <v>283</v>
      </c>
      <c r="C9" s="938"/>
      <c r="D9" s="938"/>
      <c r="E9" s="938"/>
      <c r="F9" s="938"/>
      <c r="G9" s="477">
        <v>6</v>
      </c>
      <c r="H9" s="477">
        <v>3360</v>
      </c>
    </row>
    <row r="10" spans="1:9">
      <c r="A10" s="235" t="s">
        <v>493</v>
      </c>
      <c r="C10" s="235"/>
      <c r="D10" s="235"/>
      <c r="E10" s="235"/>
      <c r="F10" s="235"/>
      <c r="G10" s="477">
        <v>6</v>
      </c>
      <c r="H10" s="477">
        <v>3360</v>
      </c>
    </row>
    <row r="11" spans="1:9">
      <c r="A11" s="235" t="s">
        <v>243</v>
      </c>
      <c r="C11" s="235"/>
      <c r="D11" s="235"/>
      <c r="E11" s="235"/>
      <c r="F11" s="235"/>
      <c r="G11" s="477">
        <v>6</v>
      </c>
      <c r="H11" s="477">
        <v>3360</v>
      </c>
    </row>
    <row r="12" spans="1:9">
      <c r="B12"/>
    </row>
    <row r="13" spans="1:9">
      <c r="B13"/>
    </row>
    <row r="14" spans="1:9">
      <c r="B14"/>
    </row>
    <row r="15" spans="1:9">
      <c r="B15"/>
    </row>
    <row r="16" spans="1:9">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row r="29" spans="2:2">
      <c r="B29"/>
    </row>
    <row r="30" spans="2:2">
      <c r="B30"/>
    </row>
    <row r="31" spans="2:2">
      <c r="B31"/>
    </row>
    <row r="32" spans="2:2">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showGridLines="0" zoomScale="66" zoomScaleNormal="66" workbookViewId="0">
      <selection activeCell="B4" sqref="B4:T4"/>
    </sheetView>
  </sheetViews>
  <sheetFormatPr baseColWidth="10" defaultColWidth="14.42578125" defaultRowHeight="15" customHeight="1"/>
  <cols>
    <col min="1" max="1" width="15.7109375" customWidth="1"/>
    <col min="2" max="2" width="26.5703125" customWidth="1"/>
    <col min="3" max="3" width="15.140625" customWidth="1"/>
    <col min="4" max="4" width="16.85546875" customWidth="1"/>
    <col min="5" max="5" width="20.85546875" customWidth="1"/>
    <col min="6" max="6" width="16" customWidth="1"/>
    <col min="7" max="7" width="29.7109375" customWidth="1"/>
    <col min="8" max="8" width="25.5703125" customWidth="1"/>
    <col min="9" max="9" width="22.85546875" customWidth="1"/>
    <col min="10" max="10" width="26.5703125" customWidth="1"/>
    <col min="11" max="11" width="30.140625" customWidth="1"/>
    <col min="12" max="12" width="17.140625" customWidth="1"/>
    <col min="13" max="13" width="20.7109375" customWidth="1"/>
    <col min="14" max="14" width="14.5703125" customWidth="1"/>
    <col min="15" max="15" width="16.140625" customWidth="1"/>
    <col min="16" max="16" width="23.85546875" customWidth="1"/>
    <col min="17" max="17" width="15.140625" customWidth="1"/>
    <col min="18" max="18" width="9.85546875" customWidth="1"/>
    <col min="19" max="20" width="16" customWidth="1"/>
    <col min="21" max="21" width="15.28515625" customWidth="1"/>
    <col min="22" max="22" width="11" customWidth="1"/>
    <col min="23" max="23" width="17.7109375" customWidth="1"/>
    <col min="24" max="26" width="10.7109375" customWidth="1"/>
  </cols>
  <sheetData>
    <row r="1" spans="1:26" ht="15" customHeight="1">
      <c r="A1" s="3"/>
    </row>
    <row r="2" spans="1:26">
      <c r="A2" s="3"/>
    </row>
    <row r="3" spans="1:26">
      <c r="A3" s="3"/>
    </row>
    <row r="4" spans="1:26" ht="39">
      <c r="A4" s="3"/>
      <c r="B4" s="953" t="s">
        <v>349</v>
      </c>
      <c r="C4" s="948"/>
      <c r="D4" s="948"/>
      <c r="E4" s="948"/>
      <c r="F4" s="948"/>
      <c r="G4" s="948"/>
      <c r="H4" s="948"/>
      <c r="I4" s="948"/>
      <c r="J4" s="948"/>
      <c r="K4" s="948"/>
      <c r="L4" s="948"/>
      <c r="M4" s="948"/>
      <c r="N4" s="948"/>
      <c r="O4" s="948"/>
      <c r="P4" s="948"/>
      <c r="Q4" s="948"/>
      <c r="R4" s="948"/>
      <c r="S4" s="948"/>
      <c r="T4" s="948"/>
    </row>
    <row r="5" spans="1:26">
      <c r="A5" s="3"/>
    </row>
    <row r="6" spans="1:26" ht="24.75" customHeight="1">
      <c r="A6" s="3"/>
      <c r="H6" s="64"/>
    </row>
    <row r="7" spans="1:26" ht="38.25" customHeight="1">
      <c r="A7" s="3"/>
      <c r="B7" s="58"/>
      <c r="C7" s="58"/>
      <c r="D7" s="58"/>
      <c r="E7" s="58"/>
      <c r="F7" s="58"/>
      <c r="G7" s="58"/>
      <c r="H7" s="954" t="s">
        <v>64</v>
      </c>
      <c r="I7" s="955"/>
      <c r="J7" s="955"/>
      <c r="K7" s="956"/>
      <c r="L7" s="58"/>
      <c r="M7" s="58"/>
      <c r="N7" s="957" t="s">
        <v>65</v>
      </c>
      <c r="O7" s="958"/>
      <c r="P7" s="58"/>
      <c r="Q7" s="957" t="s">
        <v>66</v>
      </c>
      <c r="R7" s="959"/>
      <c r="S7" s="960"/>
      <c r="T7" s="954" t="s">
        <v>67</v>
      </c>
      <c r="U7" s="956"/>
      <c r="W7" s="65" t="s">
        <v>68</v>
      </c>
    </row>
    <row r="8" spans="1:26" ht="114.75" customHeight="1">
      <c r="A8" s="3"/>
      <c r="B8" s="66" t="s">
        <v>69</v>
      </c>
      <c r="C8" s="66" t="s">
        <v>70</v>
      </c>
      <c r="D8" s="66" t="s">
        <v>71</v>
      </c>
      <c r="E8" s="66" t="s">
        <v>72</v>
      </c>
      <c r="F8" s="66" t="s">
        <v>73</v>
      </c>
      <c r="G8" s="67" t="s">
        <v>74</v>
      </c>
      <c r="H8" s="68" t="s">
        <v>75</v>
      </c>
      <c r="I8" s="68" t="s">
        <v>76</v>
      </c>
      <c r="J8" s="68" t="s">
        <v>77</v>
      </c>
      <c r="K8" s="68" t="s">
        <v>78</v>
      </c>
      <c r="L8" s="68" t="s">
        <v>79</v>
      </c>
      <c r="M8" s="68" t="s">
        <v>80</v>
      </c>
      <c r="N8" s="67" t="s">
        <v>81</v>
      </c>
      <c r="O8" s="67" t="s">
        <v>82</v>
      </c>
      <c r="P8" s="67" t="s">
        <v>83</v>
      </c>
      <c r="Q8" s="66" t="s">
        <v>84</v>
      </c>
      <c r="R8" s="69" t="s">
        <v>85</v>
      </c>
      <c r="S8" s="67" t="s">
        <v>86</v>
      </c>
      <c r="T8" s="67" t="s">
        <v>81</v>
      </c>
      <c r="U8" s="67" t="s">
        <v>87</v>
      </c>
      <c r="V8" s="58"/>
      <c r="W8" s="70" t="s">
        <v>88</v>
      </c>
      <c r="X8" s="58"/>
      <c r="Y8" s="58"/>
      <c r="Z8" s="58"/>
    </row>
    <row r="9" spans="1:26" ht="18.75">
      <c r="A9" s="3"/>
      <c r="B9" s="71" t="s">
        <v>43</v>
      </c>
      <c r="C9" s="72">
        <v>2026</v>
      </c>
      <c r="D9" s="72">
        <f>+ACUMULADOS!B2</f>
        <v>114</v>
      </c>
      <c r="E9" s="73">
        <f>+ACUMULADOS!I2</f>
        <v>3509346</v>
      </c>
      <c r="F9" s="74">
        <f>+ACUMULADOS!J3</f>
        <v>579.27325090813383</v>
      </c>
      <c r="G9" s="74">
        <f>+ACUMULADOS!M2</f>
        <v>2338657632.9089236</v>
      </c>
      <c r="H9" s="74">
        <f>+ACUMULADOS!N2</f>
        <v>887254947.04642177</v>
      </c>
      <c r="I9" s="74">
        <f>+ACUMULADOS!O2</f>
        <v>142656277.5</v>
      </c>
      <c r="J9" s="74">
        <f>+ACUMULADOS!P2</f>
        <v>0</v>
      </c>
      <c r="K9" s="74" t="e">
        <f ca="1">+ACUMULADOS!Q2</f>
        <v>#VALUE!</v>
      </c>
      <c r="L9" s="73">
        <f>+ACUMULADOS!Z2</f>
        <v>70186.919999999955</v>
      </c>
      <c r="M9" s="75">
        <f>+ACUMULADOS!AA3</f>
        <v>33727.094629215957</v>
      </c>
      <c r="N9" s="76">
        <f>+ACUMULADOS!AB3</f>
        <v>-1683.1814143068516</v>
      </c>
      <c r="O9" s="77">
        <f t="shared" ref="O9:O21" si="0">+N9/M9</f>
        <v>-4.9905911932562448E-2</v>
      </c>
      <c r="P9" s="78">
        <f>+ACUMULADOS!AC3</f>
        <v>32043.913214909109</v>
      </c>
      <c r="Q9" s="76">
        <f ca="1">+ACUMULADOS!AD3</f>
        <v>63.001234493126496</v>
      </c>
      <c r="R9" s="77"/>
      <c r="S9" s="77">
        <f t="shared" ref="S9:S19" ca="1" si="1">+Q9/M9</f>
        <v>1.8679709944108833E-3</v>
      </c>
      <c r="T9" s="74">
        <f ca="1">+ACUMULADOS!AE3</f>
        <v>32106.914449402222</v>
      </c>
      <c r="U9" s="77">
        <f t="shared" ref="U9:U19" ca="1" si="2">+T9/M9</f>
        <v>0.95196205906184816</v>
      </c>
      <c r="V9" s="79"/>
      <c r="W9" s="80"/>
      <c r="X9" s="3"/>
      <c r="Y9" s="3"/>
      <c r="Z9" s="3"/>
    </row>
    <row r="10" spans="1:26" ht="18.75">
      <c r="A10" s="3"/>
      <c r="B10" s="71" t="s">
        <v>89</v>
      </c>
      <c r="C10" s="72">
        <v>2026</v>
      </c>
      <c r="D10" s="72">
        <f>+ACUMULADOS!B4</f>
        <v>148</v>
      </c>
      <c r="E10" s="73">
        <f>+ACUMULADOS!I4</f>
        <v>5211980</v>
      </c>
      <c r="F10" s="74">
        <f>+ACUMULADOS!J5</f>
        <v>483.75910558297863</v>
      </c>
      <c r="G10" s="74">
        <f>+ACUMULADOS!M4</f>
        <v>3022214181.0076809</v>
      </c>
      <c r="H10" s="74">
        <f>+ACUMULADOS!N4</f>
        <v>151772743.21143001</v>
      </c>
      <c r="I10" s="74">
        <f>+ACUMULADOS!O4</f>
        <v>0</v>
      </c>
      <c r="J10" s="74">
        <f>+ACUMULADOS!P4</f>
        <v>0</v>
      </c>
      <c r="K10" s="74" t="e">
        <f ca="1">+ACUMULADOS!Q4</f>
        <v>#N/A</v>
      </c>
      <c r="L10" s="73">
        <f>+ACUMULADOS!Z4</f>
        <v>104239.59999999998</v>
      </c>
      <c r="M10" s="75">
        <f>+ACUMULADOS!AA5</f>
        <v>29071.912205320921</v>
      </c>
      <c r="N10" s="76">
        <f>+ACUMULADOS!AB5</f>
        <v>-90.770047933581054</v>
      </c>
      <c r="O10" s="77">
        <f t="shared" si="0"/>
        <v>-3.1222592890524678E-3</v>
      </c>
      <c r="P10" s="78">
        <f>+ACUMULADOS!AC5</f>
        <v>28981.142157387367</v>
      </c>
      <c r="Q10" s="76">
        <f>+ACUMULADOS!AD5</f>
        <v>223.32968959522083</v>
      </c>
      <c r="R10" s="77"/>
      <c r="S10" s="77">
        <f t="shared" si="1"/>
        <v>7.6819745470456408E-3</v>
      </c>
      <c r="T10" s="74">
        <f>+ACUMULADOS!AE5</f>
        <v>29204.471846982593</v>
      </c>
      <c r="U10" s="77">
        <f t="shared" si="2"/>
        <v>1.0045597152579944</v>
      </c>
      <c r="V10" s="79"/>
      <c r="W10" s="80"/>
      <c r="X10" s="3"/>
      <c r="Y10" s="3"/>
      <c r="Z10" s="3"/>
    </row>
    <row r="11" spans="1:26" ht="18.75">
      <c r="A11" s="3"/>
      <c r="B11" s="71" t="s">
        <v>49</v>
      </c>
      <c r="C11" s="72">
        <v>2026</v>
      </c>
      <c r="D11" s="72">
        <f>+ACUMULADOS!B7</f>
        <v>96</v>
      </c>
      <c r="E11" s="73">
        <f>+ACUMULADOS!I7</f>
        <v>3514200</v>
      </c>
      <c r="F11" s="74">
        <f>+ACUMULADOS!J8</f>
        <v>472.89725981189628</v>
      </c>
      <c r="G11" s="74">
        <f>+ACUMULADOS!M7</f>
        <v>2010720398.4363291</v>
      </c>
      <c r="H11" s="74">
        <f>+ACUMULADOS!N7</f>
        <v>0</v>
      </c>
      <c r="I11" s="74">
        <f>+ACUMULADOS!O7</f>
        <v>0</v>
      </c>
      <c r="J11" s="74">
        <f>+ACUMULADOS!P7</f>
        <v>0</v>
      </c>
      <c r="K11" s="74">
        <f>+ACUMULADOS!Q7</f>
        <v>2010720398.4363291</v>
      </c>
      <c r="L11" s="73">
        <f>+ACUMULADOS!Z7</f>
        <v>70284</v>
      </c>
      <c r="M11" s="75">
        <f>+ACUMULADOS!AA8</f>
        <v>28610.28421861977</v>
      </c>
      <c r="N11" s="76">
        <f>+ACUMULADOS!AB8</f>
        <v>-0.22105005115978885</v>
      </c>
      <c r="O11" s="77">
        <f t="shared" si="0"/>
        <v>-7.7262445025250026E-6</v>
      </c>
      <c r="P11" s="78" t="e">
        <f>+ACUMULADOS!AC8</f>
        <v>#VALUE!</v>
      </c>
      <c r="Q11" s="76" t="e">
        <f>+ACUMULADOS!AD8</f>
        <v>#VALUE!</v>
      </c>
      <c r="R11" s="77"/>
      <c r="S11" s="77" t="e">
        <f t="shared" si="1"/>
        <v>#VALUE!</v>
      </c>
      <c r="T11" s="74" t="e">
        <f>+ACUMULADOS!AE8</f>
        <v>#VALUE!</v>
      </c>
      <c r="U11" s="77" t="e">
        <f t="shared" si="2"/>
        <v>#VALUE!</v>
      </c>
      <c r="V11" s="79"/>
      <c r="W11" s="80"/>
      <c r="X11" s="3"/>
      <c r="Y11" s="3"/>
      <c r="Z11" s="3"/>
    </row>
    <row r="12" spans="1:26" ht="18.75">
      <c r="A12" s="3"/>
      <c r="B12" s="71" t="s">
        <v>90</v>
      </c>
      <c r="C12" s="72">
        <v>2026</v>
      </c>
      <c r="D12" s="72">
        <f>+ACUMULADOS!B10</f>
        <v>0</v>
      </c>
      <c r="E12" s="73">
        <f>+ACUMULADOS!I10</f>
        <v>0</v>
      </c>
      <c r="F12" s="74" t="e">
        <f>+ACUMULADOS!J11</f>
        <v>#DIV/0!</v>
      </c>
      <c r="G12" s="74">
        <f>+ACUMULADOS!M10</f>
        <v>0</v>
      </c>
      <c r="H12" s="74">
        <f>+ACUMULADOS!N10</f>
        <v>0</v>
      </c>
      <c r="I12" s="74">
        <f>+ACUMULADOS!O10</f>
        <v>0</v>
      </c>
      <c r="J12" s="74">
        <f>+ACUMULADOS!P10</f>
        <v>0</v>
      </c>
      <c r="K12" s="74">
        <f>+ACUMULADOS!Q10</f>
        <v>0</v>
      </c>
      <c r="L12" s="73">
        <f>+ACUMULADOS!Z10</f>
        <v>0</v>
      </c>
      <c r="M12" s="75" t="e">
        <f>+ACUMULADOS!AA11</f>
        <v>#DIV/0!</v>
      </c>
      <c r="N12" s="76">
        <f>+ACUMULADOS!AB11</f>
        <v>0</v>
      </c>
      <c r="O12" s="77" t="e">
        <f t="shared" si="0"/>
        <v>#DIV/0!</v>
      </c>
      <c r="P12" s="78" t="e">
        <f>+ACUMULADOS!AC11</f>
        <v>#VALUE!</v>
      </c>
      <c r="Q12" s="76" t="e">
        <f>+ACUMULADOS!AD11</f>
        <v>#VALUE!</v>
      </c>
      <c r="R12" s="77"/>
      <c r="S12" s="77" t="e">
        <f t="shared" si="1"/>
        <v>#VALUE!</v>
      </c>
      <c r="T12" s="74" t="e">
        <f>+ACUMULADOS!AE11</f>
        <v>#VALUE!</v>
      </c>
      <c r="U12" s="77" t="e">
        <f t="shared" si="2"/>
        <v>#VALUE!</v>
      </c>
      <c r="V12" s="79"/>
      <c r="W12" s="80"/>
      <c r="X12" s="3"/>
      <c r="Y12" s="3"/>
      <c r="Z12" s="3"/>
    </row>
    <row r="13" spans="1:26" ht="18.75">
      <c r="A13" s="3"/>
      <c r="B13" s="71" t="s">
        <v>51</v>
      </c>
      <c r="C13" s="72">
        <v>2026</v>
      </c>
      <c r="D13" s="72">
        <f>+ACUMULADOS!B13</f>
        <v>0</v>
      </c>
      <c r="E13" s="73">
        <f>+ACUMULADOS!I13</f>
        <v>0</v>
      </c>
      <c r="F13" s="74" t="e">
        <f>+ACUMULADOS!J14</f>
        <v>#DIV/0!</v>
      </c>
      <c r="G13" s="74">
        <f>+ACUMULADOS!M13</f>
        <v>0</v>
      </c>
      <c r="H13" s="74">
        <f>+ACUMULADOS!N13</f>
        <v>0</v>
      </c>
      <c r="I13" s="74">
        <f>+ACUMULADOS!O13</f>
        <v>0</v>
      </c>
      <c r="J13" s="74">
        <f>+ACUMULADOS!P13</f>
        <v>0</v>
      </c>
      <c r="K13" s="74">
        <f>+ACUMULADOS!Q13</f>
        <v>0</v>
      </c>
      <c r="L13" s="73">
        <f>+ACUMULADOS!Z13</f>
        <v>0</v>
      </c>
      <c r="M13" s="75" t="e">
        <f>+ACUMULADOS!AA14</f>
        <v>#DIV/0!</v>
      </c>
      <c r="N13" s="76">
        <f>+ACUMULADOS!AB14</f>
        <v>0</v>
      </c>
      <c r="O13" s="77" t="e">
        <f t="shared" si="0"/>
        <v>#DIV/0!</v>
      </c>
      <c r="P13" s="78" t="e">
        <f>+ACUMULADOS!AC14</f>
        <v>#VALUE!</v>
      </c>
      <c r="Q13" s="76" t="e">
        <f>+ACUMULADOS!AD14</f>
        <v>#VALUE!</v>
      </c>
      <c r="R13" s="77"/>
      <c r="S13" s="77" t="e">
        <f t="shared" si="1"/>
        <v>#VALUE!</v>
      </c>
      <c r="T13" s="74" t="e">
        <f>+ACUMULADOS!AE14</f>
        <v>#VALUE!</v>
      </c>
      <c r="U13" s="77" t="e">
        <f t="shared" si="2"/>
        <v>#VALUE!</v>
      </c>
      <c r="V13" s="79"/>
      <c r="W13" s="80"/>
      <c r="X13" s="3"/>
      <c r="Y13" s="3"/>
      <c r="Z13" s="3"/>
    </row>
    <row r="14" spans="1:26" ht="18.75">
      <c r="A14" s="3"/>
      <c r="B14" s="71" t="s">
        <v>52</v>
      </c>
      <c r="C14" s="72">
        <v>2026</v>
      </c>
      <c r="D14" s="72">
        <f>+ACUMULADOS!B16</f>
        <v>0</v>
      </c>
      <c r="E14" s="73">
        <f>+ACUMULADOS!I16</f>
        <v>0</v>
      </c>
      <c r="F14" s="74" t="e">
        <f>+ACUMULADOS!J17</f>
        <v>#DIV/0!</v>
      </c>
      <c r="G14" s="74">
        <f>+ACUMULADOS!M16</f>
        <v>0</v>
      </c>
      <c r="H14" s="74">
        <f>+ACUMULADOS!N16</f>
        <v>0</v>
      </c>
      <c r="I14" s="74">
        <f>+ACUMULADOS!O16</f>
        <v>0</v>
      </c>
      <c r="J14" s="74">
        <f>+ACUMULADOS!P16</f>
        <v>0</v>
      </c>
      <c r="K14" s="74">
        <f>+ACUMULADOS!Q16</f>
        <v>0</v>
      </c>
      <c r="L14" s="73">
        <f>+ACUMULADOS!Z16</f>
        <v>0</v>
      </c>
      <c r="M14" s="75" t="e">
        <f>+ACUMULADOS!AA17</f>
        <v>#DIV/0!</v>
      </c>
      <c r="N14" s="76">
        <f>+ACUMULADOS!AB17</f>
        <v>0</v>
      </c>
      <c r="O14" s="77" t="e">
        <f t="shared" si="0"/>
        <v>#DIV/0!</v>
      </c>
      <c r="P14" s="78" t="e">
        <f>+ACUMULADOS!AC17</f>
        <v>#VALUE!</v>
      </c>
      <c r="Q14" s="76" t="e">
        <f>+ACUMULADOS!AD17</f>
        <v>#VALUE!</v>
      </c>
      <c r="R14" s="77"/>
      <c r="S14" s="77" t="e">
        <f t="shared" si="1"/>
        <v>#VALUE!</v>
      </c>
      <c r="T14" s="74" t="e">
        <f>+ACUMULADOS!AE17</f>
        <v>#VALUE!</v>
      </c>
      <c r="U14" s="77" t="e">
        <f t="shared" si="2"/>
        <v>#VALUE!</v>
      </c>
      <c r="V14" s="79"/>
      <c r="W14" s="80"/>
      <c r="X14" s="3"/>
      <c r="Y14" s="3"/>
      <c r="Z14" s="3"/>
    </row>
    <row r="15" spans="1:26" ht="18.75">
      <c r="A15" s="3"/>
      <c r="B15" s="71" t="s">
        <v>53</v>
      </c>
      <c r="C15" s="72">
        <v>2026</v>
      </c>
      <c r="D15" s="72">
        <f>+ACUMULADOS!B19</f>
        <v>0</v>
      </c>
      <c r="E15" s="73">
        <f>+ACUMULADOS!I19</f>
        <v>0</v>
      </c>
      <c r="F15" s="74" t="e">
        <f>+ACUMULADOS!J20</f>
        <v>#DIV/0!</v>
      </c>
      <c r="G15" s="74">
        <f>+ACUMULADOS!M19</f>
        <v>0</v>
      </c>
      <c r="H15" s="74">
        <f>+ACUMULADOS!N19</f>
        <v>0</v>
      </c>
      <c r="I15" s="74">
        <f>+ACUMULADOS!O19</f>
        <v>0</v>
      </c>
      <c r="J15" s="74">
        <f>+ACUMULADOS!P19</f>
        <v>0</v>
      </c>
      <c r="K15" s="74">
        <f>+ACUMULADOS!Q19</f>
        <v>0</v>
      </c>
      <c r="L15" s="73">
        <f>+ACUMULADOS!Z19</f>
        <v>0</v>
      </c>
      <c r="M15" s="75" t="e">
        <f>+ACUMULADOS!AA20</f>
        <v>#DIV/0!</v>
      </c>
      <c r="N15" s="76">
        <f>+ACUMULADOS!AB20</f>
        <v>0</v>
      </c>
      <c r="O15" s="77" t="e">
        <f t="shared" si="0"/>
        <v>#DIV/0!</v>
      </c>
      <c r="P15" s="78" t="e">
        <f>+ACUMULADOS!AC20</f>
        <v>#VALUE!</v>
      </c>
      <c r="Q15" s="76" t="e">
        <f>+ACUMULADOS!AD20</f>
        <v>#VALUE!</v>
      </c>
      <c r="R15" s="77"/>
      <c r="S15" s="77" t="e">
        <f t="shared" si="1"/>
        <v>#VALUE!</v>
      </c>
      <c r="T15" s="74" t="e">
        <f>+ACUMULADOS!AE20</f>
        <v>#VALUE!</v>
      </c>
      <c r="U15" s="77" t="e">
        <f t="shared" si="2"/>
        <v>#VALUE!</v>
      </c>
      <c r="V15" s="79"/>
      <c r="W15" s="80"/>
      <c r="X15" s="3"/>
      <c r="Y15" s="3"/>
      <c r="Z15" s="3"/>
    </row>
    <row r="16" spans="1:26" ht="18.75">
      <c r="A16" s="3"/>
      <c r="B16" s="71" t="s">
        <v>58</v>
      </c>
      <c r="C16" s="72">
        <v>2026</v>
      </c>
      <c r="D16" s="72">
        <f>+ACUMULADOS!B22</f>
        <v>0</v>
      </c>
      <c r="E16" s="73">
        <f>+ACUMULADOS!I22</f>
        <v>0</v>
      </c>
      <c r="F16" s="74" t="e">
        <f>+ACUMULADOS!J23</f>
        <v>#DIV/0!</v>
      </c>
      <c r="G16" s="74">
        <f>+ACUMULADOS!M22</f>
        <v>0</v>
      </c>
      <c r="H16" s="74">
        <f>+ACUMULADOS!N22</f>
        <v>0</v>
      </c>
      <c r="I16" s="74">
        <f>+ACUMULADOS!O22</f>
        <v>0</v>
      </c>
      <c r="J16" s="74">
        <f>+ACUMULADOS!P22</f>
        <v>0</v>
      </c>
      <c r="K16" s="74">
        <f>+ACUMULADOS!Q22</f>
        <v>0</v>
      </c>
      <c r="L16" s="73">
        <f>+ACUMULADOS!Z22</f>
        <v>0</v>
      </c>
      <c r="M16" s="75" t="e">
        <f>+ACUMULADOS!AA23</f>
        <v>#DIV/0!</v>
      </c>
      <c r="N16" s="76">
        <f>+ACUMULADOS!AB23</f>
        <v>0</v>
      </c>
      <c r="O16" s="77" t="e">
        <f t="shared" si="0"/>
        <v>#DIV/0!</v>
      </c>
      <c r="P16" s="78" t="e">
        <f>+ACUMULADOS!AC23</f>
        <v>#VALUE!</v>
      </c>
      <c r="Q16" s="76" t="e">
        <f>+ACUMULADOS!AD23</f>
        <v>#VALUE!</v>
      </c>
      <c r="R16" s="77"/>
      <c r="S16" s="273" t="e">
        <f t="shared" si="1"/>
        <v>#VALUE!</v>
      </c>
      <c r="T16" s="74" t="e">
        <f>+ACUMULADOS!AE23</f>
        <v>#VALUE!</v>
      </c>
      <c r="U16" s="77" t="e">
        <f t="shared" si="2"/>
        <v>#VALUE!</v>
      </c>
      <c r="V16" s="79"/>
      <c r="W16" s="80"/>
      <c r="X16" s="3"/>
      <c r="Y16" s="3"/>
      <c r="Z16" s="3"/>
    </row>
    <row r="17" spans="1:26" ht="18.75">
      <c r="A17" s="3"/>
      <c r="B17" s="71" t="s">
        <v>91</v>
      </c>
      <c r="C17" s="72">
        <v>2027</v>
      </c>
      <c r="D17" s="72">
        <f>+ACUMULADOS!B25</f>
        <v>0</v>
      </c>
      <c r="E17" s="73">
        <f>+ACUMULADOS!I25</f>
        <v>0</v>
      </c>
      <c r="F17" s="74" t="e">
        <f>+ACUMULADOS!J26</f>
        <v>#DIV/0!</v>
      </c>
      <c r="G17" s="74">
        <f>+ACUMULADOS!M25</f>
        <v>0</v>
      </c>
      <c r="H17" s="74">
        <f>+ACUMULADOS!N25</f>
        <v>0</v>
      </c>
      <c r="I17" s="74">
        <f>+ACUMULADOS!O25</f>
        <v>0</v>
      </c>
      <c r="J17" s="74">
        <f>+ACUMULADOS!P25</f>
        <v>0</v>
      </c>
      <c r="K17" s="74">
        <f>+ACUMULADOS!Q25</f>
        <v>0</v>
      </c>
      <c r="L17" s="73">
        <f>+ACUMULADOS!Z25</f>
        <v>0</v>
      </c>
      <c r="M17" s="75" t="e">
        <f>+ACUMULADOS!AA26</f>
        <v>#DIV/0!</v>
      </c>
      <c r="N17" s="76">
        <f>ACUMULADOS!AB26</f>
        <v>0</v>
      </c>
      <c r="O17" s="77" t="e">
        <f t="shared" si="0"/>
        <v>#DIV/0!</v>
      </c>
      <c r="P17" s="78" t="e">
        <f>+ACUMULADOS!AC26</f>
        <v>#VALUE!</v>
      </c>
      <c r="Q17" s="76" t="e">
        <f>+ACUMULADOS!AD26</f>
        <v>#VALUE!</v>
      </c>
      <c r="R17" s="77"/>
      <c r="S17" s="273" t="e">
        <f t="shared" si="1"/>
        <v>#VALUE!</v>
      </c>
      <c r="T17" s="74" t="e">
        <f>+ACUMULADOS!AE26</f>
        <v>#VALUE!</v>
      </c>
      <c r="U17" s="77" t="e">
        <f t="shared" si="2"/>
        <v>#VALUE!</v>
      </c>
      <c r="V17" s="79"/>
      <c r="W17" s="80"/>
      <c r="X17" s="3"/>
      <c r="Y17" s="3"/>
      <c r="Z17" s="3"/>
    </row>
    <row r="18" spans="1:26" ht="18.75">
      <c r="A18" s="3"/>
      <c r="B18" s="71" t="s">
        <v>92</v>
      </c>
      <c r="C18" s="72">
        <v>2027</v>
      </c>
      <c r="D18" s="72">
        <f>+ACUMULADOS!B28</f>
        <v>0</v>
      </c>
      <c r="E18" s="73">
        <f>+ACUMULADOS!I28</f>
        <v>0</v>
      </c>
      <c r="F18" s="74" t="e">
        <f>+ACUMULADOS!J29</f>
        <v>#DIV/0!</v>
      </c>
      <c r="G18" s="74">
        <f>+ACUMULADOS!M28</f>
        <v>0</v>
      </c>
      <c r="H18" s="74">
        <f>+ACUMULADOS!N28</f>
        <v>0</v>
      </c>
      <c r="I18" s="74">
        <f>+ACUMULADOS!O28</f>
        <v>0</v>
      </c>
      <c r="J18" s="74">
        <f>+ACUMULADOS!P28</f>
        <v>0</v>
      </c>
      <c r="K18" s="74">
        <f>+ACUMULADOS!Q28</f>
        <v>0</v>
      </c>
      <c r="L18" s="73">
        <f>+ACUMULADOS!Z28</f>
        <v>0</v>
      </c>
      <c r="M18" s="75" t="e">
        <f>+ACUMULADOS!AA29</f>
        <v>#DIV/0!</v>
      </c>
      <c r="N18" s="76">
        <f>+ACUMULADOS!AB29</f>
        <v>0</v>
      </c>
      <c r="O18" s="77" t="e">
        <f t="shared" si="0"/>
        <v>#DIV/0!</v>
      </c>
      <c r="P18" s="78" t="e">
        <f>+ACUMULADOS!AC29</f>
        <v>#VALUE!</v>
      </c>
      <c r="Q18" s="76" t="e">
        <f>+ACUMULADOS!AD29</f>
        <v>#VALUE!</v>
      </c>
      <c r="R18" s="77"/>
      <c r="S18" s="273" t="e">
        <f t="shared" si="1"/>
        <v>#VALUE!</v>
      </c>
      <c r="T18" s="74" t="e">
        <f>+ACUMULADOS!AE29</f>
        <v>#VALUE!</v>
      </c>
      <c r="U18" s="77" t="e">
        <f t="shared" si="2"/>
        <v>#VALUE!</v>
      </c>
      <c r="V18" s="79"/>
      <c r="W18" s="80"/>
      <c r="X18" s="3"/>
      <c r="Y18" s="3"/>
      <c r="Z18" s="3"/>
    </row>
    <row r="19" spans="1:26" ht="18.75">
      <c r="A19" s="3"/>
      <c r="B19" s="71" t="s">
        <v>93</v>
      </c>
      <c r="C19" s="72">
        <v>2027</v>
      </c>
      <c r="D19" s="72">
        <f>+ACUMULADOS!B31</f>
        <v>0</v>
      </c>
      <c r="E19" s="73">
        <f>+ACUMULADOS!I31</f>
        <v>0</v>
      </c>
      <c r="F19" s="74" t="e">
        <f>+ACUMULADOS!J32</f>
        <v>#DIV/0!</v>
      </c>
      <c r="G19" s="74">
        <f>+ACUMULADOS!M31</f>
        <v>0</v>
      </c>
      <c r="H19" s="74">
        <f>+ACUMULADOS!N31</f>
        <v>0</v>
      </c>
      <c r="I19" s="74">
        <f>+ACUMULADOS!O31</f>
        <v>0</v>
      </c>
      <c r="J19" s="74">
        <f>+ACUMULADOS!P31</f>
        <v>0</v>
      </c>
      <c r="K19" s="74">
        <f>+ACUMULADOS!Q31</f>
        <v>0</v>
      </c>
      <c r="L19" s="73">
        <f>+ACUMULADOS!Z31</f>
        <v>0</v>
      </c>
      <c r="M19" s="75" t="e">
        <f>+ACUMULADOS!AA32</f>
        <v>#DIV/0!</v>
      </c>
      <c r="N19" s="76">
        <f>+ACUMULADOS!AB32</f>
        <v>0</v>
      </c>
      <c r="O19" s="77" t="e">
        <f t="shared" si="0"/>
        <v>#DIV/0!</v>
      </c>
      <c r="P19" s="78" t="e">
        <f>+ACUMULADOS!AC32</f>
        <v>#VALUE!</v>
      </c>
      <c r="Q19" s="78" t="e">
        <f>+ACUMULADOS!AD32</f>
        <v>#VALUE!</v>
      </c>
      <c r="R19" s="77"/>
      <c r="S19" s="273" t="e">
        <f t="shared" si="1"/>
        <v>#VALUE!</v>
      </c>
      <c r="T19" s="74" t="e">
        <f>+ACUMULADOS!AE32</f>
        <v>#VALUE!</v>
      </c>
      <c r="U19" s="77" t="e">
        <f t="shared" si="2"/>
        <v>#VALUE!</v>
      </c>
      <c r="V19" s="79"/>
      <c r="W19" s="80"/>
      <c r="X19" s="3"/>
      <c r="Y19" s="3"/>
      <c r="Z19" s="3"/>
    </row>
    <row r="20" spans="1:26" ht="19.5" thickBot="1">
      <c r="A20" s="3"/>
      <c r="B20" s="81" t="s">
        <v>94</v>
      </c>
      <c r="C20" s="72">
        <v>2027</v>
      </c>
      <c r="D20" s="82">
        <f>+ACUMULADOS!B34</f>
        <v>0</v>
      </c>
      <c r="E20" s="83">
        <f>+ACUMULADOS!I34</f>
        <v>0</v>
      </c>
      <c r="F20" s="84" t="e">
        <f>+ACUMULADOS!J35</f>
        <v>#DIV/0!</v>
      </c>
      <c r="G20" s="84">
        <f>+ACUMULADOS!M34</f>
        <v>0</v>
      </c>
      <c r="H20" s="84">
        <f>+ACUMULADOS!N34</f>
        <v>0</v>
      </c>
      <c r="I20" s="84">
        <f>+ACUMULADOS!O34</f>
        <v>0</v>
      </c>
      <c r="J20" s="84">
        <f>+ACUMULADOS!P34</f>
        <v>0</v>
      </c>
      <c r="K20" s="84">
        <f>+ACUMULADOS!Q34</f>
        <v>0</v>
      </c>
      <c r="L20" s="83">
        <f>+ACUMULADOS!Z34</f>
        <v>0</v>
      </c>
      <c r="M20" s="85" t="e">
        <f>+ACUMULADOS!AA35</f>
        <v>#DIV/0!</v>
      </c>
      <c r="N20" s="86">
        <f>+ACUMULADOS!AB35</f>
        <v>0</v>
      </c>
      <c r="O20" s="87" t="e">
        <f t="shared" si="0"/>
        <v>#DIV/0!</v>
      </c>
      <c r="P20" s="88" t="e">
        <f>+ACUMULADOS!AE35</f>
        <v>#VALUE!</v>
      </c>
      <c r="Q20" s="86" t="e">
        <f>+ACUMULADOS!AD35</f>
        <v>#VALUE!</v>
      </c>
      <c r="R20" s="87"/>
      <c r="S20" s="87"/>
      <c r="T20" s="84"/>
      <c r="U20" s="87"/>
      <c r="V20" s="3"/>
      <c r="W20" s="89"/>
      <c r="X20" s="3"/>
      <c r="Y20" s="3"/>
      <c r="Z20" s="3"/>
    </row>
    <row r="21" spans="1:26" ht="15.75" customHeight="1" thickBot="1">
      <c r="A21" s="3"/>
      <c r="B21" s="961" t="s">
        <v>95</v>
      </c>
      <c r="C21" s="962"/>
      <c r="D21" s="90">
        <f>SUM(D9:D20)</f>
        <v>358</v>
      </c>
      <c r="E21" s="91">
        <f>SUM(E9:E13)</f>
        <v>12235526</v>
      </c>
      <c r="F21" s="92" t="e">
        <f>AVERAGE(F9:F20)</f>
        <v>#DIV/0!</v>
      </c>
      <c r="G21" s="92">
        <f t="shared" ref="G21:L21" si="3">SUM(G9:G20)</f>
        <v>7371592212.3529339</v>
      </c>
      <c r="H21" s="92">
        <f t="shared" si="3"/>
        <v>1039027690.2578518</v>
      </c>
      <c r="I21" s="93">
        <f t="shared" si="3"/>
        <v>142656277.5</v>
      </c>
      <c r="J21" s="93">
        <f t="shared" si="3"/>
        <v>0</v>
      </c>
      <c r="K21" s="92" t="e">
        <f t="shared" ca="1" si="3"/>
        <v>#VALUE!</v>
      </c>
      <c r="L21" s="94">
        <f t="shared" si="3"/>
        <v>244710.51999999993</v>
      </c>
      <c r="M21" s="92" t="e">
        <f>AVERAGE(M9:M20)</f>
        <v>#DIV/0!</v>
      </c>
      <c r="N21" s="92">
        <f>AVERAGE(N9:N20)</f>
        <v>-147.84770935763271</v>
      </c>
      <c r="O21" s="95" t="e">
        <f t="shared" si="0"/>
        <v>#DIV/0!</v>
      </c>
      <c r="P21" s="92" t="e">
        <f>AVERAGE(P9:P13)</f>
        <v>#VALUE!</v>
      </c>
      <c r="Q21" s="92" t="e">
        <f ca="1">AVERAGE(Q9:Q13)</f>
        <v>#VALUE!</v>
      </c>
      <c r="R21" s="92"/>
      <c r="S21" s="95" t="e">
        <f ca="1">+Q21/M21</f>
        <v>#VALUE!</v>
      </c>
      <c r="T21" s="96" t="e">
        <f ca="1">AVERAGE(T9:T13)</f>
        <v>#VALUE!</v>
      </c>
      <c r="U21" s="97" t="e">
        <f ca="1">+T21/M21</f>
        <v>#VALUE!</v>
      </c>
      <c r="V21" s="58"/>
      <c r="W21" s="58"/>
      <c r="X21" s="58"/>
      <c r="Y21" s="58"/>
      <c r="Z21" s="58"/>
    </row>
    <row r="22" spans="1:26" ht="15.75" customHeight="1">
      <c r="A22" s="3"/>
      <c r="B22" s="98"/>
      <c r="C22" s="98"/>
      <c r="D22" s="98"/>
      <c r="E22" s="98"/>
      <c r="F22" s="98"/>
      <c r="G22" s="99">
        <f>+G21/G21</f>
        <v>1</v>
      </c>
      <c r="H22" s="99">
        <f>+H21/G21</f>
        <v>0.14095023982969418</v>
      </c>
      <c r="I22" s="99">
        <f>+I21/G21</f>
        <v>1.9352166179369495E-2</v>
      </c>
      <c r="J22" s="99">
        <f>+J21/G21</f>
        <v>0</v>
      </c>
      <c r="K22" s="99" t="e">
        <f ca="1">+K21/G21</f>
        <v>#VALUE!</v>
      </c>
      <c r="L22" s="98"/>
      <c r="M22" s="98"/>
      <c r="N22" s="98"/>
      <c r="O22" s="98"/>
      <c r="P22" s="98"/>
      <c r="Q22" s="98"/>
      <c r="R22" s="98"/>
      <c r="S22" s="98"/>
      <c r="T22" s="3"/>
      <c r="U22" s="3"/>
      <c r="V22" s="3"/>
      <c r="W22" s="3"/>
      <c r="X22" s="3"/>
      <c r="Y22" s="3"/>
      <c r="Z22" s="3"/>
    </row>
    <row r="23" spans="1:26" ht="15.75" customHeight="1">
      <c r="A23" s="3"/>
      <c r="B23" s="100" t="s">
        <v>96</v>
      </c>
      <c r="I23" s="64"/>
      <c r="J23" s="101"/>
      <c r="T23" s="64"/>
    </row>
    <row r="24" spans="1:26" ht="15.75" customHeight="1">
      <c r="A24" s="3"/>
      <c r="B24" s="102"/>
      <c r="H24" s="103"/>
      <c r="I24" s="103"/>
      <c r="J24" s="103"/>
      <c r="L24" s="104"/>
    </row>
    <row r="25" spans="1:26" ht="15.75" customHeight="1">
      <c r="A25" s="3"/>
      <c r="G25" s="105"/>
      <c r="H25" s="103"/>
      <c r="I25" s="103"/>
      <c r="J25" s="103"/>
      <c r="L25" s="104"/>
    </row>
    <row r="26" spans="1:26" ht="15" customHeight="1">
      <c r="A26" s="3"/>
      <c r="I26" s="103"/>
    </row>
    <row r="27" spans="1:26" ht="30" customHeight="1">
      <c r="A27" s="3"/>
      <c r="B27" s="106" t="s">
        <v>97</v>
      </c>
    </row>
    <row r="28" spans="1:26" ht="15.75" customHeight="1">
      <c r="A28" s="3"/>
    </row>
    <row r="29" spans="1:26" ht="36" customHeight="1" thickBot="1">
      <c r="A29" s="3"/>
      <c r="B29" s="66" t="s">
        <v>69</v>
      </c>
      <c r="C29" s="66" t="s">
        <v>70</v>
      </c>
      <c r="D29" s="66" t="s">
        <v>79</v>
      </c>
      <c r="E29" s="66" t="s">
        <v>98</v>
      </c>
      <c r="F29" s="66" t="s">
        <v>80</v>
      </c>
      <c r="G29" s="66" t="s">
        <v>99</v>
      </c>
      <c r="H29" s="66" t="s">
        <v>100</v>
      </c>
      <c r="I29" s="66" t="s">
        <v>101</v>
      </c>
      <c r="J29" s="66" t="s">
        <v>102</v>
      </c>
      <c r="K29" s="66" t="s">
        <v>85</v>
      </c>
      <c r="L29" s="66" t="s">
        <v>103</v>
      </c>
      <c r="M29" s="66" t="s">
        <v>104</v>
      </c>
      <c r="N29" s="66" t="s">
        <v>105</v>
      </c>
      <c r="O29" s="66" t="s">
        <v>106</v>
      </c>
      <c r="P29" s="66" t="s">
        <v>107</v>
      </c>
    </row>
    <row r="30" spans="1:26" ht="15.75" customHeight="1">
      <c r="A30" s="3"/>
      <c r="B30" s="107" t="s">
        <v>43</v>
      </c>
      <c r="C30" s="108">
        <f t="shared" ref="C30:C41" si="4">+C9</f>
        <v>2026</v>
      </c>
      <c r="D30" s="109">
        <f>+L9</f>
        <v>70186.919999999955</v>
      </c>
      <c r="E30" s="110"/>
      <c r="F30" s="111">
        <f t="shared" ref="F30:F35" si="5">+M9</f>
        <v>33727.094629215957</v>
      </c>
      <c r="G30" s="112"/>
      <c r="H30" s="111">
        <f t="shared" ref="H30:H41" si="6">+N9</f>
        <v>-1683.1814143068516</v>
      </c>
      <c r="I30" s="112"/>
      <c r="J30" s="111">
        <f t="shared" ref="J30:J41" ca="1" si="7">+Q9</f>
        <v>63.001234493126496</v>
      </c>
      <c r="K30" s="113">
        <f>+W9</f>
        <v>0</v>
      </c>
      <c r="L30" s="112"/>
      <c r="M30" s="114">
        <f t="shared" ref="M30:M41" ca="1" si="8">+T9</f>
        <v>32106.914449402222</v>
      </c>
      <c r="N30" s="115"/>
      <c r="O30" s="109"/>
      <c r="P30" s="116"/>
    </row>
    <row r="31" spans="1:26" ht="15.75" customHeight="1">
      <c r="A31" s="3"/>
      <c r="B31" s="107" t="s">
        <v>89</v>
      </c>
      <c r="C31" s="117">
        <f t="shared" si="4"/>
        <v>2026</v>
      </c>
      <c r="D31" s="304">
        <f t="shared" ref="D31:D41" si="9">+L10</f>
        <v>104239.59999999998</v>
      </c>
      <c r="E31" s="119">
        <f t="shared" ref="E31:E41" si="10">+(D31/D30)-1</f>
        <v>0.48517131112178791</v>
      </c>
      <c r="F31" s="120">
        <f t="shared" si="5"/>
        <v>29071.912205320921</v>
      </c>
      <c r="G31" s="121">
        <f t="shared" ref="G31:G41" si="11">+(F31/F30)-1</f>
        <v>-0.13802500556518449</v>
      </c>
      <c r="H31" s="120">
        <f t="shared" si="6"/>
        <v>-90.770047933581054</v>
      </c>
      <c r="I31" s="121">
        <f>-(H31/H30)+1</f>
        <v>0.94607233233325538</v>
      </c>
      <c r="J31" s="305">
        <f t="shared" si="7"/>
        <v>223.32968959522083</v>
      </c>
      <c r="K31" s="307">
        <f t="shared" ref="K31:K41" si="12">+W10</f>
        <v>0</v>
      </c>
      <c r="L31" s="121" t="e">
        <f>+K31/K30-1</f>
        <v>#DIV/0!</v>
      </c>
      <c r="M31" s="306">
        <f t="shared" si="8"/>
        <v>29204.471846982593</v>
      </c>
      <c r="N31" s="122">
        <f ca="1">+(M31/M30)-1</f>
        <v>-9.0399300343657507E-2</v>
      </c>
      <c r="O31" s="118"/>
      <c r="P31" s="123" t="e">
        <f>-(O31/O30)+1</f>
        <v>#DIV/0!</v>
      </c>
      <c r="Q31" s="58"/>
      <c r="R31" s="58"/>
      <c r="S31" s="58"/>
      <c r="T31" s="58"/>
      <c r="U31" s="58"/>
      <c r="V31" s="58"/>
      <c r="W31" s="58"/>
      <c r="X31" s="58"/>
      <c r="Y31" s="58"/>
      <c r="Z31" s="58"/>
    </row>
    <row r="32" spans="1:26" ht="15.75" customHeight="1">
      <c r="A32" s="3"/>
      <c r="B32" s="124" t="s">
        <v>49</v>
      </c>
      <c r="C32" s="117">
        <f t="shared" si="4"/>
        <v>2026</v>
      </c>
      <c r="D32" s="304">
        <f t="shared" si="9"/>
        <v>70284</v>
      </c>
      <c r="E32" s="119">
        <f t="shared" si="10"/>
        <v>-0.32574568590055974</v>
      </c>
      <c r="F32" s="120">
        <f t="shared" si="5"/>
        <v>28610.28421861977</v>
      </c>
      <c r="G32" s="121">
        <f t="shared" si="11"/>
        <v>-1.5878831204528043E-2</v>
      </c>
      <c r="H32" s="120">
        <f t="shared" si="6"/>
        <v>-0.22105005115978885</v>
      </c>
      <c r="I32" s="121">
        <f t="shared" ref="I32:I41" si="13">-(H32/H31)+1</f>
        <v>0.99756472475015612</v>
      </c>
      <c r="J32" s="305" t="e">
        <f t="shared" si="7"/>
        <v>#VALUE!</v>
      </c>
      <c r="K32" s="307">
        <f t="shared" si="12"/>
        <v>0</v>
      </c>
      <c r="L32" s="121" t="e">
        <f t="shared" ref="L32:L41" si="14">+K32/K31-1</f>
        <v>#DIV/0!</v>
      </c>
      <c r="M32" s="306" t="e">
        <f t="shared" si="8"/>
        <v>#VALUE!</v>
      </c>
      <c r="N32" s="122" t="e">
        <f t="shared" ref="N32:N41" si="15">+(M32/M31)-1</f>
        <v>#VALUE!</v>
      </c>
      <c r="O32" s="118"/>
      <c r="P32" s="123"/>
      <c r="Q32" s="58"/>
      <c r="R32" s="58"/>
      <c r="S32" s="58"/>
      <c r="T32" s="58"/>
      <c r="U32" s="58"/>
      <c r="V32" s="58"/>
      <c r="W32" s="58"/>
      <c r="X32" s="58"/>
      <c r="Y32" s="58"/>
      <c r="Z32" s="58"/>
    </row>
    <row r="33" spans="1:26" ht="15.75" customHeight="1">
      <c r="A33" s="3"/>
      <c r="B33" s="124" t="s">
        <v>90</v>
      </c>
      <c r="C33" s="117">
        <f t="shared" si="4"/>
        <v>2026</v>
      </c>
      <c r="D33" s="304">
        <f t="shared" si="9"/>
        <v>0</v>
      </c>
      <c r="E33" s="119">
        <f t="shared" si="10"/>
        <v>-1</v>
      </c>
      <c r="F33" s="120" t="e">
        <f t="shared" si="5"/>
        <v>#DIV/0!</v>
      </c>
      <c r="G33" s="121" t="e">
        <f t="shared" si="11"/>
        <v>#DIV/0!</v>
      </c>
      <c r="H33" s="120">
        <f t="shared" si="6"/>
        <v>0</v>
      </c>
      <c r="I33" s="121">
        <f t="shared" si="13"/>
        <v>1</v>
      </c>
      <c r="J33" s="305" t="e">
        <f t="shared" si="7"/>
        <v>#VALUE!</v>
      </c>
      <c r="K33" s="307">
        <f t="shared" si="12"/>
        <v>0</v>
      </c>
      <c r="L33" s="121" t="e">
        <f t="shared" si="14"/>
        <v>#DIV/0!</v>
      </c>
      <c r="M33" s="306" t="e">
        <f t="shared" si="8"/>
        <v>#VALUE!</v>
      </c>
      <c r="N33" s="122" t="e">
        <f t="shared" si="15"/>
        <v>#VALUE!</v>
      </c>
      <c r="O33" s="118"/>
      <c r="P33" s="123"/>
      <c r="Q33" s="58"/>
      <c r="R33" s="58"/>
      <c r="S33" s="58"/>
      <c r="T33" s="58"/>
      <c r="U33" s="58"/>
      <c r="V33" s="58"/>
      <c r="W33" s="58"/>
      <c r="X33" s="58"/>
      <c r="Y33" s="58"/>
      <c r="Z33" s="58"/>
    </row>
    <row r="34" spans="1:26" ht="15.75" customHeight="1">
      <c r="A34" s="3"/>
      <c r="B34" s="124" t="s">
        <v>51</v>
      </c>
      <c r="C34" s="117">
        <f t="shared" si="4"/>
        <v>2026</v>
      </c>
      <c r="D34" s="304">
        <f t="shared" si="9"/>
        <v>0</v>
      </c>
      <c r="E34" s="119" t="e">
        <f t="shared" si="10"/>
        <v>#DIV/0!</v>
      </c>
      <c r="F34" s="120" t="e">
        <f t="shared" si="5"/>
        <v>#DIV/0!</v>
      </c>
      <c r="G34" s="121" t="e">
        <f t="shared" si="11"/>
        <v>#DIV/0!</v>
      </c>
      <c r="H34" s="120">
        <f t="shared" si="6"/>
        <v>0</v>
      </c>
      <c r="I34" s="121" t="e">
        <f t="shared" si="13"/>
        <v>#DIV/0!</v>
      </c>
      <c r="J34" s="305" t="e">
        <f t="shared" si="7"/>
        <v>#VALUE!</v>
      </c>
      <c r="K34" s="307">
        <f t="shared" si="12"/>
        <v>0</v>
      </c>
      <c r="L34" s="121" t="e">
        <f t="shared" si="14"/>
        <v>#DIV/0!</v>
      </c>
      <c r="M34" s="306" t="e">
        <f t="shared" si="8"/>
        <v>#VALUE!</v>
      </c>
      <c r="N34" s="122" t="e">
        <f t="shared" si="15"/>
        <v>#VALUE!</v>
      </c>
      <c r="O34" s="118"/>
      <c r="P34" s="123"/>
      <c r="Q34" s="58"/>
      <c r="R34" s="58"/>
      <c r="S34" s="58"/>
      <c r="T34" s="58"/>
      <c r="U34" s="58"/>
      <c r="V34" s="58"/>
      <c r="W34" s="58"/>
      <c r="X34" s="58"/>
      <c r="Y34" s="58"/>
      <c r="Z34" s="58"/>
    </row>
    <row r="35" spans="1:26" ht="15.75" customHeight="1">
      <c r="A35" s="3"/>
      <c r="B35" s="124" t="s">
        <v>52</v>
      </c>
      <c r="C35" s="117">
        <f t="shared" si="4"/>
        <v>2026</v>
      </c>
      <c r="D35" s="304">
        <f t="shared" si="9"/>
        <v>0</v>
      </c>
      <c r="E35" s="119" t="e">
        <f t="shared" si="10"/>
        <v>#DIV/0!</v>
      </c>
      <c r="F35" s="120" t="e">
        <f t="shared" si="5"/>
        <v>#DIV/0!</v>
      </c>
      <c r="G35" s="121" t="e">
        <f t="shared" si="11"/>
        <v>#DIV/0!</v>
      </c>
      <c r="H35" s="120">
        <f t="shared" si="6"/>
        <v>0</v>
      </c>
      <c r="I35" s="121" t="e">
        <f t="shared" si="13"/>
        <v>#DIV/0!</v>
      </c>
      <c r="J35" s="305" t="e">
        <f t="shared" si="7"/>
        <v>#VALUE!</v>
      </c>
      <c r="K35" s="307">
        <f t="shared" si="12"/>
        <v>0</v>
      </c>
      <c r="L35" s="121" t="e">
        <f t="shared" si="14"/>
        <v>#DIV/0!</v>
      </c>
      <c r="M35" s="306" t="e">
        <f t="shared" si="8"/>
        <v>#VALUE!</v>
      </c>
      <c r="N35" s="122" t="e">
        <f t="shared" si="15"/>
        <v>#VALUE!</v>
      </c>
      <c r="O35" s="118"/>
      <c r="P35" s="123"/>
      <c r="Q35" s="58"/>
      <c r="R35" s="58"/>
      <c r="S35" s="58"/>
      <c r="T35" s="58"/>
      <c r="U35" s="58"/>
      <c r="V35" s="58"/>
      <c r="W35" s="58"/>
      <c r="X35" s="58"/>
      <c r="Y35" s="58"/>
      <c r="Z35" s="58"/>
    </row>
    <row r="36" spans="1:26" ht="15.75" customHeight="1">
      <c r="A36" s="3"/>
      <c r="B36" s="124" t="s">
        <v>53</v>
      </c>
      <c r="C36" s="117">
        <f t="shared" si="4"/>
        <v>2026</v>
      </c>
      <c r="D36" s="304">
        <f t="shared" si="9"/>
        <v>0</v>
      </c>
      <c r="E36" s="119" t="e">
        <f t="shared" si="10"/>
        <v>#DIV/0!</v>
      </c>
      <c r="F36" s="120" t="e">
        <f t="shared" ref="F36:F41" si="16">M15</f>
        <v>#DIV/0!</v>
      </c>
      <c r="G36" s="121" t="e">
        <f t="shared" si="11"/>
        <v>#DIV/0!</v>
      </c>
      <c r="H36" s="120">
        <f t="shared" si="6"/>
        <v>0</v>
      </c>
      <c r="I36" s="121" t="e">
        <f t="shared" si="13"/>
        <v>#DIV/0!</v>
      </c>
      <c r="J36" s="305" t="e">
        <f t="shared" si="7"/>
        <v>#VALUE!</v>
      </c>
      <c r="K36" s="307">
        <f t="shared" si="12"/>
        <v>0</v>
      </c>
      <c r="L36" s="121" t="e">
        <f t="shared" si="14"/>
        <v>#DIV/0!</v>
      </c>
      <c r="M36" s="306" t="e">
        <f t="shared" si="8"/>
        <v>#VALUE!</v>
      </c>
      <c r="N36" s="122" t="e">
        <f t="shared" si="15"/>
        <v>#VALUE!</v>
      </c>
      <c r="O36" s="118"/>
      <c r="P36" s="123"/>
      <c r="Q36" s="58"/>
      <c r="R36" s="58"/>
      <c r="S36" s="58"/>
      <c r="T36" s="58"/>
      <c r="U36" s="58"/>
      <c r="V36" s="58"/>
      <c r="W36" s="58"/>
      <c r="X36" s="58"/>
      <c r="Y36" s="58"/>
      <c r="Z36" s="58"/>
    </row>
    <row r="37" spans="1:26" ht="15.75" customHeight="1">
      <c r="A37" s="3"/>
      <c r="B37" s="124" t="s">
        <v>58</v>
      </c>
      <c r="C37" s="117">
        <f t="shared" si="4"/>
        <v>2026</v>
      </c>
      <c r="D37" s="304">
        <f t="shared" si="9"/>
        <v>0</v>
      </c>
      <c r="E37" s="119" t="e">
        <f t="shared" si="10"/>
        <v>#DIV/0!</v>
      </c>
      <c r="F37" s="120" t="e">
        <f t="shared" si="16"/>
        <v>#DIV/0!</v>
      </c>
      <c r="G37" s="121" t="e">
        <f t="shared" si="11"/>
        <v>#DIV/0!</v>
      </c>
      <c r="H37" s="120">
        <f t="shared" si="6"/>
        <v>0</v>
      </c>
      <c r="I37" s="121" t="e">
        <f t="shared" si="13"/>
        <v>#DIV/0!</v>
      </c>
      <c r="J37" s="305" t="e">
        <f t="shared" si="7"/>
        <v>#VALUE!</v>
      </c>
      <c r="K37" s="307">
        <f t="shared" si="12"/>
        <v>0</v>
      </c>
      <c r="L37" s="121" t="e">
        <f t="shared" si="14"/>
        <v>#DIV/0!</v>
      </c>
      <c r="M37" s="306" t="e">
        <f t="shared" si="8"/>
        <v>#VALUE!</v>
      </c>
      <c r="N37" s="122" t="e">
        <f t="shared" si="15"/>
        <v>#VALUE!</v>
      </c>
      <c r="O37" s="118"/>
      <c r="P37" s="123"/>
      <c r="Q37" s="58"/>
      <c r="R37" s="58"/>
      <c r="S37" s="58"/>
      <c r="T37" s="58"/>
      <c r="U37" s="58"/>
      <c r="V37" s="58"/>
      <c r="W37" s="58"/>
      <c r="X37" s="58"/>
      <c r="Y37" s="58"/>
      <c r="Z37" s="58"/>
    </row>
    <row r="38" spans="1:26" ht="15.75" customHeight="1">
      <c r="A38" s="3"/>
      <c r="B38" s="124" t="s">
        <v>91</v>
      </c>
      <c r="C38" s="117">
        <f t="shared" si="4"/>
        <v>2027</v>
      </c>
      <c r="D38" s="304">
        <f t="shared" si="9"/>
        <v>0</v>
      </c>
      <c r="E38" s="119" t="e">
        <f t="shared" si="10"/>
        <v>#DIV/0!</v>
      </c>
      <c r="F38" s="120" t="e">
        <f t="shared" si="16"/>
        <v>#DIV/0!</v>
      </c>
      <c r="G38" s="121" t="e">
        <f t="shared" si="11"/>
        <v>#DIV/0!</v>
      </c>
      <c r="H38" s="120">
        <f t="shared" si="6"/>
        <v>0</v>
      </c>
      <c r="I38" s="121" t="e">
        <f t="shared" si="13"/>
        <v>#DIV/0!</v>
      </c>
      <c r="J38" s="305" t="e">
        <f t="shared" si="7"/>
        <v>#VALUE!</v>
      </c>
      <c r="K38" s="307">
        <f t="shared" si="12"/>
        <v>0</v>
      </c>
      <c r="L38" s="121" t="e">
        <f t="shared" si="14"/>
        <v>#DIV/0!</v>
      </c>
      <c r="M38" s="306" t="e">
        <f t="shared" si="8"/>
        <v>#VALUE!</v>
      </c>
      <c r="N38" s="122" t="e">
        <f t="shared" si="15"/>
        <v>#VALUE!</v>
      </c>
      <c r="O38" s="118"/>
      <c r="P38" s="123"/>
      <c r="Q38" s="58"/>
      <c r="R38" s="58"/>
      <c r="S38" s="58"/>
      <c r="T38" s="58"/>
      <c r="U38" s="58"/>
      <c r="V38" s="58"/>
      <c r="W38" s="58"/>
      <c r="X38" s="58"/>
      <c r="Y38" s="58"/>
      <c r="Z38" s="58"/>
    </row>
    <row r="39" spans="1:26" ht="15.75" customHeight="1">
      <c r="A39" s="3"/>
      <c r="B39" s="124" t="s">
        <v>92</v>
      </c>
      <c r="C39" s="117">
        <f t="shared" si="4"/>
        <v>2027</v>
      </c>
      <c r="D39" s="304">
        <f t="shared" si="9"/>
        <v>0</v>
      </c>
      <c r="E39" s="119" t="e">
        <f t="shared" si="10"/>
        <v>#DIV/0!</v>
      </c>
      <c r="F39" s="120" t="e">
        <f t="shared" si="16"/>
        <v>#DIV/0!</v>
      </c>
      <c r="G39" s="121" t="e">
        <f t="shared" si="11"/>
        <v>#DIV/0!</v>
      </c>
      <c r="H39" s="120">
        <f t="shared" si="6"/>
        <v>0</v>
      </c>
      <c r="I39" s="121" t="e">
        <f t="shared" si="13"/>
        <v>#DIV/0!</v>
      </c>
      <c r="J39" s="305" t="e">
        <f t="shared" si="7"/>
        <v>#VALUE!</v>
      </c>
      <c r="K39" s="307">
        <f t="shared" si="12"/>
        <v>0</v>
      </c>
      <c r="L39" s="121" t="e">
        <f t="shared" si="14"/>
        <v>#DIV/0!</v>
      </c>
      <c r="M39" s="306" t="e">
        <f t="shared" si="8"/>
        <v>#VALUE!</v>
      </c>
      <c r="N39" s="122" t="e">
        <f t="shared" si="15"/>
        <v>#VALUE!</v>
      </c>
      <c r="O39" s="118"/>
      <c r="P39" s="123"/>
      <c r="Q39" s="58"/>
      <c r="R39" s="58"/>
      <c r="S39" s="58"/>
      <c r="T39" s="58"/>
      <c r="U39" s="58"/>
      <c r="V39" s="58"/>
      <c r="W39" s="58"/>
      <c r="X39" s="58"/>
      <c r="Y39" s="58"/>
      <c r="Z39" s="58"/>
    </row>
    <row r="40" spans="1:26" ht="15.75" customHeight="1">
      <c r="A40" s="3"/>
      <c r="B40" s="124" t="s">
        <v>93</v>
      </c>
      <c r="C40" s="117">
        <f t="shared" si="4"/>
        <v>2027</v>
      </c>
      <c r="D40" s="304">
        <f t="shared" si="9"/>
        <v>0</v>
      </c>
      <c r="E40" s="119" t="e">
        <f t="shared" si="10"/>
        <v>#DIV/0!</v>
      </c>
      <c r="F40" s="120" t="e">
        <f t="shared" si="16"/>
        <v>#DIV/0!</v>
      </c>
      <c r="G40" s="121" t="e">
        <f t="shared" si="11"/>
        <v>#DIV/0!</v>
      </c>
      <c r="H40" s="120">
        <f t="shared" si="6"/>
        <v>0</v>
      </c>
      <c r="I40" s="121" t="e">
        <f t="shared" si="13"/>
        <v>#DIV/0!</v>
      </c>
      <c r="J40" s="305" t="e">
        <f t="shared" si="7"/>
        <v>#VALUE!</v>
      </c>
      <c r="K40" s="307">
        <f t="shared" si="12"/>
        <v>0</v>
      </c>
      <c r="L40" s="121" t="e">
        <f t="shared" si="14"/>
        <v>#DIV/0!</v>
      </c>
      <c r="M40" s="306" t="e">
        <f t="shared" si="8"/>
        <v>#VALUE!</v>
      </c>
      <c r="N40" s="122" t="e">
        <f t="shared" si="15"/>
        <v>#VALUE!</v>
      </c>
      <c r="O40" s="118"/>
      <c r="P40" s="123"/>
      <c r="Q40" s="58"/>
      <c r="R40" s="58"/>
      <c r="S40" s="58"/>
      <c r="T40" s="58"/>
      <c r="U40" s="58"/>
      <c r="V40" s="58"/>
      <c r="W40" s="58"/>
      <c r="X40" s="58"/>
      <c r="Y40" s="58"/>
      <c r="Z40" s="58"/>
    </row>
    <row r="41" spans="1:26" ht="15.75" customHeight="1">
      <c r="A41" s="3"/>
      <c r="B41" s="124" t="s">
        <v>94</v>
      </c>
      <c r="C41" s="117">
        <f t="shared" si="4"/>
        <v>2027</v>
      </c>
      <c r="D41" s="304">
        <f t="shared" si="9"/>
        <v>0</v>
      </c>
      <c r="E41" s="119" t="e">
        <f t="shared" si="10"/>
        <v>#DIV/0!</v>
      </c>
      <c r="F41" s="120" t="e">
        <f t="shared" si="16"/>
        <v>#DIV/0!</v>
      </c>
      <c r="G41" s="121" t="e">
        <f t="shared" si="11"/>
        <v>#DIV/0!</v>
      </c>
      <c r="H41" s="120">
        <f t="shared" si="6"/>
        <v>0</v>
      </c>
      <c r="I41" s="121" t="e">
        <f t="shared" si="13"/>
        <v>#DIV/0!</v>
      </c>
      <c r="J41" s="305" t="e">
        <f t="shared" si="7"/>
        <v>#VALUE!</v>
      </c>
      <c r="K41" s="307">
        <f t="shared" si="12"/>
        <v>0</v>
      </c>
      <c r="L41" s="121" t="e">
        <f t="shared" si="14"/>
        <v>#DIV/0!</v>
      </c>
      <c r="M41" s="306">
        <f t="shared" si="8"/>
        <v>0</v>
      </c>
      <c r="N41" s="122" t="e">
        <f t="shared" si="15"/>
        <v>#VALUE!</v>
      </c>
      <c r="O41" s="118"/>
      <c r="P41" s="123"/>
      <c r="Q41" s="58"/>
      <c r="R41" s="58"/>
      <c r="S41" s="58"/>
      <c r="T41" s="58"/>
      <c r="U41" s="58"/>
      <c r="V41" s="58"/>
      <c r="W41" s="58"/>
      <c r="X41" s="58"/>
      <c r="Y41" s="58"/>
      <c r="Z41" s="58"/>
    </row>
    <row r="42" spans="1:26" ht="15.75" customHeight="1" thickBot="1">
      <c r="A42" s="3"/>
      <c r="B42" s="125"/>
      <c r="C42" s="126"/>
      <c r="D42" s="303"/>
      <c r="E42" s="128"/>
      <c r="F42" s="127"/>
      <c r="G42" s="129"/>
      <c r="H42" s="127"/>
      <c r="I42" s="129"/>
      <c r="J42" s="305"/>
      <c r="K42" s="130"/>
      <c r="L42" s="129"/>
      <c r="M42" s="131"/>
      <c r="N42" s="132"/>
      <c r="O42" s="127"/>
      <c r="P42" s="133"/>
    </row>
    <row r="43" spans="1:26" ht="15.75" customHeight="1">
      <c r="A43" s="3"/>
    </row>
    <row r="44" spans="1:26" ht="19.5" customHeight="1">
      <c r="A44" s="3"/>
      <c r="B44" s="952" t="s">
        <v>108</v>
      </c>
      <c r="C44" s="948"/>
      <c r="D44" s="948"/>
      <c r="E44" s="948"/>
      <c r="F44" s="948"/>
      <c r="G44" s="948"/>
      <c r="H44" s="948"/>
      <c r="I44" s="948"/>
      <c r="J44" s="948"/>
      <c r="K44" s="948"/>
      <c r="L44" s="948"/>
      <c r="M44" s="948"/>
    </row>
    <row r="45" spans="1:26" ht="15.75" customHeight="1">
      <c r="A45" s="3"/>
      <c r="B45" s="948"/>
      <c r="C45" s="948"/>
      <c r="D45" s="948"/>
      <c r="E45" s="948"/>
      <c r="F45" s="948"/>
      <c r="G45" s="948"/>
      <c r="H45" s="948"/>
      <c r="I45" s="948"/>
      <c r="J45" s="948"/>
      <c r="K45" s="948"/>
      <c r="L45" s="948"/>
      <c r="M45" s="948"/>
    </row>
    <row r="46" spans="1:26" ht="15.75" customHeight="1">
      <c r="A46" s="3"/>
      <c r="B46" s="135"/>
      <c r="C46" s="134"/>
      <c r="D46" s="134"/>
      <c r="E46" s="134"/>
      <c r="F46" s="134"/>
      <c r="G46" s="134"/>
      <c r="H46" s="134"/>
      <c r="I46" s="134"/>
      <c r="J46" s="134"/>
      <c r="K46" s="134"/>
      <c r="L46" s="134"/>
      <c r="M46" s="134"/>
    </row>
    <row r="47" spans="1:26" ht="15.75" customHeight="1">
      <c r="A47" s="3"/>
      <c r="B47" s="134"/>
      <c r="C47" s="134"/>
      <c r="D47" s="134"/>
      <c r="E47" s="134"/>
      <c r="F47" s="134"/>
      <c r="G47" s="134"/>
      <c r="H47" s="134"/>
      <c r="I47" s="134"/>
      <c r="J47" s="134"/>
      <c r="K47" s="134"/>
      <c r="L47" s="134"/>
      <c r="M47" s="134"/>
    </row>
    <row r="48" spans="1:26" ht="30.75" customHeight="1">
      <c r="A48" s="3"/>
      <c r="B48" s="106" t="s">
        <v>109</v>
      </c>
    </row>
    <row r="49" spans="1:26" ht="30.75" customHeight="1">
      <c r="A49" s="3"/>
      <c r="B49" s="136"/>
      <c r="C49" s="58"/>
      <c r="D49" s="58"/>
      <c r="E49" s="58"/>
      <c r="F49" s="58"/>
      <c r="G49" s="58"/>
      <c r="H49" s="58"/>
      <c r="I49" s="58"/>
      <c r="J49" s="58"/>
      <c r="K49" s="58"/>
      <c r="L49" s="58"/>
      <c r="M49" s="58"/>
      <c r="N49" s="58"/>
      <c r="O49" s="58"/>
      <c r="P49" s="58"/>
      <c r="Q49" s="58"/>
      <c r="R49" s="58"/>
      <c r="S49" s="58"/>
      <c r="T49" s="58"/>
      <c r="U49" s="58"/>
      <c r="V49" s="58"/>
      <c r="W49" s="58"/>
      <c r="X49" s="58"/>
      <c r="Y49" s="58"/>
      <c r="Z49" s="58"/>
    </row>
    <row r="50" spans="1:26" ht="15.75" customHeight="1">
      <c r="A50" s="3"/>
      <c r="B50" s="58"/>
      <c r="C50" s="58"/>
      <c r="D50" s="58"/>
      <c r="E50" s="58"/>
      <c r="F50" s="58"/>
      <c r="G50" s="58"/>
      <c r="H50" s="950" t="s">
        <v>110</v>
      </c>
      <c r="I50" s="951"/>
      <c r="J50" s="950" t="s">
        <v>111</v>
      </c>
      <c r="K50" s="951"/>
    </row>
    <row r="51" spans="1:26" ht="66.75" customHeight="1">
      <c r="A51" s="3"/>
      <c r="B51" s="66" t="s">
        <v>69</v>
      </c>
      <c r="C51" s="66" t="s">
        <v>70</v>
      </c>
      <c r="D51" s="66" t="s">
        <v>112</v>
      </c>
      <c r="E51" s="66" t="s">
        <v>113</v>
      </c>
      <c r="F51" s="66" t="s">
        <v>114</v>
      </c>
      <c r="G51" s="66" t="s">
        <v>115</v>
      </c>
      <c r="H51" s="66" t="s">
        <v>116</v>
      </c>
      <c r="I51" s="66" t="s">
        <v>117</v>
      </c>
      <c r="J51" s="66" t="s">
        <v>118</v>
      </c>
      <c r="K51" s="66" t="s">
        <v>119</v>
      </c>
    </row>
    <row r="52" spans="1:26" ht="15.75" customHeight="1">
      <c r="A52" s="3"/>
      <c r="B52" s="137" t="s">
        <v>43</v>
      </c>
      <c r="C52" s="138">
        <f t="shared" ref="C52:C59" si="17">+C9</f>
        <v>2026</v>
      </c>
      <c r="D52" s="139">
        <f>+F9</f>
        <v>579.27325090813383</v>
      </c>
      <c r="E52" s="140"/>
      <c r="F52" s="789"/>
      <c r="G52" s="140"/>
      <c r="H52" s="141" t="e">
        <f t="shared" ref="H52:H63" si="18">+(D52*1000)/F52</f>
        <v>#DIV/0!</v>
      </c>
      <c r="I52" s="142"/>
      <c r="J52" s="143" t="e">
        <f t="shared" ref="J52:J63" si="19">+M9/F52</f>
        <v>#DIV/0!</v>
      </c>
      <c r="K52" s="144"/>
    </row>
    <row r="53" spans="1:26" ht="15.75" customHeight="1">
      <c r="A53" s="3"/>
      <c r="B53" s="107" t="s">
        <v>89</v>
      </c>
      <c r="C53" s="138">
        <f t="shared" si="17"/>
        <v>2026</v>
      </c>
      <c r="D53" s="139">
        <f>+F10</f>
        <v>483.75910558297863</v>
      </c>
      <c r="E53" s="145">
        <f t="shared" ref="E53:E63" si="20">+(D53/D52)-1</f>
        <v>-0.16488616585595228</v>
      </c>
      <c r="F53" s="789"/>
      <c r="G53" s="145" t="e">
        <f t="shared" ref="G53:G63" si="21">+(F53/F52)-1</f>
        <v>#DIV/0!</v>
      </c>
      <c r="H53" s="141" t="e">
        <f t="shared" si="18"/>
        <v>#DIV/0!</v>
      </c>
      <c r="I53" s="146" t="e">
        <f t="shared" ref="I53:I63" si="22">+(H53/H52)-1</f>
        <v>#DIV/0!</v>
      </c>
      <c r="J53" s="143" t="e">
        <f t="shared" si="19"/>
        <v>#DIV/0!</v>
      </c>
      <c r="K53" s="147" t="e">
        <f t="shared" ref="K53:K63" si="23">+(J53/J52)-1</f>
        <v>#DIV/0!</v>
      </c>
      <c r="L53" s="58"/>
      <c r="M53" s="58"/>
      <c r="N53" s="58"/>
      <c r="O53" s="58"/>
      <c r="P53" s="58"/>
      <c r="Q53" s="58"/>
      <c r="R53" s="58"/>
      <c r="S53" s="58"/>
      <c r="T53" s="58"/>
      <c r="U53" s="58"/>
      <c r="V53" s="58"/>
      <c r="W53" s="58"/>
      <c r="X53" s="58"/>
      <c r="Y53" s="58"/>
      <c r="Z53" s="58"/>
    </row>
    <row r="54" spans="1:26" ht="15.75" customHeight="1">
      <c r="A54" s="3"/>
      <c r="B54" s="124" t="s">
        <v>49</v>
      </c>
      <c r="C54" s="138">
        <f t="shared" si="17"/>
        <v>2026</v>
      </c>
      <c r="D54" s="139">
        <f>+F11</f>
        <v>472.89725981189628</v>
      </c>
      <c r="E54" s="145">
        <f t="shared" si="20"/>
        <v>-2.2453005319647112E-2</v>
      </c>
      <c r="F54" s="789"/>
      <c r="G54" s="145" t="e">
        <f t="shared" si="21"/>
        <v>#DIV/0!</v>
      </c>
      <c r="H54" s="141" t="e">
        <f t="shared" si="18"/>
        <v>#DIV/0!</v>
      </c>
      <c r="I54" s="146" t="e">
        <f t="shared" si="22"/>
        <v>#DIV/0!</v>
      </c>
      <c r="J54" s="143" t="e">
        <f t="shared" si="19"/>
        <v>#DIV/0!</v>
      </c>
      <c r="K54" s="147" t="e">
        <f t="shared" si="23"/>
        <v>#DIV/0!</v>
      </c>
      <c r="L54" s="58"/>
      <c r="M54" s="58"/>
      <c r="N54" s="58"/>
      <c r="O54" s="58"/>
      <c r="P54" s="58"/>
      <c r="Q54" s="58"/>
      <c r="R54" s="58"/>
      <c r="S54" s="58"/>
      <c r="T54" s="58"/>
      <c r="U54" s="58"/>
      <c r="V54" s="58"/>
      <c r="W54" s="58"/>
      <c r="X54" s="58"/>
      <c r="Y54" s="58"/>
      <c r="Z54" s="58"/>
    </row>
    <row r="55" spans="1:26" ht="15.75" customHeight="1">
      <c r="A55" s="3"/>
      <c r="B55" s="124" t="s">
        <v>90</v>
      </c>
      <c r="C55" s="138">
        <f t="shared" si="17"/>
        <v>2026</v>
      </c>
      <c r="D55" s="139" t="e">
        <f>+F12</f>
        <v>#DIV/0!</v>
      </c>
      <c r="E55" s="145" t="e">
        <f t="shared" si="20"/>
        <v>#DIV/0!</v>
      </c>
      <c r="F55" s="789"/>
      <c r="G55" s="145" t="e">
        <f t="shared" si="21"/>
        <v>#DIV/0!</v>
      </c>
      <c r="H55" s="141" t="e">
        <f t="shared" si="18"/>
        <v>#DIV/0!</v>
      </c>
      <c r="I55" s="146" t="e">
        <f t="shared" si="22"/>
        <v>#DIV/0!</v>
      </c>
      <c r="J55" s="143" t="e">
        <f t="shared" si="19"/>
        <v>#DIV/0!</v>
      </c>
      <c r="K55" s="147" t="e">
        <f t="shared" si="23"/>
        <v>#DIV/0!</v>
      </c>
      <c r="L55" s="58"/>
      <c r="M55" s="58"/>
      <c r="N55" s="58"/>
      <c r="O55" s="58"/>
      <c r="P55" s="58"/>
      <c r="Q55" s="58"/>
      <c r="R55" s="58"/>
      <c r="S55" s="58"/>
      <c r="T55" s="58"/>
      <c r="U55" s="58"/>
      <c r="V55" s="58"/>
      <c r="W55" s="58"/>
      <c r="X55" s="58"/>
      <c r="Y55" s="58"/>
      <c r="Z55" s="58"/>
    </row>
    <row r="56" spans="1:26" ht="15.75" customHeight="1">
      <c r="A56" s="3"/>
      <c r="B56" s="124" t="s">
        <v>51</v>
      </c>
      <c r="C56" s="138">
        <f t="shared" si="17"/>
        <v>2026</v>
      </c>
      <c r="D56" s="139" t="e">
        <f>+F13</f>
        <v>#DIV/0!</v>
      </c>
      <c r="E56" s="145" t="e">
        <f t="shared" si="20"/>
        <v>#DIV/0!</v>
      </c>
      <c r="F56" s="789"/>
      <c r="G56" s="145" t="e">
        <f t="shared" si="21"/>
        <v>#DIV/0!</v>
      </c>
      <c r="H56" s="141" t="e">
        <f t="shared" si="18"/>
        <v>#DIV/0!</v>
      </c>
      <c r="I56" s="146" t="e">
        <f t="shared" si="22"/>
        <v>#DIV/0!</v>
      </c>
      <c r="J56" s="143" t="e">
        <f t="shared" si="19"/>
        <v>#DIV/0!</v>
      </c>
      <c r="K56" s="147" t="e">
        <f t="shared" si="23"/>
        <v>#DIV/0!</v>
      </c>
      <c r="L56" s="58"/>
      <c r="M56" s="58"/>
      <c r="N56" s="58"/>
      <c r="O56" s="58"/>
      <c r="P56" s="58"/>
      <c r="Q56" s="58"/>
      <c r="R56" s="58"/>
      <c r="S56" s="58"/>
      <c r="T56" s="58"/>
      <c r="U56" s="58"/>
      <c r="V56" s="58"/>
      <c r="W56" s="58"/>
      <c r="X56" s="58"/>
      <c r="Y56" s="58"/>
      <c r="Z56" s="58"/>
    </row>
    <row r="57" spans="1:26" ht="15.75" customHeight="1">
      <c r="A57" s="3"/>
      <c r="B57" s="124" t="s">
        <v>52</v>
      </c>
      <c r="C57" s="138">
        <f t="shared" si="17"/>
        <v>2026</v>
      </c>
      <c r="D57" s="139" t="e">
        <f>+ACUMULADOS!J17</f>
        <v>#DIV/0!</v>
      </c>
      <c r="E57" s="145" t="e">
        <f t="shared" si="20"/>
        <v>#DIV/0!</v>
      </c>
      <c r="F57" s="789"/>
      <c r="G57" s="145" t="e">
        <f t="shared" si="21"/>
        <v>#DIV/0!</v>
      </c>
      <c r="H57" s="141" t="e">
        <f t="shared" si="18"/>
        <v>#DIV/0!</v>
      </c>
      <c r="I57" s="146" t="e">
        <f t="shared" si="22"/>
        <v>#DIV/0!</v>
      </c>
      <c r="J57" s="143" t="e">
        <f t="shared" si="19"/>
        <v>#DIV/0!</v>
      </c>
      <c r="K57" s="147" t="e">
        <f t="shared" si="23"/>
        <v>#DIV/0!</v>
      </c>
      <c r="L57" s="58"/>
      <c r="M57" s="58"/>
      <c r="N57" s="58"/>
      <c r="O57" s="58"/>
      <c r="P57" s="58"/>
      <c r="Q57" s="58"/>
      <c r="R57" s="58"/>
      <c r="S57" s="58"/>
      <c r="T57" s="58"/>
      <c r="U57" s="58"/>
      <c r="V57" s="58"/>
      <c r="W57" s="58"/>
      <c r="X57" s="58"/>
      <c r="Y57" s="58"/>
      <c r="Z57" s="58"/>
    </row>
    <row r="58" spans="1:26" ht="15.75" customHeight="1">
      <c r="A58" s="3"/>
      <c r="B58" s="124" t="s">
        <v>53</v>
      </c>
      <c r="C58" s="138">
        <f t="shared" si="17"/>
        <v>2026</v>
      </c>
      <c r="D58" s="139" t="e">
        <f>+ACUMULADOS!J20</f>
        <v>#DIV/0!</v>
      </c>
      <c r="E58" s="145" t="e">
        <f t="shared" si="20"/>
        <v>#DIV/0!</v>
      </c>
      <c r="F58" s="789"/>
      <c r="G58" s="145" t="e">
        <f t="shared" si="21"/>
        <v>#DIV/0!</v>
      </c>
      <c r="H58" s="141" t="e">
        <f t="shared" si="18"/>
        <v>#DIV/0!</v>
      </c>
      <c r="I58" s="146" t="e">
        <f t="shared" si="22"/>
        <v>#DIV/0!</v>
      </c>
      <c r="J58" s="143" t="e">
        <f t="shared" si="19"/>
        <v>#DIV/0!</v>
      </c>
      <c r="K58" s="147" t="e">
        <f t="shared" si="23"/>
        <v>#DIV/0!</v>
      </c>
      <c r="L58" s="58"/>
      <c r="M58" s="58"/>
      <c r="N58" s="58"/>
      <c r="O58" s="58"/>
      <c r="P58" s="58"/>
      <c r="Q58" s="58"/>
      <c r="R58" s="58"/>
      <c r="S58" s="58"/>
      <c r="T58" s="58"/>
      <c r="U58" s="58"/>
      <c r="V58" s="58"/>
      <c r="W58" s="58"/>
      <c r="X58" s="58"/>
      <c r="Y58" s="58"/>
      <c r="Z58" s="58"/>
    </row>
    <row r="59" spans="1:26" ht="15.75" customHeight="1">
      <c r="A59" s="3"/>
      <c r="B59" s="124" t="s">
        <v>58</v>
      </c>
      <c r="C59" s="138">
        <f t="shared" si="17"/>
        <v>2026</v>
      </c>
      <c r="D59" s="139" t="e">
        <f>+ACUMULADOS!J23</f>
        <v>#DIV/0!</v>
      </c>
      <c r="E59" s="145" t="e">
        <f t="shared" si="20"/>
        <v>#DIV/0!</v>
      </c>
      <c r="F59" s="789"/>
      <c r="G59" s="145" t="e">
        <f t="shared" si="21"/>
        <v>#DIV/0!</v>
      </c>
      <c r="H59" s="141" t="e">
        <f t="shared" si="18"/>
        <v>#DIV/0!</v>
      </c>
      <c r="I59" s="146" t="e">
        <f t="shared" si="22"/>
        <v>#DIV/0!</v>
      </c>
      <c r="J59" s="143" t="e">
        <f t="shared" si="19"/>
        <v>#DIV/0!</v>
      </c>
      <c r="K59" s="147" t="e">
        <f t="shared" si="23"/>
        <v>#DIV/0!</v>
      </c>
      <c r="L59" s="58"/>
      <c r="M59" s="58"/>
      <c r="N59" s="58"/>
      <c r="O59" s="58"/>
      <c r="P59" s="58"/>
      <c r="Q59" s="58"/>
      <c r="R59" s="58"/>
      <c r="S59" s="58"/>
      <c r="T59" s="58"/>
      <c r="U59" s="58"/>
      <c r="V59" s="58"/>
      <c r="W59" s="58"/>
      <c r="X59" s="58"/>
      <c r="Y59" s="58"/>
      <c r="Z59" s="58"/>
    </row>
    <row r="60" spans="1:26" ht="15.75" customHeight="1">
      <c r="A60" s="3"/>
      <c r="B60" s="124" t="s">
        <v>91</v>
      </c>
      <c r="C60" s="138">
        <v>2025</v>
      </c>
      <c r="D60" s="139" t="e">
        <f>+ACUMULADOS!J26</f>
        <v>#DIV/0!</v>
      </c>
      <c r="E60" s="145" t="e">
        <f t="shared" si="20"/>
        <v>#DIV/0!</v>
      </c>
      <c r="F60" s="789"/>
      <c r="G60" s="145" t="e">
        <f t="shared" si="21"/>
        <v>#DIV/0!</v>
      </c>
      <c r="H60" s="141" t="e">
        <f t="shared" si="18"/>
        <v>#DIV/0!</v>
      </c>
      <c r="I60" s="146" t="e">
        <f t="shared" si="22"/>
        <v>#DIV/0!</v>
      </c>
      <c r="J60" s="143" t="e">
        <f t="shared" si="19"/>
        <v>#DIV/0!</v>
      </c>
      <c r="K60" s="147" t="e">
        <f t="shared" si="23"/>
        <v>#DIV/0!</v>
      </c>
      <c r="L60" s="58"/>
      <c r="M60" s="58"/>
      <c r="N60" s="58"/>
      <c r="O60" s="58"/>
      <c r="P60" s="58"/>
      <c r="Q60" s="58"/>
      <c r="R60" s="58"/>
      <c r="S60" s="58"/>
      <c r="T60" s="58"/>
      <c r="U60" s="58"/>
      <c r="V60" s="58"/>
      <c r="W60" s="58"/>
      <c r="X60" s="58"/>
      <c r="Y60" s="58"/>
      <c r="Z60" s="58"/>
    </row>
    <row r="61" spans="1:26" ht="15.75" customHeight="1">
      <c r="A61" s="3"/>
      <c r="B61" s="124" t="s">
        <v>92</v>
      </c>
      <c r="C61" s="138">
        <v>2025</v>
      </c>
      <c r="D61" s="139" t="e">
        <f>+ACUMULADOS!J29</f>
        <v>#DIV/0!</v>
      </c>
      <c r="E61" s="145" t="e">
        <f t="shared" si="20"/>
        <v>#DIV/0!</v>
      </c>
      <c r="F61" s="789"/>
      <c r="G61" s="145" t="e">
        <f t="shared" si="21"/>
        <v>#DIV/0!</v>
      </c>
      <c r="H61" s="141" t="e">
        <f t="shared" si="18"/>
        <v>#DIV/0!</v>
      </c>
      <c r="I61" s="146" t="e">
        <f t="shared" si="22"/>
        <v>#DIV/0!</v>
      </c>
      <c r="J61" s="143" t="e">
        <f t="shared" si="19"/>
        <v>#DIV/0!</v>
      </c>
      <c r="K61" s="147" t="e">
        <f t="shared" si="23"/>
        <v>#DIV/0!</v>
      </c>
      <c r="L61" s="58"/>
      <c r="M61" s="58"/>
      <c r="N61" s="58"/>
      <c r="O61" s="58"/>
      <c r="P61" s="58"/>
      <c r="Q61" s="58"/>
      <c r="R61" s="58"/>
      <c r="S61" s="58"/>
      <c r="T61" s="58"/>
      <c r="U61" s="58"/>
      <c r="V61" s="58"/>
      <c r="W61" s="58"/>
      <c r="X61" s="58"/>
      <c r="Y61" s="58"/>
      <c r="Z61" s="58"/>
    </row>
    <row r="62" spans="1:26" ht="15.75" customHeight="1">
      <c r="A62" s="3"/>
      <c r="B62" s="124" t="s">
        <v>93</v>
      </c>
      <c r="C62" s="138">
        <v>2025</v>
      </c>
      <c r="D62" s="139" t="e">
        <f>+ACUMULADOS!J32</f>
        <v>#DIV/0!</v>
      </c>
      <c r="E62" s="145" t="e">
        <f t="shared" si="20"/>
        <v>#DIV/0!</v>
      </c>
      <c r="F62" s="789"/>
      <c r="G62" s="145" t="e">
        <f t="shared" si="21"/>
        <v>#DIV/0!</v>
      </c>
      <c r="H62" s="141" t="e">
        <f t="shared" si="18"/>
        <v>#DIV/0!</v>
      </c>
      <c r="I62" s="146" t="e">
        <f t="shared" si="22"/>
        <v>#DIV/0!</v>
      </c>
      <c r="J62" s="143" t="e">
        <f t="shared" si="19"/>
        <v>#DIV/0!</v>
      </c>
      <c r="K62" s="147" t="e">
        <f t="shared" si="23"/>
        <v>#DIV/0!</v>
      </c>
      <c r="L62" s="58"/>
      <c r="M62" s="58"/>
      <c r="N62" s="58"/>
      <c r="O62" s="58"/>
      <c r="P62" s="58"/>
      <c r="Q62" s="58"/>
      <c r="R62" s="58"/>
      <c r="S62" s="58"/>
      <c r="T62" s="58"/>
      <c r="U62" s="58"/>
      <c r="V62" s="58"/>
      <c r="W62" s="58"/>
      <c r="X62" s="58"/>
      <c r="Y62" s="58"/>
      <c r="Z62" s="58"/>
    </row>
    <row r="63" spans="1:26" ht="15.75" customHeight="1">
      <c r="A63" s="3"/>
      <c r="B63" s="124" t="s">
        <v>94</v>
      </c>
      <c r="C63" s="138">
        <v>2025</v>
      </c>
      <c r="D63" s="139" t="e">
        <f>+ACUMULADOS!J35</f>
        <v>#DIV/0!</v>
      </c>
      <c r="E63" s="145" t="e">
        <f t="shared" si="20"/>
        <v>#DIV/0!</v>
      </c>
      <c r="F63" s="789"/>
      <c r="G63" s="145" t="e">
        <f t="shared" si="21"/>
        <v>#DIV/0!</v>
      </c>
      <c r="H63" s="141" t="e">
        <f t="shared" si="18"/>
        <v>#DIV/0!</v>
      </c>
      <c r="I63" s="146" t="e">
        <f t="shared" si="22"/>
        <v>#DIV/0!</v>
      </c>
      <c r="J63" s="143" t="e">
        <f t="shared" si="19"/>
        <v>#DIV/0!</v>
      </c>
      <c r="K63" s="147" t="e">
        <f t="shared" si="23"/>
        <v>#DIV/0!</v>
      </c>
      <c r="L63" s="58"/>
      <c r="M63" s="58"/>
      <c r="N63" s="58"/>
      <c r="O63" s="58"/>
      <c r="P63" s="58"/>
      <c r="Q63" s="58"/>
      <c r="R63" s="58"/>
      <c r="S63" s="58"/>
      <c r="T63" s="58"/>
      <c r="U63" s="58"/>
      <c r="V63" s="58"/>
      <c r="W63" s="58"/>
      <c r="X63" s="58"/>
      <c r="Y63" s="58"/>
      <c r="Z63" s="58"/>
    </row>
    <row r="64" spans="1:26" ht="15.75" customHeight="1">
      <c r="A64" s="3"/>
      <c r="B64" s="148"/>
      <c r="C64" s="149"/>
      <c r="D64" s="150"/>
      <c r="E64" s="129"/>
      <c r="F64" s="151"/>
      <c r="G64" s="129"/>
      <c r="H64" s="151"/>
      <c r="I64" s="133"/>
      <c r="J64" s="152"/>
      <c r="K64" s="133"/>
    </row>
    <row r="65" spans="1:26" ht="15.75" customHeight="1">
      <c r="A65" s="3"/>
    </row>
    <row r="66" spans="1:26" ht="15.75" customHeight="1">
      <c r="A66" s="3"/>
      <c r="B66" s="952" t="s">
        <v>120</v>
      </c>
      <c r="C66" s="948"/>
      <c r="D66" s="948"/>
      <c r="E66" s="948"/>
      <c r="F66" s="948"/>
      <c r="G66" s="948"/>
      <c r="H66" s="948"/>
      <c r="I66" s="948"/>
      <c r="J66" s="948"/>
      <c r="K66" s="948"/>
      <c r="L66" s="58"/>
      <c r="M66" s="58"/>
      <c r="N66" s="58"/>
      <c r="O66" s="58"/>
      <c r="P66" s="58"/>
      <c r="Q66" s="58"/>
      <c r="R66" s="58"/>
      <c r="S66" s="58"/>
      <c r="T66" s="58"/>
      <c r="U66" s="58"/>
      <c r="V66" s="58"/>
      <c r="W66" s="58"/>
      <c r="X66" s="58"/>
      <c r="Y66" s="58"/>
      <c r="Z66" s="58"/>
    </row>
    <row r="67" spans="1:26" ht="18.75" customHeight="1">
      <c r="A67" s="3"/>
      <c r="B67" s="948"/>
      <c r="C67" s="948"/>
      <c r="D67" s="948"/>
      <c r="E67" s="948"/>
      <c r="F67" s="948"/>
      <c r="G67" s="948"/>
      <c r="H67" s="948"/>
      <c r="I67" s="948"/>
      <c r="J67" s="948"/>
      <c r="K67" s="948"/>
      <c r="L67" s="58"/>
      <c r="M67" s="58"/>
      <c r="N67" s="58"/>
      <c r="O67" s="58"/>
      <c r="P67" s="58"/>
      <c r="Q67" s="58"/>
      <c r="R67" s="58"/>
      <c r="S67" s="58"/>
      <c r="T67" s="58"/>
      <c r="U67" s="58"/>
      <c r="V67" s="58"/>
      <c r="W67" s="58"/>
      <c r="X67" s="58"/>
      <c r="Y67" s="58"/>
      <c r="Z67" s="58"/>
    </row>
    <row r="68" spans="1:26" ht="15" customHeight="1">
      <c r="A68" s="3"/>
      <c r="B68" s="153" t="s">
        <v>121</v>
      </c>
      <c r="C68" s="153"/>
      <c r="D68" s="153"/>
      <c r="E68" s="153"/>
      <c r="F68" s="153"/>
      <c r="G68" s="153"/>
      <c r="H68" s="153"/>
      <c r="I68" s="153"/>
    </row>
    <row r="69" spans="1:26" ht="21.75" customHeight="1">
      <c r="A69" s="3"/>
      <c r="B69" s="153"/>
      <c r="C69" s="153" t="s">
        <v>122</v>
      </c>
      <c r="D69" s="154" t="s">
        <v>123</v>
      </c>
      <c r="E69" s="153"/>
      <c r="F69" s="153"/>
      <c r="G69" s="153"/>
      <c r="H69" s="153"/>
      <c r="I69" s="153"/>
      <c r="J69" s="153"/>
      <c r="K69" s="153"/>
      <c r="L69" s="153"/>
      <c r="M69" s="153"/>
    </row>
    <row r="70" spans="1:26" ht="15.75" customHeight="1">
      <c r="A70" s="3"/>
    </row>
    <row r="71" spans="1:26" ht="15.75" customHeight="1">
      <c r="A71" s="3"/>
    </row>
    <row r="72" spans="1:26" ht="15.75" customHeight="1">
      <c r="A72" s="3"/>
    </row>
    <row r="73" spans="1:26" ht="15.75" customHeight="1">
      <c r="A73" s="3"/>
    </row>
    <row r="74" spans="1:26" ht="15.75" customHeight="1">
      <c r="A74" s="3"/>
    </row>
    <row r="75" spans="1:26" ht="15.75" customHeight="1">
      <c r="A75" s="3"/>
    </row>
    <row r="76" spans="1:26" ht="15.75" customHeight="1">
      <c r="A76" s="3"/>
    </row>
    <row r="77" spans="1:26" ht="15.75" customHeight="1">
      <c r="A77" s="3"/>
    </row>
    <row r="78" spans="1:26" ht="15.75" customHeight="1">
      <c r="A78" s="3"/>
    </row>
    <row r="79" spans="1:26" ht="15.75" customHeight="1">
      <c r="A79" s="3"/>
    </row>
    <row r="80" spans="1:26" ht="15.75" customHeight="1">
      <c r="A80" s="3"/>
    </row>
    <row r="81" spans="1:1" ht="15.75" customHeight="1">
      <c r="A81" s="3"/>
    </row>
    <row r="82" spans="1:1" ht="15.75" customHeight="1">
      <c r="A82" s="3"/>
    </row>
    <row r="83" spans="1:1" ht="15.75" customHeight="1">
      <c r="A83" s="3"/>
    </row>
    <row r="84" spans="1:1" ht="15.75" customHeight="1">
      <c r="A84" s="3"/>
    </row>
    <row r="85" spans="1:1" ht="15.75" customHeight="1">
      <c r="A85" s="3"/>
    </row>
    <row r="86" spans="1:1" ht="15.75" customHeight="1">
      <c r="A86" s="3"/>
    </row>
    <row r="87" spans="1:1" ht="15.75" customHeight="1">
      <c r="A87" s="3"/>
    </row>
    <row r="88" spans="1:1" ht="15.75" customHeight="1">
      <c r="A88" s="3"/>
    </row>
    <row r="89" spans="1:1" ht="15.75" customHeight="1">
      <c r="A89" s="3"/>
    </row>
    <row r="90" spans="1:1" ht="15.75" customHeight="1">
      <c r="A90" s="3"/>
    </row>
    <row r="91" spans="1:1" ht="15.75" customHeight="1">
      <c r="A91" s="3"/>
    </row>
    <row r="92" spans="1:1" ht="15.75" customHeight="1">
      <c r="A92" s="3"/>
    </row>
    <row r="93" spans="1:1" ht="15.75" customHeight="1">
      <c r="A93" s="3"/>
    </row>
    <row r="94" spans="1:1" ht="15.75" customHeight="1">
      <c r="A94" s="3"/>
    </row>
    <row r="95" spans="1:1" ht="15.75" customHeight="1">
      <c r="A95" s="3"/>
    </row>
    <row r="96" spans="1:1" ht="15.75" customHeight="1">
      <c r="A96" s="3"/>
    </row>
    <row r="97" spans="1:1" ht="15.75" customHeight="1">
      <c r="A97" s="3"/>
    </row>
    <row r="98" spans="1:1" ht="15.75" customHeight="1">
      <c r="A98" s="3"/>
    </row>
    <row r="99" spans="1:1" ht="15.75" customHeight="1">
      <c r="A99" s="3"/>
    </row>
    <row r="100" spans="1:1" ht="15.75" customHeight="1">
      <c r="A100" s="3"/>
    </row>
    <row r="101" spans="1:1" ht="15.75" customHeight="1">
      <c r="A101" s="3"/>
    </row>
    <row r="102" spans="1:1" ht="15.75" customHeight="1">
      <c r="A102" s="3"/>
    </row>
    <row r="103" spans="1:1" ht="15.75" customHeight="1">
      <c r="A103" s="3"/>
    </row>
    <row r="104" spans="1:1" ht="15.75" customHeight="1">
      <c r="A104" s="3"/>
    </row>
    <row r="105" spans="1:1" ht="15.75" customHeight="1">
      <c r="A105" s="3"/>
    </row>
    <row r="106" spans="1:1" ht="15.75" customHeight="1">
      <c r="A106" s="3"/>
    </row>
    <row r="107" spans="1:1" ht="15.75" customHeight="1">
      <c r="A107" s="3"/>
    </row>
    <row r="108" spans="1:1" ht="15.75" customHeight="1">
      <c r="A108" s="3"/>
    </row>
    <row r="109" spans="1:1" ht="15.75" customHeight="1">
      <c r="A109" s="3"/>
    </row>
    <row r="110" spans="1:1" ht="15.75" customHeight="1">
      <c r="A110" s="3"/>
    </row>
    <row r="111" spans="1:1" ht="15.75" customHeight="1">
      <c r="A111" s="3"/>
    </row>
    <row r="112" spans="1:1" ht="15.75" customHeight="1">
      <c r="A112" s="3"/>
    </row>
    <row r="113" spans="1:1" ht="15.75" customHeight="1">
      <c r="A113" s="3"/>
    </row>
    <row r="114" spans="1:1" ht="15.75" customHeight="1">
      <c r="A114" s="3"/>
    </row>
    <row r="115" spans="1:1" ht="15.75" customHeight="1">
      <c r="A115" s="3"/>
    </row>
    <row r="116" spans="1:1" ht="15.75" customHeight="1">
      <c r="A116" s="3"/>
    </row>
    <row r="117" spans="1:1" ht="15.75" customHeight="1">
      <c r="A117" s="3"/>
    </row>
    <row r="118" spans="1:1" ht="15.75" customHeight="1">
      <c r="A118" s="3"/>
    </row>
    <row r="119" spans="1:1" ht="15.75" customHeight="1">
      <c r="A119" s="3"/>
    </row>
    <row r="120" spans="1:1" ht="15.75" customHeight="1">
      <c r="A120" s="3"/>
    </row>
    <row r="121" spans="1:1" ht="15.75" customHeight="1">
      <c r="A121" s="3"/>
    </row>
    <row r="122" spans="1:1" ht="15.75" customHeight="1">
      <c r="A122" s="3"/>
    </row>
    <row r="123" spans="1:1" ht="15.75" customHeight="1">
      <c r="A123" s="3"/>
    </row>
    <row r="124" spans="1:1" ht="15.75" customHeight="1">
      <c r="A124" s="3"/>
    </row>
    <row r="125" spans="1:1" ht="15.75" customHeight="1">
      <c r="A125" s="3"/>
    </row>
    <row r="126" spans="1:1" ht="15.75" customHeight="1">
      <c r="A126" s="3"/>
    </row>
    <row r="127" spans="1:1" ht="15.75" customHeight="1">
      <c r="A127" s="3"/>
    </row>
    <row r="128" spans="1:1" ht="15.75" customHeight="1">
      <c r="A128" s="3"/>
    </row>
    <row r="129" spans="1:1" ht="15.75" customHeight="1">
      <c r="A129" s="3"/>
    </row>
    <row r="130" spans="1:1" ht="15.75" customHeight="1">
      <c r="A130" s="3"/>
    </row>
    <row r="131" spans="1:1" ht="15.75" customHeight="1">
      <c r="A131" s="3"/>
    </row>
    <row r="132" spans="1:1" ht="15.75" customHeight="1">
      <c r="A132" s="3"/>
    </row>
    <row r="133" spans="1:1" ht="15.75" customHeight="1">
      <c r="A133" s="3"/>
    </row>
    <row r="134" spans="1:1" ht="15.75" customHeight="1">
      <c r="A134" s="3"/>
    </row>
    <row r="135" spans="1:1" ht="15.75" customHeight="1">
      <c r="A135" s="3"/>
    </row>
    <row r="136" spans="1:1" ht="15.75" customHeight="1">
      <c r="A136" s="3"/>
    </row>
    <row r="137" spans="1:1" ht="15.75" customHeight="1">
      <c r="A137" s="3"/>
    </row>
    <row r="138" spans="1:1" ht="15.75" customHeight="1">
      <c r="A138" s="3"/>
    </row>
    <row r="139" spans="1:1" ht="15.75" customHeight="1">
      <c r="A139" s="3"/>
    </row>
    <row r="140" spans="1:1" ht="15.75" customHeight="1">
      <c r="A140" s="3"/>
    </row>
    <row r="141" spans="1:1" ht="15.75" customHeight="1">
      <c r="A141" s="3"/>
    </row>
    <row r="142" spans="1:1" ht="15.75" customHeight="1">
      <c r="A142" s="3"/>
    </row>
    <row r="143" spans="1:1" ht="15.75" customHeight="1">
      <c r="A143" s="3"/>
    </row>
    <row r="144" spans="1:1" ht="15.75" customHeight="1">
      <c r="A144" s="3"/>
    </row>
    <row r="145" spans="1:1" ht="15.75" customHeight="1">
      <c r="A145" s="3"/>
    </row>
    <row r="146" spans="1:1" ht="15.75" customHeight="1">
      <c r="A146" s="3"/>
    </row>
    <row r="147" spans="1:1" ht="15.75" customHeight="1">
      <c r="A147" s="3"/>
    </row>
    <row r="148" spans="1:1" ht="15.75" customHeight="1">
      <c r="A148" s="3"/>
    </row>
    <row r="149" spans="1:1" ht="15.75" customHeight="1">
      <c r="A149" s="3"/>
    </row>
    <row r="150" spans="1:1" ht="15.75" customHeight="1">
      <c r="A150" s="3"/>
    </row>
    <row r="151" spans="1:1" ht="15.75" customHeight="1">
      <c r="A151" s="3"/>
    </row>
    <row r="152" spans="1:1" ht="15.75" customHeight="1">
      <c r="A152" s="3"/>
    </row>
    <row r="153" spans="1:1" ht="15.75" customHeight="1">
      <c r="A153" s="3"/>
    </row>
    <row r="154" spans="1:1" ht="15.75" customHeight="1">
      <c r="A154" s="3"/>
    </row>
    <row r="155" spans="1:1" ht="15.75" customHeight="1">
      <c r="A155" s="3"/>
    </row>
    <row r="156" spans="1:1" ht="15.75" customHeight="1">
      <c r="A156" s="3"/>
    </row>
    <row r="157" spans="1:1" ht="15.75" customHeight="1">
      <c r="A157" s="3"/>
    </row>
    <row r="158" spans="1:1" ht="15.75" customHeight="1">
      <c r="A158" s="3"/>
    </row>
    <row r="159" spans="1:1" ht="15.75" customHeight="1">
      <c r="A159" s="3"/>
    </row>
    <row r="160" spans="1:1" ht="15.75" customHeight="1">
      <c r="A160" s="3"/>
    </row>
    <row r="161" spans="1:1" ht="15.75" customHeight="1">
      <c r="A161" s="3"/>
    </row>
    <row r="162" spans="1:1" ht="15.75" customHeight="1">
      <c r="A162" s="3"/>
    </row>
    <row r="163" spans="1:1" ht="15.75" customHeight="1">
      <c r="A163" s="3"/>
    </row>
    <row r="164" spans="1:1" ht="15.75" customHeight="1">
      <c r="A164" s="3"/>
    </row>
    <row r="165" spans="1:1" ht="15.75" customHeight="1">
      <c r="A165" s="3"/>
    </row>
    <row r="166" spans="1:1" ht="15.75" customHeight="1">
      <c r="A166" s="3"/>
    </row>
    <row r="167" spans="1:1" ht="15.75" customHeight="1">
      <c r="A167" s="3"/>
    </row>
    <row r="168" spans="1:1" ht="15.75" customHeight="1">
      <c r="A168" s="3"/>
    </row>
    <row r="169" spans="1:1" ht="15.75" customHeight="1">
      <c r="A169" s="3"/>
    </row>
    <row r="170" spans="1:1" ht="15.75" customHeight="1">
      <c r="A170" s="3"/>
    </row>
    <row r="171" spans="1:1" ht="15.75" customHeight="1">
      <c r="A171" s="3"/>
    </row>
    <row r="172" spans="1:1" ht="15.75" customHeight="1">
      <c r="A172" s="3"/>
    </row>
    <row r="173" spans="1:1" ht="15.75" customHeight="1">
      <c r="A173" s="3"/>
    </row>
    <row r="174" spans="1:1" ht="15.75" customHeight="1">
      <c r="A174" s="3"/>
    </row>
    <row r="175" spans="1:1" ht="15.75" customHeight="1">
      <c r="A175" s="3"/>
    </row>
    <row r="176" spans="1:1" ht="15.75" customHeight="1">
      <c r="A176" s="3"/>
    </row>
    <row r="177" spans="1:1" ht="15.75" customHeight="1">
      <c r="A177" s="3"/>
    </row>
    <row r="178" spans="1:1" ht="15.75" customHeight="1">
      <c r="A178" s="3"/>
    </row>
    <row r="179" spans="1:1" ht="15.75" customHeight="1">
      <c r="A179" s="3"/>
    </row>
    <row r="180" spans="1:1" ht="15.75" customHeight="1">
      <c r="A180" s="3"/>
    </row>
    <row r="181" spans="1:1" ht="15.75" customHeight="1">
      <c r="A181" s="3"/>
    </row>
    <row r="182" spans="1:1" ht="15.75" customHeight="1">
      <c r="A182" s="3"/>
    </row>
    <row r="183" spans="1:1" ht="15.75" customHeight="1">
      <c r="A183" s="3"/>
    </row>
    <row r="184" spans="1:1" ht="15.75" customHeight="1">
      <c r="A184" s="3"/>
    </row>
    <row r="185" spans="1:1" ht="15.75" customHeight="1">
      <c r="A185" s="3"/>
    </row>
    <row r="186" spans="1:1" ht="15.75" customHeight="1">
      <c r="A186" s="3"/>
    </row>
    <row r="187" spans="1:1" ht="15.75" customHeight="1">
      <c r="A187" s="3"/>
    </row>
    <row r="188" spans="1:1" ht="15.75" customHeight="1">
      <c r="A188" s="3"/>
    </row>
    <row r="189" spans="1:1" ht="15.75" customHeight="1">
      <c r="A189" s="3"/>
    </row>
    <row r="190" spans="1:1" ht="15.75" customHeight="1">
      <c r="A190" s="3"/>
    </row>
    <row r="191" spans="1:1" ht="15.75" customHeight="1">
      <c r="A191" s="3"/>
    </row>
    <row r="192" spans="1:1" ht="15.75" customHeight="1">
      <c r="A192" s="3"/>
    </row>
    <row r="193" spans="1:1" ht="15.75" customHeight="1">
      <c r="A193" s="3"/>
    </row>
    <row r="194" spans="1:1" ht="15.75" customHeight="1">
      <c r="A194" s="3"/>
    </row>
    <row r="195" spans="1:1" ht="15.75" customHeight="1">
      <c r="A195" s="3"/>
    </row>
    <row r="196" spans="1:1" ht="15.75" customHeight="1">
      <c r="A196" s="3"/>
    </row>
    <row r="197" spans="1:1" ht="15.75" customHeight="1">
      <c r="A197" s="3"/>
    </row>
    <row r="198" spans="1:1" ht="15.75" customHeight="1">
      <c r="A198" s="3"/>
    </row>
    <row r="199" spans="1:1" ht="15.75" customHeight="1">
      <c r="A199" s="3"/>
    </row>
    <row r="200" spans="1:1" ht="15.75" customHeight="1">
      <c r="A200" s="3"/>
    </row>
    <row r="201" spans="1:1" ht="15.75" customHeight="1">
      <c r="A201" s="3"/>
    </row>
    <row r="202" spans="1:1" ht="15.75" customHeight="1">
      <c r="A202" s="3"/>
    </row>
    <row r="203" spans="1:1" ht="15.75" customHeight="1">
      <c r="A203" s="3"/>
    </row>
    <row r="204" spans="1:1" ht="15.75" customHeight="1">
      <c r="A204" s="3"/>
    </row>
    <row r="205" spans="1:1" ht="15.75" customHeight="1">
      <c r="A205" s="3"/>
    </row>
    <row r="206" spans="1:1" ht="15.75" customHeight="1">
      <c r="A206" s="3"/>
    </row>
    <row r="207" spans="1:1" ht="15.75" customHeight="1">
      <c r="A207" s="3"/>
    </row>
    <row r="208" spans="1:1" ht="15.75" customHeight="1">
      <c r="A208" s="3"/>
    </row>
    <row r="209" spans="1:1" ht="15.75" customHeight="1">
      <c r="A209" s="3"/>
    </row>
    <row r="210" spans="1:1" ht="15.75" customHeight="1">
      <c r="A210" s="3"/>
    </row>
    <row r="211" spans="1:1" ht="15.75" customHeight="1">
      <c r="A211" s="3"/>
    </row>
    <row r="212" spans="1:1" ht="15.75" customHeight="1">
      <c r="A212" s="3"/>
    </row>
    <row r="213" spans="1:1" ht="15.75" customHeight="1">
      <c r="A213" s="3"/>
    </row>
    <row r="214" spans="1:1" ht="15.75" customHeight="1">
      <c r="A214" s="3"/>
    </row>
    <row r="215" spans="1:1" ht="15.75" customHeight="1">
      <c r="A215" s="3"/>
    </row>
    <row r="216" spans="1:1" ht="15.75" customHeight="1">
      <c r="A216" s="3"/>
    </row>
    <row r="217" spans="1:1" ht="15.75" customHeight="1">
      <c r="A217" s="3"/>
    </row>
    <row r="218" spans="1:1" ht="15.75" customHeight="1">
      <c r="A218" s="3"/>
    </row>
    <row r="219" spans="1:1" ht="15.75" customHeight="1">
      <c r="A219" s="3"/>
    </row>
    <row r="220" spans="1:1" ht="15.75" customHeight="1">
      <c r="A220" s="3"/>
    </row>
    <row r="221" spans="1:1" ht="15.75" customHeight="1">
      <c r="A221" s="3"/>
    </row>
    <row r="222" spans="1:1" ht="15.75" customHeight="1">
      <c r="A222" s="3"/>
    </row>
    <row r="223" spans="1:1" ht="15.75" customHeight="1">
      <c r="A223" s="3"/>
    </row>
    <row r="224" spans="1:1" ht="15.75" customHeight="1">
      <c r="A224" s="3"/>
    </row>
    <row r="225" spans="1:1" ht="15.75" customHeight="1">
      <c r="A225" s="3"/>
    </row>
    <row r="226" spans="1:1" ht="15.75" customHeight="1">
      <c r="A226" s="3"/>
    </row>
    <row r="227" spans="1:1" ht="15.75" customHeight="1">
      <c r="A227" s="3"/>
    </row>
    <row r="228" spans="1:1" ht="15.75" customHeight="1">
      <c r="A228" s="3"/>
    </row>
    <row r="229" spans="1:1" ht="15.75" customHeight="1">
      <c r="A229" s="3"/>
    </row>
    <row r="230" spans="1:1" ht="15.75" customHeight="1">
      <c r="A230" s="3"/>
    </row>
    <row r="231" spans="1:1" ht="15.75" customHeight="1">
      <c r="A231" s="3"/>
    </row>
    <row r="232" spans="1:1" ht="15.75" customHeight="1">
      <c r="A232" s="3"/>
    </row>
    <row r="233" spans="1:1" ht="15.75" customHeight="1">
      <c r="A233" s="3"/>
    </row>
    <row r="234" spans="1:1" ht="15.75" customHeight="1">
      <c r="A234" s="3"/>
    </row>
    <row r="235" spans="1:1" ht="15.75" customHeight="1">
      <c r="A235" s="3"/>
    </row>
    <row r="236" spans="1:1" ht="15.75" customHeight="1">
      <c r="A236" s="3"/>
    </row>
    <row r="237" spans="1:1" ht="15.75" customHeight="1">
      <c r="A237" s="3"/>
    </row>
    <row r="238" spans="1:1" ht="15.75" customHeight="1">
      <c r="A238" s="3"/>
    </row>
    <row r="239" spans="1:1" ht="15.75" customHeight="1">
      <c r="A239" s="3"/>
    </row>
    <row r="240" spans="1:1" ht="15.75" customHeight="1">
      <c r="A240" s="3"/>
    </row>
    <row r="241" spans="1:1" ht="15.75" customHeight="1">
      <c r="A241" s="3"/>
    </row>
    <row r="242" spans="1:1" ht="15.75" customHeight="1">
      <c r="A242" s="3"/>
    </row>
    <row r="243" spans="1:1" ht="15.75" customHeight="1">
      <c r="A243" s="3"/>
    </row>
    <row r="244" spans="1:1" ht="15.75" customHeight="1">
      <c r="A244" s="3"/>
    </row>
    <row r="245" spans="1:1" ht="15.75" customHeight="1">
      <c r="A245" s="3"/>
    </row>
    <row r="246" spans="1:1" ht="15.75" customHeight="1">
      <c r="A246" s="3"/>
    </row>
    <row r="247" spans="1:1" ht="15.75" customHeight="1">
      <c r="A247" s="3"/>
    </row>
    <row r="248" spans="1:1" ht="15.75" customHeight="1">
      <c r="A248" s="3"/>
    </row>
    <row r="249" spans="1:1" ht="15.75" customHeight="1">
      <c r="A249" s="3"/>
    </row>
    <row r="250" spans="1:1" ht="15.75" customHeight="1">
      <c r="A250" s="3"/>
    </row>
    <row r="251" spans="1:1" ht="15.75" customHeight="1">
      <c r="A251" s="3"/>
    </row>
    <row r="252" spans="1:1" ht="15.75" customHeight="1">
      <c r="A252" s="3"/>
    </row>
    <row r="253" spans="1:1" ht="15.75" customHeight="1">
      <c r="A253" s="3"/>
    </row>
    <row r="254" spans="1:1" ht="15.75" customHeight="1">
      <c r="A254" s="3"/>
    </row>
    <row r="255" spans="1:1" ht="15.75" customHeight="1">
      <c r="A255" s="3"/>
    </row>
    <row r="256" spans="1:1" ht="15.75" customHeight="1">
      <c r="A256" s="3"/>
    </row>
    <row r="257" spans="1:1" ht="15.75" customHeight="1">
      <c r="A257" s="3"/>
    </row>
    <row r="258" spans="1:1" ht="15.75" customHeight="1">
      <c r="A258" s="3"/>
    </row>
    <row r="259" spans="1:1" ht="15.75" customHeight="1">
      <c r="A259" s="3"/>
    </row>
    <row r="260" spans="1:1" ht="15.75" customHeight="1">
      <c r="A260" s="3"/>
    </row>
    <row r="261" spans="1:1" ht="15.75" customHeight="1">
      <c r="A261" s="3"/>
    </row>
    <row r="262" spans="1:1" ht="15.75" customHeight="1">
      <c r="A262" s="3"/>
    </row>
    <row r="263" spans="1:1" ht="15.75" customHeight="1">
      <c r="A263" s="3"/>
    </row>
    <row r="264" spans="1:1" ht="15.75" customHeight="1">
      <c r="A264" s="3"/>
    </row>
    <row r="265" spans="1:1" ht="15.75" customHeight="1">
      <c r="A265" s="3"/>
    </row>
    <row r="266" spans="1:1" ht="15.75" customHeight="1">
      <c r="A266" s="3"/>
    </row>
    <row r="267" spans="1:1" ht="15.75" customHeight="1">
      <c r="A267" s="3"/>
    </row>
    <row r="268" spans="1:1" ht="15.75" customHeight="1">
      <c r="A268" s="3"/>
    </row>
    <row r="269" spans="1:1" ht="15.75" customHeight="1">
      <c r="A269" s="3"/>
    </row>
    <row r="270" spans="1:1" ht="15.75" customHeight="1">
      <c r="A270" s="3"/>
    </row>
    <row r="271" spans="1:1" ht="15.75" customHeight="1">
      <c r="A271" s="3"/>
    </row>
    <row r="272" spans="1:1" ht="15.75" customHeight="1">
      <c r="A272" s="3"/>
    </row>
    <row r="273" spans="1:1" ht="15.75" customHeight="1">
      <c r="A273" s="3"/>
    </row>
    <row r="274" spans="1:1" ht="15.75" customHeight="1">
      <c r="A274" s="3"/>
    </row>
    <row r="275" spans="1:1" ht="15.75" customHeight="1">
      <c r="A275" s="3"/>
    </row>
    <row r="276" spans="1:1" ht="15.75" customHeight="1">
      <c r="A276" s="3"/>
    </row>
    <row r="277" spans="1:1" ht="15.75" customHeight="1">
      <c r="A277" s="3"/>
    </row>
    <row r="278" spans="1:1" ht="15.75" customHeight="1">
      <c r="A278" s="3"/>
    </row>
    <row r="279" spans="1:1" ht="15.75" customHeight="1">
      <c r="A279" s="3"/>
    </row>
    <row r="280" spans="1:1" ht="15.75" customHeight="1">
      <c r="A280" s="3"/>
    </row>
    <row r="281" spans="1:1" ht="15.75" customHeight="1">
      <c r="A281" s="3"/>
    </row>
    <row r="282" spans="1:1" ht="15.75" customHeight="1">
      <c r="A282" s="3"/>
    </row>
    <row r="283" spans="1:1" ht="15.75" customHeight="1">
      <c r="A283" s="3"/>
    </row>
    <row r="284" spans="1:1" ht="15.75" customHeight="1">
      <c r="A284" s="3"/>
    </row>
    <row r="285" spans="1:1" ht="15.75" customHeight="1">
      <c r="A285" s="3"/>
    </row>
    <row r="286" spans="1:1" ht="15.75" customHeight="1">
      <c r="A286" s="3"/>
    </row>
    <row r="287" spans="1:1" ht="15.75" customHeight="1">
      <c r="A287" s="3"/>
    </row>
    <row r="288" spans="1:1" ht="15.75" customHeight="1">
      <c r="A288" s="3"/>
    </row>
    <row r="289" spans="1:1" ht="15.75" customHeight="1">
      <c r="A289" s="3"/>
    </row>
    <row r="290" spans="1:1" ht="15.75" customHeight="1">
      <c r="A290" s="3"/>
    </row>
    <row r="291" spans="1:1" ht="15.75" customHeight="1">
      <c r="A291" s="3"/>
    </row>
    <row r="292" spans="1:1" ht="15.75" customHeight="1">
      <c r="A292" s="3"/>
    </row>
    <row r="293" spans="1:1" ht="15.75" customHeight="1">
      <c r="A293" s="3"/>
    </row>
    <row r="294" spans="1:1" ht="15.75" customHeight="1">
      <c r="A294" s="3"/>
    </row>
    <row r="295" spans="1:1" ht="15.75" customHeight="1">
      <c r="A295" s="3"/>
    </row>
    <row r="296" spans="1:1" ht="15.75" customHeight="1">
      <c r="A296" s="3"/>
    </row>
    <row r="297" spans="1:1" ht="15.75" customHeight="1">
      <c r="A297" s="3"/>
    </row>
    <row r="298" spans="1:1" ht="15.75" customHeight="1">
      <c r="A298" s="3"/>
    </row>
    <row r="299" spans="1:1" ht="15.75" customHeight="1">
      <c r="A299" s="3"/>
    </row>
    <row r="300" spans="1:1" ht="15.75" customHeight="1">
      <c r="A300" s="3"/>
    </row>
    <row r="301" spans="1:1" ht="15.75" customHeight="1">
      <c r="A301" s="3"/>
    </row>
    <row r="302" spans="1:1" ht="15.75" customHeight="1">
      <c r="A302" s="3"/>
    </row>
    <row r="303" spans="1:1" ht="15.75" customHeight="1">
      <c r="A303" s="3"/>
    </row>
    <row r="304" spans="1:1" ht="15.75" customHeight="1">
      <c r="A304" s="3"/>
    </row>
    <row r="305" spans="1:1" ht="15.75" customHeight="1">
      <c r="A305" s="3"/>
    </row>
    <row r="306" spans="1:1" ht="15.75" customHeight="1">
      <c r="A306" s="3"/>
    </row>
    <row r="307" spans="1:1" ht="15.75" customHeight="1">
      <c r="A307" s="3"/>
    </row>
    <row r="308" spans="1:1" ht="15.75" customHeight="1">
      <c r="A308" s="3"/>
    </row>
    <row r="309" spans="1:1" ht="15.75" customHeight="1">
      <c r="A309" s="3"/>
    </row>
    <row r="310" spans="1:1" ht="15.75" customHeight="1">
      <c r="A310" s="3"/>
    </row>
    <row r="311" spans="1:1" ht="15.75" customHeight="1">
      <c r="A311" s="3"/>
    </row>
    <row r="312" spans="1:1" ht="15.75" customHeight="1">
      <c r="A312" s="3"/>
    </row>
    <row r="313" spans="1:1" ht="15.75" customHeight="1">
      <c r="A313" s="3"/>
    </row>
    <row r="314" spans="1:1" ht="15.75" customHeight="1">
      <c r="A314" s="3"/>
    </row>
    <row r="315" spans="1:1" ht="15.75" customHeight="1">
      <c r="A315" s="3"/>
    </row>
    <row r="316" spans="1:1" ht="15.75" customHeight="1">
      <c r="A316" s="3"/>
    </row>
    <row r="317" spans="1:1" ht="15.75" customHeight="1">
      <c r="A317" s="3"/>
    </row>
    <row r="318" spans="1:1" ht="15.75" customHeight="1">
      <c r="A318" s="3"/>
    </row>
    <row r="319" spans="1:1" ht="15.75" customHeight="1">
      <c r="A319" s="3"/>
    </row>
    <row r="320" spans="1:1" ht="15.75" customHeight="1">
      <c r="A320" s="3"/>
    </row>
    <row r="321" spans="1:1" ht="15.75" customHeight="1">
      <c r="A321" s="3"/>
    </row>
    <row r="322" spans="1:1" ht="15.75" customHeight="1">
      <c r="A322" s="3"/>
    </row>
    <row r="323" spans="1:1" ht="15.75" customHeight="1">
      <c r="A323" s="3"/>
    </row>
    <row r="324" spans="1:1" ht="15.75" customHeight="1">
      <c r="A324" s="3"/>
    </row>
    <row r="325" spans="1:1" ht="15.75" customHeight="1">
      <c r="A325" s="3"/>
    </row>
    <row r="326" spans="1:1" ht="15.75" customHeight="1">
      <c r="A326" s="3"/>
    </row>
    <row r="327" spans="1:1" ht="15.75" customHeight="1">
      <c r="A327" s="3"/>
    </row>
    <row r="328" spans="1:1" ht="15.75" customHeight="1">
      <c r="A328" s="3"/>
    </row>
    <row r="329" spans="1:1" ht="15.75" customHeight="1">
      <c r="A329" s="3"/>
    </row>
    <row r="330" spans="1:1" ht="15.75" customHeight="1">
      <c r="A330" s="3"/>
    </row>
    <row r="331" spans="1:1" ht="15.75" customHeight="1">
      <c r="A331" s="3"/>
    </row>
    <row r="332" spans="1:1" ht="15.75" customHeight="1">
      <c r="A332" s="3"/>
    </row>
    <row r="333" spans="1:1" ht="15.75" customHeight="1">
      <c r="A333" s="3"/>
    </row>
    <row r="334" spans="1:1" ht="15.75" customHeight="1">
      <c r="A334" s="3"/>
    </row>
    <row r="335" spans="1:1" ht="15.75" customHeight="1">
      <c r="A335" s="3"/>
    </row>
    <row r="336" spans="1:1" ht="15.75" customHeight="1">
      <c r="A336" s="3"/>
    </row>
    <row r="337" spans="1:1" ht="15.75" customHeight="1">
      <c r="A337" s="3"/>
    </row>
    <row r="338" spans="1:1" ht="15.75" customHeight="1">
      <c r="A338" s="3"/>
    </row>
    <row r="339" spans="1:1" ht="15.75" customHeight="1">
      <c r="A339" s="3"/>
    </row>
    <row r="340" spans="1:1" ht="15.75" customHeight="1">
      <c r="A340" s="3"/>
    </row>
    <row r="341" spans="1:1" ht="15.75" customHeight="1">
      <c r="A341" s="3"/>
    </row>
    <row r="342" spans="1:1" ht="15.75" customHeight="1">
      <c r="A342" s="3"/>
    </row>
    <row r="343" spans="1:1" ht="15.75" customHeight="1">
      <c r="A343" s="3"/>
    </row>
    <row r="344" spans="1:1" ht="15.75" customHeight="1">
      <c r="A344" s="3"/>
    </row>
    <row r="345" spans="1:1" ht="15.75" customHeight="1">
      <c r="A345" s="3"/>
    </row>
    <row r="346" spans="1:1" ht="15.75" customHeight="1">
      <c r="A346" s="3"/>
    </row>
    <row r="347" spans="1:1" ht="15.75" customHeight="1">
      <c r="A347" s="3"/>
    </row>
    <row r="348" spans="1:1" ht="15.75" customHeight="1">
      <c r="A348" s="3"/>
    </row>
    <row r="349" spans="1:1" ht="15.75" customHeight="1">
      <c r="A349" s="3"/>
    </row>
    <row r="350" spans="1:1" ht="15.75" customHeight="1">
      <c r="A350" s="3"/>
    </row>
    <row r="351" spans="1:1" ht="15.75" customHeight="1">
      <c r="A351" s="3"/>
    </row>
    <row r="352" spans="1:1" ht="15.75" customHeight="1">
      <c r="A352" s="3"/>
    </row>
    <row r="353" spans="1:1" ht="15.75" customHeight="1">
      <c r="A353" s="3"/>
    </row>
    <row r="354" spans="1:1" ht="15.75" customHeight="1">
      <c r="A354" s="3"/>
    </row>
    <row r="355" spans="1:1" ht="15.75" customHeight="1">
      <c r="A355" s="3"/>
    </row>
    <row r="356" spans="1:1" ht="15.75" customHeight="1">
      <c r="A356" s="3"/>
    </row>
    <row r="357" spans="1:1" ht="15.75" customHeight="1">
      <c r="A357" s="3"/>
    </row>
    <row r="358" spans="1:1" ht="15.75" customHeight="1">
      <c r="A358" s="3"/>
    </row>
    <row r="359" spans="1:1" ht="15.75" customHeight="1">
      <c r="A359" s="3"/>
    </row>
    <row r="360" spans="1:1" ht="15.75" customHeight="1">
      <c r="A360" s="3"/>
    </row>
    <row r="361" spans="1:1" ht="15.75" customHeight="1">
      <c r="A361" s="3"/>
    </row>
    <row r="362" spans="1:1" ht="15.75" customHeight="1">
      <c r="A362" s="3"/>
    </row>
    <row r="363" spans="1:1" ht="15.75" customHeight="1">
      <c r="A363" s="3"/>
    </row>
    <row r="364" spans="1:1" ht="15.75" customHeight="1">
      <c r="A364" s="3"/>
    </row>
    <row r="365" spans="1:1" ht="15.75" customHeight="1">
      <c r="A365" s="3"/>
    </row>
    <row r="366" spans="1:1" ht="15.75" customHeight="1">
      <c r="A366" s="3"/>
    </row>
    <row r="367" spans="1:1" ht="15.75" customHeight="1">
      <c r="A367" s="3"/>
    </row>
    <row r="368" spans="1:1" ht="15.75" customHeight="1">
      <c r="A368" s="3"/>
    </row>
    <row r="369" spans="1:1" ht="15.75" customHeight="1">
      <c r="A369" s="3"/>
    </row>
    <row r="370" spans="1:1" ht="15.75" customHeight="1">
      <c r="A370" s="3"/>
    </row>
    <row r="371" spans="1:1" ht="15.75" customHeight="1">
      <c r="A371" s="3"/>
    </row>
    <row r="372" spans="1:1" ht="15.75" customHeight="1">
      <c r="A372" s="3"/>
    </row>
    <row r="373" spans="1:1" ht="15.75" customHeight="1">
      <c r="A373" s="3"/>
    </row>
    <row r="374" spans="1:1" ht="15.75" customHeight="1">
      <c r="A374" s="3"/>
    </row>
    <row r="375" spans="1:1" ht="15.75" customHeight="1">
      <c r="A375" s="3"/>
    </row>
    <row r="376" spans="1:1" ht="15.75" customHeight="1">
      <c r="A376" s="3"/>
    </row>
    <row r="377" spans="1:1" ht="15.75" customHeight="1">
      <c r="A377" s="3"/>
    </row>
    <row r="378" spans="1:1" ht="15.75" customHeight="1">
      <c r="A378" s="3"/>
    </row>
    <row r="379" spans="1:1" ht="15.75" customHeight="1">
      <c r="A379" s="3"/>
    </row>
    <row r="380" spans="1:1" ht="15.75" customHeight="1">
      <c r="A380" s="3"/>
    </row>
    <row r="381" spans="1:1" ht="15.75" customHeight="1">
      <c r="A381" s="3"/>
    </row>
    <row r="382" spans="1:1" ht="15.75" customHeight="1">
      <c r="A382" s="3"/>
    </row>
    <row r="383" spans="1:1" ht="15.75" customHeight="1">
      <c r="A383" s="3"/>
    </row>
    <row r="384" spans="1:1" ht="15.75" customHeight="1">
      <c r="A384" s="3"/>
    </row>
    <row r="385" spans="1:1" ht="15.75" customHeight="1">
      <c r="A385" s="3"/>
    </row>
    <row r="386" spans="1:1" ht="15.75" customHeight="1">
      <c r="A386" s="3"/>
    </row>
    <row r="387" spans="1:1" ht="15.75" customHeight="1">
      <c r="A387" s="3"/>
    </row>
    <row r="388" spans="1:1" ht="15.75" customHeight="1">
      <c r="A388" s="3"/>
    </row>
    <row r="389" spans="1:1" ht="15.75" customHeight="1">
      <c r="A389" s="3"/>
    </row>
    <row r="390" spans="1:1" ht="15.75" customHeight="1">
      <c r="A390" s="3"/>
    </row>
    <row r="391" spans="1:1" ht="15.75" customHeight="1">
      <c r="A391" s="3"/>
    </row>
    <row r="392" spans="1:1" ht="15.75" customHeight="1">
      <c r="A392" s="3"/>
    </row>
    <row r="393" spans="1:1" ht="15.75" customHeight="1">
      <c r="A393" s="3"/>
    </row>
    <row r="394" spans="1:1" ht="15.75" customHeight="1">
      <c r="A394" s="3"/>
    </row>
    <row r="395" spans="1:1" ht="15.75" customHeight="1">
      <c r="A395" s="3"/>
    </row>
    <row r="396" spans="1:1" ht="15.75" customHeight="1">
      <c r="A396" s="3"/>
    </row>
    <row r="397" spans="1:1" ht="15.75" customHeight="1">
      <c r="A397" s="3"/>
    </row>
    <row r="398" spans="1:1" ht="15.75" customHeight="1">
      <c r="A398" s="3"/>
    </row>
    <row r="399" spans="1:1" ht="15.75" customHeight="1">
      <c r="A399" s="3"/>
    </row>
    <row r="400" spans="1:1" ht="15.75" customHeight="1">
      <c r="A400" s="3"/>
    </row>
    <row r="401" spans="1:1" ht="15.75" customHeight="1">
      <c r="A401" s="3"/>
    </row>
    <row r="402" spans="1:1" ht="15.75" customHeight="1">
      <c r="A402" s="3"/>
    </row>
    <row r="403" spans="1:1" ht="15.75" customHeight="1">
      <c r="A403" s="3"/>
    </row>
    <row r="404" spans="1:1" ht="15.75" customHeight="1">
      <c r="A404" s="3"/>
    </row>
    <row r="405" spans="1:1" ht="15.75" customHeight="1">
      <c r="A405" s="3"/>
    </row>
    <row r="406" spans="1:1" ht="15.75" customHeight="1">
      <c r="A406" s="3"/>
    </row>
    <row r="407" spans="1:1" ht="15.75" customHeight="1">
      <c r="A407" s="3"/>
    </row>
    <row r="408" spans="1:1" ht="15.75" customHeight="1">
      <c r="A408" s="3"/>
    </row>
    <row r="409" spans="1:1" ht="15.75" customHeight="1">
      <c r="A409" s="3"/>
    </row>
    <row r="410" spans="1:1" ht="15.75" customHeight="1">
      <c r="A410" s="3"/>
    </row>
    <row r="411" spans="1:1" ht="15.75" customHeight="1">
      <c r="A411" s="3"/>
    </row>
    <row r="412" spans="1:1" ht="15.75" customHeight="1">
      <c r="A412" s="3"/>
    </row>
    <row r="413" spans="1:1" ht="15.75" customHeight="1">
      <c r="A413" s="3"/>
    </row>
    <row r="414" spans="1:1" ht="15.75" customHeight="1">
      <c r="A414" s="3"/>
    </row>
    <row r="415" spans="1:1" ht="15.75" customHeight="1">
      <c r="A415" s="3"/>
    </row>
    <row r="416" spans="1:1" ht="15.75" customHeight="1">
      <c r="A416" s="3"/>
    </row>
    <row r="417" spans="1:1" ht="15.75" customHeight="1">
      <c r="A417" s="3"/>
    </row>
    <row r="418" spans="1:1" ht="15.75" customHeight="1">
      <c r="A418" s="3"/>
    </row>
    <row r="419" spans="1:1" ht="15.75" customHeight="1">
      <c r="A419" s="3"/>
    </row>
    <row r="420" spans="1:1" ht="15.75" customHeight="1">
      <c r="A420" s="3"/>
    </row>
    <row r="421" spans="1:1" ht="15.75" customHeight="1">
      <c r="A421" s="3"/>
    </row>
    <row r="422" spans="1:1" ht="15.75" customHeight="1">
      <c r="A422" s="3"/>
    </row>
    <row r="423" spans="1:1" ht="15.75" customHeight="1">
      <c r="A423" s="3"/>
    </row>
    <row r="424" spans="1:1" ht="15.75" customHeight="1">
      <c r="A424" s="3"/>
    </row>
    <row r="425" spans="1:1" ht="15.75" customHeight="1">
      <c r="A425" s="3"/>
    </row>
    <row r="426" spans="1:1" ht="15.75" customHeight="1">
      <c r="A426" s="3"/>
    </row>
    <row r="427" spans="1:1" ht="15.75" customHeight="1">
      <c r="A427" s="3"/>
    </row>
    <row r="428" spans="1:1" ht="15.75" customHeight="1">
      <c r="A428" s="3"/>
    </row>
    <row r="429" spans="1:1" ht="15.75" customHeight="1">
      <c r="A429" s="3"/>
    </row>
    <row r="430" spans="1:1" ht="15.75" customHeight="1">
      <c r="A430" s="3"/>
    </row>
    <row r="431" spans="1:1" ht="15.75" customHeight="1">
      <c r="A431" s="3"/>
    </row>
    <row r="432" spans="1:1" ht="15.75" customHeight="1">
      <c r="A432" s="3"/>
    </row>
    <row r="433" spans="1:1" ht="15.75" customHeight="1">
      <c r="A433" s="3"/>
    </row>
    <row r="434" spans="1:1" ht="15.75" customHeight="1">
      <c r="A434" s="3"/>
    </row>
    <row r="435" spans="1:1" ht="15.75" customHeight="1">
      <c r="A435" s="3"/>
    </row>
    <row r="436" spans="1:1" ht="15.75" customHeight="1">
      <c r="A436" s="3"/>
    </row>
    <row r="437" spans="1:1" ht="15.75" customHeight="1">
      <c r="A437" s="3"/>
    </row>
    <row r="438" spans="1:1" ht="15.75" customHeight="1">
      <c r="A438" s="3"/>
    </row>
    <row r="439" spans="1:1" ht="15.75" customHeight="1">
      <c r="A439" s="3"/>
    </row>
    <row r="440" spans="1:1" ht="15.75" customHeight="1">
      <c r="A440" s="3"/>
    </row>
    <row r="441" spans="1:1" ht="15.75" customHeight="1">
      <c r="A441" s="3"/>
    </row>
    <row r="442" spans="1:1" ht="15.75" customHeight="1">
      <c r="A442" s="3"/>
    </row>
    <row r="443" spans="1:1" ht="15.75" customHeight="1">
      <c r="A443" s="3"/>
    </row>
    <row r="444" spans="1:1" ht="15.75" customHeight="1">
      <c r="A444" s="3"/>
    </row>
    <row r="445" spans="1:1" ht="15.75" customHeight="1">
      <c r="A445" s="3"/>
    </row>
    <row r="446" spans="1:1" ht="15.75" customHeight="1">
      <c r="A446" s="3"/>
    </row>
    <row r="447" spans="1:1" ht="15.75" customHeight="1">
      <c r="A447" s="3"/>
    </row>
    <row r="448" spans="1:1" ht="15.75" customHeight="1">
      <c r="A448" s="3"/>
    </row>
    <row r="449" spans="1:1" ht="15.75" customHeight="1">
      <c r="A449" s="3"/>
    </row>
    <row r="450" spans="1:1" ht="15.75" customHeight="1">
      <c r="A450" s="3"/>
    </row>
    <row r="451" spans="1:1" ht="15.75" customHeight="1">
      <c r="A451" s="3"/>
    </row>
    <row r="452" spans="1:1" ht="15.75" customHeight="1">
      <c r="A452" s="3"/>
    </row>
    <row r="453" spans="1:1" ht="15.75" customHeight="1">
      <c r="A453" s="3"/>
    </row>
    <row r="454" spans="1:1" ht="15.75" customHeight="1">
      <c r="A454" s="3"/>
    </row>
    <row r="455" spans="1:1" ht="15.75" customHeight="1">
      <c r="A455" s="3"/>
    </row>
    <row r="456" spans="1:1" ht="15.75" customHeight="1">
      <c r="A456" s="3"/>
    </row>
    <row r="457" spans="1:1" ht="15.75" customHeight="1">
      <c r="A457" s="3"/>
    </row>
    <row r="458" spans="1:1" ht="15.75" customHeight="1">
      <c r="A458" s="3"/>
    </row>
    <row r="459" spans="1:1" ht="15.75" customHeight="1">
      <c r="A459" s="3"/>
    </row>
    <row r="460" spans="1:1" ht="15.75" customHeight="1">
      <c r="A460" s="3"/>
    </row>
    <row r="461" spans="1:1" ht="15.75" customHeight="1">
      <c r="A461" s="3"/>
    </row>
    <row r="462" spans="1:1" ht="15.75" customHeight="1">
      <c r="A462" s="3"/>
    </row>
    <row r="463" spans="1:1" ht="15.75" customHeight="1">
      <c r="A463" s="3"/>
    </row>
    <row r="464" spans="1:1" ht="15.75" customHeight="1">
      <c r="A464" s="3"/>
    </row>
    <row r="465" spans="1:1" ht="15.75" customHeight="1">
      <c r="A465" s="3"/>
    </row>
    <row r="466" spans="1:1" ht="15.75" customHeight="1">
      <c r="A466" s="3"/>
    </row>
    <row r="467" spans="1:1" ht="15.75" customHeight="1">
      <c r="A467" s="3"/>
    </row>
    <row r="468" spans="1:1" ht="15.75" customHeight="1">
      <c r="A468" s="3"/>
    </row>
    <row r="469" spans="1:1" ht="15.75" customHeight="1">
      <c r="A469" s="3"/>
    </row>
    <row r="470" spans="1:1" ht="15.75" customHeight="1">
      <c r="A470" s="3"/>
    </row>
    <row r="471" spans="1:1" ht="15.75" customHeight="1">
      <c r="A471" s="3"/>
    </row>
    <row r="472" spans="1:1" ht="15.75" customHeight="1">
      <c r="A472" s="3"/>
    </row>
    <row r="473" spans="1:1" ht="15.75" customHeight="1">
      <c r="A473" s="3"/>
    </row>
    <row r="474" spans="1:1" ht="15.75" customHeight="1">
      <c r="A474" s="3"/>
    </row>
    <row r="475" spans="1:1" ht="15.75" customHeight="1">
      <c r="A475" s="3"/>
    </row>
    <row r="476" spans="1:1" ht="15.75" customHeight="1">
      <c r="A476" s="3"/>
    </row>
    <row r="477" spans="1:1" ht="15.75" customHeight="1">
      <c r="A477" s="3"/>
    </row>
    <row r="478" spans="1:1" ht="15.75" customHeight="1">
      <c r="A478" s="3"/>
    </row>
    <row r="479" spans="1:1" ht="15.75" customHeight="1">
      <c r="A479" s="3"/>
    </row>
    <row r="480" spans="1:1" ht="15.75" customHeight="1">
      <c r="A480" s="3"/>
    </row>
    <row r="481" spans="1:1" ht="15.75" customHeight="1">
      <c r="A481" s="3"/>
    </row>
    <row r="482" spans="1:1" ht="15.75" customHeight="1">
      <c r="A482" s="3"/>
    </row>
    <row r="483" spans="1:1" ht="15.75" customHeight="1">
      <c r="A483" s="3"/>
    </row>
    <row r="484" spans="1:1" ht="15.75" customHeight="1">
      <c r="A484" s="3"/>
    </row>
    <row r="485" spans="1:1" ht="15.75" customHeight="1">
      <c r="A485" s="3"/>
    </row>
    <row r="486" spans="1:1" ht="15.75" customHeight="1">
      <c r="A486" s="3"/>
    </row>
    <row r="487" spans="1:1" ht="15.75" customHeight="1">
      <c r="A487" s="3"/>
    </row>
    <row r="488" spans="1:1" ht="15.75" customHeight="1">
      <c r="A488" s="3"/>
    </row>
    <row r="489" spans="1:1" ht="15.75" customHeight="1">
      <c r="A489" s="3"/>
    </row>
    <row r="490" spans="1:1" ht="15.75" customHeight="1">
      <c r="A490" s="3"/>
    </row>
    <row r="491" spans="1:1" ht="15.75" customHeight="1">
      <c r="A491" s="3"/>
    </row>
    <row r="492" spans="1:1" ht="15.75" customHeight="1">
      <c r="A492" s="3"/>
    </row>
    <row r="493" spans="1:1" ht="15.75" customHeight="1">
      <c r="A493" s="3"/>
    </row>
    <row r="494" spans="1:1" ht="15.75" customHeight="1">
      <c r="A494" s="3"/>
    </row>
    <row r="495" spans="1:1" ht="15.75" customHeight="1">
      <c r="A495" s="3"/>
    </row>
    <row r="496" spans="1:1" ht="15.75" customHeight="1">
      <c r="A496" s="3"/>
    </row>
    <row r="497" spans="1:1" ht="15.75" customHeight="1">
      <c r="A497" s="3"/>
    </row>
    <row r="498" spans="1:1" ht="15.75" customHeight="1">
      <c r="A498" s="3"/>
    </row>
    <row r="499" spans="1:1" ht="15.75" customHeight="1">
      <c r="A499" s="3"/>
    </row>
    <row r="500" spans="1:1" ht="15.75" customHeight="1">
      <c r="A500" s="3"/>
    </row>
    <row r="501" spans="1:1" ht="15.75" customHeight="1">
      <c r="A501" s="3"/>
    </row>
    <row r="502" spans="1:1" ht="15.75" customHeight="1">
      <c r="A502" s="3"/>
    </row>
    <row r="503" spans="1:1" ht="15.75" customHeight="1">
      <c r="A503" s="3"/>
    </row>
    <row r="504" spans="1:1" ht="15.75" customHeight="1">
      <c r="A504" s="3"/>
    </row>
    <row r="505" spans="1:1" ht="15.75" customHeight="1">
      <c r="A505" s="3"/>
    </row>
    <row r="506" spans="1:1" ht="15.75" customHeight="1">
      <c r="A506" s="3"/>
    </row>
    <row r="507" spans="1:1" ht="15.75" customHeight="1">
      <c r="A507" s="3"/>
    </row>
    <row r="508" spans="1:1" ht="15.75" customHeight="1">
      <c r="A508" s="3"/>
    </row>
    <row r="509" spans="1:1" ht="15.75" customHeight="1">
      <c r="A509" s="3"/>
    </row>
    <row r="510" spans="1:1" ht="15.75" customHeight="1">
      <c r="A510" s="3"/>
    </row>
    <row r="511" spans="1:1" ht="15.75" customHeight="1">
      <c r="A511" s="3"/>
    </row>
    <row r="512" spans="1:1" ht="15.75" customHeight="1">
      <c r="A512" s="3"/>
    </row>
    <row r="513" spans="1:1" ht="15.75" customHeight="1">
      <c r="A513" s="3"/>
    </row>
    <row r="514" spans="1:1" ht="15.75" customHeight="1">
      <c r="A514" s="3"/>
    </row>
    <row r="515" spans="1:1" ht="15.75" customHeight="1">
      <c r="A515" s="3"/>
    </row>
    <row r="516" spans="1:1" ht="15.75" customHeight="1">
      <c r="A516" s="3"/>
    </row>
    <row r="517" spans="1:1" ht="15.75" customHeight="1">
      <c r="A517" s="3"/>
    </row>
    <row r="518" spans="1:1" ht="15.75" customHeight="1">
      <c r="A518" s="3"/>
    </row>
    <row r="519" spans="1:1" ht="15.75" customHeight="1">
      <c r="A519" s="3"/>
    </row>
    <row r="520" spans="1:1" ht="15.75" customHeight="1">
      <c r="A520" s="3"/>
    </row>
    <row r="521" spans="1:1" ht="15.75" customHeight="1">
      <c r="A521" s="3"/>
    </row>
    <row r="522" spans="1:1" ht="15.75" customHeight="1">
      <c r="A522" s="3"/>
    </row>
    <row r="523" spans="1:1" ht="15.75" customHeight="1">
      <c r="A523" s="3"/>
    </row>
    <row r="524" spans="1:1" ht="15.75" customHeight="1">
      <c r="A524" s="3"/>
    </row>
    <row r="525" spans="1:1" ht="15.75" customHeight="1">
      <c r="A525" s="3"/>
    </row>
    <row r="526" spans="1:1" ht="15.75" customHeight="1">
      <c r="A526" s="3"/>
    </row>
    <row r="527" spans="1:1" ht="15.75" customHeight="1">
      <c r="A527" s="3"/>
    </row>
    <row r="528" spans="1:1" ht="15.75" customHeight="1">
      <c r="A528" s="3"/>
    </row>
    <row r="529" spans="1:1" ht="15.75" customHeight="1">
      <c r="A529" s="3"/>
    </row>
    <row r="530" spans="1:1" ht="15.75" customHeight="1">
      <c r="A530" s="3"/>
    </row>
    <row r="531" spans="1:1" ht="15.75" customHeight="1">
      <c r="A531" s="3"/>
    </row>
    <row r="532" spans="1:1" ht="15.75" customHeight="1">
      <c r="A532" s="3"/>
    </row>
    <row r="533" spans="1:1" ht="15.75" customHeight="1">
      <c r="A533" s="3"/>
    </row>
    <row r="534" spans="1:1" ht="15.75" customHeight="1">
      <c r="A534" s="3"/>
    </row>
    <row r="535" spans="1:1" ht="15.75" customHeight="1">
      <c r="A535" s="3"/>
    </row>
    <row r="536" spans="1:1" ht="15.75" customHeight="1">
      <c r="A536" s="3"/>
    </row>
    <row r="537" spans="1:1" ht="15.75" customHeight="1">
      <c r="A537" s="3"/>
    </row>
    <row r="538" spans="1:1" ht="15.75" customHeight="1">
      <c r="A538" s="3"/>
    </row>
    <row r="539" spans="1:1" ht="15.75" customHeight="1">
      <c r="A539" s="3"/>
    </row>
    <row r="540" spans="1:1" ht="15.75" customHeight="1">
      <c r="A540" s="3"/>
    </row>
    <row r="541" spans="1:1" ht="15.75" customHeight="1">
      <c r="A541" s="3"/>
    </row>
    <row r="542" spans="1:1" ht="15.75" customHeight="1">
      <c r="A542" s="3"/>
    </row>
    <row r="543" spans="1:1" ht="15.75" customHeight="1">
      <c r="A543" s="3"/>
    </row>
    <row r="544" spans="1:1" ht="15.75" customHeight="1">
      <c r="A544" s="3"/>
    </row>
    <row r="545" spans="1:1" ht="15.75" customHeight="1">
      <c r="A545" s="3"/>
    </row>
    <row r="546" spans="1:1" ht="15.75" customHeight="1">
      <c r="A546" s="3"/>
    </row>
    <row r="547" spans="1:1" ht="15.75" customHeight="1">
      <c r="A547" s="3"/>
    </row>
    <row r="548" spans="1:1" ht="15.75" customHeight="1">
      <c r="A548" s="3"/>
    </row>
    <row r="549" spans="1:1" ht="15.75" customHeight="1">
      <c r="A549" s="3"/>
    </row>
    <row r="550" spans="1:1" ht="15.75" customHeight="1">
      <c r="A550" s="3"/>
    </row>
    <row r="551" spans="1:1" ht="15.75" customHeight="1">
      <c r="A551" s="3"/>
    </row>
    <row r="552" spans="1:1" ht="15.75" customHeight="1">
      <c r="A552" s="3"/>
    </row>
    <row r="553" spans="1:1" ht="15.75" customHeight="1">
      <c r="A553" s="3"/>
    </row>
    <row r="554" spans="1:1" ht="15.75" customHeight="1">
      <c r="A554" s="3"/>
    </row>
    <row r="555" spans="1:1" ht="15.75" customHeight="1">
      <c r="A555" s="3"/>
    </row>
    <row r="556" spans="1:1" ht="15.75" customHeight="1">
      <c r="A556" s="3"/>
    </row>
    <row r="557" spans="1:1" ht="15.75" customHeight="1">
      <c r="A557" s="3"/>
    </row>
    <row r="558" spans="1:1" ht="15.75" customHeight="1">
      <c r="A558" s="3"/>
    </row>
    <row r="559" spans="1:1" ht="15.75" customHeight="1">
      <c r="A559" s="3"/>
    </row>
    <row r="560" spans="1:1" ht="15.75" customHeight="1">
      <c r="A560" s="3"/>
    </row>
    <row r="561" spans="1:1" ht="15.75" customHeight="1">
      <c r="A561" s="3"/>
    </row>
    <row r="562" spans="1:1" ht="15.75" customHeight="1">
      <c r="A562" s="3"/>
    </row>
    <row r="563" spans="1:1" ht="15.75" customHeight="1">
      <c r="A563" s="3"/>
    </row>
    <row r="564" spans="1:1" ht="15.75" customHeight="1">
      <c r="A564" s="3"/>
    </row>
    <row r="565" spans="1:1" ht="15.75" customHeight="1">
      <c r="A565" s="3"/>
    </row>
    <row r="566" spans="1:1" ht="15.75" customHeight="1">
      <c r="A566" s="3"/>
    </row>
    <row r="567" spans="1:1" ht="15.75" customHeight="1">
      <c r="A567" s="3"/>
    </row>
    <row r="568" spans="1:1" ht="15.75" customHeight="1">
      <c r="A568" s="3"/>
    </row>
    <row r="569" spans="1:1" ht="15.75" customHeight="1">
      <c r="A569" s="3"/>
    </row>
    <row r="570" spans="1:1" ht="15.75" customHeight="1">
      <c r="A570" s="3"/>
    </row>
    <row r="571" spans="1:1" ht="15.75" customHeight="1">
      <c r="A571" s="3"/>
    </row>
    <row r="572" spans="1:1" ht="15.75" customHeight="1">
      <c r="A572" s="3"/>
    </row>
    <row r="573" spans="1:1" ht="15.75" customHeight="1">
      <c r="A573" s="3"/>
    </row>
    <row r="574" spans="1:1" ht="15.75" customHeight="1">
      <c r="A574" s="3"/>
    </row>
    <row r="575" spans="1:1" ht="15.75" customHeight="1">
      <c r="A575" s="3"/>
    </row>
    <row r="576" spans="1:1" ht="15.75" customHeight="1">
      <c r="A576" s="3"/>
    </row>
    <row r="577" spans="1:1" ht="15.75" customHeight="1">
      <c r="A577" s="3"/>
    </row>
    <row r="578" spans="1:1" ht="15.75" customHeight="1">
      <c r="A578" s="3"/>
    </row>
    <row r="579" spans="1:1" ht="15.75" customHeight="1">
      <c r="A579" s="3"/>
    </row>
    <row r="580" spans="1:1" ht="15.75" customHeight="1">
      <c r="A580" s="3"/>
    </row>
    <row r="581" spans="1:1" ht="15.75" customHeight="1">
      <c r="A581" s="3"/>
    </row>
    <row r="582" spans="1:1" ht="15.75" customHeight="1">
      <c r="A582" s="3"/>
    </row>
    <row r="583" spans="1:1" ht="15.75" customHeight="1">
      <c r="A583" s="3"/>
    </row>
    <row r="584" spans="1:1" ht="15.75" customHeight="1">
      <c r="A584" s="3"/>
    </row>
    <row r="585" spans="1:1" ht="15.75" customHeight="1">
      <c r="A585" s="3"/>
    </row>
    <row r="586" spans="1:1" ht="15.75" customHeight="1">
      <c r="A586" s="3"/>
    </row>
    <row r="587" spans="1:1" ht="15.75" customHeight="1">
      <c r="A587" s="3"/>
    </row>
    <row r="588" spans="1:1" ht="15.75" customHeight="1">
      <c r="A588" s="3"/>
    </row>
    <row r="589" spans="1:1" ht="15.75" customHeight="1">
      <c r="A589" s="3"/>
    </row>
    <row r="590" spans="1:1" ht="15.75" customHeight="1">
      <c r="A590" s="3"/>
    </row>
    <row r="591" spans="1:1" ht="15.75" customHeight="1">
      <c r="A591" s="3"/>
    </row>
    <row r="592" spans="1:1" ht="15.75" customHeight="1">
      <c r="A592" s="3"/>
    </row>
    <row r="593" spans="1:1" ht="15.75" customHeight="1">
      <c r="A593" s="3"/>
    </row>
    <row r="594" spans="1:1" ht="15.75" customHeight="1">
      <c r="A594" s="3"/>
    </row>
    <row r="595" spans="1:1" ht="15.75" customHeight="1">
      <c r="A595" s="3"/>
    </row>
    <row r="596" spans="1:1" ht="15.75" customHeight="1">
      <c r="A596" s="3"/>
    </row>
    <row r="597" spans="1:1" ht="15.75" customHeight="1">
      <c r="A597" s="3"/>
    </row>
    <row r="598" spans="1:1" ht="15.75" customHeight="1">
      <c r="A598" s="3"/>
    </row>
    <row r="599" spans="1:1" ht="15.75" customHeight="1">
      <c r="A599" s="3"/>
    </row>
    <row r="600" spans="1:1" ht="15.75" customHeight="1">
      <c r="A600" s="3"/>
    </row>
    <row r="601" spans="1:1" ht="15.75" customHeight="1">
      <c r="A601" s="3"/>
    </row>
    <row r="602" spans="1:1" ht="15.75" customHeight="1">
      <c r="A602" s="3"/>
    </row>
    <row r="603" spans="1:1" ht="15.75" customHeight="1">
      <c r="A603" s="3"/>
    </row>
    <row r="604" spans="1:1" ht="15.75" customHeight="1">
      <c r="A604" s="3"/>
    </row>
    <row r="605" spans="1:1" ht="15.75" customHeight="1">
      <c r="A605" s="3"/>
    </row>
    <row r="606" spans="1:1" ht="15.75" customHeight="1">
      <c r="A606" s="3"/>
    </row>
    <row r="607" spans="1:1" ht="15.75" customHeight="1">
      <c r="A607" s="3"/>
    </row>
    <row r="608" spans="1:1" ht="15.75" customHeight="1">
      <c r="A608" s="3"/>
    </row>
    <row r="609" spans="1:1" ht="15.75" customHeight="1">
      <c r="A609" s="3"/>
    </row>
    <row r="610" spans="1:1" ht="15.75" customHeight="1">
      <c r="A610" s="3"/>
    </row>
    <row r="611" spans="1:1" ht="15.75" customHeight="1">
      <c r="A611" s="3"/>
    </row>
    <row r="612" spans="1:1" ht="15.75" customHeight="1">
      <c r="A612" s="3"/>
    </row>
    <row r="613" spans="1:1" ht="15.75" customHeight="1">
      <c r="A613" s="3"/>
    </row>
    <row r="614" spans="1:1" ht="15.75" customHeight="1">
      <c r="A614" s="3"/>
    </row>
    <row r="615" spans="1:1" ht="15.75" customHeight="1">
      <c r="A615" s="3"/>
    </row>
    <row r="616" spans="1:1" ht="15.75" customHeight="1">
      <c r="A616" s="3"/>
    </row>
    <row r="617" spans="1:1" ht="15.75" customHeight="1">
      <c r="A617" s="3"/>
    </row>
    <row r="618" spans="1:1" ht="15.75" customHeight="1">
      <c r="A618" s="3"/>
    </row>
    <row r="619" spans="1:1" ht="15.75" customHeight="1">
      <c r="A619" s="3"/>
    </row>
    <row r="620" spans="1:1" ht="15.75" customHeight="1">
      <c r="A620" s="3"/>
    </row>
    <row r="621" spans="1:1" ht="15.75" customHeight="1">
      <c r="A621" s="3"/>
    </row>
    <row r="622" spans="1:1" ht="15.75" customHeight="1">
      <c r="A622" s="3"/>
    </row>
    <row r="623" spans="1:1" ht="15.75" customHeight="1">
      <c r="A623" s="3"/>
    </row>
    <row r="624" spans="1:1" ht="15.75" customHeight="1">
      <c r="A624" s="3"/>
    </row>
    <row r="625" spans="1:1" ht="15.75" customHeight="1">
      <c r="A625" s="3"/>
    </row>
    <row r="626" spans="1:1" ht="15.75" customHeight="1">
      <c r="A626" s="3"/>
    </row>
    <row r="627" spans="1:1" ht="15.75" customHeight="1">
      <c r="A627" s="3"/>
    </row>
    <row r="628" spans="1:1" ht="15.75" customHeight="1">
      <c r="A628" s="3"/>
    </row>
    <row r="629" spans="1:1" ht="15.75" customHeight="1">
      <c r="A629" s="3"/>
    </row>
    <row r="630" spans="1:1" ht="15.75" customHeight="1">
      <c r="A630" s="3"/>
    </row>
    <row r="631" spans="1:1" ht="15.75" customHeight="1">
      <c r="A631" s="3"/>
    </row>
    <row r="632" spans="1:1" ht="15.75" customHeight="1">
      <c r="A632" s="3"/>
    </row>
    <row r="633" spans="1:1" ht="15.75" customHeight="1">
      <c r="A633" s="3"/>
    </row>
    <row r="634" spans="1:1" ht="15.75" customHeight="1">
      <c r="A634" s="3"/>
    </row>
    <row r="635" spans="1:1" ht="15.75" customHeight="1">
      <c r="A635" s="3"/>
    </row>
    <row r="636" spans="1:1" ht="15.75" customHeight="1">
      <c r="A636" s="3"/>
    </row>
    <row r="637" spans="1:1" ht="15.75" customHeight="1">
      <c r="A637" s="3"/>
    </row>
    <row r="638" spans="1:1" ht="15.75" customHeight="1">
      <c r="A638" s="3"/>
    </row>
    <row r="639" spans="1:1" ht="15.75" customHeight="1">
      <c r="A639" s="3"/>
    </row>
    <row r="640" spans="1:1" ht="15.75" customHeight="1">
      <c r="A640" s="3"/>
    </row>
    <row r="641" spans="1:1" ht="15.75" customHeight="1">
      <c r="A641" s="3"/>
    </row>
    <row r="642" spans="1:1" ht="15.75" customHeight="1">
      <c r="A642" s="3"/>
    </row>
    <row r="643" spans="1:1" ht="15.75" customHeight="1">
      <c r="A643" s="3"/>
    </row>
    <row r="644" spans="1:1" ht="15.75" customHeight="1">
      <c r="A644" s="3"/>
    </row>
    <row r="645" spans="1:1" ht="15.75" customHeight="1">
      <c r="A645" s="3"/>
    </row>
    <row r="646" spans="1:1" ht="15.75" customHeight="1">
      <c r="A646" s="3"/>
    </row>
    <row r="647" spans="1:1" ht="15.75" customHeight="1">
      <c r="A647" s="3"/>
    </row>
    <row r="648" spans="1:1" ht="15.75" customHeight="1">
      <c r="A648" s="3"/>
    </row>
    <row r="649" spans="1:1" ht="15.75" customHeight="1">
      <c r="A649" s="3"/>
    </row>
    <row r="650" spans="1:1" ht="15.75" customHeight="1">
      <c r="A650" s="3"/>
    </row>
    <row r="651" spans="1:1" ht="15.75" customHeight="1">
      <c r="A651" s="3"/>
    </row>
    <row r="652" spans="1:1" ht="15.75" customHeight="1">
      <c r="A652" s="3"/>
    </row>
    <row r="653" spans="1:1" ht="15.75" customHeight="1">
      <c r="A653" s="3"/>
    </row>
    <row r="654" spans="1:1" ht="15.75" customHeight="1">
      <c r="A654" s="3"/>
    </row>
    <row r="655" spans="1:1" ht="15.75" customHeight="1">
      <c r="A655" s="3"/>
    </row>
    <row r="656" spans="1:1" ht="15.75" customHeight="1">
      <c r="A656" s="3"/>
    </row>
    <row r="657" spans="1:1" ht="15.75" customHeight="1">
      <c r="A657" s="3"/>
    </row>
    <row r="658" spans="1:1" ht="15.75" customHeight="1">
      <c r="A658" s="3"/>
    </row>
    <row r="659" spans="1:1" ht="15.75" customHeight="1">
      <c r="A659" s="3"/>
    </row>
    <row r="660" spans="1:1" ht="15.75" customHeight="1">
      <c r="A660" s="3"/>
    </row>
    <row r="661" spans="1:1" ht="15.75" customHeight="1">
      <c r="A661" s="3"/>
    </row>
    <row r="662" spans="1:1" ht="15.75" customHeight="1">
      <c r="A662" s="3"/>
    </row>
    <row r="663" spans="1:1" ht="15.75" customHeight="1">
      <c r="A663" s="3"/>
    </row>
    <row r="664" spans="1:1" ht="15.75" customHeight="1">
      <c r="A664" s="3"/>
    </row>
    <row r="665" spans="1:1" ht="15.75" customHeight="1">
      <c r="A665" s="3"/>
    </row>
    <row r="666" spans="1:1" ht="15.75" customHeight="1">
      <c r="A666" s="3"/>
    </row>
    <row r="667" spans="1:1" ht="15.75" customHeight="1">
      <c r="A667" s="3"/>
    </row>
    <row r="668" spans="1:1" ht="15.75" customHeight="1">
      <c r="A668" s="3"/>
    </row>
    <row r="669" spans="1:1" ht="15.75" customHeight="1">
      <c r="A669" s="3"/>
    </row>
    <row r="670" spans="1:1" ht="15.75" customHeight="1">
      <c r="A670" s="3"/>
    </row>
    <row r="671" spans="1:1" ht="15.75" customHeight="1">
      <c r="A671" s="3"/>
    </row>
    <row r="672" spans="1:1" ht="15.75" customHeight="1">
      <c r="A672" s="3"/>
    </row>
    <row r="673" spans="1:1" ht="15.75" customHeight="1">
      <c r="A673" s="3"/>
    </row>
    <row r="674" spans="1:1" ht="15.75" customHeight="1">
      <c r="A674" s="3"/>
    </row>
    <row r="675" spans="1:1" ht="15.75" customHeight="1">
      <c r="A675" s="3"/>
    </row>
    <row r="676" spans="1:1" ht="15.75" customHeight="1">
      <c r="A676" s="3"/>
    </row>
    <row r="677" spans="1:1" ht="15.75" customHeight="1">
      <c r="A677" s="3"/>
    </row>
    <row r="678" spans="1:1" ht="15.75" customHeight="1">
      <c r="A678" s="3"/>
    </row>
    <row r="679" spans="1:1" ht="15.75" customHeight="1">
      <c r="A679" s="3"/>
    </row>
    <row r="680" spans="1:1" ht="15.75" customHeight="1">
      <c r="A680" s="3"/>
    </row>
    <row r="681" spans="1:1" ht="15.75" customHeight="1">
      <c r="A681" s="3"/>
    </row>
    <row r="682" spans="1:1" ht="15.75" customHeight="1">
      <c r="A682" s="3"/>
    </row>
    <row r="683" spans="1:1" ht="15.75" customHeight="1">
      <c r="A683" s="3"/>
    </row>
    <row r="684" spans="1:1" ht="15.75" customHeight="1">
      <c r="A684" s="3"/>
    </row>
    <row r="685" spans="1:1" ht="15.75" customHeight="1">
      <c r="A685" s="3"/>
    </row>
    <row r="686" spans="1:1" ht="15.75" customHeight="1">
      <c r="A686" s="3"/>
    </row>
    <row r="687" spans="1:1" ht="15.75" customHeight="1">
      <c r="A687" s="3"/>
    </row>
    <row r="688" spans="1:1" ht="15.75" customHeight="1">
      <c r="A688" s="3"/>
    </row>
    <row r="689" spans="1:1" ht="15.75" customHeight="1">
      <c r="A689" s="3"/>
    </row>
    <row r="690" spans="1:1" ht="15.75" customHeight="1">
      <c r="A690" s="3"/>
    </row>
    <row r="691" spans="1:1" ht="15.75" customHeight="1">
      <c r="A691" s="3"/>
    </row>
    <row r="692" spans="1:1" ht="15.75" customHeight="1">
      <c r="A692" s="3"/>
    </row>
    <row r="693" spans="1:1" ht="15.75" customHeight="1">
      <c r="A693" s="3"/>
    </row>
    <row r="694" spans="1:1" ht="15.75" customHeight="1">
      <c r="A694" s="3"/>
    </row>
    <row r="695" spans="1:1" ht="15.75" customHeight="1">
      <c r="A695" s="3"/>
    </row>
    <row r="696" spans="1:1" ht="15.75" customHeight="1">
      <c r="A696" s="3"/>
    </row>
    <row r="697" spans="1:1" ht="15.75" customHeight="1">
      <c r="A697" s="3"/>
    </row>
    <row r="698" spans="1:1" ht="15.75" customHeight="1">
      <c r="A698" s="3"/>
    </row>
    <row r="699" spans="1:1" ht="15.75" customHeight="1">
      <c r="A699" s="3"/>
    </row>
    <row r="700" spans="1:1" ht="15.75" customHeight="1">
      <c r="A700" s="3"/>
    </row>
    <row r="701" spans="1:1" ht="15.75" customHeight="1">
      <c r="A701" s="3"/>
    </row>
    <row r="702" spans="1:1" ht="15.75" customHeight="1">
      <c r="A702" s="3"/>
    </row>
    <row r="703" spans="1:1" ht="15.75" customHeight="1">
      <c r="A703" s="3"/>
    </row>
    <row r="704" spans="1:1" ht="15.75" customHeight="1">
      <c r="A704" s="3"/>
    </row>
    <row r="705" spans="1:1" ht="15.75" customHeight="1">
      <c r="A705" s="3"/>
    </row>
    <row r="706" spans="1:1" ht="15.75" customHeight="1">
      <c r="A706" s="3"/>
    </row>
    <row r="707" spans="1:1" ht="15.75" customHeight="1">
      <c r="A707" s="3"/>
    </row>
    <row r="708" spans="1:1" ht="15.75" customHeight="1">
      <c r="A708" s="3"/>
    </row>
    <row r="709" spans="1:1" ht="15.75" customHeight="1">
      <c r="A709" s="3"/>
    </row>
    <row r="710" spans="1:1" ht="15.75" customHeight="1">
      <c r="A710" s="3"/>
    </row>
    <row r="711" spans="1:1" ht="15.75" customHeight="1">
      <c r="A711" s="3"/>
    </row>
    <row r="712" spans="1:1" ht="15.75" customHeight="1">
      <c r="A712" s="3"/>
    </row>
    <row r="713" spans="1:1" ht="15.75" customHeight="1">
      <c r="A713" s="3"/>
    </row>
    <row r="714" spans="1:1" ht="15.75" customHeight="1">
      <c r="A714" s="3"/>
    </row>
    <row r="715" spans="1:1" ht="15.75" customHeight="1">
      <c r="A715" s="3"/>
    </row>
    <row r="716" spans="1:1" ht="15.75" customHeight="1">
      <c r="A716" s="3"/>
    </row>
    <row r="717" spans="1:1" ht="15.75" customHeight="1">
      <c r="A717" s="3"/>
    </row>
    <row r="718" spans="1:1" ht="15.75" customHeight="1">
      <c r="A718" s="3"/>
    </row>
    <row r="719" spans="1:1" ht="15.75" customHeight="1">
      <c r="A719" s="3"/>
    </row>
    <row r="720" spans="1:1" ht="15.75" customHeight="1">
      <c r="A720" s="3"/>
    </row>
    <row r="721" spans="1:1" ht="15.75" customHeight="1">
      <c r="A721" s="3"/>
    </row>
    <row r="722" spans="1:1" ht="15.75" customHeight="1">
      <c r="A722" s="3"/>
    </row>
    <row r="723" spans="1:1" ht="15.75" customHeight="1">
      <c r="A723" s="3"/>
    </row>
    <row r="724" spans="1:1" ht="15.75" customHeight="1">
      <c r="A724" s="3"/>
    </row>
    <row r="725" spans="1:1" ht="15.75" customHeight="1">
      <c r="A725" s="3"/>
    </row>
    <row r="726" spans="1:1" ht="15.75" customHeight="1">
      <c r="A726" s="3"/>
    </row>
    <row r="727" spans="1:1" ht="15.75" customHeight="1">
      <c r="A727" s="3"/>
    </row>
    <row r="728" spans="1:1" ht="15.75" customHeight="1">
      <c r="A728" s="3"/>
    </row>
    <row r="729" spans="1:1" ht="15.75" customHeight="1">
      <c r="A729" s="3"/>
    </row>
    <row r="730" spans="1:1" ht="15.75" customHeight="1">
      <c r="A730" s="3"/>
    </row>
    <row r="731" spans="1:1" ht="15.75" customHeight="1">
      <c r="A731" s="3"/>
    </row>
    <row r="732" spans="1:1" ht="15.75" customHeight="1">
      <c r="A732" s="3"/>
    </row>
    <row r="733" spans="1:1" ht="15.75" customHeight="1">
      <c r="A733" s="3"/>
    </row>
    <row r="734" spans="1:1" ht="15.75" customHeight="1">
      <c r="A734" s="3"/>
    </row>
    <row r="735" spans="1:1" ht="15.75" customHeight="1">
      <c r="A735" s="3"/>
    </row>
    <row r="736" spans="1:1" ht="15.75" customHeight="1">
      <c r="A736" s="3"/>
    </row>
    <row r="737" spans="1:1" ht="15.75" customHeight="1">
      <c r="A737" s="3"/>
    </row>
    <row r="738" spans="1:1" ht="15.75" customHeight="1">
      <c r="A738" s="3"/>
    </row>
    <row r="739" spans="1:1" ht="15.75" customHeight="1">
      <c r="A739" s="3"/>
    </row>
    <row r="740" spans="1:1" ht="15.75" customHeight="1">
      <c r="A740" s="3"/>
    </row>
    <row r="741" spans="1:1" ht="15.75" customHeight="1">
      <c r="A741" s="3"/>
    </row>
    <row r="742" spans="1:1" ht="15.75" customHeight="1">
      <c r="A742" s="3"/>
    </row>
    <row r="743" spans="1:1" ht="15.75" customHeight="1">
      <c r="A743" s="3"/>
    </row>
    <row r="744" spans="1:1" ht="15.75" customHeight="1">
      <c r="A744" s="3"/>
    </row>
    <row r="745" spans="1:1" ht="15.75" customHeight="1">
      <c r="A745" s="3"/>
    </row>
    <row r="746" spans="1:1" ht="15.75" customHeight="1">
      <c r="A746" s="3"/>
    </row>
    <row r="747" spans="1:1" ht="15.75" customHeight="1">
      <c r="A747" s="3"/>
    </row>
    <row r="748" spans="1:1" ht="15.75" customHeight="1">
      <c r="A748" s="3"/>
    </row>
    <row r="749" spans="1:1" ht="15.75" customHeight="1">
      <c r="A749" s="3"/>
    </row>
    <row r="750" spans="1:1" ht="15.75" customHeight="1">
      <c r="A750" s="3"/>
    </row>
    <row r="751" spans="1:1" ht="15.75" customHeight="1">
      <c r="A751" s="3"/>
    </row>
    <row r="752" spans="1:1" ht="15.75" customHeight="1">
      <c r="A752" s="3"/>
    </row>
    <row r="753" spans="1:1" ht="15.75" customHeight="1">
      <c r="A753" s="3"/>
    </row>
    <row r="754" spans="1:1" ht="15.75" customHeight="1">
      <c r="A754" s="3"/>
    </row>
    <row r="755" spans="1:1" ht="15.75" customHeight="1">
      <c r="A755" s="3"/>
    </row>
    <row r="756" spans="1:1" ht="15.75" customHeight="1">
      <c r="A756" s="3"/>
    </row>
    <row r="757" spans="1:1" ht="15.75" customHeight="1">
      <c r="A757" s="3"/>
    </row>
    <row r="758" spans="1:1" ht="15.75" customHeight="1">
      <c r="A758" s="3"/>
    </row>
    <row r="759" spans="1:1" ht="15.75" customHeight="1">
      <c r="A759" s="3"/>
    </row>
    <row r="760" spans="1:1" ht="15.75" customHeight="1">
      <c r="A760" s="3"/>
    </row>
    <row r="761" spans="1:1" ht="15.75" customHeight="1">
      <c r="A761" s="3"/>
    </row>
    <row r="762" spans="1:1" ht="15.75" customHeight="1">
      <c r="A762" s="3"/>
    </row>
    <row r="763" spans="1:1" ht="15.75" customHeight="1">
      <c r="A763" s="3"/>
    </row>
    <row r="764" spans="1:1" ht="15.75" customHeight="1">
      <c r="A764" s="3"/>
    </row>
    <row r="765" spans="1:1" ht="15.75" customHeight="1">
      <c r="A765" s="3"/>
    </row>
    <row r="766" spans="1:1" ht="15.75" customHeight="1">
      <c r="A766" s="3"/>
    </row>
    <row r="767" spans="1:1" ht="15.75" customHeight="1">
      <c r="A767" s="3"/>
    </row>
    <row r="768" spans="1:1" ht="15.75" customHeight="1">
      <c r="A768" s="3"/>
    </row>
    <row r="769" spans="1:1" ht="15.75" customHeight="1">
      <c r="A769" s="3"/>
    </row>
    <row r="770" spans="1:1" ht="15.75" customHeight="1">
      <c r="A770" s="3"/>
    </row>
    <row r="771" spans="1:1" ht="15.75" customHeight="1">
      <c r="A771" s="3"/>
    </row>
    <row r="772" spans="1:1" ht="15.75" customHeight="1">
      <c r="A772" s="3"/>
    </row>
    <row r="773" spans="1:1" ht="15.75" customHeight="1">
      <c r="A773" s="3"/>
    </row>
    <row r="774" spans="1:1" ht="15.75" customHeight="1">
      <c r="A774" s="3"/>
    </row>
    <row r="775" spans="1:1" ht="15.75" customHeight="1">
      <c r="A775" s="3"/>
    </row>
    <row r="776" spans="1:1" ht="15.75" customHeight="1">
      <c r="A776" s="3"/>
    </row>
    <row r="777" spans="1:1" ht="15.75" customHeight="1">
      <c r="A777" s="3"/>
    </row>
    <row r="778" spans="1:1" ht="15.75" customHeight="1">
      <c r="A778" s="3"/>
    </row>
    <row r="779" spans="1:1" ht="15.75" customHeight="1">
      <c r="A779" s="3"/>
    </row>
    <row r="780" spans="1:1" ht="15.75" customHeight="1">
      <c r="A780" s="3"/>
    </row>
    <row r="781" spans="1:1" ht="15.75" customHeight="1">
      <c r="A781" s="3"/>
    </row>
    <row r="782" spans="1:1" ht="15.75" customHeight="1">
      <c r="A782" s="3"/>
    </row>
    <row r="783" spans="1:1" ht="15.75" customHeight="1">
      <c r="A783" s="3"/>
    </row>
    <row r="784" spans="1:1" ht="15.75" customHeight="1">
      <c r="A784" s="3"/>
    </row>
    <row r="785" spans="1:1" ht="15.75" customHeight="1">
      <c r="A785" s="3"/>
    </row>
    <row r="786" spans="1:1" ht="15.75" customHeight="1">
      <c r="A786" s="3"/>
    </row>
    <row r="787" spans="1:1" ht="15.75" customHeight="1">
      <c r="A787" s="3"/>
    </row>
    <row r="788" spans="1:1" ht="15.75" customHeight="1">
      <c r="A788" s="3"/>
    </row>
    <row r="789" spans="1:1" ht="15.75" customHeight="1">
      <c r="A789" s="3"/>
    </row>
    <row r="790" spans="1:1" ht="15.75" customHeight="1">
      <c r="A790" s="3"/>
    </row>
    <row r="791" spans="1:1" ht="15.75" customHeight="1">
      <c r="A791" s="3"/>
    </row>
    <row r="792" spans="1:1" ht="15.75" customHeight="1">
      <c r="A792" s="3"/>
    </row>
    <row r="793" spans="1:1" ht="15.75" customHeight="1">
      <c r="A793" s="3"/>
    </row>
    <row r="794" spans="1:1" ht="15.75" customHeight="1">
      <c r="A794" s="3"/>
    </row>
    <row r="795" spans="1:1" ht="15.75" customHeight="1">
      <c r="A795" s="3"/>
    </row>
    <row r="796" spans="1:1" ht="15.75" customHeight="1">
      <c r="A796" s="3"/>
    </row>
    <row r="797" spans="1:1" ht="15.75" customHeight="1">
      <c r="A797" s="3"/>
    </row>
    <row r="798" spans="1:1" ht="15.75" customHeight="1">
      <c r="A798" s="3"/>
    </row>
    <row r="799" spans="1:1" ht="15.75" customHeight="1">
      <c r="A799" s="3"/>
    </row>
    <row r="800" spans="1:1" ht="15.75" customHeight="1">
      <c r="A800" s="3"/>
    </row>
    <row r="801" spans="1:1" ht="15.75" customHeight="1">
      <c r="A801" s="3"/>
    </row>
    <row r="802" spans="1:1" ht="15.75" customHeight="1">
      <c r="A802" s="3"/>
    </row>
    <row r="803" spans="1:1" ht="15.75" customHeight="1">
      <c r="A803" s="3"/>
    </row>
    <row r="804" spans="1:1" ht="15.75" customHeight="1">
      <c r="A804" s="3"/>
    </row>
    <row r="805" spans="1:1" ht="15.75" customHeight="1">
      <c r="A805" s="3"/>
    </row>
    <row r="806" spans="1:1" ht="15.75" customHeight="1">
      <c r="A806" s="3"/>
    </row>
    <row r="807" spans="1:1" ht="15.75" customHeight="1">
      <c r="A807" s="3"/>
    </row>
    <row r="808" spans="1:1" ht="15.75" customHeight="1">
      <c r="A808" s="3"/>
    </row>
    <row r="809" spans="1:1" ht="15.75" customHeight="1">
      <c r="A809" s="3"/>
    </row>
    <row r="810" spans="1:1" ht="15.75" customHeight="1">
      <c r="A810" s="3"/>
    </row>
    <row r="811" spans="1:1" ht="15.75" customHeight="1">
      <c r="A811" s="3"/>
    </row>
    <row r="812" spans="1:1" ht="15.75" customHeight="1">
      <c r="A812" s="3"/>
    </row>
    <row r="813" spans="1:1" ht="15.75" customHeight="1">
      <c r="A813" s="3"/>
    </row>
    <row r="814" spans="1:1" ht="15.75" customHeight="1">
      <c r="A814" s="3"/>
    </row>
    <row r="815" spans="1:1" ht="15.75" customHeight="1">
      <c r="A815" s="3"/>
    </row>
    <row r="816" spans="1:1" ht="15.75" customHeight="1">
      <c r="A816" s="3"/>
    </row>
    <row r="817" spans="1:1" ht="15.75" customHeight="1">
      <c r="A817" s="3"/>
    </row>
    <row r="818" spans="1:1" ht="15.75" customHeight="1">
      <c r="A818" s="3"/>
    </row>
    <row r="819" spans="1:1" ht="15.75" customHeight="1">
      <c r="A819" s="3"/>
    </row>
    <row r="820" spans="1:1" ht="15.75" customHeight="1">
      <c r="A820" s="3"/>
    </row>
    <row r="821" spans="1:1" ht="15.75" customHeight="1">
      <c r="A821" s="3"/>
    </row>
    <row r="822" spans="1:1" ht="15.75" customHeight="1">
      <c r="A822" s="3"/>
    </row>
    <row r="823" spans="1:1" ht="15.75" customHeight="1">
      <c r="A823" s="3"/>
    </row>
    <row r="824" spans="1:1" ht="15.75" customHeight="1">
      <c r="A824" s="3"/>
    </row>
    <row r="825" spans="1:1" ht="15.75" customHeight="1">
      <c r="A825" s="3"/>
    </row>
    <row r="826" spans="1:1" ht="15.75" customHeight="1">
      <c r="A826" s="3"/>
    </row>
    <row r="827" spans="1:1" ht="15.75" customHeight="1">
      <c r="A827" s="3"/>
    </row>
    <row r="828" spans="1:1" ht="15.75" customHeight="1">
      <c r="A828" s="3"/>
    </row>
    <row r="829" spans="1:1" ht="15.75" customHeight="1">
      <c r="A829" s="3"/>
    </row>
    <row r="830" spans="1:1" ht="15.75" customHeight="1">
      <c r="A830" s="3"/>
    </row>
    <row r="831" spans="1:1" ht="15.75" customHeight="1">
      <c r="A831" s="3"/>
    </row>
    <row r="832" spans="1:1" ht="15.75" customHeight="1">
      <c r="A832" s="3"/>
    </row>
    <row r="833" spans="1:1" ht="15.75" customHeight="1">
      <c r="A833" s="3"/>
    </row>
    <row r="834" spans="1:1" ht="15.75" customHeight="1">
      <c r="A834" s="3"/>
    </row>
    <row r="835" spans="1:1" ht="15.75" customHeight="1">
      <c r="A835" s="3"/>
    </row>
    <row r="836" spans="1:1" ht="15.75" customHeight="1">
      <c r="A836" s="3"/>
    </row>
    <row r="837" spans="1:1" ht="15.75" customHeight="1">
      <c r="A837" s="3"/>
    </row>
    <row r="838" spans="1:1" ht="15.75" customHeight="1">
      <c r="A838" s="3"/>
    </row>
    <row r="839" spans="1:1" ht="15.75" customHeight="1">
      <c r="A839" s="3"/>
    </row>
    <row r="840" spans="1:1" ht="15.75" customHeight="1">
      <c r="A840" s="3"/>
    </row>
    <row r="841" spans="1:1" ht="15.75" customHeight="1">
      <c r="A841" s="3"/>
    </row>
    <row r="842" spans="1:1" ht="15.75" customHeight="1">
      <c r="A842" s="3"/>
    </row>
    <row r="843" spans="1:1" ht="15.75" customHeight="1">
      <c r="A843" s="3"/>
    </row>
    <row r="844" spans="1:1" ht="15.75" customHeight="1">
      <c r="A844" s="3"/>
    </row>
    <row r="845" spans="1:1" ht="15.75" customHeight="1">
      <c r="A845" s="3"/>
    </row>
    <row r="846" spans="1:1" ht="15.75" customHeight="1">
      <c r="A846" s="3"/>
    </row>
    <row r="847" spans="1:1" ht="15.75" customHeight="1">
      <c r="A847" s="3"/>
    </row>
    <row r="848" spans="1:1" ht="15.75" customHeight="1">
      <c r="A848" s="3"/>
    </row>
    <row r="849" spans="1:1" ht="15.75" customHeight="1">
      <c r="A849" s="3"/>
    </row>
    <row r="850" spans="1:1" ht="15.75" customHeight="1">
      <c r="A850" s="3"/>
    </row>
    <row r="851" spans="1:1" ht="15.75" customHeight="1">
      <c r="A851" s="3"/>
    </row>
    <row r="852" spans="1:1" ht="15.75" customHeight="1">
      <c r="A852" s="3"/>
    </row>
    <row r="853" spans="1:1" ht="15.75" customHeight="1">
      <c r="A853" s="3"/>
    </row>
    <row r="854" spans="1:1" ht="15.75" customHeight="1">
      <c r="A854" s="3"/>
    </row>
    <row r="855" spans="1:1" ht="15.75" customHeight="1">
      <c r="A855" s="3"/>
    </row>
    <row r="856" spans="1:1" ht="15.75" customHeight="1">
      <c r="A856" s="3"/>
    </row>
    <row r="857" spans="1:1" ht="15.75" customHeight="1">
      <c r="A857" s="3"/>
    </row>
    <row r="858" spans="1:1" ht="15.75" customHeight="1">
      <c r="A858" s="3"/>
    </row>
    <row r="859" spans="1:1" ht="15.75" customHeight="1">
      <c r="A859" s="3"/>
    </row>
    <row r="860" spans="1:1" ht="15.75" customHeight="1">
      <c r="A860" s="3"/>
    </row>
    <row r="861" spans="1:1" ht="15.75" customHeight="1">
      <c r="A861" s="3"/>
    </row>
    <row r="862" spans="1:1" ht="15.75" customHeight="1">
      <c r="A862" s="3"/>
    </row>
    <row r="863" spans="1:1" ht="15.75" customHeight="1">
      <c r="A863" s="3"/>
    </row>
    <row r="864" spans="1:1" ht="15.75" customHeight="1">
      <c r="A864" s="3"/>
    </row>
    <row r="865" spans="1:1" ht="15.75" customHeight="1">
      <c r="A865" s="3"/>
    </row>
    <row r="866" spans="1:1" ht="15.75" customHeight="1">
      <c r="A866" s="3"/>
    </row>
    <row r="867" spans="1:1" ht="15.75" customHeight="1">
      <c r="A867" s="3"/>
    </row>
    <row r="868" spans="1:1" ht="15.75" customHeight="1">
      <c r="A868" s="3"/>
    </row>
    <row r="869" spans="1:1" ht="15.75" customHeight="1">
      <c r="A869" s="3"/>
    </row>
    <row r="870" spans="1:1" ht="15.75" customHeight="1">
      <c r="A870" s="3"/>
    </row>
    <row r="871" spans="1:1" ht="15.75" customHeight="1">
      <c r="A871" s="3"/>
    </row>
    <row r="872" spans="1:1" ht="15.75" customHeight="1">
      <c r="A872" s="3"/>
    </row>
    <row r="873" spans="1:1" ht="15.75" customHeight="1">
      <c r="A873" s="3"/>
    </row>
    <row r="874" spans="1:1" ht="15.75" customHeight="1">
      <c r="A874" s="3"/>
    </row>
    <row r="875" spans="1:1" ht="15.75" customHeight="1">
      <c r="A875" s="3"/>
    </row>
    <row r="876" spans="1:1" ht="15.75" customHeight="1">
      <c r="A876" s="3"/>
    </row>
    <row r="877" spans="1:1" ht="15.75" customHeight="1">
      <c r="A877" s="3"/>
    </row>
    <row r="878" spans="1:1" ht="15.75" customHeight="1">
      <c r="A878" s="3"/>
    </row>
    <row r="879" spans="1:1" ht="15.75" customHeight="1">
      <c r="A879" s="3"/>
    </row>
    <row r="880" spans="1:1" ht="15.75" customHeight="1">
      <c r="A880" s="3"/>
    </row>
    <row r="881" spans="1:1" ht="15.75" customHeight="1">
      <c r="A881" s="3"/>
    </row>
    <row r="882" spans="1:1" ht="15.75" customHeight="1">
      <c r="A882" s="3"/>
    </row>
    <row r="883" spans="1:1" ht="15.75" customHeight="1">
      <c r="A883" s="3"/>
    </row>
    <row r="884" spans="1:1" ht="15.75" customHeight="1">
      <c r="A884" s="3"/>
    </row>
    <row r="885" spans="1:1" ht="15.75" customHeight="1">
      <c r="A885" s="3"/>
    </row>
    <row r="886" spans="1:1" ht="15.75" customHeight="1">
      <c r="A886" s="3"/>
    </row>
    <row r="887" spans="1:1" ht="15.75" customHeight="1">
      <c r="A887" s="3"/>
    </row>
    <row r="888" spans="1:1" ht="15.75" customHeight="1">
      <c r="A888" s="3"/>
    </row>
    <row r="889" spans="1:1" ht="15.75" customHeight="1">
      <c r="A889" s="3"/>
    </row>
    <row r="890" spans="1:1" ht="15.75" customHeight="1">
      <c r="A890" s="3"/>
    </row>
    <row r="891" spans="1:1" ht="15.75" customHeight="1">
      <c r="A891" s="3"/>
    </row>
    <row r="892" spans="1:1" ht="15.75" customHeight="1">
      <c r="A892" s="3"/>
    </row>
    <row r="893" spans="1:1" ht="15.75" customHeight="1">
      <c r="A893" s="3"/>
    </row>
    <row r="894" spans="1:1" ht="15.75" customHeight="1">
      <c r="A894" s="3"/>
    </row>
    <row r="895" spans="1:1" ht="15.75" customHeight="1">
      <c r="A895" s="3"/>
    </row>
    <row r="896" spans="1:1" ht="15.75" customHeight="1">
      <c r="A896" s="3"/>
    </row>
    <row r="897" spans="1:1" ht="15.75" customHeight="1">
      <c r="A897" s="3"/>
    </row>
    <row r="898" spans="1:1" ht="15.75" customHeight="1">
      <c r="A898" s="3"/>
    </row>
    <row r="899" spans="1:1" ht="15.75" customHeight="1">
      <c r="A899" s="3"/>
    </row>
    <row r="900" spans="1:1" ht="15.75" customHeight="1">
      <c r="A900" s="3"/>
    </row>
    <row r="901" spans="1:1" ht="15.75" customHeight="1">
      <c r="A901" s="3"/>
    </row>
    <row r="902" spans="1:1" ht="15.75" customHeight="1">
      <c r="A902" s="3"/>
    </row>
    <row r="903" spans="1:1" ht="15.75" customHeight="1">
      <c r="A903" s="3"/>
    </row>
    <row r="904" spans="1:1" ht="15.75" customHeight="1">
      <c r="A904" s="3"/>
    </row>
    <row r="905" spans="1:1" ht="15.75" customHeight="1">
      <c r="A905" s="3"/>
    </row>
    <row r="906" spans="1:1" ht="15.75" customHeight="1">
      <c r="A906" s="3"/>
    </row>
    <row r="907" spans="1:1" ht="15.75" customHeight="1">
      <c r="A907" s="3"/>
    </row>
    <row r="908" spans="1:1" ht="15.75" customHeight="1">
      <c r="A908" s="3"/>
    </row>
    <row r="909" spans="1:1" ht="15.75" customHeight="1">
      <c r="A909" s="3"/>
    </row>
    <row r="910" spans="1:1" ht="15.75" customHeight="1">
      <c r="A910" s="3"/>
    </row>
    <row r="911" spans="1:1" ht="15.75" customHeight="1">
      <c r="A911" s="3"/>
    </row>
    <row r="912" spans="1:1" ht="15.75" customHeight="1">
      <c r="A912" s="3"/>
    </row>
    <row r="913" spans="1:1" ht="15.75" customHeight="1">
      <c r="A913" s="3"/>
    </row>
    <row r="914" spans="1:1" ht="15.75" customHeight="1">
      <c r="A914" s="3"/>
    </row>
    <row r="915" spans="1:1" ht="15.75" customHeight="1">
      <c r="A915" s="3"/>
    </row>
    <row r="916" spans="1:1" ht="15.75" customHeight="1">
      <c r="A916" s="3"/>
    </row>
    <row r="917" spans="1:1" ht="15.75" customHeight="1">
      <c r="A917" s="3"/>
    </row>
    <row r="918" spans="1:1" ht="15.75" customHeight="1">
      <c r="A918" s="3"/>
    </row>
    <row r="919" spans="1:1" ht="15.75" customHeight="1">
      <c r="A919" s="3"/>
    </row>
    <row r="920" spans="1:1" ht="15.75" customHeight="1">
      <c r="A920" s="3"/>
    </row>
    <row r="921" spans="1:1" ht="15.75" customHeight="1">
      <c r="A921" s="3"/>
    </row>
    <row r="922" spans="1:1" ht="15.75" customHeight="1">
      <c r="A922" s="3"/>
    </row>
    <row r="923" spans="1:1" ht="15.75" customHeight="1">
      <c r="A923" s="3"/>
    </row>
    <row r="924" spans="1:1" ht="15.75" customHeight="1">
      <c r="A924" s="3"/>
    </row>
    <row r="925" spans="1:1" ht="15.75" customHeight="1">
      <c r="A925" s="3"/>
    </row>
    <row r="926" spans="1:1" ht="15.75" customHeight="1">
      <c r="A926" s="3"/>
    </row>
    <row r="927" spans="1:1" ht="15.75" customHeight="1">
      <c r="A927" s="3"/>
    </row>
    <row r="928" spans="1:1" ht="15.75" customHeight="1">
      <c r="A928" s="3"/>
    </row>
    <row r="929" spans="1:1" ht="15.75" customHeight="1">
      <c r="A929" s="3"/>
    </row>
    <row r="930" spans="1:1" ht="15.75" customHeight="1">
      <c r="A930" s="3"/>
    </row>
    <row r="931" spans="1:1" ht="15.75" customHeight="1">
      <c r="A931" s="3"/>
    </row>
    <row r="932" spans="1:1" ht="15.75" customHeight="1">
      <c r="A932" s="3"/>
    </row>
    <row r="933" spans="1:1" ht="15.75" customHeight="1">
      <c r="A933" s="3"/>
    </row>
    <row r="934" spans="1:1" ht="15.75" customHeight="1">
      <c r="A934" s="3"/>
    </row>
    <row r="935" spans="1:1" ht="15.75" customHeight="1">
      <c r="A935" s="3"/>
    </row>
    <row r="936" spans="1:1" ht="15.75" customHeight="1">
      <c r="A936" s="3"/>
    </row>
    <row r="937" spans="1:1" ht="15.75" customHeight="1">
      <c r="A937" s="3"/>
    </row>
    <row r="938" spans="1:1" ht="15.75" customHeight="1">
      <c r="A938" s="3"/>
    </row>
    <row r="939" spans="1:1" ht="15.75" customHeight="1">
      <c r="A939" s="3"/>
    </row>
    <row r="940" spans="1:1" ht="15.75" customHeight="1">
      <c r="A940" s="3"/>
    </row>
    <row r="941" spans="1:1" ht="15.75" customHeight="1">
      <c r="A941" s="3"/>
    </row>
    <row r="942" spans="1:1" ht="15.75" customHeight="1">
      <c r="A942" s="3"/>
    </row>
    <row r="943" spans="1:1" ht="15.75" customHeight="1">
      <c r="A943" s="3"/>
    </row>
    <row r="944" spans="1:1" ht="15.75" customHeight="1">
      <c r="A944" s="3"/>
    </row>
    <row r="945" spans="1:1" ht="15.75" customHeight="1">
      <c r="A945" s="3"/>
    </row>
    <row r="946" spans="1:1" ht="15.75" customHeight="1">
      <c r="A946" s="3"/>
    </row>
    <row r="947" spans="1:1" ht="15.75" customHeight="1">
      <c r="A947" s="3"/>
    </row>
    <row r="948" spans="1:1" ht="15.75" customHeight="1">
      <c r="A948" s="3"/>
    </row>
    <row r="949" spans="1:1" ht="15.75" customHeight="1">
      <c r="A949" s="3"/>
    </row>
    <row r="950" spans="1:1" ht="15.75" customHeight="1">
      <c r="A950" s="3"/>
    </row>
    <row r="951" spans="1:1" ht="15.75" customHeight="1">
      <c r="A951" s="3"/>
    </row>
    <row r="952" spans="1:1" ht="15.75" customHeight="1">
      <c r="A952" s="3"/>
    </row>
    <row r="953" spans="1:1" ht="15.75" customHeight="1">
      <c r="A953" s="3"/>
    </row>
    <row r="954" spans="1:1" ht="15.75" customHeight="1">
      <c r="A954" s="3"/>
    </row>
    <row r="955" spans="1:1" ht="15.75" customHeight="1">
      <c r="A955" s="3"/>
    </row>
    <row r="956" spans="1:1" ht="15.75" customHeight="1">
      <c r="A956" s="3"/>
    </row>
    <row r="957" spans="1:1" ht="15.75" customHeight="1">
      <c r="A957" s="3"/>
    </row>
    <row r="958" spans="1:1" ht="15.75" customHeight="1">
      <c r="A958" s="3"/>
    </row>
    <row r="959" spans="1:1" ht="15.75" customHeight="1">
      <c r="A959" s="3"/>
    </row>
    <row r="960" spans="1:1" ht="15.75" customHeight="1">
      <c r="A960" s="3"/>
    </row>
    <row r="961" spans="1:1" ht="15.75" customHeight="1">
      <c r="A961" s="3"/>
    </row>
    <row r="962" spans="1:1" ht="15.75" customHeight="1">
      <c r="A962" s="3"/>
    </row>
    <row r="963" spans="1:1" ht="15.75" customHeight="1">
      <c r="A963" s="3"/>
    </row>
    <row r="964" spans="1:1" ht="15.75" customHeight="1">
      <c r="A964" s="3"/>
    </row>
    <row r="965" spans="1:1" ht="15.75" customHeight="1">
      <c r="A965" s="3"/>
    </row>
    <row r="966" spans="1:1" ht="15.75" customHeight="1">
      <c r="A966" s="3"/>
    </row>
    <row r="967" spans="1:1" ht="15.75" customHeight="1">
      <c r="A967" s="3"/>
    </row>
    <row r="968" spans="1:1" ht="15.75" customHeight="1">
      <c r="A968" s="3"/>
    </row>
    <row r="969" spans="1:1" ht="15.75" customHeight="1">
      <c r="A969" s="3"/>
    </row>
    <row r="970" spans="1:1" ht="15.75" customHeight="1">
      <c r="A970" s="3"/>
    </row>
    <row r="971" spans="1:1" ht="15.75" customHeight="1">
      <c r="A971" s="3"/>
    </row>
    <row r="972" spans="1:1" ht="15.75" customHeight="1">
      <c r="A972" s="3"/>
    </row>
    <row r="973" spans="1:1" ht="15.75" customHeight="1">
      <c r="A973" s="3"/>
    </row>
    <row r="974" spans="1:1" ht="15.75" customHeight="1">
      <c r="A974" s="3"/>
    </row>
    <row r="975" spans="1:1" ht="15.75" customHeight="1">
      <c r="A975" s="3"/>
    </row>
    <row r="976" spans="1:1" ht="15.75" customHeight="1">
      <c r="A976" s="3"/>
    </row>
    <row r="977" spans="1:1" ht="15.75" customHeight="1">
      <c r="A977" s="3"/>
    </row>
    <row r="978" spans="1:1" ht="15.75" customHeight="1">
      <c r="A978" s="3"/>
    </row>
    <row r="979" spans="1:1" ht="15.75" customHeight="1">
      <c r="A979" s="3"/>
    </row>
    <row r="980" spans="1:1" ht="15.75" customHeight="1">
      <c r="A980" s="3"/>
    </row>
    <row r="981" spans="1:1" ht="15.75" customHeight="1">
      <c r="A981" s="3"/>
    </row>
    <row r="982" spans="1:1" ht="15.75" customHeight="1">
      <c r="A982" s="3"/>
    </row>
    <row r="983" spans="1:1" ht="15.75" customHeight="1">
      <c r="A983" s="3"/>
    </row>
    <row r="984" spans="1:1" ht="15.75" customHeight="1">
      <c r="A984" s="3"/>
    </row>
    <row r="985" spans="1:1" ht="15.75" customHeight="1">
      <c r="A985" s="3"/>
    </row>
    <row r="986" spans="1:1" ht="15.75" customHeight="1">
      <c r="A986" s="3"/>
    </row>
    <row r="987" spans="1:1" ht="15.75" customHeight="1">
      <c r="A987" s="3"/>
    </row>
    <row r="988" spans="1:1" ht="15.75" customHeight="1">
      <c r="A988" s="3"/>
    </row>
    <row r="989" spans="1:1" ht="15.75" customHeight="1">
      <c r="A989" s="3"/>
    </row>
    <row r="990" spans="1:1" ht="15.75" customHeight="1">
      <c r="A990" s="3"/>
    </row>
    <row r="991" spans="1:1" ht="15.75" customHeight="1">
      <c r="A991" s="3"/>
    </row>
    <row r="992" spans="1:1" ht="15.75" customHeight="1">
      <c r="A992" s="3"/>
    </row>
    <row r="993" spans="1:1" ht="15.75" customHeight="1">
      <c r="A993" s="3"/>
    </row>
    <row r="994" spans="1:1" ht="15.75" customHeight="1">
      <c r="A994" s="3"/>
    </row>
    <row r="995" spans="1:1" ht="15.75" customHeight="1">
      <c r="A995" s="3"/>
    </row>
    <row r="996" spans="1:1" ht="15.75" customHeight="1">
      <c r="A996" s="3"/>
    </row>
    <row r="997" spans="1:1" ht="15.75" customHeight="1">
      <c r="A997" s="3"/>
    </row>
    <row r="998" spans="1:1" ht="15.75" customHeight="1">
      <c r="A998" s="3"/>
    </row>
    <row r="999" spans="1:1" ht="15.75" customHeight="1">
      <c r="A999" s="3"/>
    </row>
    <row r="1000" spans="1:1" ht="15.75" customHeight="1">
      <c r="A1000" s="3"/>
    </row>
  </sheetData>
  <mergeCells count="10">
    <mergeCell ref="H50:I50"/>
    <mergeCell ref="J50:K50"/>
    <mergeCell ref="B66:K67"/>
    <mergeCell ref="B4:T4"/>
    <mergeCell ref="H7:K7"/>
    <mergeCell ref="N7:O7"/>
    <mergeCell ref="Q7:S7"/>
    <mergeCell ref="T7:U7"/>
    <mergeCell ref="B21:C21"/>
    <mergeCell ref="B44:M45"/>
  </mergeCells>
  <hyperlinks>
    <hyperlink ref="D69" r:id="rId1" xr:uid="{00000000-0004-0000-0400-000000000000}"/>
  </hyperlinks>
  <printOptions horizontalCentered="1"/>
  <pageMargins left="0" right="0" top="0.78740157480314965" bottom="0" header="0" footer="0"/>
  <pageSetup paperSize="9" scale="10"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showGridLines="0" topLeftCell="A8" workbookViewId="0">
      <selection activeCell="F10" sqref="F10:F21"/>
    </sheetView>
  </sheetViews>
  <sheetFormatPr baseColWidth="10" defaultColWidth="14.42578125" defaultRowHeight="15" customHeight="1"/>
  <cols>
    <col min="1" max="1" width="10.7109375" style="316" customWidth="1"/>
    <col min="2" max="2" width="22.85546875" style="316" customWidth="1"/>
    <col min="3" max="4" width="16.5703125" style="316" customWidth="1"/>
    <col min="5" max="14" width="15.7109375" style="316" customWidth="1"/>
    <col min="15" max="26" width="10.7109375" style="316" customWidth="1"/>
    <col min="27" max="16384" width="14.42578125" style="316"/>
  </cols>
  <sheetData>
    <row r="1" spans="1:26" ht="17.25" customHeight="1"/>
    <row r="2" spans="1:26" ht="17.25" customHeight="1"/>
    <row r="3" spans="1:26" ht="17.25" customHeight="1"/>
    <row r="4" spans="1:26" ht="51" customHeight="1">
      <c r="B4" s="965" t="s">
        <v>350</v>
      </c>
      <c r="C4" s="966"/>
      <c r="D4" s="966"/>
      <c r="E4" s="966"/>
      <c r="F4" s="966"/>
      <c r="G4" s="966"/>
      <c r="H4" s="966"/>
      <c r="I4" s="966"/>
      <c r="J4" s="966"/>
      <c r="K4" s="966"/>
      <c r="L4" s="966"/>
      <c r="M4" s="966"/>
      <c r="N4" s="966"/>
    </row>
    <row r="5" spans="1:26" ht="17.25" customHeight="1"/>
    <row r="6" spans="1:26" ht="17.25" customHeight="1"/>
    <row r="7" spans="1:26" ht="17.25" customHeight="1"/>
    <row r="8" spans="1:26" ht="17.25" customHeight="1">
      <c r="B8" s="967" t="s">
        <v>69</v>
      </c>
      <c r="C8" s="969" t="s">
        <v>71</v>
      </c>
      <c r="D8" s="970"/>
      <c r="E8" s="971"/>
      <c r="F8" s="969" t="s">
        <v>124</v>
      </c>
      <c r="G8" s="970"/>
      <c r="H8" s="971"/>
      <c r="I8" s="972" t="s">
        <v>79</v>
      </c>
      <c r="J8" s="970"/>
      <c r="K8" s="971"/>
      <c r="L8" s="969" t="s">
        <v>125</v>
      </c>
      <c r="M8" s="970"/>
      <c r="N8" s="971"/>
    </row>
    <row r="9" spans="1:26" ht="17.25" customHeight="1">
      <c r="B9" s="968"/>
      <c r="C9" s="325" t="s">
        <v>234</v>
      </c>
      <c r="D9" s="325" t="s">
        <v>351</v>
      </c>
      <c r="E9" s="325" t="s">
        <v>352</v>
      </c>
      <c r="F9" s="325" t="s">
        <v>234</v>
      </c>
      <c r="G9" s="325" t="str">
        <f>+D9</f>
        <v>Z-2026</v>
      </c>
      <c r="H9" s="325" t="str">
        <f>+E9</f>
        <v>Z 2026 VS 2025</v>
      </c>
      <c r="I9" s="325" t="str">
        <f>+C9</f>
        <v>Z-2025</v>
      </c>
      <c r="J9" s="325" t="str">
        <f>+D9</f>
        <v>Z-2026</v>
      </c>
      <c r="K9" s="325" t="str">
        <f>+E9</f>
        <v>Z 2026 VS 2025</v>
      </c>
      <c r="L9" s="325" t="str">
        <f>+C9</f>
        <v>Z-2025</v>
      </c>
      <c r="M9" s="325" t="str">
        <f>+D9</f>
        <v>Z-2026</v>
      </c>
      <c r="N9" s="325" t="str">
        <f>+E9</f>
        <v>Z 2026 VS 2025</v>
      </c>
    </row>
    <row r="10" spans="1:26" ht="17.25" customHeight="1">
      <c r="A10" s="155"/>
      <c r="B10" s="326">
        <v>46143</v>
      </c>
      <c r="C10" s="783"/>
      <c r="D10" s="327">
        <f>+ACUMULADOS!B2</f>
        <v>114</v>
      </c>
      <c r="E10" s="328" t="e">
        <f t="shared" ref="E10:E21" si="0">+(D10/C10)-1</f>
        <v>#DIV/0!</v>
      </c>
      <c r="F10" s="455">
        <v>454.70784173627902</v>
      </c>
      <c r="G10" s="330">
        <f>+ACUMULADOS!J3</f>
        <v>579.27325090813383</v>
      </c>
      <c r="H10" s="328">
        <f t="shared" ref="H10:H22" si="1">+(G10/F10)-1</f>
        <v>0.27394603245945359</v>
      </c>
      <c r="I10" s="785"/>
      <c r="J10" s="331">
        <f>+'CUADRO RESUMEN'!L9</f>
        <v>70186.919999999955</v>
      </c>
      <c r="K10" s="328" t="e">
        <f t="shared" ref="K10:K21" si="2">+(J10/I10)-1</f>
        <v>#DIV/0!</v>
      </c>
      <c r="L10" s="455"/>
      <c r="M10" s="330">
        <f ca="1">+ACUMULADOS!AE3</f>
        <v>32106.914449402222</v>
      </c>
      <c r="N10" s="328" t="e">
        <f t="shared" ref="N10:N22" ca="1" si="3">+(M10/L10)-1</f>
        <v>#DIV/0!</v>
      </c>
      <c r="O10" s="155"/>
      <c r="P10" s="155"/>
      <c r="Q10" s="155"/>
      <c r="R10" s="155"/>
      <c r="S10" s="155"/>
      <c r="T10" s="155"/>
      <c r="U10" s="155"/>
      <c r="V10" s="155"/>
      <c r="W10" s="155"/>
      <c r="X10" s="155"/>
      <c r="Y10" s="155"/>
      <c r="Z10" s="155"/>
    </row>
    <row r="11" spans="1:26" ht="17.25" customHeight="1">
      <c r="A11" s="223"/>
      <c r="B11" s="326">
        <f>+B10+31</f>
        <v>46174</v>
      </c>
      <c r="C11" s="784"/>
      <c r="D11" s="332">
        <f>+ACUMULADOS!B4</f>
        <v>148</v>
      </c>
      <c r="E11" s="333" t="e">
        <f t="shared" si="0"/>
        <v>#DIV/0!</v>
      </c>
      <c r="F11" s="456">
        <v>498.7803765696811</v>
      </c>
      <c r="G11" s="335">
        <f>+ACUMULADOS!J5</f>
        <v>483.75910558297863</v>
      </c>
      <c r="H11" s="333">
        <f t="shared" si="1"/>
        <v>-3.0116002337561731E-2</v>
      </c>
      <c r="I11" s="786"/>
      <c r="J11" s="337">
        <f>+'CUADRO RESUMEN'!L10</f>
        <v>104239.59999999998</v>
      </c>
      <c r="K11" s="333" t="e">
        <f t="shared" si="2"/>
        <v>#DIV/0!</v>
      </c>
      <c r="L11" s="456"/>
      <c r="M11" s="335">
        <f>+ACUMULADOS!AE5</f>
        <v>29204.471846982593</v>
      </c>
      <c r="N11" s="333" t="e">
        <f t="shared" si="3"/>
        <v>#DIV/0!</v>
      </c>
      <c r="O11" s="223"/>
      <c r="P11" s="223"/>
      <c r="Q11" s="223"/>
      <c r="R11" s="223"/>
      <c r="S11" s="223"/>
      <c r="T11" s="223"/>
      <c r="U11" s="223"/>
      <c r="V11" s="223"/>
      <c r="W11" s="223"/>
      <c r="X11" s="223"/>
      <c r="Y11" s="223"/>
      <c r="Z11" s="223"/>
    </row>
    <row r="12" spans="1:26" ht="17.25" customHeight="1">
      <c r="A12" s="223"/>
      <c r="B12" s="326">
        <f t="shared" ref="B12:B21" si="4">+B11+31</f>
        <v>46205</v>
      </c>
      <c r="C12" s="784"/>
      <c r="D12" s="332">
        <f>+ACUMULADOS!B7</f>
        <v>96</v>
      </c>
      <c r="E12" s="333" t="e">
        <f t="shared" si="0"/>
        <v>#DIV/0!</v>
      </c>
      <c r="F12" s="456">
        <v>495.58393862371628</v>
      </c>
      <c r="G12" s="335">
        <f>+ACUMULADOS!J8</f>
        <v>472.89725981189628</v>
      </c>
      <c r="H12" s="333">
        <f t="shared" si="1"/>
        <v>-4.5777671638881356E-2</v>
      </c>
      <c r="I12" s="786"/>
      <c r="J12" s="337">
        <f>+'CUADRO RESUMEN'!L11</f>
        <v>70284</v>
      </c>
      <c r="K12" s="333" t="e">
        <f t="shared" si="2"/>
        <v>#DIV/0!</v>
      </c>
      <c r="L12" s="456"/>
      <c r="M12" s="335" t="e">
        <f>+ACUMULADOS!AE8</f>
        <v>#VALUE!</v>
      </c>
      <c r="N12" s="333" t="e">
        <f t="shared" si="3"/>
        <v>#VALUE!</v>
      </c>
      <c r="O12" s="223"/>
      <c r="P12" s="223"/>
      <c r="Q12" s="223"/>
      <c r="R12" s="223"/>
      <c r="S12" s="223"/>
      <c r="T12" s="223"/>
      <c r="U12" s="223"/>
      <c r="V12" s="223"/>
      <c r="W12" s="223"/>
      <c r="X12" s="223"/>
      <c r="Y12" s="223"/>
      <c r="Z12" s="223"/>
    </row>
    <row r="13" spans="1:26" ht="17.25" customHeight="1">
      <c r="A13" s="223"/>
      <c r="B13" s="326">
        <f t="shared" si="4"/>
        <v>46236</v>
      </c>
      <c r="C13" s="784"/>
      <c r="D13" s="332">
        <f>+ACUMULADOS!B10</f>
        <v>0</v>
      </c>
      <c r="E13" s="333" t="e">
        <f t="shared" si="0"/>
        <v>#DIV/0!</v>
      </c>
      <c r="F13" s="456">
        <v>443.34076817045758</v>
      </c>
      <c r="G13" s="335" t="e">
        <f>+ACUMULADOS!J11</f>
        <v>#DIV/0!</v>
      </c>
      <c r="H13" s="333" t="e">
        <f t="shared" si="1"/>
        <v>#DIV/0!</v>
      </c>
      <c r="I13" s="786"/>
      <c r="J13" s="337">
        <f>+'CUADRO RESUMEN'!L12</f>
        <v>0</v>
      </c>
      <c r="K13" s="333" t="e">
        <f t="shared" si="2"/>
        <v>#DIV/0!</v>
      </c>
      <c r="L13" s="456"/>
      <c r="M13" s="335" t="e">
        <f>+ACUMULADOS!AE11</f>
        <v>#VALUE!</v>
      </c>
      <c r="N13" s="333" t="e">
        <f t="shared" si="3"/>
        <v>#VALUE!</v>
      </c>
      <c r="O13" s="223"/>
      <c r="P13" s="223"/>
      <c r="Q13" s="223"/>
      <c r="R13" s="223"/>
      <c r="S13" s="223"/>
      <c r="T13" s="223"/>
      <c r="U13" s="223"/>
      <c r="V13" s="223"/>
      <c r="W13" s="223"/>
      <c r="X13" s="223"/>
      <c r="Y13" s="223"/>
      <c r="Z13" s="223"/>
    </row>
    <row r="14" spans="1:26" ht="17.25" customHeight="1">
      <c r="A14" s="223"/>
      <c r="B14" s="326">
        <f t="shared" si="4"/>
        <v>46267</v>
      </c>
      <c r="C14" s="784"/>
      <c r="D14" s="332">
        <f>+ACUMULADOS!B13</f>
        <v>0</v>
      </c>
      <c r="E14" s="333" t="e">
        <f t="shared" si="0"/>
        <v>#DIV/0!</v>
      </c>
      <c r="F14" s="456">
        <v>421.68591258817077</v>
      </c>
      <c r="G14" s="335" t="e">
        <f>+ACUMULADOS!J14</f>
        <v>#DIV/0!</v>
      </c>
      <c r="H14" s="333" t="e">
        <f t="shared" si="1"/>
        <v>#DIV/0!</v>
      </c>
      <c r="I14" s="786"/>
      <c r="J14" s="337">
        <f>+'CUADRO RESUMEN'!L13</f>
        <v>0</v>
      </c>
      <c r="K14" s="333" t="e">
        <f t="shared" si="2"/>
        <v>#DIV/0!</v>
      </c>
      <c r="L14" s="456"/>
      <c r="M14" s="335" t="e">
        <f>+ACUMULADOS!AE14</f>
        <v>#VALUE!</v>
      </c>
      <c r="N14" s="333" t="e">
        <f t="shared" si="3"/>
        <v>#VALUE!</v>
      </c>
      <c r="O14" s="223"/>
      <c r="P14" s="223"/>
      <c r="Q14" s="223"/>
      <c r="R14" s="223"/>
      <c r="S14" s="223"/>
      <c r="T14" s="223"/>
      <c r="U14" s="223"/>
      <c r="V14" s="223"/>
      <c r="W14" s="223"/>
      <c r="X14" s="223"/>
      <c r="Y14" s="223"/>
      <c r="Z14" s="223"/>
    </row>
    <row r="15" spans="1:26" ht="17.25" customHeight="1">
      <c r="A15" s="223"/>
      <c r="B15" s="326">
        <f t="shared" si="4"/>
        <v>46298</v>
      </c>
      <c r="C15" s="784"/>
      <c r="D15" s="332">
        <f>+ACUMULADOS!B16</f>
        <v>0</v>
      </c>
      <c r="E15" s="333" t="e">
        <f t="shared" si="0"/>
        <v>#DIV/0!</v>
      </c>
      <c r="F15" s="456">
        <v>453.84907976739834</v>
      </c>
      <c r="G15" s="335" t="e">
        <f>+ACUMULADOS!J17</f>
        <v>#DIV/0!</v>
      </c>
      <c r="H15" s="333" t="e">
        <f t="shared" si="1"/>
        <v>#DIV/0!</v>
      </c>
      <c r="I15" s="786"/>
      <c r="J15" s="337">
        <f>+'CUADRO RESUMEN'!L14</f>
        <v>0</v>
      </c>
      <c r="K15" s="333" t="e">
        <f t="shared" si="2"/>
        <v>#DIV/0!</v>
      </c>
      <c r="L15" s="456"/>
      <c r="M15" s="335" t="e">
        <f>+ACUMULADOS!AE17</f>
        <v>#VALUE!</v>
      </c>
      <c r="N15" s="333" t="e">
        <f t="shared" si="3"/>
        <v>#VALUE!</v>
      </c>
      <c r="O15" s="223"/>
      <c r="P15" s="223"/>
      <c r="Q15" s="223"/>
      <c r="R15" s="223"/>
      <c r="S15" s="223"/>
      <c r="T15" s="223"/>
      <c r="U15" s="223"/>
      <c r="V15" s="223"/>
      <c r="W15" s="223"/>
      <c r="X15" s="223"/>
      <c r="Y15" s="223"/>
      <c r="Z15" s="223"/>
    </row>
    <row r="16" spans="1:26" ht="17.25" customHeight="1">
      <c r="A16" s="223"/>
      <c r="B16" s="326">
        <f t="shared" si="4"/>
        <v>46329</v>
      </c>
      <c r="C16" s="784"/>
      <c r="D16" s="332">
        <f>+ACUMULADOS!B19</f>
        <v>0</v>
      </c>
      <c r="E16" s="333" t="e">
        <f t="shared" si="0"/>
        <v>#DIV/0!</v>
      </c>
      <c r="F16" s="456">
        <v>482.29338935085872</v>
      </c>
      <c r="G16" s="335" t="e">
        <f>+ACUMULADOS!J20</f>
        <v>#DIV/0!</v>
      </c>
      <c r="H16" s="333" t="e">
        <f t="shared" si="1"/>
        <v>#DIV/0!</v>
      </c>
      <c r="I16" s="786"/>
      <c r="J16" s="337">
        <f>+'CUADRO RESUMEN'!L15</f>
        <v>0</v>
      </c>
      <c r="K16" s="333" t="e">
        <f t="shared" si="2"/>
        <v>#DIV/0!</v>
      </c>
      <c r="L16" s="456"/>
      <c r="M16" s="335" t="e">
        <f>+ACUMULADOS!AE20</f>
        <v>#VALUE!</v>
      </c>
      <c r="N16" s="333" t="e">
        <f t="shared" si="3"/>
        <v>#VALUE!</v>
      </c>
      <c r="O16" s="223"/>
      <c r="P16" s="223"/>
      <c r="Q16" s="223"/>
      <c r="R16" s="223"/>
      <c r="S16" s="223"/>
      <c r="T16" s="223"/>
      <c r="U16" s="223"/>
      <c r="V16" s="223"/>
      <c r="W16" s="223"/>
      <c r="X16" s="223"/>
      <c r="Y16" s="223"/>
      <c r="Z16" s="223"/>
    </row>
    <row r="17" spans="1:26" ht="17.25" customHeight="1">
      <c r="A17" s="223"/>
      <c r="B17" s="326">
        <f t="shared" si="4"/>
        <v>46360</v>
      </c>
      <c r="C17" s="784"/>
      <c r="D17" s="332">
        <f>+ACUMULADOS!B22</f>
        <v>0</v>
      </c>
      <c r="E17" s="333" t="e">
        <f t="shared" si="0"/>
        <v>#DIV/0!</v>
      </c>
      <c r="F17" s="456">
        <v>518.40927829439022</v>
      </c>
      <c r="G17" s="335" t="e">
        <f>+ACUMULADOS!J23</f>
        <v>#DIV/0!</v>
      </c>
      <c r="H17" s="333" t="e">
        <f t="shared" si="1"/>
        <v>#DIV/0!</v>
      </c>
      <c r="I17" s="786"/>
      <c r="J17" s="337">
        <f>+'CUADRO RESUMEN'!L16</f>
        <v>0</v>
      </c>
      <c r="K17" s="333" t="e">
        <f t="shared" si="2"/>
        <v>#DIV/0!</v>
      </c>
      <c r="L17" s="456"/>
      <c r="M17" s="335" t="e">
        <f>+ACUMULADOS!AE23</f>
        <v>#VALUE!</v>
      </c>
      <c r="N17" s="333" t="e">
        <f t="shared" si="3"/>
        <v>#VALUE!</v>
      </c>
      <c r="O17" s="223"/>
      <c r="P17" s="223"/>
      <c r="Q17" s="223"/>
      <c r="R17" s="223"/>
      <c r="S17" s="223"/>
      <c r="T17" s="223"/>
      <c r="U17" s="223"/>
      <c r="V17" s="223"/>
      <c r="W17" s="223"/>
      <c r="X17" s="223"/>
      <c r="Y17" s="223"/>
      <c r="Z17" s="223"/>
    </row>
    <row r="18" spans="1:26" ht="17.25" customHeight="1">
      <c r="A18" s="223"/>
      <c r="B18" s="326">
        <f t="shared" si="4"/>
        <v>46391</v>
      </c>
      <c r="C18" s="784"/>
      <c r="D18" s="332">
        <f>+ACUMULADOS!B25</f>
        <v>0</v>
      </c>
      <c r="E18" s="333" t="e">
        <f t="shared" si="0"/>
        <v>#DIV/0!</v>
      </c>
      <c r="F18" s="456">
        <v>617.72720053241267</v>
      </c>
      <c r="G18" s="335" t="e">
        <f>+ACUMULADOS!J26</f>
        <v>#DIV/0!</v>
      </c>
      <c r="H18" s="333" t="e">
        <f t="shared" si="1"/>
        <v>#DIV/0!</v>
      </c>
      <c r="I18" s="786"/>
      <c r="J18" s="337">
        <f>+'CUADRO RESUMEN'!L17</f>
        <v>0</v>
      </c>
      <c r="K18" s="333" t="e">
        <f t="shared" si="2"/>
        <v>#DIV/0!</v>
      </c>
      <c r="L18" s="456"/>
      <c r="M18" s="335" t="e">
        <f>+ACUMULADOS!AE26</f>
        <v>#VALUE!</v>
      </c>
      <c r="N18" s="333" t="e">
        <f t="shared" si="3"/>
        <v>#VALUE!</v>
      </c>
      <c r="O18" s="223"/>
      <c r="P18" s="223"/>
      <c r="Q18" s="223"/>
      <c r="R18" s="223"/>
      <c r="S18" s="223"/>
      <c r="T18" s="223"/>
      <c r="U18" s="223"/>
      <c r="V18" s="223"/>
      <c r="W18" s="223"/>
      <c r="X18" s="223"/>
      <c r="Y18" s="223"/>
      <c r="Z18" s="223"/>
    </row>
    <row r="19" spans="1:26" ht="17.25" customHeight="1">
      <c r="A19" s="223"/>
      <c r="B19" s="326">
        <f t="shared" si="4"/>
        <v>46422</v>
      </c>
      <c r="C19" s="784"/>
      <c r="D19" s="332">
        <f>+ACUMULADOS!B28</f>
        <v>0</v>
      </c>
      <c r="E19" s="333" t="e">
        <f t="shared" si="0"/>
        <v>#DIV/0!</v>
      </c>
      <c r="F19" s="456">
        <v>642.7650727322391</v>
      </c>
      <c r="G19" s="335" t="e">
        <f>+ACUMULADOS!J29</f>
        <v>#DIV/0!</v>
      </c>
      <c r="H19" s="333" t="e">
        <f t="shared" si="1"/>
        <v>#DIV/0!</v>
      </c>
      <c r="I19" s="786"/>
      <c r="J19" s="337">
        <f>+'CUADRO RESUMEN'!L18</f>
        <v>0</v>
      </c>
      <c r="K19" s="333" t="e">
        <f t="shared" si="2"/>
        <v>#DIV/0!</v>
      </c>
      <c r="L19" s="456"/>
      <c r="M19" s="335" t="e">
        <f>+ACUMULADOS!AE29</f>
        <v>#VALUE!</v>
      </c>
      <c r="N19" s="333" t="e">
        <f t="shared" si="3"/>
        <v>#VALUE!</v>
      </c>
      <c r="O19" s="223"/>
      <c r="P19" s="223"/>
      <c r="Q19" s="223"/>
      <c r="R19" s="223"/>
      <c r="S19" s="223"/>
      <c r="T19" s="223"/>
      <c r="U19" s="223"/>
      <c r="V19" s="223"/>
      <c r="W19" s="223"/>
      <c r="X19" s="223"/>
      <c r="Y19" s="223"/>
      <c r="Z19" s="223"/>
    </row>
    <row r="20" spans="1:26" ht="17.25" customHeight="1">
      <c r="A20" s="223"/>
      <c r="B20" s="326">
        <f t="shared" si="4"/>
        <v>46453</v>
      </c>
      <c r="C20" s="784"/>
      <c r="D20" s="332">
        <f>+ACUMULADOS!B31</f>
        <v>0</v>
      </c>
      <c r="E20" s="333" t="e">
        <f t="shared" si="0"/>
        <v>#DIV/0!</v>
      </c>
      <c r="F20" s="456">
        <v>670.58013542991637</v>
      </c>
      <c r="G20" s="338" t="e">
        <f>+ACUMULADOS!J32</f>
        <v>#DIV/0!</v>
      </c>
      <c r="H20" s="333" t="e">
        <f t="shared" si="1"/>
        <v>#DIV/0!</v>
      </c>
      <c r="I20" s="786"/>
      <c r="J20" s="337">
        <f>+'CUADRO RESUMEN'!L19</f>
        <v>0</v>
      </c>
      <c r="K20" s="333" t="e">
        <f t="shared" si="2"/>
        <v>#DIV/0!</v>
      </c>
      <c r="L20" s="456"/>
      <c r="M20" s="335" t="e">
        <f>+ACUMULADOS!AE32</f>
        <v>#VALUE!</v>
      </c>
      <c r="N20" s="333" t="e">
        <f t="shared" si="3"/>
        <v>#VALUE!</v>
      </c>
      <c r="O20" s="223"/>
      <c r="P20" s="223"/>
      <c r="Q20" s="223"/>
      <c r="R20" s="223"/>
      <c r="S20" s="223"/>
      <c r="T20" s="223"/>
      <c r="U20" s="223"/>
      <c r="V20" s="223"/>
      <c r="W20" s="223"/>
      <c r="X20" s="223"/>
      <c r="Y20" s="223"/>
      <c r="Z20" s="223"/>
    </row>
    <row r="21" spans="1:26" ht="17.25" customHeight="1">
      <c r="B21" s="326">
        <f t="shared" si="4"/>
        <v>46484</v>
      </c>
      <c r="C21" s="784"/>
      <c r="D21" s="332">
        <f>+ACUMULADOS!B34</f>
        <v>0</v>
      </c>
      <c r="E21" s="333" t="e">
        <f t="shared" si="0"/>
        <v>#DIV/0!</v>
      </c>
      <c r="F21" s="456">
        <v>684.09182137580842</v>
      </c>
      <c r="G21" s="338" t="e">
        <f>+ACUMULADOS!J35</f>
        <v>#DIV/0!</v>
      </c>
      <c r="H21" s="333" t="e">
        <f t="shared" si="1"/>
        <v>#DIV/0!</v>
      </c>
      <c r="I21" s="786"/>
      <c r="J21" s="337">
        <f>+'CUADRO RESUMEN'!L20</f>
        <v>0</v>
      </c>
      <c r="K21" s="333" t="e">
        <f t="shared" si="2"/>
        <v>#DIV/0!</v>
      </c>
      <c r="L21" s="456"/>
      <c r="M21" s="335" t="e">
        <f>+ACUMULADOS!AE35</f>
        <v>#VALUE!</v>
      </c>
      <c r="N21" s="333" t="e">
        <f t="shared" si="3"/>
        <v>#VALUE!</v>
      </c>
    </row>
    <row r="22" spans="1:26" ht="30.75" customHeight="1">
      <c r="B22" s="339" t="s">
        <v>95</v>
      </c>
      <c r="C22" s="340">
        <f>SUM(C10:C21)</f>
        <v>0</v>
      </c>
      <c r="D22" s="341">
        <f>SUM(D10:D21)</f>
        <v>358</v>
      </c>
      <c r="E22" s="342" t="e">
        <f>+(D22/C22)-1</f>
        <v>#DIV/0!</v>
      </c>
      <c r="F22" s="445">
        <f>AVERAGE(F10:F21)</f>
        <v>531.98456793094408</v>
      </c>
      <c r="G22" s="355" t="e">
        <f>AVERAGE(G10:G21)</f>
        <v>#DIV/0!</v>
      </c>
      <c r="H22" s="343" t="e">
        <f t="shared" si="1"/>
        <v>#DIV/0!</v>
      </c>
      <c r="I22" s="344">
        <f>SUM(I10:I21)</f>
        <v>0</v>
      </c>
      <c r="J22" s="345">
        <f>SUM(J10:J21)</f>
        <v>244710.51999999993</v>
      </c>
      <c r="K22" s="342" t="e">
        <f>+(J22/I22)-1</f>
        <v>#DIV/0!</v>
      </c>
      <c r="L22" s="346" t="e">
        <f>AVERAGE(L10:L21)</f>
        <v>#DIV/0!</v>
      </c>
      <c r="M22" s="347" t="e">
        <f ca="1">AVERAGE(M10:M21)</f>
        <v>#VALUE!</v>
      </c>
      <c r="N22" s="348" t="e">
        <f t="shared" ca="1" si="3"/>
        <v>#VALUE!</v>
      </c>
    </row>
    <row r="23" spans="1:26" ht="17.25" customHeight="1">
      <c r="B23" s="189"/>
      <c r="H23" s="225"/>
    </row>
    <row r="24" spans="1:26" ht="17.25" customHeight="1">
      <c r="B24" s="349"/>
      <c r="I24" s="223"/>
    </row>
    <row r="25" spans="1:26" ht="17.25" customHeight="1">
      <c r="J25" s="226"/>
    </row>
    <row r="26" spans="1:26" ht="17.25" customHeight="1"/>
    <row r="27" spans="1:26" ht="17.25" customHeight="1">
      <c r="B27" s="350"/>
      <c r="C27" s="350"/>
      <c r="D27" s="350"/>
      <c r="E27" s="350"/>
      <c r="F27" s="350"/>
      <c r="G27" s="350"/>
      <c r="H27" s="350"/>
      <c r="I27" s="350"/>
      <c r="J27" s="350"/>
      <c r="K27" s="350"/>
      <c r="L27" s="350"/>
      <c r="M27" s="350"/>
    </row>
    <row r="28" spans="1:26" ht="38.25" customHeight="1">
      <c r="B28" s="973" t="s">
        <v>353</v>
      </c>
      <c r="C28" s="964"/>
      <c r="D28" s="964"/>
      <c r="E28" s="964"/>
      <c r="F28" s="964"/>
      <c r="G28" s="964"/>
      <c r="H28" s="964"/>
      <c r="I28" s="964"/>
      <c r="J28" s="964"/>
      <c r="K28" s="964"/>
    </row>
    <row r="29" spans="1:26" ht="17.25" customHeight="1"/>
    <row r="30" spans="1:26" ht="17.25" customHeight="1">
      <c r="B30" s="967" t="s">
        <v>69</v>
      </c>
      <c r="C30" s="972" t="s">
        <v>112</v>
      </c>
      <c r="D30" s="970"/>
      <c r="E30" s="971"/>
      <c r="F30" s="972" t="s">
        <v>114</v>
      </c>
      <c r="G30" s="970"/>
      <c r="H30" s="971"/>
      <c r="I30" s="974" t="s">
        <v>116</v>
      </c>
      <c r="J30" s="970"/>
      <c r="K30" s="971"/>
      <c r="L30" s="974" t="s">
        <v>126</v>
      </c>
      <c r="M30" s="970"/>
      <c r="N30" s="971"/>
    </row>
    <row r="31" spans="1:26" ht="17.25" customHeight="1">
      <c r="B31" s="968"/>
      <c r="C31" s="325" t="str">
        <f>+C9</f>
        <v>Z-2025</v>
      </c>
      <c r="D31" s="325" t="str">
        <f t="shared" ref="D31:N31" si="5">+D9</f>
        <v>Z-2026</v>
      </c>
      <c r="E31" s="325" t="str">
        <f t="shared" si="5"/>
        <v>Z 2026 VS 2025</v>
      </c>
      <c r="F31" s="325" t="str">
        <f t="shared" si="5"/>
        <v>Z-2025</v>
      </c>
      <c r="G31" s="325" t="str">
        <f t="shared" si="5"/>
        <v>Z-2026</v>
      </c>
      <c r="H31" s="325" t="str">
        <f t="shared" si="5"/>
        <v>Z 2026 VS 2025</v>
      </c>
      <c r="I31" s="325" t="str">
        <f t="shared" si="5"/>
        <v>Z-2025</v>
      </c>
      <c r="J31" s="325" t="str">
        <f t="shared" si="5"/>
        <v>Z-2026</v>
      </c>
      <c r="K31" s="325" t="str">
        <f t="shared" si="5"/>
        <v>Z 2026 VS 2025</v>
      </c>
      <c r="L31" s="325" t="str">
        <f t="shared" si="5"/>
        <v>Z-2025</v>
      </c>
      <c r="M31" s="325" t="str">
        <f t="shared" si="5"/>
        <v>Z-2026</v>
      </c>
      <c r="N31" s="325" t="str">
        <f t="shared" si="5"/>
        <v>Z 2026 VS 2025</v>
      </c>
    </row>
    <row r="32" spans="1:26" ht="17.25" customHeight="1">
      <c r="A32" s="155"/>
      <c r="B32" s="326">
        <f>+B10</f>
        <v>46143</v>
      </c>
      <c r="C32" s="329">
        <f t="shared" ref="C32:C43" si="6">+F10</f>
        <v>454.70784173627902</v>
      </c>
      <c r="D32" s="330">
        <f t="shared" ref="D32:D43" si="7">+G10</f>
        <v>579.27325090813383</v>
      </c>
      <c r="E32" s="328">
        <f t="shared" ref="E32:E44" si="8">+(D32/C32)-1</f>
        <v>0.27394603245945359</v>
      </c>
      <c r="F32" s="787"/>
      <c r="G32" s="330">
        <f>+'CUADRO RESUMEN'!F52</f>
        <v>0</v>
      </c>
      <c r="H32" s="328" t="e">
        <f>+(G32/F32)-1</f>
        <v>#DIV/0!</v>
      </c>
      <c r="I32" s="351" t="e">
        <f t="shared" ref="I32:J39" si="9">+(C32*1000)/F32</f>
        <v>#DIV/0!</v>
      </c>
      <c r="J32" s="351" t="e">
        <f t="shared" si="9"/>
        <v>#DIV/0!</v>
      </c>
      <c r="K32" s="328" t="e">
        <f t="shared" ref="K32:K43" si="10">+(J32/I32)-1</f>
        <v>#DIV/0!</v>
      </c>
      <c r="L32" s="353" t="e">
        <f t="shared" ref="L32:M39" si="11">+(C32*1.21*50)/F32</f>
        <v>#DIV/0!</v>
      </c>
      <c r="M32" s="353" t="e">
        <f t="shared" si="11"/>
        <v>#DIV/0!</v>
      </c>
      <c r="N32" s="333" t="e">
        <f t="shared" ref="N32:N43" si="12">+(M32/L32)-1</f>
        <v>#DIV/0!</v>
      </c>
      <c r="O32" s="155"/>
      <c r="P32" s="155"/>
      <c r="Q32" s="155"/>
      <c r="R32" s="155"/>
      <c r="S32" s="155"/>
      <c r="T32" s="155"/>
      <c r="U32" s="155"/>
      <c r="V32" s="155"/>
      <c r="W32" s="155"/>
      <c r="X32" s="155"/>
      <c r="Y32" s="155"/>
      <c r="Z32" s="155"/>
    </row>
    <row r="33" spans="1:26" ht="17.25" customHeight="1">
      <c r="A33" s="223"/>
      <c r="B33" s="326">
        <f t="shared" ref="B33:B43" si="13">+B11</f>
        <v>46174</v>
      </c>
      <c r="C33" s="334">
        <f t="shared" si="6"/>
        <v>498.7803765696811</v>
      </c>
      <c r="D33" s="335">
        <f t="shared" si="7"/>
        <v>483.75910558297863</v>
      </c>
      <c r="E33" s="333">
        <f t="shared" si="8"/>
        <v>-3.0116002337561731E-2</v>
      </c>
      <c r="F33" s="456"/>
      <c r="G33" s="335">
        <f>+'CUADRO RESUMEN'!F53</f>
        <v>0</v>
      </c>
      <c r="H33" s="333" t="e">
        <f t="shared" ref="H33:H43" si="14">+(G33/F33)-1</f>
        <v>#DIV/0!</v>
      </c>
      <c r="I33" s="352" t="e">
        <f t="shared" si="9"/>
        <v>#DIV/0!</v>
      </c>
      <c r="J33" s="352" t="e">
        <f t="shared" si="9"/>
        <v>#DIV/0!</v>
      </c>
      <c r="K33" s="333" t="e">
        <f t="shared" si="10"/>
        <v>#DIV/0!</v>
      </c>
      <c r="L33" s="353" t="e">
        <f t="shared" si="11"/>
        <v>#DIV/0!</v>
      </c>
      <c r="M33" s="353" t="e">
        <f t="shared" si="11"/>
        <v>#DIV/0!</v>
      </c>
      <c r="N33" s="333" t="e">
        <f t="shared" si="12"/>
        <v>#DIV/0!</v>
      </c>
      <c r="O33" s="223"/>
      <c r="P33" s="223"/>
      <c r="Q33" s="223"/>
      <c r="R33" s="223"/>
      <c r="S33" s="223"/>
      <c r="T33" s="223"/>
      <c r="U33" s="223"/>
      <c r="V33" s="223"/>
      <c r="W33" s="223"/>
      <c r="X33" s="223"/>
      <c r="Y33" s="223"/>
      <c r="Z33" s="223"/>
    </row>
    <row r="34" spans="1:26" ht="17.25" customHeight="1">
      <c r="A34" s="223"/>
      <c r="B34" s="326">
        <f t="shared" si="13"/>
        <v>46205</v>
      </c>
      <c r="C34" s="334">
        <f t="shared" si="6"/>
        <v>495.58393862371628</v>
      </c>
      <c r="D34" s="335">
        <f t="shared" si="7"/>
        <v>472.89725981189628</v>
      </c>
      <c r="E34" s="333">
        <f t="shared" si="8"/>
        <v>-4.5777671638881356E-2</v>
      </c>
      <c r="F34" s="456"/>
      <c r="G34" s="335">
        <f>+'CUADRO RESUMEN'!F54</f>
        <v>0</v>
      </c>
      <c r="H34" s="333" t="e">
        <f t="shared" si="14"/>
        <v>#DIV/0!</v>
      </c>
      <c r="I34" s="352" t="e">
        <f t="shared" si="9"/>
        <v>#DIV/0!</v>
      </c>
      <c r="J34" s="352" t="e">
        <f t="shared" si="9"/>
        <v>#DIV/0!</v>
      </c>
      <c r="K34" s="333" t="e">
        <f t="shared" si="10"/>
        <v>#DIV/0!</v>
      </c>
      <c r="L34" s="353" t="e">
        <f t="shared" si="11"/>
        <v>#DIV/0!</v>
      </c>
      <c r="M34" s="353" t="e">
        <f t="shared" si="11"/>
        <v>#DIV/0!</v>
      </c>
      <c r="N34" s="333" t="e">
        <f t="shared" si="12"/>
        <v>#DIV/0!</v>
      </c>
      <c r="O34" s="223"/>
      <c r="P34" s="223"/>
      <c r="Q34" s="223"/>
      <c r="R34" s="223"/>
      <c r="S34" s="223"/>
      <c r="T34" s="223"/>
      <c r="U34" s="223"/>
      <c r="V34" s="223"/>
      <c r="W34" s="223"/>
      <c r="X34" s="223"/>
      <c r="Y34" s="223"/>
      <c r="Z34" s="223"/>
    </row>
    <row r="35" spans="1:26" ht="17.25" customHeight="1">
      <c r="A35" s="223"/>
      <c r="B35" s="326">
        <f t="shared" si="13"/>
        <v>46236</v>
      </c>
      <c r="C35" s="334">
        <f t="shared" si="6"/>
        <v>443.34076817045758</v>
      </c>
      <c r="D35" s="335" t="e">
        <f t="shared" si="7"/>
        <v>#DIV/0!</v>
      </c>
      <c r="E35" s="333" t="e">
        <f t="shared" si="8"/>
        <v>#DIV/0!</v>
      </c>
      <c r="F35" s="456"/>
      <c r="G35" s="335">
        <f>+'CUADRO RESUMEN'!F55</f>
        <v>0</v>
      </c>
      <c r="H35" s="333" t="e">
        <f t="shared" si="14"/>
        <v>#DIV/0!</v>
      </c>
      <c r="I35" s="352" t="e">
        <f t="shared" si="9"/>
        <v>#DIV/0!</v>
      </c>
      <c r="J35" s="352" t="e">
        <f t="shared" si="9"/>
        <v>#DIV/0!</v>
      </c>
      <c r="K35" s="333" t="e">
        <f t="shared" si="10"/>
        <v>#DIV/0!</v>
      </c>
      <c r="L35" s="353" t="e">
        <f t="shared" si="11"/>
        <v>#DIV/0!</v>
      </c>
      <c r="M35" s="353" t="e">
        <f t="shared" si="11"/>
        <v>#DIV/0!</v>
      </c>
      <c r="N35" s="333" t="e">
        <f t="shared" si="12"/>
        <v>#DIV/0!</v>
      </c>
      <c r="O35" s="223"/>
      <c r="P35" s="223"/>
      <c r="Q35" s="223"/>
      <c r="R35" s="223"/>
      <c r="S35" s="223"/>
      <c r="T35" s="223"/>
      <c r="U35" s="223"/>
      <c r="V35" s="223"/>
      <c r="W35" s="223"/>
      <c r="X35" s="223"/>
      <c r="Y35" s="223"/>
      <c r="Z35" s="223"/>
    </row>
    <row r="36" spans="1:26" ht="17.25" customHeight="1">
      <c r="A36" s="223"/>
      <c r="B36" s="326">
        <f t="shared" si="13"/>
        <v>46267</v>
      </c>
      <c r="C36" s="334">
        <f t="shared" si="6"/>
        <v>421.68591258817077</v>
      </c>
      <c r="D36" s="335" t="e">
        <f t="shared" si="7"/>
        <v>#DIV/0!</v>
      </c>
      <c r="E36" s="333" t="e">
        <f t="shared" si="8"/>
        <v>#DIV/0!</v>
      </c>
      <c r="F36" s="456"/>
      <c r="G36" s="335">
        <f>+'CUADRO RESUMEN'!F56</f>
        <v>0</v>
      </c>
      <c r="H36" s="333" t="e">
        <f t="shared" si="14"/>
        <v>#DIV/0!</v>
      </c>
      <c r="I36" s="352" t="e">
        <f t="shared" si="9"/>
        <v>#DIV/0!</v>
      </c>
      <c r="J36" s="352" t="e">
        <f t="shared" si="9"/>
        <v>#DIV/0!</v>
      </c>
      <c r="K36" s="333" t="e">
        <f t="shared" si="10"/>
        <v>#DIV/0!</v>
      </c>
      <c r="L36" s="353" t="e">
        <f t="shared" si="11"/>
        <v>#DIV/0!</v>
      </c>
      <c r="M36" s="353" t="e">
        <f t="shared" si="11"/>
        <v>#DIV/0!</v>
      </c>
      <c r="N36" s="333" t="e">
        <f t="shared" si="12"/>
        <v>#DIV/0!</v>
      </c>
      <c r="O36" s="223"/>
      <c r="P36" s="223"/>
      <c r="Q36" s="223"/>
      <c r="R36" s="223"/>
      <c r="S36" s="223"/>
      <c r="T36" s="223"/>
      <c r="U36" s="223"/>
      <c r="V36" s="223"/>
      <c r="W36" s="223"/>
      <c r="X36" s="223"/>
      <c r="Y36" s="223"/>
      <c r="Z36" s="223"/>
    </row>
    <row r="37" spans="1:26" ht="17.25" customHeight="1">
      <c r="A37" s="223"/>
      <c r="B37" s="326">
        <f t="shared" si="13"/>
        <v>46298</v>
      </c>
      <c r="C37" s="334">
        <f t="shared" si="6"/>
        <v>453.84907976739834</v>
      </c>
      <c r="D37" s="335" t="e">
        <f t="shared" si="7"/>
        <v>#DIV/0!</v>
      </c>
      <c r="E37" s="333" t="e">
        <f t="shared" si="8"/>
        <v>#DIV/0!</v>
      </c>
      <c r="F37" s="456"/>
      <c r="G37" s="335">
        <v>981.56820000000005</v>
      </c>
      <c r="H37" s="333" t="e">
        <f t="shared" si="14"/>
        <v>#DIV/0!</v>
      </c>
      <c r="I37" s="352" t="e">
        <f t="shared" si="9"/>
        <v>#DIV/0!</v>
      </c>
      <c r="J37" s="352" t="e">
        <f t="shared" si="9"/>
        <v>#DIV/0!</v>
      </c>
      <c r="K37" s="333" t="e">
        <f t="shared" si="10"/>
        <v>#DIV/0!</v>
      </c>
      <c r="L37" s="353" t="e">
        <f t="shared" si="11"/>
        <v>#DIV/0!</v>
      </c>
      <c r="M37" s="353" t="e">
        <f t="shared" si="11"/>
        <v>#DIV/0!</v>
      </c>
      <c r="N37" s="333" t="e">
        <f t="shared" si="12"/>
        <v>#DIV/0!</v>
      </c>
      <c r="O37" s="223"/>
      <c r="P37" s="223"/>
      <c r="Q37" s="223"/>
      <c r="R37" s="223"/>
      <c r="S37" s="223"/>
      <c r="T37" s="223"/>
      <c r="U37" s="223"/>
      <c r="V37" s="223"/>
      <c r="W37" s="223"/>
      <c r="X37" s="223"/>
      <c r="Y37" s="223"/>
      <c r="Z37" s="223"/>
    </row>
    <row r="38" spans="1:26" ht="17.25" customHeight="1">
      <c r="A38" s="223"/>
      <c r="B38" s="326">
        <f t="shared" si="13"/>
        <v>46329</v>
      </c>
      <c r="C38" s="334">
        <f t="shared" si="6"/>
        <v>482.29338935085872</v>
      </c>
      <c r="D38" s="335" t="e">
        <f t="shared" si="7"/>
        <v>#DIV/0!</v>
      </c>
      <c r="E38" s="333" t="e">
        <f t="shared" si="8"/>
        <v>#DIV/0!</v>
      </c>
      <c r="F38" s="456"/>
      <c r="G38" s="335">
        <v>1001.8377175438596</v>
      </c>
      <c r="H38" s="333" t="e">
        <f t="shared" si="14"/>
        <v>#DIV/0!</v>
      </c>
      <c r="I38" s="352" t="e">
        <f t="shared" si="9"/>
        <v>#DIV/0!</v>
      </c>
      <c r="J38" s="352" t="e">
        <f t="shared" si="9"/>
        <v>#DIV/0!</v>
      </c>
      <c r="K38" s="333" t="e">
        <f t="shared" si="10"/>
        <v>#DIV/0!</v>
      </c>
      <c r="L38" s="353" t="e">
        <f t="shared" si="11"/>
        <v>#DIV/0!</v>
      </c>
      <c r="M38" s="353" t="e">
        <f t="shared" si="11"/>
        <v>#DIV/0!</v>
      </c>
      <c r="N38" s="333" t="e">
        <f t="shared" si="12"/>
        <v>#DIV/0!</v>
      </c>
      <c r="O38" s="223"/>
      <c r="P38" s="223"/>
      <c r="Q38" s="223"/>
      <c r="R38" s="223"/>
      <c r="S38" s="223"/>
      <c r="T38" s="223"/>
      <c r="U38" s="223"/>
      <c r="V38" s="223"/>
      <c r="W38" s="223"/>
      <c r="X38" s="223"/>
      <c r="Y38" s="223"/>
      <c r="Z38" s="223"/>
    </row>
    <row r="39" spans="1:26" ht="17.25" customHeight="1">
      <c r="A39" s="223"/>
      <c r="B39" s="326">
        <f t="shared" si="13"/>
        <v>46360</v>
      </c>
      <c r="C39" s="334">
        <f t="shared" si="6"/>
        <v>518.40927829439022</v>
      </c>
      <c r="D39" s="335" t="e">
        <f t="shared" si="7"/>
        <v>#DIV/0!</v>
      </c>
      <c r="E39" s="333" t="e">
        <f t="shared" si="8"/>
        <v>#DIV/0!</v>
      </c>
      <c r="F39" s="456"/>
      <c r="G39" s="338">
        <v>1020.7</v>
      </c>
      <c r="H39" s="333" t="e">
        <f t="shared" si="14"/>
        <v>#DIV/0!</v>
      </c>
      <c r="I39" s="352" t="e">
        <f t="shared" si="9"/>
        <v>#DIV/0!</v>
      </c>
      <c r="J39" s="352" t="e">
        <f t="shared" si="9"/>
        <v>#DIV/0!</v>
      </c>
      <c r="K39" s="333" t="e">
        <f t="shared" si="10"/>
        <v>#DIV/0!</v>
      </c>
      <c r="L39" s="353" t="e">
        <f t="shared" si="11"/>
        <v>#DIV/0!</v>
      </c>
      <c r="M39" s="353" t="e">
        <f t="shared" si="11"/>
        <v>#DIV/0!</v>
      </c>
      <c r="N39" s="333" t="e">
        <f t="shared" si="12"/>
        <v>#DIV/0!</v>
      </c>
      <c r="O39" s="223"/>
      <c r="P39" s="223"/>
      <c r="Q39" s="223"/>
      <c r="R39" s="223"/>
      <c r="S39" s="223"/>
      <c r="T39" s="223"/>
      <c r="U39" s="223"/>
      <c r="V39" s="223"/>
      <c r="W39" s="223"/>
      <c r="X39" s="223"/>
      <c r="Y39" s="223"/>
      <c r="Z39" s="223"/>
    </row>
    <row r="40" spans="1:26" ht="17.25" customHeight="1">
      <c r="A40" s="223"/>
      <c r="B40" s="326">
        <f t="shared" si="13"/>
        <v>46391</v>
      </c>
      <c r="C40" s="334">
        <f t="shared" si="6"/>
        <v>617.72720053241267</v>
      </c>
      <c r="D40" s="335" t="e">
        <f t="shared" si="7"/>
        <v>#DIV/0!</v>
      </c>
      <c r="E40" s="333" t="e">
        <f t="shared" si="8"/>
        <v>#DIV/0!</v>
      </c>
      <c r="F40" s="456"/>
      <c r="G40" s="338">
        <v>1043.56</v>
      </c>
      <c r="H40" s="333" t="e">
        <f t="shared" si="14"/>
        <v>#DIV/0!</v>
      </c>
      <c r="I40" s="352" t="e">
        <f t="shared" ref="I40:J43" si="15">+(C40*1000)/F40</f>
        <v>#DIV/0!</v>
      </c>
      <c r="J40" s="352" t="e">
        <f t="shared" si="15"/>
        <v>#DIV/0!</v>
      </c>
      <c r="K40" s="333" t="e">
        <f t="shared" si="10"/>
        <v>#DIV/0!</v>
      </c>
      <c r="L40" s="353" t="e">
        <f t="shared" ref="L40:M43" si="16">+(C40*1.21*50)/F40</f>
        <v>#DIV/0!</v>
      </c>
      <c r="M40" s="353" t="e">
        <f>+(D40*1.21*50)/G40</f>
        <v>#DIV/0!</v>
      </c>
      <c r="N40" s="333" t="e">
        <f t="shared" si="12"/>
        <v>#DIV/0!</v>
      </c>
      <c r="O40" s="223"/>
      <c r="P40" s="223"/>
      <c r="Q40" s="223"/>
      <c r="R40" s="223"/>
      <c r="S40" s="223"/>
      <c r="T40" s="223"/>
      <c r="U40" s="223"/>
      <c r="V40" s="223"/>
      <c r="W40" s="223"/>
      <c r="X40" s="223"/>
      <c r="Y40" s="223"/>
      <c r="Z40" s="223"/>
    </row>
    <row r="41" spans="1:26" ht="17.25" customHeight="1">
      <c r="A41" s="223"/>
      <c r="B41" s="326">
        <f t="shared" si="13"/>
        <v>46422</v>
      </c>
      <c r="C41" s="334">
        <f t="shared" si="6"/>
        <v>642.7650727322391</v>
      </c>
      <c r="D41" s="335" t="e">
        <f t="shared" si="7"/>
        <v>#DIV/0!</v>
      </c>
      <c r="E41" s="333" t="e">
        <f t="shared" si="8"/>
        <v>#DIV/0!</v>
      </c>
      <c r="F41" s="788"/>
      <c r="G41" s="338">
        <v>1058.46</v>
      </c>
      <c r="H41" s="333" t="e">
        <f t="shared" si="14"/>
        <v>#DIV/0!</v>
      </c>
      <c r="I41" s="352" t="e">
        <f t="shared" si="15"/>
        <v>#DIV/0!</v>
      </c>
      <c r="J41" s="352" t="e">
        <f t="shared" si="15"/>
        <v>#DIV/0!</v>
      </c>
      <c r="K41" s="333" t="e">
        <f t="shared" si="10"/>
        <v>#DIV/0!</v>
      </c>
      <c r="L41" s="353" t="e">
        <f t="shared" si="16"/>
        <v>#DIV/0!</v>
      </c>
      <c r="M41" s="353" t="e">
        <f t="shared" si="16"/>
        <v>#DIV/0!</v>
      </c>
      <c r="N41" s="333" t="e">
        <f t="shared" si="12"/>
        <v>#DIV/0!</v>
      </c>
      <c r="O41" s="223"/>
      <c r="P41" s="223"/>
      <c r="Q41" s="223"/>
      <c r="R41" s="223"/>
      <c r="S41" s="223"/>
      <c r="T41" s="223"/>
      <c r="U41" s="223"/>
      <c r="V41" s="223"/>
      <c r="W41" s="223"/>
      <c r="X41" s="223"/>
      <c r="Y41" s="223"/>
      <c r="Z41" s="223"/>
    </row>
    <row r="42" spans="1:26" ht="17.25" customHeight="1">
      <c r="A42" s="223"/>
      <c r="B42" s="326">
        <f t="shared" si="13"/>
        <v>46453</v>
      </c>
      <c r="C42" s="334">
        <f t="shared" si="6"/>
        <v>670.58013542991637</v>
      </c>
      <c r="D42" s="335" t="e">
        <f t="shared" si="7"/>
        <v>#DIV/0!</v>
      </c>
      <c r="E42" s="333" t="e">
        <f t="shared" si="8"/>
        <v>#DIV/0!</v>
      </c>
      <c r="F42" s="788"/>
      <c r="G42" s="338">
        <v>1069</v>
      </c>
      <c r="H42" s="333" t="e">
        <f t="shared" si="14"/>
        <v>#DIV/0!</v>
      </c>
      <c r="I42" s="352" t="e">
        <f t="shared" si="15"/>
        <v>#DIV/0!</v>
      </c>
      <c r="J42" s="352" t="e">
        <f t="shared" si="15"/>
        <v>#DIV/0!</v>
      </c>
      <c r="K42" s="333" t="e">
        <f t="shared" si="10"/>
        <v>#DIV/0!</v>
      </c>
      <c r="L42" s="353" t="e">
        <f t="shared" si="16"/>
        <v>#DIV/0!</v>
      </c>
      <c r="M42" s="353" t="e">
        <f t="shared" si="16"/>
        <v>#DIV/0!</v>
      </c>
      <c r="N42" s="333" t="e">
        <f t="shared" si="12"/>
        <v>#DIV/0!</v>
      </c>
      <c r="O42" s="223"/>
      <c r="P42" s="223"/>
      <c r="Q42" s="223"/>
      <c r="R42" s="223"/>
      <c r="S42" s="223"/>
      <c r="T42" s="223"/>
      <c r="U42" s="223"/>
      <c r="V42" s="223"/>
      <c r="W42" s="223"/>
      <c r="X42" s="223"/>
      <c r="Y42" s="223"/>
      <c r="Z42" s="223"/>
    </row>
    <row r="43" spans="1:26" ht="17.25" customHeight="1">
      <c r="B43" s="326">
        <f t="shared" si="13"/>
        <v>46484</v>
      </c>
      <c r="C43" s="334">
        <f t="shared" si="6"/>
        <v>684.09182137580842</v>
      </c>
      <c r="D43" s="335" t="e">
        <f t="shared" si="7"/>
        <v>#DIV/0!</v>
      </c>
      <c r="E43" s="333" t="e">
        <f t="shared" si="8"/>
        <v>#DIV/0!</v>
      </c>
      <c r="F43" s="456"/>
      <c r="G43" s="338">
        <v>1121.56</v>
      </c>
      <c r="H43" s="333" t="e">
        <f t="shared" si="14"/>
        <v>#DIV/0!</v>
      </c>
      <c r="I43" s="352" t="e">
        <f t="shared" si="15"/>
        <v>#DIV/0!</v>
      </c>
      <c r="J43" s="352" t="e">
        <f t="shared" si="15"/>
        <v>#DIV/0!</v>
      </c>
      <c r="K43" s="333" t="e">
        <f t="shared" si="10"/>
        <v>#DIV/0!</v>
      </c>
      <c r="L43" s="353" t="e">
        <f t="shared" si="16"/>
        <v>#DIV/0!</v>
      </c>
      <c r="M43" s="353" t="e">
        <f t="shared" si="16"/>
        <v>#DIV/0!</v>
      </c>
      <c r="N43" s="333" t="e">
        <f t="shared" si="12"/>
        <v>#DIV/0!</v>
      </c>
    </row>
    <row r="44" spans="1:26" ht="33.75" customHeight="1">
      <c r="B44" s="339" t="s">
        <v>95</v>
      </c>
      <c r="C44" s="354">
        <f>AVERAGE(C32:C43)</f>
        <v>531.98456793094408</v>
      </c>
      <c r="D44" s="355" t="e">
        <f>AVERAGE(D32:D43)</f>
        <v>#DIV/0!</v>
      </c>
      <c r="E44" s="343" t="e">
        <f t="shared" si="8"/>
        <v>#DIV/0!</v>
      </c>
      <c r="F44" s="354" t="e">
        <f>AVERAGE(F32:F43)</f>
        <v>#DIV/0!</v>
      </c>
      <c r="G44" s="355">
        <f>AVERAGE(G32:G43)</f>
        <v>608.05715979532158</v>
      </c>
      <c r="H44" s="342" t="e">
        <f>+(G44/F44)-1</f>
        <v>#DIV/0!</v>
      </c>
      <c r="I44" s="356" t="e">
        <f>AVERAGE(I32:I43)</f>
        <v>#DIV/0!</v>
      </c>
      <c r="J44" s="357" t="e">
        <f>AVERAGE(J32:J43)</f>
        <v>#DIV/0!</v>
      </c>
      <c r="K44" s="358" t="e">
        <f>+(J44/I44)-1</f>
        <v>#DIV/0!</v>
      </c>
      <c r="L44" s="356" t="e">
        <f>AVERAGE(L32:L43)</f>
        <v>#DIV/0!</v>
      </c>
      <c r="M44" s="357" t="e">
        <f>AVERAGE(M32:M43)</f>
        <v>#DIV/0!</v>
      </c>
      <c r="N44" s="358" t="e">
        <f>+(M44/L44)-1</f>
        <v>#DIV/0!</v>
      </c>
    </row>
    <row r="45" spans="1:26" ht="17.25" customHeight="1"/>
    <row r="46" spans="1:26" ht="17.25" customHeight="1">
      <c r="A46" s="223"/>
      <c r="B46" s="963" t="s">
        <v>120</v>
      </c>
      <c r="C46" s="964"/>
      <c r="D46" s="964"/>
      <c r="E46" s="964"/>
      <c r="F46" s="964"/>
      <c r="G46" s="964"/>
      <c r="H46" s="964"/>
      <c r="I46" s="964"/>
      <c r="J46" s="964"/>
      <c r="K46" s="964"/>
      <c r="L46" s="223"/>
      <c r="M46" s="223"/>
      <c r="N46" s="223"/>
      <c r="O46" s="223"/>
      <c r="P46" s="223"/>
      <c r="Q46" s="223"/>
      <c r="R46" s="223"/>
      <c r="S46" s="223"/>
      <c r="T46" s="223"/>
      <c r="U46" s="223"/>
      <c r="V46" s="223"/>
      <c r="W46" s="223"/>
      <c r="X46" s="223"/>
      <c r="Y46" s="223"/>
      <c r="Z46" s="223"/>
    </row>
    <row r="47" spans="1:26" ht="17.25" customHeight="1">
      <c r="A47" s="223"/>
      <c r="B47" s="964"/>
      <c r="C47" s="964"/>
      <c r="D47" s="964"/>
      <c r="E47" s="964"/>
      <c r="F47" s="964"/>
      <c r="G47" s="964"/>
      <c r="H47" s="964"/>
      <c r="I47" s="964"/>
      <c r="J47" s="964"/>
      <c r="K47" s="964"/>
      <c r="L47" s="223"/>
      <c r="M47" s="223"/>
      <c r="N47" s="223"/>
      <c r="O47" s="223"/>
      <c r="P47" s="223"/>
      <c r="Q47" s="223"/>
      <c r="R47" s="223"/>
      <c r="S47" s="223"/>
      <c r="T47" s="223"/>
      <c r="U47" s="223"/>
      <c r="V47" s="223"/>
      <c r="W47" s="223"/>
      <c r="X47" s="223"/>
      <c r="Y47" s="223"/>
      <c r="Z47" s="223"/>
    </row>
    <row r="48" spans="1:26" ht="17.25" customHeight="1">
      <c r="B48" s="189" t="s">
        <v>121</v>
      </c>
      <c r="C48" s="189"/>
      <c r="D48" s="189"/>
      <c r="E48" s="189"/>
      <c r="F48" s="189"/>
      <c r="G48" s="189"/>
      <c r="H48" s="189"/>
      <c r="I48" s="189"/>
      <c r="J48" s="189"/>
    </row>
    <row r="49" spans="2:13" ht="17.25" customHeight="1">
      <c r="B49" s="189"/>
      <c r="C49" s="359" t="s">
        <v>123</v>
      </c>
      <c r="D49" s="359"/>
      <c r="E49" s="359"/>
      <c r="F49" s="189"/>
      <c r="G49" s="189"/>
      <c r="H49" s="189"/>
      <c r="I49" s="189"/>
      <c r="J49" s="189"/>
      <c r="K49" s="189"/>
      <c r="L49" s="189"/>
      <c r="M49" s="189"/>
    </row>
    <row r="50" spans="2:13" ht="17.25" customHeight="1">
      <c r="I50" s="225"/>
    </row>
    <row r="51" spans="2:13" ht="17.25" customHeight="1"/>
    <row r="52" spans="2:13" ht="17.25" customHeight="1"/>
    <row r="53" spans="2:13" ht="17.25" customHeight="1"/>
    <row r="54" spans="2:13" ht="17.25" customHeight="1"/>
    <row r="55" spans="2:13" ht="17.25" customHeight="1"/>
    <row r="56" spans="2:13" ht="17.25" customHeight="1"/>
    <row r="57" spans="2:13" ht="17.25" customHeight="1"/>
    <row r="58" spans="2:13" ht="17.25" customHeight="1"/>
    <row r="59" spans="2:13" ht="17.25" customHeight="1"/>
    <row r="60" spans="2:13" ht="17.25" customHeight="1"/>
    <row r="61" spans="2:13" ht="17.25" customHeight="1"/>
    <row r="62" spans="2:13" ht="17.25" customHeight="1"/>
    <row r="63" spans="2:13" ht="17.25" customHeight="1"/>
    <row r="64" spans="2:13"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46:K47"/>
    <mergeCell ref="B4:N4"/>
    <mergeCell ref="B8:B9"/>
    <mergeCell ref="C8:E8"/>
    <mergeCell ref="F8:H8"/>
    <mergeCell ref="I8:K8"/>
    <mergeCell ref="L8:N8"/>
    <mergeCell ref="B28:K28"/>
    <mergeCell ref="B30:B31"/>
    <mergeCell ref="C30:E30"/>
    <mergeCell ref="F30:H30"/>
    <mergeCell ref="I30:K30"/>
    <mergeCell ref="L30:N30"/>
  </mergeCells>
  <hyperlinks>
    <hyperlink ref="C49" r:id="rId1" xr:uid="{00000000-0004-0000-0500-000000000000}"/>
  </hyperlinks>
  <printOptions horizontalCentered="1"/>
  <pageMargins left="0" right="0" top="0.78740157480314965" bottom="0" header="0" footer="0"/>
  <pageSetup paperSize="9" scale="58"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3:Z1000"/>
  <sheetViews>
    <sheetView showGridLines="0" workbookViewId="0">
      <selection activeCell="F10" sqref="F10"/>
    </sheetView>
  </sheetViews>
  <sheetFormatPr baseColWidth="10" defaultColWidth="14.42578125" defaultRowHeight="15" customHeight="1"/>
  <cols>
    <col min="1" max="1" width="10.7109375" customWidth="1"/>
    <col min="2" max="2" width="15.7109375" customWidth="1"/>
    <col min="3" max="3" width="17.7109375" customWidth="1"/>
    <col min="4" max="5" width="20.7109375" customWidth="1"/>
    <col min="6" max="6" width="22.140625" customWidth="1"/>
    <col min="7" max="7" width="22.85546875" customWidth="1"/>
    <col min="8" max="8" width="22.5703125" customWidth="1"/>
    <col min="9" max="11" width="20.7109375" hidden="1" customWidth="1"/>
    <col min="12" max="12" width="17.5703125" hidden="1" customWidth="1"/>
    <col min="13" max="13" width="3.42578125" customWidth="1"/>
    <col min="14" max="14" width="16.42578125" customWidth="1"/>
    <col min="15" max="15" width="18" customWidth="1"/>
  </cols>
  <sheetData>
    <row r="3" spans="1:26" ht="39.75" customHeight="1">
      <c r="B3" s="156"/>
      <c r="C3" s="975" t="s">
        <v>127</v>
      </c>
      <c r="D3" s="948"/>
      <c r="E3" s="948"/>
      <c r="F3" s="948"/>
      <c r="G3" s="948"/>
      <c r="H3" s="948"/>
      <c r="I3" s="156"/>
      <c r="J3" s="156"/>
      <c r="K3" s="156"/>
      <c r="L3" s="156"/>
      <c r="M3" s="156"/>
      <c r="N3" s="156"/>
      <c r="O3" s="157"/>
    </row>
    <row r="7" spans="1:26" ht="84" customHeight="1">
      <c r="A7" s="58"/>
      <c r="B7" s="58"/>
      <c r="C7" s="158" t="s">
        <v>69</v>
      </c>
      <c r="D7" s="158" t="s">
        <v>70</v>
      </c>
      <c r="E7" s="158" t="s">
        <v>128</v>
      </c>
      <c r="F7" s="158" t="s">
        <v>129</v>
      </c>
      <c r="G7" s="158" t="s">
        <v>130</v>
      </c>
      <c r="H7" s="158" t="s">
        <v>131</v>
      </c>
      <c r="I7" s="158" t="s">
        <v>132</v>
      </c>
      <c r="J7" s="158" t="s">
        <v>133</v>
      </c>
      <c r="K7" s="158" t="s">
        <v>134</v>
      </c>
      <c r="L7" s="158" t="s">
        <v>135</v>
      </c>
      <c r="M7" s="58"/>
      <c r="N7" s="158" t="s">
        <v>136</v>
      </c>
      <c r="O7" s="58"/>
      <c r="P7" s="58"/>
      <c r="Q7" s="58"/>
      <c r="R7" s="58"/>
      <c r="S7" s="58"/>
      <c r="T7" s="58"/>
      <c r="U7" s="58"/>
      <c r="V7" s="58"/>
      <c r="W7" s="58"/>
      <c r="X7" s="58"/>
      <c r="Y7" s="58"/>
      <c r="Z7" s="58"/>
    </row>
    <row r="8" spans="1:26" ht="18.75">
      <c r="A8" s="3"/>
      <c r="B8" s="3"/>
      <c r="C8" s="159" t="s">
        <v>43</v>
      </c>
      <c r="D8" s="160">
        <v>2026</v>
      </c>
      <c r="E8" s="458">
        <f>+ACUMULADOS!Z2</f>
        <v>70186.919999999955</v>
      </c>
      <c r="F8" s="457">
        <v>850</v>
      </c>
      <c r="G8" s="459">
        <f>+KPI´S!C31</f>
        <v>491.44710765990499</v>
      </c>
      <c r="H8" s="162">
        <f t="shared" ref="H8:H19" si="0">(+G8/F8)-1</f>
        <v>-0.4218269321648177</v>
      </c>
      <c r="I8" s="161">
        <v>480</v>
      </c>
      <c r="J8" s="162">
        <f t="shared" ref="J8:J14" si="1">(+G8/I8)-1</f>
        <v>2.3848140958135478E-2</v>
      </c>
      <c r="K8" s="161"/>
      <c r="L8" s="162" t="e">
        <f>(+G8/K8)-1</f>
        <v>#DIV/0!</v>
      </c>
      <c r="M8" s="163"/>
      <c r="N8" s="162"/>
      <c r="O8" s="3"/>
      <c r="P8" s="3"/>
      <c r="Q8" s="3"/>
      <c r="R8" s="3"/>
      <c r="S8" s="3"/>
      <c r="T8" s="3"/>
      <c r="U8" s="3"/>
      <c r="V8" s="3"/>
      <c r="W8" s="3"/>
      <c r="X8" s="3"/>
      <c r="Y8" s="3"/>
      <c r="Z8" s="3"/>
    </row>
    <row r="9" spans="1:26" ht="18.75">
      <c r="A9" s="3"/>
      <c r="B9" s="3"/>
      <c r="C9" s="159" t="s">
        <v>48</v>
      </c>
      <c r="D9" s="160">
        <v>2026</v>
      </c>
      <c r="E9" s="458">
        <f>+ACUMULADOS!Z4</f>
        <v>104239.59999999998</v>
      </c>
      <c r="F9" s="457">
        <v>900</v>
      </c>
      <c r="G9" s="459">
        <f>+KPI´S!D31</f>
        <v>407.44679661066544</v>
      </c>
      <c r="H9" s="162">
        <f t="shared" si="0"/>
        <v>-0.54728133709926063</v>
      </c>
      <c r="I9" s="161">
        <v>480</v>
      </c>
      <c r="J9" s="162">
        <f t="shared" si="1"/>
        <v>-0.15115250706111361</v>
      </c>
      <c r="K9" s="161"/>
      <c r="L9" s="162" t="e">
        <f>(+G9/K9)-1</f>
        <v>#DIV/0!</v>
      </c>
      <c r="M9" s="163"/>
      <c r="N9" s="162"/>
      <c r="O9" s="3"/>
      <c r="P9" s="3"/>
      <c r="Q9" s="3"/>
      <c r="R9" s="3"/>
      <c r="S9" s="3"/>
      <c r="T9" s="3"/>
      <c r="U9" s="3"/>
      <c r="V9" s="3"/>
      <c r="W9" s="3"/>
      <c r="X9" s="3"/>
      <c r="Y9" s="3"/>
      <c r="Z9" s="3"/>
    </row>
    <row r="10" spans="1:26" ht="18.75">
      <c r="A10" s="3"/>
      <c r="B10" s="3"/>
      <c r="C10" s="159" t="s">
        <v>49</v>
      </c>
      <c r="D10" s="160">
        <v>2026</v>
      </c>
      <c r="E10" s="458">
        <f t="shared" ref="E10:E19" si="2">+E36</f>
        <v>70284</v>
      </c>
      <c r="F10" s="457">
        <v>900</v>
      </c>
      <c r="G10" s="459">
        <f>+KPI´S!E31</f>
        <v>439.57717986059868</v>
      </c>
      <c r="H10" s="162">
        <f t="shared" si="0"/>
        <v>-0.51158091126600147</v>
      </c>
      <c r="I10" s="161">
        <v>460</v>
      </c>
      <c r="J10" s="162">
        <f t="shared" si="1"/>
        <v>-4.4397435085655079E-2</v>
      </c>
      <c r="K10" s="164"/>
      <c r="L10" s="165"/>
      <c r="M10" s="163"/>
      <c r="N10" s="162"/>
      <c r="O10" s="3"/>
      <c r="P10" s="3"/>
      <c r="Q10" s="3"/>
      <c r="R10" s="3"/>
      <c r="S10" s="3"/>
      <c r="T10" s="3"/>
      <c r="U10" s="3"/>
      <c r="V10" s="3"/>
      <c r="W10" s="3"/>
      <c r="X10" s="3"/>
      <c r="Y10" s="3"/>
      <c r="Z10" s="3"/>
    </row>
    <row r="11" spans="1:26" ht="18.75">
      <c r="A11" s="3"/>
      <c r="B11" s="3"/>
      <c r="C11" s="159" t="s">
        <v>90</v>
      </c>
      <c r="D11" s="160">
        <v>2026</v>
      </c>
      <c r="E11" s="458">
        <f t="shared" si="2"/>
        <v>0</v>
      </c>
      <c r="F11" s="457"/>
      <c r="G11" s="459" t="e">
        <f>+KPI´S!F31</f>
        <v>#DIV/0!</v>
      </c>
      <c r="H11" s="162" t="e">
        <f t="shared" si="0"/>
        <v>#DIV/0!</v>
      </c>
      <c r="I11" s="161">
        <v>470</v>
      </c>
      <c r="J11" s="162" t="e">
        <f t="shared" si="1"/>
        <v>#DIV/0!</v>
      </c>
      <c r="K11" s="164"/>
      <c r="L11" s="165"/>
      <c r="M11" s="163"/>
      <c r="N11" s="160"/>
      <c r="O11" s="3"/>
      <c r="P11" s="3"/>
      <c r="Q11" s="3"/>
      <c r="R11" s="3"/>
      <c r="S11" s="3"/>
      <c r="T11" s="3"/>
      <c r="U11" s="3"/>
      <c r="V11" s="3"/>
      <c r="W11" s="3"/>
      <c r="X11" s="3"/>
      <c r="Y11" s="3"/>
      <c r="Z11" s="3"/>
    </row>
    <row r="12" spans="1:26" ht="18.75">
      <c r="A12" s="3"/>
      <c r="B12" s="3"/>
      <c r="C12" s="159" t="s">
        <v>51</v>
      </c>
      <c r="D12" s="160">
        <v>2026</v>
      </c>
      <c r="E12" s="458">
        <f t="shared" si="2"/>
        <v>0</v>
      </c>
      <c r="F12" s="457"/>
      <c r="G12" s="459" t="e">
        <f>+KPI´S!G31</f>
        <v>#DIV/0!</v>
      </c>
      <c r="H12" s="162" t="e">
        <f t="shared" si="0"/>
        <v>#DIV/0!</v>
      </c>
      <c r="I12" s="161">
        <v>480</v>
      </c>
      <c r="J12" s="162" t="e">
        <f t="shared" si="1"/>
        <v>#DIV/0!</v>
      </c>
      <c r="K12" s="164"/>
      <c r="L12" s="165"/>
      <c r="M12" s="163"/>
      <c r="N12" s="160"/>
      <c r="O12" s="3"/>
      <c r="P12" s="3"/>
      <c r="Q12" s="3"/>
      <c r="R12" s="3"/>
      <c r="S12" s="3"/>
      <c r="T12" s="3"/>
      <c r="U12" s="3"/>
      <c r="V12" s="3"/>
      <c r="W12" s="3"/>
      <c r="X12" s="3"/>
      <c r="Y12" s="3"/>
      <c r="Z12" s="3"/>
    </row>
    <row r="13" spans="1:26" ht="18.75">
      <c r="A13" s="3"/>
      <c r="B13" s="3"/>
      <c r="C13" s="159" t="s">
        <v>52</v>
      </c>
      <c r="D13" s="160">
        <v>2026</v>
      </c>
      <c r="E13" s="458">
        <f t="shared" si="2"/>
        <v>0</v>
      </c>
      <c r="F13" s="457"/>
      <c r="G13" s="459" t="e">
        <f>+KPI´S!H31</f>
        <v>#DIV/0!</v>
      </c>
      <c r="H13" s="162" t="e">
        <f t="shared" si="0"/>
        <v>#DIV/0!</v>
      </c>
      <c r="I13" s="161">
        <v>470</v>
      </c>
      <c r="J13" s="162" t="e">
        <f t="shared" si="1"/>
        <v>#DIV/0!</v>
      </c>
      <c r="K13" s="164"/>
      <c r="L13" s="165"/>
      <c r="M13" s="163"/>
      <c r="N13" s="160"/>
      <c r="O13" s="3"/>
      <c r="P13" s="3"/>
      <c r="Q13" s="3"/>
      <c r="R13" s="3"/>
      <c r="S13" s="3"/>
      <c r="T13" s="3"/>
      <c r="U13" s="3"/>
      <c r="V13" s="3"/>
      <c r="W13" s="3"/>
      <c r="X13" s="3"/>
      <c r="Y13" s="3"/>
      <c r="Z13" s="3"/>
    </row>
    <row r="14" spans="1:26" ht="18.75">
      <c r="A14" s="3"/>
      <c r="B14" s="3"/>
      <c r="C14" s="159" t="s">
        <v>53</v>
      </c>
      <c r="D14" s="160">
        <v>2026</v>
      </c>
      <c r="E14" s="458">
        <f t="shared" si="2"/>
        <v>0</v>
      </c>
      <c r="F14" s="457"/>
      <c r="G14" s="459" t="e">
        <f>+KPI´S!I31</f>
        <v>#DIV/0!</v>
      </c>
      <c r="H14" s="162" t="e">
        <f t="shared" si="0"/>
        <v>#DIV/0!</v>
      </c>
      <c r="I14" s="161">
        <v>470</v>
      </c>
      <c r="J14" s="165" t="e">
        <f t="shared" si="1"/>
        <v>#DIV/0!</v>
      </c>
      <c r="K14" s="164"/>
      <c r="L14" s="165"/>
      <c r="M14" s="163"/>
      <c r="N14" s="160"/>
      <c r="O14" s="3"/>
      <c r="P14" s="3"/>
      <c r="Q14" s="3"/>
      <c r="R14" s="3"/>
      <c r="S14" s="3"/>
      <c r="T14" s="3"/>
      <c r="U14" s="3"/>
      <c r="V14" s="3"/>
      <c r="W14" s="3"/>
      <c r="X14" s="3"/>
      <c r="Y14" s="3"/>
      <c r="Z14" s="3"/>
    </row>
    <row r="15" spans="1:26" ht="18.75">
      <c r="A15" s="3"/>
      <c r="B15" s="3"/>
      <c r="C15" s="159" t="s">
        <v>58</v>
      </c>
      <c r="D15" s="160">
        <v>2026</v>
      </c>
      <c r="E15" s="458">
        <f t="shared" si="2"/>
        <v>0</v>
      </c>
      <c r="F15" s="457"/>
      <c r="G15" s="459" t="e">
        <f>+KPI´S!J31</f>
        <v>#DIV/0!</v>
      </c>
      <c r="H15" s="162" t="e">
        <f t="shared" si="0"/>
        <v>#DIV/0!</v>
      </c>
      <c r="I15" s="164"/>
      <c r="J15" s="165"/>
      <c r="K15" s="164"/>
      <c r="L15" s="165"/>
      <c r="M15" s="163"/>
      <c r="N15" s="160"/>
      <c r="O15" s="3"/>
      <c r="P15" s="3"/>
      <c r="Q15" s="3"/>
      <c r="R15" s="3"/>
      <c r="S15" s="3"/>
      <c r="T15" s="3"/>
      <c r="U15" s="3"/>
      <c r="V15" s="3"/>
      <c r="W15" s="3"/>
      <c r="X15" s="3"/>
      <c r="Y15" s="3"/>
      <c r="Z15" s="3"/>
    </row>
    <row r="16" spans="1:26" ht="18.75">
      <c r="A16" s="3"/>
      <c r="B16" s="3"/>
      <c r="C16" s="159" t="s">
        <v>60</v>
      </c>
      <c r="D16" s="160">
        <v>2027</v>
      </c>
      <c r="E16" s="458">
        <f t="shared" si="2"/>
        <v>0</v>
      </c>
      <c r="F16" s="457"/>
      <c r="G16" s="459" t="e">
        <f>+KPI´S!K31</f>
        <v>#DIV/0!</v>
      </c>
      <c r="H16" s="162" t="e">
        <f t="shared" si="0"/>
        <v>#DIV/0!</v>
      </c>
      <c r="I16" s="164"/>
      <c r="J16" s="165"/>
      <c r="K16" s="164"/>
      <c r="L16" s="165"/>
      <c r="M16" s="163"/>
      <c r="N16" s="160"/>
      <c r="O16" s="3"/>
      <c r="P16" s="3"/>
      <c r="Q16" s="3"/>
      <c r="R16" s="3"/>
      <c r="S16" s="3"/>
      <c r="T16" s="3"/>
      <c r="U16" s="3"/>
      <c r="V16" s="3"/>
      <c r="W16" s="3"/>
      <c r="X16" s="3"/>
      <c r="Y16" s="3"/>
      <c r="Z16" s="3"/>
    </row>
    <row r="17" spans="1:26" ht="18.75">
      <c r="A17" s="3"/>
      <c r="B17" s="3"/>
      <c r="C17" s="159" t="s">
        <v>61</v>
      </c>
      <c r="D17" s="160">
        <v>2027</v>
      </c>
      <c r="E17" s="458">
        <f t="shared" si="2"/>
        <v>0</v>
      </c>
      <c r="F17" s="457"/>
      <c r="G17" s="459" t="e">
        <f>+KPI´S!L31</f>
        <v>#DIV/0!</v>
      </c>
      <c r="H17" s="162" t="e">
        <f t="shared" si="0"/>
        <v>#DIV/0!</v>
      </c>
      <c r="I17" s="164"/>
      <c r="J17" s="165"/>
      <c r="K17" s="164"/>
      <c r="L17" s="165"/>
      <c r="M17" s="163"/>
      <c r="N17" s="160"/>
      <c r="O17" s="3"/>
      <c r="P17" s="3"/>
      <c r="Q17" s="3"/>
      <c r="R17" s="3"/>
      <c r="S17" s="3"/>
      <c r="T17" s="3"/>
      <c r="U17" s="3"/>
      <c r="V17" s="3"/>
      <c r="W17" s="3"/>
      <c r="X17" s="3"/>
      <c r="Y17" s="3"/>
      <c r="Z17" s="3"/>
    </row>
    <row r="18" spans="1:26" ht="18.75">
      <c r="A18" s="3"/>
      <c r="B18" s="3"/>
      <c r="C18" s="159" t="s">
        <v>137</v>
      </c>
      <c r="D18" s="160">
        <v>2027</v>
      </c>
      <c r="E18" s="458">
        <f t="shared" si="2"/>
        <v>0</v>
      </c>
      <c r="F18" s="457"/>
      <c r="G18" s="459" t="e">
        <f>+KPI´S!M31</f>
        <v>#DIV/0!</v>
      </c>
      <c r="H18" s="162" t="e">
        <f t="shared" si="0"/>
        <v>#DIV/0!</v>
      </c>
      <c r="I18" s="164"/>
      <c r="J18" s="165"/>
      <c r="K18" s="164"/>
      <c r="L18" s="165"/>
      <c r="M18" s="163"/>
      <c r="N18" s="160"/>
      <c r="O18" s="3"/>
      <c r="P18" s="3"/>
      <c r="Q18" s="3"/>
      <c r="R18" s="3"/>
      <c r="S18" s="3"/>
      <c r="T18" s="3"/>
      <c r="U18" s="3"/>
      <c r="V18" s="3"/>
      <c r="W18" s="3"/>
      <c r="X18" s="3"/>
      <c r="Y18" s="3"/>
      <c r="Z18" s="3"/>
    </row>
    <row r="19" spans="1:26" ht="18.75">
      <c r="A19" s="3"/>
      <c r="B19" s="3"/>
      <c r="C19" s="166" t="s">
        <v>94</v>
      </c>
      <c r="D19" s="160">
        <v>2027</v>
      </c>
      <c r="E19" s="458">
        <f t="shared" si="2"/>
        <v>0</v>
      </c>
      <c r="F19" s="457"/>
      <c r="G19" s="459" t="e">
        <f>+KPI´S!M31</f>
        <v>#DIV/0!</v>
      </c>
      <c r="H19" s="162" t="e">
        <f t="shared" si="0"/>
        <v>#DIV/0!</v>
      </c>
      <c r="I19" s="168"/>
      <c r="J19" s="169"/>
      <c r="K19" s="168"/>
      <c r="L19" s="169"/>
      <c r="M19" s="170"/>
      <c r="N19" s="167"/>
      <c r="O19" s="3"/>
      <c r="P19" s="3"/>
      <c r="Q19" s="3"/>
      <c r="R19" s="3"/>
      <c r="S19" s="3"/>
      <c r="T19" s="3"/>
      <c r="U19" s="3"/>
      <c r="V19" s="3"/>
      <c r="W19" s="3"/>
      <c r="X19" s="3"/>
      <c r="Y19" s="3"/>
      <c r="Z19" s="3"/>
    </row>
    <row r="20" spans="1:26" ht="21">
      <c r="A20" s="58"/>
      <c r="B20" s="58"/>
      <c r="C20" s="171" t="s">
        <v>138</v>
      </c>
      <c r="D20" s="171"/>
      <c r="E20" s="172">
        <f>SUM(E8:E19)</f>
        <v>244710.51999999993</v>
      </c>
      <c r="F20" s="185">
        <f>AVERAGE(F8:F19)</f>
        <v>883.33333333333337</v>
      </c>
      <c r="G20" s="185" t="e">
        <f>AVERAGE(G8:G19)</f>
        <v>#DIV/0!</v>
      </c>
      <c r="H20" s="173" t="e">
        <f>AVERAGE(H8:H19)</f>
        <v>#DIV/0!</v>
      </c>
      <c r="I20" s="174"/>
      <c r="J20" s="173" t="e">
        <f>AVERAGE(J8:J11)</f>
        <v>#DIV/0!</v>
      </c>
      <c r="K20" s="174"/>
      <c r="L20" s="173" t="e">
        <f>AVERAGE(L8:L11)</f>
        <v>#DIV/0!</v>
      </c>
      <c r="M20" s="58"/>
      <c r="N20" s="171"/>
      <c r="O20" s="58"/>
      <c r="P20" s="58"/>
      <c r="Q20" s="58"/>
      <c r="R20" s="58"/>
      <c r="S20" s="58"/>
      <c r="T20" s="58"/>
      <c r="U20" s="58"/>
      <c r="V20" s="58"/>
      <c r="W20" s="58"/>
      <c r="X20" s="58"/>
      <c r="Y20" s="58"/>
      <c r="Z20" s="58"/>
    </row>
    <row r="21" spans="1:26" ht="15.75" customHeight="1">
      <c r="H21" s="315"/>
    </row>
    <row r="22" spans="1:26" ht="15.75" customHeight="1">
      <c r="C22" s="175" t="s">
        <v>139</v>
      </c>
      <c r="D22" s="176"/>
      <c r="E22" s="176"/>
      <c r="F22" s="177"/>
      <c r="G22" s="176"/>
      <c r="H22" s="176"/>
      <c r="I22" s="176"/>
      <c r="J22" s="176"/>
      <c r="K22" s="176"/>
      <c r="L22" s="176"/>
    </row>
    <row r="23" spans="1:26" ht="15.75" customHeight="1">
      <c r="C23" s="175" t="s">
        <v>140</v>
      </c>
      <c r="D23" s="176"/>
      <c r="E23" s="176"/>
      <c r="F23" s="176"/>
      <c r="G23" s="176"/>
      <c r="H23" s="176"/>
      <c r="I23" s="176"/>
      <c r="J23" s="176"/>
      <c r="K23" s="176"/>
      <c r="L23" s="176"/>
    </row>
    <row r="24" spans="1:26" ht="15.75" hidden="1" customHeight="1">
      <c r="C24" s="175" t="s">
        <v>141</v>
      </c>
      <c r="D24" s="176"/>
      <c r="E24" s="176"/>
      <c r="F24" s="176"/>
      <c r="G24" s="176"/>
      <c r="H24" s="176"/>
      <c r="I24" s="176"/>
      <c r="J24" s="176"/>
      <c r="K24" s="176"/>
      <c r="L24" s="176"/>
    </row>
    <row r="25" spans="1:26" ht="30.75" customHeight="1">
      <c r="C25" s="976" t="s">
        <v>142</v>
      </c>
      <c r="D25" s="948"/>
      <c r="E25" s="948"/>
      <c r="F25" s="948"/>
      <c r="G25" s="948"/>
      <c r="H25" s="948"/>
      <c r="I25" s="948"/>
      <c r="J25" s="948"/>
      <c r="K25" s="948"/>
      <c r="L25" s="948"/>
    </row>
    <row r="26" spans="1:26" ht="24" customHeight="1">
      <c r="C26" s="948"/>
      <c r="D26" s="948"/>
      <c r="E26" s="948"/>
      <c r="F26" s="948"/>
      <c r="G26" s="948"/>
      <c r="H26" s="948"/>
      <c r="I26" s="948"/>
      <c r="J26" s="948"/>
      <c r="K26" s="948"/>
      <c r="L26" s="948"/>
    </row>
    <row r="27" spans="1:26" ht="15.75" customHeight="1">
      <c r="C27" s="976"/>
      <c r="D27" s="948"/>
      <c r="E27" s="948"/>
      <c r="F27" s="948"/>
      <c r="G27" s="948"/>
      <c r="H27" s="948"/>
      <c r="I27" s="948"/>
      <c r="J27" s="948"/>
      <c r="K27" s="948"/>
      <c r="L27" s="948"/>
    </row>
    <row r="28" spans="1:26" ht="15.75" customHeight="1">
      <c r="C28" s="178"/>
    </row>
    <row r="29" spans="1:26" ht="15.75" customHeight="1">
      <c r="C29" s="178"/>
    </row>
    <row r="30" spans="1:26" ht="55.5" customHeight="1">
      <c r="C30" s="975" t="s">
        <v>143</v>
      </c>
      <c r="D30" s="948"/>
      <c r="E30" s="948"/>
      <c r="F30" s="948"/>
      <c r="G30" s="948"/>
      <c r="H30" s="948"/>
      <c r="I30" s="948"/>
    </row>
    <row r="31" spans="1:26" ht="15" customHeight="1">
      <c r="C31" s="179"/>
      <c r="D31" s="179"/>
      <c r="E31" s="179"/>
      <c r="F31" s="179"/>
      <c r="G31" s="179"/>
      <c r="H31" s="179"/>
    </row>
    <row r="32" spans="1:26" ht="15.75" customHeight="1">
      <c r="C32" s="180"/>
      <c r="D32" s="180"/>
      <c r="E32" s="180"/>
      <c r="F32" s="180"/>
      <c r="G32" s="180"/>
      <c r="H32" s="180"/>
    </row>
    <row r="33" spans="1:26" ht="78.75" customHeight="1">
      <c r="A33" s="58"/>
      <c r="B33" s="58"/>
      <c r="C33" s="158" t="s">
        <v>69</v>
      </c>
      <c r="D33" s="158" t="s">
        <v>70</v>
      </c>
      <c r="E33" s="158" t="s">
        <v>128</v>
      </c>
      <c r="F33" s="158" t="s">
        <v>144</v>
      </c>
      <c r="G33" s="158" t="s">
        <v>145</v>
      </c>
      <c r="H33" s="158" t="s">
        <v>146</v>
      </c>
      <c r="J33" s="58"/>
      <c r="N33" s="158" t="s">
        <v>136</v>
      </c>
    </row>
    <row r="34" spans="1:26" ht="15.75" customHeight="1">
      <c r="A34" s="3"/>
      <c r="B34" s="3"/>
      <c r="C34" s="71" t="str">
        <f>+C8</f>
        <v>MAYO</v>
      </c>
      <c r="D34" s="72">
        <v>2025</v>
      </c>
      <c r="E34" s="73">
        <f>+ACUMULADOS!Z2</f>
        <v>70186.919999999955</v>
      </c>
      <c r="F34" s="74">
        <f>+ACUMULADOS!AJ3</f>
        <v>34174.431926924743</v>
      </c>
      <c r="G34" s="74">
        <f ca="1">+ACUMULADOS!AE3</f>
        <v>32106.914449402222</v>
      </c>
      <c r="H34" s="77">
        <f t="shared" ref="H34:H45" ca="1" si="3">(+G34/F34)-1</f>
        <v>-6.0498956703757267E-2</v>
      </c>
      <c r="J34" s="3"/>
      <c r="N34" s="77">
        <v>0.1</v>
      </c>
    </row>
    <row r="35" spans="1:26" ht="15.75" customHeight="1">
      <c r="A35" s="3"/>
      <c r="B35" s="3"/>
      <c r="C35" s="71" t="str">
        <f>+C9</f>
        <v>JUNIO</v>
      </c>
      <c r="D35" s="72">
        <v>2025</v>
      </c>
      <c r="E35" s="73">
        <f>+ACUMULADOS!Z4</f>
        <v>104239.59999999998</v>
      </c>
      <c r="F35" s="74">
        <f>+ACUMULADOS!AJ5</f>
        <v>33811.815222247045</v>
      </c>
      <c r="G35" s="74">
        <f>+ACUMULADOS!AE5</f>
        <v>29204.471846982593</v>
      </c>
      <c r="H35" s="77">
        <f t="shared" si="3"/>
        <v>-0.13626430125032074</v>
      </c>
      <c r="J35" s="3"/>
      <c r="N35" s="77">
        <v>0.1</v>
      </c>
    </row>
    <row r="36" spans="1:26" ht="15.75" customHeight="1">
      <c r="A36" s="3"/>
      <c r="B36" s="3"/>
      <c r="C36" s="71" t="s">
        <v>49</v>
      </c>
      <c r="D36" s="72">
        <v>2025</v>
      </c>
      <c r="E36" s="73">
        <f>+ACUMULADOS!Z7</f>
        <v>70284</v>
      </c>
      <c r="F36" s="74">
        <f>+ACUMULADOS!AJ8</f>
        <v>33759.479166666664</v>
      </c>
      <c r="G36" s="74" t="e">
        <f>+ACUMULADOS!AE8</f>
        <v>#VALUE!</v>
      </c>
      <c r="H36" s="77" t="e">
        <f t="shared" si="3"/>
        <v>#VALUE!</v>
      </c>
      <c r="J36" s="3"/>
      <c r="N36" s="77">
        <v>0.05</v>
      </c>
    </row>
    <row r="37" spans="1:26" ht="15.75" customHeight="1">
      <c r="A37" s="3"/>
      <c r="B37" s="3"/>
      <c r="C37" s="71" t="s">
        <v>90</v>
      </c>
      <c r="D37" s="72">
        <v>2025</v>
      </c>
      <c r="E37" s="73">
        <f>+ACUMULADOS!Z10</f>
        <v>0</v>
      </c>
      <c r="F37" s="74" t="e">
        <f>+ACUMULADOS!AJ11</f>
        <v>#DIV/0!</v>
      </c>
      <c r="G37" s="74" t="e">
        <f>+ACUMULADOS!AE11</f>
        <v>#VALUE!</v>
      </c>
      <c r="H37" s="77" t="e">
        <f t="shared" si="3"/>
        <v>#VALUE!</v>
      </c>
      <c r="J37" s="3"/>
      <c r="N37" s="77">
        <v>0.05</v>
      </c>
    </row>
    <row r="38" spans="1:26" ht="15.75" customHeight="1">
      <c r="A38" s="3"/>
      <c r="B38" s="3"/>
      <c r="C38" s="71" t="s">
        <v>51</v>
      </c>
      <c r="D38" s="72">
        <v>2025</v>
      </c>
      <c r="E38" s="73">
        <f>+ACUMULADOS!Z13</f>
        <v>0</v>
      </c>
      <c r="F38" s="74" t="e">
        <f>+ACUMULADOS!AJ14</f>
        <v>#DIV/0!</v>
      </c>
      <c r="G38" s="74" t="e">
        <f>+ACUMULADOS!AE14</f>
        <v>#VALUE!</v>
      </c>
      <c r="H38" s="77" t="e">
        <f t="shared" si="3"/>
        <v>#VALUE!</v>
      </c>
      <c r="J38" s="3"/>
      <c r="K38" s="58"/>
      <c r="L38" s="58"/>
      <c r="M38" s="58"/>
      <c r="N38" s="77">
        <v>0.1</v>
      </c>
      <c r="O38" s="58"/>
      <c r="P38" s="58"/>
      <c r="Q38" s="58"/>
      <c r="R38" s="58"/>
      <c r="S38" s="58"/>
      <c r="T38" s="58"/>
      <c r="U38" s="58"/>
      <c r="V38" s="58"/>
      <c r="W38" s="58"/>
      <c r="X38" s="58"/>
      <c r="Y38" s="58"/>
      <c r="Z38" s="58"/>
    </row>
    <row r="39" spans="1:26" ht="15.75" customHeight="1">
      <c r="A39" s="3"/>
      <c r="B39" s="3"/>
      <c r="C39" s="71" t="s">
        <v>52</v>
      </c>
      <c r="D39" s="72">
        <v>2025</v>
      </c>
      <c r="E39" s="73">
        <f>+ACUMULADOS!Z16</f>
        <v>0</v>
      </c>
      <c r="F39" s="74" t="e">
        <f>+ACUMULADOS!AJ17</f>
        <v>#DIV/0!</v>
      </c>
      <c r="G39" s="74" t="e">
        <f>+ACUMULADOS!AE17</f>
        <v>#VALUE!</v>
      </c>
      <c r="H39" s="77" t="e">
        <f t="shared" si="3"/>
        <v>#VALUE!</v>
      </c>
      <c r="J39" s="3"/>
      <c r="K39" s="58"/>
      <c r="L39" s="58"/>
      <c r="M39" s="58"/>
      <c r="N39" s="77">
        <v>0.1</v>
      </c>
      <c r="O39" s="58"/>
      <c r="P39" s="58"/>
      <c r="Q39" s="58"/>
      <c r="R39" s="58"/>
      <c r="S39" s="58"/>
      <c r="T39" s="58"/>
      <c r="U39" s="58"/>
      <c r="V39" s="58"/>
      <c r="W39" s="58"/>
      <c r="X39" s="58"/>
      <c r="Y39" s="58"/>
      <c r="Z39" s="58"/>
    </row>
    <row r="40" spans="1:26" ht="15.75" customHeight="1">
      <c r="A40" s="58"/>
      <c r="B40" s="58"/>
      <c r="C40" s="71" t="s">
        <v>53</v>
      </c>
      <c r="D40" s="72">
        <v>2025</v>
      </c>
      <c r="E40" s="73">
        <f>+ACUMULADOS!Z19</f>
        <v>0</v>
      </c>
      <c r="F40" s="74" t="e">
        <f>+ACUMULADOS!AJ20</f>
        <v>#DIV/0!</v>
      </c>
      <c r="G40" s="74" t="e">
        <f>+ACUMULADOS!AE20</f>
        <v>#VALUE!</v>
      </c>
      <c r="H40" s="77" t="e">
        <f t="shared" si="3"/>
        <v>#VALUE!</v>
      </c>
      <c r="J40" s="58"/>
      <c r="K40" s="58"/>
      <c r="L40" s="58"/>
      <c r="M40" s="58"/>
      <c r="N40" s="77">
        <v>0.1</v>
      </c>
      <c r="O40" s="58"/>
      <c r="P40" s="58"/>
      <c r="Q40" s="58"/>
      <c r="R40" s="58"/>
      <c r="S40" s="58"/>
      <c r="T40" s="58"/>
      <c r="U40" s="58"/>
      <c r="V40" s="58"/>
      <c r="W40" s="58"/>
      <c r="X40" s="58"/>
      <c r="Y40" s="58"/>
      <c r="Z40" s="58"/>
    </row>
    <row r="41" spans="1:26" ht="15.75" customHeight="1">
      <c r="C41" s="71" t="s">
        <v>58</v>
      </c>
      <c r="D41" s="72">
        <v>2025</v>
      </c>
      <c r="E41" s="73">
        <f>+ACUMULADOS!Z22</f>
        <v>0</v>
      </c>
      <c r="F41" s="74" t="e">
        <f>+ACUMULADOS!AJ23</f>
        <v>#DIV/0!</v>
      </c>
      <c r="G41" s="74" t="e">
        <f>+ACUMULADOS!AE23</f>
        <v>#VALUE!</v>
      </c>
      <c r="H41" s="77" t="e">
        <f t="shared" si="3"/>
        <v>#VALUE!</v>
      </c>
      <c r="N41" s="77">
        <v>0.1</v>
      </c>
    </row>
    <row r="42" spans="1:26" ht="15.75" customHeight="1">
      <c r="A42" s="58"/>
      <c r="B42" s="58"/>
      <c r="C42" s="71" t="s">
        <v>60</v>
      </c>
      <c r="D42" s="72">
        <v>2026</v>
      </c>
      <c r="E42" s="73">
        <f>+ACUMULADOS!Z25</f>
        <v>0</v>
      </c>
      <c r="F42" s="74" t="e">
        <f>+ACUMULADOS!AJ26</f>
        <v>#DIV/0!</v>
      </c>
      <c r="G42" s="74" t="e">
        <f>+ACUMULADOS!AE26</f>
        <v>#VALUE!</v>
      </c>
      <c r="H42" s="77" t="e">
        <f t="shared" si="3"/>
        <v>#VALUE!</v>
      </c>
      <c r="J42" s="58"/>
      <c r="K42" s="58"/>
      <c r="L42" s="58"/>
      <c r="M42" s="58"/>
      <c r="N42" s="77">
        <v>0.1</v>
      </c>
      <c r="O42" s="58"/>
      <c r="P42" s="58"/>
      <c r="Q42" s="58"/>
      <c r="R42" s="58"/>
      <c r="S42" s="58"/>
      <c r="T42" s="58"/>
      <c r="U42" s="58"/>
      <c r="V42" s="58"/>
      <c r="W42" s="58"/>
      <c r="X42" s="58"/>
      <c r="Y42" s="58"/>
      <c r="Z42" s="58"/>
    </row>
    <row r="43" spans="1:26" ht="15.75" customHeight="1">
      <c r="A43" s="58"/>
      <c r="B43" s="58"/>
      <c r="C43" s="71" t="s">
        <v>61</v>
      </c>
      <c r="D43" s="72">
        <v>2026</v>
      </c>
      <c r="E43" s="73">
        <f>+ACUMULADOS!Z28</f>
        <v>0</v>
      </c>
      <c r="F43" s="74" t="e">
        <f>+ACUMULADOS!AJ29</f>
        <v>#DIV/0!</v>
      </c>
      <c r="G43" s="74" t="e">
        <f>+ACUMULADOS!AE29</f>
        <v>#VALUE!</v>
      </c>
      <c r="H43" s="77" t="e">
        <f t="shared" si="3"/>
        <v>#VALUE!</v>
      </c>
      <c r="J43" s="58"/>
      <c r="K43" s="58"/>
      <c r="L43" s="58"/>
      <c r="M43" s="58"/>
      <c r="N43" s="77">
        <v>0.1</v>
      </c>
      <c r="O43" s="58"/>
      <c r="P43" s="58"/>
      <c r="Q43" s="58"/>
      <c r="R43" s="58"/>
      <c r="S43" s="58"/>
      <c r="T43" s="58"/>
      <c r="U43" s="58"/>
      <c r="V43" s="58"/>
      <c r="W43" s="58"/>
      <c r="X43" s="58"/>
      <c r="Y43" s="58"/>
      <c r="Z43" s="58"/>
    </row>
    <row r="44" spans="1:26" ht="15.75" customHeight="1">
      <c r="A44" s="58"/>
      <c r="B44" s="58"/>
      <c r="C44" s="71" t="s">
        <v>137</v>
      </c>
      <c r="D44" s="72">
        <v>2026</v>
      </c>
      <c r="E44" s="73">
        <f>+ACUMULADOS!Z31</f>
        <v>0</v>
      </c>
      <c r="F44" s="74" t="e">
        <f>+ACUMULADOS!AJ32</f>
        <v>#DIV/0!</v>
      </c>
      <c r="G44" s="74" t="e">
        <f>+ACUMULADOS!AE32</f>
        <v>#VALUE!</v>
      </c>
      <c r="H44" s="77" t="e">
        <f t="shared" si="3"/>
        <v>#VALUE!</v>
      </c>
      <c r="J44" s="58"/>
      <c r="K44" s="58"/>
      <c r="L44" s="58"/>
      <c r="M44" s="58"/>
      <c r="N44" s="77">
        <v>0.1</v>
      </c>
      <c r="O44" s="58"/>
      <c r="P44" s="58"/>
      <c r="Q44" s="58"/>
      <c r="R44" s="58"/>
      <c r="S44" s="58"/>
      <c r="T44" s="58"/>
      <c r="U44" s="58"/>
      <c r="V44" s="58"/>
      <c r="W44" s="58"/>
      <c r="X44" s="58"/>
      <c r="Y44" s="58"/>
      <c r="Z44" s="58"/>
    </row>
    <row r="45" spans="1:26" ht="15.75" customHeight="1">
      <c r="A45" s="58"/>
      <c r="B45" s="58"/>
      <c r="C45" s="181" t="s">
        <v>94</v>
      </c>
      <c r="D45" s="72">
        <v>2026</v>
      </c>
      <c r="E45" s="73">
        <f>+ACUMULADOS!Z34</f>
        <v>0</v>
      </c>
      <c r="F45" s="182" t="e">
        <f>+ACUMULADOS!AJ35</f>
        <v>#DIV/0!</v>
      </c>
      <c r="G45" s="182" t="e">
        <f>+ACUMULADOS!AE35</f>
        <v>#VALUE!</v>
      </c>
      <c r="H45" s="77" t="e">
        <f t="shared" si="3"/>
        <v>#VALUE!</v>
      </c>
      <c r="J45" s="58"/>
      <c r="K45" s="58"/>
      <c r="L45" s="58"/>
      <c r="M45" s="58"/>
      <c r="N45" s="77">
        <v>0.1</v>
      </c>
      <c r="O45" s="58"/>
      <c r="P45" s="58"/>
      <c r="Q45" s="58"/>
      <c r="R45" s="58"/>
      <c r="S45" s="58"/>
      <c r="T45" s="58"/>
      <c r="U45" s="58"/>
      <c r="V45" s="58"/>
      <c r="W45" s="58"/>
      <c r="X45" s="58"/>
      <c r="Y45" s="58"/>
      <c r="Z45" s="58"/>
    </row>
    <row r="46" spans="1:26" ht="24" customHeight="1">
      <c r="C46" s="183" t="s">
        <v>138</v>
      </c>
      <c r="D46" s="184"/>
      <c r="E46" s="172">
        <f>SUM(E34:E45)</f>
        <v>244710.51999999993</v>
      </c>
      <c r="F46" s="185" t="e">
        <f>AVERAGE(F34:F45)</f>
        <v>#DIV/0!</v>
      </c>
      <c r="G46" s="185" t="e">
        <f ca="1">AVERAGE(G34:G45)</f>
        <v>#VALUE!</v>
      </c>
      <c r="H46" s="173" t="e">
        <f ca="1">(+G46/F46)-1</f>
        <v>#VALUE!</v>
      </c>
      <c r="N46" s="173">
        <f>AVERAGE(N34:N43)</f>
        <v>0.09</v>
      </c>
    </row>
    <row r="47" spans="1:26" ht="15.75" customHeight="1"/>
    <row r="48" spans="1:26" ht="15.75" customHeight="1">
      <c r="F48" s="103"/>
    </row>
    <row r="49" spans="3:14" ht="15.75" customHeight="1">
      <c r="C49" s="175" t="s">
        <v>139</v>
      </c>
      <c r="G49" s="64"/>
      <c r="H49" s="64"/>
    </row>
    <row r="50" spans="3:14" ht="15.75" customHeight="1">
      <c r="C50" s="175" t="s">
        <v>147</v>
      </c>
    </row>
    <row r="51" spans="3:14" ht="38.25" customHeight="1">
      <c r="C51" s="976" t="s">
        <v>148</v>
      </c>
      <c r="D51" s="948"/>
      <c r="E51" s="948"/>
      <c r="F51" s="948"/>
      <c r="G51" s="948"/>
      <c r="H51" s="948"/>
      <c r="I51" s="948"/>
      <c r="J51" s="948"/>
      <c r="K51" s="948"/>
      <c r="L51" s="948"/>
      <c r="M51" s="948"/>
      <c r="N51" s="948"/>
    </row>
    <row r="52" spans="3:14" ht="15.75" customHeight="1">
      <c r="C52" s="175" t="s">
        <v>149</v>
      </c>
    </row>
    <row r="53" spans="3:14" ht="15.75" customHeight="1"/>
    <row r="54" spans="3:14" ht="15.75" customHeight="1"/>
    <row r="55" spans="3:14" ht="15.75" customHeight="1"/>
    <row r="56" spans="3:14" ht="15.75" customHeight="1"/>
    <row r="57" spans="3:14" ht="15.75" customHeight="1">
      <c r="G57" s="105"/>
    </row>
    <row r="58" spans="3:14" ht="15.75" customHeight="1"/>
    <row r="59" spans="3:14" ht="15.75" customHeight="1"/>
    <row r="60" spans="3:14" ht="15.75" customHeight="1"/>
    <row r="61" spans="3:14" ht="15.75" customHeight="1"/>
    <row r="62" spans="3:14" ht="15.75" customHeight="1"/>
    <row r="63" spans="3:14" ht="15.75" customHeight="1"/>
    <row r="64" spans="3: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3:H3"/>
    <mergeCell ref="C25:L26"/>
    <mergeCell ref="C27:L27"/>
    <mergeCell ref="C30:I30"/>
    <mergeCell ref="C51:N51"/>
  </mergeCells>
  <printOptions horizontalCentered="1" verticalCentered="1"/>
  <pageMargins left="0.70866141732283472" right="0.70866141732283472" top="0.74803149606299213" bottom="0.74803149606299213" header="0" footer="0"/>
  <pageSetup paperSize="9" scale="24"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3:Z936"/>
  <sheetViews>
    <sheetView topLeftCell="A6" workbookViewId="0">
      <selection activeCell="C18" sqref="C18"/>
    </sheetView>
  </sheetViews>
  <sheetFormatPr baseColWidth="10" defaultColWidth="14.42578125" defaultRowHeight="15" customHeight="1"/>
  <cols>
    <col min="1" max="2" width="10.7109375" style="316" customWidth="1"/>
    <col min="3" max="3" width="25.5703125" style="316" customWidth="1"/>
    <col min="4" max="4" width="21.140625" style="316" customWidth="1"/>
    <col min="5" max="5" width="16.7109375" style="316" customWidth="1"/>
    <col min="6" max="6" width="16.5703125" style="316" customWidth="1"/>
    <col min="7" max="7" width="17.28515625" style="316" customWidth="1"/>
    <col min="8" max="8" width="15.42578125" style="316" customWidth="1"/>
    <col min="9" max="10" width="10.7109375" style="316" customWidth="1"/>
    <col min="11" max="11" width="34.7109375" style="316" customWidth="1"/>
    <col min="12" max="12" width="10.7109375" style="316" customWidth="1"/>
    <col min="13" max="13" width="15.28515625" style="316" customWidth="1"/>
    <col min="14" max="16" width="10.7109375" style="316" customWidth="1"/>
    <col min="17" max="17" width="31.28515625" style="316" customWidth="1"/>
    <col min="18" max="18" width="16.140625" style="316" customWidth="1"/>
    <col min="19" max="19" width="20.28515625" style="316" customWidth="1"/>
    <col min="20" max="20" width="20.140625" style="316" customWidth="1"/>
    <col min="21" max="21" width="30.85546875" style="316" customWidth="1"/>
    <col min="22" max="16384" width="14.42578125" style="316"/>
  </cols>
  <sheetData>
    <row r="3" spans="1:26">
      <c r="B3" s="984" t="s">
        <v>155</v>
      </c>
      <c r="C3" s="964"/>
      <c r="D3" s="964"/>
      <c r="E3" s="964"/>
      <c r="F3" s="964"/>
      <c r="G3" s="964"/>
      <c r="H3" s="964"/>
      <c r="I3" s="964"/>
      <c r="J3" s="189"/>
      <c r="K3" s="189"/>
      <c r="L3" s="189"/>
      <c r="M3" s="189"/>
    </row>
    <row r="5" spans="1:26" ht="15" customHeight="1" thickBot="1"/>
    <row r="6" spans="1:26" ht="45.75" thickBot="1">
      <c r="C6" s="360" t="s">
        <v>69</v>
      </c>
      <c r="D6" s="360" t="s">
        <v>70</v>
      </c>
      <c r="E6" s="360" t="s">
        <v>156</v>
      </c>
      <c r="F6" s="360" t="s">
        <v>157</v>
      </c>
      <c r="G6" s="360" t="s">
        <v>158</v>
      </c>
      <c r="H6" s="360" t="s">
        <v>159</v>
      </c>
    </row>
    <row r="7" spans="1:26">
      <c r="C7" s="361" t="s">
        <v>43</v>
      </c>
      <c r="D7" s="366">
        <v>2026</v>
      </c>
      <c r="E7" s="362">
        <f>+ACUMULADOS!B2</f>
        <v>114</v>
      </c>
      <c r="F7" s="336">
        <f>+E7-G7-H7</f>
        <v>114</v>
      </c>
      <c r="G7" s="363"/>
      <c r="H7" s="364"/>
    </row>
    <row r="8" spans="1:26">
      <c r="C8" s="365" t="s">
        <v>48</v>
      </c>
      <c r="D8" s="366">
        <v>2026</v>
      </c>
      <c r="E8" s="367">
        <f>+ACUMULADOS!B4</f>
        <v>148</v>
      </c>
      <c r="F8" s="336">
        <f t="shared" ref="F8:F18" si="0">+E8-G8-H8</f>
        <v>148</v>
      </c>
      <c r="G8" s="368"/>
      <c r="H8" s="369"/>
    </row>
    <row r="9" spans="1:26">
      <c r="A9" s="223"/>
      <c r="B9" s="223"/>
      <c r="C9" s="365" t="s">
        <v>49</v>
      </c>
      <c r="D9" s="366">
        <v>2026</v>
      </c>
      <c r="E9" s="367">
        <f>+ACUMULADOS!B7</f>
        <v>96</v>
      </c>
      <c r="F9" s="336">
        <f t="shared" si="0"/>
        <v>96</v>
      </c>
      <c r="G9" s="368"/>
      <c r="H9" s="369"/>
      <c r="L9" s="223"/>
      <c r="M9" s="223"/>
      <c r="N9" s="223"/>
      <c r="O9" s="223"/>
      <c r="P9" s="223"/>
      <c r="Q9" s="223"/>
      <c r="R9" s="223"/>
      <c r="S9" s="223"/>
      <c r="T9" s="223"/>
      <c r="U9" s="223"/>
      <c r="V9" s="223"/>
      <c r="W9" s="223"/>
      <c r="X9" s="223"/>
      <c r="Y9" s="223"/>
      <c r="Z9" s="223"/>
    </row>
    <row r="10" spans="1:26">
      <c r="A10" s="223"/>
      <c r="B10" s="223"/>
      <c r="C10" s="365" t="s">
        <v>90</v>
      </c>
      <c r="D10" s="366">
        <v>2026</v>
      </c>
      <c r="E10" s="367">
        <f>+ACUMULADOS!B10</f>
        <v>0</v>
      </c>
      <c r="F10" s="336">
        <f t="shared" si="0"/>
        <v>0</v>
      </c>
      <c r="G10" s="368"/>
      <c r="H10" s="369"/>
      <c r="L10" s="223"/>
      <c r="M10" s="223"/>
      <c r="N10" s="223"/>
      <c r="O10" s="223"/>
      <c r="P10" s="223"/>
      <c r="Q10" s="223"/>
      <c r="R10" s="223"/>
      <c r="S10" s="223"/>
      <c r="T10" s="223"/>
      <c r="U10" s="223"/>
      <c r="V10" s="223"/>
      <c r="W10" s="223"/>
      <c r="X10" s="223"/>
      <c r="Y10" s="223"/>
      <c r="Z10" s="223"/>
    </row>
    <row r="11" spans="1:26">
      <c r="A11" s="223"/>
      <c r="B11" s="223"/>
      <c r="C11" s="365" t="s">
        <v>51</v>
      </c>
      <c r="D11" s="366">
        <v>2026</v>
      </c>
      <c r="E11" s="367">
        <f>+ACUMULADOS!B13</f>
        <v>0</v>
      </c>
      <c r="F11" s="336">
        <f t="shared" si="0"/>
        <v>0</v>
      </c>
      <c r="G11" s="368"/>
      <c r="H11" s="369"/>
      <c r="L11" s="223"/>
      <c r="M11" s="223"/>
      <c r="N11" s="223"/>
      <c r="O11" s="223"/>
      <c r="P11" s="223"/>
      <c r="Q11" s="223"/>
      <c r="R11" s="223"/>
      <c r="S11" s="223"/>
      <c r="T11" s="223"/>
      <c r="U11" s="223"/>
      <c r="V11" s="223"/>
      <c r="W11" s="223"/>
      <c r="X11" s="223"/>
      <c r="Y11" s="223"/>
      <c r="Z11" s="223"/>
    </row>
    <row r="12" spans="1:26">
      <c r="A12" s="223"/>
      <c r="B12" s="223"/>
      <c r="C12" s="365" t="s">
        <v>52</v>
      </c>
      <c r="D12" s="366">
        <v>2026</v>
      </c>
      <c r="E12" s="367">
        <f>+ACUMULADOS!B16</f>
        <v>0</v>
      </c>
      <c r="F12" s="336">
        <f t="shared" si="0"/>
        <v>0</v>
      </c>
      <c r="G12" s="368"/>
      <c r="H12" s="369"/>
      <c r="L12" s="223"/>
      <c r="M12" s="223"/>
      <c r="N12" s="223"/>
      <c r="O12" s="223"/>
      <c r="P12" s="223"/>
      <c r="Q12" s="223"/>
      <c r="R12" s="223"/>
      <c r="S12" s="223"/>
      <c r="T12" s="223"/>
      <c r="U12" s="223"/>
      <c r="V12" s="223"/>
      <c r="W12" s="223"/>
      <c r="X12" s="223"/>
      <c r="Y12" s="223"/>
      <c r="Z12" s="223"/>
    </row>
    <row r="13" spans="1:26">
      <c r="A13" s="223"/>
      <c r="B13" s="223"/>
      <c r="C13" s="365" t="s">
        <v>53</v>
      </c>
      <c r="D13" s="366">
        <v>2026</v>
      </c>
      <c r="E13" s="367">
        <f>+ACUMULADOS!B19</f>
        <v>0</v>
      </c>
      <c r="F13" s="336">
        <f t="shared" si="0"/>
        <v>0</v>
      </c>
      <c r="G13" s="368"/>
      <c r="H13" s="369"/>
      <c r="L13" s="223"/>
      <c r="M13" s="223"/>
      <c r="N13" s="223"/>
      <c r="O13" s="223"/>
      <c r="P13" s="223"/>
      <c r="Q13" s="223"/>
      <c r="R13" s="223"/>
      <c r="S13" s="223"/>
      <c r="T13" s="223"/>
      <c r="U13" s="223"/>
      <c r="V13" s="223"/>
      <c r="W13" s="223"/>
      <c r="X13" s="223"/>
      <c r="Y13" s="223"/>
      <c r="Z13" s="223"/>
    </row>
    <row r="14" spans="1:26">
      <c r="A14" s="223"/>
      <c r="B14" s="223"/>
      <c r="C14" s="365" t="s">
        <v>58</v>
      </c>
      <c r="D14" s="366">
        <v>2026</v>
      </c>
      <c r="E14" s="367">
        <f>+ACUMULADOS!B22</f>
        <v>0</v>
      </c>
      <c r="F14" s="336">
        <f t="shared" si="0"/>
        <v>0</v>
      </c>
      <c r="G14" s="368"/>
      <c r="H14" s="369"/>
      <c r="L14" s="223"/>
      <c r="M14" s="223"/>
      <c r="N14" s="223"/>
      <c r="O14" s="223"/>
      <c r="P14" s="223"/>
      <c r="Q14" s="223"/>
      <c r="R14" s="223"/>
      <c r="S14" s="223"/>
      <c r="T14" s="223"/>
      <c r="U14" s="223"/>
      <c r="V14" s="223"/>
      <c r="W14" s="223"/>
      <c r="X14" s="223"/>
      <c r="Y14" s="223"/>
      <c r="Z14" s="223"/>
    </row>
    <row r="15" spans="1:26">
      <c r="A15" s="223"/>
      <c r="B15" s="223"/>
      <c r="C15" s="365" t="s">
        <v>91</v>
      </c>
      <c r="D15" s="366">
        <v>2027</v>
      </c>
      <c r="E15" s="367">
        <f>+ACUMULADOS!B25</f>
        <v>0</v>
      </c>
      <c r="F15" s="336">
        <f t="shared" si="0"/>
        <v>0</v>
      </c>
      <c r="G15" s="368"/>
      <c r="H15" s="369"/>
      <c r="L15" s="223"/>
      <c r="M15" s="223"/>
      <c r="N15" s="223"/>
      <c r="O15" s="223"/>
      <c r="P15" s="223"/>
      <c r="Q15" s="223"/>
      <c r="R15" s="223"/>
      <c r="S15" s="223"/>
      <c r="T15" s="223"/>
      <c r="U15" s="223"/>
      <c r="V15" s="223"/>
      <c r="W15" s="223"/>
      <c r="X15" s="223"/>
      <c r="Y15" s="223"/>
      <c r="Z15" s="223"/>
    </row>
    <row r="16" spans="1:26">
      <c r="A16" s="223"/>
      <c r="B16" s="223"/>
      <c r="C16" s="365" t="s">
        <v>92</v>
      </c>
      <c r="D16" s="366">
        <v>2027</v>
      </c>
      <c r="E16" s="367">
        <f>+ACUMULADOS!B28</f>
        <v>0</v>
      </c>
      <c r="F16" s="336">
        <f t="shared" si="0"/>
        <v>0</v>
      </c>
      <c r="G16" s="368"/>
      <c r="H16" s="369"/>
      <c r="L16" s="223"/>
      <c r="M16" s="223"/>
      <c r="N16" s="223"/>
      <c r="O16" s="223"/>
      <c r="P16" s="223"/>
      <c r="Q16" s="223"/>
      <c r="R16" s="223"/>
      <c r="S16" s="223"/>
      <c r="T16" s="223"/>
      <c r="U16" s="223"/>
      <c r="V16" s="223"/>
      <c r="W16" s="223"/>
      <c r="X16" s="223"/>
      <c r="Y16" s="223"/>
      <c r="Z16" s="223"/>
    </row>
    <row r="17" spans="1:26">
      <c r="A17" s="223"/>
      <c r="B17" s="223"/>
      <c r="C17" s="365" t="s">
        <v>137</v>
      </c>
      <c r="D17" s="366">
        <v>2027</v>
      </c>
      <c r="E17" s="367">
        <f>+ACUMULADOS!B31</f>
        <v>0</v>
      </c>
      <c r="F17" s="336">
        <f t="shared" si="0"/>
        <v>0</v>
      </c>
      <c r="G17" s="368"/>
      <c r="H17" s="369"/>
      <c r="L17" s="223"/>
      <c r="M17" s="223"/>
      <c r="N17" s="223"/>
      <c r="O17" s="223"/>
      <c r="P17" s="223"/>
      <c r="Q17" s="223"/>
      <c r="R17" s="223"/>
      <c r="S17" s="223"/>
      <c r="T17" s="223"/>
      <c r="U17" s="223"/>
      <c r="V17" s="223"/>
      <c r="W17" s="223"/>
      <c r="X17" s="223"/>
      <c r="Y17" s="223"/>
      <c r="Z17" s="223"/>
    </row>
    <row r="18" spans="1:26" ht="15.75" thickBot="1">
      <c r="A18" s="223"/>
      <c r="B18" s="223"/>
      <c r="C18" s="365" t="s">
        <v>94</v>
      </c>
      <c r="D18" s="366">
        <v>2027</v>
      </c>
      <c r="E18" s="367">
        <f>+ACUMULADOS!B34</f>
        <v>0</v>
      </c>
      <c r="F18" s="336">
        <f t="shared" si="0"/>
        <v>0</v>
      </c>
      <c r="G18" s="368"/>
      <c r="H18" s="369"/>
      <c r="L18" s="223"/>
      <c r="M18" s="223"/>
      <c r="N18" s="223"/>
      <c r="O18" s="223"/>
      <c r="P18" s="223"/>
      <c r="Q18" s="223"/>
      <c r="R18" s="223"/>
      <c r="S18" s="223"/>
      <c r="T18" s="223"/>
      <c r="U18" s="223"/>
      <c r="V18" s="223"/>
      <c r="W18" s="223"/>
      <c r="X18" s="223"/>
      <c r="Y18" s="223"/>
      <c r="Z18" s="223"/>
    </row>
    <row r="19" spans="1:26" ht="15.75" thickBot="1">
      <c r="C19" s="985" t="s">
        <v>138</v>
      </c>
      <c r="D19" s="986"/>
      <c r="E19" s="370">
        <f>SUM(E7:E18)</f>
        <v>358</v>
      </c>
      <c r="F19" s="370">
        <f>SUM(F7:F18)</f>
        <v>358</v>
      </c>
      <c r="G19" s="370">
        <f>SUM(G7:G18)</f>
        <v>0</v>
      </c>
      <c r="H19" s="370">
        <f>SUM(H7:H18)</f>
        <v>0</v>
      </c>
    </row>
    <row r="20" spans="1:26" ht="15.75" customHeight="1" thickBot="1">
      <c r="C20" s="985"/>
      <c r="D20" s="986"/>
      <c r="E20" s="371">
        <f>+E19/E19</f>
        <v>1</v>
      </c>
      <c r="F20" s="372">
        <f>+F19/E19</f>
        <v>1</v>
      </c>
      <c r="G20" s="358">
        <f>G19/E19</f>
        <v>0</v>
      </c>
      <c r="H20" s="373">
        <f>+H19/E19</f>
        <v>0</v>
      </c>
    </row>
    <row r="21" spans="1:26" ht="15.75" customHeight="1"/>
    <row r="22" spans="1:26" ht="15.75" customHeight="1">
      <c r="C22" s="223" t="s">
        <v>160</v>
      </c>
      <c r="E22" s="223"/>
    </row>
    <row r="23" spans="1:26" ht="15.75" customHeight="1">
      <c r="C23" s="223" t="s">
        <v>161</v>
      </c>
    </row>
    <row r="24" spans="1:26" ht="15.75" customHeight="1"/>
    <row r="25" spans="1:26" ht="15.75" customHeight="1">
      <c r="C25" s="189" t="s">
        <v>162</v>
      </c>
      <c r="D25" s="189"/>
      <c r="E25" s="189"/>
      <c r="F25" s="189"/>
    </row>
    <row r="26" spans="1:26" ht="15.75" customHeight="1"/>
    <row r="27" spans="1:26" ht="42.75" customHeight="1">
      <c r="C27" s="987" t="s">
        <v>163</v>
      </c>
      <c r="D27" s="951"/>
      <c r="E27" s="190" t="s">
        <v>164</v>
      </c>
      <c r="F27" s="191" t="s">
        <v>165</v>
      </c>
    </row>
    <row r="28" spans="1:26" ht="15.75" customHeight="1">
      <c r="C28" s="988" t="s">
        <v>166</v>
      </c>
      <c r="D28" s="989"/>
      <c r="E28" s="192"/>
      <c r="F28" s="193">
        <f>+(E28/$E$32)</f>
        <v>0</v>
      </c>
    </row>
    <row r="29" spans="1:26" ht="15.75" customHeight="1">
      <c r="C29" s="981" t="s">
        <v>167</v>
      </c>
      <c r="D29" s="982"/>
      <c r="E29" s="194"/>
      <c r="F29" s="195">
        <f>+(E29/$E$32)</f>
        <v>0</v>
      </c>
    </row>
    <row r="30" spans="1:26" ht="15.75" customHeight="1">
      <c r="C30" s="983" t="s">
        <v>168</v>
      </c>
      <c r="D30" s="982"/>
      <c r="E30" s="194"/>
      <c r="F30" s="195">
        <f>+(E30/$E$32)</f>
        <v>0</v>
      </c>
    </row>
    <row r="31" spans="1:26" ht="15.75" customHeight="1">
      <c r="C31" s="977" t="s">
        <v>169</v>
      </c>
      <c r="D31" s="978"/>
      <c r="E31" s="196">
        <v>2</v>
      </c>
      <c r="F31" s="197">
        <f>+(E31/$E$32)</f>
        <v>1</v>
      </c>
    </row>
    <row r="32" spans="1:26" ht="15.75" customHeight="1">
      <c r="C32" s="979" t="s">
        <v>138</v>
      </c>
      <c r="D32" s="980"/>
      <c r="E32" s="190">
        <f>SUM(E28:E31)</f>
        <v>2</v>
      </c>
      <c r="F32" s="198">
        <f>+(E32/$E$32)</f>
        <v>1</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sheetData>
  <mergeCells count="9">
    <mergeCell ref="C31:D31"/>
    <mergeCell ref="C32:D32"/>
    <mergeCell ref="C29:D29"/>
    <mergeCell ref="C30:D30"/>
    <mergeCell ref="B3:I3"/>
    <mergeCell ref="C19:D19"/>
    <mergeCell ref="C20:D20"/>
    <mergeCell ref="C27:D27"/>
    <mergeCell ref="C28:D28"/>
  </mergeCells>
  <printOptions horizontalCentered="1" verticalCentered="1"/>
  <pageMargins left="0" right="0" top="0" bottom="0" header="0" footer="0"/>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D1964"/>
  <sheetViews>
    <sheetView topLeftCell="A747" workbookViewId="0">
      <selection activeCell="B732" sqref="B732:B753"/>
    </sheetView>
  </sheetViews>
  <sheetFormatPr baseColWidth="10" defaultColWidth="14.42578125" defaultRowHeight="15" customHeight="1"/>
  <cols>
    <col min="1" max="1" width="11.42578125" customWidth="1"/>
    <col min="2" max="2" width="16" style="384" customWidth="1"/>
    <col min="3" max="26" width="10.7109375" customWidth="1"/>
  </cols>
  <sheetData>
    <row r="1" spans="1:4">
      <c r="A1" s="229" t="s">
        <v>217</v>
      </c>
      <c r="B1" s="230" t="s">
        <v>218</v>
      </c>
    </row>
    <row r="2" spans="1:4">
      <c r="A2" s="228">
        <v>45413</v>
      </c>
      <c r="B2" s="231">
        <v>21320</v>
      </c>
      <c r="D2" s="232">
        <v>21320</v>
      </c>
    </row>
    <row r="3" spans="1:4">
      <c r="A3" s="228">
        <v>45414</v>
      </c>
      <c r="B3" s="231">
        <v>21275</v>
      </c>
      <c r="D3" s="232">
        <v>21275</v>
      </c>
    </row>
    <row r="4" spans="1:4">
      <c r="A4" s="228">
        <v>45415</v>
      </c>
      <c r="B4" s="231">
        <v>21230</v>
      </c>
      <c r="D4" s="232">
        <v>21230</v>
      </c>
    </row>
    <row r="5" spans="1:4">
      <c r="A5" s="228">
        <v>45416</v>
      </c>
      <c r="B5" s="231">
        <v>21185</v>
      </c>
      <c r="D5" s="232">
        <v>21185</v>
      </c>
    </row>
    <row r="6" spans="1:4">
      <c r="A6" s="228">
        <v>45417</v>
      </c>
      <c r="B6" s="231">
        <v>21140</v>
      </c>
      <c r="D6" s="232">
        <v>21140</v>
      </c>
    </row>
    <row r="7" spans="1:4">
      <c r="A7" s="228">
        <v>45418</v>
      </c>
      <c r="B7" s="231">
        <v>21095</v>
      </c>
      <c r="D7" s="232">
        <v>21095</v>
      </c>
    </row>
    <row r="8" spans="1:4">
      <c r="A8" s="228">
        <v>45419</v>
      </c>
      <c r="B8" s="231">
        <v>21050</v>
      </c>
      <c r="D8" s="232">
        <v>21050</v>
      </c>
    </row>
    <row r="9" spans="1:4">
      <c r="A9" s="228">
        <v>45420</v>
      </c>
      <c r="B9" s="231">
        <v>21005</v>
      </c>
      <c r="D9" s="232">
        <v>21005</v>
      </c>
    </row>
    <row r="10" spans="1:4">
      <c r="A10" s="228">
        <v>45421</v>
      </c>
      <c r="B10" s="231">
        <v>20945</v>
      </c>
      <c r="D10" s="232">
        <v>20945</v>
      </c>
    </row>
    <row r="11" spans="1:4">
      <c r="A11" s="228">
        <v>45422</v>
      </c>
      <c r="B11" s="231">
        <v>20825</v>
      </c>
      <c r="D11" s="232">
        <v>20825</v>
      </c>
    </row>
    <row r="12" spans="1:4">
      <c r="A12" s="228">
        <v>45423</v>
      </c>
      <c r="B12" s="231">
        <v>20705</v>
      </c>
      <c r="D12" s="232">
        <v>20705</v>
      </c>
    </row>
    <row r="13" spans="1:4">
      <c r="A13" s="228">
        <v>45424</v>
      </c>
      <c r="B13" s="231">
        <v>20585</v>
      </c>
      <c r="D13" s="232">
        <v>20585</v>
      </c>
    </row>
    <row r="14" spans="1:4">
      <c r="A14" s="228">
        <v>45425</v>
      </c>
      <c r="B14" s="231">
        <v>20465</v>
      </c>
      <c r="D14" s="232">
        <v>20465</v>
      </c>
    </row>
    <row r="15" spans="1:4">
      <c r="A15" s="228">
        <v>45426</v>
      </c>
      <c r="B15" s="231">
        <v>20345</v>
      </c>
      <c r="D15" s="232">
        <v>20345</v>
      </c>
    </row>
    <row r="16" spans="1:4">
      <c r="A16" s="228">
        <v>45427</v>
      </c>
      <c r="B16" s="231">
        <v>20265</v>
      </c>
      <c r="D16" s="232">
        <v>20265</v>
      </c>
    </row>
    <row r="17" spans="1:4">
      <c r="A17" s="228">
        <v>45428</v>
      </c>
      <c r="B17" s="231">
        <v>20145</v>
      </c>
      <c r="D17" s="232">
        <v>20145</v>
      </c>
    </row>
    <row r="18" spans="1:4">
      <c r="A18" s="228">
        <v>45429</v>
      </c>
      <c r="B18" s="231">
        <v>20025</v>
      </c>
      <c r="D18" s="232">
        <v>20025</v>
      </c>
    </row>
    <row r="19" spans="1:4">
      <c r="A19" s="228">
        <v>45430</v>
      </c>
      <c r="B19" s="231">
        <v>19905</v>
      </c>
      <c r="D19" s="232">
        <v>19905</v>
      </c>
    </row>
    <row r="20" spans="1:4">
      <c r="A20" s="228">
        <v>45431</v>
      </c>
      <c r="B20" s="231">
        <v>19785</v>
      </c>
      <c r="D20" s="232">
        <v>19785</v>
      </c>
    </row>
    <row r="21" spans="1:4" ht="15.75" customHeight="1">
      <c r="A21" s="228">
        <v>45432</v>
      </c>
      <c r="B21" s="231">
        <v>19665</v>
      </c>
      <c r="D21" s="232">
        <v>19665</v>
      </c>
    </row>
    <row r="22" spans="1:4" ht="15.75" customHeight="1">
      <c r="A22" s="228">
        <v>45433</v>
      </c>
      <c r="B22" s="231">
        <v>19545</v>
      </c>
      <c r="D22" s="232">
        <v>19545</v>
      </c>
    </row>
    <row r="23" spans="1:4" ht="15.75" customHeight="1">
      <c r="A23" s="228">
        <v>45434</v>
      </c>
      <c r="B23" s="231">
        <v>19480</v>
      </c>
      <c r="D23" s="232">
        <v>19480</v>
      </c>
    </row>
    <row r="24" spans="1:4" ht="15.75" customHeight="1">
      <c r="A24" s="228">
        <v>45435</v>
      </c>
      <c r="B24" s="231">
        <v>19410</v>
      </c>
      <c r="D24" s="232">
        <v>19410</v>
      </c>
    </row>
    <row r="25" spans="1:4" ht="15.75" customHeight="1">
      <c r="A25" s="228">
        <v>45436</v>
      </c>
      <c r="B25" s="231">
        <v>19340</v>
      </c>
      <c r="D25" s="232">
        <v>19340</v>
      </c>
    </row>
    <row r="26" spans="1:4" ht="15.75" customHeight="1">
      <c r="A26" s="228">
        <v>45437</v>
      </c>
      <c r="B26" s="231">
        <v>19270</v>
      </c>
      <c r="D26" s="232">
        <v>19270</v>
      </c>
    </row>
    <row r="27" spans="1:4" ht="15.75" customHeight="1">
      <c r="A27" s="228">
        <v>45438</v>
      </c>
      <c r="B27" s="231">
        <v>19200</v>
      </c>
      <c r="D27" s="232">
        <v>19200</v>
      </c>
    </row>
    <row r="28" spans="1:4" ht="15.75" customHeight="1">
      <c r="A28" s="228">
        <v>45439</v>
      </c>
      <c r="B28" s="231">
        <v>19130</v>
      </c>
      <c r="D28" s="232">
        <v>19130</v>
      </c>
    </row>
    <row r="29" spans="1:4" ht="15.75" customHeight="1">
      <c r="A29" s="228">
        <v>45440</v>
      </c>
      <c r="B29" s="231">
        <v>19060</v>
      </c>
      <c r="D29" s="232">
        <v>19060</v>
      </c>
    </row>
    <row r="30" spans="1:4" ht="15.75" customHeight="1">
      <c r="A30" s="228">
        <v>45441</v>
      </c>
      <c r="B30" s="231">
        <v>19010</v>
      </c>
      <c r="D30" s="232">
        <v>19010</v>
      </c>
    </row>
    <row r="31" spans="1:4" ht="15.75" customHeight="1">
      <c r="A31" s="228">
        <v>45442</v>
      </c>
      <c r="B31" s="231">
        <v>19010</v>
      </c>
      <c r="D31" s="232">
        <v>19010</v>
      </c>
    </row>
    <row r="32" spans="1:4" ht="15.75" customHeight="1">
      <c r="A32" s="228">
        <v>45443</v>
      </c>
      <c r="B32" s="231">
        <v>19005</v>
      </c>
      <c r="D32" s="232">
        <v>19005</v>
      </c>
    </row>
    <row r="33" spans="1:4" ht="15.75" customHeight="1">
      <c r="A33" s="228">
        <v>45444</v>
      </c>
      <c r="B33" s="231">
        <v>19000</v>
      </c>
      <c r="D33" s="232">
        <v>19000</v>
      </c>
    </row>
    <row r="34" spans="1:4" ht="15.75" customHeight="1">
      <c r="A34" s="228">
        <v>45445</v>
      </c>
      <c r="B34" s="231">
        <v>18995</v>
      </c>
      <c r="D34" s="232">
        <v>18995</v>
      </c>
    </row>
    <row r="35" spans="1:4" ht="15.75" customHeight="1">
      <c r="A35" s="228">
        <v>45446</v>
      </c>
      <c r="B35" s="231">
        <v>18990</v>
      </c>
      <c r="D35" s="232">
        <v>18990</v>
      </c>
    </row>
    <row r="36" spans="1:4" ht="15.75" customHeight="1">
      <c r="A36" s="228">
        <v>45447</v>
      </c>
      <c r="B36" s="231">
        <v>18985</v>
      </c>
      <c r="D36" s="232">
        <v>18985</v>
      </c>
    </row>
    <row r="37" spans="1:4" ht="15.75" customHeight="1">
      <c r="A37" s="228">
        <v>45448</v>
      </c>
      <c r="B37" s="231">
        <v>18975</v>
      </c>
      <c r="D37" s="232">
        <v>18975</v>
      </c>
    </row>
    <row r="38" spans="1:4" ht="15.75" customHeight="1">
      <c r="A38" s="228">
        <v>45449</v>
      </c>
      <c r="B38" s="231">
        <v>18966</v>
      </c>
      <c r="D38" s="232">
        <v>18966</v>
      </c>
    </row>
    <row r="39" spans="1:4" ht="15.75" customHeight="1">
      <c r="A39" s="228">
        <v>45450</v>
      </c>
      <c r="B39" s="231">
        <v>18957</v>
      </c>
      <c r="D39" s="232">
        <v>18957</v>
      </c>
    </row>
    <row r="40" spans="1:4" ht="15.75" customHeight="1">
      <c r="A40" s="228">
        <v>45451</v>
      </c>
      <c r="B40" s="231">
        <v>18948</v>
      </c>
      <c r="D40" s="232">
        <v>18948</v>
      </c>
    </row>
    <row r="41" spans="1:4" ht="15.75" customHeight="1">
      <c r="A41" s="228">
        <v>45452</v>
      </c>
      <c r="B41" s="231">
        <v>18939</v>
      </c>
      <c r="D41" s="232">
        <v>18939</v>
      </c>
    </row>
    <row r="42" spans="1:4" ht="15.75" customHeight="1">
      <c r="A42" s="228">
        <v>45453</v>
      </c>
      <c r="B42" s="231">
        <v>18930</v>
      </c>
      <c r="D42" s="232">
        <v>18930</v>
      </c>
    </row>
    <row r="43" spans="1:4" ht="15.75" customHeight="1">
      <c r="A43" s="228">
        <v>45454</v>
      </c>
      <c r="B43" s="231">
        <v>18921</v>
      </c>
      <c r="D43" s="232">
        <v>18921</v>
      </c>
    </row>
    <row r="44" spans="1:4" ht="15.75" customHeight="1">
      <c r="A44" s="228">
        <v>45455</v>
      </c>
      <c r="B44" s="231">
        <v>18915</v>
      </c>
      <c r="D44" s="232">
        <v>18915</v>
      </c>
    </row>
    <row r="45" spans="1:4" ht="15.75" customHeight="1">
      <c r="A45" s="228">
        <v>45456</v>
      </c>
      <c r="B45" s="231">
        <v>18923</v>
      </c>
      <c r="D45" s="232">
        <v>18923</v>
      </c>
    </row>
    <row r="46" spans="1:4" ht="15.75" customHeight="1">
      <c r="A46" s="228">
        <v>45457</v>
      </c>
      <c r="B46" s="231">
        <v>18931</v>
      </c>
      <c r="D46" s="232">
        <v>18931</v>
      </c>
    </row>
    <row r="47" spans="1:4" ht="15.75" customHeight="1">
      <c r="A47" s="228">
        <v>45458</v>
      </c>
      <c r="B47" s="231">
        <v>18939</v>
      </c>
      <c r="D47" s="232">
        <v>18939</v>
      </c>
    </row>
    <row r="48" spans="1:4" ht="15.75" customHeight="1">
      <c r="A48" s="228">
        <v>45459</v>
      </c>
      <c r="B48" s="231">
        <v>18947</v>
      </c>
      <c r="D48" s="232">
        <v>18947</v>
      </c>
    </row>
    <row r="49" spans="1:4" ht="15.75" customHeight="1">
      <c r="A49" s="228">
        <v>45460</v>
      </c>
      <c r="B49" s="231">
        <v>18955</v>
      </c>
      <c r="D49" s="232">
        <v>18955</v>
      </c>
    </row>
    <row r="50" spans="1:4" ht="15.75" customHeight="1">
      <c r="A50" s="228">
        <v>45461</v>
      </c>
      <c r="B50" s="231">
        <v>18963</v>
      </c>
      <c r="D50" s="232">
        <v>18963</v>
      </c>
    </row>
    <row r="51" spans="1:4" ht="15.75" customHeight="1">
      <c r="A51" s="228">
        <v>45462</v>
      </c>
      <c r="B51" s="231">
        <v>18971</v>
      </c>
      <c r="D51" s="232">
        <v>18971</v>
      </c>
    </row>
    <row r="52" spans="1:4" ht="15.75" customHeight="1">
      <c r="A52" s="228">
        <v>45463</v>
      </c>
      <c r="B52" s="231">
        <v>18979</v>
      </c>
      <c r="D52" s="232">
        <v>18979</v>
      </c>
    </row>
    <row r="53" spans="1:4" ht="15.75" customHeight="1">
      <c r="A53" s="228">
        <v>45464</v>
      </c>
      <c r="B53" s="231">
        <v>18987</v>
      </c>
      <c r="D53" s="232">
        <v>18987</v>
      </c>
    </row>
    <row r="54" spans="1:4" ht="15.75" customHeight="1">
      <c r="A54" s="228">
        <v>45465</v>
      </c>
      <c r="B54" s="231">
        <v>18995</v>
      </c>
      <c r="D54" s="232">
        <v>18995</v>
      </c>
    </row>
    <row r="55" spans="1:4" ht="15.75" customHeight="1">
      <c r="A55" s="228">
        <v>45466</v>
      </c>
      <c r="B55" s="231">
        <v>19003</v>
      </c>
      <c r="D55" s="232">
        <v>19003</v>
      </c>
    </row>
    <row r="56" spans="1:4" ht="15.75" customHeight="1">
      <c r="A56" s="228">
        <v>45467</v>
      </c>
      <c r="B56" s="231">
        <v>19011</v>
      </c>
      <c r="D56" s="232">
        <v>19011</v>
      </c>
    </row>
    <row r="57" spans="1:4" ht="15.75" customHeight="1">
      <c r="A57" s="228">
        <v>45468</v>
      </c>
      <c r="B57" s="231">
        <v>19019</v>
      </c>
      <c r="D57" s="232">
        <v>19019</v>
      </c>
    </row>
    <row r="58" spans="1:4" ht="15.75" customHeight="1">
      <c r="A58" s="228">
        <v>45469</v>
      </c>
      <c r="B58" s="231">
        <v>19035</v>
      </c>
      <c r="D58" s="232">
        <v>19035</v>
      </c>
    </row>
    <row r="59" spans="1:4" ht="15.75" customHeight="1">
      <c r="A59" s="228">
        <v>45470</v>
      </c>
      <c r="B59" s="231">
        <v>19060</v>
      </c>
      <c r="D59" s="232">
        <v>19060</v>
      </c>
    </row>
    <row r="60" spans="1:4" ht="15.75" customHeight="1">
      <c r="A60" s="228">
        <v>45471</v>
      </c>
      <c r="B60" s="231">
        <v>19085</v>
      </c>
      <c r="D60" s="232">
        <v>19085</v>
      </c>
    </row>
    <row r="61" spans="1:4" ht="15.75" customHeight="1">
      <c r="A61" s="228">
        <v>45472</v>
      </c>
      <c r="B61" s="231">
        <v>19110</v>
      </c>
      <c r="D61" s="232">
        <v>19110</v>
      </c>
    </row>
    <row r="62" spans="1:4" ht="15.75" customHeight="1">
      <c r="A62" s="228">
        <v>45473</v>
      </c>
      <c r="B62" s="231">
        <v>19135</v>
      </c>
      <c r="D62" s="232">
        <v>19135</v>
      </c>
    </row>
    <row r="63" spans="1:4" ht="15.75" customHeight="1">
      <c r="A63" s="228">
        <v>45474</v>
      </c>
      <c r="B63" s="231">
        <v>19160</v>
      </c>
      <c r="D63" s="232">
        <v>19160</v>
      </c>
    </row>
    <row r="64" spans="1:4" ht="15.75" customHeight="1">
      <c r="A64" s="228">
        <v>45475</v>
      </c>
      <c r="B64" s="231">
        <v>19185</v>
      </c>
      <c r="D64" s="232">
        <v>19185</v>
      </c>
    </row>
    <row r="65" spans="1:4" ht="15.75" customHeight="1">
      <c r="A65" s="228">
        <v>45476</v>
      </c>
      <c r="B65" s="231">
        <v>19210</v>
      </c>
      <c r="D65" s="232">
        <v>19210</v>
      </c>
    </row>
    <row r="66" spans="1:4" ht="15.75" customHeight="1">
      <c r="A66" s="228">
        <v>45477</v>
      </c>
      <c r="B66" s="231">
        <v>19240</v>
      </c>
      <c r="D66" s="232">
        <v>19240</v>
      </c>
    </row>
    <row r="67" spans="1:4" ht="15.75" customHeight="1">
      <c r="A67" s="228">
        <v>45478</v>
      </c>
      <c r="B67" s="231">
        <v>19265</v>
      </c>
      <c r="D67" s="232">
        <v>19265</v>
      </c>
    </row>
    <row r="68" spans="1:4" ht="15.75" customHeight="1">
      <c r="A68" s="228">
        <v>45479</v>
      </c>
      <c r="B68" s="231">
        <v>19290</v>
      </c>
      <c r="D68" s="232">
        <v>19290</v>
      </c>
    </row>
    <row r="69" spans="1:4" ht="15.75" customHeight="1">
      <c r="A69" s="228">
        <v>45480</v>
      </c>
      <c r="B69" s="231">
        <v>19315</v>
      </c>
      <c r="D69" s="232">
        <v>19315</v>
      </c>
    </row>
    <row r="70" spans="1:4" ht="15.75" customHeight="1">
      <c r="A70" s="228">
        <v>45481</v>
      </c>
      <c r="B70" s="231">
        <v>19340</v>
      </c>
      <c r="D70" s="232">
        <v>19340</v>
      </c>
    </row>
    <row r="71" spans="1:4" ht="15.75" customHeight="1">
      <c r="A71" s="228">
        <v>45482</v>
      </c>
      <c r="B71" s="231">
        <v>19365</v>
      </c>
      <c r="D71" s="232">
        <v>19365</v>
      </c>
    </row>
    <row r="72" spans="1:4" ht="15.75" customHeight="1">
      <c r="A72" s="228">
        <v>45483</v>
      </c>
      <c r="B72" s="231">
        <v>19390</v>
      </c>
      <c r="D72" s="232">
        <v>19390</v>
      </c>
    </row>
    <row r="73" spans="1:4" ht="15.75" customHeight="1">
      <c r="A73" s="228">
        <v>45484</v>
      </c>
      <c r="B73" s="231">
        <v>19440</v>
      </c>
      <c r="D73" s="232">
        <v>19440</v>
      </c>
    </row>
    <row r="74" spans="1:4" ht="15.75" customHeight="1">
      <c r="A74" s="228">
        <v>45485</v>
      </c>
      <c r="B74" s="231">
        <v>19490</v>
      </c>
      <c r="D74" s="232">
        <v>19490</v>
      </c>
    </row>
    <row r="75" spans="1:4" ht="15.75" customHeight="1">
      <c r="A75" s="228">
        <v>45486</v>
      </c>
      <c r="B75" s="231">
        <v>19540</v>
      </c>
      <c r="D75" s="232">
        <v>19540</v>
      </c>
    </row>
    <row r="76" spans="1:4" ht="15.75" customHeight="1">
      <c r="A76" s="228">
        <v>45487</v>
      </c>
      <c r="B76" s="231">
        <v>19590</v>
      </c>
      <c r="D76" s="232">
        <v>19590</v>
      </c>
    </row>
    <row r="77" spans="1:4" ht="15.75" customHeight="1">
      <c r="A77" s="228">
        <v>45488</v>
      </c>
      <c r="B77" s="231">
        <v>19640</v>
      </c>
      <c r="D77" s="232">
        <v>19640</v>
      </c>
    </row>
    <row r="78" spans="1:4" ht="15.75" customHeight="1">
      <c r="A78" s="228">
        <v>45489</v>
      </c>
      <c r="B78" s="231">
        <v>19690</v>
      </c>
      <c r="D78" s="232">
        <v>19690</v>
      </c>
    </row>
    <row r="79" spans="1:4" ht="15.75" customHeight="1">
      <c r="A79" s="228">
        <v>45490</v>
      </c>
      <c r="B79" s="231">
        <v>19740</v>
      </c>
      <c r="D79" s="232">
        <v>19740</v>
      </c>
    </row>
    <row r="80" spans="1:4" ht="15.75" customHeight="1">
      <c r="A80" s="228">
        <v>45491</v>
      </c>
      <c r="B80" s="231">
        <v>19770</v>
      </c>
      <c r="D80" s="232">
        <v>19770</v>
      </c>
    </row>
    <row r="81" spans="1:4" ht="15.75" customHeight="1">
      <c r="A81" s="228">
        <v>45492</v>
      </c>
      <c r="B81" s="231">
        <v>20070</v>
      </c>
      <c r="D81" s="232">
        <v>20070</v>
      </c>
    </row>
    <row r="82" spans="1:4" ht="15.75" customHeight="1">
      <c r="A82" s="228">
        <v>45493</v>
      </c>
      <c r="B82" s="231">
        <v>20370</v>
      </c>
      <c r="D82" s="232">
        <v>20370</v>
      </c>
    </row>
    <row r="83" spans="1:4" ht="15.75" customHeight="1">
      <c r="A83" s="228">
        <v>45494</v>
      </c>
      <c r="B83" s="231">
        <v>20670</v>
      </c>
      <c r="D83" s="232">
        <v>20670</v>
      </c>
    </row>
    <row r="84" spans="1:4" ht="15.75" customHeight="1">
      <c r="A84" s="228">
        <v>45495</v>
      </c>
      <c r="B84" s="231">
        <v>20970</v>
      </c>
      <c r="D84" s="232">
        <v>20970</v>
      </c>
    </row>
    <row r="85" spans="1:4" ht="15.75" customHeight="1">
      <c r="A85" s="228">
        <v>45496</v>
      </c>
      <c r="B85" s="231">
        <v>21270</v>
      </c>
      <c r="D85" s="232">
        <v>21270</v>
      </c>
    </row>
    <row r="86" spans="1:4" ht="15.75" customHeight="1">
      <c r="A86" s="228">
        <v>45497</v>
      </c>
      <c r="B86" s="231">
        <v>21570</v>
      </c>
      <c r="D86" s="232">
        <v>21570</v>
      </c>
    </row>
    <row r="87" spans="1:4" ht="15.75" customHeight="1">
      <c r="A87" s="228">
        <v>45498</v>
      </c>
      <c r="B87" s="231">
        <v>21670</v>
      </c>
      <c r="D87" s="232">
        <v>21670</v>
      </c>
    </row>
    <row r="88" spans="1:4" ht="15.75" customHeight="1">
      <c r="A88" s="228">
        <v>45499</v>
      </c>
      <c r="B88" s="231">
        <v>21920</v>
      </c>
      <c r="D88" s="232">
        <v>21920</v>
      </c>
    </row>
    <row r="89" spans="1:4" ht="15.75" customHeight="1">
      <c r="A89" s="228">
        <v>45500</v>
      </c>
      <c r="B89" s="231">
        <v>22170</v>
      </c>
      <c r="D89" s="232">
        <v>22170</v>
      </c>
    </row>
    <row r="90" spans="1:4" ht="15.75" customHeight="1">
      <c r="A90" s="228">
        <v>45501</v>
      </c>
      <c r="B90" s="231">
        <v>22420</v>
      </c>
      <c r="D90" s="232">
        <v>22420</v>
      </c>
    </row>
    <row r="91" spans="1:4" ht="15.75" customHeight="1">
      <c r="A91" s="228">
        <v>45502</v>
      </c>
      <c r="B91" s="231">
        <v>22670</v>
      </c>
      <c r="D91" s="232">
        <v>22670</v>
      </c>
    </row>
    <row r="92" spans="1:4" ht="15.75" customHeight="1">
      <c r="A92" s="228">
        <v>45503</v>
      </c>
      <c r="B92" s="231">
        <v>22920</v>
      </c>
      <c r="D92" s="232">
        <v>22920</v>
      </c>
    </row>
    <row r="93" spans="1:4" ht="15.75" customHeight="1">
      <c r="A93" s="228">
        <v>45504</v>
      </c>
      <c r="B93" s="231">
        <v>22940</v>
      </c>
      <c r="D93" s="232">
        <v>22940</v>
      </c>
    </row>
    <row r="94" spans="1:4" ht="15.75" customHeight="1">
      <c r="A94" s="228">
        <v>45505</v>
      </c>
      <c r="B94" s="231">
        <v>23190</v>
      </c>
      <c r="D94" s="232">
        <v>23190</v>
      </c>
    </row>
    <row r="95" spans="1:4" ht="15.75" customHeight="1">
      <c r="A95" s="228">
        <v>45506</v>
      </c>
      <c r="B95" s="231">
        <v>23440</v>
      </c>
      <c r="D95" s="232">
        <v>23440</v>
      </c>
    </row>
    <row r="96" spans="1:4" ht="15.75" customHeight="1">
      <c r="A96" s="228">
        <v>45507</v>
      </c>
      <c r="B96" s="231">
        <v>23690</v>
      </c>
      <c r="D96" s="232">
        <v>23690</v>
      </c>
    </row>
    <row r="97" spans="1:4" ht="15.75" customHeight="1">
      <c r="A97" s="228">
        <v>45508</v>
      </c>
      <c r="B97" s="231">
        <v>23940</v>
      </c>
      <c r="D97" s="232">
        <v>23940</v>
      </c>
    </row>
    <row r="98" spans="1:4" ht="15.75" customHeight="1">
      <c r="A98" s="228">
        <v>45509</v>
      </c>
      <c r="B98" s="231">
        <v>24190</v>
      </c>
      <c r="D98" s="232">
        <v>24190</v>
      </c>
    </row>
    <row r="99" spans="1:4" ht="15.75" customHeight="1">
      <c r="A99" s="228">
        <v>45510</v>
      </c>
      <c r="B99" s="231">
        <v>24440</v>
      </c>
      <c r="D99" s="232">
        <v>24440</v>
      </c>
    </row>
    <row r="100" spans="1:4" ht="15.75" customHeight="1">
      <c r="A100" s="228">
        <v>45511</v>
      </c>
      <c r="B100" s="231">
        <v>24265</v>
      </c>
      <c r="D100" s="232">
        <v>24265</v>
      </c>
    </row>
    <row r="101" spans="1:4" ht="15.75" customHeight="1">
      <c r="A101" s="228">
        <v>45512</v>
      </c>
      <c r="B101" s="231">
        <v>24385</v>
      </c>
      <c r="D101" s="232">
        <v>24385</v>
      </c>
    </row>
    <row r="102" spans="1:4" ht="15.75" customHeight="1">
      <c r="A102" s="228">
        <v>45513</v>
      </c>
      <c r="B102" s="231">
        <v>24505</v>
      </c>
      <c r="D102" s="232">
        <v>24505</v>
      </c>
    </row>
    <row r="103" spans="1:4" ht="15.75" customHeight="1">
      <c r="A103" s="228">
        <v>45514</v>
      </c>
      <c r="B103" s="231">
        <v>24625</v>
      </c>
      <c r="D103" s="232">
        <v>24625</v>
      </c>
    </row>
    <row r="104" spans="1:4" ht="15.75" customHeight="1">
      <c r="A104" s="228">
        <v>45515</v>
      </c>
      <c r="B104" s="231">
        <v>24745</v>
      </c>
      <c r="D104" s="232">
        <v>24745</v>
      </c>
    </row>
    <row r="105" spans="1:4" ht="15.75" customHeight="1">
      <c r="A105" s="228">
        <v>45516</v>
      </c>
      <c r="B105" s="231">
        <v>24865</v>
      </c>
      <c r="D105" s="232">
        <v>24865</v>
      </c>
    </row>
    <row r="106" spans="1:4" ht="15.75" customHeight="1">
      <c r="A106" s="228">
        <v>45517</v>
      </c>
      <c r="B106" s="231">
        <v>24985</v>
      </c>
      <c r="D106" s="232">
        <v>24985</v>
      </c>
    </row>
    <row r="107" spans="1:4" ht="15.75" customHeight="1">
      <c r="A107" s="228">
        <v>45518</v>
      </c>
      <c r="B107" s="231">
        <v>25105</v>
      </c>
      <c r="D107" s="232">
        <v>25105</v>
      </c>
    </row>
    <row r="108" spans="1:4" ht="15.75" customHeight="1">
      <c r="A108" s="228">
        <v>45519</v>
      </c>
      <c r="B108" s="231">
        <v>25170</v>
      </c>
      <c r="D108" s="232">
        <v>25170</v>
      </c>
    </row>
    <row r="109" spans="1:4" ht="15.75" customHeight="1">
      <c r="A109" s="228">
        <v>45520</v>
      </c>
      <c r="B109" s="231">
        <v>25200</v>
      </c>
      <c r="D109" s="232">
        <v>25200</v>
      </c>
    </row>
    <row r="110" spans="1:4" ht="15.75" customHeight="1">
      <c r="A110" s="228">
        <v>45521</v>
      </c>
      <c r="B110" s="231">
        <v>25230</v>
      </c>
      <c r="D110" s="232">
        <v>25230</v>
      </c>
    </row>
    <row r="111" spans="1:4" ht="15.75" customHeight="1">
      <c r="A111" s="228">
        <v>45522</v>
      </c>
      <c r="B111" s="231">
        <v>25260</v>
      </c>
      <c r="D111" s="232">
        <v>25260</v>
      </c>
    </row>
    <row r="112" spans="1:4" ht="15.75" customHeight="1">
      <c r="A112" s="228">
        <v>45523</v>
      </c>
      <c r="B112" s="231">
        <v>25290</v>
      </c>
      <c r="D112" s="232">
        <v>25290</v>
      </c>
    </row>
    <row r="113" spans="1:4" ht="15.75" customHeight="1">
      <c r="A113" s="228">
        <v>45524</v>
      </c>
      <c r="B113" s="231">
        <v>25320</v>
      </c>
      <c r="D113" s="232">
        <v>25320</v>
      </c>
    </row>
    <row r="114" spans="1:4" ht="15.75" customHeight="1">
      <c r="A114" s="228">
        <v>45525</v>
      </c>
      <c r="B114" s="231">
        <v>25350</v>
      </c>
      <c r="D114" s="232">
        <v>25350</v>
      </c>
    </row>
    <row r="115" spans="1:4" ht="15.75" customHeight="1">
      <c r="A115" s="228">
        <v>45526</v>
      </c>
      <c r="B115" s="231">
        <v>25380</v>
      </c>
      <c r="D115" s="232">
        <v>25380</v>
      </c>
    </row>
    <row r="116" spans="1:4" ht="15.75" customHeight="1">
      <c r="A116" s="228">
        <v>45527</v>
      </c>
      <c r="B116" s="231">
        <v>25395</v>
      </c>
      <c r="D116" s="232">
        <v>25395</v>
      </c>
    </row>
    <row r="117" spans="1:4" ht="15.75" customHeight="1">
      <c r="A117" s="228">
        <f t="shared" ref="A117:A314" si="0">+A116+1</f>
        <v>45528</v>
      </c>
      <c r="B117" s="231">
        <v>25315</v>
      </c>
      <c r="D117" s="232">
        <v>25315</v>
      </c>
    </row>
    <row r="118" spans="1:4" ht="15.75" customHeight="1">
      <c r="A118" s="228">
        <f t="shared" si="0"/>
        <v>45529</v>
      </c>
      <c r="B118" s="231">
        <v>25235</v>
      </c>
      <c r="D118" s="232">
        <v>25235</v>
      </c>
    </row>
    <row r="119" spans="1:4" ht="15.75" customHeight="1">
      <c r="A119" s="228">
        <f t="shared" si="0"/>
        <v>45530</v>
      </c>
      <c r="B119" s="231">
        <v>25155</v>
      </c>
      <c r="D119" s="232">
        <v>25155</v>
      </c>
    </row>
    <row r="120" spans="1:4" ht="15.75" customHeight="1">
      <c r="A120" s="228">
        <f t="shared" si="0"/>
        <v>45531</v>
      </c>
      <c r="B120" s="231">
        <v>25075</v>
      </c>
      <c r="D120" s="232">
        <v>25075</v>
      </c>
    </row>
    <row r="121" spans="1:4" ht="15.75" customHeight="1">
      <c r="A121" s="228">
        <f t="shared" si="0"/>
        <v>45532</v>
      </c>
      <c r="B121" s="231">
        <v>24995</v>
      </c>
      <c r="D121" s="232">
        <v>24995</v>
      </c>
    </row>
    <row r="122" spans="1:4" ht="15.75" customHeight="1">
      <c r="A122" s="228">
        <f t="shared" si="0"/>
        <v>45533</v>
      </c>
      <c r="B122" s="231">
        <v>24915</v>
      </c>
      <c r="D122" s="232">
        <v>24915</v>
      </c>
    </row>
    <row r="123" spans="1:4" ht="15.75" customHeight="1">
      <c r="A123" s="228">
        <f t="shared" si="0"/>
        <v>45534</v>
      </c>
      <c r="B123" s="231">
        <v>24835</v>
      </c>
      <c r="D123" s="232">
        <v>24835</v>
      </c>
    </row>
    <row r="124" spans="1:4" ht="15.75" customHeight="1">
      <c r="A124" s="228">
        <f t="shared" si="0"/>
        <v>45535</v>
      </c>
      <c r="B124" s="231">
        <v>24755</v>
      </c>
      <c r="D124" s="232">
        <v>24755</v>
      </c>
    </row>
    <row r="125" spans="1:4" ht="15.75" customHeight="1">
      <c r="A125" s="228">
        <f t="shared" si="0"/>
        <v>45536</v>
      </c>
      <c r="B125" s="231">
        <v>24675</v>
      </c>
      <c r="D125" s="232">
        <v>24675</v>
      </c>
    </row>
    <row r="126" spans="1:4" ht="15.75" customHeight="1">
      <c r="A126" s="228">
        <f t="shared" si="0"/>
        <v>45537</v>
      </c>
      <c r="B126" s="231">
        <v>24595</v>
      </c>
      <c r="D126" s="232">
        <v>24595</v>
      </c>
    </row>
    <row r="127" spans="1:4" ht="15.75" customHeight="1">
      <c r="A127" s="228">
        <f t="shared" si="0"/>
        <v>45538</v>
      </c>
      <c r="B127" s="231">
        <v>24515</v>
      </c>
      <c r="D127" s="232">
        <v>24515</v>
      </c>
    </row>
    <row r="128" spans="1:4" ht="15.75" customHeight="1">
      <c r="A128" s="228">
        <f t="shared" si="0"/>
        <v>45539</v>
      </c>
      <c r="B128" s="231">
        <v>24435</v>
      </c>
      <c r="D128" s="232">
        <v>24435</v>
      </c>
    </row>
    <row r="129" spans="1:4" ht="15.75" customHeight="1">
      <c r="A129" s="228">
        <f t="shared" si="0"/>
        <v>45540</v>
      </c>
      <c r="B129" s="231">
        <v>24260</v>
      </c>
      <c r="D129" s="232">
        <v>24260</v>
      </c>
    </row>
    <row r="130" spans="1:4" ht="15.75" customHeight="1">
      <c r="A130" s="228">
        <f t="shared" si="0"/>
        <v>45541</v>
      </c>
      <c r="B130" s="231">
        <v>24180</v>
      </c>
      <c r="D130" s="232">
        <v>24180</v>
      </c>
    </row>
    <row r="131" spans="1:4" ht="15.75" customHeight="1">
      <c r="A131" s="228">
        <f t="shared" si="0"/>
        <v>45542</v>
      </c>
      <c r="B131" s="231">
        <v>24100</v>
      </c>
      <c r="D131" s="232">
        <v>24100</v>
      </c>
    </row>
    <row r="132" spans="1:4" ht="15.75" customHeight="1">
      <c r="A132" s="228">
        <f t="shared" si="0"/>
        <v>45543</v>
      </c>
      <c r="B132" s="231">
        <v>24020</v>
      </c>
      <c r="D132" s="232">
        <v>24020</v>
      </c>
    </row>
    <row r="133" spans="1:4" ht="15.75" customHeight="1">
      <c r="A133" s="228">
        <f t="shared" si="0"/>
        <v>45544</v>
      </c>
      <c r="B133" s="231">
        <v>23940</v>
      </c>
      <c r="D133" s="232">
        <v>23940</v>
      </c>
    </row>
    <row r="134" spans="1:4" ht="15.75" customHeight="1">
      <c r="A134" s="228">
        <f t="shared" si="0"/>
        <v>45545</v>
      </c>
      <c r="B134" s="231">
        <v>23860</v>
      </c>
      <c r="D134" s="232">
        <v>23860</v>
      </c>
    </row>
    <row r="135" spans="1:4" ht="15.75" customHeight="1">
      <c r="A135" s="228">
        <f t="shared" si="0"/>
        <v>45546</v>
      </c>
      <c r="B135" s="231">
        <v>23780</v>
      </c>
      <c r="D135" s="232">
        <v>23780</v>
      </c>
    </row>
    <row r="136" spans="1:4" ht="15.75" customHeight="1">
      <c r="A136" s="228">
        <f t="shared" si="0"/>
        <v>45547</v>
      </c>
      <c r="B136" s="231">
        <v>23700</v>
      </c>
      <c r="D136" s="232">
        <v>23700</v>
      </c>
    </row>
    <row r="137" spans="1:4" ht="15.75" customHeight="1">
      <c r="A137" s="228">
        <f t="shared" si="0"/>
        <v>45548</v>
      </c>
      <c r="B137" s="231">
        <v>23615</v>
      </c>
      <c r="D137" s="232">
        <v>23615</v>
      </c>
    </row>
    <row r="138" spans="1:4" ht="15.75" customHeight="1">
      <c r="A138" s="228">
        <f t="shared" si="0"/>
        <v>45549</v>
      </c>
      <c r="B138" s="231">
        <v>23415</v>
      </c>
      <c r="D138" s="232">
        <v>23415</v>
      </c>
    </row>
    <row r="139" spans="1:4" ht="15.75" customHeight="1">
      <c r="A139" s="228">
        <f t="shared" si="0"/>
        <v>45550</v>
      </c>
      <c r="B139" s="231">
        <v>23215</v>
      </c>
      <c r="D139" s="232">
        <v>23215</v>
      </c>
    </row>
    <row r="140" spans="1:4" ht="15.75" customHeight="1">
      <c r="A140" s="228">
        <f t="shared" si="0"/>
        <v>45551</v>
      </c>
      <c r="B140" s="231">
        <v>23015</v>
      </c>
      <c r="D140" s="232">
        <v>23015</v>
      </c>
    </row>
    <row r="141" spans="1:4" ht="15.75" customHeight="1">
      <c r="A141" s="228">
        <f t="shared" si="0"/>
        <v>45552</v>
      </c>
      <c r="B141" s="231">
        <v>22815</v>
      </c>
      <c r="D141" s="232">
        <v>22815</v>
      </c>
    </row>
    <row r="142" spans="1:4" ht="15.75" customHeight="1">
      <c r="A142" s="228">
        <f t="shared" si="0"/>
        <v>45553</v>
      </c>
      <c r="B142" s="231">
        <v>22615</v>
      </c>
      <c r="D142" s="232">
        <v>22615</v>
      </c>
    </row>
    <row r="143" spans="1:4" ht="15.75" customHeight="1">
      <c r="A143" s="228">
        <f t="shared" si="0"/>
        <v>45554</v>
      </c>
      <c r="B143" s="231">
        <v>22430</v>
      </c>
      <c r="D143" s="232">
        <v>22430</v>
      </c>
    </row>
    <row r="144" spans="1:4" ht="15.75" customHeight="1">
      <c r="A144" s="228">
        <f t="shared" si="0"/>
        <v>45555</v>
      </c>
      <c r="B144" s="231">
        <v>22310</v>
      </c>
      <c r="D144" s="232">
        <v>22310</v>
      </c>
    </row>
    <row r="145" spans="1:4" ht="15.75" customHeight="1">
      <c r="A145" s="228">
        <f t="shared" si="0"/>
        <v>45556</v>
      </c>
      <c r="B145" s="231">
        <v>22190</v>
      </c>
      <c r="D145" s="232">
        <v>22190</v>
      </c>
    </row>
    <row r="146" spans="1:4" ht="15.75" customHeight="1">
      <c r="A146" s="228">
        <f t="shared" si="0"/>
        <v>45557</v>
      </c>
      <c r="B146" s="231">
        <v>22070</v>
      </c>
      <c r="D146" s="232">
        <v>22070</v>
      </c>
    </row>
    <row r="147" spans="1:4" ht="15.75" customHeight="1">
      <c r="A147" s="228">
        <f t="shared" si="0"/>
        <v>45558</v>
      </c>
      <c r="B147" s="231">
        <v>21950</v>
      </c>
      <c r="D147" s="232">
        <v>21950</v>
      </c>
    </row>
    <row r="148" spans="1:4" ht="15.75" customHeight="1">
      <c r="A148" s="228">
        <f t="shared" si="0"/>
        <v>45559</v>
      </c>
      <c r="B148" s="231">
        <v>21830</v>
      </c>
      <c r="D148" s="232">
        <v>21830</v>
      </c>
    </row>
    <row r="149" spans="1:4" ht="15.75" customHeight="1">
      <c r="A149" s="228">
        <f t="shared" si="0"/>
        <v>45560</v>
      </c>
      <c r="B149" s="231">
        <v>21710</v>
      </c>
      <c r="D149" s="232">
        <v>21710</v>
      </c>
    </row>
    <row r="150" spans="1:4" ht="15.75" customHeight="1">
      <c r="A150" s="228">
        <f t="shared" si="0"/>
        <v>45561</v>
      </c>
      <c r="B150" s="231">
        <v>21625</v>
      </c>
      <c r="D150" s="232">
        <v>21625</v>
      </c>
    </row>
    <row r="151" spans="1:4" ht="15.75" customHeight="1">
      <c r="A151" s="228">
        <f t="shared" si="0"/>
        <v>45562</v>
      </c>
      <c r="B151" s="231">
        <v>21725</v>
      </c>
      <c r="D151" s="232">
        <v>21725</v>
      </c>
    </row>
    <row r="152" spans="1:4" ht="15.75" customHeight="1">
      <c r="A152" s="228">
        <f t="shared" si="0"/>
        <v>45563</v>
      </c>
      <c r="B152" s="231">
        <v>21825</v>
      </c>
      <c r="D152" s="232">
        <v>21825</v>
      </c>
    </row>
    <row r="153" spans="1:4" ht="15.75" customHeight="1">
      <c r="A153" s="228">
        <f t="shared" si="0"/>
        <v>45564</v>
      </c>
      <c r="B153" s="231">
        <v>21925</v>
      </c>
      <c r="D153" s="232">
        <v>21925</v>
      </c>
    </row>
    <row r="154" spans="1:4" ht="15.75" customHeight="1">
      <c r="A154" s="228">
        <f t="shared" si="0"/>
        <v>45565</v>
      </c>
      <c r="B154" s="231">
        <v>22025</v>
      </c>
      <c r="D154" s="232">
        <v>22025</v>
      </c>
    </row>
    <row r="155" spans="1:4" ht="15.75" customHeight="1">
      <c r="A155" s="228">
        <f t="shared" si="0"/>
        <v>45566</v>
      </c>
      <c r="B155" s="231">
        <v>22125</v>
      </c>
      <c r="D155" s="232">
        <v>22125</v>
      </c>
    </row>
    <row r="156" spans="1:4" ht="15.75" customHeight="1">
      <c r="A156" s="228">
        <f t="shared" si="0"/>
        <v>45567</v>
      </c>
      <c r="B156" s="231">
        <v>22225</v>
      </c>
      <c r="D156" s="232">
        <v>22225</v>
      </c>
    </row>
    <row r="157" spans="1:4" ht="15.75" customHeight="1">
      <c r="A157" s="228">
        <f t="shared" si="0"/>
        <v>45568</v>
      </c>
      <c r="B157" s="231">
        <v>22325</v>
      </c>
      <c r="D157" s="232">
        <v>22325</v>
      </c>
    </row>
    <row r="158" spans="1:4" ht="15.75" customHeight="1">
      <c r="A158" s="228">
        <f t="shared" si="0"/>
        <v>45569</v>
      </c>
      <c r="B158" s="231">
        <v>22425</v>
      </c>
      <c r="D158" s="232">
        <v>22425</v>
      </c>
    </row>
    <row r="159" spans="1:4" ht="15.75" customHeight="1">
      <c r="A159" s="228">
        <f t="shared" si="0"/>
        <v>45570</v>
      </c>
      <c r="B159" s="231">
        <v>22525</v>
      </c>
      <c r="D159" s="232">
        <v>22525</v>
      </c>
    </row>
    <row r="160" spans="1:4" ht="15.75" customHeight="1">
      <c r="A160" s="228">
        <f t="shared" si="0"/>
        <v>45571</v>
      </c>
      <c r="B160" s="231">
        <v>22625</v>
      </c>
      <c r="D160" s="232">
        <v>22625</v>
      </c>
    </row>
    <row r="161" spans="1:4" ht="15.75" customHeight="1">
      <c r="A161" s="228">
        <f t="shared" si="0"/>
        <v>45572</v>
      </c>
      <c r="B161" s="231">
        <v>22725</v>
      </c>
      <c r="D161" s="232">
        <v>22725</v>
      </c>
    </row>
    <row r="162" spans="1:4" ht="15.75" customHeight="1">
      <c r="A162" s="228">
        <f t="shared" si="0"/>
        <v>45573</v>
      </c>
      <c r="B162" s="231">
        <v>22825</v>
      </c>
      <c r="D162" s="232">
        <v>22825</v>
      </c>
    </row>
    <row r="163" spans="1:4" ht="15.75" customHeight="1">
      <c r="A163" s="228">
        <f t="shared" si="0"/>
        <v>45574</v>
      </c>
      <c r="B163" s="231">
        <v>22925</v>
      </c>
      <c r="D163" s="232">
        <v>22925</v>
      </c>
    </row>
    <row r="164" spans="1:4" ht="15.75" customHeight="1">
      <c r="A164" s="228">
        <f t="shared" si="0"/>
        <v>45575</v>
      </c>
      <c r="B164" s="231">
        <v>23030</v>
      </c>
      <c r="D164" s="232">
        <v>23030</v>
      </c>
    </row>
    <row r="165" spans="1:4" ht="15.75" customHeight="1">
      <c r="A165" s="228">
        <f t="shared" si="0"/>
        <v>45576</v>
      </c>
      <c r="B165" s="231">
        <v>23045</v>
      </c>
      <c r="D165" s="232">
        <v>23045</v>
      </c>
    </row>
    <row r="166" spans="1:4" ht="15.75" customHeight="1">
      <c r="A166" s="228">
        <f t="shared" si="0"/>
        <v>45577</v>
      </c>
      <c r="B166" s="231">
        <v>23060</v>
      </c>
      <c r="D166" s="232">
        <v>23060</v>
      </c>
    </row>
    <row r="167" spans="1:4" ht="15.75" customHeight="1">
      <c r="A167" s="228">
        <f t="shared" si="0"/>
        <v>45578</v>
      </c>
      <c r="B167" s="231">
        <v>23075</v>
      </c>
      <c r="D167" s="232">
        <v>23075</v>
      </c>
    </row>
    <row r="168" spans="1:4" ht="15.75" customHeight="1">
      <c r="A168" s="228">
        <f t="shared" si="0"/>
        <v>45579</v>
      </c>
      <c r="B168" s="231">
        <v>23090</v>
      </c>
      <c r="D168" s="232">
        <v>23090</v>
      </c>
    </row>
    <row r="169" spans="1:4" ht="15.75" customHeight="1">
      <c r="A169" s="228">
        <f t="shared" si="0"/>
        <v>45580</v>
      </c>
      <c r="B169" s="231">
        <v>23105</v>
      </c>
      <c r="D169" s="232">
        <v>23105</v>
      </c>
    </row>
    <row r="170" spans="1:4" ht="15.75" customHeight="1">
      <c r="A170" s="228">
        <f t="shared" si="0"/>
        <v>45581</v>
      </c>
      <c r="B170" s="231">
        <v>23120</v>
      </c>
      <c r="D170" s="232">
        <v>23120</v>
      </c>
    </row>
    <row r="171" spans="1:4" ht="15.75" customHeight="1">
      <c r="A171" s="228">
        <f t="shared" si="0"/>
        <v>45582</v>
      </c>
      <c r="B171" s="231">
        <v>23145</v>
      </c>
      <c r="D171" s="232">
        <v>23145</v>
      </c>
    </row>
    <row r="172" spans="1:4" ht="15.75" customHeight="1">
      <c r="A172" s="228">
        <f t="shared" si="0"/>
        <v>45583</v>
      </c>
      <c r="B172" s="231">
        <v>23215</v>
      </c>
      <c r="D172" s="232">
        <v>23215</v>
      </c>
    </row>
    <row r="173" spans="1:4" ht="15.75" customHeight="1">
      <c r="A173" s="228">
        <f t="shared" si="0"/>
        <v>45584</v>
      </c>
      <c r="B173" s="231">
        <v>23285</v>
      </c>
      <c r="D173" s="232">
        <v>23285</v>
      </c>
    </row>
    <row r="174" spans="1:4" ht="15.75" customHeight="1">
      <c r="A174" s="228">
        <f t="shared" si="0"/>
        <v>45585</v>
      </c>
      <c r="B174" s="231">
        <v>23355</v>
      </c>
      <c r="D174" s="232">
        <v>23355</v>
      </c>
    </row>
    <row r="175" spans="1:4" ht="15.75" customHeight="1">
      <c r="A175" s="228">
        <f t="shared" si="0"/>
        <v>45586</v>
      </c>
      <c r="B175" s="231">
        <v>23425</v>
      </c>
      <c r="D175" s="232">
        <v>23425</v>
      </c>
    </row>
    <row r="176" spans="1:4" ht="15.75" customHeight="1">
      <c r="A176" s="228">
        <f t="shared" si="0"/>
        <v>45587</v>
      </c>
      <c r="B176" s="231">
        <v>23495</v>
      </c>
      <c r="D176" s="232">
        <v>23495</v>
      </c>
    </row>
    <row r="177" spans="1:4" ht="15.75" customHeight="1">
      <c r="A177" s="228">
        <f t="shared" si="0"/>
        <v>45588</v>
      </c>
      <c r="B177" s="231">
        <v>23540</v>
      </c>
      <c r="D177" s="232">
        <v>23540</v>
      </c>
    </row>
    <row r="178" spans="1:4" ht="15.75" customHeight="1">
      <c r="A178" s="228">
        <f t="shared" si="0"/>
        <v>45589</v>
      </c>
      <c r="B178" s="231">
        <v>23695</v>
      </c>
      <c r="D178" s="232">
        <v>23695</v>
      </c>
    </row>
    <row r="179" spans="1:4" ht="15.75" customHeight="1">
      <c r="A179" s="228">
        <f t="shared" si="0"/>
        <v>45590</v>
      </c>
      <c r="B179" s="231">
        <v>23795</v>
      </c>
      <c r="D179" s="232">
        <v>23795</v>
      </c>
    </row>
    <row r="180" spans="1:4" ht="15.75" customHeight="1">
      <c r="A180" s="228">
        <f t="shared" si="0"/>
        <v>45591</v>
      </c>
      <c r="B180" s="231">
        <v>23895</v>
      </c>
      <c r="D180" s="232">
        <v>23895</v>
      </c>
    </row>
    <row r="181" spans="1:4" ht="15.75" customHeight="1">
      <c r="A181" s="228">
        <f t="shared" si="0"/>
        <v>45592</v>
      </c>
      <c r="B181" s="231">
        <v>23995</v>
      </c>
      <c r="D181" s="232">
        <v>23995</v>
      </c>
    </row>
    <row r="182" spans="1:4" ht="15.75" customHeight="1">
      <c r="A182" s="228">
        <f t="shared" si="0"/>
        <v>45593</v>
      </c>
      <c r="B182" s="231">
        <v>24115</v>
      </c>
      <c r="D182" s="232">
        <v>24115</v>
      </c>
    </row>
    <row r="183" spans="1:4" ht="15.75" customHeight="1">
      <c r="A183" s="228">
        <f t="shared" si="0"/>
        <v>45594</v>
      </c>
      <c r="B183" s="231">
        <v>24235</v>
      </c>
      <c r="D183" s="232">
        <v>24235</v>
      </c>
    </row>
    <row r="184" spans="1:4" ht="15.75" customHeight="1">
      <c r="A184" s="228">
        <f t="shared" si="0"/>
        <v>45595</v>
      </c>
      <c r="B184" s="231">
        <v>24355</v>
      </c>
      <c r="D184" s="232">
        <v>24355</v>
      </c>
    </row>
    <row r="185" spans="1:4" ht="15.75" customHeight="1">
      <c r="A185" s="228">
        <f t="shared" si="0"/>
        <v>45596</v>
      </c>
      <c r="B185" s="231">
        <v>24500</v>
      </c>
      <c r="D185" s="232">
        <v>24500</v>
      </c>
    </row>
    <row r="186" spans="1:4" ht="15.75" customHeight="1">
      <c r="A186" s="228">
        <f t="shared" si="0"/>
        <v>45597</v>
      </c>
      <c r="B186" s="231">
        <v>24550</v>
      </c>
      <c r="D186" s="232">
        <v>24550</v>
      </c>
    </row>
    <row r="187" spans="1:4" ht="15.75" customHeight="1">
      <c r="A187" s="228">
        <f t="shared" si="0"/>
        <v>45598</v>
      </c>
      <c r="B187" s="231">
        <v>24600</v>
      </c>
      <c r="D187" s="232">
        <v>24600</v>
      </c>
    </row>
    <row r="188" spans="1:4" ht="15.75" customHeight="1">
      <c r="A188" s="228">
        <f t="shared" si="0"/>
        <v>45599</v>
      </c>
      <c r="B188" s="231">
        <v>24650</v>
      </c>
      <c r="D188" s="232">
        <v>24650</v>
      </c>
    </row>
    <row r="189" spans="1:4" ht="15.75" customHeight="1">
      <c r="A189" s="228">
        <f t="shared" si="0"/>
        <v>45600</v>
      </c>
      <c r="B189" s="231">
        <v>24700</v>
      </c>
      <c r="D189" s="232">
        <v>24700</v>
      </c>
    </row>
    <row r="190" spans="1:4" ht="15.75" customHeight="1">
      <c r="A190" s="228">
        <f t="shared" si="0"/>
        <v>45601</v>
      </c>
      <c r="B190" s="231">
        <v>24750</v>
      </c>
      <c r="D190" s="232">
        <v>24750</v>
      </c>
    </row>
    <row r="191" spans="1:4" ht="15.75" customHeight="1">
      <c r="A191" s="228">
        <f t="shared" si="0"/>
        <v>45602</v>
      </c>
      <c r="B191" s="231">
        <v>24800</v>
      </c>
      <c r="D191" s="232">
        <v>24800</v>
      </c>
    </row>
    <row r="192" spans="1:4" ht="15.75" customHeight="1">
      <c r="A192" s="228">
        <f t="shared" si="0"/>
        <v>45603</v>
      </c>
      <c r="B192" s="231">
        <v>24850</v>
      </c>
      <c r="D192" s="232">
        <v>24850</v>
      </c>
    </row>
    <row r="193" spans="1:4" ht="15.75" customHeight="1">
      <c r="A193" s="228">
        <f t="shared" si="0"/>
        <v>45604</v>
      </c>
      <c r="B193" s="231">
        <v>24900</v>
      </c>
      <c r="D193" s="232">
        <v>24900</v>
      </c>
    </row>
    <row r="194" spans="1:4" ht="15.75" customHeight="1">
      <c r="A194" s="228">
        <f t="shared" si="0"/>
        <v>45605</v>
      </c>
      <c r="B194" s="231">
        <v>24950</v>
      </c>
      <c r="D194" s="232">
        <v>24950</v>
      </c>
    </row>
    <row r="195" spans="1:4" ht="15.75" customHeight="1">
      <c r="A195" s="228">
        <f t="shared" si="0"/>
        <v>45606</v>
      </c>
      <c r="B195" s="231">
        <v>25000</v>
      </c>
      <c r="D195" s="232">
        <v>25000</v>
      </c>
    </row>
    <row r="196" spans="1:4" ht="15.75" customHeight="1">
      <c r="A196" s="228">
        <f t="shared" si="0"/>
        <v>45607</v>
      </c>
      <c r="B196" s="231">
        <v>25050</v>
      </c>
      <c r="D196" s="232">
        <v>25050</v>
      </c>
    </row>
    <row r="197" spans="1:4" ht="15.75" customHeight="1">
      <c r="A197" s="228">
        <f t="shared" si="0"/>
        <v>45608</v>
      </c>
      <c r="B197" s="231">
        <v>25130</v>
      </c>
      <c r="D197" s="232">
        <v>25130</v>
      </c>
    </row>
    <row r="198" spans="1:4" ht="15.75" customHeight="1">
      <c r="A198" s="228">
        <f t="shared" si="0"/>
        <v>45609</v>
      </c>
      <c r="B198" s="231">
        <v>25135</v>
      </c>
      <c r="D198" s="232">
        <v>25135</v>
      </c>
    </row>
    <row r="199" spans="1:4" ht="15.75" customHeight="1">
      <c r="A199" s="228">
        <f t="shared" si="0"/>
        <v>45610</v>
      </c>
      <c r="B199" s="231">
        <v>25145</v>
      </c>
      <c r="D199" s="232">
        <v>25145</v>
      </c>
    </row>
    <row r="200" spans="1:4" ht="15.75" customHeight="1">
      <c r="A200" s="228">
        <f t="shared" si="0"/>
        <v>45611</v>
      </c>
      <c r="B200" s="231">
        <v>25160</v>
      </c>
      <c r="D200" s="232">
        <v>25160</v>
      </c>
    </row>
    <row r="201" spans="1:4" ht="15.75" customHeight="1">
      <c r="A201" s="228">
        <f t="shared" si="0"/>
        <v>45612</v>
      </c>
      <c r="B201" s="231">
        <v>25175</v>
      </c>
      <c r="D201" s="232">
        <v>25175</v>
      </c>
    </row>
    <row r="202" spans="1:4" ht="15.75" customHeight="1">
      <c r="A202" s="228">
        <f t="shared" si="0"/>
        <v>45613</v>
      </c>
      <c r="B202" s="231">
        <v>25190</v>
      </c>
      <c r="D202" s="232">
        <v>25190</v>
      </c>
    </row>
    <row r="203" spans="1:4" ht="15.75" customHeight="1">
      <c r="A203" s="228">
        <f t="shared" si="0"/>
        <v>45614</v>
      </c>
      <c r="B203" s="231">
        <v>25205</v>
      </c>
      <c r="D203" s="232">
        <v>25205</v>
      </c>
    </row>
    <row r="204" spans="1:4" ht="15.75" customHeight="1">
      <c r="A204" s="228">
        <f t="shared" si="0"/>
        <v>45615</v>
      </c>
      <c r="B204" s="231">
        <v>25220</v>
      </c>
      <c r="D204" s="232">
        <v>25220</v>
      </c>
    </row>
    <row r="205" spans="1:4" ht="15.75" customHeight="1">
      <c r="A205" s="228">
        <f t="shared" si="0"/>
        <v>45616</v>
      </c>
      <c r="B205" s="231">
        <v>25240</v>
      </c>
      <c r="D205" s="232">
        <v>25240</v>
      </c>
    </row>
    <row r="206" spans="1:4" ht="15.75" customHeight="1">
      <c r="A206" s="228">
        <f t="shared" si="0"/>
        <v>45617</v>
      </c>
      <c r="B206" s="231">
        <v>25210</v>
      </c>
      <c r="D206" s="232">
        <v>25210</v>
      </c>
    </row>
    <row r="207" spans="1:4" ht="15.75" customHeight="1">
      <c r="A207" s="228">
        <f t="shared" si="0"/>
        <v>45618</v>
      </c>
      <c r="B207" s="231">
        <v>25180</v>
      </c>
      <c r="D207" s="232">
        <v>25180</v>
      </c>
    </row>
    <row r="208" spans="1:4" ht="15.75" customHeight="1">
      <c r="A208" s="228">
        <f t="shared" si="0"/>
        <v>45619</v>
      </c>
      <c r="B208" s="231">
        <v>25150</v>
      </c>
      <c r="D208" s="232">
        <v>25150</v>
      </c>
    </row>
    <row r="209" spans="1:4" ht="15.75" customHeight="1">
      <c r="A209" s="228">
        <f t="shared" si="0"/>
        <v>45620</v>
      </c>
      <c r="B209" s="231">
        <v>25120</v>
      </c>
      <c r="D209" s="232">
        <v>25120</v>
      </c>
    </row>
    <row r="210" spans="1:4" ht="15.75" customHeight="1">
      <c r="A210" s="228">
        <f t="shared" si="0"/>
        <v>45621</v>
      </c>
      <c r="B210" s="231">
        <v>25090</v>
      </c>
      <c r="D210" s="232">
        <v>25090</v>
      </c>
    </row>
    <row r="211" spans="1:4" ht="15.75" customHeight="1">
      <c r="A211" s="228">
        <f t="shared" si="0"/>
        <v>45622</v>
      </c>
      <c r="B211" s="231">
        <v>25060</v>
      </c>
      <c r="D211" s="232">
        <v>25060</v>
      </c>
    </row>
    <row r="212" spans="1:4" ht="15.75" customHeight="1">
      <c r="A212" s="228">
        <f t="shared" si="0"/>
        <v>45623</v>
      </c>
      <c r="B212" s="231">
        <v>25035</v>
      </c>
      <c r="D212" s="232">
        <v>25035</v>
      </c>
    </row>
    <row r="213" spans="1:4" ht="15.75" customHeight="1">
      <c r="A213" s="228">
        <f t="shared" si="0"/>
        <v>45624</v>
      </c>
      <c r="B213" s="233">
        <f>+B212-10</f>
        <v>25025</v>
      </c>
    </row>
    <row r="214" spans="1:4" ht="15.75" customHeight="1">
      <c r="A214" s="228">
        <f t="shared" si="0"/>
        <v>45625</v>
      </c>
      <c r="B214" s="233">
        <f>+B213-10</f>
        <v>25015</v>
      </c>
    </row>
    <row r="215" spans="1:4" ht="15.75" customHeight="1">
      <c r="A215" s="228">
        <f t="shared" si="0"/>
        <v>45626</v>
      </c>
      <c r="B215" s="233">
        <f>+B214-10</f>
        <v>25005</v>
      </c>
    </row>
    <row r="216" spans="1:4" ht="15.75" customHeight="1">
      <c r="A216" s="228">
        <f t="shared" si="0"/>
        <v>45627</v>
      </c>
      <c r="B216" s="231">
        <v>24795</v>
      </c>
    </row>
    <row r="217" spans="1:4" ht="15.75" customHeight="1">
      <c r="A217" s="228">
        <f t="shared" si="0"/>
        <v>45628</v>
      </c>
      <c r="B217" s="231">
        <v>24735</v>
      </c>
    </row>
    <row r="218" spans="1:4" ht="15.75" customHeight="1">
      <c r="A218" s="228">
        <f t="shared" si="0"/>
        <v>45629</v>
      </c>
      <c r="B218" s="231">
        <v>24675</v>
      </c>
    </row>
    <row r="219" spans="1:4" ht="15.75" customHeight="1">
      <c r="A219" s="228">
        <f t="shared" si="0"/>
        <v>45630</v>
      </c>
      <c r="B219" s="231">
        <v>24615</v>
      </c>
    </row>
    <row r="220" spans="1:4" ht="15.75" customHeight="1">
      <c r="A220" s="228">
        <f t="shared" si="0"/>
        <v>45631</v>
      </c>
      <c r="B220" s="231">
        <v>24450</v>
      </c>
    </row>
    <row r="221" spans="1:4" ht="15.75" customHeight="1">
      <c r="A221" s="228">
        <f t="shared" si="0"/>
        <v>45632</v>
      </c>
      <c r="B221" s="231">
        <v>24370</v>
      </c>
    </row>
    <row r="222" spans="1:4" ht="15.75" customHeight="1">
      <c r="A222" s="228">
        <f t="shared" si="0"/>
        <v>45633</v>
      </c>
      <c r="B222" s="231">
        <v>24320</v>
      </c>
    </row>
    <row r="223" spans="1:4" ht="15.75" customHeight="1">
      <c r="A223" s="228">
        <f t="shared" si="0"/>
        <v>45634</v>
      </c>
      <c r="B223" s="231">
        <v>24270</v>
      </c>
    </row>
    <row r="224" spans="1:4" ht="15.75" customHeight="1">
      <c r="A224" s="228">
        <f t="shared" si="0"/>
        <v>45635</v>
      </c>
      <c r="B224" s="231">
        <v>24220</v>
      </c>
    </row>
    <row r="225" spans="1:2" ht="15.75" customHeight="1">
      <c r="A225" s="228">
        <f t="shared" si="0"/>
        <v>45636</v>
      </c>
      <c r="B225" s="231">
        <v>24170</v>
      </c>
    </row>
    <row r="226" spans="1:2" ht="15.75" customHeight="1">
      <c r="A226" s="228">
        <f t="shared" si="0"/>
        <v>45637</v>
      </c>
      <c r="B226" s="231">
        <v>24120</v>
      </c>
    </row>
    <row r="227" spans="1:2" ht="15.75" customHeight="1">
      <c r="A227" s="228">
        <f t="shared" si="0"/>
        <v>45638</v>
      </c>
      <c r="B227" s="231">
        <v>24070</v>
      </c>
    </row>
    <row r="228" spans="1:2" ht="15.75" customHeight="1">
      <c r="A228" s="228">
        <f t="shared" si="0"/>
        <v>45639</v>
      </c>
      <c r="B228" s="231">
        <v>24020</v>
      </c>
    </row>
    <row r="229" spans="1:2" ht="15.75" customHeight="1">
      <c r="A229" s="228">
        <f t="shared" si="0"/>
        <v>45640</v>
      </c>
      <c r="B229" s="231">
        <v>23970</v>
      </c>
    </row>
    <row r="230" spans="1:2" ht="15.75" customHeight="1">
      <c r="A230" s="228">
        <f t="shared" si="0"/>
        <v>45641</v>
      </c>
      <c r="B230" s="231">
        <v>23920</v>
      </c>
    </row>
    <row r="231" spans="1:2" ht="15.75" customHeight="1">
      <c r="A231" s="228">
        <f t="shared" si="0"/>
        <v>45642</v>
      </c>
      <c r="B231" s="231">
        <v>23870</v>
      </c>
    </row>
    <row r="232" spans="1:2" ht="15.75" customHeight="1">
      <c r="A232" s="228">
        <f t="shared" si="0"/>
        <v>45643</v>
      </c>
      <c r="B232" s="231">
        <v>23820</v>
      </c>
    </row>
    <row r="233" spans="1:2" ht="15.75" customHeight="1">
      <c r="A233" s="228">
        <f t="shared" si="0"/>
        <v>45644</v>
      </c>
      <c r="B233" s="231">
        <v>23770</v>
      </c>
    </row>
    <row r="234" spans="1:2" ht="15.75" customHeight="1">
      <c r="A234" s="228">
        <f t="shared" si="0"/>
        <v>45645</v>
      </c>
      <c r="B234" s="231">
        <v>23720</v>
      </c>
    </row>
    <row r="235" spans="1:2" ht="15.75" customHeight="1">
      <c r="A235" s="228">
        <f t="shared" si="0"/>
        <v>45646</v>
      </c>
      <c r="B235" s="231">
        <v>23670</v>
      </c>
    </row>
    <row r="236" spans="1:2" ht="15.75" customHeight="1">
      <c r="A236" s="228">
        <f t="shared" si="0"/>
        <v>45647</v>
      </c>
      <c r="B236" s="231">
        <v>23620</v>
      </c>
    </row>
    <row r="237" spans="1:2" ht="15.75" customHeight="1">
      <c r="A237" s="228">
        <f t="shared" si="0"/>
        <v>45648</v>
      </c>
      <c r="B237" s="231">
        <v>23570</v>
      </c>
    </row>
    <row r="238" spans="1:2" ht="15.75" customHeight="1">
      <c r="A238" s="228">
        <f t="shared" si="0"/>
        <v>45649</v>
      </c>
      <c r="B238" s="231">
        <v>23520</v>
      </c>
    </row>
    <row r="239" spans="1:2" ht="15.75" customHeight="1">
      <c r="A239" s="228">
        <f t="shared" si="0"/>
        <v>45650</v>
      </c>
      <c r="B239" s="231">
        <v>23470</v>
      </c>
    </row>
    <row r="240" spans="1:2" ht="15.75" customHeight="1">
      <c r="A240" s="228">
        <f t="shared" si="0"/>
        <v>45651</v>
      </c>
      <c r="B240" s="231">
        <v>23420</v>
      </c>
    </row>
    <row r="241" spans="1:2" ht="15.75" customHeight="1">
      <c r="A241" s="228">
        <f t="shared" si="0"/>
        <v>45652</v>
      </c>
      <c r="B241" s="231">
        <v>23370</v>
      </c>
    </row>
    <row r="242" spans="1:2" ht="15.75" customHeight="1">
      <c r="A242" s="228">
        <f t="shared" si="0"/>
        <v>45653</v>
      </c>
      <c r="B242" s="231">
        <v>23335</v>
      </c>
    </row>
    <row r="243" spans="1:2" ht="15.75" customHeight="1">
      <c r="A243" s="228">
        <f t="shared" si="0"/>
        <v>45654</v>
      </c>
      <c r="B243" s="231">
        <v>23325</v>
      </c>
    </row>
    <row r="244" spans="1:2" ht="15.75" customHeight="1">
      <c r="A244" s="228">
        <f t="shared" si="0"/>
        <v>45655</v>
      </c>
      <c r="B244" s="231">
        <v>23315</v>
      </c>
    </row>
    <row r="245" spans="1:2" ht="15.75" customHeight="1">
      <c r="A245" s="228">
        <f t="shared" si="0"/>
        <v>45656</v>
      </c>
      <c r="B245" s="231">
        <v>23305</v>
      </c>
    </row>
    <row r="246" spans="1:2" ht="15.75" customHeight="1">
      <c r="A246" s="228">
        <f t="shared" si="0"/>
        <v>45657</v>
      </c>
      <c r="B246" s="231">
        <v>23295</v>
      </c>
    </row>
    <row r="247" spans="1:2" ht="15.75" customHeight="1">
      <c r="A247" s="228">
        <f t="shared" si="0"/>
        <v>45658</v>
      </c>
      <c r="B247" s="231">
        <v>23285</v>
      </c>
    </row>
    <row r="248" spans="1:2" ht="15.75" customHeight="1">
      <c r="A248" s="228">
        <f t="shared" si="0"/>
        <v>45659</v>
      </c>
      <c r="B248" s="231">
        <v>23275</v>
      </c>
    </row>
    <row r="249" spans="1:2" ht="15.75" customHeight="1">
      <c r="A249" s="228">
        <f t="shared" si="0"/>
        <v>45660</v>
      </c>
      <c r="B249" s="231">
        <v>23265</v>
      </c>
    </row>
    <row r="250" spans="1:2" ht="15.75" customHeight="1">
      <c r="A250" s="228">
        <f t="shared" si="0"/>
        <v>45661</v>
      </c>
      <c r="B250" s="231">
        <v>23255</v>
      </c>
    </row>
    <row r="251" spans="1:2" ht="15.75" customHeight="1">
      <c r="A251" s="228">
        <f t="shared" si="0"/>
        <v>45662</v>
      </c>
      <c r="B251" s="231">
        <v>23245</v>
      </c>
    </row>
    <row r="252" spans="1:2" ht="15.75" customHeight="1">
      <c r="A252" s="228">
        <f t="shared" si="0"/>
        <v>45663</v>
      </c>
      <c r="B252" s="231">
        <v>23235</v>
      </c>
    </row>
    <row r="253" spans="1:2" ht="15.75" customHeight="1">
      <c r="A253" s="228">
        <f t="shared" si="0"/>
        <v>45664</v>
      </c>
      <c r="B253" s="231">
        <v>23225</v>
      </c>
    </row>
    <row r="254" spans="1:2" ht="15.75" customHeight="1">
      <c r="A254" s="228">
        <f t="shared" si="0"/>
        <v>45665</v>
      </c>
      <c r="B254" s="231">
        <v>23215</v>
      </c>
    </row>
    <row r="255" spans="1:2" ht="15.75" customHeight="1">
      <c r="A255" s="228">
        <f t="shared" si="0"/>
        <v>45666</v>
      </c>
      <c r="B255" s="231">
        <v>23228</v>
      </c>
    </row>
    <row r="256" spans="1:2" ht="15.75" customHeight="1">
      <c r="A256" s="228">
        <f t="shared" si="0"/>
        <v>45667</v>
      </c>
      <c r="B256" s="231">
        <v>23241</v>
      </c>
    </row>
    <row r="257" spans="1:2" ht="15.75" customHeight="1">
      <c r="A257" s="228">
        <f t="shared" si="0"/>
        <v>45668</v>
      </c>
      <c r="B257" s="231">
        <v>23254</v>
      </c>
    </row>
    <row r="258" spans="1:2" ht="15.75" customHeight="1">
      <c r="A258" s="228">
        <f t="shared" si="0"/>
        <v>45669</v>
      </c>
      <c r="B258" s="231">
        <v>23267</v>
      </c>
    </row>
    <row r="259" spans="1:2" ht="15.75" customHeight="1">
      <c r="A259" s="228">
        <f t="shared" si="0"/>
        <v>45670</v>
      </c>
      <c r="B259" s="231">
        <v>23280</v>
      </c>
    </row>
    <row r="260" spans="1:2" ht="15.75" customHeight="1">
      <c r="A260" s="228">
        <f t="shared" si="0"/>
        <v>45671</v>
      </c>
      <c r="B260" s="231">
        <v>23293</v>
      </c>
    </row>
    <row r="261" spans="1:2" ht="15.75" customHeight="1">
      <c r="A261" s="228">
        <f t="shared" si="0"/>
        <v>45672</v>
      </c>
      <c r="B261" s="231">
        <v>23306</v>
      </c>
    </row>
    <row r="262" spans="1:2" ht="15.75" customHeight="1">
      <c r="A262" s="228">
        <f t="shared" si="0"/>
        <v>45673</v>
      </c>
      <c r="B262" s="231">
        <v>23319</v>
      </c>
    </row>
    <row r="263" spans="1:2" ht="15.75" customHeight="1">
      <c r="A263" s="228">
        <f t="shared" si="0"/>
        <v>45674</v>
      </c>
      <c r="B263" s="231">
        <v>23332</v>
      </c>
    </row>
    <row r="264" spans="1:2" ht="15.75" customHeight="1">
      <c r="A264" s="228">
        <f t="shared" si="0"/>
        <v>45675</v>
      </c>
      <c r="B264" s="231">
        <v>23345</v>
      </c>
    </row>
    <row r="265" spans="1:2" ht="15.75" customHeight="1">
      <c r="A265" s="228">
        <f t="shared" si="0"/>
        <v>45676</v>
      </c>
      <c r="B265" s="231">
        <v>23358</v>
      </c>
    </row>
    <row r="266" spans="1:2" ht="15.75" customHeight="1">
      <c r="A266" s="228">
        <f t="shared" si="0"/>
        <v>45677</v>
      </c>
      <c r="B266" s="231">
        <v>23371</v>
      </c>
    </row>
    <row r="267" spans="1:2" ht="15.75" customHeight="1">
      <c r="A267" s="228">
        <f t="shared" si="0"/>
        <v>45678</v>
      </c>
      <c r="B267" s="231">
        <v>23384</v>
      </c>
    </row>
    <row r="268" spans="1:2" ht="15.75" customHeight="1">
      <c r="A268" s="228">
        <f t="shared" si="0"/>
        <v>45679</v>
      </c>
      <c r="B268" s="231">
        <v>23395</v>
      </c>
    </row>
    <row r="269" spans="1:2" ht="15.75" customHeight="1">
      <c r="A269" s="228">
        <f t="shared" si="0"/>
        <v>45680</v>
      </c>
      <c r="B269" s="231">
        <v>23405</v>
      </c>
    </row>
    <row r="270" spans="1:2" ht="15.75" customHeight="1">
      <c r="A270" s="228">
        <f t="shared" si="0"/>
        <v>45681</v>
      </c>
      <c r="B270" s="231">
        <v>23415</v>
      </c>
    </row>
    <row r="271" spans="1:2" ht="15.75" customHeight="1">
      <c r="A271" s="228">
        <f t="shared" si="0"/>
        <v>45682</v>
      </c>
      <c r="B271" s="231">
        <v>23425</v>
      </c>
    </row>
    <row r="272" spans="1:2" ht="15.75" customHeight="1">
      <c r="A272" s="228">
        <f t="shared" si="0"/>
        <v>45683</v>
      </c>
      <c r="B272" s="231">
        <v>23435</v>
      </c>
    </row>
    <row r="273" spans="1:2" ht="15.75" customHeight="1">
      <c r="A273" s="228">
        <f t="shared" si="0"/>
        <v>45684</v>
      </c>
      <c r="B273" s="231">
        <v>23445</v>
      </c>
    </row>
    <row r="274" spans="1:2" ht="15.75" customHeight="1">
      <c r="A274" s="228">
        <f t="shared" si="0"/>
        <v>45685</v>
      </c>
      <c r="B274" s="231">
        <v>23455</v>
      </c>
    </row>
    <row r="275" spans="1:2" ht="15.75" customHeight="1">
      <c r="A275" s="228">
        <f t="shared" si="0"/>
        <v>45686</v>
      </c>
      <c r="B275" s="231">
        <v>23465</v>
      </c>
    </row>
    <row r="276" spans="1:2" ht="15.75" customHeight="1">
      <c r="A276" s="228">
        <f t="shared" si="0"/>
        <v>45687</v>
      </c>
      <c r="B276" s="231">
        <v>23475</v>
      </c>
    </row>
    <row r="277" spans="1:2" ht="15.75" customHeight="1">
      <c r="A277" s="228">
        <f t="shared" si="0"/>
        <v>45688</v>
      </c>
      <c r="B277" s="231">
        <v>23480</v>
      </c>
    </row>
    <row r="278" spans="1:2" ht="15.75" customHeight="1">
      <c r="A278" s="228">
        <f t="shared" si="0"/>
        <v>45689</v>
      </c>
      <c r="B278" s="231">
        <v>23478</v>
      </c>
    </row>
    <row r="279" spans="1:2" ht="15.75" customHeight="1">
      <c r="A279" s="228">
        <f t="shared" si="0"/>
        <v>45690</v>
      </c>
      <c r="B279" s="231">
        <v>23476</v>
      </c>
    </row>
    <row r="280" spans="1:2" ht="15.75" customHeight="1">
      <c r="A280" s="228">
        <f t="shared" si="0"/>
        <v>45691</v>
      </c>
      <c r="B280" s="231">
        <v>23474</v>
      </c>
    </row>
    <row r="281" spans="1:2" ht="15.75" customHeight="1">
      <c r="A281" s="228">
        <f t="shared" si="0"/>
        <v>45692</v>
      </c>
      <c r="B281" s="231">
        <v>23472</v>
      </c>
    </row>
    <row r="282" spans="1:2" ht="15.75" customHeight="1">
      <c r="A282" s="228">
        <f t="shared" si="0"/>
        <v>45693</v>
      </c>
      <c r="B282" s="231">
        <v>23470</v>
      </c>
    </row>
    <row r="283" spans="1:2" ht="15.75" customHeight="1">
      <c r="A283" s="228">
        <f t="shared" si="0"/>
        <v>45694</v>
      </c>
      <c r="B283" s="231">
        <v>23465</v>
      </c>
    </row>
    <row r="284" spans="1:2" ht="15.75" customHeight="1">
      <c r="A284" s="228">
        <f t="shared" si="0"/>
        <v>45695</v>
      </c>
      <c r="B284" s="231">
        <v>23465</v>
      </c>
    </row>
    <row r="285" spans="1:2" ht="15.75" customHeight="1">
      <c r="A285" s="228">
        <f t="shared" si="0"/>
        <v>45696</v>
      </c>
      <c r="B285" s="266">
        <v>23540</v>
      </c>
    </row>
    <row r="286" spans="1:2" ht="15.75" customHeight="1">
      <c r="A286" s="228">
        <f t="shared" si="0"/>
        <v>45697</v>
      </c>
      <c r="B286" s="266">
        <v>23615</v>
      </c>
    </row>
    <row r="287" spans="1:2" ht="15.75" customHeight="1">
      <c r="A287" s="228">
        <f t="shared" si="0"/>
        <v>45698</v>
      </c>
      <c r="B287" s="266">
        <v>23690</v>
      </c>
    </row>
    <row r="288" spans="1:2" ht="15.75" customHeight="1">
      <c r="A288" s="228">
        <f t="shared" si="0"/>
        <v>45699</v>
      </c>
      <c r="B288" s="266">
        <v>23765</v>
      </c>
    </row>
    <row r="289" spans="1:2" ht="15.75" customHeight="1">
      <c r="A289" s="228">
        <f t="shared" si="0"/>
        <v>45700</v>
      </c>
      <c r="B289" s="266">
        <v>23840</v>
      </c>
    </row>
    <row r="290" spans="1:2" ht="15.75" customHeight="1">
      <c r="A290" s="228">
        <f t="shared" si="0"/>
        <v>45701</v>
      </c>
      <c r="B290" s="266">
        <v>23850</v>
      </c>
    </row>
    <row r="291" spans="1:2" ht="15.75" customHeight="1">
      <c r="A291" s="228">
        <f t="shared" si="0"/>
        <v>45702</v>
      </c>
      <c r="B291" s="266">
        <v>23845</v>
      </c>
    </row>
    <row r="292" spans="1:2" ht="15.75" customHeight="1">
      <c r="A292" s="228">
        <f t="shared" si="0"/>
        <v>45703</v>
      </c>
      <c r="B292" s="266">
        <v>23840</v>
      </c>
    </row>
    <row r="293" spans="1:2" ht="15.75" customHeight="1">
      <c r="A293" s="228">
        <f t="shared" si="0"/>
        <v>45704</v>
      </c>
      <c r="B293" s="266">
        <v>23835</v>
      </c>
    </row>
    <row r="294" spans="1:2" ht="15.75" customHeight="1">
      <c r="A294" s="228">
        <f t="shared" si="0"/>
        <v>45705</v>
      </c>
      <c r="B294" s="266">
        <v>23830</v>
      </c>
    </row>
    <row r="295" spans="1:2" ht="15.75" customHeight="1">
      <c r="A295" s="228">
        <f t="shared" si="0"/>
        <v>45706</v>
      </c>
      <c r="B295" s="266">
        <v>23825</v>
      </c>
    </row>
    <row r="296" spans="1:2" ht="15.75" customHeight="1">
      <c r="A296" s="228">
        <f t="shared" si="0"/>
        <v>45707</v>
      </c>
      <c r="B296" s="266">
        <v>23820</v>
      </c>
    </row>
    <row r="297" spans="1:2" ht="15.75" customHeight="1">
      <c r="A297" s="228">
        <f t="shared" si="0"/>
        <v>45708</v>
      </c>
      <c r="B297" s="266">
        <v>23815</v>
      </c>
    </row>
    <row r="298" spans="1:2" ht="15.75" customHeight="1">
      <c r="A298" s="228">
        <f t="shared" si="0"/>
        <v>45709</v>
      </c>
      <c r="B298" s="266">
        <v>23810</v>
      </c>
    </row>
    <row r="299" spans="1:2" ht="15.75" customHeight="1">
      <c r="A299" s="228">
        <f t="shared" si="0"/>
        <v>45710</v>
      </c>
      <c r="B299" s="266">
        <v>23805</v>
      </c>
    </row>
    <row r="300" spans="1:2" ht="15.75" customHeight="1">
      <c r="A300" s="228">
        <f t="shared" si="0"/>
        <v>45711</v>
      </c>
      <c r="B300" s="266">
        <v>23800</v>
      </c>
    </row>
    <row r="301" spans="1:2" ht="15.75" customHeight="1">
      <c r="A301" s="228">
        <f t="shared" si="0"/>
        <v>45712</v>
      </c>
      <c r="B301" s="266">
        <v>23795</v>
      </c>
    </row>
    <row r="302" spans="1:2" ht="15.75" customHeight="1">
      <c r="A302" s="228">
        <f t="shared" si="0"/>
        <v>45713</v>
      </c>
      <c r="B302" s="266">
        <v>23790</v>
      </c>
    </row>
    <row r="303" spans="1:2" ht="15.75" customHeight="1">
      <c r="A303" s="228">
        <f t="shared" si="0"/>
        <v>45714</v>
      </c>
      <c r="B303" s="266">
        <v>23775</v>
      </c>
    </row>
    <row r="304" spans="1:2" ht="15.75" customHeight="1">
      <c r="A304" s="228">
        <f t="shared" si="0"/>
        <v>45715</v>
      </c>
      <c r="B304" s="266">
        <v>23765</v>
      </c>
    </row>
    <row r="305" spans="1:2" ht="15.75" customHeight="1">
      <c r="A305" s="228">
        <f t="shared" si="0"/>
        <v>45716</v>
      </c>
      <c r="B305" s="266">
        <v>23755</v>
      </c>
    </row>
    <row r="306" spans="1:2" ht="15.75" customHeight="1">
      <c r="A306" s="228">
        <f t="shared" si="0"/>
        <v>45717</v>
      </c>
      <c r="B306" s="266">
        <v>23745</v>
      </c>
    </row>
    <row r="307" spans="1:2" ht="15.75" customHeight="1">
      <c r="A307" s="228">
        <f t="shared" si="0"/>
        <v>45718</v>
      </c>
      <c r="B307" s="266">
        <v>23735</v>
      </c>
    </row>
    <row r="308" spans="1:2" ht="15.75" customHeight="1">
      <c r="A308" s="228">
        <f t="shared" si="0"/>
        <v>45719</v>
      </c>
      <c r="B308" s="266">
        <v>23725</v>
      </c>
    </row>
    <row r="309" spans="1:2" ht="15.75" customHeight="1">
      <c r="A309" s="228">
        <f t="shared" si="0"/>
        <v>45720</v>
      </c>
      <c r="B309" s="266">
        <v>23715</v>
      </c>
    </row>
    <row r="310" spans="1:2" ht="15.75" customHeight="1">
      <c r="A310" s="228">
        <f t="shared" si="0"/>
        <v>45721</v>
      </c>
      <c r="B310" s="266">
        <v>23705</v>
      </c>
    </row>
    <row r="311" spans="1:2" ht="15.75" customHeight="1">
      <c r="A311" s="228">
        <f t="shared" si="0"/>
        <v>45722</v>
      </c>
      <c r="B311" s="266">
        <v>23700</v>
      </c>
    </row>
    <row r="312" spans="1:2" ht="15.75" customHeight="1">
      <c r="A312" s="228">
        <f t="shared" si="0"/>
        <v>45723</v>
      </c>
      <c r="B312" s="266">
        <v>23705</v>
      </c>
    </row>
    <row r="313" spans="1:2" ht="15.75" customHeight="1">
      <c r="A313" s="228">
        <f t="shared" si="0"/>
        <v>45724</v>
      </c>
      <c r="B313" s="266">
        <v>23710</v>
      </c>
    </row>
    <row r="314" spans="1:2" ht="15.75" customHeight="1">
      <c r="A314" s="228">
        <f t="shared" si="0"/>
        <v>45725</v>
      </c>
      <c r="B314" s="266">
        <v>23715</v>
      </c>
    </row>
    <row r="315" spans="1:2" ht="15.75" customHeight="1">
      <c r="A315" s="228">
        <f t="shared" ref="A315:A378" si="1">+A314+1</f>
        <v>45726</v>
      </c>
      <c r="B315" s="266">
        <v>23720</v>
      </c>
    </row>
    <row r="316" spans="1:2" ht="15.75" customHeight="1">
      <c r="A316" s="228">
        <f t="shared" si="1"/>
        <v>45727</v>
      </c>
      <c r="B316" s="266">
        <v>23725</v>
      </c>
    </row>
    <row r="317" spans="1:2" ht="15.75" customHeight="1">
      <c r="A317" s="228">
        <f t="shared" si="1"/>
        <v>45728</v>
      </c>
      <c r="B317" s="266">
        <v>23730</v>
      </c>
    </row>
    <row r="318" spans="1:2" ht="15.75" customHeight="1">
      <c r="A318" s="228">
        <f t="shared" si="1"/>
        <v>45729</v>
      </c>
      <c r="B318" s="266">
        <v>23730</v>
      </c>
    </row>
    <row r="319" spans="1:2" ht="15.75" customHeight="1">
      <c r="A319" s="228">
        <f t="shared" si="1"/>
        <v>45730</v>
      </c>
      <c r="B319" s="266">
        <v>23734</v>
      </c>
    </row>
    <row r="320" spans="1:2" ht="15.75" customHeight="1">
      <c r="A320" s="228">
        <f t="shared" si="1"/>
        <v>45731</v>
      </c>
      <c r="B320" s="266">
        <v>23738</v>
      </c>
    </row>
    <row r="321" spans="1:2" ht="15.75" customHeight="1">
      <c r="A321" s="228">
        <f t="shared" si="1"/>
        <v>45732</v>
      </c>
      <c r="B321" s="266">
        <v>23742</v>
      </c>
    </row>
    <row r="322" spans="1:2" ht="15.75" customHeight="1">
      <c r="A322" s="228">
        <f t="shared" si="1"/>
        <v>45733</v>
      </c>
      <c r="B322" s="266">
        <v>23746</v>
      </c>
    </row>
    <row r="323" spans="1:2" ht="15.75" customHeight="1">
      <c r="A323" s="228">
        <f t="shared" si="1"/>
        <v>45734</v>
      </c>
      <c r="B323" s="266">
        <v>23750</v>
      </c>
    </row>
    <row r="324" spans="1:2" ht="15.75" customHeight="1">
      <c r="A324" s="228">
        <f t="shared" si="1"/>
        <v>45735</v>
      </c>
      <c r="B324" s="266">
        <v>23754</v>
      </c>
    </row>
    <row r="325" spans="1:2" ht="15.75" customHeight="1">
      <c r="A325" s="228">
        <f t="shared" si="1"/>
        <v>45736</v>
      </c>
      <c r="B325" s="266">
        <v>23758</v>
      </c>
    </row>
    <row r="326" spans="1:2" ht="15.75" customHeight="1">
      <c r="A326" s="228">
        <f t="shared" si="1"/>
        <v>45737</v>
      </c>
      <c r="B326" s="266">
        <v>23762</v>
      </c>
    </row>
    <row r="327" spans="1:2" ht="15.75" customHeight="1">
      <c r="A327" s="228">
        <f t="shared" si="1"/>
        <v>45738</v>
      </c>
      <c r="B327" s="266">
        <v>23766</v>
      </c>
    </row>
    <row r="328" spans="1:2" ht="15.75" customHeight="1">
      <c r="A328" s="228">
        <f t="shared" si="1"/>
        <v>45739</v>
      </c>
      <c r="B328" s="266">
        <v>23770</v>
      </c>
    </row>
    <row r="329" spans="1:2" ht="15.75" customHeight="1">
      <c r="A329" s="228">
        <f t="shared" si="1"/>
        <v>45740</v>
      </c>
      <c r="B329" s="266">
        <v>23774</v>
      </c>
    </row>
    <row r="330" spans="1:2" ht="15.75" customHeight="1">
      <c r="A330" s="228">
        <f t="shared" si="1"/>
        <v>45741</v>
      </c>
      <c r="B330" s="266">
        <v>23778</v>
      </c>
    </row>
    <row r="331" spans="1:2" ht="15.75" customHeight="1">
      <c r="A331" s="228">
        <f t="shared" si="1"/>
        <v>45742</v>
      </c>
      <c r="B331" s="266">
        <v>23780</v>
      </c>
    </row>
    <row r="332" spans="1:2" ht="15.75" customHeight="1">
      <c r="A332" s="228">
        <f t="shared" si="1"/>
        <v>45743</v>
      </c>
      <c r="B332" s="266">
        <v>23778</v>
      </c>
    </row>
    <row r="333" spans="1:2" ht="15.75" customHeight="1">
      <c r="A333" s="228">
        <f t="shared" si="1"/>
        <v>45744</v>
      </c>
      <c r="B333" s="266">
        <v>23777</v>
      </c>
    </row>
    <row r="334" spans="1:2" ht="15.75" customHeight="1">
      <c r="A334" s="228">
        <f t="shared" si="1"/>
        <v>45745</v>
      </c>
      <c r="B334" s="266">
        <v>23776</v>
      </c>
    </row>
    <row r="335" spans="1:2" ht="15.75" customHeight="1">
      <c r="A335" s="228">
        <f t="shared" si="1"/>
        <v>45746</v>
      </c>
      <c r="B335" s="266">
        <v>23775</v>
      </c>
    </row>
    <row r="336" spans="1:2" ht="15.75" customHeight="1">
      <c r="A336" s="228">
        <f t="shared" si="1"/>
        <v>45747</v>
      </c>
      <c r="B336" s="266">
        <v>23774</v>
      </c>
    </row>
    <row r="337" spans="1:2" ht="15.75" customHeight="1">
      <c r="A337" s="228">
        <f t="shared" si="1"/>
        <v>45748</v>
      </c>
      <c r="B337" s="266">
        <v>23773</v>
      </c>
    </row>
    <row r="338" spans="1:2" ht="15.75" customHeight="1">
      <c r="A338" s="228">
        <f t="shared" si="1"/>
        <v>45749</v>
      </c>
      <c r="B338" s="266">
        <v>23772</v>
      </c>
    </row>
    <row r="339" spans="1:2" ht="15.75" customHeight="1">
      <c r="A339" s="228">
        <f t="shared" si="1"/>
        <v>45750</v>
      </c>
      <c r="B339" s="266">
        <v>23771</v>
      </c>
    </row>
    <row r="340" spans="1:2" ht="15.75" customHeight="1">
      <c r="A340" s="228">
        <f t="shared" si="1"/>
        <v>45751</v>
      </c>
      <c r="B340" s="266">
        <v>23770</v>
      </c>
    </row>
    <row r="341" spans="1:2" ht="15.75" customHeight="1">
      <c r="A341" s="228">
        <f t="shared" si="1"/>
        <v>45752</v>
      </c>
      <c r="B341" s="266">
        <v>23769</v>
      </c>
    </row>
    <row r="342" spans="1:2" ht="15.75" customHeight="1">
      <c r="A342" s="228">
        <f t="shared" si="1"/>
        <v>45753</v>
      </c>
      <c r="B342" s="266">
        <v>23768</v>
      </c>
    </row>
    <row r="343" spans="1:2" ht="15.75" customHeight="1">
      <c r="A343" s="228">
        <f t="shared" si="1"/>
        <v>45754</v>
      </c>
      <c r="B343" s="266">
        <v>23767</v>
      </c>
    </row>
    <row r="344" spans="1:2" ht="15.75" customHeight="1">
      <c r="A344" s="228">
        <f t="shared" si="1"/>
        <v>45755</v>
      </c>
      <c r="B344" s="266">
        <v>23766</v>
      </c>
    </row>
    <row r="345" spans="1:2" ht="15.75" customHeight="1">
      <c r="A345" s="228">
        <f t="shared" si="1"/>
        <v>45756</v>
      </c>
      <c r="B345" s="266">
        <v>23774</v>
      </c>
    </row>
    <row r="346" spans="1:2" ht="15.75" customHeight="1">
      <c r="A346" s="228">
        <f t="shared" si="1"/>
        <v>45757</v>
      </c>
      <c r="B346" s="266">
        <v>23770</v>
      </c>
    </row>
    <row r="347" spans="1:2" ht="15.75" customHeight="1">
      <c r="A347" s="228">
        <f t="shared" si="1"/>
        <v>45758</v>
      </c>
      <c r="B347" s="266">
        <v>23820</v>
      </c>
    </row>
    <row r="348" spans="1:2" ht="15.75" customHeight="1">
      <c r="A348" s="228">
        <f t="shared" si="1"/>
        <v>45759</v>
      </c>
      <c r="B348" s="266">
        <v>23870</v>
      </c>
    </row>
    <row r="349" spans="1:2" ht="15.75" customHeight="1">
      <c r="A349" s="228">
        <f t="shared" si="1"/>
        <v>45760</v>
      </c>
      <c r="B349" s="266">
        <v>23920</v>
      </c>
    </row>
    <row r="350" spans="1:2" ht="15.75" customHeight="1">
      <c r="A350" s="228">
        <f t="shared" si="1"/>
        <v>45761</v>
      </c>
      <c r="B350" s="266">
        <v>23970</v>
      </c>
    </row>
    <row r="351" spans="1:2" ht="15.75" customHeight="1">
      <c r="A351" s="228">
        <f t="shared" si="1"/>
        <v>45762</v>
      </c>
      <c r="B351" s="266">
        <v>24020</v>
      </c>
    </row>
    <row r="352" spans="1:2" ht="15.75" customHeight="1">
      <c r="A352" s="228">
        <f t="shared" si="1"/>
        <v>45763</v>
      </c>
      <c r="B352" s="266">
        <v>24070</v>
      </c>
    </row>
    <row r="353" spans="1:2" ht="15.75" customHeight="1">
      <c r="A353" s="228">
        <f t="shared" si="1"/>
        <v>45764</v>
      </c>
      <c r="B353" s="266">
        <v>24085</v>
      </c>
    </row>
    <row r="354" spans="1:2" ht="15.75" customHeight="1">
      <c r="A354" s="228">
        <f t="shared" si="1"/>
        <v>45765</v>
      </c>
      <c r="B354" s="266">
        <v>24195</v>
      </c>
    </row>
    <row r="355" spans="1:2" ht="15.75" customHeight="1">
      <c r="A355" s="228">
        <f t="shared" si="1"/>
        <v>45766</v>
      </c>
      <c r="B355" s="266">
        <v>24305</v>
      </c>
    </row>
    <row r="356" spans="1:2" ht="15.75" customHeight="1">
      <c r="A356" s="228">
        <f t="shared" si="1"/>
        <v>45767</v>
      </c>
      <c r="B356" s="266">
        <v>24415</v>
      </c>
    </row>
    <row r="357" spans="1:2" ht="15.75" customHeight="1">
      <c r="A357" s="228">
        <f t="shared" si="1"/>
        <v>45768</v>
      </c>
      <c r="B357" s="266">
        <v>24525</v>
      </c>
    </row>
    <row r="358" spans="1:2" ht="15.75" customHeight="1">
      <c r="A358" s="228">
        <f t="shared" si="1"/>
        <v>45769</v>
      </c>
      <c r="B358" s="266">
        <v>24635</v>
      </c>
    </row>
    <row r="359" spans="1:2" ht="15.75" customHeight="1">
      <c r="A359" s="228">
        <f t="shared" si="1"/>
        <v>45770</v>
      </c>
      <c r="B359" s="266">
        <v>24745</v>
      </c>
    </row>
    <row r="360" spans="1:2" ht="15.75" customHeight="1">
      <c r="A360" s="228">
        <f t="shared" si="1"/>
        <v>45771</v>
      </c>
      <c r="B360" s="266">
        <v>24855</v>
      </c>
    </row>
    <row r="361" spans="1:2" ht="15.75" customHeight="1">
      <c r="A361" s="228">
        <f t="shared" si="1"/>
        <v>45772</v>
      </c>
      <c r="B361" s="266">
        <v>24965</v>
      </c>
    </row>
    <row r="362" spans="1:2" ht="15.75" customHeight="1">
      <c r="A362" s="228">
        <f t="shared" si="1"/>
        <v>45773</v>
      </c>
      <c r="B362" s="266">
        <v>25075</v>
      </c>
    </row>
    <row r="363" spans="1:2" ht="15.75" customHeight="1">
      <c r="A363" s="228">
        <f t="shared" si="1"/>
        <v>45774</v>
      </c>
      <c r="B363" s="266">
        <v>25075</v>
      </c>
    </row>
    <row r="364" spans="1:2" ht="15.75" customHeight="1">
      <c r="A364" s="228">
        <f t="shared" si="1"/>
        <v>45775</v>
      </c>
      <c r="B364" s="266">
        <v>25085</v>
      </c>
    </row>
    <row r="365" spans="1:2" ht="15.75" customHeight="1">
      <c r="A365" s="228">
        <f t="shared" si="1"/>
        <v>45776</v>
      </c>
      <c r="B365" s="266">
        <v>25095</v>
      </c>
    </row>
    <row r="366" spans="1:2" ht="15.75" customHeight="1">
      <c r="A366" s="228">
        <f t="shared" si="1"/>
        <v>45777</v>
      </c>
      <c r="B366" s="266">
        <v>25095</v>
      </c>
    </row>
    <row r="367" spans="1:2" ht="15.75" customHeight="1">
      <c r="A367" s="228">
        <f t="shared" si="1"/>
        <v>45778</v>
      </c>
      <c r="B367" s="266">
        <v>25115</v>
      </c>
    </row>
    <row r="368" spans="1:2" ht="15.75" customHeight="1">
      <c r="A368" s="228">
        <f t="shared" si="1"/>
        <v>45779</v>
      </c>
      <c r="B368" s="266">
        <v>25135</v>
      </c>
    </row>
    <row r="369" spans="1:2" ht="15.75" customHeight="1">
      <c r="A369" s="228">
        <f t="shared" si="1"/>
        <v>45780</v>
      </c>
      <c r="B369" s="266">
        <v>25155</v>
      </c>
    </row>
    <row r="370" spans="1:2" ht="15.75" customHeight="1">
      <c r="A370" s="228">
        <f t="shared" si="1"/>
        <v>45781</v>
      </c>
      <c r="B370" s="266">
        <v>25175</v>
      </c>
    </row>
    <row r="371" spans="1:2" ht="15.75" customHeight="1">
      <c r="A371" s="228">
        <f t="shared" si="1"/>
        <v>45782</v>
      </c>
      <c r="B371" s="266">
        <v>25195</v>
      </c>
    </row>
    <row r="372" spans="1:2" ht="15.75" customHeight="1">
      <c r="A372" s="228">
        <f t="shared" si="1"/>
        <v>45783</v>
      </c>
      <c r="B372" s="266">
        <v>25245</v>
      </c>
    </row>
    <row r="373" spans="1:2" ht="15.75" customHeight="1">
      <c r="A373" s="228">
        <f t="shared" si="1"/>
        <v>45784</v>
      </c>
      <c r="B373" s="266">
        <v>25290</v>
      </c>
    </row>
    <row r="374" spans="1:2" ht="15.75" customHeight="1">
      <c r="A374" s="228">
        <f t="shared" si="1"/>
        <v>45785</v>
      </c>
      <c r="B374" s="266">
        <v>25290</v>
      </c>
    </row>
    <row r="375" spans="1:2" ht="15.75" customHeight="1">
      <c r="A375" s="228">
        <f t="shared" si="1"/>
        <v>45786</v>
      </c>
      <c r="B375" s="266">
        <v>25440</v>
      </c>
    </row>
    <row r="376" spans="1:2" ht="15.75" customHeight="1">
      <c r="A376" s="228">
        <f t="shared" si="1"/>
        <v>45787</v>
      </c>
      <c r="B376" s="266">
        <v>25590</v>
      </c>
    </row>
    <row r="377" spans="1:2" ht="15.75" customHeight="1">
      <c r="A377" s="228">
        <f t="shared" si="1"/>
        <v>45788</v>
      </c>
      <c r="B377" s="266">
        <v>25740</v>
      </c>
    </row>
    <row r="378" spans="1:2" ht="15.75" customHeight="1">
      <c r="A378" s="228">
        <f t="shared" si="1"/>
        <v>45789</v>
      </c>
      <c r="B378" s="266">
        <v>25890</v>
      </c>
    </row>
    <row r="379" spans="1:2" ht="15.75" customHeight="1">
      <c r="A379" s="228">
        <f t="shared" ref="A379:A442" si="2">+A378+1</f>
        <v>45790</v>
      </c>
      <c r="B379" s="266">
        <v>26040</v>
      </c>
    </row>
    <row r="380" spans="1:2" ht="15.75" customHeight="1">
      <c r="A380" s="228">
        <f t="shared" si="2"/>
        <v>45791</v>
      </c>
      <c r="B380" s="266">
        <v>26230</v>
      </c>
    </row>
    <row r="381" spans="1:2" ht="15.75" customHeight="1">
      <c r="A381" s="228">
        <f t="shared" si="2"/>
        <v>45792</v>
      </c>
      <c r="B381" s="266">
        <v>26240</v>
      </c>
    </row>
    <row r="382" spans="1:2" ht="15.75" customHeight="1">
      <c r="A382" s="228">
        <f t="shared" si="2"/>
        <v>45793</v>
      </c>
      <c r="B382" s="266">
        <v>26250</v>
      </c>
    </row>
    <row r="383" spans="1:2" ht="15.75" customHeight="1">
      <c r="A383" s="228">
        <f t="shared" si="2"/>
        <v>45794</v>
      </c>
      <c r="B383" s="266">
        <v>26260</v>
      </c>
    </row>
    <row r="384" spans="1:2" ht="15.75" customHeight="1">
      <c r="A384" s="228">
        <f t="shared" si="2"/>
        <v>45795</v>
      </c>
      <c r="B384" s="266">
        <v>26270</v>
      </c>
    </row>
    <row r="385" spans="1:2" ht="15.75" customHeight="1">
      <c r="A385" s="228">
        <f t="shared" si="2"/>
        <v>45796</v>
      </c>
      <c r="B385" s="266">
        <v>26280</v>
      </c>
    </row>
    <row r="386" spans="1:2" ht="15.75" customHeight="1">
      <c r="A386" s="228">
        <f t="shared" si="2"/>
        <v>45797</v>
      </c>
      <c r="B386" s="266">
        <v>26290</v>
      </c>
    </row>
    <row r="387" spans="1:2" ht="15.75" customHeight="1">
      <c r="A387" s="228">
        <f t="shared" si="2"/>
        <v>45798</v>
      </c>
      <c r="B387" s="266">
        <v>26300</v>
      </c>
    </row>
    <row r="388" spans="1:2" ht="15.75" customHeight="1">
      <c r="A388" s="228">
        <f t="shared" si="2"/>
        <v>45799</v>
      </c>
      <c r="B388" s="266">
        <v>26310</v>
      </c>
    </row>
    <row r="389" spans="1:2" ht="15.75" customHeight="1">
      <c r="A389" s="228">
        <f t="shared" si="2"/>
        <v>45800</v>
      </c>
      <c r="B389" s="266">
        <v>26320</v>
      </c>
    </row>
    <row r="390" spans="1:2" ht="15.75" customHeight="1">
      <c r="A390" s="228">
        <f t="shared" si="2"/>
        <v>45801</v>
      </c>
      <c r="B390" s="266">
        <v>26330</v>
      </c>
    </row>
    <row r="391" spans="1:2" ht="15.75" customHeight="1">
      <c r="A391" s="228">
        <f t="shared" si="2"/>
        <v>45802</v>
      </c>
      <c r="B391" s="266">
        <v>26340</v>
      </c>
    </row>
    <row r="392" spans="1:2" ht="15.75" customHeight="1">
      <c r="A392" s="228">
        <f t="shared" si="2"/>
        <v>45803</v>
      </c>
      <c r="B392" s="266">
        <v>26350</v>
      </c>
    </row>
    <row r="393" spans="1:2" ht="15.75" customHeight="1">
      <c r="A393" s="228">
        <f t="shared" si="2"/>
        <v>45804</v>
      </c>
      <c r="B393" s="266">
        <v>26360</v>
      </c>
    </row>
    <row r="394" spans="1:2" ht="15.75" customHeight="1">
      <c r="A394" s="228">
        <f t="shared" si="2"/>
        <v>45805</v>
      </c>
      <c r="B394" s="266">
        <v>26410</v>
      </c>
    </row>
    <row r="395" spans="1:2" ht="15.75" customHeight="1">
      <c r="A395" s="228">
        <f t="shared" si="2"/>
        <v>45806</v>
      </c>
      <c r="B395" s="266">
        <v>26410</v>
      </c>
    </row>
    <row r="396" spans="1:2" ht="15.75" customHeight="1">
      <c r="A396" s="228">
        <f t="shared" si="2"/>
        <v>45807</v>
      </c>
      <c r="B396" s="266">
        <v>26410</v>
      </c>
    </row>
    <row r="397" spans="1:2" ht="15.75" customHeight="1">
      <c r="A397" s="228">
        <f t="shared" si="2"/>
        <v>45808</v>
      </c>
      <c r="B397" s="266">
        <v>26410</v>
      </c>
    </row>
    <row r="398" spans="1:2" ht="15.75" customHeight="1">
      <c r="A398" s="228">
        <f t="shared" si="2"/>
        <v>45809</v>
      </c>
      <c r="B398" s="266">
        <v>26410</v>
      </c>
    </row>
    <row r="399" spans="1:2" ht="15.75" customHeight="1">
      <c r="A399" s="228">
        <f t="shared" si="2"/>
        <v>45810</v>
      </c>
      <c r="B399" s="266">
        <v>26410</v>
      </c>
    </row>
    <row r="400" spans="1:2" ht="15.75" customHeight="1">
      <c r="A400" s="228">
        <f t="shared" si="2"/>
        <v>45811</v>
      </c>
      <c r="B400" s="266">
        <v>26410</v>
      </c>
    </row>
    <row r="401" spans="1:2" ht="15.75" customHeight="1">
      <c r="A401" s="228">
        <f t="shared" si="2"/>
        <v>45812</v>
      </c>
      <c r="B401" s="266">
        <v>26410</v>
      </c>
    </row>
    <row r="402" spans="1:2" ht="15.75" customHeight="1">
      <c r="A402" s="228">
        <f t="shared" si="2"/>
        <v>45813</v>
      </c>
      <c r="B402" s="266">
        <v>26410</v>
      </c>
    </row>
    <row r="403" spans="1:2" ht="15.75" customHeight="1">
      <c r="A403" s="228">
        <f t="shared" si="2"/>
        <v>45814</v>
      </c>
      <c r="B403" s="266">
        <v>26412</v>
      </c>
    </row>
    <row r="404" spans="1:2" ht="15.75" customHeight="1">
      <c r="A404" s="228">
        <f t="shared" si="2"/>
        <v>45815</v>
      </c>
      <c r="B404" s="266">
        <v>26414</v>
      </c>
    </row>
    <row r="405" spans="1:2" ht="15.75" customHeight="1">
      <c r="A405" s="228">
        <f t="shared" si="2"/>
        <v>45816</v>
      </c>
      <c r="B405" s="266">
        <v>26416</v>
      </c>
    </row>
    <row r="406" spans="1:2" ht="15.75" customHeight="1">
      <c r="A406" s="228">
        <f t="shared" si="2"/>
        <v>45817</v>
      </c>
      <c r="B406" s="266">
        <v>26418</v>
      </c>
    </row>
    <row r="407" spans="1:2" ht="15.75" customHeight="1">
      <c r="A407" s="228">
        <f t="shared" si="2"/>
        <v>45818</v>
      </c>
      <c r="B407" s="266">
        <v>26422</v>
      </c>
    </row>
    <row r="408" spans="1:2" ht="15.75" customHeight="1">
      <c r="A408" s="228">
        <f t="shared" si="2"/>
        <v>45819</v>
      </c>
      <c r="B408" s="266">
        <v>26425</v>
      </c>
    </row>
    <row r="409" spans="1:2" ht="15.75" customHeight="1">
      <c r="A409" s="228">
        <f t="shared" si="2"/>
        <v>45820</v>
      </c>
      <c r="B409" s="266">
        <v>26425</v>
      </c>
    </row>
    <row r="410" spans="1:2" ht="15.75" customHeight="1">
      <c r="A410" s="228">
        <f t="shared" si="2"/>
        <v>45821</v>
      </c>
      <c r="B410" s="266">
        <v>26125</v>
      </c>
    </row>
    <row r="411" spans="1:2" ht="15.75" customHeight="1">
      <c r="A411" s="228">
        <f t="shared" si="2"/>
        <v>45822</v>
      </c>
      <c r="B411" s="266">
        <v>25825</v>
      </c>
    </row>
    <row r="412" spans="1:2" ht="15.75" customHeight="1">
      <c r="A412" s="228">
        <f t="shared" si="2"/>
        <v>45823</v>
      </c>
      <c r="B412" s="266">
        <v>25525</v>
      </c>
    </row>
    <row r="413" spans="1:2" ht="15.75" customHeight="1">
      <c r="A413" s="228">
        <f t="shared" si="2"/>
        <v>45824</v>
      </c>
      <c r="B413" s="266">
        <v>25225</v>
      </c>
    </row>
    <row r="414" spans="1:2" ht="15.75" customHeight="1">
      <c r="A414" s="228">
        <f t="shared" si="2"/>
        <v>45825</v>
      </c>
      <c r="B414" s="266">
        <v>24925</v>
      </c>
    </row>
    <row r="415" spans="1:2" ht="15.75" customHeight="1">
      <c r="A415" s="228">
        <f t="shared" si="2"/>
        <v>45826</v>
      </c>
      <c r="B415" s="266">
        <v>24621</v>
      </c>
    </row>
    <row r="416" spans="1:2" ht="15.75" customHeight="1">
      <c r="A416" s="228">
        <f t="shared" si="2"/>
        <v>45827</v>
      </c>
      <c r="B416" s="483">
        <v>24646</v>
      </c>
    </row>
    <row r="417" spans="1:2" ht="15.75" customHeight="1">
      <c r="A417" s="228">
        <f t="shared" si="2"/>
        <v>45828</v>
      </c>
      <c r="B417" s="483">
        <v>24666</v>
      </c>
    </row>
    <row r="418" spans="1:2" ht="15.75" customHeight="1">
      <c r="A418" s="228">
        <f t="shared" si="2"/>
        <v>45829</v>
      </c>
      <c r="B418" s="483">
        <v>24686</v>
      </c>
    </row>
    <row r="419" spans="1:2" ht="15.75" customHeight="1">
      <c r="A419" s="228">
        <f t="shared" si="2"/>
        <v>45830</v>
      </c>
      <c r="B419" s="483">
        <v>24706</v>
      </c>
    </row>
    <row r="420" spans="1:2" ht="15.75" customHeight="1">
      <c r="A420" s="228">
        <f t="shared" si="2"/>
        <v>45831</v>
      </c>
      <c r="B420" s="483">
        <v>24726</v>
      </c>
    </row>
    <row r="421" spans="1:2" ht="15.75" customHeight="1">
      <c r="A421" s="228">
        <f t="shared" si="2"/>
        <v>45832</v>
      </c>
      <c r="B421" s="483">
        <v>24746</v>
      </c>
    </row>
    <row r="422" spans="1:2" ht="15.75" customHeight="1">
      <c r="A422" s="228">
        <f t="shared" si="2"/>
        <v>45833</v>
      </c>
      <c r="B422" s="483">
        <v>24766</v>
      </c>
    </row>
    <row r="423" spans="1:2" ht="15.75" customHeight="1">
      <c r="A423" s="228">
        <f t="shared" si="2"/>
        <v>45834</v>
      </c>
      <c r="B423" s="483">
        <v>24786</v>
      </c>
    </row>
    <row r="424" spans="1:2" ht="15.75" customHeight="1">
      <c r="A424" s="228">
        <f t="shared" si="2"/>
        <v>45835</v>
      </c>
      <c r="B424" s="483">
        <v>24810</v>
      </c>
    </row>
    <row r="425" spans="1:2" ht="15.75" customHeight="1">
      <c r="A425" s="228">
        <f t="shared" si="2"/>
        <v>45836</v>
      </c>
      <c r="B425" s="483">
        <v>24740</v>
      </c>
    </row>
    <row r="426" spans="1:2" ht="15.75" customHeight="1">
      <c r="A426" s="228">
        <f t="shared" si="2"/>
        <v>45837</v>
      </c>
      <c r="B426" s="483">
        <v>24670</v>
      </c>
    </row>
    <row r="427" spans="1:2" ht="15.75" customHeight="1">
      <c r="A427" s="228">
        <f t="shared" si="2"/>
        <v>45838</v>
      </c>
      <c r="B427" s="483">
        <v>24600</v>
      </c>
    </row>
    <row r="428" spans="1:2" ht="15.75" customHeight="1">
      <c r="A428" s="228">
        <f t="shared" si="2"/>
        <v>45839</v>
      </c>
      <c r="B428" s="483">
        <v>24530</v>
      </c>
    </row>
    <row r="429" spans="1:2" ht="15.75" customHeight="1">
      <c r="A429" s="228">
        <f t="shared" si="2"/>
        <v>45840</v>
      </c>
      <c r="B429" s="483">
        <v>24460</v>
      </c>
    </row>
    <row r="430" spans="1:2" ht="15.75" customHeight="1">
      <c r="A430" s="228">
        <f t="shared" si="2"/>
        <v>45841</v>
      </c>
      <c r="B430" s="483">
        <v>23835</v>
      </c>
    </row>
    <row r="431" spans="1:2" ht="15.75" customHeight="1">
      <c r="A431" s="228">
        <f t="shared" si="2"/>
        <v>45842</v>
      </c>
      <c r="B431" s="483">
        <v>23755</v>
      </c>
    </row>
    <row r="432" spans="1:2" ht="15.75" customHeight="1">
      <c r="A432" s="228">
        <f t="shared" si="2"/>
        <v>45843</v>
      </c>
      <c r="B432" s="483">
        <v>23675</v>
      </c>
    </row>
    <row r="433" spans="1:2" ht="15.75" customHeight="1">
      <c r="A433" s="228">
        <f t="shared" si="2"/>
        <v>45844</v>
      </c>
      <c r="B433" s="483">
        <v>23595</v>
      </c>
    </row>
    <row r="434" spans="1:2" ht="15.75" customHeight="1">
      <c r="A434" s="228">
        <f t="shared" si="2"/>
        <v>45845</v>
      </c>
      <c r="B434" s="483">
        <v>23515</v>
      </c>
    </row>
    <row r="435" spans="1:2" ht="15.75" customHeight="1">
      <c r="A435" s="228">
        <f t="shared" si="2"/>
        <v>45846</v>
      </c>
      <c r="B435" s="483">
        <v>23435</v>
      </c>
    </row>
    <row r="436" spans="1:2" ht="15.75" customHeight="1">
      <c r="A436" s="228">
        <f t="shared" si="2"/>
        <v>45847</v>
      </c>
      <c r="B436" s="483">
        <v>23355</v>
      </c>
    </row>
    <row r="437" spans="1:2" ht="15.75" customHeight="1">
      <c r="A437" s="228">
        <f t="shared" si="2"/>
        <v>45848</v>
      </c>
      <c r="B437" s="483">
        <v>23275</v>
      </c>
    </row>
    <row r="438" spans="1:2" ht="15.75" customHeight="1">
      <c r="A438" s="228">
        <f t="shared" si="2"/>
        <v>45849</v>
      </c>
      <c r="B438" s="483">
        <v>23235</v>
      </c>
    </row>
    <row r="439" spans="1:2" ht="15.75" customHeight="1">
      <c r="A439" s="228">
        <f t="shared" si="2"/>
        <v>45850</v>
      </c>
      <c r="B439" s="483">
        <v>23185</v>
      </c>
    </row>
    <row r="440" spans="1:2" ht="15.75" customHeight="1">
      <c r="A440" s="228">
        <f t="shared" si="2"/>
        <v>45851</v>
      </c>
      <c r="B440" s="483">
        <v>23135</v>
      </c>
    </row>
    <row r="441" spans="1:2" ht="15.75" customHeight="1">
      <c r="A441" s="228">
        <f t="shared" si="2"/>
        <v>45852</v>
      </c>
      <c r="B441" s="483">
        <v>23085</v>
      </c>
    </row>
    <row r="442" spans="1:2" ht="15.75" customHeight="1">
      <c r="A442" s="228">
        <f t="shared" si="2"/>
        <v>45853</v>
      </c>
      <c r="B442" s="483">
        <v>23035</v>
      </c>
    </row>
    <row r="443" spans="1:2" ht="15.75" customHeight="1">
      <c r="A443" s="228">
        <f>+A442+1</f>
        <v>45854</v>
      </c>
      <c r="B443" s="483">
        <v>22985</v>
      </c>
    </row>
    <row r="444" spans="1:2" ht="15.75" customHeight="1">
      <c r="A444" s="228">
        <f>+A443+1</f>
        <v>45855</v>
      </c>
      <c r="B444" s="483">
        <v>22935</v>
      </c>
    </row>
    <row r="445" spans="1:2" ht="15.75" customHeight="1">
      <c r="A445" s="228">
        <f t="shared" ref="A445:A508" si="3">+A444+1</f>
        <v>45856</v>
      </c>
      <c r="B445" s="483">
        <v>22875</v>
      </c>
    </row>
    <row r="446" spans="1:2" ht="15.75" customHeight="1">
      <c r="A446" s="228">
        <f t="shared" si="3"/>
        <v>45857</v>
      </c>
      <c r="B446" s="483">
        <v>22855</v>
      </c>
    </row>
    <row r="447" spans="1:2" ht="15.75" customHeight="1">
      <c r="A447" s="228">
        <f t="shared" si="3"/>
        <v>45858</v>
      </c>
      <c r="B447" s="483">
        <v>22835</v>
      </c>
    </row>
    <row r="448" spans="1:2" ht="15.75" customHeight="1">
      <c r="A448" s="228">
        <f t="shared" si="3"/>
        <v>45859</v>
      </c>
      <c r="B448" s="483">
        <v>22815</v>
      </c>
    </row>
    <row r="449" spans="1:2" ht="15.75" customHeight="1">
      <c r="A449" s="228">
        <f t="shared" si="3"/>
        <v>45860</v>
      </c>
      <c r="B449" s="483">
        <v>22795</v>
      </c>
    </row>
    <row r="450" spans="1:2" ht="15.75" customHeight="1">
      <c r="A450" s="228">
        <f t="shared" si="3"/>
        <v>45861</v>
      </c>
      <c r="B450" s="483">
        <v>22775</v>
      </c>
    </row>
    <row r="451" spans="1:2" ht="15.75" customHeight="1">
      <c r="A451" s="228">
        <f t="shared" si="3"/>
        <v>45862</v>
      </c>
      <c r="B451" s="483">
        <v>22755</v>
      </c>
    </row>
    <row r="452" spans="1:2" ht="15.75" customHeight="1">
      <c r="A452" s="228">
        <f t="shared" si="3"/>
        <v>45863</v>
      </c>
      <c r="B452" s="483">
        <v>22735</v>
      </c>
    </row>
    <row r="453" spans="1:2" ht="15.75" customHeight="1">
      <c r="A453" s="228">
        <f t="shared" si="3"/>
        <v>45864</v>
      </c>
      <c r="B453" s="483">
        <v>22715</v>
      </c>
    </row>
    <row r="454" spans="1:2" ht="15.75" customHeight="1">
      <c r="A454" s="228">
        <f t="shared" si="3"/>
        <v>45865</v>
      </c>
      <c r="B454" s="483">
        <v>22695</v>
      </c>
    </row>
    <row r="455" spans="1:2" ht="15.75" customHeight="1">
      <c r="A455" s="228">
        <f t="shared" si="3"/>
        <v>45866</v>
      </c>
      <c r="B455" s="483">
        <v>22675</v>
      </c>
    </row>
    <row r="456" spans="1:2" ht="15.75" customHeight="1">
      <c r="A456" s="228">
        <f t="shared" si="3"/>
        <v>45867</v>
      </c>
      <c r="B456" s="483">
        <v>22655</v>
      </c>
    </row>
    <row r="457" spans="1:2" ht="15.75" customHeight="1">
      <c r="A457" s="228">
        <f t="shared" si="3"/>
        <v>45868</v>
      </c>
      <c r="B457" s="483">
        <v>22635</v>
      </c>
    </row>
    <row r="458" spans="1:2" ht="15.75" customHeight="1">
      <c r="A458" s="228">
        <f t="shared" si="3"/>
        <v>45869</v>
      </c>
      <c r="B458" s="483">
        <v>22645</v>
      </c>
    </row>
    <row r="459" spans="1:2" ht="15.75" customHeight="1">
      <c r="A459" s="228">
        <f t="shared" si="3"/>
        <v>45870</v>
      </c>
      <c r="B459" s="483">
        <v>22660</v>
      </c>
    </row>
    <row r="460" spans="1:2" ht="15.75" customHeight="1">
      <c r="A460" s="228">
        <f t="shared" si="3"/>
        <v>45871</v>
      </c>
      <c r="B460" s="483">
        <v>22675</v>
      </c>
    </row>
    <row r="461" spans="1:2" ht="15.75" customHeight="1">
      <c r="A461" s="228">
        <f t="shared" si="3"/>
        <v>45872</v>
      </c>
      <c r="B461" s="483">
        <v>22690</v>
      </c>
    </row>
    <row r="462" spans="1:2" ht="15.75" customHeight="1">
      <c r="A462" s="228">
        <f t="shared" si="3"/>
        <v>45873</v>
      </c>
      <c r="B462" s="483">
        <v>22705</v>
      </c>
    </row>
    <row r="463" spans="1:2" ht="15.75" customHeight="1">
      <c r="A463" s="228">
        <f t="shared" si="3"/>
        <v>45874</v>
      </c>
      <c r="B463" s="483">
        <v>22720</v>
      </c>
    </row>
    <row r="464" spans="1:2" ht="15.75" customHeight="1">
      <c r="A464" s="228">
        <f t="shared" si="3"/>
        <v>45875</v>
      </c>
      <c r="B464" s="483">
        <v>22735</v>
      </c>
    </row>
    <row r="465" spans="1:2" ht="15.75" customHeight="1">
      <c r="A465" s="228">
        <f t="shared" si="3"/>
        <v>45876</v>
      </c>
      <c r="B465" s="483">
        <v>22735</v>
      </c>
    </row>
    <row r="466" spans="1:2" ht="15.75" customHeight="1">
      <c r="A466" s="228">
        <f t="shared" si="3"/>
        <v>45877</v>
      </c>
      <c r="B466" s="483">
        <v>22735</v>
      </c>
    </row>
    <row r="467" spans="1:2" ht="15.75" customHeight="1">
      <c r="A467" s="228">
        <f t="shared" si="3"/>
        <v>45878</v>
      </c>
      <c r="B467" s="483">
        <v>22743</v>
      </c>
    </row>
    <row r="468" spans="1:2" ht="15.75" customHeight="1">
      <c r="A468" s="228">
        <f t="shared" si="3"/>
        <v>45879</v>
      </c>
      <c r="B468" s="483">
        <v>22751</v>
      </c>
    </row>
    <row r="469" spans="1:2" ht="15.75" customHeight="1">
      <c r="A469" s="228">
        <f t="shared" si="3"/>
        <v>45880</v>
      </c>
      <c r="B469" s="483">
        <v>22759</v>
      </c>
    </row>
    <row r="470" spans="1:2" ht="15.75" customHeight="1">
      <c r="A470" s="228">
        <f t="shared" si="3"/>
        <v>45881</v>
      </c>
      <c r="B470" s="483">
        <v>22767</v>
      </c>
    </row>
    <row r="471" spans="1:2" ht="15.75" customHeight="1">
      <c r="A471" s="228">
        <f t="shared" si="3"/>
        <v>45882</v>
      </c>
      <c r="B471" s="483">
        <v>22775</v>
      </c>
    </row>
    <row r="472" spans="1:2" ht="15.75" customHeight="1">
      <c r="A472" s="228">
        <f t="shared" si="3"/>
        <v>45883</v>
      </c>
      <c r="B472" s="483">
        <v>22780</v>
      </c>
    </row>
    <row r="473" spans="1:2" ht="15.75" customHeight="1">
      <c r="A473" s="228">
        <f t="shared" si="3"/>
        <v>45884</v>
      </c>
      <c r="B473" s="483">
        <v>22815</v>
      </c>
    </row>
    <row r="474" spans="1:2" ht="15.75" customHeight="1">
      <c r="A474" s="228">
        <f t="shared" si="3"/>
        <v>45885</v>
      </c>
      <c r="B474" s="483">
        <v>22850</v>
      </c>
    </row>
    <row r="475" spans="1:2" ht="15.75" customHeight="1">
      <c r="A475" s="228">
        <f t="shared" si="3"/>
        <v>45886</v>
      </c>
      <c r="B475" s="483">
        <v>22885</v>
      </c>
    </row>
    <row r="476" spans="1:2" ht="15.75" customHeight="1">
      <c r="A476" s="228">
        <f t="shared" si="3"/>
        <v>45887</v>
      </c>
      <c r="B476" s="483">
        <v>22920</v>
      </c>
    </row>
    <row r="477" spans="1:2" ht="15.75" customHeight="1">
      <c r="A477" s="228">
        <f t="shared" si="3"/>
        <v>45888</v>
      </c>
      <c r="B477" s="483">
        <v>22955</v>
      </c>
    </row>
    <row r="478" spans="1:2" ht="15.75" customHeight="1">
      <c r="A478" s="228">
        <f t="shared" si="3"/>
        <v>45889</v>
      </c>
      <c r="B478" s="483">
        <v>22990</v>
      </c>
    </row>
    <row r="479" spans="1:2" ht="15.75" customHeight="1">
      <c r="A479" s="228">
        <f t="shared" si="3"/>
        <v>45890</v>
      </c>
      <c r="B479" s="483">
        <v>23025</v>
      </c>
    </row>
    <row r="480" spans="1:2" ht="15.75" customHeight="1">
      <c r="A480" s="228">
        <f t="shared" si="3"/>
        <v>45891</v>
      </c>
      <c r="B480" s="483">
        <v>23060</v>
      </c>
    </row>
    <row r="481" spans="1:2" ht="15.75" customHeight="1">
      <c r="A481" s="228">
        <f t="shared" si="3"/>
        <v>45892</v>
      </c>
      <c r="B481" s="483">
        <v>23095</v>
      </c>
    </row>
    <row r="482" spans="1:2" ht="15.75" customHeight="1">
      <c r="A482" s="228">
        <f t="shared" si="3"/>
        <v>45893</v>
      </c>
      <c r="B482" s="483">
        <v>23130</v>
      </c>
    </row>
    <row r="483" spans="1:2" ht="15.75" customHeight="1">
      <c r="A483" s="228">
        <f t="shared" si="3"/>
        <v>45894</v>
      </c>
      <c r="B483" s="483">
        <v>23165</v>
      </c>
    </row>
    <row r="484" spans="1:2" ht="15.75" customHeight="1">
      <c r="A484" s="228">
        <f t="shared" si="3"/>
        <v>45895</v>
      </c>
      <c r="B484" s="483">
        <v>23200</v>
      </c>
    </row>
    <row r="485" spans="1:2" ht="15.75" customHeight="1">
      <c r="A485" s="228">
        <f t="shared" si="3"/>
        <v>45896</v>
      </c>
      <c r="B485" s="483">
        <v>23295</v>
      </c>
    </row>
    <row r="486" spans="1:2" ht="15.75" customHeight="1">
      <c r="A486" s="228">
        <f t="shared" si="3"/>
        <v>45897</v>
      </c>
      <c r="B486" s="483">
        <v>23215</v>
      </c>
    </row>
    <row r="487" spans="1:2" ht="15.75" customHeight="1">
      <c r="A487" s="228">
        <f t="shared" si="3"/>
        <v>45898</v>
      </c>
      <c r="B487" s="483">
        <v>23135</v>
      </c>
    </row>
    <row r="488" spans="1:2" ht="15.75" customHeight="1">
      <c r="A488" s="228">
        <f t="shared" si="3"/>
        <v>45899</v>
      </c>
      <c r="B488" s="483">
        <v>23055</v>
      </c>
    </row>
    <row r="489" spans="1:2" ht="15.75" customHeight="1">
      <c r="A489" s="228">
        <f t="shared" si="3"/>
        <v>45900</v>
      </c>
      <c r="B489" s="483">
        <v>22975</v>
      </c>
    </row>
    <row r="490" spans="1:2" ht="15.75" customHeight="1">
      <c r="A490" s="228">
        <f t="shared" si="3"/>
        <v>45901</v>
      </c>
      <c r="B490" s="483">
        <v>22895</v>
      </c>
    </row>
    <row r="491" spans="1:2" ht="15.75" customHeight="1">
      <c r="A491" s="228">
        <f t="shared" si="3"/>
        <v>45902</v>
      </c>
      <c r="B491" s="483">
        <v>22815</v>
      </c>
    </row>
    <row r="492" spans="1:2" ht="15.75" customHeight="1">
      <c r="A492" s="228">
        <f t="shared" si="3"/>
        <v>45903</v>
      </c>
      <c r="B492" s="483">
        <v>22735</v>
      </c>
    </row>
    <row r="493" spans="1:2" ht="15.75" customHeight="1">
      <c r="A493" s="228">
        <f t="shared" si="3"/>
        <v>45904</v>
      </c>
      <c r="B493" s="483">
        <v>22705</v>
      </c>
    </row>
    <row r="494" spans="1:2" ht="15.75" customHeight="1">
      <c r="A494" s="228">
        <f t="shared" si="3"/>
        <v>45905</v>
      </c>
      <c r="B494" s="483">
        <v>22765</v>
      </c>
    </row>
    <row r="495" spans="1:2" ht="15.75" customHeight="1">
      <c r="A495" s="228">
        <f t="shared" si="3"/>
        <v>45906</v>
      </c>
      <c r="B495" s="483">
        <v>22825</v>
      </c>
    </row>
    <row r="496" spans="1:2" ht="15.75" customHeight="1">
      <c r="A496" s="228">
        <f t="shared" si="3"/>
        <v>45907</v>
      </c>
      <c r="B496" s="483">
        <v>22885</v>
      </c>
    </row>
    <row r="497" spans="1:2" ht="15.75" customHeight="1">
      <c r="A497" s="228">
        <f t="shared" si="3"/>
        <v>45908</v>
      </c>
      <c r="B497" s="483">
        <v>22945</v>
      </c>
    </row>
    <row r="498" spans="1:2" ht="15.75" customHeight="1">
      <c r="A498" s="228">
        <f t="shared" si="3"/>
        <v>45909</v>
      </c>
      <c r="B498" s="483">
        <v>23005</v>
      </c>
    </row>
    <row r="499" spans="1:2" ht="15.75" customHeight="1">
      <c r="A499" s="228">
        <f t="shared" si="3"/>
        <v>45910</v>
      </c>
      <c r="B499" s="483">
        <v>23045</v>
      </c>
    </row>
    <row r="500" spans="1:2" ht="15.75" customHeight="1">
      <c r="A500" s="228">
        <f t="shared" si="3"/>
        <v>45911</v>
      </c>
      <c r="B500" s="483">
        <v>23049</v>
      </c>
    </row>
    <row r="501" spans="1:2" ht="15.75" customHeight="1">
      <c r="A501" s="228">
        <f t="shared" si="3"/>
        <v>45912</v>
      </c>
      <c r="B501" s="483">
        <v>23053</v>
      </c>
    </row>
    <row r="502" spans="1:2" ht="15.75" customHeight="1">
      <c r="A502" s="228">
        <f t="shared" si="3"/>
        <v>45913</v>
      </c>
      <c r="B502" s="483">
        <v>23057</v>
      </c>
    </row>
    <row r="503" spans="1:2" ht="15.75" customHeight="1">
      <c r="A503" s="228">
        <f t="shared" si="3"/>
        <v>45914</v>
      </c>
      <c r="B503" s="483">
        <v>23061</v>
      </c>
    </row>
    <row r="504" spans="1:2" ht="15.75" customHeight="1">
      <c r="A504" s="228">
        <f t="shared" si="3"/>
        <v>45915</v>
      </c>
      <c r="B504" s="483">
        <v>23065</v>
      </c>
    </row>
    <row r="505" spans="1:2" ht="15.75" customHeight="1">
      <c r="A505" s="228">
        <f t="shared" si="3"/>
        <v>45916</v>
      </c>
      <c r="B505" s="483">
        <v>23069</v>
      </c>
    </row>
    <row r="506" spans="1:2" ht="15.75" customHeight="1">
      <c r="A506" s="228">
        <f t="shared" si="3"/>
        <v>45917</v>
      </c>
      <c r="B506" s="483">
        <v>23073</v>
      </c>
    </row>
    <row r="507" spans="1:2" ht="15.75" customHeight="1">
      <c r="A507" s="228">
        <f t="shared" si="3"/>
        <v>45918</v>
      </c>
      <c r="B507" s="483">
        <v>23077</v>
      </c>
    </row>
    <row r="508" spans="1:2" ht="15.75" customHeight="1">
      <c r="A508" s="228">
        <f t="shared" si="3"/>
        <v>45919</v>
      </c>
      <c r="B508" s="483">
        <v>23081</v>
      </c>
    </row>
    <row r="509" spans="1:2" ht="15.75" customHeight="1">
      <c r="A509" s="228">
        <f t="shared" ref="A509:A572" si="4">+A508+1</f>
        <v>45920</v>
      </c>
      <c r="B509" s="483">
        <v>23085</v>
      </c>
    </row>
    <row r="510" spans="1:2" ht="15.75" customHeight="1">
      <c r="A510" s="228">
        <f t="shared" si="4"/>
        <v>45921</v>
      </c>
      <c r="B510" s="483">
        <v>23089</v>
      </c>
    </row>
    <row r="511" spans="1:2" ht="15.75" customHeight="1">
      <c r="A511" s="228">
        <f t="shared" si="4"/>
        <v>45922</v>
      </c>
      <c r="B511" s="483">
        <v>23093</v>
      </c>
    </row>
    <row r="512" spans="1:2" ht="15.75" customHeight="1">
      <c r="A512" s="228">
        <f t="shared" si="4"/>
        <v>45923</v>
      </c>
      <c r="B512" s="483">
        <v>23097</v>
      </c>
    </row>
    <row r="513" spans="1:2" ht="15.75" customHeight="1">
      <c r="A513" s="228">
        <f t="shared" si="4"/>
        <v>45924</v>
      </c>
      <c r="B513" s="483">
        <v>23101</v>
      </c>
    </row>
    <row r="514" spans="1:2" ht="15.75" customHeight="1">
      <c r="A514" s="228">
        <f t="shared" si="4"/>
        <v>45925</v>
      </c>
      <c r="B514" s="483">
        <v>23105</v>
      </c>
    </row>
    <row r="515" spans="1:2" ht="15.75" customHeight="1">
      <c r="A515" s="228">
        <f t="shared" si="4"/>
        <v>45926</v>
      </c>
      <c r="B515" s="483">
        <v>23120</v>
      </c>
    </row>
    <row r="516" spans="1:2" ht="15.75" customHeight="1">
      <c r="A516" s="228">
        <f t="shared" si="4"/>
        <v>45927</v>
      </c>
      <c r="B516" s="483">
        <v>23170</v>
      </c>
    </row>
    <row r="517" spans="1:2" ht="15.75" customHeight="1">
      <c r="A517" s="228">
        <f t="shared" si="4"/>
        <v>45928</v>
      </c>
      <c r="B517" s="483">
        <v>23220</v>
      </c>
    </row>
    <row r="518" spans="1:2" ht="15.75" customHeight="1">
      <c r="A518" s="228">
        <f t="shared" si="4"/>
        <v>45929</v>
      </c>
      <c r="B518" s="483">
        <v>23270</v>
      </c>
    </row>
    <row r="519" spans="1:2" ht="15.75" customHeight="1">
      <c r="A519" s="228">
        <f t="shared" si="4"/>
        <v>45930</v>
      </c>
      <c r="B519" s="483">
        <v>23320</v>
      </c>
    </row>
    <row r="520" spans="1:2" ht="15.75" customHeight="1">
      <c r="A520" s="228">
        <f t="shared" si="4"/>
        <v>45931</v>
      </c>
      <c r="B520" s="483">
        <v>23335</v>
      </c>
    </row>
    <row r="521" spans="1:2" ht="15.75" customHeight="1">
      <c r="A521" s="228">
        <f t="shared" si="4"/>
        <v>45932</v>
      </c>
      <c r="B521" s="483">
        <v>23385</v>
      </c>
    </row>
    <row r="522" spans="1:2" ht="15.75" customHeight="1">
      <c r="A522" s="228">
        <f t="shared" si="4"/>
        <v>45933</v>
      </c>
      <c r="B522" s="483">
        <v>23435</v>
      </c>
    </row>
    <row r="523" spans="1:2" ht="15.75" customHeight="1">
      <c r="A523" s="228">
        <f t="shared" si="4"/>
        <v>45934</v>
      </c>
      <c r="B523" s="483">
        <v>23485</v>
      </c>
    </row>
    <row r="524" spans="1:2" ht="15.75" customHeight="1">
      <c r="A524" s="228">
        <f t="shared" si="4"/>
        <v>45935</v>
      </c>
      <c r="B524" s="483">
        <v>23535</v>
      </c>
    </row>
    <row r="525" spans="1:2" ht="15.75" customHeight="1">
      <c r="A525" s="228">
        <f t="shared" si="4"/>
        <v>45936</v>
      </c>
      <c r="B525" s="483">
        <v>23585</v>
      </c>
    </row>
    <row r="526" spans="1:2" ht="15.75" customHeight="1">
      <c r="A526" s="228">
        <f t="shared" si="4"/>
        <v>45937</v>
      </c>
      <c r="B526" s="483">
        <v>23635</v>
      </c>
    </row>
    <row r="527" spans="1:2" ht="15.75" customHeight="1">
      <c r="A527" s="228">
        <f t="shared" si="4"/>
        <v>45938</v>
      </c>
      <c r="B527" s="483">
        <v>23755</v>
      </c>
    </row>
    <row r="528" spans="1:2" ht="15.75" customHeight="1">
      <c r="A528" s="228">
        <f t="shared" si="4"/>
        <v>45939</v>
      </c>
      <c r="B528" s="483">
        <v>23760</v>
      </c>
    </row>
    <row r="529" spans="1:2" ht="15.75" customHeight="1">
      <c r="A529" s="228">
        <f t="shared" si="4"/>
        <v>45940</v>
      </c>
      <c r="B529" s="483">
        <v>23765</v>
      </c>
    </row>
    <row r="530" spans="1:2" ht="15.75" customHeight="1">
      <c r="A530" s="228">
        <f t="shared" si="4"/>
        <v>45941</v>
      </c>
      <c r="B530" s="483">
        <v>23770</v>
      </c>
    </row>
    <row r="531" spans="1:2" ht="15.75" customHeight="1">
      <c r="A531" s="228">
        <f t="shared" si="4"/>
        <v>45942</v>
      </c>
      <c r="B531" s="483">
        <v>23775</v>
      </c>
    </row>
    <row r="532" spans="1:2" ht="15.75" customHeight="1">
      <c r="A532" s="228">
        <f t="shared" si="4"/>
        <v>45943</v>
      </c>
      <c r="B532" s="483">
        <v>23780</v>
      </c>
    </row>
    <row r="533" spans="1:2" ht="15.75" customHeight="1">
      <c r="A533" s="228">
        <f t="shared" si="4"/>
        <v>45944</v>
      </c>
      <c r="B533" s="483">
        <v>23785</v>
      </c>
    </row>
    <row r="534" spans="1:2" ht="15.75" customHeight="1">
      <c r="A534" s="228">
        <f t="shared" si="4"/>
        <v>45945</v>
      </c>
      <c r="B534" s="483">
        <v>23790</v>
      </c>
    </row>
    <row r="535" spans="1:2" ht="15.75" customHeight="1">
      <c r="A535" s="228">
        <f t="shared" si="4"/>
        <v>45946</v>
      </c>
      <c r="B535" s="483">
        <v>23795</v>
      </c>
    </row>
    <row r="536" spans="1:2" ht="15.75" customHeight="1">
      <c r="A536" s="228">
        <f t="shared" si="4"/>
        <v>45947</v>
      </c>
      <c r="B536" s="483">
        <v>23800</v>
      </c>
    </row>
    <row r="537" spans="1:2" ht="15.75" customHeight="1">
      <c r="A537" s="228">
        <f t="shared" si="4"/>
        <v>45948</v>
      </c>
      <c r="B537" s="483">
        <v>23805</v>
      </c>
    </row>
    <row r="538" spans="1:2" ht="15.75" customHeight="1">
      <c r="A538" s="228">
        <f t="shared" si="4"/>
        <v>45949</v>
      </c>
      <c r="B538" s="483">
        <v>23810</v>
      </c>
    </row>
    <row r="539" spans="1:2" ht="15.75" customHeight="1">
      <c r="A539" s="228">
        <f t="shared" si="4"/>
        <v>45950</v>
      </c>
      <c r="B539" s="483">
        <v>23815</v>
      </c>
    </row>
    <row r="540" spans="1:2" ht="15.75" customHeight="1">
      <c r="A540" s="228">
        <f t="shared" si="4"/>
        <v>45951</v>
      </c>
      <c r="B540" s="483">
        <v>23820</v>
      </c>
    </row>
    <row r="541" spans="1:2" ht="15.75" customHeight="1">
      <c r="A541" s="228">
        <f t="shared" si="4"/>
        <v>45952</v>
      </c>
      <c r="B541" s="483">
        <v>23825</v>
      </c>
    </row>
    <row r="542" spans="1:2" ht="15.75" customHeight="1">
      <c r="A542" s="228">
        <f t="shared" si="4"/>
        <v>45953</v>
      </c>
      <c r="B542" s="483">
        <v>23890</v>
      </c>
    </row>
    <row r="543" spans="1:2" ht="15.75" customHeight="1">
      <c r="A543" s="228">
        <f t="shared" si="4"/>
        <v>45954</v>
      </c>
      <c r="B543" s="483">
        <v>23975</v>
      </c>
    </row>
    <row r="544" spans="1:2" ht="15.75" customHeight="1">
      <c r="A544" s="228">
        <f t="shared" si="4"/>
        <v>45955</v>
      </c>
      <c r="B544" s="483">
        <v>24060</v>
      </c>
    </row>
    <row r="545" spans="1:2" ht="15.75" customHeight="1">
      <c r="A545" s="228">
        <f t="shared" si="4"/>
        <v>45956</v>
      </c>
      <c r="B545" s="483">
        <v>24145</v>
      </c>
    </row>
    <row r="546" spans="1:2" ht="15.75" customHeight="1">
      <c r="A546" s="228">
        <f t="shared" si="4"/>
        <v>45957</v>
      </c>
      <c r="B546" s="483">
        <v>24230</v>
      </c>
    </row>
    <row r="547" spans="1:2" ht="15.75" customHeight="1">
      <c r="A547" s="228">
        <f t="shared" si="4"/>
        <v>45958</v>
      </c>
      <c r="B547" s="483">
        <v>24315</v>
      </c>
    </row>
    <row r="548" spans="1:2" ht="15.75" customHeight="1">
      <c r="A548" s="228">
        <f t="shared" si="4"/>
        <v>45959</v>
      </c>
      <c r="B548" s="483">
        <v>24400</v>
      </c>
    </row>
    <row r="549" spans="1:2" ht="15.75" customHeight="1">
      <c r="A549" s="228">
        <f t="shared" si="4"/>
        <v>45960</v>
      </c>
      <c r="B549" s="483">
        <v>24485</v>
      </c>
    </row>
    <row r="550" spans="1:2" ht="15.75" customHeight="1">
      <c r="A550" s="228">
        <f t="shared" si="4"/>
        <v>45961</v>
      </c>
      <c r="B550" s="483">
        <v>24570</v>
      </c>
    </row>
    <row r="551" spans="1:2" ht="15.75" customHeight="1">
      <c r="A551" s="228">
        <f t="shared" si="4"/>
        <v>45962</v>
      </c>
      <c r="B551" s="483">
        <v>24655</v>
      </c>
    </row>
    <row r="552" spans="1:2" ht="15.75" customHeight="1">
      <c r="A552" s="228">
        <f t="shared" si="4"/>
        <v>45963</v>
      </c>
      <c r="B552" s="483">
        <v>24740</v>
      </c>
    </row>
    <row r="553" spans="1:2" ht="15.75" customHeight="1">
      <c r="A553" s="228">
        <f t="shared" si="4"/>
        <v>45964</v>
      </c>
      <c r="B553" s="483">
        <v>24825</v>
      </c>
    </row>
    <row r="554" spans="1:2" ht="15.75" customHeight="1">
      <c r="A554" s="228">
        <f t="shared" si="4"/>
        <v>45965</v>
      </c>
      <c r="B554" s="483">
        <v>24935</v>
      </c>
    </row>
    <row r="555" spans="1:2" ht="15.75" customHeight="1">
      <c r="A555" s="228">
        <f t="shared" si="4"/>
        <v>45966</v>
      </c>
      <c r="B555" s="483">
        <v>24975</v>
      </c>
    </row>
    <row r="556" spans="1:2" ht="15.75" customHeight="1">
      <c r="A556" s="228">
        <f t="shared" si="4"/>
        <v>45967</v>
      </c>
      <c r="B556" s="483">
        <v>24975</v>
      </c>
    </row>
    <row r="557" spans="1:2" ht="15.75" customHeight="1">
      <c r="A557" s="228">
        <f t="shared" si="4"/>
        <v>45968</v>
      </c>
      <c r="B557" s="483">
        <v>25175</v>
      </c>
    </row>
    <row r="558" spans="1:2" ht="15.75" customHeight="1">
      <c r="A558" s="228">
        <f t="shared" si="4"/>
        <v>45969</v>
      </c>
      <c r="B558" s="483">
        <v>25375</v>
      </c>
    </row>
    <row r="559" spans="1:2" ht="15.75" customHeight="1">
      <c r="A559" s="228">
        <f t="shared" si="4"/>
        <v>45970</v>
      </c>
      <c r="B559" s="483">
        <v>25575</v>
      </c>
    </row>
    <row r="560" spans="1:2" ht="15.75" customHeight="1">
      <c r="A560" s="228">
        <f t="shared" si="4"/>
        <v>45971</v>
      </c>
      <c r="B560" s="483">
        <v>25775</v>
      </c>
    </row>
    <row r="561" spans="1:2" ht="15.75" customHeight="1">
      <c r="A561" s="228">
        <f t="shared" si="4"/>
        <v>45972</v>
      </c>
      <c r="B561" s="483">
        <v>25975</v>
      </c>
    </row>
    <row r="562" spans="1:2" ht="15.75" customHeight="1">
      <c r="A562" s="228">
        <f t="shared" si="4"/>
        <v>45973</v>
      </c>
      <c r="B562" s="483">
        <v>26070</v>
      </c>
    </row>
    <row r="563" spans="1:2" ht="15.75" customHeight="1">
      <c r="A563" s="228">
        <f t="shared" si="4"/>
        <v>45974</v>
      </c>
      <c r="B563" s="483">
        <v>26110</v>
      </c>
    </row>
    <row r="564" spans="1:2" ht="15.75" customHeight="1">
      <c r="A564" s="228">
        <f t="shared" si="4"/>
        <v>45975</v>
      </c>
      <c r="B564" s="483">
        <v>26360</v>
      </c>
    </row>
    <row r="565" spans="1:2" ht="15.75" customHeight="1">
      <c r="A565" s="228">
        <f t="shared" si="4"/>
        <v>45976</v>
      </c>
      <c r="B565" s="483">
        <v>26610</v>
      </c>
    </row>
    <row r="566" spans="1:2" ht="15.75" customHeight="1">
      <c r="A566" s="228">
        <f t="shared" si="4"/>
        <v>45977</v>
      </c>
      <c r="B566" s="483">
        <v>26860</v>
      </c>
    </row>
    <row r="567" spans="1:2" ht="15.75" customHeight="1">
      <c r="A567" s="228">
        <f t="shared" si="4"/>
        <v>45978</v>
      </c>
      <c r="B567" s="483">
        <v>27110</v>
      </c>
    </row>
    <row r="568" spans="1:2" ht="15.75" customHeight="1">
      <c r="A568" s="228">
        <f t="shared" si="4"/>
        <v>45979</v>
      </c>
      <c r="B568" s="483">
        <v>27360</v>
      </c>
    </row>
    <row r="569" spans="1:2" ht="15.75" customHeight="1">
      <c r="A569" s="228">
        <f t="shared" si="4"/>
        <v>45980</v>
      </c>
      <c r="B569" s="483">
        <v>27410</v>
      </c>
    </row>
    <row r="570" spans="1:2" ht="15.75" customHeight="1">
      <c r="A570" s="228">
        <f t="shared" si="4"/>
        <v>45981</v>
      </c>
      <c r="B570" s="483">
        <v>27520</v>
      </c>
    </row>
    <row r="571" spans="1:2" ht="15.75" customHeight="1">
      <c r="A571" s="228">
        <f t="shared" si="4"/>
        <v>45982</v>
      </c>
      <c r="B571" s="483">
        <v>27630</v>
      </c>
    </row>
    <row r="572" spans="1:2" ht="15.75" customHeight="1">
      <c r="A572" s="228">
        <f t="shared" si="4"/>
        <v>45983</v>
      </c>
      <c r="B572" s="483">
        <v>27740</v>
      </c>
    </row>
    <row r="573" spans="1:2" ht="15.75" customHeight="1">
      <c r="A573" s="228">
        <f t="shared" ref="A573:A636" si="5">+A572+1</f>
        <v>45984</v>
      </c>
      <c r="B573" s="483">
        <v>27850</v>
      </c>
    </row>
    <row r="574" spans="1:2" ht="15.75" customHeight="1">
      <c r="A574" s="228">
        <f t="shared" si="5"/>
        <v>45985</v>
      </c>
      <c r="B574" s="483">
        <v>27960</v>
      </c>
    </row>
    <row r="575" spans="1:2" ht="15.75" customHeight="1">
      <c r="A575" s="228">
        <f t="shared" si="5"/>
        <v>45986</v>
      </c>
      <c r="B575" s="483">
        <v>28070</v>
      </c>
    </row>
    <row r="576" spans="1:2" ht="15.75" customHeight="1">
      <c r="A576" s="228">
        <f t="shared" si="5"/>
        <v>45987</v>
      </c>
      <c r="B576" s="483">
        <v>28235</v>
      </c>
    </row>
    <row r="577" spans="1:2" ht="15.75" customHeight="1">
      <c r="A577" s="228">
        <f t="shared" si="5"/>
        <v>45988</v>
      </c>
      <c r="B577" s="483">
        <v>28585</v>
      </c>
    </row>
    <row r="578" spans="1:2" ht="15.75" customHeight="1">
      <c r="A578" s="228">
        <f t="shared" si="5"/>
        <v>45989</v>
      </c>
      <c r="B578" s="483">
        <v>28935</v>
      </c>
    </row>
    <row r="579" spans="1:2" ht="15.75" customHeight="1">
      <c r="A579" s="228">
        <f t="shared" si="5"/>
        <v>45990</v>
      </c>
      <c r="B579" s="483">
        <v>29285</v>
      </c>
    </row>
    <row r="580" spans="1:2" ht="15.75" customHeight="1">
      <c r="A580" s="228">
        <f t="shared" si="5"/>
        <v>45991</v>
      </c>
      <c r="B580" s="483">
        <v>29635</v>
      </c>
    </row>
    <row r="581" spans="1:2" ht="15.75" customHeight="1">
      <c r="A581" s="228">
        <f t="shared" si="5"/>
        <v>45992</v>
      </c>
      <c r="B581" s="483">
        <v>29985</v>
      </c>
    </row>
    <row r="582" spans="1:2" ht="15.75" customHeight="1">
      <c r="A582" s="228">
        <f t="shared" si="5"/>
        <v>45993</v>
      </c>
      <c r="B582" s="483">
        <v>30335</v>
      </c>
    </row>
    <row r="583" spans="1:2" ht="15.75" customHeight="1">
      <c r="A583" s="228">
        <f t="shared" si="5"/>
        <v>45994</v>
      </c>
      <c r="B583" s="483">
        <v>30685</v>
      </c>
    </row>
    <row r="584" spans="1:2" ht="15.75" customHeight="1">
      <c r="A584" s="228">
        <f t="shared" si="5"/>
        <v>45995</v>
      </c>
      <c r="B584" s="483">
        <v>30715</v>
      </c>
    </row>
    <row r="585" spans="1:2" ht="15.75" customHeight="1">
      <c r="A585" s="228">
        <f t="shared" si="5"/>
        <v>45996</v>
      </c>
      <c r="B585" s="483">
        <v>30717</v>
      </c>
    </row>
    <row r="586" spans="1:2" ht="15.75" customHeight="1">
      <c r="A586" s="228">
        <f t="shared" si="5"/>
        <v>45997</v>
      </c>
      <c r="B586" s="483">
        <v>30719</v>
      </c>
    </row>
    <row r="587" spans="1:2" ht="15.75" customHeight="1">
      <c r="A587" s="228">
        <f t="shared" si="5"/>
        <v>45998</v>
      </c>
      <c r="B587" s="483">
        <v>30721</v>
      </c>
    </row>
    <row r="588" spans="1:2" ht="15.75" customHeight="1">
      <c r="A588" s="228">
        <f t="shared" si="5"/>
        <v>45999</v>
      </c>
      <c r="B588" s="483">
        <v>30723</v>
      </c>
    </row>
    <row r="589" spans="1:2" ht="15.75" customHeight="1">
      <c r="A589" s="228">
        <f t="shared" si="5"/>
        <v>46000</v>
      </c>
      <c r="B589" s="483">
        <v>30725</v>
      </c>
    </row>
    <row r="590" spans="1:2" ht="15.75" customHeight="1">
      <c r="A590" s="228">
        <f t="shared" si="5"/>
        <v>46001</v>
      </c>
      <c r="B590" s="483">
        <v>30727</v>
      </c>
    </row>
    <row r="591" spans="1:2" ht="15.75" customHeight="1">
      <c r="A591" s="228">
        <f t="shared" si="5"/>
        <v>46002</v>
      </c>
      <c r="B591" s="483">
        <v>30729</v>
      </c>
    </row>
    <row r="592" spans="1:2" ht="15.75" customHeight="1">
      <c r="A592" s="228">
        <f t="shared" si="5"/>
        <v>46003</v>
      </c>
      <c r="B592" s="483">
        <v>30731</v>
      </c>
    </row>
    <row r="593" spans="1:2" ht="15.75" customHeight="1">
      <c r="A593" s="228">
        <f t="shared" si="5"/>
        <v>46004</v>
      </c>
      <c r="B593" s="483">
        <v>30733</v>
      </c>
    </row>
    <row r="594" spans="1:2" ht="15.75" customHeight="1">
      <c r="A594" s="228">
        <f t="shared" si="5"/>
        <v>46005</v>
      </c>
      <c r="B594" s="483">
        <v>30735</v>
      </c>
    </row>
    <row r="595" spans="1:2" ht="15.75" customHeight="1">
      <c r="A595" s="228">
        <f t="shared" si="5"/>
        <v>46006</v>
      </c>
      <c r="B595" s="483">
        <v>30737</v>
      </c>
    </row>
    <row r="596" spans="1:2" ht="15.75" customHeight="1">
      <c r="A596" s="228">
        <f t="shared" si="5"/>
        <v>46007</v>
      </c>
      <c r="B596" s="483">
        <v>30739</v>
      </c>
    </row>
    <row r="597" spans="1:2" ht="15.75" customHeight="1">
      <c r="A597" s="228">
        <f t="shared" si="5"/>
        <v>46008</v>
      </c>
      <c r="B597" s="483">
        <v>30741</v>
      </c>
    </row>
    <row r="598" spans="1:2" ht="15.75" customHeight="1">
      <c r="A598" s="228">
        <f t="shared" si="5"/>
        <v>46009</v>
      </c>
      <c r="B598" s="483">
        <v>30745</v>
      </c>
    </row>
    <row r="599" spans="1:2" ht="15.75" customHeight="1">
      <c r="A599" s="228">
        <f t="shared" si="5"/>
        <v>46010</v>
      </c>
      <c r="B599" s="483">
        <v>30755</v>
      </c>
    </row>
    <row r="600" spans="1:2" ht="15.75" customHeight="1">
      <c r="A600" s="228">
        <f t="shared" si="5"/>
        <v>46011</v>
      </c>
      <c r="B600" s="483">
        <v>30765</v>
      </c>
    </row>
    <row r="601" spans="1:2" ht="15.75" customHeight="1">
      <c r="A601" s="228">
        <f t="shared" si="5"/>
        <v>46012</v>
      </c>
      <c r="B601" s="483">
        <v>30775</v>
      </c>
    </row>
    <row r="602" spans="1:2" ht="15.75" customHeight="1">
      <c r="A602" s="228">
        <f t="shared" si="5"/>
        <v>46013</v>
      </c>
      <c r="B602" s="483">
        <v>30785</v>
      </c>
    </row>
    <row r="603" spans="1:2" ht="15.75" customHeight="1">
      <c r="A603" s="228">
        <f t="shared" si="5"/>
        <v>46014</v>
      </c>
      <c r="B603" s="483">
        <v>30795</v>
      </c>
    </row>
    <row r="604" spans="1:2" ht="15.75" customHeight="1">
      <c r="A604" s="228">
        <f t="shared" si="5"/>
        <v>46015</v>
      </c>
      <c r="B604" s="483">
        <v>30805</v>
      </c>
    </row>
    <row r="605" spans="1:2" ht="15.75" customHeight="1">
      <c r="A605" s="228">
        <f t="shared" si="5"/>
        <v>46016</v>
      </c>
      <c r="B605" s="483">
        <v>30815</v>
      </c>
    </row>
    <row r="606" spans="1:2" ht="15.75" customHeight="1">
      <c r="A606" s="228">
        <f t="shared" si="5"/>
        <v>46017</v>
      </c>
      <c r="B606" s="483">
        <v>30840</v>
      </c>
    </row>
    <row r="607" spans="1:2" ht="15.75" customHeight="1">
      <c r="A607" s="228">
        <f t="shared" si="5"/>
        <v>46018</v>
      </c>
      <c r="B607" s="483">
        <v>30840</v>
      </c>
    </row>
    <row r="608" spans="1:2" ht="15.75" customHeight="1">
      <c r="A608" s="228">
        <f t="shared" si="5"/>
        <v>46019</v>
      </c>
      <c r="B608" s="483">
        <v>30842</v>
      </c>
    </row>
    <row r="609" spans="1:2" ht="15.75" customHeight="1">
      <c r="A609" s="228">
        <f t="shared" si="5"/>
        <v>46020</v>
      </c>
      <c r="B609" s="483">
        <v>30844</v>
      </c>
    </row>
    <row r="610" spans="1:2" ht="15.75" customHeight="1">
      <c r="A610" s="228">
        <f t="shared" si="5"/>
        <v>46021</v>
      </c>
      <c r="B610" s="483">
        <v>30846</v>
      </c>
    </row>
    <row r="611" spans="1:2" ht="15.75" customHeight="1">
      <c r="A611" s="228">
        <f t="shared" si="5"/>
        <v>46022</v>
      </c>
      <c r="B611" s="483">
        <v>30848</v>
      </c>
    </row>
    <row r="612" spans="1:2" ht="15.75" customHeight="1">
      <c r="A612" s="228">
        <f t="shared" si="5"/>
        <v>46023</v>
      </c>
      <c r="B612" s="483">
        <v>30850</v>
      </c>
    </row>
    <row r="613" spans="1:2" ht="15.75" customHeight="1">
      <c r="A613" s="228">
        <f t="shared" si="5"/>
        <v>46024</v>
      </c>
      <c r="B613" s="483">
        <v>30852</v>
      </c>
    </row>
    <row r="614" spans="1:2" ht="15.75" customHeight="1">
      <c r="A614" s="228">
        <f t="shared" si="5"/>
        <v>46025</v>
      </c>
      <c r="B614" s="483">
        <v>30854</v>
      </c>
    </row>
    <row r="615" spans="1:2" ht="15.75" customHeight="1">
      <c r="A615" s="228">
        <f t="shared" si="5"/>
        <v>46026</v>
      </c>
      <c r="B615" s="483">
        <v>30856</v>
      </c>
    </row>
    <row r="616" spans="1:2" ht="15.75" customHeight="1">
      <c r="A616" s="228">
        <f t="shared" si="5"/>
        <v>46027</v>
      </c>
      <c r="B616" s="483">
        <v>30858</v>
      </c>
    </row>
    <row r="617" spans="1:2" ht="15.75" customHeight="1">
      <c r="A617" s="228">
        <f t="shared" si="5"/>
        <v>46028</v>
      </c>
      <c r="B617" s="483">
        <v>30860</v>
      </c>
    </row>
    <row r="618" spans="1:2" ht="15.75" customHeight="1">
      <c r="A618" s="228">
        <f t="shared" si="5"/>
        <v>46029</v>
      </c>
      <c r="B618" s="483">
        <v>30862</v>
      </c>
    </row>
    <row r="619" spans="1:2" ht="15.75" customHeight="1">
      <c r="A619" s="228">
        <f t="shared" si="5"/>
        <v>46030</v>
      </c>
      <c r="B619" s="483">
        <v>30865</v>
      </c>
    </row>
    <row r="620" spans="1:2" ht="15.75" customHeight="1">
      <c r="A620" s="228">
        <f t="shared" si="5"/>
        <v>46031</v>
      </c>
      <c r="B620" s="483">
        <v>30900</v>
      </c>
    </row>
    <row r="621" spans="1:2" ht="15.75" customHeight="1">
      <c r="A621" s="228">
        <f t="shared" si="5"/>
        <v>46032</v>
      </c>
      <c r="B621" s="483">
        <v>30935</v>
      </c>
    </row>
    <row r="622" spans="1:2" ht="15.75" customHeight="1">
      <c r="A622" s="228">
        <f t="shared" si="5"/>
        <v>46033</v>
      </c>
      <c r="B622" s="483">
        <v>30970</v>
      </c>
    </row>
    <row r="623" spans="1:2" ht="15.75" customHeight="1">
      <c r="A623" s="228">
        <f t="shared" si="5"/>
        <v>46034</v>
      </c>
      <c r="B623" s="483">
        <v>31005</v>
      </c>
    </row>
    <row r="624" spans="1:2" ht="15.75" customHeight="1">
      <c r="A624" s="228">
        <f t="shared" si="5"/>
        <v>46035</v>
      </c>
      <c r="B624" s="483">
        <v>31040</v>
      </c>
    </row>
    <row r="625" spans="1:2" ht="15.75" customHeight="1">
      <c r="A625" s="228">
        <f t="shared" si="5"/>
        <v>46036</v>
      </c>
      <c r="B625" s="483">
        <v>31075</v>
      </c>
    </row>
    <row r="626" spans="1:2" ht="15.75" customHeight="1">
      <c r="A626" s="228">
        <f t="shared" si="5"/>
        <v>46037</v>
      </c>
      <c r="B626" s="483">
        <v>31110</v>
      </c>
    </row>
    <row r="627" spans="1:2" ht="15.75" customHeight="1">
      <c r="A627" s="228">
        <f t="shared" si="5"/>
        <v>46038</v>
      </c>
      <c r="B627" s="483">
        <v>31145</v>
      </c>
    </row>
    <row r="628" spans="1:2" ht="15.75" customHeight="1">
      <c r="A628" s="228">
        <f t="shared" si="5"/>
        <v>46039</v>
      </c>
      <c r="B628" s="483">
        <v>31180</v>
      </c>
    </row>
    <row r="629" spans="1:2" ht="15.75" customHeight="1">
      <c r="A629" s="228">
        <f t="shared" si="5"/>
        <v>46040</v>
      </c>
      <c r="B629" s="483">
        <v>31215</v>
      </c>
    </row>
    <row r="630" spans="1:2" ht="15.75" customHeight="1">
      <c r="A630" s="228">
        <f t="shared" si="5"/>
        <v>46041</v>
      </c>
      <c r="B630" s="483">
        <v>31250</v>
      </c>
    </row>
    <row r="631" spans="1:2" ht="15.75" customHeight="1">
      <c r="A631" s="228">
        <f t="shared" si="5"/>
        <v>46042</v>
      </c>
      <c r="B631" s="483">
        <v>31285</v>
      </c>
    </row>
    <row r="632" spans="1:2" ht="15.75" customHeight="1">
      <c r="A632" s="228">
        <f t="shared" si="5"/>
        <v>46043</v>
      </c>
      <c r="B632" s="483">
        <v>31320</v>
      </c>
    </row>
    <row r="633" spans="1:2" ht="15.75" customHeight="1">
      <c r="A633" s="228">
        <f t="shared" si="5"/>
        <v>46044</v>
      </c>
      <c r="B633" s="483">
        <v>31345</v>
      </c>
    </row>
    <row r="634" spans="1:2" ht="15.75" customHeight="1">
      <c r="A634" s="228">
        <f t="shared" si="5"/>
        <v>46045</v>
      </c>
      <c r="B634" s="483">
        <v>31530</v>
      </c>
    </row>
    <row r="635" spans="1:2" ht="15.75" customHeight="1">
      <c r="A635" s="228">
        <f t="shared" si="5"/>
        <v>46046</v>
      </c>
      <c r="B635" s="483">
        <v>31715</v>
      </c>
    </row>
    <row r="636" spans="1:2" ht="15.75" customHeight="1">
      <c r="A636" s="228">
        <f t="shared" si="5"/>
        <v>46047</v>
      </c>
      <c r="B636" s="483">
        <v>31900</v>
      </c>
    </row>
    <row r="637" spans="1:2" ht="15.75" customHeight="1">
      <c r="A637" s="228">
        <f t="shared" ref="A637:A700" si="6">+A636+1</f>
        <v>46048</v>
      </c>
      <c r="B637" s="483">
        <v>32085</v>
      </c>
    </row>
    <row r="638" spans="1:2" ht="15.75" customHeight="1">
      <c r="A638" s="228">
        <f t="shared" si="6"/>
        <v>46049</v>
      </c>
      <c r="B638" s="483">
        <v>32270</v>
      </c>
    </row>
    <row r="639" spans="1:2" ht="15.75" customHeight="1">
      <c r="A639" s="228">
        <f t="shared" si="6"/>
        <v>46050</v>
      </c>
      <c r="B639" s="483">
        <v>32455</v>
      </c>
    </row>
    <row r="640" spans="1:2" ht="15.75" customHeight="1">
      <c r="A640" s="228">
        <f t="shared" si="6"/>
        <v>46051</v>
      </c>
      <c r="B640" s="483">
        <v>32515</v>
      </c>
    </row>
    <row r="641" spans="1:2" ht="15.75" customHeight="1">
      <c r="A641" s="228">
        <f t="shared" si="6"/>
        <v>46052</v>
      </c>
      <c r="B641" s="483">
        <v>32645</v>
      </c>
    </row>
    <row r="642" spans="1:2" ht="15.75" customHeight="1">
      <c r="A642" s="228">
        <f t="shared" si="6"/>
        <v>46053</v>
      </c>
      <c r="B642" s="483">
        <v>32775</v>
      </c>
    </row>
    <row r="643" spans="1:2" ht="15.75" customHeight="1">
      <c r="A643" s="228">
        <f t="shared" si="6"/>
        <v>46054</v>
      </c>
      <c r="B643" s="483">
        <v>32905</v>
      </c>
    </row>
    <row r="644" spans="1:2" ht="15.75" customHeight="1">
      <c r="A644" s="228">
        <f t="shared" si="6"/>
        <v>46055</v>
      </c>
      <c r="B644" s="483">
        <v>33035</v>
      </c>
    </row>
    <row r="645" spans="1:2" ht="15.75" customHeight="1">
      <c r="A645" s="228">
        <f t="shared" si="6"/>
        <v>46056</v>
      </c>
      <c r="B645" s="483">
        <v>33165</v>
      </c>
    </row>
    <row r="646" spans="1:2" ht="15.75" customHeight="1">
      <c r="A646" s="228">
        <f t="shared" si="6"/>
        <v>46057</v>
      </c>
      <c r="B646" s="483">
        <v>33295</v>
      </c>
    </row>
    <row r="647" spans="1:2" ht="15.75" customHeight="1">
      <c r="A647" s="228">
        <f t="shared" si="6"/>
        <v>46058</v>
      </c>
      <c r="B647" s="483">
        <v>33425</v>
      </c>
    </row>
    <row r="648" spans="1:2" ht="15.75" customHeight="1">
      <c r="A648" s="228">
        <f t="shared" si="6"/>
        <v>46059</v>
      </c>
      <c r="B648" s="483">
        <v>33555</v>
      </c>
    </row>
    <row r="649" spans="1:2" ht="15.75" customHeight="1">
      <c r="A649" s="228">
        <f t="shared" si="6"/>
        <v>46060</v>
      </c>
      <c r="B649" s="483">
        <v>33685</v>
      </c>
    </row>
    <row r="650" spans="1:2" ht="15.75" customHeight="1">
      <c r="A650" s="228">
        <f t="shared" si="6"/>
        <v>46061</v>
      </c>
      <c r="B650" s="483">
        <v>33815</v>
      </c>
    </row>
    <row r="651" spans="1:2" ht="15.75" customHeight="1">
      <c r="A651" s="228">
        <f t="shared" si="6"/>
        <v>46062</v>
      </c>
      <c r="B651" s="483">
        <v>33945</v>
      </c>
    </row>
    <row r="652" spans="1:2" ht="15.75" customHeight="1">
      <c r="A652" s="228">
        <f t="shared" si="6"/>
        <v>46063</v>
      </c>
      <c r="B652" s="483">
        <v>34075</v>
      </c>
    </row>
    <row r="653" spans="1:2" ht="15.75" customHeight="1">
      <c r="A653" s="228">
        <f t="shared" si="6"/>
        <v>46064</v>
      </c>
      <c r="B653" s="483">
        <v>34135</v>
      </c>
    </row>
    <row r="654" spans="1:2" ht="15.75" customHeight="1">
      <c r="A654" s="228">
        <f t="shared" si="6"/>
        <v>46065</v>
      </c>
      <c r="B654" s="483">
        <v>34305</v>
      </c>
    </row>
    <row r="655" spans="1:2" ht="15.75" customHeight="1">
      <c r="A655" s="228">
        <f t="shared" si="6"/>
        <v>46066</v>
      </c>
      <c r="B655" s="483">
        <v>34475</v>
      </c>
    </row>
    <row r="656" spans="1:2" ht="15.75" customHeight="1">
      <c r="A656" s="228">
        <f t="shared" si="6"/>
        <v>46067</v>
      </c>
      <c r="B656" s="483">
        <v>34645</v>
      </c>
    </row>
    <row r="657" spans="1:2" ht="15.75" customHeight="1">
      <c r="A657" s="228">
        <f t="shared" si="6"/>
        <v>46068</v>
      </c>
      <c r="B657" s="483">
        <v>34815</v>
      </c>
    </row>
    <row r="658" spans="1:2" ht="15.75" customHeight="1">
      <c r="A658" s="228">
        <f t="shared" si="6"/>
        <v>46069</v>
      </c>
      <c r="B658" s="483">
        <v>34985</v>
      </c>
    </row>
    <row r="659" spans="1:2" ht="15.75" customHeight="1">
      <c r="A659" s="228">
        <f t="shared" si="6"/>
        <v>46070</v>
      </c>
      <c r="B659" s="483">
        <v>35155</v>
      </c>
    </row>
    <row r="660" spans="1:2" ht="15.75" customHeight="1">
      <c r="A660" s="228">
        <f t="shared" si="6"/>
        <v>46071</v>
      </c>
      <c r="B660" s="483">
        <v>35200</v>
      </c>
    </row>
    <row r="661" spans="1:2" ht="15.75" customHeight="1">
      <c r="A661" s="228">
        <f t="shared" si="6"/>
        <v>46072</v>
      </c>
      <c r="B661" s="483">
        <v>35235</v>
      </c>
    </row>
    <row r="662" spans="1:2" ht="15.75" customHeight="1">
      <c r="A662" s="228">
        <f t="shared" si="6"/>
        <v>46073</v>
      </c>
      <c r="B662" s="483">
        <v>35270</v>
      </c>
    </row>
    <row r="663" spans="1:2" ht="15.75" customHeight="1">
      <c r="A663" s="228">
        <f t="shared" si="6"/>
        <v>46074</v>
      </c>
      <c r="B663" s="483">
        <v>35305</v>
      </c>
    </row>
    <row r="664" spans="1:2" ht="15.75" customHeight="1">
      <c r="A664" s="228">
        <f t="shared" si="6"/>
        <v>46075</v>
      </c>
      <c r="B664" s="483">
        <v>35340</v>
      </c>
    </row>
    <row r="665" spans="1:2" ht="15.75" customHeight="1">
      <c r="A665" s="228">
        <f t="shared" si="6"/>
        <v>46076</v>
      </c>
      <c r="B665" s="483">
        <v>35375</v>
      </c>
    </row>
    <row r="666" spans="1:2" ht="15.75" customHeight="1">
      <c r="A666" s="228">
        <f t="shared" si="6"/>
        <v>46077</v>
      </c>
      <c r="B666" s="483">
        <v>35410</v>
      </c>
    </row>
    <row r="667" spans="1:2" ht="15.75" customHeight="1">
      <c r="A667" s="228">
        <f t="shared" si="6"/>
        <v>46078</v>
      </c>
      <c r="B667" s="483">
        <v>35445</v>
      </c>
    </row>
    <row r="668" spans="1:2" ht="15.75" customHeight="1">
      <c r="A668" s="228">
        <f t="shared" si="6"/>
        <v>46079</v>
      </c>
      <c r="B668" s="483">
        <v>35485</v>
      </c>
    </row>
    <row r="669" spans="1:2" ht="15.75" customHeight="1">
      <c r="A669" s="228">
        <f t="shared" si="6"/>
        <v>46080</v>
      </c>
      <c r="B669" s="483">
        <v>35473</v>
      </c>
    </row>
    <row r="670" spans="1:2" ht="15.75" customHeight="1">
      <c r="A670" s="228">
        <f t="shared" si="6"/>
        <v>46081</v>
      </c>
      <c r="B670" s="483">
        <v>35461</v>
      </c>
    </row>
    <row r="671" spans="1:2" ht="15.75" customHeight="1">
      <c r="A671" s="228">
        <f t="shared" si="6"/>
        <v>46082</v>
      </c>
      <c r="B671" s="483">
        <v>35449</v>
      </c>
    </row>
    <row r="672" spans="1:2" ht="15.75" customHeight="1">
      <c r="A672" s="228">
        <f t="shared" si="6"/>
        <v>46083</v>
      </c>
      <c r="B672" s="483">
        <v>35437</v>
      </c>
    </row>
    <row r="673" spans="1:2" ht="15.75" customHeight="1">
      <c r="A673" s="228">
        <f t="shared" si="6"/>
        <v>46084</v>
      </c>
      <c r="B673" s="483">
        <v>35425</v>
      </c>
    </row>
    <row r="674" spans="1:2" ht="15.75" customHeight="1">
      <c r="A674" s="228">
        <f t="shared" si="6"/>
        <v>46085</v>
      </c>
      <c r="B674" s="483">
        <v>35413</v>
      </c>
    </row>
    <row r="675" spans="1:2" ht="15.75" customHeight="1">
      <c r="A675" s="228">
        <f t="shared" si="6"/>
        <v>46086</v>
      </c>
      <c r="B675" s="483">
        <v>35401</v>
      </c>
    </row>
    <row r="676" spans="1:2" ht="15.75" customHeight="1">
      <c r="A676" s="228">
        <f t="shared" si="6"/>
        <v>46087</v>
      </c>
      <c r="B676" s="483">
        <v>35389</v>
      </c>
    </row>
    <row r="677" spans="1:2" ht="15.75" customHeight="1">
      <c r="A677" s="228">
        <f t="shared" si="6"/>
        <v>46088</v>
      </c>
      <c r="B677" s="483">
        <v>35377</v>
      </c>
    </row>
    <row r="678" spans="1:2" ht="15.75" customHeight="1">
      <c r="A678" s="228">
        <f t="shared" si="6"/>
        <v>46089</v>
      </c>
      <c r="B678" s="483">
        <v>35365</v>
      </c>
    </row>
    <row r="679" spans="1:2" ht="15.75" customHeight="1">
      <c r="A679" s="228">
        <f t="shared" si="6"/>
        <v>46090</v>
      </c>
      <c r="B679" s="483">
        <v>35353</v>
      </c>
    </row>
    <row r="680" spans="1:2" ht="15.75" customHeight="1">
      <c r="A680" s="228">
        <f t="shared" si="6"/>
        <v>46091</v>
      </c>
      <c r="B680" s="483">
        <v>35341</v>
      </c>
    </row>
    <row r="681" spans="1:2" ht="15.75" customHeight="1">
      <c r="A681" s="228">
        <f t="shared" si="6"/>
        <v>46092</v>
      </c>
      <c r="B681" s="483">
        <v>35329</v>
      </c>
    </row>
    <row r="682" spans="1:2" ht="15.75" customHeight="1">
      <c r="A682" s="228">
        <f t="shared" si="6"/>
        <v>46093</v>
      </c>
      <c r="B682" s="483">
        <v>35315</v>
      </c>
    </row>
    <row r="683" spans="1:2" ht="15.75" customHeight="1">
      <c r="A683" s="228">
        <f t="shared" si="6"/>
        <v>46094</v>
      </c>
      <c r="B683" s="483">
        <v>35314</v>
      </c>
    </row>
    <row r="684" spans="1:2" ht="15.75" customHeight="1">
      <c r="A684" s="228">
        <f t="shared" si="6"/>
        <v>46095</v>
      </c>
      <c r="B684" s="483">
        <v>35313</v>
      </c>
    </row>
    <row r="685" spans="1:2" ht="15.75" customHeight="1">
      <c r="A685" s="228">
        <f t="shared" si="6"/>
        <v>46096</v>
      </c>
      <c r="B685" s="483">
        <v>35312</v>
      </c>
    </row>
    <row r="686" spans="1:2" ht="15.75" customHeight="1">
      <c r="A686" s="228">
        <f t="shared" si="6"/>
        <v>46097</v>
      </c>
      <c r="B686" s="483">
        <v>35311</v>
      </c>
    </row>
    <row r="687" spans="1:2" ht="15.75" customHeight="1">
      <c r="A687" s="228">
        <f t="shared" si="6"/>
        <v>46098</v>
      </c>
      <c r="B687" s="483">
        <v>35310</v>
      </c>
    </row>
    <row r="688" spans="1:2" ht="15.75" customHeight="1">
      <c r="A688" s="228">
        <f t="shared" si="6"/>
        <v>46099</v>
      </c>
      <c r="B688" s="483">
        <v>35309</v>
      </c>
    </row>
    <row r="689" spans="1:2" ht="15.75" customHeight="1">
      <c r="A689" s="228">
        <f t="shared" si="6"/>
        <v>46100</v>
      </c>
      <c r="B689" s="483">
        <v>35308</v>
      </c>
    </row>
    <row r="690" spans="1:2" ht="15.75" customHeight="1">
      <c r="A690" s="228">
        <f t="shared" si="6"/>
        <v>46101</v>
      </c>
      <c r="B690" s="483">
        <v>35298</v>
      </c>
    </row>
    <row r="691" spans="1:2" ht="15.75" customHeight="1">
      <c r="A691" s="228">
        <f t="shared" si="6"/>
        <v>46102</v>
      </c>
      <c r="B691" s="483">
        <v>35288</v>
      </c>
    </row>
    <row r="692" spans="1:2" ht="15.75" customHeight="1">
      <c r="A692" s="228">
        <f t="shared" si="6"/>
        <v>46103</v>
      </c>
      <c r="B692" s="483">
        <v>35278</v>
      </c>
    </row>
    <row r="693" spans="1:2" ht="15.75" customHeight="1">
      <c r="A693" s="228">
        <f t="shared" si="6"/>
        <v>46104</v>
      </c>
      <c r="B693" s="483">
        <v>35268</v>
      </c>
    </row>
    <row r="694" spans="1:2" ht="15.75" customHeight="1">
      <c r="A694" s="228">
        <f t="shared" si="6"/>
        <v>46105</v>
      </c>
      <c r="B694" s="483">
        <v>35258</v>
      </c>
    </row>
    <row r="695" spans="1:2" ht="15.75" customHeight="1">
      <c r="A695" s="228">
        <f t="shared" si="6"/>
        <v>46106</v>
      </c>
      <c r="B695" s="483">
        <v>35248</v>
      </c>
    </row>
    <row r="696" spans="1:2" ht="15.75" customHeight="1">
      <c r="A696" s="228">
        <f t="shared" si="6"/>
        <v>46107</v>
      </c>
      <c r="B696" s="483">
        <v>35235</v>
      </c>
    </row>
    <row r="697" spans="1:2" ht="15.75" customHeight="1">
      <c r="A697" s="228">
        <f t="shared" si="6"/>
        <v>46108</v>
      </c>
      <c r="B697" s="483">
        <v>35237</v>
      </c>
    </row>
    <row r="698" spans="1:2" ht="15.75" customHeight="1">
      <c r="A698" s="228">
        <f t="shared" si="6"/>
        <v>46109</v>
      </c>
      <c r="B698" s="483">
        <v>35239</v>
      </c>
    </row>
    <row r="699" spans="1:2" ht="15.75" customHeight="1">
      <c r="A699" s="228">
        <f t="shared" si="6"/>
        <v>46110</v>
      </c>
      <c r="B699" s="483">
        <v>35241</v>
      </c>
    </row>
    <row r="700" spans="1:2" ht="15.75" customHeight="1">
      <c r="A700" s="228">
        <f t="shared" si="6"/>
        <v>46111</v>
      </c>
      <c r="B700" s="483">
        <v>35243</v>
      </c>
    </row>
    <row r="701" spans="1:2" ht="15.75" customHeight="1">
      <c r="A701" s="228">
        <f t="shared" ref="A701:A764" si="7">+A700+1</f>
        <v>46112</v>
      </c>
      <c r="B701" s="483">
        <v>35245</v>
      </c>
    </row>
    <row r="702" spans="1:2" ht="15.75" customHeight="1">
      <c r="A702" s="228">
        <f t="shared" si="7"/>
        <v>46113</v>
      </c>
      <c r="B702" s="483">
        <v>35247</v>
      </c>
    </row>
    <row r="703" spans="1:2" ht="15.75" customHeight="1">
      <c r="A703" s="228">
        <f t="shared" si="7"/>
        <v>46114</v>
      </c>
      <c r="B703" s="483">
        <v>35249</v>
      </c>
    </row>
    <row r="704" spans="1:2" ht="15.75" customHeight="1">
      <c r="A704" s="228">
        <f t="shared" si="7"/>
        <v>46115</v>
      </c>
      <c r="B704" s="483">
        <v>35251</v>
      </c>
    </row>
    <row r="705" spans="1:2" ht="15.75" customHeight="1">
      <c r="A705" s="228">
        <f t="shared" si="7"/>
        <v>46116</v>
      </c>
      <c r="B705" s="483">
        <v>35253</v>
      </c>
    </row>
    <row r="706" spans="1:2" ht="15.75" customHeight="1">
      <c r="A706" s="228">
        <f t="shared" si="7"/>
        <v>46117</v>
      </c>
      <c r="B706" s="483">
        <v>35255</v>
      </c>
    </row>
    <row r="707" spans="1:2" ht="15.75" customHeight="1">
      <c r="A707" s="228">
        <f t="shared" si="7"/>
        <v>46118</v>
      </c>
      <c r="B707" s="483">
        <v>35257</v>
      </c>
    </row>
    <row r="708" spans="1:2" ht="15.75" customHeight="1">
      <c r="A708" s="228">
        <f t="shared" si="7"/>
        <v>46119</v>
      </c>
      <c r="B708" s="483">
        <v>35259</v>
      </c>
    </row>
    <row r="709" spans="1:2" ht="15.75" customHeight="1">
      <c r="A709" s="228">
        <f t="shared" si="7"/>
        <v>46120</v>
      </c>
      <c r="B709" s="483">
        <v>35261</v>
      </c>
    </row>
    <row r="710" spans="1:2" ht="15.75" customHeight="1">
      <c r="A710" s="228">
        <f t="shared" si="7"/>
        <v>46121</v>
      </c>
      <c r="B710" s="483">
        <v>35275</v>
      </c>
    </row>
    <row r="711" spans="1:2" ht="15.75" customHeight="1">
      <c r="A711" s="228">
        <f t="shared" si="7"/>
        <v>46122</v>
      </c>
      <c r="B711" s="483">
        <v>35315</v>
      </c>
    </row>
    <row r="712" spans="1:2" ht="15.75" customHeight="1">
      <c r="A712" s="228">
        <f t="shared" si="7"/>
        <v>46123</v>
      </c>
      <c r="B712" s="483">
        <v>35325</v>
      </c>
    </row>
    <row r="713" spans="1:2" ht="15.75" customHeight="1">
      <c r="A713" s="228">
        <f t="shared" si="7"/>
        <v>46124</v>
      </c>
      <c r="B713" s="483">
        <v>35335</v>
      </c>
    </row>
    <row r="714" spans="1:2" ht="15.75" customHeight="1">
      <c r="A714" s="228">
        <f t="shared" si="7"/>
        <v>46125</v>
      </c>
      <c r="B714" s="483">
        <v>35345</v>
      </c>
    </row>
    <row r="715" spans="1:2" ht="15.75" customHeight="1">
      <c r="A715" s="228">
        <f t="shared" si="7"/>
        <v>46126</v>
      </c>
      <c r="B715" s="483">
        <v>35355</v>
      </c>
    </row>
    <row r="716" spans="1:2" ht="15.75" customHeight="1">
      <c r="A716" s="228">
        <f t="shared" si="7"/>
        <v>46127</v>
      </c>
      <c r="B716" s="483">
        <v>35365</v>
      </c>
    </row>
    <row r="717" spans="1:2" ht="15.75" customHeight="1">
      <c r="A717" s="228">
        <f t="shared" si="7"/>
        <v>46128</v>
      </c>
      <c r="B717" s="483">
        <v>35375</v>
      </c>
    </row>
    <row r="718" spans="1:2" ht="15.75" customHeight="1">
      <c r="A718" s="228">
        <f t="shared" si="7"/>
        <v>46129</v>
      </c>
      <c r="B718" s="483">
        <v>35385</v>
      </c>
    </row>
    <row r="719" spans="1:2" ht="15.75" customHeight="1">
      <c r="A719" s="228">
        <f t="shared" si="7"/>
        <v>46130</v>
      </c>
      <c r="B719" s="483">
        <v>35395</v>
      </c>
    </row>
    <row r="720" spans="1:2" ht="15.75" customHeight="1">
      <c r="A720" s="228">
        <f t="shared" si="7"/>
        <v>46131</v>
      </c>
      <c r="B720" s="483">
        <v>35405</v>
      </c>
    </row>
    <row r="721" spans="1:2" ht="15.75" customHeight="1">
      <c r="A721" s="228">
        <f t="shared" si="7"/>
        <v>46132</v>
      </c>
      <c r="B721" s="483">
        <v>35415</v>
      </c>
    </row>
    <row r="722" spans="1:2" ht="15.75" customHeight="1">
      <c r="A722" s="228">
        <f t="shared" si="7"/>
        <v>46133</v>
      </c>
      <c r="B722" s="483">
        <v>35425</v>
      </c>
    </row>
    <row r="723" spans="1:2" ht="15.75" customHeight="1">
      <c r="A723" s="228">
        <f t="shared" si="7"/>
        <v>46134</v>
      </c>
      <c r="B723" s="483">
        <v>35435</v>
      </c>
    </row>
    <row r="724" spans="1:2" ht="15.75" customHeight="1">
      <c r="A724" s="228">
        <f t="shared" si="7"/>
        <v>46135</v>
      </c>
      <c r="B724" s="483">
        <v>35445</v>
      </c>
    </row>
    <row r="725" spans="1:2" ht="15.75" customHeight="1">
      <c r="A725" s="228">
        <f t="shared" si="7"/>
        <v>46136</v>
      </c>
      <c r="B725" s="483">
        <v>35460</v>
      </c>
    </row>
    <row r="726" spans="1:2" ht="15.75" customHeight="1">
      <c r="A726" s="228">
        <f t="shared" si="7"/>
        <v>46137</v>
      </c>
      <c r="B726" s="483">
        <v>35460</v>
      </c>
    </row>
    <row r="727" spans="1:2" ht="15.75" customHeight="1">
      <c r="A727" s="228">
        <f t="shared" si="7"/>
        <v>46138</v>
      </c>
      <c r="B727" s="483">
        <v>35570</v>
      </c>
    </row>
    <row r="728" spans="1:2" ht="15.75" customHeight="1">
      <c r="A728" s="228">
        <f t="shared" si="7"/>
        <v>46139</v>
      </c>
      <c r="B728" s="483">
        <v>35680</v>
      </c>
    </row>
    <row r="729" spans="1:2" ht="15.75" customHeight="1">
      <c r="A729" s="228">
        <f t="shared" si="7"/>
        <v>46140</v>
      </c>
      <c r="B729" s="483">
        <v>35790</v>
      </c>
    </row>
    <row r="730" spans="1:2" ht="15.75" customHeight="1">
      <c r="A730" s="228">
        <f t="shared" si="7"/>
        <v>46141</v>
      </c>
      <c r="B730" s="483">
        <v>35900</v>
      </c>
    </row>
    <row r="731" spans="1:2" ht="15.75" customHeight="1">
      <c r="A731" s="228">
        <f t="shared" si="7"/>
        <v>46142</v>
      </c>
      <c r="B731" s="483">
        <v>36010</v>
      </c>
    </row>
    <row r="732" spans="1:2" ht="15.75" customHeight="1">
      <c r="A732" s="228">
        <f t="shared" si="7"/>
        <v>46143</v>
      </c>
      <c r="B732" s="483">
        <v>36120</v>
      </c>
    </row>
    <row r="733" spans="1:2" ht="15.75" customHeight="1">
      <c r="A733" s="228">
        <f t="shared" si="7"/>
        <v>46144</v>
      </c>
      <c r="B733" s="483">
        <v>36230</v>
      </c>
    </row>
    <row r="734" spans="1:2" ht="15.75" customHeight="1">
      <c r="A734" s="228">
        <f t="shared" si="7"/>
        <v>46145</v>
      </c>
      <c r="B734" s="483">
        <v>36340</v>
      </c>
    </row>
    <row r="735" spans="1:2" ht="15.75" customHeight="1">
      <c r="A735" s="228">
        <f t="shared" si="7"/>
        <v>46146</v>
      </c>
      <c r="B735" s="483">
        <v>36450</v>
      </c>
    </row>
    <row r="736" spans="1:2" ht="15.75" customHeight="1">
      <c r="A736" s="228">
        <f t="shared" si="7"/>
        <v>46147</v>
      </c>
      <c r="B736" s="483">
        <v>36560</v>
      </c>
    </row>
    <row r="737" spans="1:2" ht="15.75" customHeight="1">
      <c r="A737" s="228">
        <f t="shared" si="7"/>
        <v>46148</v>
      </c>
      <c r="B737" s="483">
        <v>36670</v>
      </c>
    </row>
    <row r="738" spans="1:2" ht="15.75" customHeight="1">
      <c r="A738" s="228">
        <f t="shared" si="7"/>
        <v>46149</v>
      </c>
      <c r="B738" s="483">
        <v>36780</v>
      </c>
    </row>
    <row r="739" spans="1:2" ht="15.75" customHeight="1">
      <c r="A739" s="228">
        <f t="shared" si="7"/>
        <v>46150</v>
      </c>
      <c r="B739" s="483">
        <v>37085</v>
      </c>
    </row>
    <row r="740" spans="1:2" ht="15.75" customHeight="1">
      <c r="A740" s="228">
        <f t="shared" si="7"/>
        <v>46151</v>
      </c>
      <c r="B740" s="483">
        <v>37087</v>
      </c>
    </row>
    <row r="741" spans="1:2" ht="15.75" customHeight="1">
      <c r="A741" s="228">
        <f t="shared" si="7"/>
        <v>46152</v>
      </c>
      <c r="B741" s="483">
        <v>37089</v>
      </c>
    </row>
    <row r="742" spans="1:2" ht="15.75" customHeight="1">
      <c r="A742" s="228">
        <f t="shared" si="7"/>
        <v>46153</v>
      </c>
      <c r="B742" s="483">
        <v>37091</v>
      </c>
    </row>
    <row r="743" spans="1:2" ht="15.75" customHeight="1">
      <c r="A743" s="228">
        <f t="shared" si="7"/>
        <v>46154</v>
      </c>
      <c r="B743" s="483">
        <v>37093</v>
      </c>
    </row>
    <row r="744" spans="1:2" ht="15.75" customHeight="1">
      <c r="A744" s="228">
        <f t="shared" si="7"/>
        <v>46155</v>
      </c>
      <c r="B744" s="483">
        <v>37095</v>
      </c>
    </row>
    <row r="745" spans="1:2" ht="15.75" customHeight="1">
      <c r="A745" s="228">
        <f t="shared" si="7"/>
        <v>46156</v>
      </c>
      <c r="B745" s="483">
        <v>37097</v>
      </c>
    </row>
    <row r="746" spans="1:2" ht="15.75" customHeight="1">
      <c r="A746" s="228">
        <f t="shared" si="7"/>
        <v>46157</v>
      </c>
      <c r="B746" s="483">
        <v>37099</v>
      </c>
    </row>
    <row r="747" spans="1:2" ht="15.75" customHeight="1">
      <c r="A747" s="228">
        <f t="shared" si="7"/>
        <v>46158</v>
      </c>
      <c r="B747" s="483">
        <v>37101</v>
      </c>
    </row>
    <row r="748" spans="1:2" ht="15.75" customHeight="1">
      <c r="A748" s="228">
        <f t="shared" si="7"/>
        <v>46159</v>
      </c>
      <c r="B748" s="483">
        <v>37103</v>
      </c>
    </row>
    <row r="749" spans="1:2" ht="15.75" customHeight="1">
      <c r="A749" s="228">
        <f t="shared" si="7"/>
        <v>46160</v>
      </c>
      <c r="B749" s="483">
        <v>37105</v>
      </c>
    </row>
    <row r="750" spans="1:2" ht="15.75" customHeight="1">
      <c r="A750" s="228">
        <f t="shared" si="7"/>
        <v>46161</v>
      </c>
      <c r="B750" s="483">
        <v>37107</v>
      </c>
    </row>
    <row r="751" spans="1:2" ht="15.75" customHeight="1">
      <c r="A751" s="228">
        <f t="shared" si="7"/>
        <v>46162</v>
      </c>
      <c r="B751" s="483">
        <v>37109</v>
      </c>
    </row>
    <row r="752" spans="1:2" ht="15.75" customHeight="1">
      <c r="A752" s="228">
        <f t="shared" si="7"/>
        <v>46163</v>
      </c>
      <c r="B752" s="483">
        <v>37111</v>
      </c>
    </row>
    <row r="753" spans="1:2" ht="15.75" customHeight="1">
      <c r="A753" s="228">
        <f t="shared" si="7"/>
        <v>46164</v>
      </c>
      <c r="B753" s="483">
        <v>37115</v>
      </c>
    </row>
    <row r="754" spans="1:2" ht="15.75" customHeight="1">
      <c r="A754" s="228">
        <f t="shared" si="7"/>
        <v>46165</v>
      </c>
      <c r="B754" s="233">
        <f t="shared" ref="B754:B758" si="8">+B753</f>
        <v>37115</v>
      </c>
    </row>
    <row r="755" spans="1:2" ht="15.75" customHeight="1">
      <c r="A755" s="228">
        <f t="shared" si="7"/>
        <v>46166</v>
      </c>
      <c r="B755" s="233">
        <f t="shared" si="8"/>
        <v>37115</v>
      </c>
    </row>
    <row r="756" spans="1:2" ht="15.75" customHeight="1">
      <c r="A756" s="228">
        <f t="shared" si="7"/>
        <v>46167</v>
      </c>
      <c r="B756" s="233">
        <f t="shared" si="8"/>
        <v>37115</v>
      </c>
    </row>
    <row r="757" spans="1:2" ht="15.75" customHeight="1">
      <c r="A757" s="228">
        <f t="shared" si="7"/>
        <v>46168</v>
      </c>
      <c r="B757" s="233">
        <f t="shared" si="8"/>
        <v>37115</v>
      </c>
    </row>
    <row r="758" spans="1:2" ht="15.75" customHeight="1">
      <c r="A758" s="228">
        <f t="shared" si="7"/>
        <v>46169</v>
      </c>
      <c r="B758" s="233">
        <f t="shared" si="8"/>
        <v>37115</v>
      </c>
    </row>
    <row r="759" spans="1:2" ht="15.75" customHeight="1">
      <c r="A759" s="228">
        <f t="shared" si="7"/>
        <v>46170</v>
      </c>
      <c r="B759" s="233">
        <f t="shared" ref="B759:B822" si="9">+B758</f>
        <v>37115</v>
      </c>
    </row>
    <row r="760" spans="1:2" ht="15.75" customHeight="1">
      <c r="A760" s="228">
        <f t="shared" si="7"/>
        <v>46171</v>
      </c>
      <c r="B760" s="233">
        <f t="shared" si="9"/>
        <v>37115</v>
      </c>
    </row>
    <row r="761" spans="1:2" ht="15.75" customHeight="1">
      <c r="A761" s="228">
        <f t="shared" si="7"/>
        <v>46172</v>
      </c>
      <c r="B761" s="233">
        <f t="shared" si="9"/>
        <v>37115</v>
      </c>
    </row>
    <row r="762" spans="1:2" ht="15.75" customHeight="1">
      <c r="A762" s="228">
        <f t="shared" si="7"/>
        <v>46173</v>
      </c>
      <c r="B762" s="233">
        <f t="shared" si="9"/>
        <v>37115</v>
      </c>
    </row>
    <row r="763" spans="1:2" ht="15.75" customHeight="1">
      <c r="A763" s="228">
        <f t="shared" si="7"/>
        <v>46174</v>
      </c>
      <c r="B763" s="233">
        <f t="shared" si="9"/>
        <v>37115</v>
      </c>
    </row>
    <row r="764" spans="1:2" ht="15.75" customHeight="1">
      <c r="A764" s="228">
        <f t="shared" si="7"/>
        <v>46175</v>
      </c>
      <c r="B764" s="233">
        <f t="shared" si="9"/>
        <v>37115</v>
      </c>
    </row>
    <row r="765" spans="1:2" ht="15.75" customHeight="1">
      <c r="A765" s="228">
        <f t="shared" ref="A765:A828" si="10">+A764+1</f>
        <v>46176</v>
      </c>
      <c r="B765" s="233">
        <f t="shared" si="9"/>
        <v>37115</v>
      </c>
    </row>
    <row r="766" spans="1:2" ht="15.75" customHeight="1">
      <c r="A766" s="228">
        <f t="shared" si="10"/>
        <v>46177</v>
      </c>
      <c r="B766" s="233">
        <f t="shared" si="9"/>
        <v>37115</v>
      </c>
    </row>
    <row r="767" spans="1:2" ht="15.75" customHeight="1">
      <c r="A767" s="228">
        <f t="shared" si="10"/>
        <v>46178</v>
      </c>
      <c r="B767" s="233">
        <f t="shared" si="9"/>
        <v>37115</v>
      </c>
    </row>
    <row r="768" spans="1:2" ht="15.75" customHeight="1">
      <c r="A768" s="228">
        <f t="shared" si="10"/>
        <v>46179</v>
      </c>
      <c r="B768" s="233">
        <f t="shared" si="9"/>
        <v>37115</v>
      </c>
    </row>
    <row r="769" spans="1:2" ht="15.75" customHeight="1">
      <c r="A769" s="228">
        <f t="shared" si="10"/>
        <v>46180</v>
      </c>
      <c r="B769" s="233">
        <f t="shared" si="9"/>
        <v>37115</v>
      </c>
    </row>
    <row r="770" spans="1:2" ht="15.75" customHeight="1">
      <c r="A770" s="228">
        <f t="shared" si="10"/>
        <v>46181</v>
      </c>
      <c r="B770" s="233">
        <f t="shared" si="9"/>
        <v>37115</v>
      </c>
    </row>
    <row r="771" spans="1:2" ht="15.75" customHeight="1">
      <c r="A771" s="228">
        <f t="shared" si="10"/>
        <v>46182</v>
      </c>
      <c r="B771" s="233">
        <f t="shared" si="9"/>
        <v>37115</v>
      </c>
    </row>
    <row r="772" spans="1:2" ht="15.75" customHeight="1">
      <c r="A772" s="228">
        <f t="shared" si="10"/>
        <v>46183</v>
      </c>
      <c r="B772" s="233">
        <f t="shared" si="9"/>
        <v>37115</v>
      </c>
    </row>
    <row r="773" spans="1:2" ht="15.75" customHeight="1">
      <c r="A773" s="228">
        <f t="shared" si="10"/>
        <v>46184</v>
      </c>
      <c r="B773" s="233">
        <f t="shared" si="9"/>
        <v>37115</v>
      </c>
    </row>
    <row r="774" spans="1:2" ht="15.75" customHeight="1">
      <c r="A774" s="228">
        <f t="shared" si="10"/>
        <v>46185</v>
      </c>
      <c r="B774" s="233">
        <f t="shared" si="9"/>
        <v>37115</v>
      </c>
    </row>
    <row r="775" spans="1:2" ht="15.75" customHeight="1">
      <c r="A775" s="228">
        <f t="shared" si="10"/>
        <v>46186</v>
      </c>
      <c r="B775" s="233">
        <f t="shared" si="9"/>
        <v>37115</v>
      </c>
    </row>
    <row r="776" spans="1:2" ht="15.75" customHeight="1">
      <c r="A776" s="228">
        <f t="shared" si="10"/>
        <v>46187</v>
      </c>
      <c r="B776" s="233">
        <f t="shared" si="9"/>
        <v>37115</v>
      </c>
    </row>
    <row r="777" spans="1:2" ht="15.75" customHeight="1">
      <c r="A777" s="228">
        <f t="shared" si="10"/>
        <v>46188</v>
      </c>
      <c r="B777" s="233">
        <f t="shared" si="9"/>
        <v>37115</v>
      </c>
    </row>
    <row r="778" spans="1:2" ht="15.75" customHeight="1">
      <c r="A778" s="228">
        <f t="shared" si="10"/>
        <v>46189</v>
      </c>
      <c r="B778" s="233">
        <f t="shared" si="9"/>
        <v>37115</v>
      </c>
    </row>
    <row r="779" spans="1:2" ht="15.75" customHeight="1">
      <c r="A779" s="228">
        <f t="shared" si="10"/>
        <v>46190</v>
      </c>
      <c r="B779" s="233">
        <f t="shared" si="9"/>
        <v>37115</v>
      </c>
    </row>
    <row r="780" spans="1:2" ht="15.75" customHeight="1">
      <c r="A780" s="228">
        <f t="shared" si="10"/>
        <v>46191</v>
      </c>
      <c r="B780" s="233">
        <f t="shared" si="9"/>
        <v>37115</v>
      </c>
    </row>
    <row r="781" spans="1:2" ht="15.75" customHeight="1">
      <c r="A781" s="228">
        <f t="shared" si="10"/>
        <v>46192</v>
      </c>
      <c r="B781" s="233">
        <f t="shared" si="9"/>
        <v>37115</v>
      </c>
    </row>
    <row r="782" spans="1:2" ht="15.75" customHeight="1">
      <c r="A782" s="228">
        <f t="shared" si="10"/>
        <v>46193</v>
      </c>
      <c r="B782" s="233">
        <f t="shared" si="9"/>
        <v>37115</v>
      </c>
    </row>
    <row r="783" spans="1:2" ht="15.75" customHeight="1">
      <c r="A783" s="228">
        <f t="shared" si="10"/>
        <v>46194</v>
      </c>
      <c r="B783" s="233">
        <f t="shared" si="9"/>
        <v>37115</v>
      </c>
    </row>
    <row r="784" spans="1:2" ht="15.75" customHeight="1">
      <c r="A784" s="228">
        <f t="shared" si="10"/>
        <v>46195</v>
      </c>
      <c r="B784" s="233">
        <f t="shared" si="9"/>
        <v>37115</v>
      </c>
    </row>
    <row r="785" spans="1:2" ht="15.75" customHeight="1">
      <c r="A785" s="228">
        <f t="shared" si="10"/>
        <v>46196</v>
      </c>
      <c r="B785" s="233">
        <f t="shared" si="9"/>
        <v>37115</v>
      </c>
    </row>
    <row r="786" spans="1:2" ht="15.75" customHeight="1">
      <c r="A786" s="228">
        <f t="shared" si="10"/>
        <v>46197</v>
      </c>
      <c r="B786" s="233">
        <f t="shared" si="9"/>
        <v>37115</v>
      </c>
    </row>
    <row r="787" spans="1:2" ht="15.75" customHeight="1">
      <c r="A787" s="228">
        <f t="shared" si="10"/>
        <v>46198</v>
      </c>
      <c r="B787" s="233">
        <f t="shared" si="9"/>
        <v>37115</v>
      </c>
    </row>
    <row r="788" spans="1:2" ht="15.75" customHeight="1">
      <c r="A788" s="228">
        <f t="shared" si="10"/>
        <v>46199</v>
      </c>
      <c r="B788" s="233">
        <f t="shared" si="9"/>
        <v>37115</v>
      </c>
    </row>
    <row r="789" spans="1:2" ht="15.75" customHeight="1">
      <c r="A789" s="228">
        <f t="shared" si="10"/>
        <v>46200</v>
      </c>
      <c r="B789" s="233">
        <f t="shared" si="9"/>
        <v>37115</v>
      </c>
    </row>
    <row r="790" spans="1:2" ht="15.75" customHeight="1">
      <c r="A790" s="228">
        <f t="shared" si="10"/>
        <v>46201</v>
      </c>
      <c r="B790" s="233">
        <f t="shared" si="9"/>
        <v>37115</v>
      </c>
    </row>
    <row r="791" spans="1:2" ht="15.75" customHeight="1">
      <c r="A791" s="228">
        <f t="shared" si="10"/>
        <v>46202</v>
      </c>
      <c r="B791" s="233">
        <f t="shared" si="9"/>
        <v>37115</v>
      </c>
    </row>
    <row r="792" spans="1:2" ht="15.75" customHeight="1">
      <c r="A792" s="228">
        <f t="shared" si="10"/>
        <v>46203</v>
      </c>
      <c r="B792" s="233">
        <f t="shared" si="9"/>
        <v>37115</v>
      </c>
    </row>
    <row r="793" spans="1:2" ht="15.75" customHeight="1">
      <c r="A793" s="228">
        <f t="shared" si="10"/>
        <v>46204</v>
      </c>
      <c r="B793" s="233">
        <f t="shared" si="9"/>
        <v>37115</v>
      </c>
    </row>
    <row r="794" spans="1:2" ht="15.75" customHeight="1">
      <c r="A794" s="228">
        <f t="shared" si="10"/>
        <v>46205</v>
      </c>
      <c r="B794" s="233">
        <f t="shared" si="9"/>
        <v>37115</v>
      </c>
    </row>
    <row r="795" spans="1:2" ht="15.75" customHeight="1">
      <c r="A795" s="228">
        <f t="shared" si="10"/>
        <v>46206</v>
      </c>
      <c r="B795" s="233">
        <f t="shared" si="9"/>
        <v>37115</v>
      </c>
    </row>
    <row r="796" spans="1:2" ht="15.75" customHeight="1">
      <c r="A796" s="228">
        <f t="shared" si="10"/>
        <v>46207</v>
      </c>
      <c r="B796" s="233">
        <f t="shared" si="9"/>
        <v>37115</v>
      </c>
    </row>
    <row r="797" spans="1:2" ht="15.75" customHeight="1">
      <c r="A797" s="228">
        <f t="shared" si="10"/>
        <v>46208</v>
      </c>
      <c r="B797" s="233">
        <f t="shared" si="9"/>
        <v>37115</v>
      </c>
    </row>
    <row r="798" spans="1:2" ht="15.75" customHeight="1">
      <c r="A798" s="228">
        <f t="shared" si="10"/>
        <v>46209</v>
      </c>
      <c r="B798" s="233">
        <f t="shared" si="9"/>
        <v>37115</v>
      </c>
    </row>
    <row r="799" spans="1:2" ht="15.75" customHeight="1">
      <c r="A799" s="228">
        <f t="shared" si="10"/>
        <v>46210</v>
      </c>
      <c r="B799" s="233">
        <f t="shared" si="9"/>
        <v>37115</v>
      </c>
    </row>
    <row r="800" spans="1:2" ht="15.75" customHeight="1">
      <c r="A800" s="228">
        <f t="shared" si="10"/>
        <v>46211</v>
      </c>
      <c r="B800" s="233">
        <f t="shared" si="9"/>
        <v>37115</v>
      </c>
    </row>
    <row r="801" spans="1:2" ht="15.75" customHeight="1">
      <c r="A801" s="228">
        <f t="shared" si="10"/>
        <v>46212</v>
      </c>
      <c r="B801" s="233">
        <f t="shared" si="9"/>
        <v>37115</v>
      </c>
    </row>
    <row r="802" spans="1:2" ht="15.75" customHeight="1">
      <c r="A802" s="228">
        <f t="shared" si="10"/>
        <v>46213</v>
      </c>
      <c r="B802" s="233">
        <f t="shared" si="9"/>
        <v>37115</v>
      </c>
    </row>
    <row r="803" spans="1:2" ht="15.75" customHeight="1">
      <c r="A803" s="228">
        <f t="shared" si="10"/>
        <v>46214</v>
      </c>
      <c r="B803" s="233">
        <f t="shared" si="9"/>
        <v>37115</v>
      </c>
    </row>
    <row r="804" spans="1:2" ht="15.75" customHeight="1">
      <c r="A804" s="228">
        <f t="shared" si="10"/>
        <v>46215</v>
      </c>
      <c r="B804" s="233">
        <f t="shared" si="9"/>
        <v>37115</v>
      </c>
    </row>
    <row r="805" spans="1:2" ht="15.75" customHeight="1">
      <c r="A805" s="228">
        <f t="shared" si="10"/>
        <v>46216</v>
      </c>
      <c r="B805" s="233">
        <f t="shared" si="9"/>
        <v>37115</v>
      </c>
    </row>
    <row r="806" spans="1:2" ht="15.75" customHeight="1">
      <c r="A806" s="228">
        <f t="shared" si="10"/>
        <v>46217</v>
      </c>
      <c r="B806" s="233">
        <f t="shared" si="9"/>
        <v>37115</v>
      </c>
    </row>
    <row r="807" spans="1:2" ht="15.75" customHeight="1">
      <c r="A807" s="228">
        <f t="shared" si="10"/>
        <v>46218</v>
      </c>
      <c r="B807" s="233">
        <f t="shared" si="9"/>
        <v>37115</v>
      </c>
    </row>
    <row r="808" spans="1:2" ht="15.75" customHeight="1">
      <c r="A808" s="228">
        <f t="shared" si="10"/>
        <v>46219</v>
      </c>
      <c r="B808" s="233">
        <f t="shared" si="9"/>
        <v>37115</v>
      </c>
    </row>
    <row r="809" spans="1:2" ht="15.75" customHeight="1">
      <c r="A809" s="228">
        <f t="shared" si="10"/>
        <v>46220</v>
      </c>
      <c r="B809" s="233">
        <f t="shared" si="9"/>
        <v>37115</v>
      </c>
    </row>
    <row r="810" spans="1:2" ht="15.75" customHeight="1">
      <c r="A810" s="228">
        <f t="shared" si="10"/>
        <v>46221</v>
      </c>
      <c r="B810" s="233">
        <f t="shared" si="9"/>
        <v>37115</v>
      </c>
    </row>
    <row r="811" spans="1:2" ht="15.75" customHeight="1">
      <c r="A811" s="228">
        <f t="shared" si="10"/>
        <v>46222</v>
      </c>
      <c r="B811" s="233">
        <f t="shared" si="9"/>
        <v>37115</v>
      </c>
    </row>
    <row r="812" spans="1:2" ht="15.75" customHeight="1">
      <c r="A812" s="228">
        <f t="shared" si="10"/>
        <v>46223</v>
      </c>
      <c r="B812" s="233">
        <f t="shared" si="9"/>
        <v>37115</v>
      </c>
    </row>
    <row r="813" spans="1:2" ht="15.75" customHeight="1">
      <c r="A813" s="228">
        <f t="shared" si="10"/>
        <v>46224</v>
      </c>
      <c r="B813" s="233">
        <f t="shared" si="9"/>
        <v>37115</v>
      </c>
    </row>
    <row r="814" spans="1:2" ht="15.75" customHeight="1">
      <c r="A814" s="228">
        <f t="shared" si="10"/>
        <v>46225</v>
      </c>
      <c r="B814" s="233">
        <f t="shared" si="9"/>
        <v>37115</v>
      </c>
    </row>
    <row r="815" spans="1:2" ht="15.75" customHeight="1">
      <c r="A815" s="228">
        <f t="shared" si="10"/>
        <v>46226</v>
      </c>
      <c r="B815" s="233">
        <f t="shared" si="9"/>
        <v>37115</v>
      </c>
    </row>
    <row r="816" spans="1:2" ht="15.75" customHeight="1">
      <c r="A816" s="228">
        <f t="shared" si="10"/>
        <v>46227</v>
      </c>
      <c r="B816" s="233">
        <f t="shared" si="9"/>
        <v>37115</v>
      </c>
    </row>
    <row r="817" spans="1:2" ht="15.75" customHeight="1">
      <c r="A817" s="228">
        <f t="shared" si="10"/>
        <v>46228</v>
      </c>
      <c r="B817" s="233">
        <f t="shared" si="9"/>
        <v>37115</v>
      </c>
    </row>
    <row r="818" spans="1:2" ht="15.75" customHeight="1">
      <c r="A818" s="228">
        <f t="shared" si="10"/>
        <v>46229</v>
      </c>
      <c r="B818" s="233">
        <f t="shared" si="9"/>
        <v>37115</v>
      </c>
    </row>
    <row r="819" spans="1:2" ht="15.75" customHeight="1">
      <c r="A819" s="228">
        <f t="shared" si="10"/>
        <v>46230</v>
      </c>
      <c r="B819" s="233">
        <f t="shared" si="9"/>
        <v>37115</v>
      </c>
    </row>
    <row r="820" spans="1:2" ht="15.75" customHeight="1">
      <c r="A820" s="228">
        <f t="shared" si="10"/>
        <v>46231</v>
      </c>
      <c r="B820" s="233">
        <f t="shared" si="9"/>
        <v>37115</v>
      </c>
    </row>
    <row r="821" spans="1:2" ht="15.75" customHeight="1">
      <c r="A821" s="228">
        <f t="shared" si="10"/>
        <v>46232</v>
      </c>
      <c r="B821" s="233">
        <f t="shared" si="9"/>
        <v>37115</v>
      </c>
    </row>
    <row r="822" spans="1:2" ht="15.75" customHeight="1">
      <c r="A822" s="228">
        <f t="shared" si="10"/>
        <v>46233</v>
      </c>
      <c r="B822" s="233">
        <f t="shared" si="9"/>
        <v>37115</v>
      </c>
    </row>
    <row r="823" spans="1:2" ht="15.75" customHeight="1">
      <c r="A823" s="228">
        <f t="shared" si="10"/>
        <v>46234</v>
      </c>
      <c r="B823" s="233">
        <f t="shared" ref="B823:B886" si="11">+B822</f>
        <v>37115</v>
      </c>
    </row>
    <row r="824" spans="1:2" ht="15.75" customHeight="1">
      <c r="A824" s="228">
        <f t="shared" si="10"/>
        <v>46235</v>
      </c>
      <c r="B824" s="233">
        <f t="shared" si="11"/>
        <v>37115</v>
      </c>
    </row>
    <row r="825" spans="1:2" ht="15.75" customHeight="1">
      <c r="A825" s="228">
        <f t="shared" si="10"/>
        <v>46236</v>
      </c>
      <c r="B825" s="233">
        <f t="shared" si="11"/>
        <v>37115</v>
      </c>
    </row>
    <row r="826" spans="1:2" ht="15.75" customHeight="1">
      <c r="A826" s="228">
        <f t="shared" si="10"/>
        <v>46237</v>
      </c>
      <c r="B826" s="233">
        <f t="shared" si="11"/>
        <v>37115</v>
      </c>
    </row>
    <row r="827" spans="1:2" ht="15.75" customHeight="1">
      <c r="A827" s="228">
        <f t="shared" si="10"/>
        <v>46238</v>
      </c>
      <c r="B827" s="233">
        <f t="shared" si="11"/>
        <v>37115</v>
      </c>
    </row>
    <row r="828" spans="1:2" ht="15.75" customHeight="1">
      <c r="A828" s="228">
        <f t="shared" si="10"/>
        <v>46239</v>
      </c>
      <c r="B828" s="233">
        <f t="shared" si="11"/>
        <v>37115</v>
      </c>
    </row>
    <row r="829" spans="1:2" ht="15.75" customHeight="1">
      <c r="A829" s="228">
        <f t="shared" ref="A829:A892" si="12">+A828+1</f>
        <v>46240</v>
      </c>
      <c r="B829" s="233">
        <f t="shared" si="11"/>
        <v>37115</v>
      </c>
    </row>
    <row r="830" spans="1:2" ht="15.75" customHeight="1">
      <c r="A830" s="228">
        <f t="shared" si="12"/>
        <v>46241</v>
      </c>
      <c r="B830" s="233">
        <f t="shared" si="11"/>
        <v>37115</v>
      </c>
    </row>
    <row r="831" spans="1:2" ht="15.75" customHeight="1">
      <c r="A831" s="228">
        <f t="shared" si="12"/>
        <v>46242</v>
      </c>
      <c r="B831" s="233">
        <f t="shared" si="11"/>
        <v>37115</v>
      </c>
    </row>
    <row r="832" spans="1:2" ht="15.75" customHeight="1">
      <c r="A832" s="228">
        <f t="shared" si="12"/>
        <v>46243</v>
      </c>
      <c r="B832" s="233">
        <f t="shared" si="11"/>
        <v>37115</v>
      </c>
    </row>
    <row r="833" spans="1:2" ht="15.75" customHeight="1">
      <c r="A833" s="228">
        <f t="shared" si="12"/>
        <v>46244</v>
      </c>
      <c r="B833" s="233">
        <f t="shared" si="11"/>
        <v>37115</v>
      </c>
    </row>
    <row r="834" spans="1:2" ht="15.75" customHeight="1">
      <c r="A834" s="228">
        <f t="shared" si="12"/>
        <v>46245</v>
      </c>
      <c r="B834" s="233">
        <f t="shared" si="11"/>
        <v>37115</v>
      </c>
    </row>
    <row r="835" spans="1:2" ht="15.75" customHeight="1">
      <c r="A835" s="228">
        <f t="shared" si="12"/>
        <v>46246</v>
      </c>
      <c r="B835" s="233">
        <f t="shared" si="11"/>
        <v>37115</v>
      </c>
    </row>
    <row r="836" spans="1:2" ht="15.75" customHeight="1">
      <c r="A836" s="228">
        <f t="shared" si="12"/>
        <v>46247</v>
      </c>
      <c r="B836" s="233">
        <f t="shared" si="11"/>
        <v>37115</v>
      </c>
    </row>
    <row r="837" spans="1:2" ht="15.75" customHeight="1">
      <c r="A837" s="228">
        <f t="shared" si="12"/>
        <v>46248</v>
      </c>
      <c r="B837" s="233">
        <f t="shared" si="11"/>
        <v>37115</v>
      </c>
    </row>
    <row r="838" spans="1:2" ht="15.75" customHeight="1">
      <c r="A838" s="228">
        <f t="shared" si="12"/>
        <v>46249</v>
      </c>
      <c r="B838" s="233">
        <f t="shared" si="11"/>
        <v>37115</v>
      </c>
    </row>
    <row r="839" spans="1:2" ht="15.75" customHeight="1">
      <c r="A839" s="228">
        <f t="shared" si="12"/>
        <v>46250</v>
      </c>
      <c r="B839" s="233">
        <f t="shared" si="11"/>
        <v>37115</v>
      </c>
    </row>
    <row r="840" spans="1:2" ht="15.75" customHeight="1">
      <c r="A840" s="228">
        <f t="shared" si="12"/>
        <v>46251</v>
      </c>
      <c r="B840" s="233">
        <f t="shared" si="11"/>
        <v>37115</v>
      </c>
    </row>
    <row r="841" spans="1:2" ht="15.75" customHeight="1">
      <c r="A841" s="228">
        <f t="shared" si="12"/>
        <v>46252</v>
      </c>
      <c r="B841" s="233">
        <f t="shared" si="11"/>
        <v>37115</v>
      </c>
    </row>
    <row r="842" spans="1:2" ht="15.75" customHeight="1">
      <c r="A842" s="228">
        <f t="shared" si="12"/>
        <v>46253</v>
      </c>
      <c r="B842" s="233">
        <f t="shared" si="11"/>
        <v>37115</v>
      </c>
    </row>
    <row r="843" spans="1:2" ht="15.75" customHeight="1">
      <c r="A843" s="228">
        <f t="shared" si="12"/>
        <v>46254</v>
      </c>
      <c r="B843" s="233">
        <f t="shared" si="11"/>
        <v>37115</v>
      </c>
    </row>
    <row r="844" spans="1:2" ht="15.75" customHeight="1">
      <c r="A844" s="228">
        <f t="shared" si="12"/>
        <v>46255</v>
      </c>
      <c r="B844" s="233">
        <f t="shared" si="11"/>
        <v>37115</v>
      </c>
    </row>
    <row r="845" spans="1:2" ht="15.75" customHeight="1">
      <c r="A845" s="228">
        <f t="shared" si="12"/>
        <v>46256</v>
      </c>
      <c r="B845" s="233">
        <f t="shared" si="11"/>
        <v>37115</v>
      </c>
    </row>
    <row r="846" spans="1:2" ht="15.75" customHeight="1">
      <c r="A846" s="228">
        <f t="shared" si="12"/>
        <v>46257</v>
      </c>
      <c r="B846" s="233">
        <f t="shared" si="11"/>
        <v>37115</v>
      </c>
    </row>
    <row r="847" spans="1:2" ht="15.75" customHeight="1">
      <c r="A847" s="228">
        <f t="shared" si="12"/>
        <v>46258</v>
      </c>
      <c r="B847" s="233">
        <f t="shared" si="11"/>
        <v>37115</v>
      </c>
    </row>
    <row r="848" spans="1:2" ht="15.75" customHeight="1">
      <c r="A848" s="228">
        <f t="shared" si="12"/>
        <v>46259</v>
      </c>
      <c r="B848" s="233">
        <f t="shared" si="11"/>
        <v>37115</v>
      </c>
    </row>
    <row r="849" spans="1:2" ht="15.75" customHeight="1">
      <c r="A849" s="228">
        <f t="shared" si="12"/>
        <v>46260</v>
      </c>
      <c r="B849" s="233">
        <f t="shared" si="11"/>
        <v>37115</v>
      </c>
    </row>
    <row r="850" spans="1:2" ht="15.75" customHeight="1">
      <c r="A850" s="228">
        <f t="shared" si="12"/>
        <v>46261</v>
      </c>
      <c r="B850" s="233">
        <f t="shared" si="11"/>
        <v>37115</v>
      </c>
    </row>
    <row r="851" spans="1:2" ht="15.75" customHeight="1">
      <c r="A851" s="228">
        <f t="shared" si="12"/>
        <v>46262</v>
      </c>
      <c r="B851" s="233">
        <f t="shared" si="11"/>
        <v>37115</v>
      </c>
    </row>
    <row r="852" spans="1:2" ht="15.75" customHeight="1">
      <c r="A852" s="228">
        <f t="shared" si="12"/>
        <v>46263</v>
      </c>
      <c r="B852" s="233">
        <f t="shared" si="11"/>
        <v>37115</v>
      </c>
    </row>
    <row r="853" spans="1:2" ht="15.75" customHeight="1">
      <c r="A853" s="228">
        <f t="shared" si="12"/>
        <v>46264</v>
      </c>
      <c r="B853" s="233">
        <f t="shared" si="11"/>
        <v>37115</v>
      </c>
    </row>
    <row r="854" spans="1:2" ht="15.75" customHeight="1">
      <c r="A854" s="228">
        <f t="shared" si="12"/>
        <v>46265</v>
      </c>
      <c r="B854" s="233">
        <f t="shared" si="11"/>
        <v>37115</v>
      </c>
    </row>
    <row r="855" spans="1:2" ht="15.75" customHeight="1">
      <c r="A855" s="228">
        <f t="shared" si="12"/>
        <v>46266</v>
      </c>
      <c r="B855" s="233">
        <f t="shared" si="11"/>
        <v>37115</v>
      </c>
    </row>
    <row r="856" spans="1:2" ht="15.75" customHeight="1">
      <c r="A856" s="228">
        <f t="shared" si="12"/>
        <v>46267</v>
      </c>
      <c r="B856" s="233">
        <f t="shared" si="11"/>
        <v>37115</v>
      </c>
    </row>
    <row r="857" spans="1:2" ht="15.75" customHeight="1">
      <c r="A857" s="228">
        <f t="shared" si="12"/>
        <v>46268</v>
      </c>
      <c r="B857" s="233">
        <f t="shared" si="11"/>
        <v>37115</v>
      </c>
    </row>
    <row r="858" spans="1:2" ht="15.75" customHeight="1">
      <c r="A858" s="228">
        <f t="shared" si="12"/>
        <v>46269</v>
      </c>
      <c r="B858" s="233">
        <f t="shared" si="11"/>
        <v>37115</v>
      </c>
    </row>
    <row r="859" spans="1:2" ht="15.75" customHeight="1">
      <c r="A859" s="228">
        <f t="shared" si="12"/>
        <v>46270</v>
      </c>
      <c r="B859" s="233">
        <f t="shared" si="11"/>
        <v>37115</v>
      </c>
    </row>
    <row r="860" spans="1:2" ht="15.75" customHeight="1">
      <c r="A860" s="228">
        <f t="shared" si="12"/>
        <v>46271</v>
      </c>
      <c r="B860" s="233">
        <f t="shared" si="11"/>
        <v>37115</v>
      </c>
    </row>
    <row r="861" spans="1:2" ht="15.75" customHeight="1">
      <c r="A861" s="228">
        <f t="shared" si="12"/>
        <v>46272</v>
      </c>
      <c r="B861" s="233">
        <f t="shared" si="11"/>
        <v>37115</v>
      </c>
    </row>
    <row r="862" spans="1:2" ht="15.75" customHeight="1">
      <c r="A862" s="228">
        <f t="shared" si="12"/>
        <v>46273</v>
      </c>
      <c r="B862" s="233">
        <f t="shared" si="11"/>
        <v>37115</v>
      </c>
    </row>
    <row r="863" spans="1:2" ht="15.75" customHeight="1">
      <c r="A863" s="228">
        <f t="shared" si="12"/>
        <v>46274</v>
      </c>
      <c r="B863" s="233">
        <f t="shared" si="11"/>
        <v>37115</v>
      </c>
    </row>
    <row r="864" spans="1:2" ht="15.75" customHeight="1">
      <c r="A864" s="228">
        <f t="shared" si="12"/>
        <v>46275</v>
      </c>
      <c r="B864" s="233">
        <f t="shared" si="11"/>
        <v>37115</v>
      </c>
    </row>
    <row r="865" spans="1:2" ht="15.75" customHeight="1">
      <c r="A865" s="228">
        <f t="shared" si="12"/>
        <v>46276</v>
      </c>
      <c r="B865" s="233">
        <f t="shared" si="11"/>
        <v>37115</v>
      </c>
    </row>
    <row r="866" spans="1:2" ht="15.75" customHeight="1">
      <c r="A866" s="228">
        <f t="shared" si="12"/>
        <v>46277</v>
      </c>
      <c r="B866" s="233">
        <f t="shared" si="11"/>
        <v>37115</v>
      </c>
    </row>
    <row r="867" spans="1:2" ht="15.75" customHeight="1">
      <c r="A867" s="228">
        <f t="shared" si="12"/>
        <v>46278</v>
      </c>
      <c r="B867" s="233">
        <f t="shared" si="11"/>
        <v>37115</v>
      </c>
    </row>
    <row r="868" spans="1:2" ht="15.75" customHeight="1">
      <c r="A868" s="228">
        <f t="shared" si="12"/>
        <v>46279</v>
      </c>
      <c r="B868" s="233">
        <f t="shared" si="11"/>
        <v>37115</v>
      </c>
    </row>
    <row r="869" spans="1:2" ht="15.75" customHeight="1">
      <c r="A869" s="228">
        <f t="shared" si="12"/>
        <v>46280</v>
      </c>
      <c r="B869" s="233">
        <f t="shared" si="11"/>
        <v>37115</v>
      </c>
    </row>
    <row r="870" spans="1:2" ht="15.75" customHeight="1">
      <c r="A870" s="228">
        <f t="shared" si="12"/>
        <v>46281</v>
      </c>
      <c r="B870" s="233">
        <f t="shared" si="11"/>
        <v>37115</v>
      </c>
    </row>
    <row r="871" spans="1:2" ht="15.75" customHeight="1">
      <c r="A871" s="228">
        <f t="shared" si="12"/>
        <v>46282</v>
      </c>
      <c r="B871" s="233">
        <f t="shared" si="11"/>
        <v>37115</v>
      </c>
    </row>
    <row r="872" spans="1:2" ht="15.75" customHeight="1">
      <c r="A872" s="228">
        <f t="shared" si="12"/>
        <v>46283</v>
      </c>
      <c r="B872" s="233">
        <f t="shared" si="11"/>
        <v>37115</v>
      </c>
    </row>
    <row r="873" spans="1:2" ht="15.75" customHeight="1">
      <c r="A873" s="228">
        <f t="shared" si="12"/>
        <v>46284</v>
      </c>
      <c r="B873" s="233">
        <f t="shared" si="11"/>
        <v>37115</v>
      </c>
    </row>
    <row r="874" spans="1:2" ht="15.75" customHeight="1">
      <c r="A874" s="228">
        <f t="shared" si="12"/>
        <v>46285</v>
      </c>
      <c r="B874" s="233">
        <f t="shared" si="11"/>
        <v>37115</v>
      </c>
    </row>
    <row r="875" spans="1:2" ht="15.75" customHeight="1">
      <c r="A875" s="228">
        <f t="shared" si="12"/>
        <v>46286</v>
      </c>
      <c r="B875" s="233">
        <f t="shared" si="11"/>
        <v>37115</v>
      </c>
    </row>
    <row r="876" spans="1:2" ht="15.75" customHeight="1">
      <c r="A876" s="228">
        <f t="shared" si="12"/>
        <v>46287</v>
      </c>
      <c r="B876" s="233">
        <f t="shared" si="11"/>
        <v>37115</v>
      </c>
    </row>
    <row r="877" spans="1:2" ht="15.75" customHeight="1">
      <c r="A877" s="228">
        <f t="shared" si="12"/>
        <v>46288</v>
      </c>
      <c r="B877" s="233">
        <f t="shared" si="11"/>
        <v>37115</v>
      </c>
    </row>
    <row r="878" spans="1:2" ht="15.75" customHeight="1">
      <c r="A878" s="228">
        <f t="shared" si="12"/>
        <v>46289</v>
      </c>
      <c r="B878" s="233">
        <f t="shared" si="11"/>
        <v>37115</v>
      </c>
    </row>
    <row r="879" spans="1:2" ht="15.75" customHeight="1">
      <c r="A879" s="228">
        <f t="shared" si="12"/>
        <v>46290</v>
      </c>
      <c r="B879" s="233">
        <f t="shared" si="11"/>
        <v>37115</v>
      </c>
    </row>
    <row r="880" spans="1:2" ht="15.75" customHeight="1">
      <c r="A880" s="228">
        <f t="shared" si="12"/>
        <v>46291</v>
      </c>
      <c r="B880" s="233">
        <f t="shared" si="11"/>
        <v>37115</v>
      </c>
    </row>
    <row r="881" spans="1:2" ht="15.75" customHeight="1">
      <c r="A881" s="228">
        <f t="shared" si="12"/>
        <v>46292</v>
      </c>
      <c r="B881" s="233">
        <f t="shared" si="11"/>
        <v>37115</v>
      </c>
    </row>
    <row r="882" spans="1:2" ht="15.75" customHeight="1">
      <c r="A882" s="228">
        <f t="shared" si="12"/>
        <v>46293</v>
      </c>
      <c r="B882" s="233">
        <f t="shared" si="11"/>
        <v>37115</v>
      </c>
    </row>
    <row r="883" spans="1:2" ht="15.75" customHeight="1">
      <c r="A883" s="228">
        <f t="shared" si="12"/>
        <v>46294</v>
      </c>
      <c r="B883" s="233">
        <f t="shared" si="11"/>
        <v>37115</v>
      </c>
    </row>
    <row r="884" spans="1:2" ht="15.75" customHeight="1">
      <c r="A884" s="228">
        <f t="shared" si="12"/>
        <v>46295</v>
      </c>
      <c r="B884" s="233">
        <f t="shared" si="11"/>
        <v>37115</v>
      </c>
    </row>
    <row r="885" spans="1:2" ht="15.75" customHeight="1">
      <c r="A885" s="228">
        <f t="shared" si="12"/>
        <v>46296</v>
      </c>
      <c r="B885" s="233">
        <f t="shared" si="11"/>
        <v>37115</v>
      </c>
    </row>
    <row r="886" spans="1:2" ht="15.75" customHeight="1">
      <c r="A886" s="228">
        <f t="shared" si="12"/>
        <v>46297</v>
      </c>
      <c r="B886" s="233">
        <f t="shared" si="11"/>
        <v>37115</v>
      </c>
    </row>
    <row r="887" spans="1:2" ht="15.75" customHeight="1">
      <c r="A887" s="228">
        <f t="shared" si="12"/>
        <v>46298</v>
      </c>
      <c r="B887" s="233">
        <f t="shared" ref="B887:B950" si="13">+B886</f>
        <v>37115</v>
      </c>
    </row>
    <row r="888" spans="1:2" ht="15.75" customHeight="1">
      <c r="A888" s="228">
        <f t="shared" si="12"/>
        <v>46299</v>
      </c>
      <c r="B888" s="233">
        <f t="shared" si="13"/>
        <v>37115</v>
      </c>
    </row>
    <row r="889" spans="1:2" ht="15.75" customHeight="1">
      <c r="A889" s="228">
        <f t="shared" si="12"/>
        <v>46300</v>
      </c>
      <c r="B889" s="233">
        <f t="shared" si="13"/>
        <v>37115</v>
      </c>
    </row>
    <row r="890" spans="1:2" ht="15.75" customHeight="1">
      <c r="A890" s="228">
        <f t="shared" si="12"/>
        <v>46301</v>
      </c>
      <c r="B890" s="233">
        <f t="shared" si="13"/>
        <v>37115</v>
      </c>
    </row>
    <row r="891" spans="1:2" ht="15.75" customHeight="1">
      <c r="A891" s="228">
        <f t="shared" si="12"/>
        <v>46302</v>
      </c>
      <c r="B891" s="233">
        <f t="shared" si="13"/>
        <v>37115</v>
      </c>
    </row>
    <row r="892" spans="1:2" ht="15.75" customHeight="1">
      <c r="A892" s="228">
        <f t="shared" si="12"/>
        <v>46303</v>
      </c>
      <c r="B892" s="233">
        <f t="shared" si="13"/>
        <v>37115</v>
      </c>
    </row>
    <row r="893" spans="1:2" ht="15.75" customHeight="1">
      <c r="A893" s="228">
        <f t="shared" ref="A893:A956" si="14">+A892+1</f>
        <v>46304</v>
      </c>
      <c r="B893" s="233">
        <f t="shared" si="13"/>
        <v>37115</v>
      </c>
    </row>
    <row r="894" spans="1:2" ht="15.75" customHeight="1">
      <c r="A894" s="228">
        <f t="shared" si="14"/>
        <v>46305</v>
      </c>
      <c r="B894" s="233">
        <f t="shared" si="13"/>
        <v>37115</v>
      </c>
    </row>
    <row r="895" spans="1:2" ht="15.75" customHeight="1">
      <c r="A895" s="228">
        <f t="shared" si="14"/>
        <v>46306</v>
      </c>
      <c r="B895" s="233">
        <f t="shared" si="13"/>
        <v>37115</v>
      </c>
    </row>
    <row r="896" spans="1:2" ht="15.75" customHeight="1">
      <c r="A896" s="228">
        <f t="shared" si="14"/>
        <v>46307</v>
      </c>
      <c r="B896" s="233">
        <f t="shared" si="13"/>
        <v>37115</v>
      </c>
    </row>
    <row r="897" spans="1:2" ht="15.75" customHeight="1">
      <c r="A897" s="228">
        <f t="shared" si="14"/>
        <v>46308</v>
      </c>
      <c r="B897" s="233">
        <f t="shared" si="13"/>
        <v>37115</v>
      </c>
    </row>
    <row r="898" spans="1:2" ht="15.75" customHeight="1">
      <c r="A898" s="228">
        <f t="shared" si="14"/>
        <v>46309</v>
      </c>
      <c r="B898" s="233">
        <f t="shared" si="13"/>
        <v>37115</v>
      </c>
    </row>
    <row r="899" spans="1:2" ht="15.75" customHeight="1">
      <c r="A899" s="228">
        <f t="shared" si="14"/>
        <v>46310</v>
      </c>
      <c r="B899" s="233">
        <f t="shared" si="13"/>
        <v>37115</v>
      </c>
    </row>
    <row r="900" spans="1:2" ht="15.75" customHeight="1">
      <c r="A900" s="228">
        <f t="shared" si="14"/>
        <v>46311</v>
      </c>
      <c r="B900" s="233">
        <f t="shared" si="13"/>
        <v>37115</v>
      </c>
    </row>
    <row r="901" spans="1:2" ht="15.75" customHeight="1">
      <c r="A901" s="228">
        <f t="shared" si="14"/>
        <v>46312</v>
      </c>
      <c r="B901" s="233">
        <f t="shared" si="13"/>
        <v>37115</v>
      </c>
    </row>
    <row r="902" spans="1:2" ht="15.75" customHeight="1">
      <c r="A902" s="228">
        <f t="shared" si="14"/>
        <v>46313</v>
      </c>
      <c r="B902" s="233">
        <f t="shared" si="13"/>
        <v>37115</v>
      </c>
    </row>
    <row r="903" spans="1:2" ht="15.75" customHeight="1">
      <c r="A903" s="228">
        <f t="shared" si="14"/>
        <v>46314</v>
      </c>
      <c r="B903" s="233">
        <f t="shared" si="13"/>
        <v>37115</v>
      </c>
    </row>
    <row r="904" spans="1:2" ht="15.75" customHeight="1">
      <c r="A904" s="228">
        <f t="shared" si="14"/>
        <v>46315</v>
      </c>
      <c r="B904" s="233">
        <f t="shared" si="13"/>
        <v>37115</v>
      </c>
    </row>
    <row r="905" spans="1:2" ht="15.75" customHeight="1">
      <c r="A905" s="228">
        <f t="shared" si="14"/>
        <v>46316</v>
      </c>
      <c r="B905" s="233">
        <f t="shared" si="13"/>
        <v>37115</v>
      </c>
    </row>
    <row r="906" spans="1:2" ht="15.75" customHeight="1">
      <c r="A906" s="228">
        <f t="shared" si="14"/>
        <v>46317</v>
      </c>
      <c r="B906" s="233">
        <f t="shared" si="13"/>
        <v>37115</v>
      </c>
    </row>
    <row r="907" spans="1:2" ht="15.75" customHeight="1">
      <c r="A907" s="228">
        <f t="shared" si="14"/>
        <v>46318</v>
      </c>
      <c r="B907" s="233">
        <f t="shared" si="13"/>
        <v>37115</v>
      </c>
    </row>
    <row r="908" spans="1:2" ht="15.75" customHeight="1">
      <c r="A908" s="228">
        <f t="shared" si="14"/>
        <v>46319</v>
      </c>
      <c r="B908" s="233">
        <f t="shared" si="13"/>
        <v>37115</v>
      </c>
    </row>
    <row r="909" spans="1:2" ht="15.75" customHeight="1">
      <c r="A909" s="228">
        <f t="shared" si="14"/>
        <v>46320</v>
      </c>
      <c r="B909" s="233">
        <f t="shared" si="13"/>
        <v>37115</v>
      </c>
    </row>
    <row r="910" spans="1:2" ht="15.75" customHeight="1">
      <c r="A910" s="228">
        <f t="shared" si="14"/>
        <v>46321</v>
      </c>
      <c r="B910" s="233">
        <f t="shared" si="13"/>
        <v>37115</v>
      </c>
    </row>
    <row r="911" spans="1:2" ht="15.75" customHeight="1">
      <c r="A911" s="228">
        <f t="shared" si="14"/>
        <v>46322</v>
      </c>
      <c r="B911" s="233">
        <f t="shared" si="13"/>
        <v>37115</v>
      </c>
    </row>
    <row r="912" spans="1:2" ht="15.75" customHeight="1">
      <c r="A912" s="228">
        <f t="shared" si="14"/>
        <v>46323</v>
      </c>
      <c r="B912" s="233">
        <f t="shared" si="13"/>
        <v>37115</v>
      </c>
    </row>
    <row r="913" spans="1:2" ht="15.75" customHeight="1">
      <c r="A913" s="228">
        <f t="shared" si="14"/>
        <v>46324</v>
      </c>
      <c r="B913" s="233">
        <f t="shared" si="13"/>
        <v>37115</v>
      </c>
    </row>
    <row r="914" spans="1:2" ht="15.75" customHeight="1">
      <c r="A914" s="228">
        <f t="shared" si="14"/>
        <v>46325</v>
      </c>
      <c r="B914" s="233">
        <f t="shared" si="13"/>
        <v>37115</v>
      </c>
    </row>
    <row r="915" spans="1:2" ht="15.75" customHeight="1">
      <c r="A915" s="228">
        <f t="shared" si="14"/>
        <v>46326</v>
      </c>
      <c r="B915" s="233">
        <f t="shared" si="13"/>
        <v>37115</v>
      </c>
    </row>
    <row r="916" spans="1:2" ht="15.75" customHeight="1">
      <c r="A916" s="228">
        <f t="shared" si="14"/>
        <v>46327</v>
      </c>
      <c r="B916" s="233">
        <f t="shared" si="13"/>
        <v>37115</v>
      </c>
    </row>
    <row r="917" spans="1:2" ht="15.75" customHeight="1">
      <c r="A917" s="228">
        <f t="shared" si="14"/>
        <v>46328</v>
      </c>
      <c r="B917" s="233">
        <f t="shared" si="13"/>
        <v>37115</v>
      </c>
    </row>
    <row r="918" spans="1:2" ht="15.75" customHeight="1">
      <c r="A918" s="228">
        <f t="shared" si="14"/>
        <v>46329</v>
      </c>
      <c r="B918" s="233">
        <f t="shared" si="13"/>
        <v>37115</v>
      </c>
    </row>
    <row r="919" spans="1:2" ht="15.75" customHeight="1">
      <c r="A919" s="228">
        <f t="shared" si="14"/>
        <v>46330</v>
      </c>
      <c r="B919" s="233">
        <f t="shared" si="13"/>
        <v>37115</v>
      </c>
    </row>
    <row r="920" spans="1:2" ht="15.75" customHeight="1">
      <c r="A920" s="228">
        <f t="shared" si="14"/>
        <v>46331</v>
      </c>
      <c r="B920" s="233">
        <f t="shared" si="13"/>
        <v>37115</v>
      </c>
    </row>
    <row r="921" spans="1:2" ht="15.75" customHeight="1">
      <c r="A921" s="228">
        <f t="shared" si="14"/>
        <v>46332</v>
      </c>
      <c r="B921" s="233">
        <f t="shared" si="13"/>
        <v>37115</v>
      </c>
    </row>
    <row r="922" spans="1:2" ht="15.75" customHeight="1">
      <c r="A922" s="228">
        <f t="shared" si="14"/>
        <v>46333</v>
      </c>
      <c r="B922" s="233">
        <f t="shared" si="13"/>
        <v>37115</v>
      </c>
    </row>
    <row r="923" spans="1:2" ht="15.75" customHeight="1">
      <c r="A923" s="228">
        <f t="shared" si="14"/>
        <v>46334</v>
      </c>
      <c r="B923" s="233">
        <f t="shared" si="13"/>
        <v>37115</v>
      </c>
    </row>
    <row r="924" spans="1:2" ht="15.75" customHeight="1">
      <c r="A924" s="228">
        <f t="shared" si="14"/>
        <v>46335</v>
      </c>
      <c r="B924" s="233">
        <f t="shared" si="13"/>
        <v>37115</v>
      </c>
    </row>
    <row r="925" spans="1:2" ht="15.75" customHeight="1">
      <c r="A925" s="228">
        <f t="shared" si="14"/>
        <v>46336</v>
      </c>
      <c r="B925" s="233">
        <f t="shared" si="13"/>
        <v>37115</v>
      </c>
    </row>
    <row r="926" spans="1:2" ht="15.75" customHeight="1">
      <c r="A926" s="228">
        <f t="shared" si="14"/>
        <v>46337</v>
      </c>
      <c r="B926" s="233">
        <f t="shared" si="13"/>
        <v>37115</v>
      </c>
    </row>
    <row r="927" spans="1:2" ht="15.75" customHeight="1">
      <c r="A927" s="228">
        <f t="shared" si="14"/>
        <v>46338</v>
      </c>
      <c r="B927" s="233">
        <f t="shared" si="13"/>
        <v>37115</v>
      </c>
    </row>
    <row r="928" spans="1:2" ht="15.75" customHeight="1">
      <c r="A928" s="228">
        <f t="shared" si="14"/>
        <v>46339</v>
      </c>
      <c r="B928" s="233">
        <f t="shared" si="13"/>
        <v>37115</v>
      </c>
    </row>
    <row r="929" spans="1:2" ht="15.75" customHeight="1">
      <c r="A929" s="228">
        <f t="shared" si="14"/>
        <v>46340</v>
      </c>
      <c r="B929" s="233">
        <f t="shared" si="13"/>
        <v>37115</v>
      </c>
    </row>
    <row r="930" spans="1:2" ht="15.75" customHeight="1">
      <c r="A930" s="228">
        <f t="shared" si="14"/>
        <v>46341</v>
      </c>
      <c r="B930" s="233">
        <f t="shared" si="13"/>
        <v>37115</v>
      </c>
    </row>
    <row r="931" spans="1:2" ht="15.75" customHeight="1">
      <c r="A931" s="228">
        <f t="shared" si="14"/>
        <v>46342</v>
      </c>
      <c r="B931" s="233">
        <f t="shared" si="13"/>
        <v>37115</v>
      </c>
    </row>
    <row r="932" spans="1:2" ht="15.75" customHeight="1">
      <c r="A932" s="228">
        <f t="shared" si="14"/>
        <v>46343</v>
      </c>
      <c r="B932" s="233">
        <f t="shared" si="13"/>
        <v>37115</v>
      </c>
    </row>
    <row r="933" spans="1:2" ht="15.75" customHeight="1">
      <c r="A933" s="228">
        <f t="shared" si="14"/>
        <v>46344</v>
      </c>
      <c r="B933" s="233">
        <f t="shared" si="13"/>
        <v>37115</v>
      </c>
    </row>
    <row r="934" spans="1:2" ht="15.75" customHeight="1">
      <c r="A934" s="228">
        <f t="shared" si="14"/>
        <v>46345</v>
      </c>
      <c r="B934" s="233">
        <f t="shared" si="13"/>
        <v>37115</v>
      </c>
    </row>
    <row r="935" spans="1:2" ht="15.75" customHeight="1">
      <c r="A935" s="228">
        <f t="shared" si="14"/>
        <v>46346</v>
      </c>
      <c r="B935" s="233">
        <f t="shared" si="13"/>
        <v>37115</v>
      </c>
    </row>
    <row r="936" spans="1:2" ht="15.75" customHeight="1">
      <c r="A936" s="228">
        <f t="shared" si="14"/>
        <v>46347</v>
      </c>
      <c r="B936" s="233">
        <f t="shared" si="13"/>
        <v>37115</v>
      </c>
    </row>
    <row r="937" spans="1:2" ht="15.75" customHeight="1">
      <c r="A937" s="228">
        <f t="shared" si="14"/>
        <v>46348</v>
      </c>
      <c r="B937" s="233">
        <f t="shared" si="13"/>
        <v>37115</v>
      </c>
    </row>
    <row r="938" spans="1:2" ht="15.75" customHeight="1">
      <c r="A938" s="228">
        <f t="shared" si="14"/>
        <v>46349</v>
      </c>
      <c r="B938" s="233">
        <f t="shared" si="13"/>
        <v>37115</v>
      </c>
    </row>
    <row r="939" spans="1:2" ht="15.75" customHeight="1">
      <c r="A939" s="228">
        <f t="shared" si="14"/>
        <v>46350</v>
      </c>
      <c r="B939" s="233">
        <f t="shared" si="13"/>
        <v>37115</v>
      </c>
    </row>
    <row r="940" spans="1:2" ht="15.75" customHeight="1">
      <c r="A940" s="228">
        <f t="shared" si="14"/>
        <v>46351</v>
      </c>
      <c r="B940" s="233">
        <f t="shared" si="13"/>
        <v>37115</v>
      </c>
    </row>
    <row r="941" spans="1:2" ht="15.75" customHeight="1">
      <c r="A941" s="228">
        <f t="shared" si="14"/>
        <v>46352</v>
      </c>
      <c r="B941" s="233">
        <f t="shared" si="13"/>
        <v>37115</v>
      </c>
    </row>
    <row r="942" spans="1:2" ht="15.75" customHeight="1">
      <c r="A942" s="228">
        <f t="shared" si="14"/>
        <v>46353</v>
      </c>
      <c r="B942" s="233">
        <f t="shared" si="13"/>
        <v>37115</v>
      </c>
    </row>
    <row r="943" spans="1:2" ht="15.75" customHeight="1">
      <c r="A943" s="228">
        <f t="shared" si="14"/>
        <v>46354</v>
      </c>
      <c r="B943" s="233">
        <f t="shared" si="13"/>
        <v>37115</v>
      </c>
    </row>
    <row r="944" spans="1:2" ht="15.75" customHeight="1">
      <c r="A944" s="228">
        <f t="shared" si="14"/>
        <v>46355</v>
      </c>
      <c r="B944" s="233">
        <f t="shared" si="13"/>
        <v>37115</v>
      </c>
    </row>
    <row r="945" spans="1:2" ht="15.75" customHeight="1">
      <c r="A945" s="228">
        <f t="shared" si="14"/>
        <v>46356</v>
      </c>
      <c r="B945" s="233">
        <f t="shared" si="13"/>
        <v>37115</v>
      </c>
    </row>
    <row r="946" spans="1:2" ht="15.75" customHeight="1">
      <c r="A946" s="228">
        <f t="shared" si="14"/>
        <v>46357</v>
      </c>
      <c r="B946" s="233">
        <f t="shared" si="13"/>
        <v>37115</v>
      </c>
    </row>
    <row r="947" spans="1:2" ht="15.75" customHeight="1">
      <c r="A947" s="228">
        <f t="shared" si="14"/>
        <v>46358</v>
      </c>
      <c r="B947" s="233">
        <f t="shared" si="13"/>
        <v>37115</v>
      </c>
    </row>
    <row r="948" spans="1:2" ht="15.75" customHeight="1">
      <c r="A948" s="228">
        <f t="shared" si="14"/>
        <v>46359</v>
      </c>
      <c r="B948" s="233">
        <f t="shared" si="13"/>
        <v>37115</v>
      </c>
    </row>
    <row r="949" spans="1:2" ht="15.75" customHeight="1">
      <c r="A949" s="228">
        <f t="shared" si="14"/>
        <v>46360</v>
      </c>
      <c r="B949" s="233">
        <f t="shared" si="13"/>
        <v>37115</v>
      </c>
    </row>
    <row r="950" spans="1:2" ht="15.75" customHeight="1">
      <c r="A950" s="228">
        <f t="shared" si="14"/>
        <v>46361</v>
      </c>
      <c r="B950" s="233">
        <f t="shared" si="13"/>
        <v>37115</v>
      </c>
    </row>
    <row r="951" spans="1:2" ht="15.75" customHeight="1">
      <c r="A951" s="228">
        <f t="shared" si="14"/>
        <v>46362</v>
      </c>
      <c r="B951" s="233">
        <f t="shared" ref="B951:B1014" si="15">+B950</f>
        <v>37115</v>
      </c>
    </row>
    <row r="952" spans="1:2" ht="15.75" customHeight="1">
      <c r="A952" s="228">
        <f t="shared" si="14"/>
        <v>46363</v>
      </c>
      <c r="B952" s="233">
        <f t="shared" si="15"/>
        <v>37115</v>
      </c>
    </row>
    <row r="953" spans="1:2" ht="15.75" customHeight="1">
      <c r="A953" s="228">
        <f t="shared" si="14"/>
        <v>46364</v>
      </c>
      <c r="B953" s="233">
        <f t="shared" si="15"/>
        <v>37115</v>
      </c>
    </row>
    <row r="954" spans="1:2" ht="15.75" customHeight="1">
      <c r="A954" s="228">
        <f t="shared" si="14"/>
        <v>46365</v>
      </c>
      <c r="B954" s="233">
        <f t="shared" si="15"/>
        <v>37115</v>
      </c>
    </row>
    <row r="955" spans="1:2" ht="15.75" customHeight="1">
      <c r="A955" s="228">
        <f t="shared" si="14"/>
        <v>46366</v>
      </c>
      <c r="B955" s="233">
        <f t="shared" si="15"/>
        <v>37115</v>
      </c>
    </row>
    <row r="956" spans="1:2" ht="15.75" customHeight="1">
      <c r="A956" s="228">
        <f t="shared" si="14"/>
        <v>46367</v>
      </c>
      <c r="B956" s="233">
        <f t="shared" si="15"/>
        <v>37115</v>
      </c>
    </row>
    <row r="957" spans="1:2" ht="15.75" customHeight="1">
      <c r="A957" s="228">
        <f t="shared" ref="A957:A1020" si="16">+A956+1</f>
        <v>46368</v>
      </c>
      <c r="B957" s="233">
        <f t="shared" si="15"/>
        <v>37115</v>
      </c>
    </row>
    <row r="958" spans="1:2" ht="15.75" customHeight="1">
      <c r="A958" s="228">
        <f t="shared" si="16"/>
        <v>46369</v>
      </c>
      <c r="B958" s="233">
        <f t="shared" si="15"/>
        <v>37115</v>
      </c>
    </row>
    <row r="959" spans="1:2" ht="15.75" customHeight="1">
      <c r="A959" s="228">
        <f t="shared" si="16"/>
        <v>46370</v>
      </c>
      <c r="B959" s="233">
        <f t="shared" si="15"/>
        <v>37115</v>
      </c>
    </row>
    <row r="960" spans="1:2" ht="15.75" customHeight="1">
      <c r="A960" s="228">
        <f t="shared" si="16"/>
        <v>46371</v>
      </c>
      <c r="B960" s="233">
        <f t="shared" si="15"/>
        <v>37115</v>
      </c>
    </row>
    <row r="961" spans="1:2" ht="15.75" customHeight="1">
      <c r="A961" s="228">
        <f t="shared" si="16"/>
        <v>46372</v>
      </c>
      <c r="B961" s="233">
        <f t="shared" si="15"/>
        <v>37115</v>
      </c>
    </row>
    <row r="962" spans="1:2" ht="15.75" customHeight="1">
      <c r="A962" s="228">
        <f t="shared" si="16"/>
        <v>46373</v>
      </c>
      <c r="B962" s="233">
        <f t="shared" si="15"/>
        <v>37115</v>
      </c>
    </row>
    <row r="963" spans="1:2" ht="15.75" customHeight="1">
      <c r="A963" s="228">
        <f t="shared" si="16"/>
        <v>46374</v>
      </c>
      <c r="B963" s="233">
        <f t="shared" si="15"/>
        <v>37115</v>
      </c>
    </row>
    <row r="964" spans="1:2" ht="15.75" customHeight="1">
      <c r="A964" s="228">
        <f t="shared" si="16"/>
        <v>46375</v>
      </c>
      <c r="B964" s="233">
        <f t="shared" si="15"/>
        <v>37115</v>
      </c>
    </row>
    <row r="965" spans="1:2" ht="15.75" customHeight="1">
      <c r="A965" s="228">
        <f t="shared" si="16"/>
        <v>46376</v>
      </c>
      <c r="B965" s="233">
        <f t="shared" si="15"/>
        <v>37115</v>
      </c>
    </row>
    <row r="966" spans="1:2" ht="15.75" customHeight="1">
      <c r="A966" s="228">
        <f t="shared" si="16"/>
        <v>46377</v>
      </c>
      <c r="B966" s="233">
        <f t="shared" si="15"/>
        <v>37115</v>
      </c>
    </row>
    <row r="967" spans="1:2" ht="15.75" customHeight="1">
      <c r="A967" s="228">
        <f t="shared" si="16"/>
        <v>46378</v>
      </c>
      <c r="B967" s="233">
        <f t="shared" si="15"/>
        <v>37115</v>
      </c>
    </row>
    <row r="968" spans="1:2" ht="15.75" customHeight="1">
      <c r="A968" s="228">
        <f t="shared" si="16"/>
        <v>46379</v>
      </c>
      <c r="B968" s="233">
        <f t="shared" si="15"/>
        <v>37115</v>
      </c>
    </row>
    <row r="969" spans="1:2" ht="15.75" customHeight="1">
      <c r="A969" s="228">
        <f t="shared" si="16"/>
        <v>46380</v>
      </c>
      <c r="B969" s="233">
        <f t="shared" si="15"/>
        <v>37115</v>
      </c>
    </row>
    <row r="970" spans="1:2" ht="15.75" customHeight="1">
      <c r="A970" s="228">
        <f t="shared" si="16"/>
        <v>46381</v>
      </c>
      <c r="B970" s="233">
        <f t="shared" si="15"/>
        <v>37115</v>
      </c>
    </row>
    <row r="971" spans="1:2" ht="15.75" customHeight="1">
      <c r="A971" s="228">
        <f t="shared" si="16"/>
        <v>46382</v>
      </c>
      <c r="B971" s="233">
        <f t="shared" si="15"/>
        <v>37115</v>
      </c>
    </row>
    <row r="972" spans="1:2" ht="15.75" customHeight="1">
      <c r="A972" s="228">
        <f t="shared" si="16"/>
        <v>46383</v>
      </c>
      <c r="B972" s="233">
        <f t="shared" si="15"/>
        <v>37115</v>
      </c>
    </row>
    <row r="973" spans="1:2" ht="15.75" customHeight="1">
      <c r="A973" s="228">
        <f t="shared" si="16"/>
        <v>46384</v>
      </c>
      <c r="B973" s="233">
        <f t="shared" si="15"/>
        <v>37115</v>
      </c>
    </row>
    <row r="974" spans="1:2" ht="15.75" customHeight="1">
      <c r="A974" s="228">
        <f t="shared" si="16"/>
        <v>46385</v>
      </c>
      <c r="B974" s="233">
        <f t="shared" si="15"/>
        <v>37115</v>
      </c>
    </row>
    <row r="975" spans="1:2" ht="15.75" customHeight="1">
      <c r="A975" s="228">
        <f t="shared" si="16"/>
        <v>46386</v>
      </c>
      <c r="B975" s="233">
        <f t="shared" si="15"/>
        <v>37115</v>
      </c>
    </row>
    <row r="976" spans="1:2" ht="15.75" customHeight="1">
      <c r="A976" s="228">
        <f t="shared" si="16"/>
        <v>46387</v>
      </c>
      <c r="B976" s="233">
        <f t="shared" si="15"/>
        <v>37115</v>
      </c>
    </row>
    <row r="977" spans="1:2" ht="15.75" customHeight="1">
      <c r="A977" s="228">
        <f t="shared" si="16"/>
        <v>46388</v>
      </c>
      <c r="B977" s="233">
        <f t="shared" si="15"/>
        <v>37115</v>
      </c>
    </row>
    <row r="978" spans="1:2" ht="15.75" customHeight="1">
      <c r="A978" s="228">
        <f t="shared" si="16"/>
        <v>46389</v>
      </c>
      <c r="B978" s="233">
        <f t="shared" si="15"/>
        <v>37115</v>
      </c>
    </row>
    <row r="979" spans="1:2" ht="15.75" customHeight="1">
      <c r="A979" s="228">
        <f t="shared" si="16"/>
        <v>46390</v>
      </c>
      <c r="B979" s="233">
        <f t="shared" si="15"/>
        <v>37115</v>
      </c>
    </row>
    <row r="980" spans="1:2" ht="15.75" customHeight="1">
      <c r="A980" s="228">
        <f t="shared" si="16"/>
        <v>46391</v>
      </c>
      <c r="B980" s="233">
        <f t="shared" si="15"/>
        <v>37115</v>
      </c>
    </row>
    <row r="981" spans="1:2" ht="15.75" customHeight="1">
      <c r="A981" s="228">
        <f t="shared" si="16"/>
        <v>46392</v>
      </c>
      <c r="B981" s="233">
        <f t="shared" si="15"/>
        <v>37115</v>
      </c>
    </row>
    <row r="982" spans="1:2" ht="15.75" customHeight="1">
      <c r="A982" s="228">
        <f t="shared" si="16"/>
        <v>46393</v>
      </c>
      <c r="B982" s="233">
        <f t="shared" si="15"/>
        <v>37115</v>
      </c>
    </row>
    <row r="983" spans="1:2" ht="15.75" customHeight="1">
      <c r="A983" s="228">
        <f t="shared" si="16"/>
        <v>46394</v>
      </c>
      <c r="B983" s="233">
        <f t="shared" si="15"/>
        <v>37115</v>
      </c>
    </row>
    <row r="984" spans="1:2" ht="15.75" customHeight="1">
      <c r="A984" s="228">
        <f t="shared" si="16"/>
        <v>46395</v>
      </c>
      <c r="B984" s="233">
        <f t="shared" si="15"/>
        <v>37115</v>
      </c>
    </row>
    <row r="985" spans="1:2" ht="15.75" customHeight="1">
      <c r="A985" s="228">
        <f t="shared" si="16"/>
        <v>46396</v>
      </c>
      <c r="B985" s="233">
        <f t="shared" si="15"/>
        <v>37115</v>
      </c>
    </row>
    <row r="986" spans="1:2" ht="15.75" customHeight="1">
      <c r="A986" s="228">
        <f t="shared" si="16"/>
        <v>46397</v>
      </c>
      <c r="B986" s="233">
        <f t="shared" si="15"/>
        <v>37115</v>
      </c>
    </row>
    <row r="987" spans="1:2" ht="15.75" customHeight="1">
      <c r="A987" s="228">
        <f t="shared" si="16"/>
        <v>46398</v>
      </c>
      <c r="B987" s="233">
        <f t="shared" si="15"/>
        <v>37115</v>
      </c>
    </row>
    <row r="988" spans="1:2" ht="15.75" customHeight="1">
      <c r="A988" s="228">
        <f t="shared" si="16"/>
        <v>46399</v>
      </c>
      <c r="B988" s="233">
        <f t="shared" si="15"/>
        <v>37115</v>
      </c>
    </row>
    <row r="989" spans="1:2" ht="15.75" customHeight="1">
      <c r="A989" s="228">
        <f t="shared" si="16"/>
        <v>46400</v>
      </c>
      <c r="B989" s="233">
        <f t="shared" si="15"/>
        <v>37115</v>
      </c>
    </row>
    <row r="990" spans="1:2" ht="15.75" customHeight="1">
      <c r="A990" s="228">
        <f t="shared" si="16"/>
        <v>46401</v>
      </c>
      <c r="B990" s="233">
        <f t="shared" si="15"/>
        <v>37115</v>
      </c>
    </row>
    <row r="991" spans="1:2" ht="15.75" customHeight="1">
      <c r="A991" s="228">
        <f t="shared" si="16"/>
        <v>46402</v>
      </c>
      <c r="B991" s="233">
        <f t="shared" si="15"/>
        <v>37115</v>
      </c>
    </row>
    <row r="992" spans="1:2" ht="15.75" customHeight="1">
      <c r="A992" s="228">
        <f t="shared" si="16"/>
        <v>46403</v>
      </c>
      <c r="B992" s="233">
        <f t="shared" si="15"/>
        <v>37115</v>
      </c>
    </row>
    <row r="993" spans="1:2" ht="15.75" customHeight="1">
      <c r="A993" s="228">
        <f t="shared" si="16"/>
        <v>46404</v>
      </c>
      <c r="B993" s="233">
        <f t="shared" si="15"/>
        <v>37115</v>
      </c>
    </row>
    <row r="994" spans="1:2" ht="15.75" customHeight="1">
      <c r="A994" s="228">
        <f t="shared" si="16"/>
        <v>46405</v>
      </c>
      <c r="B994" s="233">
        <f t="shared" si="15"/>
        <v>37115</v>
      </c>
    </row>
    <row r="995" spans="1:2" ht="15.75" customHeight="1">
      <c r="A995" s="228">
        <f t="shared" si="16"/>
        <v>46406</v>
      </c>
      <c r="B995" s="233">
        <f t="shared" si="15"/>
        <v>37115</v>
      </c>
    </row>
    <row r="996" spans="1:2" ht="15.75" customHeight="1">
      <c r="A996" s="228">
        <f t="shared" si="16"/>
        <v>46407</v>
      </c>
      <c r="B996" s="233">
        <f t="shared" si="15"/>
        <v>37115</v>
      </c>
    </row>
    <row r="997" spans="1:2" ht="15.75" customHeight="1">
      <c r="A997" s="228">
        <f t="shared" si="16"/>
        <v>46408</v>
      </c>
      <c r="B997" s="233">
        <f t="shared" si="15"/>
        <v>37115</v>
      </c>
    </row>
    <row r="998" spans="1:2" ht="15.75" customHeight="1">
      <c r="A998" s="228">
        <f t="shared" si="16"/>
        <v>46409</v>
      </c>
      <c r="B998" s="233">
        <f t="shared" si="15"/>
        <v>37115</v>
      </c>
    </row>
    <row r="999" spans="1:2" ht="15.75" customHeight="1">
      <c r="A999" s="228">
        <f t="shared" si="16"/>
        <v>46410</v>
      </c>
      <c r="B999" s="233">
        <f t="shared" si="15"/>
        <v>37115</v>
      </c>
    </row>
    <row r="1000" spans="1:2" ht="15.75" customHeight="1">
      <c r="A1000" s="228">
        <f t="shared" si="16"/>
        <v>46411</v>
      </c>
      <c r="B1000" s="233">
        <f t="shared" si="15"/>
        <v>37115</v>
      </c>
    </row>
    <row r="1001" spans="1:2" ht="15" customHeight="1">
      <c r="A1001" s="228">
        <f t="shared" si="16"/>
        <v>46412</v>
      </c>
      <c r="B1001" s="233">
        <f t="shared" si="15"/>
        <v>37115</v>
      </c>
    </row>
    <row r="1002" spans="1:2" ht="15" customHeight="1">
      <c r="A1002" s="228">
        <f t="shared" si="16"/>
        <v>46413</v>
      </c>
      <c r="B1002" s="233">
        <f t="shared" si="15"/>
        <v>37115</v>
      </c>
    </row>
    <row r="1003" spans="1:2" ht="15" customHeight="1">
      <c r="A1003" s="228">
        <f t="shared" si="16"/>
        <v>46414</v>
      </c>
      <c r="B1003" s="233">
        <f t="shared" si="15"/>
        <v>37115</v>
      </c>
    </row>
    <row r="1004" spans="1:2" ht="15" customHeight="1">
      <c r="A1004" s="228">
        <f t="shared" si="16"/>
        <v>46415</v>
      </c>
      <c r="B1004" s="233">
        <f t="shared" si="15"/>
        <v>37115</v>
      </c>
    </row>
    <row r="1005" spans="1:2" ht="15" customHeight="1">
      <c r="A1005" s="228">
        <f t="shared" si="16"/>
        <v>46416</v>
      </c>
      <c r="B1005" s="233">
        <f t="shared" si="15"/>
        <v>37115</v>
      </c>
    </row>
    <row r="1006" spans="1:2" ht="15" customHeight="1">
      <c r="A1006" s="228">
        <f t="shared" si="16"/>
        <v>46417</v>
      </c>
      <c r="B1006" s="233">
        <f t="shared" si="15"/>
        <v>37115</v>
      </c>
    </row>
    <row r="1007" spans="1:2" ht="15" customHeight="1">
      <c r="A1007" s="228">
        <f t="shared" si="16"/>
        <v>46418</v>
      </c>
      <c r="B1007" s="233">
        <f t="shared" si="15"/>
        <v>37115</v>
      </c>
    </row>
    <row r="1008" spans="1:2" ht="15" customHeight="1">
      <c r="A1008" s="228">
        <f t="shared" si="16"/>
        <v>46419</v>
      </c>
      <c r="B1008" s="233">
        <f t="shared" si="15"/>
        <v>37115</v>
      </c>
    </row>
    <row r="1009" spans="1:2" ht="15" customHeight="1">
      <c r="A1009" s="228">
        <f t="shared" si="16"/>
        <v>46420</v>
      </c>
      <c r="B1009" s="233">
        <f t="shared" si="15"/>
        <v>37115</v>
      </c>
    </row>
    <row r="1010" spans="1:2" ht="15" customHeight="1">
      <c r="A1010" s="228">
        <f t="shared" si="16"/>
        <v>46421</v>
      </c>
      <c r="B1010" s="233">
        <f t="shared" si="15"/>
        <v>37115</v>
      </c>
    </row>
    <row r="1011" spans="1:2" ht="15" customHeight="1">
      <c r="A1011" s="228">
        <f t="shared" si="16"/>
        <v>46422</v>
      </c>
      <c r="B1011" s="233">
        <f t="shared" si="15"/>
        <v>37115</v>
      </c>
    </row>
    <row r="1012" spans="1:2" ht="15" customHeight="1">
      <c r="A1012" s="228">
        <f t="shared" si="16"/>
        <v>46423</v>
      </c>
      <c r="B1012" s="233">
        <f t="shared" si="15"/>
        <v>37115</v>
      </c>
    </row>
    <row r="1013" spans="1:2" ht="15" customHeight="1">
      <c r="A1013" s="228">
        <f t="shared" si="16"/>
        <v>46424</v>
      </c>
      <c r="B1013" s="233">
        <f t="shared" si="15"/>
        <v>37115</v>
      </c>
    </row>
    <row r="1014" spans="1:2" ht="15" customHeight="1">
      <c r="A1014" s="228">
        <f t="shared" si="16"/>
        <v>46425</v>
      </c>
      <c r="B1014" s="233">
        <f t="shared" si="15"/>
        <v>37115</v>
      </c>
    </row>
    <row r="1015" spans="1:2" ht="15" customHeight="1">
      <c r="A1015" s="228">
        <f t="shared" si="16"/>
        <v>46426</v>
      </c>
      <c r="B1015" s="233">
        <f t="shared" ref="B1015:B1078" si="17">+B1014</f>
        <v>37115</v>
      </c>
    </row>
    <row r="1016" spans="1:2" ht="15" customHeight="1">
      <c r="A1016" s="228">
        <f t="shared" si="16"/>
        <v>46427</v>
      </c>
      <c r="B1016" s="233">
        <f t="shared" si="17"/>
        <v>37115</v>
      </c>
    </row>
    <row r="1017" spans="1:2" ht="15" customHeight="1">
      <c r="A1017" s="228">
        <f t="shared" si="16"/>
        <v>46428</v>
      </c>
      <c r="B1017" s="233">
        <f t="shared" si="17"/>
        <v>37115</v>
      </c>
    </row>
    <row r="1018" spans="1:2" ht="15" customHeight="1">
      <c r="A1018" s="228">
        <f t="shared" si="16"/>
        <v>46429</v>
      </c>
      <c r="B1018" s="233">
        <f t="shared" si="17"/>
        <v>37115</v>
      </c>
    </row>
    <row r="1019" spans="1:2" ht="15" customHeight="1">
      <c r="A1019" s="228">
        <f t="shared" si="16"/>
        <v>46430</v>
      </c>
      <c r="B1019" s="233">
        <f t="shared" si="17"/>
        <v>37115</v>
      </c>
    </row>
    <row r="1020" spans="1:2" ht="15" customHeight="1">
      <c r="A1020" s="228">
        <f t="shared" si="16"/>
        <v>46431</v>
      </c>
      <c r="B1020" s="233">
        <f t="shared" si="17"/>
        <v>37115</v>
      </c>
    </row>
    <row r="1021" spans="1:2" ht="15" customHeight="1">
      <c r="A1021" s="228">
        <f t="shared" ref="A1021:A1084" si="18">+A1020+1</f>
        <v>46432</v>
      </c>
      <c r="B1021" s="233">
        <f t="shared" si="17"/>
        <v>37115</v>
      </c>
    </row>
    <row r="1022" spans="1:2" ht="15" customHeight="1">
      <c r="A1022" s="228">
        <f t="shared" si="18"/>
        <v>46433</v>
      </c>
      <c r="B1022" s="233">
        <f t="shared" si="17"/>
        <v>37115</v>
      </c>
    </row>
    <row r="1023" spans="1:2" ht="15" customHeight="1">
      <c r="A1023" s="228">
        <f t="shared" si="18"/>
        <v>46434</v>
      </c>
      <c r="B1023" s="233">
        <f t="shared" si="17"/>
        <v>37115</v>
      </c>
    </row>
    <row r="1024" spans="1:2" ht="15" customHeight="1">
      <c r="A1024" s="228">
        <f t="shared" si="18"/>
        <v>46435</v>
      </c>
      <c r="B1024" s="233">
        <f t="shared" si="17"/>
        <v>37115</v>
      </c>
    </row>
    <row r="1025" spans="1:2" ht="15" customHeight="1">
      <c r="A1025" s="228">
        <f t="shared" si="18"/>
        <v>46436</v>
      </c>
      <c r="B1025" s="233">
        <f t="shared" si="17"/>
        <v>37115</v>
      </c>
    </row>
    <row r="1026" spans="1:2" ht="15" customHeight="1">
      <c r="A1026" s="228">
        <f t="shared" si="18"/>
        <v>46437</v>
      </c>
      <c r="B1026" s="233">
        <f t="shared" si="17"/>
        <v>37115</v>
      </c>
    </row>
    <row r="1027" spans="1:2" ht="15" customHeight="1">
      <c r="A1027" s="228">
        <f t="shared" si="18"/>
        <v>46438</v>
      </c>
      <c r="B1027" s="233">
        <f t="shared" si="17"/>
        <v>37115</v>
      </c>
    </row>
    <row r="1028" spans="1:2" ht="15" customHeight="1">
      <c r="A1028" s="228">
        <f t="shared" si="18"/>
        <v>46439</v>
      </c>
      <c r="B1028" s="233">
        <f t="shared" si="17"/>
        <v>37115</v>
      </c>
    </row>
    <row r="1029" spans="1:2" ht="15" customHeight="1">
      <c r="A1029" s="228">
        <f t="shared" si="18"/>
        <v>46440</v>
      </c>
      <c r="B1029" s="233">
        <f t="shared" si="17"/>
        <v>37115</v>
      </c>
    </row>
    <row r="1030" spans="1:2" ht="15" customHeight="1">
      <c r="A1030" s="228">
        <f t="shared" si="18"/>
        <v>46441</v>
      </c>
      <c r="B1030" s="233">
        <f t="shared" si="17"/>
        <v>37115</v>
      </c>
    </row>
    <row r="1031" spans="1:2" ht="15" customHeight="1">
      <c r="A1031" s="228">
        <f t="shared" si="18"/>
        <v>46442</v>
      </c>
      <c r="B1031" s="233">
        <f t="shared" si="17"/>
        <v>37115</v>
      </c>
    </row>
    <row r="1032" spans="1:2" ht="15" customHeight="1">
      <c r="A1032" s="228">
        <f t="shared" si="18"/>
        <v>46443</v>
      </c>
      <c r="B1032" s="233">
        <f t="shared" si="17"/>
        <v>37115</v>
      </c>
    </row>
    <row r="1033" spans="1:2" ht="15" customHeight="1">
      <c r="A1033" s="228">
        <f t="shared" si="18"/>
        <v>46444</v>
      </c>
      <c r="B1033" s="233">
        <f t="shared" si="17"/>
        <v>37115</v>
      </c>
    </row>
    <row r="1034" spans="1:2" ht="15" customHeight="1">
      <c r="A1034" s="228">
        <f t="shared" si="18"/>
        <v>46445</v>
      </c>
      <c r="B1034" s="233">
        <f t="shared" si="17"/>
        <v>37115</v>
      </c>
    </row>
    <row r="1035" spans="1:2" ht="15" customHeight="1">
      <c r="A1035" s="228">
        <f t="shared" si="18"/>
        <v>46446</v>
      </c>
      <c r="B1035" s="233">
        <f t="shared" si="17"/>
        <v>37115</v>
      </c>
    </row>
    <row r="1036" spans="1:2" ht="15" customHeight="1">
      <c r="A1036" s="228">
        <f t="shared" si="18"/>
        <v>46447</v>
      </c>
      <c r="B1036" s="233">
        <f t="shared" si="17"/>
        <v>37115</v>
      </c>
    </row>
    <row r="1037" spans="1:2" ht="15" customHeight="1">
      <c r="A1037" s="228">
        <f t="shared" si="18"/>
        <v>46448</v>
      </c>
      <c r="B1037" s="233">
        <f t="shared" si="17"/>
        <v>37115</v>
      </c>
    </row>
    <row r="1038" spans="1:2" ht="15" customHeight="1">
      <c r="A1038" s="228">
        <f t="shared" si="18"/>
        <v>46449</v>
      </c>
      <c r="B1038" s="233">
        <f t="shared" si="17"/>
        <v>37115</v>
      </c>
    </row>
    <row r="1039" spans="1:2" ht="15" customHeight="1">
      <c r="A1039" s="228">
        <f t="shared" si="18"/>
        <v>46450</v>
      </c>
      <c r="B1039" s="233">
        <f t="shared" si="17"/>
        <v>37115</v>
      </c>
    </row>
    <row r="1040" spans="1:2" ht="15" customHeight="1">
      <c r="A1040" s="228">
        <f t="shared" si="18"/>
        <v>46451</v>
      </c>
      <c r="B1040" s="233">
        <f t="shared" si="17"/>
        <v>37115</v>
      </c>
    </row>
    <row r="1041" spans="1:2" ht="15" customHeight="1">
      <c r="A1041" s="228">
        <f t="shared" si="18"/>
        <v>46452</v>
      </c>
      <c r="B1041" s="233">
        <f t="shared" si="17"/>
        <v>37115</v>
      </c>
    </row>
    <row r="1042" spans="1:2" ht="15" customHeight="1">
      <c r="A1042" s="228">
        <f t="shared" si="18"/>
        <v>46453</v>
      </c>
      <c r="B1042" s="233">
        <f t="shared" si="17"/>
        <v>37115</v>
      </c>
    </row>
    <row r="1043" spans="1:2" ht="15" customHeight="1">
      <c r="A1043" s="228">
        <f t="shared" si="18"/>
        <v>46454</v>
      </c>
      <c r="B1043" s="233">
        <f t="shared" si="17"/>
        <v>37115</v>
      </c>
    </row>
    <row r="1044" spans="1:2" ht="15" customHeight="1">
      <c r="A1044" s="228">
        <f t="shared" si="18"/>
        <v>46455</v>
      </c>
      <c r="B1044" s="233">
        <f t="shared" si="17"/>
        <v>37115</v>
      </c>
    </row>
    <row r="1045" spans="1:2" ht="15" customHeight="1">
      <c r="A1045" s="228">
        <f t="shared" si="18"/>
        <v>46456</v>
      </c>
      <c r="B1045" s="233">
        <f t="shared" si="17"/>
        <v>37115</v>
      </c>
    </row>
    <row r="1046" spans="1:2" ht="15" customHeight="1">
      <c r="A1046" s="228">
        <f t="shared" si="18"/>
        <v>46457</v>
      </c>
      <c r="B1046" s="233">
        <f t="shared" si="17"/>
        <v>37115</v>
      </c>
    </row>
    <row r="1047" spans="1:2" ht="15" customHeight="1">
      <c r="A1047" s="228">
        <f t="shared" si="18"/>
        <v>46458</v>
      </c>
      <c r="B1047" s="233">
        <f t="shared" si="17"/>
        <v>37115</v>
      </c>
    </row>
    <row r="1048" spans="1:2" ht="15" customHeight="1">
      <c r="A1048" s="228">
        <f t="shared" si="18"/>
        <v>46459</v>
      </c>
      <c r="B1048" s="233">
        <f t="shared" si="17"/>
        <v>37115</v>
      </c>
    </row>
    <row r="1049" spans="1:2" ht="15" customHeight="1">
      <c r="A1049" s="228">
        <f t="shared" si="18"/>
        <v>46460</v>
      </c>
      <c r="B1049" s="233">
        <f t="shared" si="17"/>
        <v>37115</v>
      </c>
    </row>
    <row r="1050" spans="1:2" ht="15" customHeight="1">
      <c r="A1050" s="228">
        <f t="shared" si="18"/>
        <v>46461</v>
      </c>
      <c r="B1050" s="233">
        <f t="shared" si="17"/>
        <v>37115</v>
      </c>
    </row>
    <row r="1051" spans="1:2" ht="15" customHeight="1">
      <c r="A1051" s="228">
        <f t="shared" si="18"/>
        <v>46462</v>
      </c>
      <c r="B1051" s="233">
        <f t="shared" si="17"/>
        <v>37115</v>
      </c>
    </row>
    <row r="1052" spans="1:2" ht="15" customHeight="1">
      <c r="A1052" s="228">
        <f t="shared" si="18"/>
        <v>46463</v>
      </c>
      <c r="B1052" s="233">
        <f t="shared" si="17"/>
        <v>37115</v>
      </c>
    </row>
    <row r="1053" spans="1:2" ht="15" customHeight="1">
      <c r="A1053" s="228">
        <f t="shared" si="18"/>
        <v>46464</v>
      </c>
      <c r="B1053" s="233">
        <f t="shared" si="17"/>
        <v>37115</v>
      </c>
    </row>
    <row r="1054" spans="1:2" ht="15" customHeight="1">
      <c r="A1054" s="228">
        <f t="shared" si="18"/>
        <v>46465</v>
      </c>
      <c r="B1054" s="233">
        <f t="shared" si="17"/>
        <v>37115</v>
      </c>
    </row>
    <row r="1055" spans="1:2" ht="15" customHeight="1">
      <c r="A1055" s="228">
        <f t="shared" si="18"/>
        <v>46466</v>
      </c>
      <c r="B1055" s="233">
        <f t="shared" si="17"/>
        <v>37115</v>
      </c>
    </row>
    <row r="1056" spans="1:2" ht="15" customHeight="1">
      <c r="A1056" s="228">
        <f t="shared" si="18"/>
        <v>46467</v>
      </c>
      <c r="B1056" s="233">
        <f t="shared" si="17"/>
        <v>37115</v>
      </c>
    </row>
    <row r="1057" spans="1:2" ht="15" customHeight="1">
      <c r="A1057" s="228">
        <f t="shared" si="18"/>
        <v>46468</v>
      </c>
      <c r="B1057" s="233">
        <f t="shared" si="17"/>
        <v>37115</v>
      </c>
    </row>
    <row r="1058" spans="1:2" ht="15" customHeight="1">
      <c r="A1058" s="228">
        <f t="shared" si="18"/>
        <v>46469</v>
      </c>
      <c r="B1058" s="233">
        <f t="shared" si="17"/>
        <v>37115</v>
      </c>
    </row>
    <row r="1059" spans="1:2" ht="15" customHeight="1">
      <c r="A1059" s="228">
        <f t="shared" si="18"/>
        <v>46470</v>
      </c>
      <c r="B1059" s="233">
        <f t="shared" si="17"/>
        <v>37115</v>
      </c>
    </row>
    <row r="1060" spans="1:2" ht="15" customHeight="1">
      <c r="A1060" s="228">
        <f t="shared" si="18"/>
        <v>46471</v>
      </c>
      <c r="B1060" s="233">
        <f t="shared" si="17"/>
        <v>37115</v>
      </c>
    </row>
    <row r="1061" spans="1:2" ht="15" customHeight="1">
      <c r="A1061" s="228">
        <f t="shared" si="18"/>
        <v>46472</v>
      </c>
      <c r="B1061" s="233">
        <f t="shared" si="17"/>
        <v>37115</v>
      </c>
    </row>
    <row r="1062" spans="1:2" ht="15" customHeight="1">
      <c r="A1062" s="228">
        <f t="shared" si="18"/>
        <v>46473</v>
      </c>
      <c r="B1062" s="233">
        <f t="shared" si="17"/>
        <v>37115</v>
      </c>
    </row>
    <row r="1063" spans="1:2" ht="15" customHeight="1">
      <c r="A1063" s="228">
        <f t="shared" si="18"/>
        <v>46474</v>
      </c>
      <c r="B1063" s="233">
        <f t="shared" si="17"/>
        <v>37115</v>
      </c>
    </row>
    <row r="1064" spans="1:2" ht="15" customHeight="1">
      <c r="A1064" s="228">
        <f t="shared" si="18"/>
        <v>46475</v>
      </c>
      <c r="B1064" s="233">
        <f t="shared" si="17"/>
        <v>37115</v>
      </c>
    </row>
    <row r="1065" spans="1:2" ht="15" customHeight="1">
      <c r="A1065" s="228">
        <f t="shared" si="18"/>
        <v>46476</v>
      </c>
      <c r="B1065" s="233">
        <f t="shared" si="17"/>
        <v>37115</v>
      </c>
    </row>
    <row r="1066" spans="1:2" ht="15" customHeight="1">
      <c r="A1066" s="228">
        <f t="shared" si="18"/>
        <v>46477</v>
      </c>
      <c r="B1066" s="233">
        <f t="shared" si="17"/>
        <v>37115</v>
      </c>
    </row>
    <row r="1067" spans="1:2" ht="15" customHeight="1">
      <c r="A1067" s="228">
        <f t="shared" si="18"/>
        <v>46478</v>
      </c>
      <c r="B1067" s="233">
        <f t="shared" si="17"/>
        <v>37115</v>
      </c>
    </row>
    <row r="1068" spans="1:2" ht="15" customHeight="1">
      <c r="A1068" s="228">
        <f t="shared" si="18"/>
        <v>46479</v>
      </c>
      <c r="B1068" s="233">
        <f t="shared" si="17"/>
        <v>37115</v>
      </c>
    </row>
    <row r="1069" spans="1:2" ht="15" customHeight="1">
      <c r="A1069" s="228">
        <f t="shared" si="18"/>
        <v>46480</v>
      </c>
      <c r="B1069" s="233">
        <f t="shared" si="17"/>
        <v>37115</v>
      </c>
    </row>
    <row r="1070" spans="1:2" ht="15" customHeight="1">
      <c r="A1070" s="228">
        <f t="shared" si="18"/>
        <v>46481</v>
      </c>
      <c r="B1070" s="233">
        <f t="shared" si="17"/>
        <v>37115</v>
      </c>
    </row>
    <row r="1071" spans="1:2" ht="15" customHeight="1">
      <c r="A1071" s="228">
        <f t="shared" si="18"/>
        <v>46482</v>
      </c>
      <c r="B1071" s="233">
        <f t="shared" si="17"/>
        <v>37115</v>
      </c>
    </row>
    <row r="1072" spans="1:2" ht="15" customHeight="1">
      <c r="A1072" s="228">
        <f t="shared" si="18"/>
        <v>46483</v>
      </c>
      <c r="B1072" s="233">
        <f t="shared" si="17"/>
        <v>37115</v>
      </c>
    </row>
    <row r="1073" spans="1:2" ht="15" customHeight="1">
      <c r="A1073" s="228">
        <f t="shared" si="18"/>
        <v>46484</v>
      </c>
      <c r="B1073" s="233">
        <f t="shared" si="17"/>
        <v>37115</v>
      </c>
    </row>
    <row r="1074" spans="1:2" ht="15" customHeight="1">
      <c r="A1074" s="228">
        <f t="shared" si="18"/>
        <v>46485</v>
      </c>
      <c r="B1074" s="233">
        <f t="shared" si="17"/>
        <v>37115</v>
      </c>
    </row>
    <row r="1075" spans="1:2" ht="15" customHeight="1">
      <c r="A1075" s="228">
        <f t="shared" si="18"/>
        <v>46486</v>
      </c>
      <c r="B1075" s="233">
        <f t="shared" si="17"/>
        <v>37115</v>
      </c>
    </row>
    <row r="1076" spans="1:2" ht="15" customHeight="1">
      <c r="A1076" s="228">
        <f t="shared" si="18"/>
        <v>46487</v>
      </c>
      <c r="B1076" s="233">
        <f t="shared" si="17"/>
        <v>37115</v>
      </c>
    </row>
    <row r="1077" spans="1:2" ht="15" customHeight="1">
      <c r="A1077" s="228">
        <f t="shared" si="18"/>
        <v>46488</v>
      </c>
      <c r="B1077" s="233">
        <f t="shared" si="17"/>
        <v>37115</v>
      </c>
    </row>
    <row r="1078" spans="1:2" ht="15" customHeight="1">
      <c r="A1078" s="228">
        <f t="shared" si="18"/>
        <v>46489</v>
      </c>
      <c r="B1078" s="233">
        <f t="shared" si="17"/>
        <v>37115</v>
      </c>
    </row>
    <row r="1079" spans="1:2" ht="15" customHeight="1">
      <c r="A1079" s="228">
        <f t="shared" si="18"/>
        <v>46490</v>
      </c>
      <c r="B1079" s="233">
        <f t="shared" ref="B1079:B1142" si="19">+B1078</f>
        <v>37115</v>
      </c>
    </row>
    <row r="1080" spans="1:2" ht="15" customHeight="1">
      <c r="A1080" s="228">
        <f t="shared" si="18"/>
        <v>46491</v>
      </c>
      <c r="B1080" s="233">
        <f t="shared" si="19"/>
        <v>37115</v>
      </c>
    </row>
    <row r="1081" spans="1:2" ht="15" customHeight="1">
      <c r="A1081" s="228">
        <f t="shared" si="18"/>
        <v>46492</v>
      </c>
      <c r="B1081" s="233">
        <f t="shared" si="19"/>
        <v>37115</v>
      </c>
    </row>
    <row r="1082" spans="1:2" ht="15" customHeight="1">
      <c r="A1082" s="228">
        <f t="shared" si="18"/>
        <v>46493</v>
      </c>
      <c r="B1082" s="233">
        <f t="shared" si="19"/>
        <v>37115</v>
      </c>
    </row>
    <row r="1083" spans="1:2" ht="15" customHeight="1">
      <c r="A1083" s="228">
        <f t="shared" si="18"/>
        <v>46494</v>
      </c>
      <c r="B1083" s="233">
        <f t="shared" si="19"/>
        <v>37115</v>
      </c>
    </row>
    <row r="1084" spans="1:2" ht="15" customHeight="1">
      <c r="A1084" s="228">
        <f t="shared" si="18"/>
        <v>46495</v>
      </c>
      <c r="B1084" s="233">
        <f t="shared" si="19"/>
        <v>37115</v>
      </c>
    </row>
    <row r="1085" spans="1:2" ht="15" customHeight="1">
      <c r="A1085" s="228">
        <f t="shared" ref="A1085:A1148" si="20">+A1084+1</f>
        <v>46496</v>
      </c>
      <c r="B1085" s="233">
        <f t="shared" si="19"/>
        <v>37115</v>
      </c>
    </row>
    <row r="1086" spans="1:2" ht="15" customHeight="1">
      <c r="A1086" s="228">
        <f t="shared" si="20"/>
        <v>46497</v>
      </c>
      <c r="B1086" s="233">
        <f t="shared" si="19"/>
        <v>37115</v>
      </c>
    </row>
    <row r="1087" spans="1:2" ht="15" customHeight="1">
      <c r="A1087" s="228">
        <f t="shared" si="20"/>
        <v>46498</v>
      </c>
      <c r="B1087" s="233">
        <f t="shared" si="19"/>
        <v>37115</v>
      </c>
    </row>
    <row r="1088" spans="1:2" ht="15" customHeight="1">
      <c r="A1088" s="228">
        <f t="shared" si="20"/>
        <v>46499</v>
      </c>
      <c r="B1088" s="233">
        <f t="shared" si="19"/>
        <v>37115</v>
      </c>
    </row>
    <row r="1089" spans="1:2" ht="15" customHeight="1">
      <c r="A1089" s="228">
        <f t="shared" si="20"/>
        <v>46500</v>
      </c>
      <c r="B1089" s="233">
        <f t="shared" si="19"/>
        <v>37115</v>
      </c>
    </row>
    <row r="1090" spans="1:2" ht="15" customHeight="1">
      <c r="A1090" s="228">
        <f t="shared" si="20"/>
        <v>46501</v>
      </c>
      <c r="B1090" s="233">
        <f t="shared" si="19"/>
        <v>37115</v>
      </c>
    </row>
    <row r="1091" spans="1:2" ht="15" customHeight="1">
      <c r="A1091" s="228">
        <f t="shared" si="20"/>
        <v>46502</v>
      </c>
      <c r="B1091" s="233">
        <f t="shared" si="19"/>
        <v>37115</v>
      </c>
    </row>
    <row r="1092" spans="1:2" ht="15" customHeight="1">
      <c r="A1092" s="228">
        <f t="shared" si="20"/>
        <v>46503</v>
      </c>
      <c r="B1092" s="233">
        <f t="shared" si="19"/>
        <v>37115</v>
      </c>
    </row>
    <row r="1093" spans="1:2" ht="15" customHeight="1">
      <c r="A1093" s="228">
        <f t="shared" si="20"/>
        <v>46504</v>
      </c>
      <c r="B1093" s="233">
        <f t="shared" si="19"/>
        <v>37115</v>
      </c>
    </row>
    <row r="1094" spans="1:2" ht="15" customHeight="1">
      <c r="A1094" s="228">
        <f t="shared" si="20"/>
        <v>46505</v>
      </c>
      <c r="B1094" s="233">
        <f t="shared" si="19"/>
        <v>37115</v>
      </c>
    </row>
    <row r="1095" spans="1:2" ht="15" customHeight="1">
      <c r="A1095" s="228">
        <f t="shared" si="20"/>
        <v>46506</v>
      </c>
      <c r="B1095" s="233">
        <f t="shared" si="19"/>
        <v>37115</v>
      </c>
    </row>
    <row r="1096" spans="1:2" ht="15" customHeight="1">
      <c r="A1096" s="228">
        <f t="shared" si="20"/>
        <v>46507</v>
      </c>
      <c r="B1096" s="233">
        <f t="shared" si="19"/>
        <v>37115</v>
      </c>
    </row>
    <row r="1097" spans="1:2" ht="15" customHeight="1">
      <c r="A1097" s="228">
        <f t="shared" si="20"/>
        <v>46508</v>
      </c>
      <c r="B1097" s="233">
        <f t="shared" si="19"/>
        <v>37115</v>
      </c>
    </row>
    <row r="1098" spans="1:2" ht="15" customHeight="1">
      <c r="A1098" s="228">
        <f t="shared" si="20"/>
        <v>46509</v>
      </c>
      <c r="B1098" s="233">
        <f t="shared" si="19"/>
        <v>37115</v>
      </c>
    </row>
    <row r="1099" spans="1:2" ht="15" customHeight="1">
      <c r="A1099" s="228">
        <f t="shared" si="20"/>
        <v>46510</v>
      </c>
      <c r="B1099" s="233">
        <f t="shared" si="19"/>
        <v>37115</v>
      </c>
    </row>
    <row r="1100" spans="1:2" ht="15" customHeight="1">
      <c r="A1100" s="228">
        <f t="shared" si="20"/>
        <v>46511</v>
      </c>
      <c r="B1100" s="233">
        <f t="shared" si="19"/>
        <v>37115</v>
      </c>
    </row>
    <row r="1101" spans="1:2" ht="15" customHeight="1">
      <c r="A1101" s="228">
        <f t="shared" si="20"/>
        <v>46512</v>
      </c>
      <c r="B1101" s="233">
        <f t="shared" si="19"/>
        <v>37115</v>
      </c>
    </row>
    <row r="1102" spans="1:2" ht="15" customHeight="1">
      <c r="A1102" s="228">
        <f t="shared" si="20"/>
        <v>46513</v>
      </c>
      <c r="B1102" s="233">
        <f t="shared" si="19"/>
        <v>37115</v>
      </c>
    </row>
    <row r="1103" spans="1:2" ht="15" customHeight="1">
      <c r="A1103" s="228">
        <f t="shared" si="20"/>
        <v>46514</v>
      </c>
      <c r="B1103" s="233">
        <f t="shared" si="19"/>
        <v>37115</v>
      </c>
    </row>
    <row r="1104" spans="1:2" ht="15" customHeight="1">
      <c r="A1104" s="228">
        <f t="shared" si="20"/>
        <v>46515</v>
      </c>
      <c r="B1104" s="233">
        <f t="shared" si="19"/>
        <v>37115</v>
      </c>
    </row>
    <row r="1105" spans="1:2" ht="15" customHeight="1">
      <c r="A1105" s="228">
        <f t="shared" si="20"/>
        <v>46516</v>
      </c>
      <c r="B1105" s="233">
        <f t="shared" si="19"/>
        <v>37115</v>
      </c>
    </row>
    <row r="1106" spans="1:2" ht="15" customHeight="1">
      <c r="A1106" s="228">
        <f t="shared" si="20"/>
        <v>46517</v>
      </c>
      <c r="B1106" s="233">
        <f t="shared" si="19"/>
        <v>37115</v>
      </c>
    </row>
    <row r="1107" spans="1:2" ht="15" customHeight="1">
      <c r="A1107" s="228">
        <f t="shared" si="20"/>
        <v>46518</v>
      </c>
      <c r="B1107" s="233">
        <f t="shared" si="19"/>
        <v>37115</v>
      </c>
    </row>
    <row r="1108" spans="1:2" ht="15" customHeight="1">
      <c r="A1108" s="228">
        <f t="shared" si="20"/>
        <v>46519</v>
      </c>
      <c r="B1108" s="233">
        <f t="shared" si="19"/>
        <v>37115</v>
      </c>
    </row>
    <row r="1109" spans="1:2" ht="15" customHeight="1">
      <c r="A1109" s="228">
        <f t="shared" si="20"/>
        <v>46520</v>
      </c>
      <c r="B1109" s="233">
        <f t="shared" si="19"/>
        <v>37115</v>
      </c>
    </row>
    <row r="1110" spans="1:2" ht="15" customHeight="1">
      <c r="A1110" s="228">
        <f t="shared" si="20"/>
        <v>46521</v>
      </c>
      <c r="B1110" s="233">
        <f t="shared" si="19"/>
        <v>37115</v>
      </c>
    </row>
    <row r="1111" spans="1:2" ht="15" customHeight="1">
      <c r="A1111" s="228">
        <f t="shared" si="20"/>
        <v>46522</v>
      </c>
      <c r="B1111" s="233">
        <f t="shared" si="19"/>
        <v>37115</v>
      </c>
    </row>
    <row r="1112" spans="1:2" ht="15" customHeight="1">
      <c r="A1112" s="228">
        <f t="shared" si="20"/>
        <v>46523</v>
      </c>
      <c r="B1112" s="233">
        <f t="shared" si="19"/>
        <v>37115</v>
      </c>
    </row>
    <row r="1113" spans="1:2" ht="15" customHeight="1">
      <c r="A1113" s="228">
        <f t="shared" si="20"/>
        <v>46524</v>
      </c>
      <c r="B1113" s="233">
        <f t="shared" si="19"/>
        <v>37115</v>
      </c>
    </row>
    <row r="1114" spans="1:2" ht="15" customHeight="1">
      <c r="A1114" s="228">
        <f t="shared" si="20"/>
        <v>46525</v>
      </c>
      <c r="B1114" s="233">
        <f t="shared" si="19"/>
        <v>37115</v>
      </c>
    </row>
    <row r="1115" spans="1:2" ht="15" customHeight="1">
      <c r="A1115" s="228">
        <f t="shared" si="20"/>
        <v>46526</v>
      </c>
      <c r="B1115" s="233">
        <f t="shared" si="19"/>
        <v>37115</v>
      </c>
    </row>
    <row r="1116" spans="1:2" ht="15" customHeight="1">
      <c r="A1116" s="228">
        <f t="shared" si="20"/>
        <v>46527</v>
      </c>
      <c r="B1116" s="233">
        <f t="shared" si="19"/>
        <v>37115</v>
      </c>
    </row>
    <row r="1117" spans="1:2" ht="15" customHeight="1">
      <c r="A1117" s="228">
        <f t="shared" si="20"/>
        <v>46528</v>
      </c>
      <c r="B1117" s="233">
        <f t="shared" si="19"/>
        <v>37115</v>
      </c>
    </row>
    <row r="1118" spans="1:2" ht="15" customHeight="1">
      <c r="A1118" s="228">
        <f t="shared" si="20"/>
        <v>46529</v>
      </c>
      <c r="B1118" s="233">
        <f t="shared" si="19"/>
        <v>37115</v>
      </c>
    </row>
    <row r="1119" spans="1:2" ht="15" customHeight="1">
      <c r="A1119" s="228">
        <f t="shared" si="20"/>
        <v>46530</v>
      </c>
      <c r="B1119" s="233">
        <f t="shared" si="19"/>
        <v>37115</v>
      </c>
    </row>
    <row r="1120" spans="1:2" ht="15" customHeight="1">
      <c r="A1120" s="228">
        <f t="shared" si="20"/>
        <v>46531</v>
      </c>
      <c r="B1120" s="233">
        <f t="shared" si="19"/>
        <v>37115</v>
      </c>
    </row>
    <row r="1121" spans="1:2" ht="15" customHeight="1">
      <c r="A1121" s="228">
        <f t="shared" si="20"/>
        <v>46532</v>
      </c>
      <c r="B1121" s="233">
        <f t="shared" si="19"/>
        <v>37115</v>
      </c>
    </row>
    <row r="1122" spans="1:2" ht="15" customHeight="1">
      <c r="A1122" s="228">
        <f t="shared" si="20"/>
        <v>46533</v>
      </c>
      <c r="B1122" s="233">
        <f t="shared" si="19"/>
        <v>37115</v>
      </c>
    </row>
    <row r="1123" spans="1:2" ht="15" customHeight="1">
      <c r="A1123" s="228">
        <f t="shared" si="20"/>
        <v>46534</v>
      </c>
      <c r="B1123" s="233">
        <f t="shared" si="19"/>
        <v>37115</v>
      </c>
    </row>
    <row r="1124" spans="1:2" ht="15" customHeight="1">
      <c r="A1124" s="228">
        <f t="shared" si="20"/>
        <v>46535</v>
      </c>
      <c r="B1124" s="233">
        <f t="shared" si="19"/>
        <v>37115</v>
      </c>
    </row>
    <row r="1125" spans="1:2" ht="15" customHeight="1">
      <c r="A1125" s="228">
        <f t="shared" si="20"/>
        <v>46536</v>
      </c>
      <c r="B1125" s="233">
        <f t="shared" si="19"/>
        <v>37115</v>
      </c>
    </row>
    <row r="1126" spans="1:2" ht="15" customHeight="1">
      <c r="A1126" s="228">
        <f t="shared" si="20"/>
        <v>46537</v>
      </c>
      <c r="B1126" s="233">
        <f t="shared" si="19"/>
        <v>37115</v>
      </c>
    </row>
    <row r="1127" spans="1:2" ht="15" customHeight="1">
      <c r="A1127" s="228">
        <f t="shared" si="20"/>
        <v>46538</v>
      </c>
      <c r="B1127" s="233">
        <f t="shared" si="19"/>
        <v>37115</v>
      </c>
    </row>
    <row r="1128" spans="1:2" ht="15" customHeight="1">
      <c r="A1128" s="228">
        <f t="shared" si="20"/>
        <v>46539</v>
      </c>
      <c r="B1128" s="233">
        <f t="shared" si="19"/>
        <v>37115</v>
      </c>
    </row>
    <row r="1129" spans="1:2" ht="15" customHeight="1">
      <c r="A1129" s="228">
        <f t="shared" si="20"/>
        <v>46540</v>
      </c>
      <c r="B1129" s="233">
        <f t="shared" si="19"/>
        <v>37115</v>
      </c>
    </row>
    <row r="1130" spans="1:2" ht="15" customHeight="1">
      <c r="A1130" s="228">
        <f t="shared" si="20"/>
        <v>46541</v>
      </c>
      <c r="B1130" s="233">
        <f t="shared" si="19"/>
        <v>37115</v>
      </c>
    </row>
    <row r="1131" spans="1:2" ht="15" customHeight="1">
      <c r="A1131" s="228">
        <f t="shared" si="20"/>
        <v>46542</v>
      </c>
      <c r="B1131" s="233">
        <f t="shared" si="19"/>
        <v>37115</v>
      </c>
    </row>
    <row r="1132" spans="1:2" ht="15" customHeight="1">
      <c r="A1132" s="228">
        <f t="shared" si="20"/>
        <v>46543</v>
      </c>
      <c r="B1132" s="233">
        <f t="shared" si="19"/>
        <v>37115</v>
      </c>
    </row>
    <row r="1133" spans="1:2" ht="15" customHeight="1">
      <c r="A1133" s="228">
        <f t="shared" si="20"/>
        <v>46544</v>
      </c>
      <c r="B1133" s="233">
        <f t="shared" si="19"/>
        <v>37115</v>
      </c>
    </row>
    <row r="1134" spans="1:2" ht="15" customHeight="1">
      <c r="A1134" s="228">
        <f t="shared" si="20"/>
        <v>46545</v>
      </c>
      <c r="B1134" s="233">
        <f t="shared" si="19"/>
        <v>37115</v>
      </c>
    </row>
    <row r="1135" spans="1:2" ht="15" customHeight="1">
      <c r="A1135" s="228">
        <f t="shared" si="20"/>
        <v>46546</v>
      </c>
      <c r="B1135" s="233">
        <f t="shared" si="19"/>
        <v>37115</v>
      </c>
    </row>
    <row r="1136" spans="1:2" ht="15" customHeight="1">
      <c r="A1136" s="228">
        <f t="shared" si="20"/>
        <v>46547</v>
      </c>
      <c r="B1136" s="233">
        <f t="shared" si="19"/>
        <v>37115</v>
      </c>
    </row>
    <row r="1137" spans="1:2" ht="15" customHeight="1">
      <c r="A1137" s="228">
        <f t="shared" si="20"/>
        <v>46548</v>
      </c>
      <c r="B1137" s="233">
        <f t="shared" si="19"/>
        <v>37115</v>
      </c>
    </row>
    <row r="1138" spans="1:2" ht="15" customHeight="1">
      <c r="A1138" s="228">
        <f t="shared" si="20"/>
        <v>46549</v>
      </c>
      <c r="B1138" s="233">
        <f t="shared" si="19"/>
        <v>37115</v>
      </c>
    </row>
    <row r="1139" spans="1:2" ht="15" customHeight="1">
      <c r="A1139" s="228">
        <f t="shared" si="20"/>
        <v>46550</v>
      </c>
      <c r="B1139" s="233">
        <f t="shared" si="19"/>
        <v>37115</v>
      </c>
    </row>
    <row r="1140" spans="1:2" ht="15" customHeight="1">
      <c r="A1140" s="228">
        <f t="shared" si="20"/>
        <v>46551</v>
      </c>
      <c r="B1140" s="233">
        <f t="shared" si="19"/>
        <v>37115</v>
      </c>
    </row>
    <row r="1141" spans="1:2" ht="15" customHeight="1">
      <c r="A1141" s="228">
        <f t="shared" si="20"/>
        <v>46552</v>
      </c>
      <c r="B1141" s="233">
        <f t="shared" si="19"/>
        <v>37115</v>
      </c>
    </row>
    <row r="1142" spans="1:2" ht="15" customHeight="1">
      <c r="A1142" s="228">
        <f t="shared" si="20"/>
        <v>46553</v>
      </c>
      <c r="B1142" s="233">
        <f t="shared" si="19"/>
        <v>37115</v>
      </c>
    </row>
    <row r="1143" spans="1:2" ht="15" customHeight="1">
      <c r="A1143" s="228">
        <f t="shared" si="20"/>
        <v>46554</v>
      </c>
      <c r="B1143" s="233">
        <f t="shared" ref="B1143:B1206" si="21">+B1142</f>
        <v>37115</v>
      </c>
    </row>
    <row r="1144" spans="1:2" ht="15" customHeight="1">
      <c r="A1144" s="228">
        <f t="shared" si="20"/>
        <v>46555</v>
      </c>
      <c r="B1144" s="233">
        <f t="shared" si="21"/>
        <v>37115</v>
      </c>
    </row>
    <row r="1145" spans="1:2" ht="15" customHeight="1">
      <c r="A1145" s="228">
        <f t="shared" si="20"/>
        <v>46556</v>
      </c>
      <c r="B1145" s="233">
        <f t="shared" si="21"/>
        <v>37115</v>
      </c>
    </row>
    <row r="1146" spans="1:2" ht="15" customHeight="1">
      <c r="A1146" s="228">
        <f t="shared" si="20"/>
        <v>46557</v>
      </c>
      <c r="B1146" s="233">
        <f t="shared" si="21"/>
        <v>37115</v>
      </c>
    </row>
    <row r="1147" spans="1:2" ht="15" customHeight="1">
      <c r="A1147" s="228">
        <f t="shared" si="20"/>
        <v>46558</v>
      </c>
      <c r="B1147" s="233">
        <f t="shared" si="21"/>
        <v>37115</v>
      </c>
    </row>
    <row r="1148" spans="1:2" ht="15" customHeight="1">
      <c r="A1148" s="228">
        <f t="shared" si="20"/>
        <v>46559</v>
      </c>
      <c r="B1148" s="233">
        <f t="shared" si="21"/>
        <v>37115</v>
      </c>
    </row>
    <row r="1149" spans="1:2" ht="15" customHeight="1">
      <c r="A1149" s="228">
        <f t="shared" ref="A1149:A1212" si="22">+A1148+1</f>
        <v>46560</v>
      </c>
      <c r="B1149" s="233">
        <f t="shared" si="21"/>
        <v>37115</v>
      </c>
    </row>
    <row r="1150" spans="1:2" ht="15" customHeight="1">
      <c r="A1150" s="228">
        <f t="shared" si="22"/>
        <v>46561</v>
      </c>
      <c r="B1150" s="233">
        <f t="shared" si="21"/>
        <v>37115</v>
      </c>
    </row>
    <row r="1151" spans="1:2" ht="15" customHeight="1">
      <c r="A1151" s="228">
        <f t="shared" si="22"/>
        <v>46562</v>
      </c>
      <c r="B1151" s="233">
        <f t="shared" si="21"/>
        <v>37115</v>
      </c>
    </row>
    <row r="1152" spans="1:2" ht="15" customHeight="1">
      <c r="A1152" s="228">
        <f t="shared" si="22"/>
        <v>46563</v>
      </c>
      <c r="B1152" s="233">
        <f t="shared" si="21"/>
        <v>37115</v>
      </c>
    </row>
    <row r="1153" spans="1:2" ht="15" customHeight="1">
      <c r="A1153" s="228">
        <f t="shared" si="22"/>
        <v>46564</v>
      </c>
      <c r="B1153" s="233">
        <f t="shared" si="21"/>
        <v>37115</v>
      </c>
    </row>
    <row r="1154" spans="1:2" ht="15" customHeight="1">
      <c r="A1154" s="228">
        <f t="shared" si="22"/>
        <v>46565</v>
      </c>
      <c r="B1154" s="233">
        <f t="shared" si="21"/>
        <v>37115</v>
      </c>
    </row>
    <row r="1155" spans="1:2" ht="15" customHeight="1">
      <c r="A1155" s="228">
        <f t="shared" si="22"/>
        <v>46566</v>
      </c>
      <c r="B1155" s="233">
        <f t="shared" si="21"/>
        <v>37115</v>
      </c>
    </row>
    <row r="1156" spans="1:2" ht="15" customHeight="1">
      <c r="A1156" s="228">
        <f t="shared" si="22"/>
        <v>46567</v>
      </c>
      <c r="B1156" s="233">
        <f t="shared" si="21"/>
        <v>37115</v>
      </c>
    </row>
    <row r="1157" spans="1:2" ht="15" customHeight="1">
      <c r="A1157" s="228">
        <f t="shared" si="22"/>
        <v>46568</v>
      </c>
      <c r="B1157" s="233">
        <f t="shared" si="21"/>
        <v>37115</v>
      </c>
    </row>
    <row r="1158" spans="1:2" ht="15" customHeight="1">
      <c r="A1158" s="228">
        <f t="shared" si="22"/>
        <v>46569</v>
      </c>
      <c r="B1158" s="233">
        <f t="shared" si="21"/>
        <v>37115</v>
      </c>
    </row>
    <row r="1159" spans="1:2" ht="15" customHeight="1">
      <c r="A1159" s="228">
        <f t="shared" si="22"/>
        <v>46570</v>
      </c>
      <c r="B1159" s="233">
        <f t="shared" si="21"/>
        <v>37115</v>
      </c>
    </row>
    <row r="1160" spans="1:2" ht="15" customHeight="1">
      <c r="A1160" s="228">
        <f t="shared" si="22"/>
        <v>46571</v>
      </c>
      <c r="B1160" s="233">
        <f t="shared" si="21"/>
        <v>37115</v>
      </c>
    </row>
    <row r="1161" spans="1:2" ht="15" customHeight="1">
      <c r="A1161" s="228">
        <f t="shared" si="22"/>
        <v>46572</v>
      </c>
      <c r="B1161" s="233">
        <f t="shared" si="21"/>
        <v>37115</v>
      </c>
    </row>
    <row r="1162" spans="1:2" ht="15" customHeight="1">
      <c r="A1162" s="228">
        <f t="shared" si="22"/>
        <v>46573</v>
      </c>
      <c r="B1162" s="233">
        <f t="shared" si="21"/>
        <v>37115</v>
      </c>
    </row>
    <row r="1163" spans="1:2" ht="15" customHeight="1">
      <c r="A1163" s="228">
        <f t="shared" si="22"/>
        <v>46574</v>
      </c>
      <c r="B1163" s="233">
        <f t="shared" si="21"/>
        <v>37115</v>
      </c>
    </row>
    <row r="1164" spans="1:2" ht="15" customHeight="1">
      <c r="A1164" s="228">
        <f t="shared" si="22"/>
        <v>46575</v>
      </c>
      <c r="B1164" s="233">
        <f t="shared" si="21"/>
        <v>37115</v>
      </c>
    </row>
    <row r="1165" spans="1:2" ht="15" customHeight="1">
      <c r="A1165" s="228">
        <f t="shared" si="22"/>
        <v>46576</v>
      </c>
      <c r="B1165" s="233">
        <f t="shared" si="21"/>
        <v>37115</v>
      </c>
    </row>
    <row r="1166" spans="1:2" ht="15" customHeight="1">
      <c r="A1166" s="228">
        <f t="shared" si="22"/>
        <v>46577</v>
      </c>
      <c r="B1166" s="233">
        <f t="shared" si="21"/>
        <v>37115</v>
      </c>
    </row>
    <row r="1167" spans="1:2" ht="15" customHeight="1">
      <c r="A1167" s="228">
        <f t="shared" si="22"/>
        <v>46578</v>
      </c>
      <c r="B1167" s="233">
        <f t="shared" si="21"/>
        <v>37115</v>
      </c>
    </row>
    <row r="1168" spans="1:2" ht="15" customHeight="1">
      <c r="A1168" s="228">
        <f t="shared" si="22"/>
        <v>46579</v>
      </c>
      <c r="B1168" s="233">
        <f t="shared" si="21"/>
        <v>37115</v>
      </c>
    </row>
    <row r="1169" spans="1:2" ht="15" customHeight="1">
      <c r="A1169" s="228">
        <f t="shared" si="22"/>
        <v>46580</v>
      </c>
      <c r="B1169" s="233">
        <f t="shared" si="21"/>
        <v>37115</v>
      </c>
    </row>
    <row r="1170" spans="1:2" ht="15" customHeight="1">
      <c r="A1170" s="228">
        <f t="shared" si="22"/>
        <v>46581</v>
      </c>
      <c r="B1170" s="233">
        <f t="shared" si="21"/>
        <v>37115</v>
      </c>
    </row>
    <row r="1171" spans="1:2" ht="15" customHeight="1">
      <c r="A1171" s="228">
        <f t="shared" si="22"/>
        <v>46582</v>
      </c>
      <c r="B1171" s="233">
        <f t="shared" si="21"/>
        <v>37115</v>
      </c>
    </row>
    <row r="1172" spans="1:2" ht="15" customHeight="1">
      <c r="A1172" s="228">
        <f t="shared" si="22"/>
        <v>46583</v>
      </c>
      <c r="B1172" s="233">
        <f t="shared" si="21"/>
        <v>37115</v>
      </c>
    </row>
    <row r="1173" spans="1:2" ht="15" customHeight="1">
      <c r="A1173" s="228">
        <f t="shared" si="22"/>
        <v>46584</v>
      </c>
      <c r="B1173" s="233">
        <f t="shared" si="21"/>
        <v>37115</v>
      </c>
    </row>
    <row r="1174" spans="1:2" ht="15" customHeight="1">
      <c r="A1174" s="228">
        <f t="shared" si="22"/>
        <v>46585</v>
      </c>
      <c r="B1174" s="233">
        <f t="shared" si="21"/>
        <v>37115</v>
      </c>
    </row>
    <row r="1175" spans="1:2" ht="15" customHeight="1">
      <c r="A1175" s="228">
        <f t="shared" si="22"/>
        <v>46586</v>
      </c>
      <c r="B1175" s="233">
        <f t="shared" si="21"/>
        <v>37115</v>
      </c>
    </row>
    <row r="1176" spans="1:2" ht="15" customHeight="1">
      <c r="A1176" s="228">
        <f t="shared" si="22"/>
        <v>46587</v>
      </c>
      <c r="B1176" s="233">
        <f t="shared" si="21"/>
        <v>37115</v>
      </c>
    </row>
    <row r="1177" spans="1:2" ht="15" customHeight="1">
      <c r="A1177" s="228">
        <f t="shared" si="22"/>
        <v>46588</v>
      </c>
      <c r="B1177" s="233">
        <f t="shared" si="21"/>
        <v>37115</v>
      </c>
    </row>
    <row r="1178" spans="1:2" ht="15" customHeight="1">
      <c r="A1178" s="228">
        <f t="shared" si="22"/>
        <v>46589</v>
      </c>
      <c r="B1178" s="233">
        <f t="shared" si="21"/>
        <v>37115</v>
      </c>
    </row>
    <row r="1179" spans="1:2" ht="15" customHeight="1">
      <c r="A1179" s="228">
        <f t="shared" si="22"/>
        <v>46590</v>
      </c>
      <c r="B1179" s="233">
        <f t="shared" si="21"/>
        <v>37115</v>
      </c>
    </row>
    <row r="1180" spans="1:2" ht="15" customHeight="1">
      <c r="A1180" s="228">
        <f t="shared" si="22"/>
        <v>46591</v>
      </c>
      <c r="B1180" s="233">
        <f t="shared" si="21"/>
        <v>37115</v>
      </c>
    </row>
    <row r="1181" spans="1:2" ht="15" customHeight="1">
      <c r="A1181" s="228">
        <f t="shared" si="22"/>
        <v>46592</v>
      </c>
      <c r="B1181" s="233">
        <f t="shared" si="21"/>
        <v>37115</v>
      </c>
    </row>
    <row r="1182" spans="1:2" ht="15" customHeight="1">
      <c r="A1182" s="228">
        <f t="shared" si="22"/>
        <v>46593</v>
      </c>
      <c r="B1182" s="233">
        <f t="shared" si="21"/>
        <v>37115</v>
      </c>
    </row>
    <row r="1183" spans="1:2" ht="15" customHeight="1">
      <c r="A1183" s="228">
        <f t="shared" si="22"/>
        <v>46594</v>
      </c>
      <c r="B1183" s="233">
        <f t="shared" si="21"/>
        <v>37115</v>
      </c>
    </row>
    <row r="1184" spans="1:2" ht="15" customHeight="1">
      <c r="A1184" s="228">
        <f t="shared" si="22"/>
        <v>46595</v>
      </c>
      <c r="B1184" s="233">
        <f t="shared" si="21"/>
        <v>37115</v>
      </c>
    </row>
    <row r="1185" spans="1:2" ht="15" customHeight="1">
      <c r="A1185" s="228">
        <f t="shared" si="22"/>
        <v>46596</v>
      </c>
      <c r="B1185" s="233">
        <f t="shared" si="21"/>
        <v>37115</v>
      </c>
    </row>
    <row r="1186" spans="1:2" ht="15" customHeight="1">
      <c r="A1186" s="228">
        <f t="shared" si="22"/>
        <v>46597</v>
      </c>
      <c r="B1186" s="233">
        <f t="shared" si="21"/>
        <v>37115</v>
      </c>
    </row>
    <row r="1187" spans="1:2" ht="15" customHeight="1">
      <c r="A1187" s="228">
        <f t="shared" si="22"/>
        <v>46598</v>
      </c>
      <c r="B1187" s="233">
        <f t="shared" si="21"/>
        <v>37115</v>
      </c>
    </row>
    <row r="1188" spans="1:2" ht="15" customHeight="1">
      <c r="A1188" s="228">
        <f t="shared" si="22"/>
        <v>46599</v>
      </c>
      <c r="B1188" s="233">
        <f t="shared" si="21"/>
        <v>37115</v>
      </c>
    </row>
    <row r="1189" spans="1:2" ht="15" customHeight="1">
      <c r="A1189" s="228">
        <f t="shared" si="22"/>
        <v>46600</v>
      </c>
      <c r="B1189" s="233">
        <f t="shared" si="21"/>
        <v>37115</v>
      </c>
    </row>
    <row r="1190" spans="1:2" ht="15" customHeight="1">
      <c r="A1190" s="228">
        <f t="shared" si="22"/>
        <v>46601</v>
      </c>
      <c r="B1190" s="233">
        <f t="shared" si="21"/>
        <v>37115</v>
      </c>
    </row>
    <row r="1191" spans="1:2" ht="15" customHeight="1">
      <c r="A1191" s="228">
        <f t="shared" si="22"/>
        <v>46602</v>
      </c>
      <c r="B1191" s="233">
        <f t="shared" si="21"/>
        <v>37115</v>
      </c>
    </row>
    <row r="1192" spans="1:2" ht="15" customHeight="1">
      <c r="A1192" s="228">
        <f t="shared" si="22"/>
        <v>46603</v>
      </c>
      <c r="B1192" s="233">
        <f t="shared" si="21"/>
        <v>37115</v>
      </c>
    </row>
    <row r="1193" spans="1:2" ht="15" customHeight="1">
      <c r="A1193" s="228">
        <f t="shared" si="22"/>
        <v>46604</v>
      </c>
      <c r="B1193" s="233">
        <f t="shared" si="21"/>
        <v>37115</v>
      </c>
    </row>
    <row r="1194" spans="1:2" ht="15" customHeight="1">
      <c r="A1194" s="228">
        <f t="shared" si="22"/>
        <v>46605</v>
      </c>
      <c r="B1194" s="233">
        <f t="shared" si="21"/>
        <v>37115</v>
      </c>
    </row>
    <row r="1195" spans="1:2" ht="15" customHeight="1">
      <c r="A1195" s="228">
        <f t="shared" si="22"/>
        <v>46606</v>
      </c>
      <c r="B1195" s="233">
        <f t="shared" si="21"/>
        <v>37115</v>
      </c>
    </row>
    <row r="1196" spans="1:2" ht="15" customHeight="1">
      <c r="A1196" s="228">
        <f t="shared" si="22"/>
        <v>46607</v>
      </c>
      <c r="B1196" s="233">
        <f t="shared" si="21"/>
        <v>37115</v>
      </c>
    </row>
    <row r="1197" spans="1:2" ht="15" customHeight="1">
      <c r="A1197" s="228">
        <f t="shared" si="22"/>
        <v>46608</v>
      </c>
      <c r="B1197" s="233">
        <f t="shared" si="21"/>
        <v>37115</v>
      </c>
    </row>
    <row r="1198" spans="1:2" ht="15" customHeight="1">
      <c r="A1198" s="228">
        <f t="shared" si="22"/>
        <v>46609</v>
      </c>
      <c r="B1198" s="233">
        <f t="shared" si="21"/>
        <v>37115</v>
      </c>
    </row>
    <row r="1199" spans="1:2" ht="15" customHeight="1">
      <c r="A1199" s="228">
        <f t="shared" si="22"/>
        <v>46610</v>
      </c>
      <c r="B1199" s="233">
        <f t="shared" si="21"/>
        <v>37115</v>
      </c>
    </row>
    <row r="1200" spans="1:2" ht="15" customHeight="1">
      <c r="A1200" s="228">
        <f t="shared" si="22"/>
        <v>46611</v>
      </c>
      <c r="B1200" s="233">
        <f t="shared" si="21"/>
        <v>37115</v>
      </c>
    </row>
    <row r="1201" spans="1:2" ht="15" customHeight="1">
      <c r="A1201" s="228">
        <f t="shared" si="22"/>
        <v>46612</v>
      </c>
      <c r="B1201" s="233">
        <f t="shared" si="21"/>
        <v>37115</v>
      </c>
    </row>
    <row r="1202" spans="1:2" ht="15" customHeight="1">
      <c r="A1202" s="228">
        <f t="shared" si="22"/>
        <v>46613</v>
      </c>
      <c r="B1202" s="233">
        <f t="shared" si="21"/>
        <v>37115</v>
      </c>
    </row>
    <row r="1203" spans="1:2" ht="15" customHeight="1">
      <c r="A1203" s="228">
        <f t="shared" si="22"/>
        <v>46614</v>
      </c>
      <c r="B1203" s="233">
        <f t="shared" si="21"/>
        <v>37115</v>
      </c>
    </row>
    <row r="1204" spans="1:2" ht="15" customHeight="1">
      <c r="A1204" s="228">
        <f t="shared" si="22"/>
        <v>46615</v>
      </c>
      <c r="B1204" s="233">
        <f t="shared" si="21"/>
        <v>37115</v>
      </c>
    </row>
    <row r="1205" spans="1:2" ht="15" customHeight="1">
      <c r="A1205" s="228">
        <f t="shared" si="22"/>
        <v>46616</v>
      </c>
      <c r="B1205" s="233">
        <f t="shared" si="21"/>
        <v>37115</v>
      </c>
    </row>
    <row r="1206" spans="1:2" ht="15" customHeight="1">
      <c r="A1206" s="228">
        <f t="shared" si="22"/>
        <v>46617</v>
      </c>
      <c r="B1206" s="233">
        <f t="shared" si="21"/>
        <v>37115</v>
      </c>
    </row>
    <row r="1207" spans="1:2" ht="15" customHeight="1">
      <c r="A1207" s="228">
        <f t="shared" si="22"/>
        <v>46618</v>
      </c>
      <c r="B1207" s="233">
        <f t="shared" ref="B1207:B1270" si="23">+B1206</f>
        <v>37115</v>
      </c>
    </row>
    <row r="1208" spans="1:2" ht="15" customHeight="1">
      <c r="A1208" s="228">
        <f t="shared" si="22"/>
        <v>46619</v>
      </c>
      <c r="B1208" s="233">
        <f t="shared" si="23"/>
        <v>37115</v>
      </c>
    </row>
    <row r="1209" spans="1:2" ht="15" customHeight="1">
      <c r="A1209" s="228">
        <f t="shared" si="22"/>
        <v>46620</v>
      </c>
      <c r="B1209" s="233">
        <f t="shared" si="23"/>
        <v>37115</v>
      </c>
    </row>
    <row r="1210" spans="1:2" ht="15" customHeight="1">
      <c r="A1210" s="228">
        <f t="shared" si="22"/>
        <v>46621</v>
      </c>
      <c r="B1210" s="233">
        <f t="shared" si="23"/>
        <v>37115</v>
      </c>
    </row>
    <row r="1211" spans="1:2" ht="15" customHeight="1">
      <c r="A1211" s="228">
        <f t="shared" si="22"/>
        <v>46622</v>
      </c>
      <c r="B1211" s="233">
        <f t="shared" si="23"/>
        <v>37115</v>
      </c>
    </row>
    <row r="1212" spans="1:2" ht="15" customHeight="1">
      <c r="A1212" s="228">
        <f t="shared" si="22"/>
        <v>46623</v>
      </c>
      <c r="B1212" s="233">
        <f t="shared" si="23"/>
        <v>37115</v>
      </c>
    </row>
    <row r="1213" spans="1:2" ht="15" customHeight="1">
      <c r="A1213" s="228">
        <f t="shared" ref="A1213:A1276" si="24">+A1212+1</f>
        <v>46624</v>
      </c>
      <c r="B1213" s="233">
        <f t="shared" si="23"/>
        <v>37115</v>
      </c>
    </row>
    <row r="1214" spans="1:2" ht="15" customHeight="1">
      <c r="A1214" s="228">
        <f t="shared" si="24"/>
        <v>46625</v>
      </c>
      <c r="B1214" s="233">
        <f t="shared" si="23"/>
        <v>37115</v>
      </c>
    </row>
    <row r="1215" spans="1:2" ht="15" customHeight="1">
      <c r="A1215" s="228">
        <f t="shared" si="24"/>
        <v>46626</v>
      </c>
      <c r="B1215" s="233">
        <f t="shared" si="23"/>
        <v>37115</v>
      </c>
    </row>
    <row r="1216" spans="1:2" ht="15" customHeight="1">
      <c r="A1216" s="228">
        <f t="shared" si="24"/>
        <v>46627</v>
      </c>
      <c r="B1216" s="233">
        <f t="shared" si="23"/>
        <v>37115</v>
      </c>
    </row>
    <row r="1217" spans="1:2" ht="15" customHeight="1">
      <c r="A1217" s="228">
        <f t="shared" si="24"/>
        <v>46628</v>
      </c>
      <c r="B1217" s="233">
        <f t="shared" si="23"/>
        <v>37115</v>
      </c>
    </row>
    <row r="1218" spans="1:2" ht="15" customHeight="1">
      <c r="A1218" s="228">
        <f t="shared" si="24"/>
        <v>46629</v>
      </c>
      <c r="B1218" s="233">
        <f t="shared" si="23"/>
        <v>37115</v>
      </c>
    </row>
    <row r="1219" spans="1:2" ht="15" customHeight="1">
      <c r="A1219" s="228">
        <f t="shared" si="24"/>
        <v>46630</v>
      </c>
      <c r="B1219" s="233">
        <f t="shared" si="23"/>
        <v>37115</v>
      </c>
    </row>
    <row r="1220" spans="1:2" ht="15" customHeight="1">
      <c r="A1220" s="228">
        <f t="shared" si="24"/>
        <v>46631</v>
      </c>
      <c r="B1220" s="233">
        <f t="shared" si="23"/>
        <v>37115</v>
      </c>
    </row>
    <row r="1221" spans="1:2" ht="15" customHeight="1">
      <c r="A1221" s="228">
        <f t="shared" si="24"/>
        <v>46632</v>
      </c>
      <c r="B1221" s="233">
        <f t="shared" si="23"/>
        <v>37115</v>
      </c>
    </row>
    <row r="1222" spans="1:2" ht="15" customHeight="1">
      <c r="A1222" s="228">
        <f t="shared" si="24"/>
        <v>46633</v>
      </c>
      <c r="B1222" s="233">
        <f t="shared" si="23"/>
        <v>37115</v>
      </c>
    </row>
    <row r="1223" spans="1:2" ht="15" customHeight="1">
      <c r="A1223" s="228">
        <f t="shared" si="24"/>
        <v>46634</v>
      </c>
      <c r="B1223" s="233">
        <f t="shared" si="23"/>
        <v>37115</v>
      </c>
    </row>
    <row r="1224" spans="1:2" ht="15" customHeight="1">
      <c r="A1224" s="228">
        <f t="shared" si="24"/>
        <v>46635</v>
      </c>
      <c r="B1224" s="233">
        <f t="shared" si="23"/>
        <v>37115</v>
      </c>
    </row>
    <row r="1225" spans="1:2" ht="15" customHeight="1">
      <c r="A1225" s="228">
        <f t="shared" si="24"/>
        <v>46636</v>
      </c>
      <c r="B1225" s="233">
        <f t="shared" si="23"/>
        <v>37115</v>
      </c>
    </row>
    <row r="1226" spans="1:2" ht="15" customHeight="1">
      <c r="A1226" s="228">
        <f t="shared" si="24"/>
        <v>46637</v>
      </c>
      <c r="B1226" s="233">
        <f t="shared" si="23"/>
        <v>37115</v>
      </c>
    </row>
    <row r="1227" spans="1:2" ht="15" customHeight="1">
      <c r="A1227" s="228">
        <f t="shared" si="24"/>
        <v>46638</v>
      </c>
      <c r="B1227" s="233">
        <f t="shared" si="23"/>
        <v>37115</v>
      </c>
    </row>
    <row r="1228" spans="1:2" ht="15" customHeight="1">
      <c r="A1228" s="228">
        <f t="shared" si="24"/>
        <v>46639</v>
      </c>
      <c r="B1228" s="233">
        <f t="shared" si="23"/>
        <v>37115</v>
      </c>
    </row>
    <row r="1229" spans="1:2" ht="15" customHeight="1">
      <c r="A1229" s="228">
        <f t="shared" si="24"/>
        <v>46640</v>
      </c>
      <c r="B1229" s="233">
        <f t="shared" si="23"/>
        <v>37115</v>
      </c>
    </row>
    <row r="1230" spans="1:2" ht="15" customHeight="1">
      <c r="A1230" s="228">
        <f t="shared" si="24"/>
        <v>46641</v>
      </c>
      <c r="B1230" s="233">
        <f t="shared" si="23"/>
        <v>37115</v>
      </c>
    </row>
    <row r="1231" spans="1:2" ht="15" customHeight="1">
      <c r="A1231" s="228">
        <f t="shared" si="24"/>
        <v>46642</v>
      </c>
      <c r="B1231" s="233">
        <f t="shared" si="23"/>
        <v>37115</v>
      </c>
    </row>
    <row r="1232" spans="1:2" ht="15" customHeight="1">
      <c r="A1232" s="228">
        <f t="shared" si="24"/>
        <v>46643</v>
      </c>
      <c r="B1232" s="233">
        <f t="shared" si="23"/>
        <v>37115</v>
      </c>
    </row>
    <row r="1233" spans="1:2" ht="15" customHeight="1">
      <c r="A1233" s="228">
        <f t="shared" si="24"/>
        <v>46644</v>
      </c>
      <c r="B1233" s="233">
        <f t="shared" si="23"/>
        <v>37115</v>
      </c>
    </row>
    <row r="1234" spans="1:2" ht="15" customHeight="1">
      <c r="A1234" s="228">
        <f t="shared" si="24"/>
        <v>46645</v>
      </c>
      <c r="B1234" s="233">
        <f t="shared" si="23"/>
        <v>37115</v>
      </c>
    </row>
    <row r="1235" spans="1:2" ht="15" customHeight="1">
      <c r="A1235" s="228">
        <f t="shared" si="24"/>
        <v>46646</v>
      </c>
      <c r="B1235" s="233">
        <f t="shared" si="23"/>
        <v>37115</v>
      </c>
    </row>
    <row r="1236" spans="1:2" ht="15" customHeight="1">
      <c r="A1236" s="228">
        <f t="shared" si="24"/>
        <v>46647</v>
      </c>
      <c r="B1236" s="233">
        <f t="shared" si="23"/>
        <v>37115</v>
      </c>
    </row>
    <row r="1237" spans="1:2" ht="15" customHeight="1">
      <c r="A1237" s="228">
        <f t="shared" si="24"/>
        <v>46648</v>
      </c>
      <c r="B1237" s="233">
        <f t="shared" si="23"/>
        <v>37115</v>
      </c>
    </row>
    <row r="1238" spans="1:2" ht="15" customHeight="1">
      <c r="A1238" s="228">
        <f t="shared" si="24"/>
        <v>46649</v>
      </c>
      <c r="B1238" s="233">
        <f t="shared" si="23"/>
        <v>37115</v>
      </c>
    </row>
    <row r="1239" spans="1:2" ht="15" customHeight="1">
      <c r="A1239" s="228">
        <f t="shared" si="24"/>
        <v>46650</v>
      </c>
      <c r="B1239" s="233">
        <f t="shared" si="23"/>
        <v>37115</v>
      </c>
    </row>
    <row r="1240" spans="1:2" ht="15" customHeight="1">
      <c r="A1240" s="228">
        <f t="shared" si="24"/>
        <v>46651</v>
      </c>
      <c r="B1240" s="233">
        <f t="shared" si="23"/>
        <v>37115</v>
      </c>
    </row>
    <row r="1241" spans="1:2" ht="15" customHeight="1">
      <c r="A1241" s="228">
        <f t="shared" si="24"/>
        <v>46652</v>
      </c>
      <c r="B1241" s="233">
        <f t="shared" si="23"/>
        <v>37115</v>
      </c>
    </row>
    <row r="1242" spans="1:2" ht="15" customHeight="1">
      <c r="A1242" s="228">
        <f t="shared" si="24"/>
        <v>46653</v>
      </c>
      <c r="B1242" s="233">
        <f t="shared" si="23"/>
        <v>37115</v>
      </c>
    </row>
    <row r="1243" spans="1:2" ht="15" customHeight="1">
      <c r="A1243" s="228">
        <f t="shared" si="24"/>
        <v>46654</v>
      </c>
      <c r="B1243" s="233">
        <f t="shared" si="23"/>
        <v>37115</v>
      </c>
    </row>
    <row r="1244" spans="1:2" ht="15" customHeight="1">
      <c r="A1244" s="228">
        <f t="shared" si="24"/>
        <v>46655</v>
      </c>
      <c r="B1244" s="233">
        <f t="shared" si="23"/>
        <v>37115</v>
      </c>
    </row>
    <row r="1245" spans="1:2" ht="15" customHeight="1">
      <c r="A1245" s="228">
        <f t="shared" si="24"/>
        <v>46656</v>
      </c>
      <c r="B1245" s="233">
        <f t="shared" si="23"/>
        <v>37115</v>
      </c>
    </row>
    <row r="1246" spans="1:2" ht="15" customHeight="1">
      <c r="A1246" s="228">
        <f t="shared" si="24"/>
        <v>46657</v>
      </c>
      <c r="B1246" s="233">
        <f t="shared" si="23"/>
        <v>37115</v>
      </c>
    </row>
    <row r="1247" spans="1:2" ht="15" customHeight="1">
      <c r="A1247" s="228">
        <f t="shared" si="24"/>
        <v>46658</v>
      </c>
      <c r="B1247" s="233">
        <f t="shared" si="23"/>
        <v>37115</v>
      </c>
    </row>
    <row r="1248" spans="1:2" ht="15" customHeight="1">
      <c r="A1248" s="228">
        <f t="shared" si="24"/>
        <v>46659</v>
      </c>
      <c r="B1248" s="233">
        <f t="shared" si="23"/>
        <v>37115</v>
      </c>
    </row>
    <row r="1249" spans="1:2" ht="15" customHeight="1">
      <c r="A1249" s="228">
        <f t="shared" si="24"/>
        <v>46660</v>
      </c>
      <c r="B1249" s="233">
        <f t="shared" si="23"/>
        <v>37115</v>
      </c>
    </row>
    <row r="1250" spans="1:2" ht="15" customHeight="1">
      <c r="A1250" s="228">
        <f t="shared" si="24"/>
        <v>46661</v>
      </c>
      <c r="B1250" s="233">
        <f t="shared" si="23"/>
        <v>37115</v>
      </c>
    </row>
    <row r="1251" spans="1:2" ht="15" customHeight="1">
      <c r="A1251" s="228">
        <f t="shared" si="24"/>
        <v>46662</v>
      </c>
      <c r="B1251" s="233">
        <f t="shared" si="23"/>
        <v>37115</v>
      </c>
    </row>
    <row r="1252" spans="1:2" ht="15" customHeight="1">
      <c r="A1252" s="228">
        <f t="shared" si="24"/>
        <v>46663</v>
      </c>
      <c r="B1252" s="233">
        <f t="shared" si="23"/>
        <v>37115</v>
      </c>
    </row>
    <row r="1253" spans="1:2" ht="15" customHeight="1">
      <c r="A1253" s="228">
        <f t="shared" si="24"/>
        <v>46664</v>
      </c>
      <c r="B1253" s="233">
        <f t="shared" si="23"/>
        <v>37115</v>
      </c>
    </row>
    <row r="1254" spans="1:2" ht="15" customHeight="1">
      <c r="A1254" s="228">
        <f t="shared" si="24"/>
        <v>46665</v>
      </c>
      <c r="B1254" s="233">
        <f t="shared" si="23"/>
        <v>37115</v>
      </c>
    </row>
    <row r="1255" spans="1:2" ht="15" customHeight="1">
      <c r="A1255" s="228">
        <f t="shared" si="24"/>
        <v>46666</v>
      </c>
      <c r="B1255" s="233">
        <f t="shared" si="23"/>
        <v>37115</v>
      </c>
    </row>
    <row r="1256" spans="1:2" ht="15" customHeight="1">
      <c r="A1256" s="228">
        <f t="shared" si="24"/>
        <v>46667</v>
      </c>
      <c r="B1256" s="233">
        <f t="shared" si="23"/>
        <v>37115</v>
      </c>
    </row>
    <row r="1257" spans="1:2" ht="15" customHeight="1">
      <c r="A1257" s="228">
        <f t="shared" si="24"/>
        <v>46668</v>
      </c>
      <c r="B1257" s="233">
        <f t="shared" si="23"/>
        <v>37115</v>
      </c>
    </row>
    <row r="1258" spans="1:2" ht="15" customHeight="1">
      <c r="A1258" s="228">
        <f t="shared" si="24"/>
        <v>46669</v>
      </c>
      <c r="B1258" s="233">
        <f t="shared" si="23"/>
        <v>37115</v>
      </c>
    </row>
    <row r="1259" spans="1:2" ht="15" customHeight="1">
      <c r="A1259" s="228">
        <f t="shared" si="24"/>
        <v>46670</v>
      </c>
      <c r="B1259" s="233">
        <f t="shared" si="23"/>
        <v>37115</v>
      </c>
    </row>
    <row r="1260" spans="1:2" ht="15" customHeight="1">
      <c r="A1260" s="228">
        <f t="shared" si="24"/>
        <v>46671</v>
      </c>
      <c r="B1260" s="233">
        <f t="shared" si="23"/>
        <v>37115</v>
      </c>
    </row>
    <row r="1261" spans="1:2" ht="15" customHeight="1">
      <c r="A1261" s="228">
        <f t="shared" si="24"/>
        <v>46672</v>
      </c>
      <c r="B1261" s="233">
        <f t="shared" si="23"/>
        <v>37115</v>
      </c>
    </row>
    <row r="1262" spans="1:2" ht="15" customHeight="1">
      <c r="A1262" s="228">
        <f t="shared" si="24"/>
        <v>46673</v>
      </c>
      <c r="B1262" s="233">
        <f t="shared" si="23"/>
        <v>37115</v>
      </c>
    </row>
    <row r="1263" spans="1:2" ht="15" customHeight="1">
      <c r="A1263" s="228">
        <f t="shared" si="24"/>
        <v>46674</v>
      </c>
      <c r="B1263" s="233">
        <f t="shared" si="23"/>
        <v>37115</v>
      </c>
    </row>
    <row r="1264" spans="1:2" ht="15" customHeight="1">
      <c r="A1264" s="228">
        <f t="shared" si="24"/>
        <v>46675</v>
      </c>
      <c r="B1264" s="233">
        <f t="shared" si="23"/>
        <v>37115</v>
      </c>
    </row>
    <row r="1265" spans="1:2" ht="15" customHeight="1">
      <c r="A1265" s="228">
        <f t="shared" si="24"/>
        <v>46676</v>
      </c>
      <c r="B1265" s="233">
        <f t="shared" si="23"/>
        <v>37115</v>
      </c>
    </row>
    <row r="1266" spans="1:2" ht="15" customHeight="1">
      <c r="A1266" s="228">
        <f t="shared" si="24"/>
        <v>46677</v>
      </c>
      <c r="B1266" s="233">
        <f t="shared" si="23"/>
        <v>37115</v>
      </c>
    </row>
    <row r="1267" spans="1:2" ht="15" customHeight="1">
      <c r="A1267" s="228">
        <f t="shared" si="24"/>
        <v>46678</v>
      </c>
      <c r="B1267" s="233">
        <f t="shared" si="23"/>
        <v>37115</v>
      </c>
    </row>
    <row r="1268" spans="1:2" ht="15" customHeight="1">
      <c r="A1268" s="228">
        <f t="shared" si="24"/>
        <v>46679</v>
      </c>
      <c r="B1268" s="233">
        <f t="shared" si="23"/>
        <v>37115</v>
      </c>
    </row>
    <row r="1269" spans="1:2" ht="15" customHeight="1">
      <c r="A1269" s="228">
        <f t="shared" si="24"/>
        <v>46680</v>
      </c>
      <c r="B1269" s="233">
        <f t="shared" si="23"/>
        <v>37115</v>
      </c>
    </row>
    <row r="1270" spans="1:2" ht="15" customHeight="1">
      <c r="A1270" s="228">
        <f t="shared" si="24"/>
        <v>46681</v>
      </c>
      <c r="B1270" s="233">
        <f t="shared" si="23"/>
        <v>37115</v>
      </c>
    </row>
    <row r="1271" spans="1:2" ht="15" customHeight="1">
      <c r="A1271" s="228">
        <f t="shared" si="24"/>
        <v>46682</v>
      </c>
      <c r="B1271" s="233">
        <f t="shared" ref="B1271:B1334" si="25">+B1270</f>
        <v>37115</v>
      </c>
    </row>
    <row r="1272" spans="1:2" ht="15" customHeight="1">
      <c r="A1272" s="228">
        <f t="shared" si="24"/>
        <v>46683</v>
      </c>
      <c r="B1272" s="233">
        <f t="shared" si="25"/>
        <v>37115</v>
      </c>
    </row>
    <row r="1273" spans="1:2" ht="15" customHeight="1">
      <c r="A1273" s="228">
        <f t="shared" si="24"/>
        <v>46684</v>
      </c>
      <c r="B1273" s="233">
        <f t="shared" si="25"/>
        <v>37115</v>
      </c>
    </row>
    <row r="1274" spans="1:2" ht="15" customHeight="1">
      <c r="A1274" s="228">
        <f t="shared" si="24"/>
        <v>46685</v>
      </c>
      <c r="B1274" s="233">
        <f t="shared" si="25"/>
        <v>37115</v>
      </c>
    </row>
    <row r="1275" spans="1:2" ht="15" customHeight="1">
      <c r="A1275" s="228">
        <f t="shared" si="24"/>
        <v>46686</v>
      </c>
      <c r="B1275" s="233">
        <f t="shared" si="25"/>
        <v>37115</v>
      </c>
    </row>
    <row r="1276" spans="1:2" ht="15" customHeight="1">
      <c r="A1276" s="228">
        <f t="shared" si="24"/>
        <v>46687</v>
      </c>
      <c r="B1276" s="233">
        <f t="shared" si="25"/>
        <v>37115</v>
      </c>
    </row>
    <row r="1277" spans="1:2" ht="15" customHeight="1">
      <c r="A1277" s="228">
        <f t="shared" ref="A1277:A1340" si="26">+A1276+1</f>
        <v>46688</v>
      </c>
      <c r="B1277" s="233">
        <f t="shared" si="25"/>
        <v>37115</v>
      </c>
    </row>
    <row r="1278" spans="1:2" ht="15" customHeight="1">
      <c r="A1278" s="228">
        <f t="shared" si="26"/>
        <v>46689</v>
      </c>
      <c r="B1278" s="233">
        <f t="shared" si="25"/>
        <v>37115</v>
      </c>
    </row>
    <row r="1279" spans="1:2" ht="15" customHeight="1">
      <c r="A1279" s="228">
        <f t="shared" si="26"/>
        <v>46690</v>
      </c>
      <c r="B1279" s="233">
        <f t="shared" si="25"/>
        <v>37115</v>
      </c>
    </row>
    <row r="1280" spans="1:2" ht="15" customHeight="1">
      <c r="A1280" s="228">
        <f t="shared" si="26"/>
        <v>46691</v>
      </c>
      <c r="B1280" s="233">
        <f t="shared" si="25"/>
        <v>37115</v>
      </c>
    </row>
    <row r="1281" spans="1:2" ht="15" customHeight="1">
      <c r="A1281" s="228">
        <f t="shared" si="26"/>
        <v>46692</v>
      </c>
      <c r="B1281" s="233">
        <f t="shared" si="25"/>
        <v>37115</v>
      </c>
    </row>
    <row r="1282" spans="1:2" ht="15" customHeight="1">
      <c r="A1282" s="228">
        <f t="shared" si="26"/>
        <v>46693</v>
      </c>
      <c r="B1282" s="233">
        <f t="shared" si="25"/>
        <v>37115</v>
      </c>
    </row>
    <row r="1283" spans="1:2" ht="15" customHeight="1">
      <c r="A1283" s="228">
        <f t="shared" si="26"/>
        <v>46694</v>
      </c>
      <c r="B1283" s="233">
        <f t="shared" si="25"/>
        <v>37115</v>
      </c>
    </row>
    <row r="1284" spans="1:2" ht="15" customHeight="1">
      <c r="A1284" s="228">
        <f t="shared" si="26"/>
        <v>46695</v>
      </c>
      <c r="B1284" s="233">
        <f t="shared" si="25"/>
        <v>37115</v>
      </c>
    </row>
    <row r="1285" spans="1:2" ht="15" customHeight="1">
      <c r="A1285" s="228">
        <f t="shared" si="26"/>
        <v>46696</v>
      </c>
      <c r="B1285" s="233">
        <f t="shared" si="25"/>
        <v>37115</v>
      </c>
    </row>
    <row r="1286" spans="1:2" ht="15" customHeight="1">
      <c r="A1286" s="228">
        <f t="shared" si="26"/>
        <v>46697</v>
      </c>
      <c r="B1286" s="233">
        <f t="shared" si="25"/>
        <v>37115</v>
      </c>
    </row>
    <row r="1287" spans="1:2" ht="15" customHeight="1">
      <c r="A1287" s="228">
        <f t="shared" si="26"/>
        <v>46698</v>
      </c>
      <c r="B1287" s="233">
        <f t="shared" si="25"/>
        <v>37115</v>
      </c>
    </row>
    <row r="1288" spans="1:2" ht="15" customHeight="1">
      <c r="A1288" s="228">
        <f t="shared" si="26"/>
        <v>46699</v>
      </c>
      <c r="B1288" s="233">
        <f t="shared" si="25"/>
        <v>37115</v>
      </c>
    </row>
    <row r="1289" spans="1:2" ht="15" customHeight="1">
      <c r="A1289" s="228">
        <f t="shared" si="26"/>
        <v>46700</v>
      </c>
      <c r="B1289" s="233">
        <f t="shared" si="25"/>
        <v>37115</v>
      </c>
    </row>
    <row r="1290" spans="1:2" ht="15" customHeight="1">
      <c r="A1290" s="228">
        <f t="shared" si="26"/>
        <v>46701</v>
      </c>
      <c r="B1290" s="233">
        <f t="shared" si="25"/>
        <v>37115</v>
      </c>
    </row>
    <row r="1291" spans="1:2" ht="15" customHeight="1">
      <c r="A1291" s="228">
        <f t="shared" si="26"/>
        <v>46702</v>
      </c>
      <c r="B1291" s="233">
        <f t="shared" si="25"/>
        <v>37115</v>
      </c>
    </row>
    <row r="1292" spans="1:2" ht="15" customHeight="1">
      <c r="A1292" s="228">
        <f t="shared" si="26"/>
        <v>46703</v>
      </c>
      <c r="B1292" s="233">
        <f t="shared" si="25"/>
        <v>37115</v>
      </c>
    </row>
    <row r="1293" spans="1:2" ht="15" customHeight="1">
      <c r="A1293" s="228">
        <f t="shared" si="26"/>
        <v>46704</v>
      </c>
      <c r="B1293" s="233">
        <f t="shared" si="25"/>
        <v>37115</v>
      </c>
    </row>
    <row r="1294" spans="1:2" ht="15" customHeight="1">
      <c r="A1294" s="228">
        <f t="shared" si="26"/>
        <v>46705</v>
      </c>
      <c r="B1294" s="233">
        <f t="shared" si="25"/>
        <v>37115</v>
      </c>
    </row>
    <row r="1295" spans="1:2" ht="15" customHeight="1">
      <c r="A1295" s="228">
        <f t="shared" si="26"/>
        <v>46706</v>
      </c>
      <c r="B1295" s="233">
        <f t="shared" si="25"/>
        <v>37115</v>
      </c>
    </row>
    <row r="1296" spans="1:2" ht="15" customHeight="1">
      <c r="A1296" s="228">
        <f t="shared" si="26"/>
        <v>46707</v>
      </c>
      <c r="B1296" s="233">
        <f t="shared" si="25"/>
        <v>37115</v>
      </c>
    </row>
    <row r="1297" spans="1:2" ht="15" customHeight="1">
      <c r="A1297" s="228">
        <f t="shared" si="26"/>
        <v>46708</v>
      </c>
      <c r="B1297" s="233">
        <f t="shared" si="25"/>
        <v>37115</v>
      </c>
    </row>
    <row r="1298" spans="1:2" ht="15" customHeight="1">
      <c r="A1298" s="228">
        <f t="shared" si="26"/>
        <v>46709</v>
      </c>
      <c r="B1298" s="233">
        <f t="shared" si="25"/>
        <v>37115</v>
      </c>
    </row>
    <row r="1299" spans="1:2" ht="15" customHeight="1">
      <c r="A1299" s="228">
        <f t="shared" si="26"/>
        <v>46710</v>
      </c>
      <c r="B1299" s="233">
        <f t="shared" si="25"/>
        <v>37115</v>
      </c>
    </row>
    <row r="1300" spans="1:2" ht="15" customHeight="1">
      <c r="A1300" s="228">
        <f t="shared" si="26"/>
        <v>46711</v>
      </c>
      <c r="B1300" s="233">
        <f t="shared" si="25"/>
        <v>37115</v>
      </c>
    </row>
    <row r="1301" spans="1:2" ht="15" customHeight="1">
      <c r="A1301" s="228">
        <f t="shared" si="26"/>
        <v>46712</v>
      </c>
      <c r="B1301" s="233">
        <f t="shared" si="25"/>
        <v>37115</v>
      </c>
    </row>
    <row r="1302" spans="1:2" ht="15" customHeight="1">
      <c r="A1302" s="228">
        <f t="shared" si="26"/>
        <v>46713</v>
      </c>
      <c r="B1302" s="233">
        <f t="shared" si="25"/>
        <v>37115</v>
      </c>
    </row>
    <row r="1303" spans="1:2" ht="15" customHeight="1">
      <c r="A1303" s="228">
        <f t="shared" si="26"/>
        <v>46714</v>
      </c>
      <c r="B1303" s="233">
        <f t="shared" si="25"/>
        <v>37115</v>
      </c>
    </row>
    <row r="1304" spans="1:2" ht="15" customHeight="1">
      <c r="A1304" s="228">
        <f t="shared" si="26"/>
        <v>46715</v>
      </c>
      <c r="B1304" s="233">
        <f t="shared" si="25"/>
        <v>37115</v>
      </c>
    </row>
    <row r="1305" spans="1:2" ht="15" customHeight="1">
      <c r="A1305" s="228">
        <f t="shared" si="26"/>
        <v>46716</v>
      </c>
      <c r="B1305" s="233">
        <f t="shared" si="25"/>
        <v>37115</v>
      </c>
    </row>
    <row r="1306" spans="1:2" ht="15" customHeight="1">
      <c r="A1306" s="228">
        <f t="shared" si="26"/>
        <v>46717</v>
      </c>
      <c r="B1306" s="233">
        <f t="shared" si="25"/>
        <v>37115</v>
      </c>
    </row>
    <row r="1307" spans="1:2" ht="15" customHeight="1">
      <c r="A1307" s="228">
        <f t="shared" si="26"/>
        <v>46718</v>
      </c>
      <c r="B1307" s="233">
        <f t="shared" si="25"/>
        <v>37115</v>
      </c>
    </row>
    <row r="1308" spans="1:2" ht="15" customHeight="1">
      <c r="A1308" s="228">
        <f t="shared" si="26"/>
        <v>46719</v>
      </c>
      <c r="B1308" s="233">
        <f t="shared" si="25"/>
        <v>37115</v>
      </c>
    </row>
    <row r="1309" spans="1:2" ht="15" customHeight="1">
      <c r="A1309" s="228">
        <f t="shared" si="26"/>
        <v>46720</v>
      </c>
      <c r="B1309" s="233">
        <f t="shared" si="25"/>
        <v>37115</v>
      </c>
    </row>
    <row r="1310" spans="1:2" ht="15" customHeight="1">
      <c r="A1310" s="228">
        <f t="shared" si="26"/>
        <v>46721</v>
      </c>
      <c r="B1310" s="233">
        <f t="shared" si="25"/>
        <v>37115</v>
      </c>
    </row>
    <row r="1311" spans="1:2" ht="15" customHeight="1">
      <c r="A1311" s="228">
        <f t="shared" si="26"/>
        <v>46722</v>
      </c>
      <c r="B1311" s="233">
        <f t="shared" si="25"/>
        <v>37115</v>
      </c>
    </row>
    <row r="1312" spans="1:2" ht="15" customHeight="1">
      <c r="A1312" s="228">
        <f t="shared" si="26"/>
        <v>46723</v>
      </c>
      <c r="B1312" s="233">
        <f t="shared" si="25"/>
        <v>37115</v>
      </c>
    </row>
    <row r="1313" spans="1:2" ht="15" customHeight="1">
      <c r="A1313" s="228">
        <f t="shared" si="26"/>
        <v>46724</v>
      </c>
      <c r="B1313" s="233">
        <f t="shared" si="25"/>
        <v>37115</v>
      </c>
    </row>
    <row r="1314" spans="1:2" ht="15" customHeight="1">
      <c r="A1314" s="228">
        <f t="shared" si="26"/>
        <v>46725</v>
      </c>
      <c r="B1314" s="233">
        <f t="shared" si="25"/>
        <v>37115</v>
      </c>
    </row>
    <row r="1315" spans="1:2" ht="15" customHeight="1">
      <c r="A1315" s="228">
        <f t="shared" si="26"/>
        <v>46726</v>
      </c>
      <c r="B1315" s="233">
        <f t="shared" si="25"/>
        <v>37115</v>
      </c>
    </row>
    <row r="1316" spans="1:2" ht="15" customHeight="1">
      <c r="A1316" s="228">
        <f t="shared" si="26"/>
        <v>46727</v>
      </c>
      <c r="B1316" s="233">
        <f t="shared" si="25"/>
        <v>37115</v>
      </c>
    </row>
    <row r="1317" spans="1:2" ht="15" customHeight="1">
      <c r="A1317" s="228">
        <f t="shared" si="26"/>
        <v>46728</v>
      </c>
      <c r="B1317" s="233">
        <f t="shared" si="25"/>
        <v>37115</v>
      </c>
    </row>
    <row r="1318" spans="1:2" ht="15" customHeight="1">
      <c r="A1318" s="228">
        <f t="shared" si="26"/>
        <v>46729</v>
      </c>
      <c r="B1318" s="233">
        <f t="shared" si="25"/>
        <v>37115</v>
      </c>
    </row>
    <row r="1319" spans="1:2" ht="15" customHeight="1">
      <c r="A1319" s="228">
        <f t="shared" si="26"/>
        <v>46730</v>
      </c>
      <c r="B1319" s="233">
        <f t="shared" si="25"/>
        <v>37115</v>
      </c>
    </row>
    <row r="1320" spans="1:2" ht="15" customHeight="1">
      <c r="A1320" s="228">
        <f t="shared" si="26"/>
        <v>46731</v>
      </c>
      <c r="B1320" s="233">
        <f t="shared" si="25"/>
        <v>37115</v>
      </c>
    </row>
    <row r="1321" spans="1:2" ht="15" customHeight="1">
      <c r="A1321" s="228">
        <f t="shared" si="26"/>
        <v>46732</v>
      </c>
      <c r="B1321" s="233">
        <f t="shared" si="25"/>
        <v>37115</v>
      </c>
    </row>
    <row r="1322" spans="1:2" ht="15" customHeight="1">
      <c r="A1322" s="228">
        <f t="shared" si="26"/>
        <v>46733</v>
      </c>
      <c r="B1322" s="233">
        <f t="shared" si="25"/>
        <v>37115</v>
      </c>
    </row>
    <row r="1323" spans="1:2" ht="15" customHeight="1">
      <c r="A1323" s="228">
        <f t="shared" si="26"/>
        <v>46734</v>
      </c>
      <c r="B1323" s="233">
        <f t="shared" si="25"/>
        <v>37115</v>
      </c>
    </row>
    <row r="1324" spans="1:2" ht="15" customHeight="1">
      <c r="A1324" s="228">
        <f t="shared" si="26"/>
        <v>46735</v>
      </c>
      <c r="B1324" s="233">
        <f t="shared" si="25"/>
        <v>37115</v>
      </c>
    </row>
    <row r="1325" spans="1:2" ht="15" customHeight="1">
      <c r="A1325" s="228">
        <f t="shared" si="26"/>
        <v>46736</v>
      </c>
      <c r="B1325" s="233">
        <f t="shared" si="25"/>
        <v>37115</v>
      </c>
    </row>
    <row r="1326" spans="1:2" ht="15" customHeight="1">
      <c r="A1326" s="228">
        <f t="shared" si="26"/>
        <v>46737</v>
      </c>
      <c r="B1326" s="233">
        <f t="shared" si="25"/>
        <v>37115</v>
      </c>
    </row>
    <row r="1327" spans="1:2" ht="15" customHeight="1">
      <c r="A1327" s="228">
        <f t="shared" si="26"/>
        <v>46738</v>
      </c>
      <c r="B1327" s="233">
        <f t="shared" si="25"/>
        <v>37115</v>
      </c>
    </row>
    <row r="1328" spans="1:2" ht="15" customHeight="1">
      <c r="A1328" s="228">
        <f t="shared" si="26"/>
        <v>46739</v>
      </c>
      <c r="B1328" s="233">
        <f t="shared" si="25"/>
        <v>37115</v>
      </c>
    </row>
    <row r="1329" spans="1:2" ht="15" customHeight="1">
      <c r="A1329" s="228">
        <f t="shared" si="26"/>
        <v>46740</v>
      </c>
      <c r="B1329" s="233">
        <f t="shared" si="25"/>
        <v>37115</v>
      </c>
    </row>
    <row r="1330" spans="1:2" ht="15" customHeight="1">
      <c r="A1330" s="228">
        <f t="shared" si="26"/>
        <v>46741</v>
      </c>
      <c r="B1330" s="233">
        <f t="shared" si="25"/>
        <v>37115</v>
      </c>
    </row>
    <row r="1331" spans="1:2" ht="15" customHeight="1">
      <c r="A1331" s="228">
        <f t="shared" si="26"/>
        <v>46742</v>
      </c>
      <c r="B1331" s="233">
        <f t="shared" si="25"/>
        <v>37115</v>
      </c>
    </row>
    <row r="1332" spans="1:2" ht="15" customHeight="1">
      <c r="A1332" s="228">
        <f t="shared" si="26"/>
        <v>46743</v>
      </c>
      <c r="B1332" s="233">
        <f t="shared" si="25"/>
        <v>37115</v>
      </c>
    </row>
    <row r="1333" spans="1:2" ht="15" customHeight="1">
      <c r="A1333" s="228">
        <f t="shared" si="26"/>
        <v>46744</v>
      </c>
      <c r="B1333" s="233">
        <f t="shared" si="25"/>
        <v>37115</v>
      </c>
    </row>
    <row r="1334" spans="1:2" ht="15" customHeight="1">
      <c r="A1334" s="228">
        <f t="shared" si="26"/>
        <v>46745</v>
      </c>
      <c r="B1334" s="233">
        <f t="shared" si="25"/>
        <v>37115</v>
      </c>
    </row>
    <row r="1335" spans="1:2" ht="15" customHeight="1">
      <c r="A1335" s="228">
        <f t="shared" si="26"/>
        <v>46746</v>
      </c>
      <c r="B1335" s="233">
        <f t="shared" ref="B1335:B1398" si="27">+B1334</f>
        <v>37115</v>
      </c>
    </row>
    <row r="1336" spans="1:2" ht="15" customHeight="1">
      <c r="A1336" s="228">
        <f t="shared" si="26"/>
        <v>46747</v>
      </c>
      <c r="B1336" s="233">
        <f t="shared" si="27"/>
        <v>37115</v>
      </c>
    </row>
    <row r="1337" spans="1:2" ht="15" customHeight="1">
      <c r="A1337" s="228">
        <f t="shared" si="26"/>
        <v>46748</v>
      </c>
      <c r="B1337" s="233">
        <f t="shared" si="27"/>
        <v>37115</v>
      </c>
    </row>
    <row r="1338" spans="1:2" ht="15" customHeight="1">
      <c r="A1338" s="228">
        <f t="shared" si="26"/>
        <v>46749</v>
      </c>
      <c r="B1338" s="233">
        <f t="shared" si="27"/>
        <v>37115</v>
      </c>
    </row>
    <row r="1339" spans="1:2" ht="15" customHeight="1">
      <c r="A1339" s="228">
        <f t="shared" si="26"/>
        <v>46750</v>
      </c>
      <c r="B1339" s="233">
        <f t="shared" si="27"/>
        <v>37115</v>
      </c>
    </row>
    <row r="1340" spans="1:2" ht="15" customHeight="1">
      <c r="A1340" s="228">
        <f t="shared" si="26"/>
        <v>46751</v>
      </c>
      <c r="B1340" s="233">
        <f t="shared" si="27"/>
        <v>37115</v>
      </c>
    </row>
    <row r="1341" spans="1:2" ht="15" customHeight="1">
      <c r="A1341" s="228">
        <f t="shared" ref="A1341:A1404" si="28">+A1340+1</f>
        <v>46752</v>
      </c>
      <c r="B1341" s="233">
        <f t="shared" si="27"/>
        <v>37115</v>
      </c>
    </row>
    <row r="1342" spans="1:2" ht="15" customHeight="1">
      <c r="A1342" s="228">
        <f t="shared" si="28"/>
        <v>46753</v>
      </c>
      <c r="B1342" s="233">
        <f t="shared" si="27"/>
        <v>37115</v>
      </c>
    </row>
    <row r="1343" spans="1:2" ht="15" customHeight="1">
      <c r="A1343" s="228">
        <f t="shared" si="28"/>
        <v>46754</v>
      </c>
      <c r="B1343" s="233">
        <f t="shared" si="27"/>
        <v>37115</v>
      </c>
    </row>
    <row r="1344" spans="1:2" ht="15" customHeight="1">
      <c r="A1344" s="228">
        <f t="shared" si="28"/>
        <v>46755</v>
      </c>
      <c r="B1344" s="233">
        <f t="shared" si="27"/>
        <v>37115</v>
      </c>
    </row>
    <row r="1345" spans="1:2" ht="15" customHeight="1">
      <c r="A1345" s="228">
        <f t="shared" si="28"/>
        <v>46756</v>
      </c>
      <c r="B1345" s="233">
        <f t="shared" si="27"/>
        <v>37115</v>
      </c>
    </row>
    <row r="1346" spans="1:2" ht="15" customHeight="1">
      <c r="A1346" s="228">
        <f t="shared" si="28"/>
        <v>46757</v>
      </c>
      <c r="B1346" s="233">
        <f t="shared" si="27"/>
        <v>37115</v>
      </c>
    </row>
    <row r="1347" spans="1:2" ht="15" customHeight="1">
      <c r="A1347" s="228">
        <f t="shared" si="28"/>
        <v>46758</v>
      </c>
      <c r="B1347" s="233">
        <f t="shared" si="27"/>
        <v>37115</v>
      </c>
    </row>
    <row r="1348" spans="1:2" ht="15" customHeight="1">
      <c r="A1348" s="228">
        <f t="shared" si="28"/>
        <v>46759</v>
      </c>
      <c r="B1348" s="233">
        <f t="shared" si="27"/>
        <v>37115</v>
      </c>
    </row>
    <row r="1349" spans="1:2" ht="15" customHeight="1">
      <c r="A1349" s="228">
        <f t="shared" si="28"/>
        <v>46760</v>
      </c>
      <c r="B1349" s="233">
        <f t="shared" si="27"/>
        <v>37115</v>
      </c>
    </row>
    <row r="1350" spans="1:2" ht="15" customHeight="1">
      <c r="A1350" s="228">
        <f t="shared" si="28"/>
        <v>46761</v>
      </c>
      <c r="B1350" s="233">
        <f t="shared" si="27"/>
        <v>37115</v>
      </c>
    </row>
    <row r="1351" spans="1:2" ht="15" customHeight="1">
      <c r="A1351" s="228">
        <f t="shared" si="28"/>
        <v>46762</v>
      </c>
      <c r="B1351" s="233">
        <f t="shared" si="27"/>
        <v>37115</v>
      </c>
    </row>
    <row r="1352" spans="1:2" ht="15" customHeight="1">
      <c r="A1352" s="228">
        <f t="shared" si="28"/>
        <v>46763</v>
      </c>
      <c r="B1352" s="233">
        <f t="shared" si="27"/>
        <v>37115</v>
      </c>
    </row>
    <row r="1353" spans="1:2" ht="15" customHeight="1">
      <c r="A1353" s="228">
        <f t="shared" si="28"/>
        <v>46764</v>
      </c>
      <c r="B1353" s="233">
        <f t="shared" si="27"/>
        <v>37115</v>
      </c>
    </row>
    <row r="1354" spans="1:2" ht="15" customHeight="1">
      <c r="A1354" s="228">
        <f t="shared" si="28"/>
        <v>46765</v>
      </c>
      <c r="B1354" s="233">
        <f t="shared" si="27"/>
        <v>37115</v>
      </c>
    </row>
    <row r="1355" spans="1:2" ht="15" customHeight="1">
      <c r="A1355" s="228">
        <f t="shared" si="28"/>
        <v>46766</v>
      </c>
      <c r="B1355" s="233">
        <f t="shared" si="27"/>
        <v>37115</v>
      </c>
    </row>
    <row r="1356" spans="1:2" ht="15" customHeight="1">
      <c r="A1356" s="228">
        <f t="shared" si="28"/>
        <v>46767</v>
      </c>
      <c r="B1356" s="233">
        <f t="shared" si="27"/>
        <v>37115</v>
      </c>
    </row>
    <row r="1357" spans="1:2" ht="15" customHeight="1">
      <c r="A1357" s="228">
        <f t="shared" si="28"/>
        <v>46768</v>
      </c>
      <c r="B1357" s="233">
        <f t="shared" si="27"/>
        <v>37115</v>
      </c>
    </row>
    <row r="1358" spans="1:2" ht="15" customHeight="1">
      <c r="A1358" s="228">
        <f t="shared" si="28"/>
        <v>46769</v>
      </c>
      <c r="B1358" s="233">
        <f t="shared" si="27"/>
        <v>37115</v>
      </c>
    </row>
    <row r="1359" spans="1:2" ht="15" customHeight="1">
      <c r="A1359" s="228">
        <f t="shared" si="28"/>
        <v>46770</v>
      </c>
      <c r="B1359" s="233">
        <f t="shared" si="27"/>
        <v>37115</v>
      </c>
    </row>
    <row r="1360" spans="1:2" ht="15" customHeight="1">
      <c r="A1360" s="228">
        <f t="shared" si="28"/>
        <v>46771</v>
      </c>
      <c r="B1360" s="233">
        <f t="shared" si="27"/>
        <v>37115</v>
      </c>
    </row>
    <row r="1361" spans="1:2" ht="15" customHeight="1">
      <c r="A1361" s="228">
        <f t="shared" si="28"/>
        <v>46772</v>
      </c>
      <c r="B1361" s="233">
        <f t="shared" si="27"/>
        <v>37115</v>
      </c>
    </row>
    <row r="1362" spans="1:2" ht="15" customHeight="1">
      <c r="A1362" s="228">
        <f t="shared" si="28"/>
        <v>46773</v>
      </c>
      <c r="B1362" s="233">
        <f t="shared" si="27"/>
        <v>37115</v>
      </c>
    </row>
    <row r="1363" spans="1:2" ht="15" customHeight="1">
      <c r="A1363" s="228">
        <f t="shared" si="28"/>
        <v>46774</v>
      </c>
      <c r="B1363" s="233">
        <f t="shared" si="27"/>
        <v>37115</v>
      </c>
    </row>
    <row r="1364" spans="1:2" ht="15" customHeight="1">
      <c r="A1364" s="228">
        <f t="shared" si="28"/>
        <v>46775</v>
      </c>
      <c r="B1364" s="233">
        <f t="shared" si="27"/>
        <v>37115</v>
      </c>
    </row>
    <row r="1365" spans="1:2" ht="15" customHeight="1">
      <c r="A1365" s="228">
        <f t="shared" si="28"/>
        <v>46776</v>
      </c>
      <c r="B1365" s="233">
        <f t="shared" si="27"/>
        <v>37115</v>
      </c>
    </row>
    <row r="1366" spans="1:2" ht="15" customHeight="1">
      <c r="A1366" s="228">
        <f t="shared" si="28"/>
        <v>46777</v>
      </c>
      <c r="B1366" s="233">
        <f t="shared" si="27"/>
        <v>37115</v>
      </c>
    </row>
    <row r="1367" spans="1:2" ht="15" customHeight="1">
      <c r="A1367" s="228">
        <f t="shared" si="28"/>
        <v>46778</v>
      </c>
      <c r="B1367" s="233">
        <f t="shared" si="27"/>
        <v>37115</v>
      </c>
    </row>
    <row r="1368" spans="1:2" ht="15" customHeight="1">
      <c r="A1368" s="228">
        <f t="shared" si="28"/>
        <v>46779</v>
      </c>
      <c r="B1368" s="233">
        <f t="shared" si="27"/>
        <v>37115</v>
      </c>
    </row>
    <row r="1369" spans="1:2" ht="15" customHeight="1">
      <c r="A1369" s="228">
        <f t="shared" si="28"/>
        <v>46780</v>
      </c>
      <c r="B1369" s="233">
        <f t="shared" si="27"/>
        <v>37115</v>
      </c>
    </row>
    <row r="1370" spans="1:2" ht="15" customHeight="1">
      <c r="A1370" s="228">
        <f t="shared" si="28"/>
        <v>46781</v>
      </c>
      <c r="B1370" s="233">
        <f t="shared" si="27"/>
        <v>37115</v>
      </c>
    </row>
    <row r="1371" spans="1:2" ht="15" customHeight="1">
      <c r="A1371" s="228">
        <f t="shared" si="28"/>
        <v>46782</v>
      </c>
      <c r="B1371" s="233">
        <f t="shared" si="27"/>
        <v>37115</v>
      </c>
    </row>
    <row r="1372" spans="1:2" ht="15" customHeight="1">
      <c r="A1372" s="228">
        <f t="shared" si="28"/>
        <v>46783</v>
      </c>
      <c r="B1372" s="233">
        <f t="shared" si="27"/>
        <v>37115</v>
      </c>
    </row>
    <row r="1373" spans="1:2" ht="15" customHeight="1">
      <c r="A1373" s="228">
        <f t="shared" si="28"/>
        <v>46784</v>
      </c>
      <c r="B1373" s="233">
        <f t="shared" si="27"/>
        <v>37115</v>
      </c>
    </row>
    <row r="1374" spans="1:2" ht="15" customHeight="1">
      <c r="A1374" s="228">
        <f t="shared" si="28"/>
        <v>46785</v>
      </c>
      <c r="B1374" s="233">
        <f t="shared" si="27"/>
        <v>37115</v>
      </c>
    </row>
    <row r="1375" spans="1:2" ht="15" customHeight="1">
      <c r="A1375" s="228">
        <f t="shared" si="28"/>
        <v>46786</v>
      </c>
      <c r="B1375" s="233">
        <f t="shared" si="27"/>
        <v>37115</v>
      </c>
    </row>
    <row r="1376" spans="1:2" ht="15" customHeight="1">
      <c r="A1376" s="228">
        <f t="shared" si="28"/>
        <v>46787</v>
      </c>
      <c r="B1376" s="233">
        <f t="shared" si="27"/>
        <v>37115</v>
      </c>
    </row>
    <row r="1377" spans="1:2" ht="15" customHeight="1">
      <c r="A1377" s="228">
        <f t="shared" si="28"/>
        <v>46788</v>
      </c>
      <c r="B1377" s="233">
        <f t="shared" si="27"/>
        <v>37115</v>
      </c>
    </row>
    <row r="1378" spans="1:2" ht="15" customHeight="1">
      <c r="A1378" s="228">
        <f t="shared" si="28"/>
        <v>46789</v>
      </c>
      <c r="B1378" s="233">
        <f t="shared" si="27"/>
        <v>37115</v>
      </c>
    </row>
    <row r="1379" spans="1:2" ht="15" customHeight="1">
      <c r="A1379" s="228">
        <f t="shared" si="28"/>
        <v>46790</v>
      </c>
      <c r="B1379" s="233">
        <f t="shared" si="27"/>
        <v>37115</v>
      </c>
    </row>
    <row r="1380" spans="1:2" ht="15" customHeight="1">
      <c r="A1380" s="228">
        <f t="shared" si="28"/>
        <v>46791</v>
      </c>
      <c r="B1380" s="233">
        <f t="shared" si="27"/>
        <v>37115</v>
      </c>
    </row>
    <row r="1381" spans="1:2" ht="15" customHeight="1">
      <c r="A1381" s="228">
        <f t="shared" si="28"/>
        <v>46792</v>
      </c>
      <c r="B1381" s="233">
        <f t="shared" si="27"/>
        <v>37115</v>
      </c>
    </row>
    <row r="1382" spans="1:2" ht="15" customHeight="1">
      <c r="A1382" s="228">
        <f t="shared" si="28"/>
        <v>46793</v>
      </c>
      <c r="B1382" s="233">
        <f t="shared" si="27"/>
        <v>37115</v>
      </c>
    </row>
    <row r="1383" spans="1:2" ht="15" customHeight="1">
      <c r="A1383" s="228">
        <f t="shared" si="28"/>
        <v>46794</v>
      </c>
      <c r="B1383" s="233">
        <f t="shared" si="27"/>
        <v>37115</v>
      </c>
    </row>
    <row r="1384" spans="1:2" ht="15" customHeight="1">
      <c r="A1384" s="228">
        <f t="shared" si="28"/>
        <v>46795</v>
      </c>
      <c r="B1384" s="233">
        <f t="shared" si="27"/>
        <v>37115</v>
      </c>
    </row>
    <row r="1385" spans="1:2" ht="15" customHeight="1">
      <c r="A1385" s="228">
        <f t="shared" si="28"/>
        <v>46796</v>
      </c>
      <c r="B1385" s="233">
        <f t="shared" si="27"/>
        <v>37115</v>
      </c>
    </row>
    <row r="1386" spans="1:2" ht="15" customHeight="1">
      <c r="A1386" s="228">
        <f t="shared" si="28"/>
        <v>46797</v>
      </c>
      <c r="B1386" s="233">
        <f t="shared" si="27"/>
        <v>37115</v>
      </c>
    </row>
    <row r="1387" spans="1:2" ht="15" customHeight="1">
      <c r="A1387" s="228">
        <f t="shared" si="28"/>
        <v>46798</v>
      </c>
      <c r="B1387" s="233">
        <f t="shared" si="27"/>
        <v>37115</v>
      </c>
    </row>
    <row r="1388" spans="1:2" ht="15" customHeight="1">
      <c r="A1388" s="228">
        <f t="shared" si="28"/>
        <v>46799</v>
      </c>
      <c r="B1388" s="233">
        <f t="shared" si="27"/>
        <v>37115</v>
      </c>
    </row>
    <row r="1389" spans="1:2" ht="15" customHeight="1">
      <c r="A1389" s="228">
        <f t="shared" si="28"/>
        <v>46800</v>
      </c>
      <c r="B1389" s="233">
        <f t="shared" si="27"/>
        <v>37115</v>
      </c>
    </row>
    <row r="1390" spans="1:2" ht="15" customHeight="1">
      <c r="A1390" s="228">
        <f t="shared" si="28"/>
        <v>46801</v>
      </c>
      <c r="B1390" s="233">
        <f t="shared" si="27"/>
        <v>37115</v>
      </c>
    </row>
    <row r="1391" spans="1:2" ht="15" customHeight="1">
      <c r="A1391" s="228">
        <f t="shared" si="28"/>
        <v>46802</v>
      </c>
      <c r="B1391" s="233">
        <f t="shared" si="27"/>
        <v>37115</v>
      </c>
    </row>
    <row r="1392" spans="1:2" ht="15" customHeight="1">
      <c r="A1392" s="228">
        <f t="shared" si="28"/>
        <v>46803</v>
      </c>
      <c r="B1392" s="233">
        <f t="shared" si="27"/>
        <v>37115</v>
      </c>
    </row>
    <row r="1393" spans="1:2" ht="15" customHeight="1">
      <c r="A1393" s="228">
        <f t="shared" si="28"/>
        <v>46804</v>
      </c>
      <c r="B1393" s="233">
        <f t="shared" si="27"/>
        <v>37115</v>
      </c>
    </row>
    <row r="1394" spans="1:2" ht="15" customHeight="1">
      <c r="A1394" s="228">
        <f t="shared" si="28"/>
        <v>46805</v>
      </c>
      <c r="B1394" s="233">
        <f t="shared" si="27"/>
        <v>37115</v>
      </c>
    </row>
    <row r="1395" spans="1:2" ht="15" customHeight="1">
      <c r="A1395" s="228">
        <f t="shared" si="28"/>
        <v>46806</v>
      </c>
      <c r="B1395" s="233">
        <f t="shared" si="27"/>
        <v>37115</v>
      </c>
    </row>
    <row r="1396" spans="1:2" ht="15" customHeight="1">
      <c r="A1396" s="228">
        <f t="shared" si="28"/>
        <v>46807</v>
      </c>
      <c r="B1396" s="233">
        <f t="shared" si="27"/>
        <v>37115</v>
      </c>
    </row>
    <row r="1397" spans="1:2" ht="15" customHeight="1">
      <c r="A1397" s="228">
        <f t="shared" si="28"/>
        <v>46808</v>
      </c>
      <c r="B1397" s="233">
        <f t="shared" si="27"/>
        <v>37115</v>
      </c>
    </row>
    <row r="1398" spans="1:2" ht="15" customHeight="1">
      <c r="A1398" s="228">
        <f t="shared" si="28"/>
        <v>46809</v>
      </c>
      <c r="B1398" s="233">
        <f t="shared" si="27"/>
        <v>37115</v>
      </c>
    </row>
    <row r="1399" spans="1:2" ht="15" customHeight="1">
      <c r="A1399" s="228">
        <f t="shared" si="28"/>
        <v>46810</v>
      </c>
      <c r="B1399" s="233">
        <f t="shared" ref="B1399:B1462" si="29">+B1398</f>
        <v>37115</v>
      </c>
    </row>
    <row r="1400" spans="1:2" ht="15" customHeight="1">
      <c r="A1400" s="228">
        <f t="shared" si="28"/>
        <v>46811</v>
      </c>
      <c r="B1400" s="233">
        <f t="shared" si="29"/>
        <v>37115</v>
      </c>
    </row>
    <row r="1401" spans="1:2" ht="15" customHeight="1">
      <c r="A1401" s="228">
        <f t="shared" si="28"/>
        <v>46812</v>
      </c>
      <c r="B1401" s="233">
        <f t="shared" si="29"/>
        <v>37115</v>
      </c>
    </row>
    <row r="1402" spans="1:2" ht="15" customHeight="1">
      <c r="A1402" s="228">
        <f t="shared" si="28"/>
        <v>46813</v>
      </c>
      <c r="B1402" s="233">
        <f t="shared" si="29"/>
        <v>37115</v>
      </c>
    </row>
    <row r="1403" spans="1:2" ht="15" customHeight="1">
      <c r="A1403" s="228">
        <f t="shared" si="28"/>
        <v>46814</v>
      </c>
      <c r="B1403" s="233">
        <f t="shared" si="29"/>
        <v>37115</v>
      </c>
    </row>
    <row r="1404" spans="1:2" ht="15" customHeight="1">
      <c r="A1404" s="228">
        <f t="shared" si="28"/>
        <v>46815</v>
      </c>
      <c r="B1404" s="233">
        <f t="shared" si="29"/>
        <v>37115</v>
      </c>
    </row>
    <row r="1405" spans="1:2" ht="15" customHeight="1">
      <c r="A1405" s="228">
        <f t="shared" ref="A1405:A1468" si="30">+A1404+1</f>
        <v>46816</v>
      </c>
      <c r="B1405" s="233">
        <f t="shared" si="29"/>
        <v>37115</v>
      </c>
    </row>
    <row r="1406" spans="1:2" ht="15" customHeight="1">
      <c r="A1406" s="228">
        <f t="shared" si="30"/>
        <v>46817</v>
      </c>
      <c r="B1406" s="233">
        <f t="shared" si="29"/>
        <v>37115</v>
      </c>
    </row>
    <row r="1407" spans="1:2" ht="15" customHeight="1">
      <c r="A1407" s="228">
        <f t="shared" si="30"/>
        <v>46818</v>
      </c>
      <c r="B1407" s="233">
        <f t="shared" si="29"/>
        <v>37115</v>
      </c>
    </row>
    <row r="1408" spans="1:2" ht="15" customHeight="1">
      <c r="A1408" s="228">
        <f t="shared" si="30"/>
        <v>46819</v>
      </c>
      <c r="B1408" s="233">
        <f t="shared" si="29"/>
        <v>37115</v>
      </c>
    </row>
    <row r="1409" spans="1:2" ht="15" customHeight="1">
      <c r="A1409" s="228">
        <f t="shared" si="30"/>
        <v>46820</v>
      </c>
      <c r="B1409" s="233">
        <f t="shared" si="29"/>
        <v>37115</v>
      </c>
    </row>
    <row r="1410" spans="1:2" ht="15" customHeight="1">
      <c r="A1410" s="228">
        <f t="shared" si="30"/>
        <v>46821</v>
      </c>
      <c r="B1410" s="233">
        <f t="shared" si="29"/>
        <v>37115</v>
      </c>
    </row>
    <row r="1411" spans="1:2" ht="15" customHeight="1">
      <c r="A1411" s="228">
        <f t="shared" si="30"/>
        <v>46822</v>
      </c>
      <c r="B1411" s="233">
        <f t="shared" si="29"/>
        <v>37115</v>
      </c>
    </row>
    <row r="1412" spans="1:2" ht="15" customHeight="1">
      <c r="A1412" s="228">
        <f t="shared" si="30"/>
        <v>46823</v>
      </c>
      <c r="B1412" s="233">
        <f t="shared" si="29"/>
        <v>37115</v>
      </c>
    </row>
    <row r="1413" spans="1:2" ht="15" customHeight="1">
      <c r="A1413" s="228">
        <f t="shared" si="30"/>
        <v>46824</v>
      </c>
      <c r="B1413" s="233">
        <f t="shared" si="29"/>
        <v>37115</v>
      </c>
    </row>
    <row r="1414" spans="1:2" ht="15" customHeight="1">
      <c r="A1414" s="228">
        <f t="shared" si="30"/>
        <v>46825</v>
      </c>
      <c r="B1414" s="233">
        <f t="shared" si="29"/>
        <v>37115</v>
      </c>
    </row>
    <row r="1415" spans="1:2" ht="15" customHeight="1">
      <c r="A1415" s="228">
        <f t="shared" si="30"/>
        <v>46826</v>
      </c>
      <c r="B1415" s="233">
        <f t="shared" si="29"/>
        <v>37115</v>
      </c>
    </row>
    <row r="1416" spans="1:2" ht="15" customHeight="1">
      <c r="A1416" s="228">
        <f t="shared" si="30"/>
        <v>46827</v>
      </c>
      <c r="B1416" s="233">
        <f t="shared" si="29"/>
        <v>37115</v>
      </c>
    </row>
    <row r="1417" spans="1:2" ht="15" customHeight="1">
      <c r="A1417" s="228">
        <f t="shared" si="30"/>
        <v>46828</v>
      </c>
      <c r="B1417" s="233">
        <f t="shared" si="29"/>
        <v>37115</v>
      </c>
    </row>
    <row r="1418" spans="1:2" ht="15" customHeight="1">
      <c r="A1418" s="228">
        <f t="shared" si="30"/>
        <v>46829</v>
      </c>
      <c r="B1418" s="233">
        <f t="shared" si="29"/>
        <v>37115</v>
      </c>
    </row>
    <row r="1419" spans="1:2" ht="15" customHeight="1">
      <c r="A1419" s="228">
        <f t="shared" si="30"/>
        <v>46830</v>
      </c>
      <c r="B1419" s="233">
        <f t="shared" si="29"/>
        <v>37115</v>
      </c>
    </row>
    <row r="1420" spans="1:2" ht="15" customHeight="1">
      <c r="A1420" s="228">
        <f t="shared" si="30"/>
        <v>46831</v>
      </c>
      <c r="B1420" s="233">
        <f t="shared" si="29"/>
        <v>37115</v>
      </c>
    </row>
    <row r="1421" spans="1:2" ht="15" customHeight="1">
      <c r="A1421" s="228">
        <f t="shared" si="30"/>
        <v>46832</v>
      </c>
      <c r="B1421" s="233">
        <f t="shared" si="29"/>
        <v>37115</v>
      </c>
    </row>
    <row r="1422" spans="1:2" ht="15" customHeight="1">
      <c r="A1422" s="228">
        <f t="shared" si="30"/>
        <v>46833</v>
      </c>
      <c r="B1422" s="233">
        <f t="shared" si="29"/>
        <v>37115</v>
      </c>
    </row>
    <row r="1423" spans="1:2" ht="15" customHeight="1">
      <c r="A1423" s="228">
        <f t="shared" si="30"/>
        <v>46834</v>
      </c>
      <c r="B1423" s="233">
        <f t="shared" si="29"/>
        <v>37115</v>
      </c>
    </row>
    <row r="1424" spans="1:2" ht="15" customHeight="1">
      <c r="A1424" s="228">
        <f t="shared" si="30"/>
        <v>46835</v>
      </c>
      <c r="B1424" s="233">
        <f t="shared" si="29"/>
        <v>37115</v>
      </c>
    </row>
    <row r="1425" spans="1:2" ht="15" customHeight="1">
      <c r="A1425" s="228">
        <f t="shared" si="30"/>
        <v>46836</v>
      </c>
      <c r="B1425" s="233">
        <f t="shared" si="29"/>
        <v>37115</v>
      </c>
    </row>
    <row r="1426" spans="1:2" ht="15" customHeight="1">
      <c r="A1426" s="228">
        <f t="shared" si="30"/>
        <v>46837</v>
      </c>
      <c r="B1426" s="233">
        <f t="shared" si="29"/>
        <v>37115</v>
      </c>
    </row>
    <row r="1427" spans="1:2" ht="15" customHeight="1">
      <c r="A1427" s="228">
        <f t="shared" si="30"/>
        <v>46838</v>
      </c>
      <c r="B1427" s="233">
        <f t="shared" si="29"/>
        <v>37115</v>
      </c>
    </row>
    <row r="1428" spans="1:2" ht="15" customHeight="1">
      <c r="A1428" s="228">
        <f t="shared" si="30"/>
        <v>46839</v>
      </c>
      <c r="B1428" s="233">
        <f t="shared" si="29"/>
        <v>37115</v>
      </c>
    </row>
    <row r="1429" spans="1:2" ht="15" customHeight="1">
      <c r="A1429" s="228">
        <f t="shared" si="30"/>
        <v>46840</v>
      </c>
      <c r="B1429" s="233">
        <f t="shared" si="29"/>
        <v>37115</v>
      </c>
    </row>
    <row r="1430" spans="1:2" ht="15" customHeight="1">
      <c r="A1430" s="228">
        <f t="shared" si="30"/>
        <v>46841</v>
      </c>
      <c r="B1430" s="233">
        <f t="shared" si="29"/>
        <v>37115</v>
      </c>
    </row>
    <row r="1431" spans="1:2" ht="15" customHeight="1">
      <c r="A1431" s="228">
        <f t="shared" si="30"/>
        <v>46842</v>
      </c>
      <c r="B1431" s="233">
        <f t="shared" si="29"/>
        <v>37115</v>
      </c>
    </row>
    <row r="1432" spans="1:2" ht="15" customHeight="1">
      <c r="A1432" s="228">
        <f t="shared" si="30"/>
        <v>46843</v>
      </c>
      <c r="B1432" s="233">
        <f t="shared" si="29"/>
        <v>37115</v>
      </c>
    </row>
    <row r="1433" spans="1:2" ht="15" customHeight="1">
      <c r="A1433" s="228">
        <f t="shared" si="30"/>
        <v>46844</v>
      </c>
      <c r="B1433" s="233">
        <f t="shared" si="29"/>
        <v>37115</v>
      </c>
    </row>
    <row r="1434" spans="1:2" ht="15" customHeight="1">
      <c r="A1434" s="228">
        <f t="shared" si="30"/>
        <v>46845</v>
      </c>
      <c r="B1434" s="233">
        <f t="shared" si="29"/>
        <v>37115</v>
      </c>
    </row>
    <row r="1435" spans="1:2" ht="15" customHeight="1">
      <c r="A1435" s="228">
        <f t="shared" si="30"/>
        <v>46846</v>
      </c>
      <c r="B1435" s="233">
        <f t="shared" si="29"/>
        <v>37115</v>
      </c>
    </row>
    <row r="1436" spans="1:2" ht="15" customHeight="1">
      <c r="A1436" s="228">
        <f t="shared" si="30"/>
        <v>46847</v>
      </c>
      <c r="B1436" s="233">
        <f t="shared" si="29"/>
        <v>37115</v>
      </c>
    </row>
    <row r="1437" spans="1:2" ht="15" customHeight="1">
      <c r="A1437" s="228">
        <f t="shared" si="30"/>
        <v>46848</v>
      </c>
      <c r="B1437" s="233">
        <f t="shared" si="29"/>
        <v>37115</v>
      </c>
    </row>
    <row r="1438" spans="1:2" ht="15" customHeight="1">
      <c r="A1438" s="228">
        <f t="shared" si="30"/>
        <v>46849</v>
      </c>
      <c r="B1438" s="233">
        <f t="shared" si="29"/>
        <v>37115</v>
      </c>
    </row>
    <row r="1439" spans="1:2" ht="15" customHeight="1">
      <c r="A1439" s="228">
        <f t="shared" si="30"/>
        <v>46850</v>
      </c>
      <c r="B1439" s="233">
        <f t="shared" si="29"/>
        <v>37115</v>
      </c>
    </row>
    <row r="1440" spans="1:2" ht="15" customHeight="1">
      <c r="A1440" s="228">
        <f t="shared" si="30"/>
        <v>46851</v>
      </c>
      <c r="B1440" s="233">
        <f t="shared" si="29"/>
        <v>37115</v>
      </c>
    </row>
    <row r="1441" spans="1:2" ht="15" customHeight="1">
      <c r="A1441" s="228">
        <f t="shared" si="30"/>
        <v>46852</v>
      </c>
      <c r="B1441" s="233">
        <f t="shared" si="29"/>
        <v>37115</v>
      </c>
    </row>
    <row r="1442" spans="1:2" ht="15" customHeight="1">
      <c r="A1442" s="228">
        <f t="shared" si="30"/>
        <v>46853</v>
      </c>
      <c r="B1442" s="233">
        <f t="shared" si="29"/>
        <v>37115</v>
      </c>
    </row>
    <row r="1443" spans="1:2" ht="15" customHeight="1">
      <c r="A1443" s="228">
        <f t="shared" si="30"/>
        <v>46854</v>
      </c>
      <c r="B1443" s="233">
        <f t="shared" si="29"/>
        <v>37115</v>
      </c>
    </row>
    <row r="1444" spans="1:2" ht="15" customHeight="1">
      <c r="A1444" s="228">
        <f t="shared" si="30"/>
        <v>46855</v>
      </c>
      <c r="B1444" s="233">
        <f t="shared" si="29"/>
        <v>37115</v>
      </c>
    </row>
    <row r="1445" spans="1:2" ht="15" customHeight="1">
      <c r="A1445" s="228">
        <f t="shared" si="30"/>
        <v>46856</v>
      </c>
      <c r="B1445" s="233">
        <f t="shared" si="29"/>
        <v>37115</v>
      </c>
    </row>
    <row r="1446" spans="1:2" ht="15" customHeight="1">
      <c r="A1446" s="228">
        <f t="shared" si="30"/>
        <v>46857</v>
      </c>
      <c r="B1446" s="233">
        <f t="shared" si="29"/>
        <v>37115</v>
      </c>
    </row>
    <row r="1447" spans="1:2" ht="15" customHeight="1">
      <c r="A1447" s="228">
        <f t="shared" si="30"/>
        <v>46858</v>
      </c>
      <c r="B1447" s="233">
        <f t="shared" si="29"/>
        <v>37115</v>
      </c>
    </row>
    <row r="1448" spans="1:2" ht="15" customHeight="1">
      <c r="A1448" s="228">
        <f t="shared" si="30"/>
        <v>46859</v>
      </c>
      <c r="B1448" s="233">
        <f t="shared" si="29"/>
        <v>37115</v>
      </c>
    </row>
    <row r="1449" spans="1:2" ht="15" customHeight="1">
      <c r="A1449" s="228">
        <f t="shared" si="30"/>
        <v>46860</v>
      </c>
      <c r="B1449" s="233">
        <f t="shared" si="29"/>
        <v>37115</v>
      </c>
    </row>
    <row r="1450" spans="1:2" ht="15" customHeight="1">
      <c r="A1450" s="228">
        <f t="shared" si="30"/>
        <v>46861</v>
      </c>
      <c r="B1450" s="233">
        <f t="shared" si="29"/>
        <v>37115</v>
      </c>
    </row>
    <row r="1451" spans="1:2" ht="15" customHeight="1">
      <c r="A1451" s="228">
        <f t="shared" si="30"/>
        <v>46862</v>
      </c>
      <c r="B1451" s="233">
        <f t="shared" si="29"/>
        <v>37115</v>
      </c>
    </row>
    <row r="1452" spans="1:2" ht="15" customHeight="1">
      <c r="A1452" s="228">
        <f t="shared" si="30"/>
        <v>46863</v>
      </c>
      <c r="B1452" s="233">
        <f t="shared" si="29"/>
        <v>37115</v>
      </c>
    </row>
    <row r="1453" spans="1:2" ht="15" customHeight="1">
      <c r="A1453" s="228">
        <f t="shared" si="30"/>
        <v>46864</v>
      </c>
      <c r="B1453" s="233">
        <f t="shared" si="29"/>
        <v>37115</v>
      </c>
    </row>
    <row r="1454" spans="1:2" ht="15" customHeight="1">
      <c r="A1454" s="228">
        <f t="shared" si="30"/>
        <v>46865</v>
      </c>
      <c r="B1454" s="233">
        <f t="shared" si="29"/>
        <v>37115</v>
      </c>
    </row>
    <row r="1455" spans="1:2" ht="15" customHeight="1">
      <c r="A1455" s="228">
        <f t="shared" si="30"/>
        <v>46866</v>
      </c>
      <c r="B1455" s="233">
        <f t="shared" si="29"/>
        <v>37115</v>
      </c>
    </row>
    <row r="1456" spans="1:2" ht="15" customHeight="1">
      <c r="A1456" s="228">
        <f t="shared" si="30"/>
        <v>46867</v>
      </c>
      <c r="B1456" s="233">
        <f t="shared" si="29"/>
        <v>37115</v>
      </c>
    </row>
    <row r="1457" spans="1:2" ht="15" customHeight="1">
      <c r="A1457" s="228">
        <f t="shared" si="30"/>
        <v>46868</v>
      </c>
      <c r="B1457" s="233">
        <f t="shared" si="29"/>
        <v>37115</v>
      </c>
    </row>
    <row r="1458" spans="1:2" ht="15" customHeight="1">
      <c r="A1458" s="228">
        <f t="shared" si="30"/>
        <v>46869</v>
      </c>
      <c r="B1458" s="233">
        <f t="shared" si="29"/>
        <v>37115</v>
      </c>
    </row>
    <row r="1459" spans="1:2" ht="15" customHeight="1">
      <c r="A1459" s="228">
        <f t="shared" si="30"/>
        <v>46870</v>
      </c>
      <c r="B1459" s="233">
        <f t="shared" si="29"/>
        <v>37115</v>
      </c>
    </row>
    <row r="1460" spans="1:2" ht="15" customHeight="1">
      <c r="A1460" s="228">
        <f t="shared" si="30"/>
        <v>46871</v>
      </c>
      <c r="B1460" s="233">
        <f t="shared" si="29"/>
        <v>37115</v>
      </c>
    </row>
    <row r="1461" spans="1:2" ht="15" customHeight="1">
      <c r="A1461" s="228">
        <f t="shared" si="30"/>
        <v>46872</v>
      </c>
      <c r="B1461" s="233">
        <f t="shared" si="29"/>
        <v>37115</v>
      </c>
    </row>
    <row r="1462" spans="1:2" ht="15" customHeight="1">
      <c r="A1462" s="228">
        <f t="shared" si="30"/>
        <v>46873</v>
      </c>
      <c r="B1462" s="233">
        <f t="shared" si="29"/>
        <v>37115</v>
      </c>
    </row>
    <row r="1463" spans="1:2" ht="15" customHeight="1">
      <c r="A1463" s="228">
        <f t="shared" si="30"/>
        <v>46874</v>
      </c>
      <c r="B1463" s="233">
        <f t="shared" ref="B1463:B1526" si="31">+B1462</f>
        <v>37115</v>
      </c>
    </row>
    <row r="1464" spans="1:2" ht="15" customHeight="1">
      <c r="A1464" s="228">
        <f t="shared" si="30"/>
        <v>46875</v>
      </c>
      <c r="B1464" s="233">
        <f t="shared" si="31"/>
        <v>37115</v>
      </c>
    </row>
    <row r="1465" spans="1:2" ht="15" customHeight="1">
      <c r="A1465" s="228">
        <f t="shared" si="30"/>
        <v>46876</v>
      </c>
      <c r="B1465" s="233">
        <f t="shared" si="31"/>
        <v>37115</v>
      </c>
    </row>
    <row r="1466" spans="1:2" ht="15" customHeight="1">
      <c r="A1466" s="228">
        <f t="shared" si="30"/>
        <v>46877</v>
      </c>
      <c r="B1466" s="233">
        <f t="shared" si="31"/>
        <v>37115</v>
      </c>
    </row>
    <row r="1467" spans="1:2" ht="15" customHeight="1">
      <c r="A1467" s="228">
        <f t="shared" si="30"/>
        <v>46878</v>
      </c>
      <c r="B1467" s="233">
        <f t="shared" si="31"/>
        <v>37115</v>
      </c>
    </row>
    <row r="1468" spans="1:2" ht="15" customHeight="1">
      <c r="A1468" s="228">
        <f t="shared" si="30"/>
        <v>46879</v>
      </c>
      <c r="B1468" s="233">
        <f t="shared" si="31"/>
        <v>37115</v>
      </c>
    </row>
    <row r="1469" spans="1:2" ht="15" customHeight="1">
      <c r="A1469" s="228">
        <f t="shared" ref="A1469:A1532" si="32">+A1468+1</f>
        <v>46880</v>
      </c>
      <c r="B1469" s="233">
        <f t="shared" si="31"/>
        <v>37115</v>
      </c>
    </row>
    <row r="1470" spans="1:2" ht="15" customHeight="1">
      <c r="A1470" s="228">
        <f t="shared" si="32"/>
        <v>46881</v>
      </c>
      <c r="B1470" s="233">
        <f t="shared" si="31"/>
        <v>37115</v>
      </c>
    </row>
    <row r="1471" spans="1:2" ht="15" customHeight="1">
      <c r="A1471" s="228">
        <f t="shared" si="32"/>
        <v>46882</v>
      </c>
      <c r="B1471" s="233">
        <f t="shared" si="31"/>
        <v>37115</v>
      </c>
    </row>
    <row r="1472" spans="1:2" ht="15" customHeight="1">
      <c r="A1472" s="228">
        <f t="shared" si="32"/>
        <v>46883</v>
      </c>
      <c r="B1472" s="233">
        <f t="shared" si="31"/>
        <v>37115</v>
      </c>
    </row>
    <row r="1473" spans="1:2" ht="15" customHeight="1">
      <c r="A1473" s="228">
        <f t="shared" si="32"/>
        <v>46884</v>
      </c>
      <c r="B1473" s="233">
        <f t="shared" si="31"/>
        <v>37115</v>
      </c>
    </row>
    <row r="1474" spans="1:2" ht="15" customHeight="1">
      <c r="A1474" s="228">
        <f t="shared" si="32"/>
        <v>46885</v>
      </c>
      <c r="B1474" s="233">
        <f t="shared" si="31"/>
        <v>37115</v>
      </c>
    </row>
    <row r="1475" spans="1:2" ht="15" customHeight="1">
      <c r="A1475" s="228">
        <f t="shared" si="32"/>
        <v>46886</v>
      </c>
      <c r="B1475" s="233">
        <f t="shared" si="31"/>
        <v>37115</v>
      </c>
    </row>
    <row r="1476" spans="1:2" ht="15" customHeight="1">
      <c r="A1476" s="228">
        <f t="shared" si="32"/>
        <v>46887</v>
      </c>
      <c r="B1476" s="233">
        <f t="shared" si="31"/>
        <v>37115</v>
      </c>
    </row>
    <row r="1477" spans="1:2" ht="15" customHeight="1">
      <c r="A1477" s="228">
        <f t="shared" si="32"/>
        <v>46888</v>
      </c>
      <c r="B1477" s="233">
        <f t="shared" si="31"/>
        <v>37115</v>
      </c>
    </row>
    <row r="1478" spans="1:2" ht="15" customHeight="1">
      <c r="A1478" s="228">
        <f t="shared" si="32"/>
        <v>46889</v>
      </c>
      <c r="B1478" s="233">
        <f t="shared" si="31"/>
        <v>37115</v>
      </c>
    </row>
    <row r="1479" spans="1:2" ht="15" customHeight="1">
      <c r="A1479" s="228">
        <f t="shared" si="32"/>
        <v>46890</v>
      </c>
      <c r="B1479" s="233">
        <f t="shared" si="31"/>
        <v>37115</v>
      </c>
    </row>
    <row r="1480" spans="1:2" ht="15" customHeight="1">
      <c r="A1480" s="228">
        <f t="shared" si="32"/>
        <v>46891</v>
      </c>
      <c r="B1480" s="233">
        <f t="shared" si="31"/>
        <v>37115</v>
      </c>
    </row>
    <row r="1481" spans="1:2" ht="15" customHeight="1">
      <c r="A1481" s="228">
        <f t="shared" si="32"/>
        <v>46892</v>
      </c>
      <c r="B1481" s="233">
        <f t="shared" si="31"/>
        <v>37115</v>
      </c>
    </row>
    <row r="1482" spans="1:2" ht="15" customHeight="1">
      <c r="A1482" s="228">
        <f t="shared" si="32"/>
        <v>46893</v>
      </c>
      <c r="B1482" s="233">
        <f t="shared" si="31"/>
        <v>37115</v>
      </c>
    </row>
    <row r="1483" spans="1:2" ht="15" customHeight="1">
      <c r="A1483" s="228">
        <f t="shared" si="32"/>
        <v>46894</v>
      </c>
      <c r="B1483" s="233">
        <f t="shared" si="31"/>
        <v>37115</v>
      </c>
    </row>
    <row r="1484" spans="1:2" ht="15" customHeight="1">
      <c r="A1484" s="228">
        <f t="shared" si="32"/>
        <v>46895</v>
      </c>
      <c r="B1484" s="233">
        <f t="shared" si="31"/>
        <v>37115</v>
      </c>
    </row>
    <row r="1485" spans="1:2" ht="15" customHeight="1">
      <c r="A1485" s="228">
        <f t="shared" si="32"/>
        <v>46896</v>
      </c>
      <c r="B1485" s="233">
        <f t="shared" si="31"/>
        <v>37115</v>
      </c>
    </row>
    <row r="1486" spans="1:2" ht="15" customHeight="1">
      <c r="A1486" s="228">
        <f t="shared" si="32"/>
        <v>46897</v>
      </c>
      <c r="B1486" s="233">
        <f t="shared" si="31"/>
        <v>37115</v>
      </c>
    </row>
    <row r="1487" spans="1:2" ht="15" customHeight="1">
      <c r="A1487" s="228">
        <f t="shared" si="32"/>
        <v>46898</v>
      </c>
      <c r="B1487" s="233">
        <f t="shared" si="31"/>
        <v>37115</v>
      </c>
    </row>
    <row r="1488" spans="1:2" ht="15" customHeight="1">
      <c r="A1488" s="228">
        <f t="shared" si="32"/>
        <v>46899</v>
      </c>
      <c r="B1488" s="233">
        <f t="shared" si="31"/>
        <v>37115</v>
      </c>
    </row>
    <row r="1489" spans="1:2" ht="15" customHeight="1">
      <c r="A1489" s="228">
        <f t="shared" si="32"/>
        <v>46900</v>
      </c>
      <c r="B1489" s="233">
        <f t="shared" si="31"/>
        <v>37115</v>
      </c>
    </row>
    <row r="1490" spans="1:2" ht="15" customHeight="1">
      <c r="A1490" s="228">
        <f t="shared" si="32"/>
        <v>46901</v>
      </c>
      <c r="B1490" s="233">
        <f t="shared" si="31"/>
        <v>37115</v>
      </c>
    </row>
    <row r="1491" spans="1:2" ht="15" customHeight="1">
      <c r="A1491" s="228">
        <f t="shared" si="32"/>
        <v>46902</v>
      </c>
      <c r="B1491" s="233">
        <f t="shared" si="31"/>
        <v>37115</v>
      </c>
    </row>
    <row r="1492" spans="1:2" ht="15" customHeight="1">
      <c r="A1492" s="228">
        <f t="shared" si="32"/>
        <v>46903</v>
      </c>
      <c r="B1492" s="233">
        <f t="shared" si="31"/>
        <v>37115</v>
      </c>
    </row>
    <row r="1493" spans="1:2" ht="15" customHeight="1">
      <c r="A1493" s="228">
        <f t="shared" si="32"/>
        <v>46904</v>
      </c>
      <c r="B1493" s="233">
        <f t="shared" si="31"/>
        <v>37115</v>
      </c>
    </row>
    <row r="1494" spans="1:2" ht="15" customHeight="1">
      <c r="A1494" s="228">
        <f t="shared" si="32"/>
        <v>46905</v>
      </c>
      <c r="B1494" s="233">
        <f t="shared" si="31"/>
        <v>37115</v>
      </c>
    </row>
    <row r="1495" spans="1:2" ht="15" customHeight="1">
      <c r="A1495" s="228">
        <f t="shared" si="32"/>
        <v>46906</v>
      </c>
      <c r="B1495" s="233">
        <f t="shared" si="31"/>
        <v>37115</v>
      </c>
    </row>
    <row r="1496" spans="1:2" ht="15" customHeight="1">
      <c r="A1496" s="228">
        <f t="shared" si="32"/>
        <v>46907</v>
      </c>
      <c r="B1496" s="233">
        <f t="shared" si="31"/>
        <v>37115</v>
      </c>
    </row>
    <row r="1497" spans="1:2" ht="15" customHeight="1">
      <c r="A1497" s="228">
        <f t="shared" si="32"/>
        <v>46908</v>
      </c>
      <c r="B1497" s="233">
        <f t="shared" si="31"/>
        <v>37115</v>
      </c>
    </row>
    <row r="1498" spans="1:2" ht="15" customHeight="1">
      <c r="A1498" s="228">
        <f t="shared" si="32"/>
        <v>46909</v>
      </c>
      <c r="B1498" s="233">
        <f t="shared" si="31"/>
        <v>37115</v>
      </c>
    </row>
    <row r="1499" spans="1:2" ht="15" customHeight="1">
      <c r="A1499" s="228">
        <f t="shared" si="32"/>
        <v>46910</v>
      </c>
      <c r="B1499" s="233">
        <f t="shared" si="31"/>
        <v>37115</v>
      </c>
    </row>
    <row r="1500" spans="1:2" ht="15" customHeight="1">
      <c r="A1500" s="228">
        <f t="shared" si="32"/>
        <v>46911</v>
      </c>
      <c r="B1500" s="233">
        <f t="shared" si="31"/>
        <v>37115</v>
      </c>
    </row>
    <row r="1501" spans="1:2" ht="15" customHeight="1">
      <c r="A1501" s="228">
        <f t="shared" si="32"/>
        <v>46912</v>
      </c>
      <c r="B1501" s="233">
        <f t="shared" si="31"/>
        <v>37115</v>
      </c>
    </row>
    <row r="1502" spans="1:2" ht="15" customHeight="1">
      <c r="A1502" s="228">
        <f t="shared" si="32"/>
        <v>46913</v>
      </c>
      <c r="B1502" s="233">
        <f t="shared" si="31"/>
        <v>37115</v>
      </c>
    </row>
    <row r="1503" spans="1:2" ht="15" customHeight="1">
      <c r="A1503" s="228">
        <f t="shared" si="32"/>
        <v>46914</v>
      </c>
      <c r="B1503" s="233">
        <f t="shared" si="31"/>
        <v>37115</v>
      </c>
    </row>
    <row r="1504" spans="1:2" ht="15" customHeight="1">
      <c r="A1504" s="228">
        <f t="shared" si="32"/>
        <v>46915</v>
      </c>
      <c r="B1504" s="233">
        <f t="shared" si="31"/>
        <v>37115</v>
      </c>
    </row>
    <row r="1505" spans="1:2" ht="15" customHeight="1">
      <c r="A1505" s="228">
        <f t="shared" si="32"/>
        <v>46916</v>
      </c>
      <c r="B1505" s="233">
        <f t="shared" si="31"/>
        <v>37115</v>
      </c>
    </row>
    <row r="1506" spans="1:2" ht="15" customHeight="1">
      <c r="A1506" s="228">
        <f t="shared" si="32"/>
        <v>46917</v>
      </c>
      <c r="B1506" s="233">
        <f t="shared" si="31"/>
        <v>37115</v>
      </c>
    </row>
    <row r="1507" spans="1:2" ht="15" customHeight="1">
      <c r="A1507" s="228">
        <f t="shared" si="32"/>
        <v>46918</v>
      </c>
      <c r="B1507" s="233">
        <f t="shared" si="31"/>
        <v>37115</v>
      </c>
    </row>
    <row r="1508" spans="1:2" ht="15" customHeight="1">
      <c r="A1508" s="228">
        <f t="shared" si="32"/>
        <v>46919</v>
      </c>
      <c r="B1508" s="233">
        <f t="shared" si="31"/>
        <v>37115</v>
      </c>
    </row>
    <row r="1509" spans="1:2" ht="15" customHeight="1">
      <c r="A1509" s="228">
        <f t="shared" si="32"/>
        <v>46920</v>
      </c>
      <c r="B1509" s="233">
        <f t="shared" si="31"/>
        <v>37115</v>
      </c>
    </row>
    <row r="1510" spans="1:2" ht="15" customHeight="1">
      <c r="A1510" s="228">
        <f t="shared" si="32"/>
        <v>46921</v>
      </c>
      <c r="B1510" s="233">
        <f t="shared" si="31"/>
        <v>37115</v>
      </c>
    </row>
    <row r="1511" spans="1:2" ht="15" customHeight="1">
      <c r="A1511" s="228">
        <f t="shared" si="32"/>
        <v>46922</v>
      </c>
      <c r="B1511" s="233">
        <f t="shared" si="31"/>
        <v>37115</v>
      </c>
    </row>
    <row r="1512" spans="1:2" ht="15" customHeight="1">
      <c r="A1512" s="228">
        <f t="shared" si="32"/>
        <v>46923</v>
      </c>
      <c r="B1512" s="233">
        <f t="shared" si="31"/>
        <v>37115</v>
      </c>
    </row>
    <row r="1513" spans="1:2" ht="15" customHeight="1">
      <c r="A1513" s="228">
        <f t="shared" si="32"/>
        <v>46924</v>
      </c>
      <c r="B1513" s="233">
        <f t="shared" si="31"/>
        <v>37115</v>
      </c>
    </row>
    <row r="1514" spans="1:2" ht="15" customHeight="1">
      <c r="A1514" s="228">
        <f t="shared" si="32"/>
        <v>46925</v>
      </c>
      <c r="B1514" s="233">
        <f t="shared" si="31"/>
        <v>37115</v>
      </c>
    </row>
    <row r="1515" spans="1:2" ht="15" customHeight="1">
      <c r="A1515" s="228">
        <f t="shared" si="32"/>
        <v>46926</v>
      </c>
      <c r="B1515" s="233">
        <f t="shared" si="31"/>
        <v>37115</v>
      </c>
    </row>
    <row r="1516" spans="1:2" ht="15" customHeight="1">
      <c r="A1516" s="228">
        <f t="shared" si="32"/>
        <v>46927</v>
      </c>
      <c r="B1516" s="233">
        <f t="shared" si="31"/>
        <v>37115</v>
      </c>
    </row>
    <row r="1517" spans="1:2" ht="15" customHeight="1">
      <c r="A1517" s="228">
        <f t="shared" si="32"/>
        <v>46928</v>
      </c>
      <c r="B1517" s="233">
        <f t="shared" si="31"/>
        <v>37115</v>
      </c>
    </row>
    <row r="1518" spans="1:2" ht="15" customHeight="1">
      <c r="A1518" s="228">
        <f t="shared" si="32"/>
        <v>46929</v>
      </c>
      <c r="B1518" s="233">
        <f t="shared" si="31"/>
        <v>37115</v>
      </c>
    </row>
    <row r="1519" spans="1:2" ht="15" customHeight="1">
      <c r="A1519" s="228">
        <f t="shared" si="32"/>
        <v>46930</v>
      </c>
      <c r="B1519" s="233">
        <f t="shared" si="31"/>
        <v>37115</v>
      </c>
    </row>
    <row r="1520" spans="1:2" ht="15" customHeight="1">
      <c r="A1520" s="228">
        <f t="shared" si="32"/>
        <v>46931</v>
      </c>
      <c r="B1520" s="233">
        <f t="shared" si="31"/>
        <v>37115</v>
      </c>
    </row>
    <row r="1521" spans="1:2" ht="15" customHeight="1">
      <c r="A1521" s="228">
        <f t="shared" si="32"/>
        <v>46932</v>
      </c>
      <c r="B1521" s="233">
        <f t="shared" si="31"/>
        <v>37115</v>
      </c>
    </row>
    <row r="1522" spans="1:2" ht="15" customHeight="1">
      <c r="A1522" s="228">
        <f t="shared" si="32"/>
        <v>46933</v>
      </c>
      <c r="B1522" s="233">
        <f t="shared" si="31"/>
        <v>37115</v>
      </c>
    </row>
    <row r="1523" spans="1:2" ht="15" customHeight="1">
      <c r="A1523" s="228">
        <f t="shared" si="32"/>
        <v>46934</v>
      </c>
      <c r="B1523" s="233">
        <f t="shared" si="31"/>
        <v>37115</v>
      </c>
    </row>
    <row r="1524" spans="1:2" ht="15" customHeight="1">
      <c r="A1524" s="228">
        <f t="shared" si="32"/>
        <v>46935</v>
      </c>
      <c r="B1524" s="233">
        <f t="shared" si="31"/>
        <v>37115</v>
      </c>
    </row>
    <row r="1525" spans="1:2" ht="15" customHeight="1">
      <c r="A1525" s="228">
        <f t="shared" si="32"/>
        <v>46936</v>
      </c>
      <c r="B1525" s="233">
        <f t="shared" si="31"/>
        <v>37115</v>
      </c>
    </row>
    <row r="1526" spans="1:2" ht="15" customHeight="1">
      <c r="A1526" s="228">
        <f t="shared" si="32"/>
        <v>46937</v>
      </c>
      <c r="B1526" s="233">
        <f t="shared" si="31"/>
        <v>37115</v>
      </c>
    </row>
    <row r="1527" spans="1:2" ht="15" customHeight="1">
      <c r="A1527" s="228">
        <f t="shared" si="32"/>
        <v>46938</v>
      </c>
      <c r="B1527" s="233">
        <f t="shared" ref="B1527:B1590" si="33">+B1526</f>
        <v>37115</v>
      </c>
    </row>
    <row r="1528" spans="1:2" ht="15" customHeight="1">
      <c r="A1528" s="228">
        <f t="shared" si="32"/>
        <v>46939</v>
      </c>
      <c r="B1528" s="233">
        <f t="shared" si="33"/>
        <v>37115</v>
      </c>
    </row>
    <row r="1529" spans="1:2" ht="15" customHeight="1">
      <c r="A1529" s="228">
        <f t="shared" si="32"/>
        <v>46940</v>
      </c>
      <c r="B1529" s="233">
        <f t="shared" si="33"/>
        <v>37115</v>
      </c>
    </row>
    <row r="1530" spans="1:2" ht="15" customHeight="1">
      <c r="A1530" s="228">
        <f t="shared" si="32"/>
        <v>46941</v>
      </c>
      <c r="B1530" s="233">
        <f t="shared" si="33"/>
        <v>37115</v>
      </c>
    </row>
    <row r="1531" spans="1:2" ht="15" customHeight="1">
      <c r="A1531" s="228">
        <f t="shared" si="32"/>
        <v>46942</v>
      </c>
      <c r="B1531" s="233">
        <f t="shared" si="33"/>
        <v>37115</v>
      </c>
    </row>
    <row r="1532" spans="1:2" ht="15" customHeight="1">
      <c r="A1532" s="228">
        <f t="shared" si="32"/>
        <v>46943</v>
      </c>
      <c r="B1532" s="233">
        <f t="shared" si="33"/>
        <v>37115</v>
      </c>
    </row>
    <row r="1533" spans="1:2" ht="15" customHeight="1">
      <c r="A1533" s="228">
        <f t="shared" ref="A1533:A1596" si="34">+A1532+1</f>
        <v>46944</v>
      </c>
      <c r="B1533" s="233">
        <f t="shared" si="33"/>
        <v>37115</v>
      </c>
    </row>
    <row r="1534" spans="1:2" ht="15" customHeight="1">
      <c r="A1534" s="228">
        <f t="shared" si="34"/>
        <v>46945</v>
      </c>
      <c r="B1534" s="233">
        <f t="shared" si="33"/>
        <v>37115</v>
      </c>
    </row>
    <row r="1535" spans="1:2" ht="15" customHeight="1">
      <c r="A1535" s="228">
        <f t="shared" si="34"/>
        <v>46946</v>
      </c>
      <c r="B1535" s="233">
        <f t="shared" si="33"/>
        <v>37115</v>
      </c>
    </row>
    <row r="1536" spans="1:2" ht="15" customHeight="1">
      <c r="A1536" s="228">
        <f t="shared" si="34"/>
        <v>46947</v>
      </c>
      <c r="B1536" s="233">
        <f t="shared" si="33"/>
        <v>37115</v>
      </c>
    </row>
    <row r="1537" spans="1:2" ht="15" customHeight="1">
      <c r="A1537" s="228">
        <f t="shared" si="34"/>
        <v>46948</v>
      </c>
      <c r="B1537" s="233">
        <f t="shared" si="33"/>
        <v>37115</v>
      </c>
    </row>
    <row r="1538" spans="1:2" ht="15" customHeight="1">
      <c r="A1538" s="228">
        <f t="shared" si="34"/>
        <v>46949</v>
      </c>
      <c r="B1538" s="233">
        <f t="shared" si="33"/>
        <v>37115</v>
      </c>
    </row>
    <row r="1539" spans="1:2" ht="15" customHeight="1">
      <c r="A1539" s="228">
        <f t="shared" si="34"/>
        <v>46950</v>
      </c>
      <c r="B1539" s="233">
        <f t="shared" si="33"/>
        <v>37115</v>
      </c>
    </row>
    <row r="1540" spans="1:2" ht="15" customHeight="1">
      <c r="A1540" s="228">
        <f t="shared" si="34"/>
        <v>46951</v>
      </c>
      <c r="B1540" s="233">
        <f t="shared" si="33"/>
        <v>37115</v>
      </c>
    </row>
    <row r="1541" spans="1:2" ht="15" customHeight="1">
      <c r="A1541" s="228">
        <f t="shared" si="34"/>
        <v>46952</v>
      </c>
      <c r="B1541" s="233">
        <f t="shared" si="33"/>
        <v>37115</v>
      </c>
    </row>
    <row r="1542" spans="1:2" ht="15" customHeight="1">
      <c r="A1542" s="228">
        <f t="shared" si="34"/>
        <v>46953</v>
      </c>
      <c r="B1542" s="233">
        <f t="shared" si="33"/>
        <v>37115</v>
      </c>
    </row>
    <row r="1543" spans="1:2" ht="15" customHeight="1">
      <c r="A1543" s="228">
        <f t="shared" si="34"/>
        <v>46954</v>
      </c>
      <c r="B1543" s="233">
        <f t="shared" si="33"/>
        <v>37115</v>
      </c>
    </row>
    <row r="1544" spans="1:2" ht="15" customHeight="1">
      <c r="A1544" s="228">
        <f t="shared" si="34"/>
        <v>46955</v>
      </c>
      <c r="B1544" s="233">
        <f t="shared" si="33"/>
        <v>37115</v>
      </c>
    </row>
    <row r="1545" spans="1:2" ht="15" customHeight="1">
      <c r="A1545" s="228">
        <f t="shared" si="34"/>
        <v>46956</v>
      </c>
      <c r="B1545" s="233">
        <f t="shared" si="33"/>
        <v>37115</v>
      </c>
    </row>
    <row r="1546" spans="1:2" ht="15" customHeight="1">
      <c r="A1546" s="228">
        <f t="shared" si="34"/>
        <v>46957</v>
      </c>
      <c r="B1546" s="233">
        <f t="shared" si="33"/>
        <v>37115</v>
      </c>
    </row>
    <row r="1547" spans="1:2" ht="15" customHeight="1">
      <c r="A1547" s="228">
        <f t="shared" si="34"/>
        <v>46958</v>
      </c>
      <c r="B1547" s="233">
        <f t="shared" si="33"/>
        <v>37115</v>
      </c>
    </row>
    <row r="1548" spans="1:2" ht="15" customHeight="1">
      <c r="A1548" s="228">
        <f t="shared" si="34"/>
        <v>46959</v>
      </c>
      <c r="B1548" s="233">
        <f t="shared" si="33"/>
        <v>37115</v>
      </c>
    </row>
    <row r="1549" spans="1:2" ht="15" customHeight="1">
      <c r="A1549" s="228">
        <f t="shared" si="34"/>
        <v>46960</v>
      </c>
      <c r="B1549" s="233">
        <f t="shared" si="33"/>
        <v>37115</v>
      </c>
    </row>
    <row r="1550" spans="1:2" ht="15" customHeight="1">
      <c r="A1550" s="228">
        <f t="shared" si="34"/>
        <v>46961</v>
      </c>
      <c r="B1550" s="233">
        <f t="shared" si="33"/>
        <v>37115</v>
      </c>
    </row>
    <row r="1551" spans="1:2" ht="15" customHeight="1">
      <c r="A1551" s="228">
        <f t="shared" si="34"/>
        <v>46962</v>
      </c>
      <c r="B1551" s="233">
        <f t="shared" si="33"/>
        <v>37115</v>
      </c>
    </row>
    <row r="1552" spans="1:2" ht="15" customHeight="1">
      <c r="A1552" s="228">
        <f t="shared" si="34"/>
        <v>46963</v>
      </c>
      <c r="B1552" s="233">
        <f t="shared" si="33"/>
        <v>37115</v>
      </c>
    </row>
    <row r="1553" spans="1:2" ht="15" customHeight="1">
      <c r="A1553" s="228">
        <f t="shared" si="34"/>
        <v>46964</v>
      </c>
      <c r="B1553" s="233">
        <f t="shared" si="33"/>
        <v>37115</v>
      </c>
    </row>
    <row r="1554" spans="1:2" ht="15" customHeight="1">
      <c r="A1554" s="228">
        <f t="shared" si="34"/>
        <v>46965</v>
      </c>
      <c r="B1554" s="233">
        <f t="shared" si="33"/>
        <v>37115</v>
      </c>
    </row>
    <row r="1555" spans="1:2" ht="15" customHeight="1">
      <c r="A1555" s="228">
        <f t="shared" si="34"/>
        <v>46966</v>
      </c>
      <c r="B1555" s="233">
        <f t="shared" si="33"/>
        <v>37115</v>
      </c>
    </row>
    <row r="1556" spans="1:2" ht="15" customHeight="1">
      <c r="A1556" s="228">
        <f t="shared" si="34"/>
        <v>46967</v>
      </c>
      <c r="B1556" s="233">
        <f t="shared" si="33"/>
        <v>37115</v>
      </c>
    </row>
    <row r="1557" spans="1:2" ht="15" customHeight="1">
      <c r="A1557" s="228">
        <f t="shared" si="34"/>
        <v>46968</v>
      </c>
      <c r="B1557" s="233">
        <f t="shared" si="33"/>
        <v>37115</v>
      </c>
    </row>
    <row r="1558" spans="1:2" ht="15" customHeight="1">
      <c r="A1558" s="228">
        <f t="shared" si="34"/>
        <v>46969</v>
      </c>
      <c r="B1558" s="233">
        <f t="shared" si="33"/>
        <v>37115</v>
      </c>
    </row>
    <row r="1559" spans="1:2" ht="15" customHeight="1">
      <c r="A1559" s="228">
        <f t="shared" si="34"/>
        <v>46970</v>
      </c>
      <c r="B1559" s="233">
        <f t="shared" si="33"/>
        <v>37115</v>
      </c>
    </row>
    <row r="1560" spans="1:2" ht="15" customHeight="1">
      <c r="A1560" s="228">
        <f t="shared" si="34"/>
        <v>46971</v>
      </c>
      <c r="B1560" s="233">
        <f t="shared" si="33"/>
        <v>37115</v>
      </c>
    </row>
    <row r="1561" spans="1:2" ht="15" customHeight="1">
      <c r="A1561" s="228">
        <f t="shared" si="34"/>
        <v>46972</v>
      </c>
      <c r="B1561" s="233">
        <f t="shared" si="33"/>
        <v>37115</v>
      </c>
    </row>
    <row r="1562" spans="1:2" ht="15" customHeight="1">
      <c r="A1562" s="228">
        <f t="shared" si="34"/>
        <v>46973</v>
      </c>
      <c r="B1562" s="233">
        <f t="shared" si="33"/>
        <v>37115</v>
      </c>
    </row>
    <row r="1563" spans="1:2" ht="15" customHeight="1">
      <c r="A1563" s="228">
        <f t="shared" si="34"/>
        <v>46974</v>
      </c>
      <c r="B1563" s="233">
        <f t="shared" si="33"/>
        <v>37115</v>
      </c>
    </row>
    <row r="1564" spans="1:2" ht="15" customHeight="1">
      <c r="A1564" s="228">
        <f t="shared" si="34"/>
        <v>46975</v>
      </c>
      <c r="B1564" s="233">
        <f t="shared" si="33"/>
        <v>37115</v>
      </c>
    </row>
    <row r="1565" spans="1:2" ht="15" customHeight="1">
      <c r="A1565" s="228">
        <f t="shared" si="34"/>
        <v>46976</v>
      </c>
      <c r="B1565" s="233">
        <f t="shared" si="33"/>
        <v>37115</v>
      </c>
    </row>
    <row r="1566" spans="1:2" ht="15" customHeight="1">
      <c r="A1566" s="228">
        <f t="shared" si="34"/>
        <v>46977</v>
      </c>
      <c r="B1566" s="233">
        <f t="shared" si="33"/>
        <v>37115</v>
      </c>
    </row>
    <row r="1567" spans="1:2" ht="15" customHeight="1">
      <c r="A1567" s="228">
        <f t="shared" si="34"/>
        <v>46978</v>
      </c>
      <c r="B1567" s="233">
        <f t="shared" si="33"/>
        <v>37115</v>
      </c>
    </row>
    <row r="1568" spans="1:2" ht="15" customHeight="1">
      <c r="A1568" s="228">
        <f t="shared" si="34"/>
        <v>46979</v>
      </c>
      <c r="B1568" s="233">
        <f t="shared" si="33"/>
        <v>37115</v>
      </c>
    </row>
    <row r="1569" spans="1:2" ht="15" customHeight="1">
      <c r="A1569" s="228">
        <f t="shared" si="34"/>
        <v>46980</v>
      </c>
      <c r="B1569" s="233">
        <f t="shared" si="33"/>
        <v>37115</v>
      </c>
    </row>
    <row r="1570" spans="1:2" ht="15" customHeight="1">
      <c r="A1570" s="228">
        <f t="shared" si="34"/>
        <v>46981</v>
      </c>
      <c r="B1570" s="233">
        <f t="shared" si="33"/>
        <v>37115</v>
      </c>
    </row>
    <row r="1571" spans="1:2" ht="15" customHeight="1">
      <c r="A1571" s="228">
        <f t="shared" si="34"/>
        <v>46982</v>
      </c>
      <c r="B1571" s="233">
        <f t="shared" si="33"/>
        <v>37115</v>
      </c>
    </row>
    <row r="1572" spans="1:2" ht="15" customHeight="1">
      <c r="A1572" s="228">
        <f t="shared" si="34"/>
        <v>46983</v>
      </c>
      <c r="B1572" s="233">
        <f t="shared" si="33"/>
        <v>37115</v>
      </c>
    </row>
    <row r="1573" spans="1:2" ht="15" customHeight="1">
      <c r="A1573" s="228">
        <f t="shared" si="34"/>
        <v>46984</v>
      </c>
      <c r="B1573" s="233">
        <f t="shared" si="33"/>
        <v>37115</v>
      </c>
    </row>
    <row r="1574" spans="1:2" ht="15" customHeight="1">
      <c r="A1574" s="228">
        <f t="shared" si="34"/>
        <v>46985</v>
      </c>
      <c r="B1574" s="233">
        <f t="shared" si="33"/>
        <v>37115</v>
      </c>
    </row>
    <row r="1575" spans="1:2" ht="15" customHeight="1">
      <c r="A1575" s="228">
        <f t="shared" si="34"/>
        <v>46986</v>
      </c>
      <c r="B1575" s="233">
        <f t="shared" si="33"/>
        <v>37115</v>
      </c>
    </row>
    <row r="1576" spans="1:2" ht="15" customHeight="1">
      <c r="A1576" s="228">
        <f t="shared" si="34"/>
        <v>46987</v>
      </c>
      <c r="B1576" s="233">
        <f t="shared" si="33"/>
        <v>37115</v>
      </c>
    </row>
    <row r="1577" spans="1:2" ht="15" customHeight="1">
      <c r="A1577" s="228">
        <f t="shared" si="34"/>
        <v>46988</v>
      </c>
      <c r="B1577" s="233">
        <f t="shared" si="33"/>
        <v>37115</v>
      </c>
    </row>
    <row r="1578" spans="1:2" ht="15" customHeight="1">
      <c r="A1578" s="228">
        <f t="shared" si="34"/>
        <v>46989</v>
      </c>
      <c r="B1578" s="233">
        <f t="shared" si="33"/>
        <v>37115</v>
      </c>
    </row>
    <row r="1579" spans="1:2" ht="15" customHeight="1">
      <c r="A1579" s="228">
        <f t="shared" si="34"/>
        <v>46990</v>
      </c>
      <c r="B1579" s="233">
        <f t="shared" si="33"/>
        <v>37115</v>
      </c>
    </row>
    <row r="1580" spans="1:2" ht="15" customHeight="1">
      <c r="A1580" s="228">
        <f t="shared" si="34"/>
        <v>46991</v>
      </c>
      <c r="B1580" s="233">
        <f t="shared" si="33"/>
        <v>37115</v>
      </c>
    </row>
    <row r="1581" spans="1:2" ht="15" customHeight="1">
      <c r="A1581" s="228">
        <f t="shared" si="34"/>
        <v>46992</v>
      </c>
      <c r="B1581" s="233">
        <f t="shared" si="33"/>
        <v>37115</v>
      </c>
    </row>
    <row r="1582" spans="1:2" ht="15" customHeight="1">
      <c r="A1582" s="228">
        <f t="shared" si="34"/>
        <v>46993</v>
      </c>
      <c r="B1582" s="233">
        <f t="shared" si="33"/>
        <v>37115</v>
      </c>
    </row>
    <row r="1583" spans="1:2" ht="15" customHeight="1">
      <c r="A1583" s="228">
        <f t="shared" si="34"/>
        <v>46994</v>
      </c>
      <c r="B1583" s="233">
        <f t="shared" si="33"/>
        <v>37115</v>
      </c>
    </row>
    <row r="1584" spans="1:2" ht="15" customHeight="1">
      <c r="A1584" s="228">
        <f t="shared" si="34"/>
        <v>46995</v>
      </c>
      <c r="B1584" s="233">
        <f t="shared" si="33"/>
        <v>37115</v>
      </c>
    </row>
    <row r="1585" spans="1:2" ht="15" customHeight="1">
      <c r="A1585" s="228">
        <f t="shared" si="34"/>
        <v>46996</v>
      </c>
      <c r="B1585" s="233">
        <f t="shared" si="33"/>
        <v>37115</v>
      </c>
    </row>
    <row r="1586" spans="1:2" ht="15" customHeight="1">
      <c r="A1586" s="228">
        <f t="shared" si="34"/>
        <v>46997</v>
      </c>
      <c r="B1586" s="233">
        <f t="shared" si="33"/>
        <v>37115</v>
      </c>
    </row>
    <row r="1587" spans="1:2" ht="15" customHeight="1">
      <c r="A1587" s="228">
        <f t="shared" si="34"/>
        <v>46998</v>
      </c>
      <c r="B1587" s="233">
        <f t="shared" si="33"/>
        <v>37115</v>
      </c>
    </row>
    <row r="1588" spans="1:2" ht="15" customHeight="1">
      <c r="A1588" s="228">
        <f t="shared" si="34"/>
        <v>46999</v>
      </c>
      <c r="B1588" s="233">
        <f t="shared" si="33"/>
        <v>37115</v>
      </c>
    </row>
    <row r="1589" spans="1:2" ht="15" customHeight="1">
      <c r="A1589" s="228">
        <f t="shared" si="34"/>
        <v>47000</v>
      </c>
      <c r="B1589" s="233">
        <f t="shared" si="33"/>
        <v>37115</v>
      </c>
    </row>
    <row r="1590" spans="1:2" ht="15" customHeight="1">
      <c r="A1590" s="228">
        <f t="shared" si="34"/>
        <v>47001</v>
      </c>
      <c r="B1590" s="233">
        <f t="shared" si="33"/>
        <v>37115</v>
      </c>
    </row>
    <row r="1591" spans="1:2" ht="15" customHeight="1">
      <c r="A1591" s="228">
        <f t="shared" si="34"/>
        <v>47002</v>
      </c>
      <c r="B1591" s="233">
        <f t="shared" ref="B1591:B1654" si="35">+B1590</f>
        <v>37115</v>
      </c>
    </row>
    <row r="1592" spans="1:2" ht="15" customHeight="1">
      <c r="A1592" s="228">
        <f t="shared" si="34"/>
        <v>47003</v>
      </c>
      <c r="B1592" s="233">
        <f t="shared" si="35"/>
        <v>37115</v>
      </c>
    </row>
    <row r="1593" spans="1:2" ht="15" customHeight="1">
      <c r="A1593" s="228">
        <f t="shared" si="34"/>
        <v>47004</v>
      </c>
      <c r="B1593" s="233">
        <f t="shared" si="35"/>
        <v>37115</v>
      </c>
    </row>
    <row r="1594" spans="1:2" ht="15" customHeight="1">
      <c r="A1594" s="228">
        <f t="shared" si="34"/>
        <v>47005</v>
      </c>
      <c r="B1594" s="233">
        <f t="shared" si="35"/>
        <v>37115</v>
      </c>
    </row>
    <row r="1595" spans="1:2" ht="15" customHeight="1">
      <c r="A1595" s="228">
        <f t="shared" si="34"/>
        <v>47006</v>
      </c>
      <c r="B1595" s="233">
        <f t="shared" si="35"/>
        <v>37115</v>
      </c>
    </row>
    <row r="1596" spans="1:2" ht="15" customHeight="1">
      <c r="A1596" s="228">
        <f t="shared" si="34"/>
        <v>47007</v>
      </c>
      <c r="B1596" s="233">
        <f t="shared" si="35"/>
        <v>37115</v>
      </c>
    </row>
    <row r="1597" spans="1:2" ht="15" customHeight="1">
      <c r="A1597" s="228">
        <f t="shared" ref="A1597:A1660" si="36">+A1596+1</f>
        <v>47008</v>
      </c>
      <c r="B1597" s="233">
        <f t="shared" si="35"/>
        <v>37115</v>
      </c>
    </row>
    <row r="1598" spans="1:2" ht="15" customHeight="1">
      <c r="A1598" s="228">
        <f t="shared" si="36"/>
        <v>47009</v>
      </c>
      <c r="B1598" s="233">
        <f t="shared" si="35"/>
        <v>37115</v>
      </c>
    </row>
    <row r="1599" spans="1:2" ht="15" customHeight="1">
      <c r="A1599" s="228">
        <f t="shared" si="36"/>
        <v>47010</v>
      </c>
      <c r="B1599" s="233">
        <f t="shared" si="35"/>
        <v>37115</v>
      </c>
    </row>
    <row r="1600" spans="1:2" ht="15" customHeight="1">
      <c r="A1600" s="228">
        <f t="shared" si="36"/>
        <v>47011</v>
      </c>
      <c r="B1600" s="233">
        <f t="shared" si="35"/>
        <v>37115</v>
      </c>
    </row>
    <row r="1601" spans="1:2" ht="15" customHeight="1">
      <c r="A1601" s="228">
        <f t="shared" si="36"/>
        <v>47012</v>
      </c>
      <c r="B1601" s="233">
        <f t="shared" si="35"/>
        <v>37115</v>
      </c>
    </row>
    <row r="1602" spans="1:2" ht="15" customHeight="1">
      <c r="A1602" s="228">
        <f t="shared" si="36"/>
        <v>47013</v>
      </c>
      <c r="B1602" s="233">
        <f t="shared" si="35"/>
        <v>37115</v>
      </c>
    </row>
    <row r="1603" spans="1:2" ht="15" customHeight="1">
      <c r="A1603" s="228">
        <f t="shared" si="36"/>
        <v>47014</v>
      </c>
      <c r="B1603" s="233">
        <f t="shared" si="35"/>
        <v>37115</v>
      </c>
    </row>
    <row r="1604" spans="1:2" ht="15" customHeight="1">
      <c r="A1604" s="228">
        <f t="shared" si="36"/>
        <v>47015</v>
      </c>
      <c r="B1604" s="233">
        <f t="shared" si="35"/>
        <v>37115</v>
      </c>
    </row>
    <row r="1605" spans="1:2" ht="15" customHeight="1">
      <c r="A1605" s="228">
        <f t="shared" si="36"/>
        <v>47016</v>
      </c>
      <c r="B1605" s="233">
        <f t="shared" si="35"/>
        <v>37115</v>
      </c>
    </row>
    <row r="1606" spans="1:2" ht="15" customHeight="1">
      <c r="A1606" s="228">
        <f t="shared" si="36"/>
        <v>47017</v>
      </c>
      <c r="B1606" s="233">
        <f t="shared" si="35"/>
        <v>37115</v>
      </c>
    </row>
    <row r="1607" spans="1:2" ht="15" customHeight="1">
      <c r="A1607" s="228">
        <f t="shared" si="36"/>
        <v>47018</v>
      </c>
      <c r="B1607" s="233">
        <f t="shared" si="35"/>
        <v>37115</v>
      </c>
    </row>
    <row r="1608" spans="1:2" ht="15" customHeight="1">
      <c r="A1608" s="228">
        <f t="shared" si="36"/>
        <v>47019</v>
      </c>
      <c r="B1608" s="233">
        <f t="shared" si="35"/>
        <v>37115</v>
      </c>
    </row>
    <row r="1609" spans="1:2" ht="15" customHeight="1">
      <c r="A1609" s="228">
        <f t="shared" si="36"/>
        <v>47020</v>
      </c>
      <c r="B1609" s="233">
        <f t="shared" si="35"/>
        <v>37115</v>
      </c>
    </row>
    <row r="1610" spans="1:2" ht="15" customHeight="1">
      <c r="A1610" s="228">
        <f t="shared" si="36"/>
        <v>47021</v>
      </c>
      <c r="B1610" s="233">
        <f t="shared" si="35"/>
        <v>37115</v>
      </c>
    </row>
    <row r="1611" spans="1:2" ht="15" customHeight="1">
      <c r="A1611" s="228">
        <f t="shared" si="36"/>
        <v>47022</v>
      </c>
      <c r="B1611" s="233">
        <f t="shared" si="35"/>
        <v>37115</v>
      </c>
    </row>
    <row r="1612" spans="1:2" ht="15" customHeight="1">
      <c r="A1612" s="228">
        <f t="shared" si="36"/>
        <v>47023</v>
      </c>
      <c r="B1612" s="233">
        <f t="shared" si="35"/>
        <v>37115</v>
      </c>
    </row>
    <row r="1613" spans="1:2" ht="15" customHeight="1">
      <c r="A1613" s="228">
        <f t="shared" si="36"/>
        <v>47024</v>
      </c>
      <c r="B1613" s="233">
        <f t="shared" si="35"/>
        <v>37115</v>
      </c>
    </row>
    <row r="1614" spans="1:2" ht="15" customHeight="1">
      <c r="A1614" s="228">
        <f t="shared" si="36"/>
        <v>47025</v>
      </c>
      <c r="B1614" s="233">
        <f t="shared" si="35"/>
        <v>37115</v>
      </c>
    </row>
    <row r="1615" spans="1:2" ht="15" customHeight="1">
      <c r="A1615" s="228">
        <f t="shared" si="36"/>
        <v>47026</v>
      </c>
      <c r="B1615" s="233">
        <f t="shared" si="35"/>
        <v>37115</v>
      </c>
    </row>
    <row r="1616" spans="1:2" ht="15" customHeight="1">
      <c r="A1616" s="228">
        <f t="shared" si="36"/>
        <v>47027</v>
      </c>
      <c r="B1616" s="233">
        <f t="shared" si="35"/>
        <v>37115</v>
      </c>
    </row>
    <row r="1617" spans="1:2" ht="15" customHeight="1">
      <c r="A1617" s="228">
        <f t="shared" si="36"/>
        <v>47028</v>
      </c>
      <c r="B1617" s="233">
        <f t="shared" si="35"/>
        <v>37115</v>
      </c>
    </row>
    <row r="1618" spans="1:2" ht="15" customHeight="1">
      <c r="A1618" s="228">
        <f t="shared" si="36"/>
        <v>47029</v>
      </c>
      <c r="B1618" s="233">
        <f t="shared" si="35"/>
        <v>37115</v>
      </c>
    </row>
    <row r="1619" spans="1:2" ht="15" customHeight="1">
      <c r="A1619" s="228">
        <f t="shared" si="36"/>
        <v>47030</v>
      </c>
      <c r="B1619" s="233">
        <f t="shared" si="35"/>
        <v>37115</v>
      </c>
    </row>
    <row r="1620" spans="1:2" ht="15" customHeight="1">
      <c r="A1620" s="228">
        <f t="shared" si="36"/>
        <v>47031</v>
      </c>
      <c r="B1620" s="233">
        <f t="shared" si="35"/>
        <v>37115</v>
      </c>
    </row>
    <row r="1621" spans="1:2" ht="15" customHeight="1">
      <c r="A1621" s="228">
        <f t="shared" si="36"/>
        <v>47032</v>
      </c>
      <c r="B1621" s="233">
        <f t="shared" si="35"/>
        <v>37115</v>
      </c>
    </row>
    <row r="1622" spans="1:2" ht="15" customHeight="1">
      <c r="A1622" s="228">
        <f t="shared" si="36"/>
        <v>47033</v>
      </c>
      <c r="B1622" s="233">
        <f t="shared" si="35"/>
        <v>37115</v>
      </c>
    </row>
    <row r="1623" spans="1:2" ht="15" customHeight="1">
      <c r="A1623" s="228">
        <f t="shared" si="36"/>
        <v>47034</v>
      </c>
      <c r="B1623" s="233">
        <f t="shared" si="35"/>
        <v>37115</v>
      </c>
    </row>
    <row r="1624" spans="1:2" ht="15" customHeight="1">
      <c r="A1624" s="228">
        <f t="shared" si="36"/>
        <v>47035</v>
      </c>
      <c r="B1624" s="233">
        <f t="shared" si="35"/>
        <v>37115</v>
      </c>
    </row>
    <row r="1625" spans="1:2" ht="15" customHeight="1">
      <c r="A1625" s="228">
        <f t="shared" si="36"/>
        <v>47036</v>
      </c>
      <c r="B1625" s="233">
        <f t="shared" si="35"/>
        <v>37115</v>
      </c>
    </row>
    <row r="1626" spans="1:2" ht="15" customHeight="1">
      <c r="A1626" s="228">
        <f t="shared" si="36"/>
        <v>47037</v>
      </c>
      <c r="B1626" s="233">
        <f t="shared" si="35"/>
        <v>37115</v>
      </c>
    </row>
    <row r="1627" spans="1:2" ht="15" customHeight="1">
      <c r="A1627" s="228">
        <f t="shared" si="36"/>
        <v>47038</v>
      </c>
      <c r="B1627" s="233">
        <f t="shared" si="35"/>
        <v>37115</v>
      </c>
    </row>
    <row r="1628" spans="1:2" ht="15" customHeight="1">
      <c r="A1628" s="228">
        <f t="shared" si="36"/>
        <v>47039</v>
      </c>
      <c r="B1628" s="233">
        <f t="shared" si="35"/>
        <v>37115</v>
      </c>
    </row>
    <row r="1629" spans="1:2" ht="15" customHeight="1">
      <c r="A1629" s="228">
        <f t="shared" si="36"/>
        <v>47040</v>
      </c>
      <c r="B1629" s="233">
        <f t="shared" si="35"/>
        <v>37115</v>
      </c>
    </row>
    <row r="1630" spans="1:2" ht="15" customHeight="1">
      <c r="A1630" s="228">
        <f t="shared" si="36"/>
        <v>47041</v>
      </c>
      <c r="B1630" s="233">
        <f t="shared" si="35"/>
        <v>37115</v>
      </c>
    </row>
    <row r="1631" spans="1:2" ht="15" customHeight="1">
      <c r="A1631" s="228">
        <f t="shared" si="36"/>
        <v>47042</v>
      </c>
      <c r="B1631" s="233">
        <f t="shared" si="35"/>
        <v>37115</v>
      </c>
    </row>
    <row r="1632" spans="1:2" ht="15" customHeight="1">
      <c r="A1632" s="228">
        <f t="shared" si="36"/>
        <v>47043</v>
      </c>
      <c r="B1632" s="233">
        <f t="shared" si="35"/>
        <v>37115</v>
      </c>
    </row>
    <row r="1633" spans="1:2" ht="15" customHeight="1">
      <c r="A1633" s="228">
        <f t="shared" si="36"/>
        <v>47044</v>
      </c>
      <c r="B1633" s="233">
        <f t="shared" si="35"/>
        <v>37115</v>
      </c>
    </row>
    <row r="1634" spans="1:2" ht="15" customHeight="1">
      <c r="A1634" s="228">
        <f t="shared" si="36"/>
        <v>47045</v>
      </c>
      <c r="B1634" s="233">
        <f t="shared" si="35"/>
        <v>37115</v>
      </c>
    </row>
    <row r="1635" spans="1:2" ht="15" customHeight="1">
      <c r="A1635" s="228">
        <f t="shared" si="36"/>
        <v>47046</v>
      </c>
      <c r="B1635" s="233">
        <f t="shared" si="35"/>
        <v>37115</v>
      </c>
    </row>
    <row r="1636" spans="1:2" ht="15" customHeight="1">
      <c r="A1636" s="228">
        <f t="shared" si="36"/>
        <v>47047</v>
      </c>
      <c r="B1636" s="233">
        <f t="shared" si="35"/>
        <v>37115</v>
      </c>
    </row>
    <row r="1637" spans="1:2" ht="15" customHeight="1">
      <c r="A1637" s="228">
        <f t="shared" si="36"/>
        <v>47048</v>
      </c>
      <c r="B1637" s="233">
        <f t="shared" si="35"/>
        <v>37115</v>
      </c>
    </row>
    <row r="1638" spans="1:2" ht="15" customHeight="1">
      <c r="A1638" s="228">
        <f t="shared" si="36"/>
        <v>47049</v>
      </c>
      <c r="B1638" s="233">
        <f t="shared" si="35"/>
        <v>37115</v>
      </c>
    </row>
    <row r="1639" spans="1:2" ht="15" customHeight="1">
      <c r="A1639" s="228">
        <f t="shared" si="36"/>
        <v>47050</v>
      </c>
      <c r="B1639" s="233">
        <f t="shared" si="35"/>
        <v>37115</v>
      </c>
    </row>
    <row r="1640" spans="1:2" ht="15" customHeight="1">
      <c r="A1640" s="228">
        <f t="shared" si="36"/>
        <v>47051</v>
      </c>
      <c r="B1640" s="233">
        <f t="shared" si="35"/>
        <v>37115</v>
      </c>
    </row>
    <row r="1641" spans="1:2" ht="15" customHeight="1">
      <c r="A1641" s="228">
        <f t="shared" si="36"/>
        <v>47052</v>
      </c>
      <c r="B1641" s="233">
        <f t="shared" si="35"/>
        <v>37115</v>
      </c>
    </row>
    <row r="1642" spans="1:2" ht="15" customHeight="1">
      <c r="A1642" s="228">
        <f t="shared" si="36"/>
        <v>47053</v>
      </c>
      <c r="B1642" s="233">
        <f t="shared" si="35"/>
        <v>37115</v>
      </c>
    </row>
    <row r="1643" spans="1:2" ht="15" customHeight="1">
      <c r="A1643" s="228">
        <f t="shared" si="36"/>
        <v>47054</v>
      </c>
      <c r="B1643" s="233">
        <f t="shared" si="35"/>
        <v>37115</v>
      </c>
    </row>
    <row r="1644" spans="1:2" ht="15" customHeight="1">
      <c r="A1644" s="228">
        <f t="shared" si="36"/>
        <v>47055</v>
      </c>
      <c r="B1644" s="233">
        <f t="shared" si="35"/>
        <v>37115</v>
      </c>
    </row>
    <row r="1645" spans="1:2" ht="15" customHeight="1">
      <c r="A1645" s="228">
        <f t="shared" si="36"/>
        <v>47056</v>
      </c>
      <c r="B1645" s="233">
        <f t="shared" si="35"/>
        <v>37115</v>
      </c>
    </row>
    <row r="1646" spans="1:2" ht="15" customHeight="1">
      <c r="A1646" s="228">
        <f t="shared" si="36"/>
        <v>47057</v>
      </c>
      <c r="B1646" s="233">
        <f t="shared" si="35"/>
        <v>37115</v>
      </c>
    </row>
    <row r="1647" spans="1:2" ht="15" customHeight="1">
      <c r="A1647" s="228">
        <f t="shared" si="36"/>
        <v>47058</v>
      </c>
      <c r="B1647" s="233">
        <f t="shared" si="35"/>
        <v>37115</v>
      </c>
    </row>
    <row r="1648" spans="1:2" ht="15" customHeight="1">
      <c r="A1648" s="228">
        <f t="shared" si="36"/>
        <v>47059</v>
      </c>
      <c r="B1648" s="233">
        <f t="shared" si="35"/>
        <v>37115</v>
      </c>
    </row>
    <row r="1649" spans="1:2" ht="15" customHeight="1">
      <c r="A1649" s="228">
        <f t="shared" si="36"/>
        <v>47060</v>
      </c>
      <c r="B1649" s="233">
        <f t="shared" si="35"/>
        <v>37115</v>
      </c>
    </row>
    <row r="1650" spans="1:2" ht="15" customHeight="1">
      <c r="A1650" s="228">
        <f t="shared" si="36"/>
        <v>47061</v>
      </c>
      <c r="B1650" s="233">
        <f t="shared" si="35"/>
        <v>37115</v>
      </c>
    </row>
    <row r="1651" spans="1:2" ht="15" customHeight="1">
      <c r="A1651" s="228">
        <f t="shared" si="36"/>
        <v>47062</v>
      </c>
      <c r="B1651" s="233">
        <f t="shared" si="35"/>
        <v>37115</v>
      </c>
    </row>
    <row r="1652" spans="1:2" ht="15" customHeight="1">
      <c r="A1652" s="228">
        <f t="shared" si="36"/>
        <v>47063</v>
      </c>
      <c r="B1652" s="233">
        <f t="shared" si="35"/>
        <v>37115</v>
      </c>
    </row>
    <row r="1653" spans="1:2" ht="15" customHeight="1">
      <c r="A1653" s="228">
        <f t="shared" si="36"/>
        <v>47064</v>
      </c>
      <c r="B1653" s="233">
        <f t="shared" si="35"/>
        <v>37115</v>
      </c>
    </row>
    <row r="1654" spans="1:2" ht="15" customHeight="1">
      <c r="A1654" s="228">
        <f t="shared" si="36"/>
        <v>47065</v>
      </c>
      <c r="B1654" s="233">
        <f t="shared" si="35"/>
        <v>37115</v>
      </c>
    </row>
    <row r="1655" spans="1:2" ht="15" customHeight="1">
      <c r="A1655" s="228">
        <f t="shared" si="36"/>
        <v>47066</v>
      </c>
      <c r="B1655" s="233">
        <f t="shared" ref="B1655:B1718" si="37">+B1654</f>
        <v>37115</v>
      </c>
    </row>
    <row r="1656" spans="1:2" ht="15" customHeight="1">
      <c r="A1656" s="228">
        <f t="shared" si="36"/>
        <v>47067</v>
      </c>
      <c r="B1656" s="233">
        <f t="shared" si="37"/>
        <v>37115</v>
      </c>
    </row>
    <row r="1657" spans="1:2" ht="15" customHeight="1">
      <c r="A1657" s="228">
        <f t="shared" si="36"/>
        <v>47068</v>
      </c>
      <c r="B1657" s="233">
        <f t="shared" si="37"/>
        <v>37115</v>
      </c>
    </row>
    <row r="1658" spans="1:2" ht="15" customHeight="1">
      <c r="A1658" s="228">
        <f t="shared" si="36"/>
        <v>47069</v>
      </c>
      <c r="B1658" s="233">
        <f t="shared" si="37"/>
        <v>37115</v>
      </c>
    </row>
    <row r="1659" spans="1:2" ht="15" customHeight="1">
      <c r="A1659" s="228">
        <f t="shared" si="36"/>
        <v>47070</v>
      </c>
      <c r="B1659" s="233">
        <f t="shared" si="37"/>
        <v>37115</v>
      </c>
    </row>
    <row r="1660" spans="1:2" ht="15" customHeight="1">
      <c r="A1660" s="228">
        <f t="shared" si="36"/>
        <v>47071</v>
      </c>
      <c r="B1660" s="233">
        <f t="shared" si="37"/>
        <v>37115</v>
      </c>
    </row>
    <row r="1661" spans="1:2" ht="15" customHeight="1">
      <c r="A1661" s="228">
        <f t="shared" ref="A1661:A1724" si="38">+A1660+1</f>
        <v>47072</v>
      </c>
      <c r="B1661" s="233">
        <f t="shared" si="37"/>
        <v>37115</v>
      </c>
    </row>
    <row r="1662" spans="1:2" ht="15" customHeight="1">
      <c r="A1662" s="228">
        <f t="shared" si="38"/>
        <v>47073</v>
      </c>
      <c r="B1662" s="233">
        <f t="shared" si="37"/>
        <v>37115</v>
      </c>
    </row>
    <row r="1663" spans="1:2" ht="15" customHeight="1">
      <c r="A1663" s="228">
        <f t="shared" si="38"/>
        <v>47074</v>
      </c>
      <c r="B1663" s="233">
        <f t="shared" si="37"/>
        <v>37115</v>
      </c>
    </row>
    <row r="1664" spans="1:2" ht="15" customHeight="1">
      <c r="A1664" s="228">
        <f t="shared" si="38"/>
        <v>47075</v>
      </c>
      <c r="B1664" s="233">
        <f t="shared" si="37"/>
        <v>37115</v>
      </c>
    </row>
    <row r="1665" spans="1:2" ht="15" customHeight="1">
      <c r="A1665" s="228">
        <f t="shared" si="38"/>
        <v>47076</v>
      </c>
      <c r="B1665" s="233">
        <f t="shared" si="37"/>
        <v>37115</v>
      </c>
    </row>
    <row r="1666" spans="1:2" ht="15" customHeight="1">
      <c r="A1666" s="228">
        <f t="shared" si="38"/>
        <v>47077</v>
      </c>
      <c r="B1666" s="233">
        <f t="shared" si="37"/>
        <v>37115</v>
      </c>
    </row>
    <row r="1667" spans="1:2" ht="15" customHeight="1">
      <c r="A1667" s="228">
        <f t="shared" si="38"/>
        <v>47078</v>
      </c>
      <c r="B1667" s="233">
        <f t="shared" si="37"/>
        <v>37115</v>
      </c>
    </row>
    <row r="1668" spans="1:2" ht="15" customHeight="1">
      <c r="A1668" s="228">
        <f t="shared" si="38"/>
        <v>47079</v>
      </c>
      <c r="B1668" s="233">
        <f t="shared" si="37"/>
        <v>37115</v>
      </c>
    </row>
    <row r="1669" spans="1:2" ht="15" customHeight="1">
      <c r="A1669" s="228">
        <f t="shared" si="38"/>
        <v>47080</v>
      </c>
      <c r="B1669" s="233">
        <f t="shared" si="37"/>
        <v>37115</v>
      </c>
    </row>
    <row r="1670" spans="1:2" ht="15" customHeight="1">
      <c r="A1670" s="228">
        <f t="shared" si="38"/>
        <v>47081</v>
      </c>
      <c r="B1670" s="233">
        <f t="shared" si="37"/>
        <v>37115</v>
      </c>
    </row>
    <row r="1671" spans="1:2" ht="15" customHeight="1">
      <c r="A1671" s="228">
        <f t="shared" si="38"/>
        <v>47082</v>
      </c>
      <c r="B1671" s="233">
        <f t="shared" si="37"/>
        <v>37115</v>
      </c>
    </row>
    <row r="1672" spans="1:2" ht="15" customHeight="1">
      <c r="A1672" s="228">
        <f t="shared" si="38"/>
        <v>47083</v>
      </c>
      <c r="B1672" s="233">
        <f t="shared" si="37"/>
        <v>37115</v>
      </c>
    </row>
    <row r="1673" spans="1:2" ht="15" customHeight="1">
      <c r="A1673" s="228">
        <f t="shared" si="38"/>
        <v>47084</v>
      </c>
      <c r="B1673" s="233">
        <f t="shared" si="37"/>
        <v>37115</v>
      </c>
    </row>
    <row r="1674" spans="1:2" ht="15" customHeight="1">
      <c r="A1674" s="228">
        <f t="shared" si="38"/>
        <v>47085</v>
      </c>
      <c r="B1674" s="233">
        <f t="shared" si="37"/>
        <v>37115</v>
      </c>
    </row>
    <row r="1675" spans="1:2" ht="15" customHeight="1">
      <c r="A1675" s="228">
        <f t="shared" si="38"/>
        <v>47086</v>
      </c>
      <c r="B1675" s="233">
        <f t="shared" si="37"/>
        <v>37115</v>
      </c>
    </row>
    <row r="1676" spans="1:2" ht="15" customHeight="1">
      <c r="A1676" s="228">
        <f t="shared" si="38"/>
        <v>47087</v>
      </c>
      <c r="B1676" s="233">
        <f t="shared" si="37"/>
        <v>37115</v>
      </c>
    </row>
    <row r="1677" spans="1:2" ht="15" customHeight="1">
      <c r="A1677" s="228">
        <f t="shared" si="38"/>
        <v>47088</v>
      </c>
      <c r="B1677" s="233">
        <f t="shared" si="37"/>
        <v>37115</v>
      </c>
    </row>
    <row r="1678" spans="1:2" ht="15" customHeight="1">
      <c r="A1678" s="228">
        <f t="shared" si="38"/>
        <v>47089</v>
      </c>
      <c r="B1678" s="233">
        <f t="shared" si="37"/>
        <v>37115</v>
      </c>
    </row>
    <row r="1679" spans="1:2" ht="15" customHeight="1">
      <c r="A1679" s="228">
        <f t="shared" si="38"/>
        <v>47090</v>
      </c>
      <c r="B1679" s="233">
        <f t="shared" si="37"/>
        <v>37115</v>
      </c>
    </row>
    <row r="1680" spans="1:2" ht="15" customHeight="1">
      <c r="A1680" s="228">
        <f t="shared" si="38"/>
        <v>47091</v>
      </c>
      <c r="B1680" s="233">
        <f t="shared" si="37"/>
        <v>37115</v>
      </c>
    </row>
    <row r="1681" spans="1:2" ht="15" customHeight="1">
      <c r="A1681" s="228">
        <f t="shared" si="38"/>
        <v>47092</v>
      </c>
      <c r="B1681" s="233">
        <f t="shared" si="37"/>
        <v>37115</v>
      </c>
    </row>
    <row r="1682" spans="1:2" ht="15" customHeight="1">
      <c r="A1682" s="228">
        <f t="shared" si="38"/>
        <v>47093</v>
      </c>
      <c r="B1682" s="233">
        <f t="shared" si="37"/>
        <v>37115</v>
      </c>
    </row>
    <row r="1683" spans="1:2" ht="15" customHeight="1">
      <c r="A1683" s="228">
        <f t="shared" si="38"/>
        <v>47094</v>
      </c>
      <c r="B1683" s="233">
        <f t="shared" si="37"/>
        <v>37115</v>
      </c>
    </row>
    <row r="1684" spans="1:2" ht="15" customHeight="1">
      <c r="A1684" s="228">
        <f t="shared" si="38"/>
        <v>47095</v>
      </c>
      <c r="B1684" s="233">
        <f t="shared" si="37"/>
        <v>37115</v>
      </c>
    </row>
    <row r="1685" spans="1:2" ht="15" customHeight="1">
      <c r="A1685" s="228">
        <f t="shared" si="38"/>
        <v>47096</v>
      </c>
      <c r="B1685" s="233">
        <f t="shared" si="37"/>
        <v>37115</v>
      </c>
    </row>
    <row r="1686" spans="1:2" ht="15" customHeight="1">
      <c r="A1686" s="228">
        <f t="shared" si="38"/>
        <v>47097</v>
      </c>
      <c r="B1686" s="233">
        <f t="shared" si="37"/>
        <v>37115</v>
      </c>
    </row>
    <row r="1687" spans="1:2" ht="15" customHeight="1">
      <c r="A1687" s="228">
        <f t="shared" si="38"/>
        <v>47098</v>
      </c>
      <c r="B1687" s="233">
        <f t="shared" si="37"/>
        <v>37115</v>
      </c>
    </row>
    <row r="1688" spans="1:2" ht="15" customHeight="1">
      <c r="A1688" s="228">
        <f t="shared" si="38"/>
        <v>47099</v>
      </c>
      <c r="B1688" s="233">
        <f t="shared" si="37"/>
        <v>37115</v>
      </c>
    </row>
    <row r="1689" spans="1:2" ht="15" customHeight="1">
      <c r="A1689" s="228">
        <f t="shared" si="38"/>
        <v>47100</v>
      </c>
      <c r="B1689" s="233">
        <f t="shared" si="37"/>
        <v>37115</v>
      </c>
    </row>
    <row r="1690" spans="1:2" ht="15" customHeight="1">
      <c r="A1690" s="228">
        <f t="shared" si="38"/>
        <v>47101</v>
      </c>
      <c r="B1690" s="233">
        <f t="shared" si="37"/>
        <v>37115</v>
      </c>
    </row>
    <row r="1691" spans="1:2" ht="15" customHeight="1">
      <c r="A1691" s="228">
        <f t="shared" si="38"/>
        <v>47102</v>
      </c>
      <c r="B1691" s="233">
        <f t="shared" si="37"/>
        <v>37115</v>
      </c>
    </row>
    <row r="1692" spans="1:2" ht="15" customHeight="1">
      <c r="A1692" s="228">
        <f t="shared" si="38"/>
        <v>47103</v>
      </c>
      <c r="B1692" s="233">
        <f t="shared" si="37"/>
        <v>37115</v>
      </c>
    </row>
    <row r="1693" spans="1:2" ht="15" customHeight="1">
      <c r="A1693" s="228">
        <f t="shared" si="38"/>
        <v>47104</v>
      </c>
      <c r="B1693" s="233">
        <f t="shared" si="37"/>
        <v>37115</v>
      </c>
    </row>
    <row r="1694" spans="1:2" ht="15" customHeight="1">
      <c r="A1694" s="228">
        <f t="shared" si="38"/>
        <v>47105</v>
      </c>
      <c r="B1694" s="233">
        <f t="shared" si="37"/>
        <v>37115</v>
      </c>
    </row>
    <row r="1695" spans="1:2" ht="15" customHeight="1">
      <c r="A1695" s="228">
        <f t="shared" si="38"/>
        <v>47106</v>
      </c>
      <c r="B1695" s="233">
        <f t="shared" si="37"/>
        <v>37115</v>
      </c>
    </row>
    <row r="1696" spans="1:2" ht="15" customHeight="1">
      <c r="A1696" s="228">
        <f t="shared" si="38"/>
        <v>47107</v>
      </c>
      <c r="B1696" s="233">
        <f t="shared" si="37"/>
        <v>37115</v>
      </c>
    </row>
    <row r="1697" spans="1:2" ht="15" customHeight="1">
      <c r="A1697" s="228">
        <f t="shared" si="38"/>
        <v>47108</v>
      </c>
      <c r="B1697" s="233">
        <f t="shared" si="37"/>
        <v>37115</v>
      </c>
    </row>
    <row r="1698" spans="1:2" ht="15" customHeight="1">
      <c r="A1698" s="228">
        <f t="shared" si="38"/>
        <v>47109</v>
      </c>
      <c r="B1698" s="233">
        <f t="shared" si="37"/>
        <v>37115</v>
      </c>
    </row>
    <row r="1699" spans="1:2" ht="15" customHeight="1">
      <c r="A1699" s="228">
        <f t="shared" si="38"/>
        <v>47110</v>
      </c>
      <c r="B1699" s="233">
        <f t="shared" si="37"/>
        <v>37115</v>
      </c>
    </row>
    <row r="1700" spans="1:2" ht="15" customHeight="1">
      <c r="A1700" s="228">
        <f t="shared" si="38"/>
        <v>47111</v>
      </c>
      <c r="B1700" s="233">
        <f t="shared" si="37"/>
        <v>37115</v>
      </c>
    </row>
    <row r="1701" spans="1:2" ht="15" customHeight="1">
      <c r="A1701" s="228">
        <f t="shared" si="38"/>
        <v>47112</v>
      </c>
      <c r="B1701" s="233">
        <f t="shared" si="37"/>
        <v>37115</v>
      </c>
    </row>
    <row r="1702" spans="1:2" ht="15" customHeight="1">
      <c r="A1702" s="228">
        <f t="shared" si="38"/>
        <v>47113</v>
      </c>
      <c r="B1702" s="233">
        <f t="shared" si="37"/>
        <v>37115</v>
      </c>
    </row>
    <row r="1703" spans="1:2" ht="15" customHeight="1">
      <c r="A1703" s="228">
        <f t="shared" si="38"/>
        <v>47114</v>
      </c>
      <c r="B1703" s="233">
        <f t="shared" si="37"/>
        <v>37115</v>
      </c>
    </row>
    <row r="1704" spans="1:2" ht="15" customHeight="1">
      <c r="A1704" s="228">
        <f t="shared" si="38"/>
        <v>47115</v>
      </c>
      <c r="B1704" s="233">
        <f t="shared" si="37"/>
        <v>37115</v>
      </c>
    </row>
    <row r="1705" spans="1:2" ht="15" customHeight="1">
      <c r="A1705" s="228">
        <f t="shared" si="38"/>
        <v>47116</v>
      </c>
      <c r="B1705" s="233">
        <f t="shared" si="37"/>
        <v>37115</v>
      </c>
    </row>
    <row r="1706" spans="1:2" ht="15" customHeight="1">
      <c r="A1706" s="228">
        <f t="shared" si="38"/>
        <v>47117</v>
      </c>
      <c r="B1706" s="233">
        <f t="shared" si="37"/>
        <v>37115</v>
      </c>
    </row>
    <row r="1707" spans="1:2" ht="15" customHeight="1">
      <c r="A1707" s="228">
        <f t="shared" si="38"/>
        <v>47118</v>
      </c>
      <c r="B1707" s="233">
        <f t="shared" si="37"/>
        <v>37115</v>
      </c>
    </row>
    <row r="1708" spans="1:2" ht="15" customHeight="1">
      <c r="A1708" s="228">
        <f t="shared" si="38"/>
        <v>47119</v>
      </c>
      <c r="B1708" s="233">
        <f t="shared" si="37"/>
        <v>37115</v>
      </c>
    </row>
    <row r="1709" spans="1:2" ht="15" customHeight="1">
      <c r="A1709" s="228">
        <f t="shared" si="38"/>
        <v>47120</v>
      </c>
      <c r="B1709" s="233">
        <f t="shared" si="37"/>
        <v>37115</v>
      </c>
    </row>
    <row r="1710" spans="1:2" ht="15" customHeight="1">
      <c r="A1710" s="228">
        <f t="shared" si="38"/>
        <v>47121</v>
      </c>
      <c r="B1710" s="233">
        <f t="shared" si="37"/>
        <v>37115</v>
      </c>
    </row>
    <row r="1711" spans="1:2" ht="15" customHeight="1">
      <c r="A1711" s="228">
        <f t="shared" si="38"/>
        <v>47122</v>
      </c>
      <c r="B1711" s="233">
        <f t="shared" si="37"/>
        <v>37115</v>
      </c>
    </row>
    <row r="1712" spans="1:2" ht="15" customHeight="1">
      <c r="A1712" s="228">
        <f t="shared" si="38"/>
        <v>47123</v>
      </c>
      <c r="B1712" s="233">
        <f t="shared" si="37"/>
        <v>37115</v>
      </c>
    </row>
    <row r="1713" spans="1:2" ht="15" customHeight="1">
      <c r="A1713" s="228">
        <f t="shared" si="38"/>
        <v>47124</v>
      </c>
      <c r="B1713" s="233">
        <f t="shared" si="37"/>
        <v>37115</v>
      </c>
    </row>
    <row r="1714" spans="1:2" ht="15" customHeight="1">
      <c r="A1714" s="228">
        <f t="shared" si="38"/>
        <v>47125</v>
      </c>
      <c r="B1714" s="233">
        <f t="shared" si="37"/>
        <v>37115</v>
      </c>
    </row>
    <row r="1715" spans="1:2" ht="15" customHeight="1">
      <c r="A1715" s="228">
        <f t="shared" si="38"/>
        <v>47126</v>
      </c>
      <c r="B1715" s="233">
        <f t="shared" si="37"/>
        <v>37115</v>
      </c>
    </row>
    <row r="1716" spans="1:2" ht="15" customHeight="1">
      <c r="A1716" s="228">
        <f t="shared" si="38"/>
        <v>47127</v>
      </c>
      <c r="B1716" s="233">
        <f t="shared" si="37"/>
        <v>37115</v>
      </c>
    </row>
    <row r="1717" spans="1:2" ht="15" customHeight="1">
      <c r="A1717" s="228">
        <f t="shared" si="38"/>
        <v>47128</v>
      </c>
      <c r="B1717" s="233">
        <f t="shared" si="37"/>
        <v>37115</v>
      </c>
    </row>
    <row r="1718" spans="1:2" ht="15" customHeight="1">
      <c r="A1718" s="228">
        <f t="shared" si="38"/>
        <v>47129</v>
      </c>
      <c r="B1718" s="233">
        <f t="shared" si="37"/>
        <v>37115</v>
      </c>
    </row>
    <row r="1719" spans="1:2" ht="15" customHeight="1">
      <c r="A1719" s="228">
        <f t="shared" si="38"/>
        <v>47130</v>
      </c>
      <c r="B1719" s="233">
        <f t="shared" ref="B1719:B1782" si="39">+B1718</f>
        <v>37115</v>
      </c>
    </row>
    <row r="1720" spans="1:2" ht="15" customHeight="1">
      <c r="A1720" s="228">
        <f t="shared" si="38"/>
        <v>47131</v>
      </c>
      <c r="B1720" s="233">
        <f t="shared" si="39"/>
        <v>37115</v>
      </c>
    </row>
    <row r="1721" spans="1:2" ht="15" customHeight="1">
      <c r="A1721" s="228">
        <f t="shared" si="38"/>
        <v>47132</v>
      </c>
      <c r="B1721" s="233">
        <f t="shared" si="39"/>
        <v>37115</v>
      </c>
    </row>
    <row r="1722" spans="1:2" ht="15" customHeight="1">
      <c r="A1722" s="228">
        <f t="shared" si="38"/>
        <v>47133</v>
      </c>
      <c r="B1722" s="233">
        <f t="shared" si="39"/>
        <v>37115</v>
      </c>
    </row>
    <row r="1723" spans="1:2" ht="15" customHeight="1">
      <c r="A1723" s="228">
        <f t="shared" si="38"/>
        <v>47134</v>
      </c>
      <c r="B1723" s="233">
        <f t="shared" si="39"/>
        <v>37115</v>
      </c>
    </row>
    <row r="1724" spans="1:2" ht="15" customHeight="1">
      <c r="A1724" s="228">
        <f t="shared" si="38"/>
        <v>47135</v>
      </c>
      <c r="B1724" s="233">
        <f t="shared" si="39"/>
        <v>37115</v>
      </c>
    </row>
    <row r="1725" spans="1:2" ht="15" customHeight="1">
      <c r="A1725" s="228">
        <f t="shared" ref="A1725:A1788" si="40">+A1724+1</f>
        <v>47136</v>
      </c>
      <c r="B1725" s="233">
        <f t="shared" si="39"/>
        <v>37115</v>
      </c>
    </row>
    <row r="1726" spans="1:2" ht="15" customHeight="1">
      <c r="A1726" s="228">
        <f t="shared" si="40"/>
        <v>47137</v>
      </c>
      <c r="B1726" s="233">
        <f t="shared" si="39"/>
        <v>37115</v>
      </c>
    </row>
    <row r="1727" spans="1:2" ht="15" customHeight="1">
      <c r="A1727" s="228">
        <f t="shared" si="40"/>
        <v>47138</v>
      </c>
      <c r="B1727" s="233">
        <f t="shared" si="39"/>
        <v>37115</v>
      </c>
    </row>
    <row r="1728" spans="1:2" ht="15" customHeight="1">
      <c r="A1728" s="228">
        <f t="shared" si="40"/>
        <v>47139</v>
      </c>
      <c r="B1728" s="233">
        <f t="shared" si="39"/>
        <v>37115</v>
      </c>
    </row>
    <row r="1729" spans="1:2" ht="15" customHeight="1">
      <c r="A1729" s="228">
        <f t="shared" si="40"/>
        <v>47140</v>
      </c>
      <c r="B1729" s="233">
        <f t="shared" si="39"/>
        <v>37115</v>
      </c>
    </row>
    <row r="1730" spans="1:2" ht="15" customHeight="1">
      <c r="A1730" s="228">
        <f t="shared" si="40"/>
        <v>47141</v>
      </c>
      <c r="B1730" s="233">
        <f t="shared" si="39"/>
        <v>37115</v>
      </c>
    </row>
    <row r="1731" spans="1:2" ht="15" customHeight="1">
      <c r="A1731" s="228">
        <f t="shared" si="40"/>
        <v>47142</v>
      </c>
      <c r="B1731" s="233">
        <f t="shared" si="39"/>
        <v>37115</v>
      </c>
    </row>
    <row r="1732" spans="1:2" ht="15" customHeight="1">
      <c r="A1732" s="228">
        <f t="shared" si="40"/>
        <v>47143</v>
      </c>
      <c r="B1732" s="233">
        <f t="shared" si="39"/>
        <v>37115</v>
      </c>
    </row>
    <row r="1733" spans="1:2" ht="15" customHeight="1">
      <c r="A1733" s="228">
        <f t="shared" si="40"/>
        <v>47144</v>
      </c>
      <c r="B1733" s="233">
        <f t="shared" si="39"/>
        <v>37115</v>
      </c>
    </row>
    <row r="1734" spans="1:2" ht="15" customHeight="1">
      <c r="A1734" s="228">
        <f t="shared" si="40"/>
        <v>47145</v>
      </c>
      <c r="B1734" s="233">
        <f t="shared" si="39"/>
        <v>37115</v>
      </c>
    </row>
    <row r="1735" spans="1:2" ht="15" customHeight="1">
      <c r="A1735" s="228">
        <f t="shared" si="40"/>
        <v>47146</v>
      </c>
      <c r="B1735" s="233">
        <f t="shared" si="39"/>
        <v>37115</v>
      </c>
    </row>
    <row r="1736" spans="1:2" ht="15" customHeight="1">
      <c r="A1736" s="228">
        <f t="shared" si="40"/>
        <v>47147</v>
      </c>
      <c r="B1736" s="233">
        <f t="shared" si="39"/>
        <v>37115</v>
      </c>
    </row>
    <row r="1737" spans="1:2" ht="15" customHeight="1">
      <c r="A1737" s="228">
        <f t="shared" si="40"/>
        <v>47148</v>
      </c>
      <c r="B1737" s="233">
        <f t="shared" si="39"/>
        <v>37115</v>
      </c>
    </row>
    <row r="1738" spans="1:2" ht="15" customHeight="1">
      <c r="A1738" s="228">
        <f t="shared" si="40"/>
        <v>47149</v>
      </c>
      <c r="B1738" s="233">
        <f t="shared" si="39"/>
        <v>37115</v>
      </c>
    </row>
    <row r="1739" spans="1:2" ht="15" customHeight="1">
      <c r="A1739" s="228">
        <f t="shared" si="40"/>
        <v>47150</v>
      </c>
      <c r="B1739" s="233">
        <f t="shared" si="39"/>
        <v>37115</v>
      </c>
    </row>
    <row r="1740" spans="1:2" ht="15" customHeight="1">
      <c r="A1740" s="228">
        <f t="shared" si="40"/>
        <v>47151</v>
      </c>
      <c r="B1740" s="233">
        <f t="shared" si="39"/>
        <v>37115</v>
      </c>
    </row>
    <row r="1741" spans="1:2" ht="15" customHeight="1">
      <c r="A1741" s="228">
        <f t="shared" si="40"/>
        <v>47152</v>
      </c>
      <c r="B1741" s="233">
        <f t="shared" si="39"/>
        <v>37115</v>
      </c>
    </row>
    <row r="1742" spans="1:2" ht="15" customHeight="1">
      <c r="A1742" s="228">
        <f t="shared" si="40"/>
        <v>47153</v>
      </c>
      <c r="B1742" s="233">
        <f t="shared" si="39"/>
        <v>37115</v>
      </c>
    </row>
    <row r="1743" spans="1:2" ht="15" customHeight="1">
      <c r="A1743" s="228">
        <f t="shared" si="40"/>
        <v>47154</v>
      </c>
      <c r="B1743" s="233">
        <f t="shared" si="39"/>
        <v>37115</v>
      </c>
    </row>
    <row r="1744" spans="1:2" ht="15" customHeight="1">
      <c r="A1744" s="228">
        <f t="shared" si="40"/>
        <v>47155</v>
      </c>
      <c r="B1744" s="233">
        <f t="shared" si="39"/>
        <v>37115</v>
      </c>
    </row>
    <row r="1745" spans="1:2" ht="15" customHeight="1">
      <c r="A1745" s="228">
        <f t="shared" si="40"/>
        <v>47156</v>
      </c>
      <c r="B1745" s="233">
        <f t="shared" si="39"/>
        <v>37115</v>
      </c>
    </row>
    <row r="1746" spans="1:2" ht="15" customHeight="1">
      <c r="A1746" s="228">
        <f t="shared" si="40"/>
        <v>47157</v>
      </c>
      <c r="B1746" s="233">
        <f t="shared" si="39"/>
        <v>37115</v>
      </c>
    </row>
    <row r="1747" spans="1:2" ht="15" customHeight="1">
      <c r="A1747" s="228">
        <f t="shared" si="40"/>
        <v>47158</v>
      </c>
      <c r="B1747" s="233">
        <f t="shared" si="39"/>
        <v>37115</v>
      </c>
    </row>
    <row r="1748" spans="1:2" ht="15" customHeight="1">
      <c r="A1748" s="228">
        <f t="shared" si="40"/>
        <v>47159</v>
      </c>
      <c r="B1748" s="233">
        <f t="shared" si="39"/>
        <v>37115</v>
      </c>
    </row>
    <row r="1749" spans="1:2" ht="15" customHeight="1">
      <c r="A1749" s="228">
        <f t="shared" si="40"/>
        <v>47160</v>
      </c>
      <c r="B1749" s="233">
        <f t="shared" si="39"/>
        <v>37115</v>
      </c>
    </row>
    <row r="1750" spans="1:2" ht="15" customHeight="1">
      <c r="A1750" s="228">
        <f t="shared" si="40"/>
        <v>47161</v>
      </c>
      <c r="B1750" s="233">
        <f t="shared" si="39"/>
        <v>37115</v>
      </c>
    </row>
    <row r="1751" spans="1:2" ht="15" customHeight="1">
      <c r="A1751" s="228">
        <f t="shared" si="40"/>
        <v>47162</v>
      </c>
      <c r="B1751" s="233">
        <f t="shared" si="39"/>
        <v>37115</v>
      </c>
    </row>
    <row r="1752" spans="1:2" ht="15" customHeight="1">
      <c r="A1752" s="228">
        <f t="shared" si="40"/>
        <v>47163</v>
      </c>
      <c r="B1752" s="233">
        <f t="shared" si="39"/>
        <v>37115</v>
      </c>
    </row>
    <row r="1753" spans="1:2" ht="15" customHeight="1">
      <c r="A1753" s="228">
        <f t="shared" si="40"/>
        <v>47164</v>
      </c>
      <c r="B1753" s="233">
        <f t="shared" si="39"/>
        <v>37115</v>
      </c>
    </row>
    <row r="1754" spans="1:2" ht="15" customHeight="1">
      <c r="A1754" s="228">
        <f t="shared" si="40"/>
        <v>47165</v>
      </c>
      <c r="B1754" s="233">
        <f t="shared" si="39"/>
        <v>37115</v>
      </c>
    </row>
    <row r="1755" spans="1:2" ht="15" customHeight="1">
      <c r="A1755" s="228">
        <f t="shared" si="40"/>
        <v>47166</v>
      </c>
      <c r="B1755" s="233">
        <f t="shared" si="39"/>
        <v>37115</v>
      </c>
    </row>
    <row r="1756" spans="1:2" ht="15" customHeight="1">
      <c r="A1756" s="228">
        <f t="shared" si="40"/>
        <v>47167</v>
      </c>
      <c r="B1756" s="233">
        <f t="shared" si="39"/>
        <v>37115</v>
      </c>
    </row>
    <row r="1757" spans="1:2" ht="15" customHeight="1">
      <c r="A1757" s="228">
        <f t="shared" si="40"/>
        <v>47168</v>
      </c>
      <c r="B1757" s="233">
        <f t="shared" si="39"/>
        <v>37115</v>
      </c>
    </row>
    <row r="1758" spans="1:2" ht="15" customHeight="1">
      <c r="A1758" s="228">
        <f t="shared" si="40"/>
        <v>47169</v>
      </c>
      <c r="B1758" s="233">
        <f t="shared" si="39"/>
        <v>37115</v>
      </c>
    </row>
    <row r="1759" spans="1:2" ht="15" customHeight="1">
      <c r="A1759" s="228">
        <f t="shared" si="40"/>
        <v>47170</v>
      </c>
      <c r="B1759" s="233">
        <f t="shared" si="39"/>
        <v>37115</v>
      </c>
    </row>
    <row r="1760" spans="1:2" ht="15" customHeight="1">
      <c r="A1760" s="228">
        <f t="shared" si="40"/>
        <v>47171</v>
      </c>
      <c r="B1760" s="233">
        <f t="shared" si="39"/>
        <v>37115</v>
      </c>
    </row>
    <row r="1761" spans="1:2" ht="15" customHeight="1">
      <c r="A1761" s="228">
        <f t="shared" si="40"/>
        <v>47172</v>
      </c>
      <c r="B1761" s="233">
        <f t="shared" si="39"/>
        <v>37115</v>
      </c>
    </row>
    <row r="1762" spans="1:2" ht="15" customHeight="1">
      <c r="A1762" s="228">
        <f t="shared" si="40"/>
        <v>47173</v>
      </c>
      <c r="B1762" s="233">
        <f t="shared" si="39"/>
        <v>37115</v>
      </c>
    </row>
    <row r="1763" spans="1:2" ht="15" customHeight="1">
      <c r="A1763" s="228">
        <f t="shared" si="40"/>
        <v>47174</v>
      </c>
      <c r="B1763" s="233">
        <f t="shared" si="39"/>
        <v>37115</v>
      </c>
    </row>
    <row r="1764" spans="1:2" ht="15" customHeight="1">
      <c r="A1764" s="228">
        <f t="shared" si="40"/>
        <v>47175</v>
      </c>
      <c r="B1764" s="233">
        <f t="shared" si="39"/>
        <v>37115</v>
      </c>
    </row>
    <row r="1765" spans="1:2" ht="15" customHeight="1">
      <c r="A1765" s="228">
        <f t="shared" si="40"/>
        <v>47176</v>
      </c>
      <c r="B1765" s="233">
        <f t="shared" si="39"/>
        <v>37115</v>
      </c>
    </row>
    <row r="1766" spans="1:2" ht="15" customHeight="1">
      <c r="A1766" s="228">
        <f t="shared" si="40"/>
        <v>47177</v>
      </c>
      <c r="B1766" s="233">
        <f t="shared" si="39"/>
        <v>37115</v>
      </c>
    </row>
    <row r="1767" spans="1:2" ht="15" customHeight="1">
      <c r="A1767" s="228">
        <f t="shared" si="40"/>
        <v>47178</v>
      </c>
      <c r="B1767" s="233">
        <f t="shared" si="39"/>
        <v>37115</v>
      </c>
    </row>
    <row r="1768" spans="1:2" ht="15" customHeight="1">
      <c r="A1768" s="228">
        <f t="shared" si="40"/>
        <v>47179</v>
      </c>
      <c r="B1768" s="233">
        <f t="shared" si="39"/>
        <v>37115</v>
      </c>
    </row>
    <row r="1769" spans="1:2" ht="15" customHeight="1">
      <c r="A1769" s="228">
        <f t="shared" si="40"/>
        <v>47180</v>
      </c>
      <c r="B1769" s="233">
        <f t="shared" si="39"/>
        <v>37115</v>
      </c>
    </row>
    <row r="1770" spans="1:2" ht="15" customHeight="1">
      <c r="A1770" s="228">
        <f t="shared" si="40"/>
        <v>47181</v>
      </c>
      <c r="B1770" s="233">
        <f t="shared" si="39"/>
        <v>37115</v>
      </c>
    </row>
    <row r="1771" spans="1:2" ht="15" customHeight="1">
      <c r="A1771" s="228">
        <f t="shared" si="40"/>
        <v>47182</v>
      </c>
      <c r="B1771" s="233">
        <f t="shared" si="39"/>
        <v>37115</v>
      </c>
    </row>
    <row r="1772" spans="1:2" ht="15" customHeight="1">
      <c r="A1772" s="228">
        <f t="shared" si="40"/>
        <v>47183</v>
      </c>
      <c r="B1772" s="233">
        <f t="shared" si="39"/>
        <v>37115</v>
      </c>
    </row>
    <row r="1773" spans="1:2" ht="15" customHeight="1">
      <c r="A1773" s="228">
        <f t="shared" si="40"/>
        <v>47184</v>
      </c>
      <c r="B1773" s="233">
        <f t="shared" si="39"/>
        <v>37115</v>
      </c>
    </row>
    <row r="1774" spans="1:2" ht="15" customHeight="1">
      <c r="A1774" s="228">
        <f t="shared" si="40"/>
        <v>47185</v>
      </c>
      <c r="B1774" s="233">
        <f t="shared" si="39"/>
        <v>37115</v>
      </c>
    </row>
    <row r="1775" spans="1:2" ht="15" customHeight="1">
      <c r="A1775" s="228">
        <f t="shared" si="40"/>
        <v>47186</v>
      </c>
      <c r="B1775" s="233">
        <f t="shared" si="39"/>
        <v>37115</v>
      </c>
    </row>
    <row r="1776" spans="1:2" ht="15" customHeight="1">
      <c r="A1776" s="228">
        <f t="shared" si="40"/>
        <v>47187</v>
      </c>
      <c r="B1776" s="233">
        <f t="shared" si="39"/>
        <v>37115</v>
      </c>
    </row>
    <row r="1777" spans="1:2" ht="15" customHeight="1">
      <c r="A1777" s="228">
        <f t="shared" si="40"/>
        <v>47188</v>
      </c>
      <c r="B1777" s="233">
        <f t="shared" si="39"/>
        <v>37115</v>
      </c>
    </row>
    <row r="1778" spans="1:2" ht="15" customHeight="1">
      <c r="A1778" s="228">
        <f t="shared" si="40"/>
        <v>47189</v>
      </c>
      <c r="B1778" s="233">
        <f t="shared" si="39"/>
        <v>37115</v>
      </c>
    </row>
    <row r="1779" spans="1:2" ht="15" customHeight="1">
      <c r="A1779" s="228">
        <f t="shared" si="40"/>
        <v>47190</v>
      </c>
      <c r="B1779" s="233">
        <f t="shared" si="39"/>
        <v>37115</v>
      </c>
    </row>
    <row r="1780" spans="1:2" ht="15" customHeight="1">
      <c r="A1780" s="228">
        <f t="shared" si="40"/>
        <v>47191</v>
      </c>
      <c r="B1780" s="233">
        <f t="shared" si="39"/>
        <v>37115</v>
      </c>
    </row>
    <row r="1781" spans="1:2" ht="15" customHeight="1">
      <c r="A1781" s="228">
        <f t="shared" si="40"/>
        <v>47192</v>
      </c>
      <c r="B1781" s="233">
        <f t="shared" si="39"/>
        <v>37115</v>
      </c>
    </row>
    <row r="1782" spans="1:2" ht="15" customHeight="1">
      <c r="A1782" s="228">
        <f t="shared" si="40"/>
        <v>47193</v>
      </c>
      <c r="B1782" s="233">
        <f t="shared" si="39"/>
        <v>37115</v>
      </c>
    </row>
    <row r="1783" spans="1:2" ht="15" customHeight="1">
      <c r="A1783" s="228">
        <f t="shared" si="40"/>
        <v>47194</v>
      </c>
      <c r="B1783" s="233">
        <f t="shared" ref="B1783:B1846" si="41">+B1782</f>
        <v>37115</v>
      </c>
    </row>
    <row r="1784" spans="1:2" ht="15" customHeight="1">
      <c r="A1784" s="228">
        <f t="shared" si="40"/>
        <v>47195</v>
      </c>
      <c r="B1784" s="233">
        <f t="shared" si="41"/>
        <v>37115</v>
      </c>
    </row>
    <row r="1785" spans="1:2" ht="15" customHeight="1">
      <c r="A1785" s="228">
        <f t="shared" si="40"/>
        <v>47196</v>
      </c>
      <c r="B1785" s="233">
        <f t="shared" si="41"/>
        <v>37115</v>
      </c>
    </row>
    <row r="1786" spans="1:2" ht="15" customHeight="1">
      <c r="A1786" s="228">
        <f t="shared" si="40"/>
        <v>47197</v>
      </c>
      <c r="B1786" s="233">
        <f t="shared" si="41"/>
        <v>37115</v>
      </c>
    </row>
    <row r="1787" spans="1:2" ht="15" customHeight="1">
      <c r="A1787" s="228">
        <f t="shared" si="40"/>
        <v>47198</v>
      </c>
      <c r="B1787" s="233">
        <f t="shared" si="41"/>
        <v>37115</v>
      </c>
    </row>
    <row r="1788" spans="1:2" ht="15" customHeight="1">
      <c r="A1788" s="228">
        <f t="shared" si="40"/>
        <v>47199</v>
      </c>
      <c r="B1788" s="233">
        <f t="shared" si="41"/>
        <v>37115</v>
      </c>
    </row>
    <row r="1789" spans="1:2" ht="15" customHeight="1">
      <c r="A1789" s="228">
        <f t="shared" ref="A1789:A1852" si="42">+A1788+1</f>
        <v>47200</v>
      </c>
      <c r="B1789" s="233">
        <f t="shared" si="41"/>
        <v>37115</v>
      </c>
    </row>
    <row r="1790" spans="1:2" ht="15" customHeight="1">
      <c r="A1790" s="228">
        <f t="shared" si="42"/>
        <v>47201</v>
      </c>
      <c r="B1790" s="233">
        <f t="shared" si="41"/>
        <v>37115</v>
      </c>
    </row>
    <row r="1791" spans="1:2" ht="15" customHeight="1">
      <c r="A1791" s="228">
        <f t="shared" si="42"/>
        <v>47202</v>
      </c>
      <c r="B1791" s="233">
        <f t="shared" si="41"/>
        <v>37115</v>
      </c>
    </row>
    <row r="1792" spans="1:2" ht="15" customHeight="1">
      <c r="A1792" s="228">
        <f t="shared" si="42"/>
        <v>47203</v>
      </c>
      <c r="B1792" s="233">
        <f t="shared" si="41"/>
        <v>37115</v>
      </c>
    </row>
    <row r="1793" spans="1:2" ht="15" customHeight="1">
      <c r="A1793" s="228">
        <f t="shared" si="42"/>
        <v>47204</v>
      </c>
      <c r="B1793" s="233">
        <f t="shared" si="41"/>
        <v>37115</v>
      </c>
    </row>
    <row r="1794" spans="1:2" ht="15" customHeight="1">
      <c r="A1794" s="228">
        <f t="shared" si="42"/>
        <v>47205</v>
      </c>
      <c r="B1794" s="233">
        <f t="shared" si="41"/>
        <v>37115</v>
      </c>
    </row>
    <row r="1795" spans="1:2" ht="15" customHeight="1">
      <c r="A1795" s="228">
        <f t="shared" si="42"/>
        <v>47206</v>
      </c>
      <c r="B1795" s="233">
        <f t="shared" si="41"/>
        <v>37115</v>
      </c>
    </row>
    <row r="1796" spans="1:2" ht="15" customHeight="1">
      <c r="A1796" s="228">
        <f t="shared" si="42"/>
        <v>47207</v>
      </c>
      <c r="B1796" s="233">
        <f t="shared" si="41"/>
        <v>37115</v>
      </c>
    </row>
    <row r="1797" spans="1:2" ht="15" customHeight="1">
      <c r="A1797" s="228">
        <f t="shared" si="42"/>
        <v>47208</v>
      </c>
      <c r="B1797" s="233">
        <f t="shared" si="41"/>
        <v>37115</v>
      </c>
    </row>
    <row r="1798" spans="1:2" ht="15" customHeight="1">
      <c r="A1798" s="228">
        <f t="shared" si="42"/>
        <v>47209</v>
      </c>
      <c r="B1798" s="233">
        <f t="shared" si="41"/>
        <v>37115</v>
      </c>
    </row>
    <row r="1799" spans="1:2" ht="15" customHeight="1">
      <c r="A1799" s="228">
        <f t="shared" si="42"/>
        <v>47210</v>
      </c>
      <c r="B1799" s="233">
        <f t="shared" si="41"/>
        <v>37115</v>
      </c>
    </row>
    <row r="1800" spans="1:2" ht="15" customHeight="1">
      <c r="A1800" s="228">
        <f t="shared" si="42"/>
        <v>47211</v>
      </c>
      <c r="B1800" s="233">
        <f t="shared" si="41"/>
        <v>37115</v>
      </c>
    </row>
    <row r="1801" spans="1:2" ht="15" customHeight="1">
      <c r="A1801" s="228">
        <f t="shared" si="42"/>
        <v>47212</v>
      </c>
      <c r="B1801" s="233">
        <f t="shared" si="41"/>
        <v>37115</v>
      </c>
    </row>
    <row r="1802" spans="1:2" ht="15" customHeight="1">
      <c r="A1802" s="228">
        <f t="shared" si="42"/>
        <v>47213</v>
      </c>
      <c r="B1802" s="233">
        <f t="shared" si="41"/>
        <v>37115</v>
      </c>
    </row>
    <row r="1803" spans="1:2" ht="15" customHeight="1">
      <c r="A1803" s="228">
        <f t="shared" si="42"/>
        <v>47214</v>
      </c>
      <c r="B1803" s="233">
        <f t="shared" si="41"/>
        <v>37115</v>
      </c>
    </row>
    <row r="1804" spans="1:2" ht="15" customHeight="1">
      <c r="A1804" s="228">
        <f t="shared" si="42"/>
        <v>47215</v>
      </c>
      <c r="B1804" s="233">
        <f t="shared" si="41"/>
        <v>37115</v>
      </c>
    </row>
    <row r="1805" spans="1:2" ht="15" customHeight="1">
      <c r="A1805" s="228">
        <f t="shared" si="42"/>
        <v>47216</v>
      </c>
      <c r="B1805" s="233">
        <f t="shared" si="41"/>
        <v>37115</v>
      </c>
    </row>
    <row r="1806" spans="1:2" ht="15" customHeight="1">
      <c r="A1806" s="228">
        <f t="shared" si="42"/>
        <v>47217</v>
      </c>
      <c r="B1806" s="233">
        <f t="shared" si="41"/>
        <v>37115</v>
      </c>
    </row>
    <row r="1807" spans="1:2" ht="15" customHeight="1">
      <c r="A1807" s="228">
        <f t="shared" si="42"/>
        <v>47218</v>
      </c>
      <c r="B1807" s="233">
        <f t="shared" si="41"/>
        <v>37115</v>
      </c>
    </row>
    <row r="1808" spans="1:2" ht="15" customHeight="1">
      <c r="A1808" s="228">
        <f t="shared" si="42"/>
        <v>47219</v>
      </c>
      <c r="B1808" s="233">
        <f t="shared" si="41"/>
        <v>37115</v>
      </c>
    </row>
    <row r="1809" spans="1:2" ht="15" customHeight="1">
      <c r="A1809" s="228">
        <f t="shared" si="42"/>
        <v>47220</v>
      </c>
      <c r="B1809" s="233">
        <f t="shared" si="41"/>
        <v>37115</v>
      </c>
    </row>
    <row r="1810" spans="1:2" ht="15" customHeight="1">
      <c r="A1810" s="228">
        <f t="shared" si="42"/>
        <v>47221</v>
      </c>
      <c r="B1810" s="233">
        <f t="shared" si="41"/>
        <v>37115</v>
      </c>
    </row>
    <row r="1811" spans="1:2" ht="15" customHeight="1">
      <c r="A1811" s="228">
        <f t="shared" si="42"/>
        <v>47222</v>
      </c>
      <c r="B1811" s="233">
        <f t="shared" si="41"/>
        <v>37115</v>
      </c>
    </row>
    <row r="1812" spans="1:2" ht="15" customHeight="1">
      <c r="A1812" s="228">
        <f t="shared" si="42"/>
        <v>47223</v>
      </c>
      <c r="B1812" s="233">
        <f t="shared" si="41"/>
        <v>37115</v>
      </c>
    </row>
    <row r="1813" spans="1:2" ht="15" customHeight="1">
      <c r="A1813" s="228">
        <f t="shared" si="42"/>
        <v>47224</v>
      </c>
      <c r="B1813" s="233">
        <f t="shared" si="41"/>
        <v>37115</v>
      </c>
    </row>
    <row r="1814" spans="1:2" ht="15" customHeight="1">
      <c r="A1814" s="228">
        <f t="shared" si="42"/>
        <v>47225</v>
      </c>
      <c r="B1814" s="233">
        <f t="shared" si="41"/>
        <v>37115</v>
      </c>
    </row>
    <row r="1815" spans="1:2" ht="15" customHeight="1">
      <c r="A1815" s="228">
        <f t="shared" si="42"/>
        <v>47226</v>
      </c>
      <c r="B1815" s="233">
        <f t="shared" si="41"/>
        <v>37115</v>
      </c>
    </row>
    <row r="1816" spans="1:2" ht="15" customHeight="1">
      <c r="A1816" s="228">
        <f t="shared" si="42"/>
        <v>47227</v>
      </c>
      <c r="B1816" s="233">
        <f t="shared" si="41"/>
        <v>37115</v>
      </c>
    </row>
    <row r="1817" spans="1:2" ht="15" customHeight="1">
      <c r="A1817" s="228">
        <f t="shared" si="42"/>
        <v>47228</v>
      </c>
      <c r="B1817" s="233">
        <f t="shared" si="41"/>
        <v>37115</v>
      </c>
    </row>
    <row r="1818" spans="1:2" ht="15" customHeight="1">
      <c r="A1818" s="228">
        <f t="shared" si="42"/>
        <v>47229</v>
      </c>
      <c r="B1818" s="233">
        <f t="shared" si="41"/>
        <v>37115</v>
      </c>
    </row>
    <row r="1819" spans="1:2" ht="15" customHeight="1">
      <c r="A1819" s="228">
        <f t="shared" si="42"/>
        <v>47230</v>
      </c>
      <c r="B1819" s="233">
        <f t="shared" si="41"/>
        <v>37115</v>
      </c>
    </row>
    <row r="1820" spans="1:2" ht="15" customHeight="1">
      <c r="A1820" s="228">
        <f t="shared" si="42"/>
        <v>47231</v>
      </c>
      <c r="B1820" s="233">
        <f t="shared" si="41"/>
        <v>37115</v>
      </c>
    </row>
    <row r="1821" spans="1:2" ht="15" customHeight="1">
      <c r="A1821" s="228">
        <f t="shared" si="42"/>
        <v>47232</v>
      </c>
      <c r="B1821" s="233">
        <f t="shared" si="41"/>
        <v>37115</v>
      </c>
    </row>
    <row r="1822" spans="1:2" ht="15" customHeight="1">
      <c r="A1822" s="228">
        <f t="shared" si="42"/>
        <v>47233</v>
      </c>
      <c r="B1822" s="233">
        <f t="shared" si="41"/>
        <v>37115</v>
      </c>
    </row>
    <row r="1823" spans="1:2" ht="15" customHeight="1">
      <c r="A1823" s="228">
        <f t="shared" si="42"/>
        <v>47234</v>
      </c>
      <c r="B1823" s="233">
        <f t="shared" si="41"/>
        <v>37115</v>
      </c>
    </row>
    <row r="1824" spans="1:2" ht="15" customHeight="1">
      <c r="A1824" s="228">
        <f t="shared" si="42"/>
        <v>47235</v>
      </c>
      <c r="B1824" s="233">
        <f t="shared" si="41"/>
        <v>37115</v>
      </c>
    </row>
    <row r="1825" spans="1:2" ht="15" customHeight="1">
      <c r="A1825" s="228">
        <f t="shared" si="42"/>
        <v>47236</v>
      </c>
      <c r="B1825" s="233">
        <f t="shared" si="41"/>
        <v>37115</v>
      </c>
    </row>
    <row r="1826" spans="1:2" ht="15" customHeight="1">
      <c r="A1826" s="228">
        <f t="shared" si="42"/>
        <v>47237</v>
      </c>
      <c r="B1826" s="233">
        <f t="shared" si="41"/>
        <v>37115</v>
      </c>
    </row>
    <row r="1827" spans="1:2" ht="15" customHeight="1">
      <c r="A1827" s="228">
        <f t="shared" si="42"/>
        <v>47238</v>
      </c>
      <c r="B1827" s="233">
        <f t="shared" si="41"/>
        <v>37115</v>
      </c>
    </row>
    <row r="1828" spans="1:2" ht="15" customHeight="1">
      <c r="A1828" s="228">
        <f t="shared" si="42"/>
        <v>47239</v>
      </c>
      <c r="B1828" s="233">
        <f t="shared" si="41"/>
        <v>37115</v>
      </c>
    </row>
    <row r="1829" spans="1:2" ht="15" customHeight="1">
      <c r="A1829" s="228">
        <f t="shared" si="42"/>
        <v>47240</v>
      </c>
      <c r="B1829" s="233">
        <f t="shared" si="41"/>
        <v>37115</v>
      </c>
    </row>
    <row r="1830" spans="1:2" ht="15" customHeight="1">
      <c r="A1830" s="228">
        <f t="shared" si="42"/>
        <v>47241</v>
      </c>
      <c r="B1830" s="233">
        <f t="shared" si="41"/>
        <v>37115</v>
      </c>
    </row>
    <row r="1831" spans="1:2" ht="15" customHeight="1">
      <c r="A1831" s="228">
        <f t="shared" si="42"/>
        <v>47242</v>
      </c>
      <c r="B1831" s="233">
        <f t="shared" si="41"/>
        <v>37115</v>
      </c>
    </row>
    <row r="1832" spans="1:2" ht="15" customHeight="1">
      <c r="A1832" s="228">
        <f t="shared" si="42"/>
        <v>47243</v>
      </c>
      <c r="B1832" s="233">
        <f t="shared" si="41"/>
        <v>37115</v>
      </c>
    </row>
    <row r="1833" spans="1:2" ht="15" customHeight="1">
      <c r="A1833" s="228">
        <f t="shared" si="42"/>
        <v>47244</v>
      </c>
      <c r="B1833" s="233">
        <f t="shared" si="41"/>
        <v>37115</v>
      </c>
    </row>
    <row r="1834" spans="1:2" ht="15" customHeight="1">
      <c r="A1834" s="228">
        <f t="shared" si="42"/>
        <v>47245</v>
      </c>
      <c r="B1834" s="233">
        <f t="shared" si="41"/>
        <v>37115</v>
      </c>
    </row>
    <row r="1835" spans="1:2" ht="15" customHeight="1">
      <c r="A1835" s="228">
        <f t="shared" si="42"/>
        <v>47246</v>
      </c>
      <c r="B1835" s="233">
        <f t="shared" si="41"/>
        <v>37115</v>
      </c>
    </row>
    <row r="1836" spans="1:2" ht="15" customHeight="1">
      <c r="A1836" s="228">
        <f t="shared" si="42"/>
        <v>47247</v>
      </c>
      <c r="B1836" s="233">
        <f t="shared" si="41"/>
        <v>37115</v>
      </c>
    </row>
    <row r="1837" spans="1:2" ht="15" customHeight="1">
      <c r="A1837" s="228">
        <f t="shared" si="42"/>
        <v>47248</v>
      </c>
      <c r="B1837" s="233">
        <f t="shared" si="41"/>
        <v>37115</v>
      </c>
    </row>
    <row r="1838" spans="1:2" ht="15" customHeight="1">
      <c r="A1838" s="228">
        <f t="shared" si="42"/>
        <v>47249</v>
      </c>
      <c r="B1838" s="233">
        <f t="shared" si="41"/>
        <v>37115</v>
      </c>
    </row>
    <row r="1839" spans="1:2" ht="15" customHeight="1">
      <c r="A1839" s="228">
        <f t="shared" si="42"/>
        <v>47250</v>
      </c>
      <c r="B1839" s="233">
        <f t="shared" si="41"/>
        <v>37115</v>
      </c>
    </row>
    <row r="1840" spans="1:2" ht="15" customHeight="1">
      <c r="A1840" s="228">
        <f t="shared" si="42"/>
        <v>47251</v>
      </c>
      <c r="B1840" s="233">
        <f t="shared" si="41"/>
        <v>37115</v>
      </c>
    </row>
    <row r="1841" spans="1:2" ht="15" customHeight="1">
      <c r="A1841" s="228">
        <f t="shared" si="42"/>
        <v>47252</v>
      </c>
      <c r="B1841" s="233">
        <f t="shared" si="41"/>
        <v>37115</v>
      </c>
    </row>
    <row r="1842" spans="1:2" ht="15" customHeight="1">
      <c r="A1842" s="228">
        <f t="shared" si="42"/>
        <v>47253</v>
      </c>
      <c r="B1842" s="233">
        <f t="shared" si="41"/>
        <v>37115</v>
      </c>
    </row>
    <row r="1843" spans="1:2" ht="15" customHeight="1">
      <c r="A1843" s="228">
        <f t="shared" si="42"/>
        <v>47254</v>
      </c>
      <c r="B1843" s="233">
        <f t="shared" si="41"/>
        <v>37115</v>
      </c>
    </row>
    <row r="1844" spans="1:2" ht="15" customHeight="1">
      <c r="A1844" s="228">
        <f t="shared" si="42"/>
        <v>47255</v>
      </c>
      <c r="B1844" s="233">
        <f t="shared" si="41"/>
        <v>37115</v>
      </c>
    </row>
    <row r="1845" spans="1:2" ht="15" customHeight="1">
      <c r="A1845" s="228">
        <f t="shared" si="42"/>
        <v>47256</v>
      </c>
      <c r="B1845" s="233">
        <f t="shared" si="41"/>
        <v>37115</v>
      </c>
    </row>
    <row r="1846" spans="1:2" ht="15" customHeight="1">
      <c r="A1846" s="228">
        <f t="shared" si="42"/>
        <v>47257</v>
      </c>
      <c r="B1846" s="233">
        <f t="shared" si="41"/>
        <v>37115</v>
      </c>
    </row>
    <row r="1847" spans="1:2" ht="15" customHeight="1">
      <c r="A1847" s="228">
        <f t="shared" si="42"/>
        <v>47258</v>
      </c>
      <c r="B1847" s="233">
        <f t="shared" ref="B1847:B1910" si="43">+B1846</f>
        <v>37115</v>
      </c>
    </row>
    <row r="1848" spans="1:2" ht="15" customHeight="1">
      <c r="A1848" s="228">
        <f t="shared" si="42"/>
        <v>47259</v>
      </c>
      <c r="B1848" s="233">
        <f t="shared" si="43"/>
        <v>37115</v>
      </c>
    </row>
    <row r="1849" spans="1:2" ht="15" customHeight="1">
      <c r="A1849" s="228">
        <f t="shared" si="42"/>
        <v>47260</v>
      </c>
      <c r="B1849" s="233">
        <f t="shared" si="43"/>
        <v>37115</v>
      </c>
    </row>
    <row r="1850" spans="1:2" ht="15" customHeight="1">
      <c r="A1850" s="228">
        <f t="shared" si="42"/>
        <v>47261</v>
      </c>
      <c r="B1850" s="233">
        <f t="shared" si="43"/>
        <v>37115</v>
      </c>
    </row>
    <row r="1851" spans="1:2" ht="15" customHeight="1">
      <c r="A1851" s="228">
        <f t="shared" si="42"/>
        <v>47262</v>
      </c>
      <c r="B1851" s="233">
        <f t="shared" si="43"/>
        <v>37115</v>
      </c>
    </row>
    <row r="1852" spans="1:2" ht="15" customHeight="1">
      <c r="A1852" s="228">
        <f t="shared" si="42"/>
        <v>47263</v>
      </c>
      <c r="B1852" s="233">
        <f t="shared" si="43"/>
        <v>37115</v>
      </c>
    </row>
    <row r="1853" spans="1:2" ht="15" customHeight="1">
      <c r="A1853" s="228">
        <f t="shared" ref="A1853:A1916" si="44">+A1852+1</f>
        <v>47264</v>
      </c>
      <c r="B1853" s="233">
        <f t="shared" si="43"/>
        <v>37115</v>
      </c>
    </row>
    <row r="1854" spans="1:2" ht="15" customHeight="1">
      <c r="A1854" s="228">
        <f t="shared" si="44"/>
        <v>47265</v>
      </c>
      <c r="B1854" s="233">
        <f t="shared" si="43"/>
        <v>37115</v>
      </c>
    </row>
    <row r="1855" spans="1:2" ht="15" customHeight="1">
      <c r="A1855" s="228">
        <f t="shared" si="44"/>
        <v>47266</v>
      </c>
      <c r="B1855" s="233">
        <f t="shared" si="43"/>
        <v>37115</v>
      </c>
    </row>
    <row r="1856" spans="1:2" ht="15" customHeight="1">
      <c r="A1856" s="228">
        <f t="shared" si="44"/>
        <v>47267</v>
      </c>
      <c r="B1856" s="233">
        <f t="shared" si="43"/>
        <v>37115</v>
      </c>
    </row>
    <row r="1857" spans="1:2" ht="15" customHeight="1">
      <c r="A1857" s="228">
        <f t="shared" si="44"/>
        <v>47268</v>
      </c>
      <c r="B1857" s="233">
        <f t="shared" si="43"/>
        <v>37115</v>
      </c>
    </row>
    <row r="1858" spans="1:2" ht="15" customHeight="1">
      <c r="A1858" s="228">
        <f t="shared" si="44"/>
        <v>47269</v>
      </c>
      <c r="B1858" s="233">
        <f t="shared" si="43"/>
        <v>37115</v>
      </c>
    </row>
    <row r="1859" spans="1:2" ht="15" customHeight="1">
      <c r="A1859" s="228">
        <f t="shared" si="44"/>
        <v>47270</v>
      </c>
      <c r="B1859" s="233">
        <f t="shared" si="43"/>
        <v>37115</v>
      </c>
    </row>
    <row r="1860" spans="1:2" ht="15" customHeight="1">
      <c r="A1860" s="228">
        <f t="shared" si="44"/>
        <v>47271</v>
      </c>
      <c r="B1860" s="233">
        <f t="shared" si="43"/>
        <v>37115</v>
      </c>
    </row>
    <row r="1861" spans="1:2" ht="15" customHeight="1">
      <c r="A1861" s="228">
        <f t="shared" si="44"/>
        <v>47272</v>
      </c>
      <c r="B1861" s="233">
        <f t="shared" si="43"/>
        <v>37115</v>
      </c>
    </row>
    <row r="1862" spans="1:2" ht="15" customHeight="1">
      <c r="A1862" s="228">
        <f t="shared" si="44"/>
        <v>47273</v>
      </c>
      <c r="B1862" s="233">
        <f t="shared" si="43"/>
        <v>37115</v>
      </c>
    </row>
    <row r="1863" spans="1:2" ht="15" customHeight="1">
      <c r="A1863" s="228">
        <f t="shared" si="44"/>
        <v>47274</v>
      </c>
      <c r="B1863" s="233">
        <f t="shared" si="43"/>
        <v>37115</v>
      </c>
    </row>
    <row r="1864" spans="1:2" ht="15" customHeight="1">
      <c r="A1864" s="228">
        <f t="shared" si="44"/>
        <v>47275</v>
      </c>
      <c r="B1864" s="233">
        <f t="shared" si="43"/>
        <v>37115</v>
      </c>
    </row>
    <row r="1865" spans="1:2" ht="15" customHeight="1">
      <c r="A1865" s="228">
        <f t="shared" si="44"/>
        <v>47276</v>
      </c>
      <c r="B1865" s="233">
        <f t="shared" si="43"/>
        <v>37115</v>
      </c>
    </row>
    <row r="1866" spans="1:2" ht="15" customHeight="1">
      <c r="A1866" s="228">
        <f t="shared" si="44"/>
        <v>47277</v>
      </c>
      <c r="B1866" s="233">
        <f t="shared" si="43"/>
        <v>37115</v>
      </c>
    </row>
    <row r="1867" spans="1:2" ht="15" customHeight="1">
      <c r="A1867" s="228">
        <f t="shared" si="44"/>
        <v>47278</v>
      </c>
      <c r="B1867" s="233">
        <f t="shared" si="43"/>
        <v>37115</v>
      </c>
    </row>
    <row r="1868" spans="1:2" ht="15" customHeight="1">
      <c r="A1868" s="228">
        <f t="shared" si="44"/>
        <v>47279</v>
      </c>
      <c r="B1868" s="233">
        <f t="shared" si="43"/>
        <v>37115</v>
      </c>
    </row>
    <row r="1869" spans="1:2" ht="15" customHeight="1">
      <c r="A1869" s="228">
        <f t="shared" si="44"/>
        <v>47280</v>
      </c>
      <c r="B1869" s="233">
        <f t="shared" si="43"/>
        <v>37115</v>
      </c>
    </row>
    <row r="1870" spans="1:2" ht="15" customHeight="1">
      <c r="A1870" s="228">
        <f t="shared" si="44"/>
        <v>47281</v>
      </c>
      <c r="B1870" s="233">
        <f t="shared" si="43"/>
        <v>37115</v>
      </c>
    </row>
    <row r="1871" spans="1:2" ht="15" customHeight="1">
      <c r="A1871" s="228">
        <f t="shared" si="44"/>
        <v>47282</v>
      </c>
      <c r="B1871" s="233">
        <f t="shared" si="43"/>
        <v>37115</v>
      </c>
    </row>
    <row r="1872" spans="1:2" ht="15" customHeight="1">
      <c r="A1872" s="228">
        <f t="shared" si="44"/>
        <v>47283</v>
      </c>
      <c r="B1872" s="233">
        <f t="shared" si="43"/>
        <v>37115</v>
      </c>
    </row>
    <row r="1873" spans="1:2" ht="15" customHeight="1">
      <c r="A1873" s="228">
        <f t="shared" si="44"/>
        <v>47284</v>
      </c>
      <c r="B1873" s="233">
        <f t="shared" si="43"/>
        <v>37115</v>
      </c>
    </row>
    <row r="1874" spans="1:2" ht="15" customHeight="1">
      <c r="A1874" s="228">
        <f t="shared" si="44"/>
        <v>47285</v>
      </c>
      <c r="B1874" s="233">
        <f t="shared" si="43"/>
        <v>37115</v>
      </c>
    </row>
    <row r="1875" spans="1:2" ht="15" customHeight="1">
      <c r="A1875" s="228">
        <f t="shared" si="44"/>
        <v>47286</v>
      </c>
      <c r="B1875" s="233">
        <f t="shared" si="43"/>
        <v>37115</v>
      </c>
    </row>
    <row r="1876" spans="1:2" ht="15" customHeight="1">
      <c r="A1876" s="228">
        <f t="shared" si="44"/>
        <v>47287</v>
      </c>
      <c r="B1876" s="233">
        <f t="shared" si="43"/>
        <v>37115</v>
      </c>
    </row>
    <row r="1877" spans="1:2" ht="15" customHeight="1">
      <c r="A1877" s="228">
        <f t="shared" si="44"/>
        <v>47288</v>
      </c>
      <c r="B1877" s="233">
        <f t="shared" si="43"/>
        <v>37115</v>
      </c>
    </row>
    <row r="1878" spans="1:2" ht="15" customHeight="1">
      <c r="A1878" s="228">
        <f t="shared" si="44"/>
        <v>47289</v>
      </c>
      <c r="B1878" s="233">
        <f t="shared" si="43"/>
        <v>37115</v>
      </c>
    </row>
    <row r="1879" spans="1:2" ht="15" customHeight="1">
      <c r="A1879" s="228">
        <f t="shared" si="44"/>
        <v>47290</v>
      </c>
      <c r="B1879" s="233">
        <f t="shared" si="43"/>
        <v>37115</v>
      </c>
    </row>
    <row r="1880" spans="1:2" ht="15" customHeight="1">
      <c r="A1880" s="228">
        <f t="shared" si="44"/>
        <v>47291</v>
      </c>
      <c r="B1880" s="233">
        <f t="shared" si="43"/>
        <v>37115</v>
      </c>
    </row>
    <row r="1881" spans="1:2" ht="15" customHeight="1">
      <c r="A1881" s="228">
        <f t="shared" si="44"/>
        <v>47292</v>
      </c>
      <c r="B1881" s="233">
        <f t="shared" si="43"/>
        <v>37115</v>
      </c>
    </row>
    <row r="1882" spans="1:2" ht="15" customHeight="1">
      <c r="A1882" s="228">
        <f t="shared" si="44"/>
        <v>47293</v>
      </c>
      <c r="B1882" s="233">
        <f t="shared" si="43"/>
        <v>37115</v>
      </c>
    </row>
    <row r="1883" spans="1:2" ht="15" customHeight="1">
      <c r="A1883" s="228">
        <f t="shared" si="44"/>
        <v>47294</v>
      </c>
      <c r="B1883" s="233">
        <f t="shared" si="43"/>
        <v>37115</v>
      </c>
    </row>
    <row r="1884" spans="1:2" ht="15" customHeight="1">
      <c r="A1884" s="228">
        <f t="shared" si="44"/>
        <v>47295</v>
      </c>
      <c r="B1884" s="233">
        <f t="shared" si="43"/>
        <v>37115</v>
      </c>
    </row>
    <row r="1885" spans="1:2" ht="15" customHeight="1">
      <c r="A1885" s="228">
        <f t="shared" si="44"/>
        <v>47296</v>
      </c>
      <c r="B1885" s="233">
        <f t="shared" si="43"/>
        <v>37115</v>
      </c>
    </row>
    <row r="1886" spans="1:2" ht="15" customHeight="1">
      <c r="A1886" s="228">
        <f t="shared" si="44"/>
        <v>47297</v>
      </c>
      <c r="B1886" s="233">
        <f t="shared" si="43"/>
        <v>37115</v>
      </c>
    </row>
    <row r="1887" spans="1:2" ht="15" customHeight="1">
      <c r="A1887" s="228">
        <f t="shared" si="44"/>
        <v>47298</v>
      </c>
      <c r="B1887" s="233">
        <f t="shared" si="43"/>
        <v>37115</v>
      </c>
    </row>
    <row r="1888" spans="1:2" ht="15" customHeight="1">
      <c r="A1888" s="228">
        <f t="shared" si="44"/>
        <v>47299</v>
      </c>
      <c r="B1888" s="233">
        <f t="shared" si="43"/>
        <v>37115</v>
      </c>
    </row>
    <row r="1889" spans="1:2" ht="15" customHeight="1">
      <c r="A1889" s="228">
        <f t="shared" si="44"/>
        <v>47300</v>
      </c>
      <c r="B1889" s="233">
        <f t="shared" si="43"/>
        <v>37115</v>
      </c>
    </row>
    <row r="1890" spans="1:2" ht="15" customHeight="1">
      <c r="A1890" s="228">
        <f t="shared" si="44"/>
        <v>47301</v>
      </c>
      <c r="B1890" s="233">
        <f t="shared" si="43"/>
        <v>37115</v>
      </c>
    </row>
    <row r="1891" spans="1:2" ht="15" customHeight="1">
      <c r="A1891" s="228">
        <f t="shared" si="44"/>
        <v>47302</v>
      </c>
      <c r="B1891" s="233">
        <f t="shared" si="43"/>
        <v>37115</v>
      </c>
    </row>
    <row r="1892" spans="1:2" ht="15" customHeight="1">
      <c r="A1892" s="228">
        <f t="shared" si="44"/>
        <v>47303</v>
      </c>
      <c r="B1892" s="233">
        <f t="shared" si="43"/>
        <v>37115</v>
      </c>
    </row>
    <row r="1893" spans="1:2" ht="15" customHeight="1">
      <c r="A1893" s="228">
        <f t="shared" si="44"/>
        <v>47304</v>
      </c>
      <c r="B1893" s="233">
        <f t="shared" si="43"/>
        <v>37115</v>
      </c>
    </row>
    <row r="1894" spans="1:2" ht="15" customHeight="1">
      <c r="A1894" s="228">
        <f t="shared" si="44"/>
        <v>47305</v>
      </c>
      <c r="B1894" s="233">
        <f t="shared" si="43"/>
        <v>37115</v>
      </c>
    </row>
    <row r="1895" spans="1:2" ht="15" customHeight="1">
      <c r="A1895" s="228">
        <f t="shared" si="44"/>
        <v>47306</v>
      </c>
      <c r="B1895" s="233">
        <f t="shared" si="43"/>
        <v>37115</v>
      </c>
    </row>
    <row r="1896" spans="1:2" ht="15" customHeight="1">
      <c r="A1896" s="228">
        <f t="shared" si="44"/>
        <v>47307</v>
      </c>
      <c r="B1896" s="233">
        <f t="shared" si="43"/>
        <v>37115</v>
      </c>
    </row>
    <row r="1897" spans="1:2" ht="15" customHeight="1">
      <c r="A1897" s="228">
        <f t="shared" si="44"/>
        <v>47308</v>
      </c>
      <c r="B1897" s="233">
        <f t="shared" si="43"/>
        <v>37115</v>
      </c>
    </row>
    <row r="1898" spans="1:2" ht="15" customHeight="1">
      <c r="A1898" s="228">
        <f t="shared" si="44"/>
        <v>47309</v>
      </c>
      <c r="B1898" s="233">
        <f t="shared" si="43"/>
        <v>37115</v>
      </c>
    </row>
    <row r="1899" spans="1:2" ht="15" customHeight="1">
      <c r="A1899" s="228">
        <f t="shared" si="44"/>
        <v>47310</v>
      </c>
      <c r="B1899" s="233">
        <f t="shared" si="43"/>
        <v>37115</v>
      </c>
    </row>
    <row r="1900" spans="1:2" ht="15" customHeight="1">
      <c r="A1900" s="228">
        <f t="shared" si="44"/>
        <v>47311</v>
      </c>
      <c r="B1900" s="233">
        <f t="shared" si="43"/>
        <v>37115</v>
      </c>
    </row>
    <row r="1901" spans="1:2" ht="15" customHeight="1">
      <c r="A1901" s="228">
        <f t="shared" si="44"/>
        <v>47312</v>
      </c>
      <c r="B1901" s="233">
        <f t="shared" si="43"/>
        <v>37115</v>
      </c>
    </row>
    <row r="1902" spans="1:2" ht="15" customHeight="1">
      <c r="A1902" s="228">
        <f t="shared" si="44"/>
        <v>47313</v>
      </c>
      <c r="B1902" s="233">
        <f t="shared" si="43"/>
        <v>37115</v>
      </c>
    </row>
    <row r="1903" spans="1:2" ht="15" customHeight="1">
      <c r="A1903" s="228">
        <f t="shared" si="44"/>
        <v>47314</v>
      </c>
      <c r="B1903" s="233">
        <f t="shared" si="43"/>
        <v>37115</v>
      </c>
    </row>
    <row r="1904" spans="1:2" ht="15" customHeight="1">
      <c r="A1904" s="228">
        <f t="shared" si="44"/>
        <v>47315</v>
      </c>
      <c r="B1904" s="233">
        <f t="shared" si="43"/>
        <v>37115</v>
      </c>
    </row>
    <row r="1905" spans="1:2" ht="15" customHeight="1">
      <c r="A1905" s="228">
        <f t="shared" si="44"/>
        <v>47316</v>
      </c>
      <c r="B1905" s="233">
        <f t="shared" si="43"/>
        <v>37115</v>
      </c>
    </row>
    <row r="1906" spans="1:2" ht="15" customHeight="1">
      <c r="A1906" s="228">
        <f t="shared" si="44"/>
        <v>47317</v>
      </c>
      <c r="B1906" s="233">
        <f t="shared" si="43"/>
        <v>37115</v>
      </c>
    </row>
    <row r="1907" spans="1:2" ht="15" customHeight="1">
      <c r="A1907" s="228">
        <f t="shared" si="44"/>
        <v>47318</v>
      </c>
      <c r="B1907" s="233">
        <f t="shared" si="43"/>
        <v>37115</v>
      </c>
    </row>
    <row r="1908" spans="1:2" ht="15" customHeight="1">
      <c r="A1908" s="228">
        <f t="shared" si="44"/>
        <v>47319</v>
      </c>
      <c r="B1908" s="233">
        <f t="shared" si="43"/>
        <v>37115</v>
      </c>
    </row>
    <row r="1909" spans="1:2" ht="15" customHeight="1">
      <c r="A1909" s="228">
        <f t="shared" si="44"/>
        <v>47320</v>
      </c>
      <c r="B1909" s="233">
        <f t="shared" si="43"/>
        <v>37115</v>
      </c>
    </row>
    <row r="1910" spans="1:2" ht="15" customHeight="1">
      <c r="A1910" s="228">
        <f t="shared" si="44"/>
        <v>47321</v>
      </c>
      <c r="B1910" s="233">
        <f t="shared" si="43"/>
        <v>37115</v>
      </c>
    </row>
    <row r="1911" spans="1:2" ht="15" customHeight="1">
      <c r="A1911" s="228">
        <f t="shared" si="44"/>
        <v>47322</v>
      </c>
      <c r="B1911" s="233">
        <f t="shared" ref="B1911:B1964" si="45">+B1910</f>
        <v>37115</v>
      </c>
    </row>
    <row r="1912" spans="1:2" ht="15" customHeight="1">
      <c r="A1912" s="228">
        <f t="shared" si="44"/>
        <v>47323</v>
      </c>
      <c r="B1912" s="233">
        <f t="shared" si="45"/>
        <v>37115</v>
      </c>
    </row>
    <row r="1913" spans="1:2" ht="15" customHeight="1">
      <c r="A1913" s="228">
        <f t="shared" si="44"/>
        <v>47324</v>
      </c>
      <c r="B1913" s="233">
        <f t="shared" si="45"/>
        <v>37115</v>
      </c>
    </row>
    <row r="1914" spans="1:2" ht="15" customHeight="1">
      <c r="A1914" s="228">
        <f t="shared" si="44"/>
        <v>47325</v>
      </c>
      <c r="B1914" s="233">
        <f t="shared" si="45"/>
        <v>37115</v>
      </c>
    </row>
    <row r="1915" spans="1:2" ht="15" customHeight="1">
      <c r="A1915" s="228">
        <f t="shared" si="44"/>
        <v>47326</v>
      </c>
      <c r="B1915" s="233">
        <f t="shared" si="45"/>
        <v>37115</v>
      </c>
    </row>
    <row r="1916" spans="1:2" ht="15" customHeight="1">
      <c r="A1916" s="228">
        <f t="shared" si="44"/>
        <v>47327</v>
      </c>
      <c r="B1916" s="233">
        <f t="shared" si="45"/>
        <v>37115</v>
      </c>
    </row>
    <row r="1917" spans="1:2" ht="15" customHeight="1">
      <c r="A1917" s="228">
        <f t="shared" ref="A1917:A1964" si="46">+A1916+1</f>
        <v>47328</v>
      </c>
      <c r="B1917" s="233">
        <f t="shared" si="45"/>
        <v>37115</v>
      </c>
    </row>
    <row r="1918" spans="1:2" ht="15" customHeight="1">
      <c r="A1918" s="228">
        <f t="shared" si="46"/>
        <v>47329</v>
      </c>
      <c r="B1918" s="233">
        <f t="shared" si="45"/>
        <v>37115</v>
      </c>
    </row>
    <row r="1919" spans="1:2" ht="15" customHeight="1">
      <c r="A1919" s="228">
        <f t="shared" si="46"/>
        <v>47330</v>
      </c>
      <c r="B1919" s="233">
        <f t="shared" si="45"/>
        <v>37115</v>
      </c>
    </row>
    <row r="1920" spans="1:2" ht="15" customHeight="1">
      <c r="A1920" s="228">
        <f t="shared" si="46"/>
        <v>47331</v>
      </c>
      <c r="B1920" s="233">
        <f t="shared" si="45"/>
        <v>37115</v>
      </c>
    </row>
    <row r="1921" spans="1:2" ht="15" customHeight="1">
      <c r="A1921" s="228">
        <f t="shared" si="46"/>
        <v>47332</v>
      </c>
      <c r="B1921" s="233">
        <f t="shared" si="45"/>
        <v>37115</v>
      </c>
    </row>
    <row r="1922" spans="1:2" ht="15" customHeight="1">
      <c r="A1922" s="228">
        <f t="shared" si="46"/>
        <v>47333</v>
      </c>
      <c r="B1922" s="233">
        <f t="shared" si="45"/>
        <v>37115</v>
      </c>
    </row>
    <row r="1923" spans="1:2" ht="15" customHeight="1">
      <c r="A1923" s="228">
        <f t="shared" si="46"/>
        <v>47334</v>
      </c>
      <c r="B1923" s="233">
        <f t="shared" si="45"/>
        <v>37115</v>
      </c>
    </row>
    <row r="1924" spans="1:2" ht="15" customHeight="1">
      <c r="A1924" s="228">
        <f t="shared" si="46"/>
        <v>47335</v>
      </c>
      <c r="B1924" s="233">
        <f t="shared" si="45"/>
        <v>37115</v>
      </c>
    </row>
    <row r="1925" spans="1:2" ht="15" customHeight="1">
      <c r="A1925" s="228">
        <f t="shared" si="46"/>
        <v>47336</v>
      </c>
      <c r="B1925" s="233">
        <f t="shared" si="45"/>
        <v>37115</v>
      </c>
    </row>
    <row r="1926" spans="1:2" ht="15" customHeight="1">
      <c r="A1926" s="228">
        <f t="shared" si="46"/>
        <v>47337</v>
      </c>
      <c r="B1926" s="233">
        <f t="shared" si="45"/>
        <v>37115</v>
      </c>
    </row>
    <row r="1927" spans="1:2" ht="15" customHeight="1">
      <c r="A1927" s="228">
        <f t="shared" si="46"/>
        <v>47338</v>
      </c>
      <c r="B1927" s="233">
        <f t="shared" si="45"/>
        <v>37115</v>
      </c>
    </row>
    <row r="1928" spans="1:2" ht="15" customHeight="1">
      <c r="A1928" s="228">
        <f t="shared" si="46"/>
        <v>47339</v>
      </c>
      <c r="B1928" s="233">
        <f t="shared" si="45"/>
        <v>37115</v>
      </c>
    </row>
    <row r="1929" spans="1:2" ht="15" customHeight="1">
      <c r="A1929" s="228">
        <f t="shared" si="46"/>
        <v>47340</v>
      </c>
      <c r="B1929" s="233">
        <f t="shared" si="45"/>
        <v>37115</v>
      </c>
    </row>
    <row r="1930" spans="1:2" ht="15" customHeight="1">
      <c r="A1930" s="228">
        <f t="shared" si="46"/>
        <v>47341</v>
      </c>
      <c r="B1930" s="233">
        <f t="shared" si="45"/>
        <v>37115</v>
      </c>
    </row>
    <row r="1931" spans="1:2" ht="15" customHeight="1">
      <c r="A1931" s="228">
        <f t="shared" si="46"/>
        <v>47342</v>
      </c>
      <c r="B1931" s="233">
        <f t="shared" si="45"/>
        <v>37115</v>
      </c>
    </row>
    <row r="1932" spans="1:2" ht="15" customHeight="1">
      <c r="A1932" s="228">
        <f t="shared" si="46"/>
        <v>47343</v>
      </c>
      <c r="B1932" s="233">
        <f t="shared" si="45"/>
        <v>37115</v>
      </c>
    </row>
    <row r="1933" spans="1:2" ht="15" customHeight="1">
      <c r="A1933" s="228">
        <f t="shared" si="46"/>
        <v>47344</v>
      </c>
      <c r="B1933" s="233">
        <f t="shared" si="45"/>
        <v>37115</v>
      </c>
    </row>
    <row r="1934" spans="1:2" ht="15" customHeight="1">
      <c r="A1934" s="228">
        <f t="shared" si="46"/>
        <v>47345</v>
      </c>
      <c r="B1934" s="233">
        <f t="shared" si="45"/>
        <v>37115</v>
      </c>
    </row>
    <row r="1935" spans="1:2" ht="15" customHeight="1">
      <c r="A1935" s="228">
        <f t="shared" si="46"/>
        <v>47346</v>
      </c>
      <c r="B1935" s="233">
        <f t="shared" si="45"/>
        <v>37115</v>
      </c>
    </row>
    <row r="1936" spans="1:2" ht="15" customHeight="1">
      <c r="A1936" s="228">
        <f t="shared" si="46"/>
        <v>47347</v>
      </c>
      <c r="B1936" s="233">
        <f t="shared" si="45"/>
        <v>37115</v>
      </c>
    </row>
    <row r="1937" spans="1:2" ht="15" customHeight="1">
      <c r="A1937" s="228">
        <f t="shared" si="46"/>
        <v>47348</v>
      </c>
      <c r="B1937" s="233">
        <f t="shared" si="45"/>
        <v>37115</v>
      </c>
    </row>
    <row r="1938" spans="1:2" ht="15" customHeight="1">
      <c r="A1938" s="228">
        <f t="shared" si="46"/>
        <v>47349</v>
      </c>
      <c r="B1938" s="233">
        <f t="shared" si="45"/>
        <v>37115</v>
      </c>
    </row>
    <row r="1939" spans="1:2" ht="15" customHeight="1">
      <c r="A1939" s="228">
        <f t="shared" si="46"/>
        <v>47350</v>
      </c>
      <c r="B1939" s="233">
        <f t="shared" si="45"/>
        <v>37115</v>
      </c>
    </row>
    <row r="1940" spans="1:2" ht="15" customHeight="1">
      <c r="A1940" s="228">
        <f t="shared" si="46"/>
        <v>47351</v>
      </c>
      <c r="B1940" s="233">
        <f t="shared" si="45"/>
        <v>37115</v>
      </c>
    </row>
    <row r="1941" spans="1:2" ht="15" customHeight="1">
      <c r="A1941" s="228">
        <f t="shared" si="46"/>
        <v>47352</v>
      </c>
      <c r="B1941" s="233">
        <f t="shared" si="45"/>
        <v>37115</v>
      </c>
    </row>
    <row r="1942" spans="1:2" ht="15" customHeight="1">
      <c r="A1942" s="228">
        <f t="shared" si="46"/>
        <v>47353</v>
      </c>
      <c r="B1942" s="233">
        <f t="shared" si="45"/>
        <v>37115</v>
      </c>
    </row>
    <row r="1943" spans="1:2" ht="15" customHeight="1">
      <c r="A1943" s="228">
        <f t="shared" si="46"/>
        <v>47354</v>
      </c>
      <c r="B1943" s="233">
        <f t="shared" si="45"/>
        <v>37115</v>
      </c>
    </row>
    <row r="1944" spans="1:2" ht="15" customHeight="1">
      <c r="A1944" s="228">
        <f t="shared" si="46"/>
        <v>47355</v>
      </c>
      <c r="B1944" s="233">
        <f t="shared" si="45"/>
        <v>37115</v>
      </c>
    </row>
    <row r="1945" spans="1:2" ht="15" customHeight="1">
      <c r="A1945" s="228">
        <f t="shared" si="46"/>
        <v>47356</v>
      </c>
      <c r="B1945" s="233">
        <f t="shared" si="45"/>
        <v>37115</v>
      </c>
    </row>
    <row r="1946" spans="1:2" ht="15" customHeight="1">
      <c r="A1946" s="228">
        <f t="shared" si="46"/>
        <v>47357</v>
      </c>
      <c r="B1946" s="233">
        <f t="shared" si="45"/>
        <v>37115</v>
      </c>
    </row>
    <row r="1947" spans="1:2" ht="15" customHeight="1">
      <c r="A1947" s="228">
        <f t="shared" si="46"/>
        <v>47358</v>
      </c>
      <c r="B1947" s="233">
        <f t="shared" si="45"/>
        <v>37115</v>
      </c>
    </row>
    <row r="1948" spans="1:2" ht="15" customHeight="1">
      <c r="A1948" s="228">
        <f t="shared" si="46"/>
        <v>47359</v>
      </c>
      <c r="B1948" s="233">
        <f t="shared" si="45"/>
        <v>37115</v>
      </c>
    </row>
    <row r="1949" spans="1:2" ht="15" customHeight="1">
      <c r="A1949" s="228">
        <f t="shared" si="46"/>
        <v>47360</v>
      </c>
      <c r="B1949" s="233">
        <f t="shared" si="45"/>
        <v>37115</v>
      </c>
    </row>
    <row r="1950" spans="1:2" ht="15" customHeight="1">
      <c r="A1950" s="228">
        <f t="shared" si="46"/>
        <v>47361</v>
      </c>
      <c r="B1950" s="233">
        <f t="shared" si="45"/>
        <v>37115</v>
      </c>
    </row>
    <row r="1951" spans="1:2" ht="15" customHeight="1">
      <c r="A1951" s="228">
        <f t="shared" si="46"/>
        <v>47362</v>
      </c>
      <c r="B1951" s="233">
        <f t="shared" si="45"/>
        <v>37115</v>
      </c>
    </row>
    <row r="1952" spans="1:2" ht="15" customHeight="1">
      <c r="A1952" s="228">
        <f t="shared" si="46"/>
        <v>47363</v>
      </c>
      <c r="B1952" s="233">
        <f t="shared" si="45"/>
        <v>37115</v>
      </c>
    </row>
    <row r="1953" spans="1:2" ht="15" customHeight="1">
      <c r="A1953" s="228">
        <f t="shared" si="46"/>
        <v>47364</v>
      </c>
      <c r="B1953" s="233">
        <f t="shared" si="45"/>
        <v>37115</v>
      </c>
    </row>
    <row r="1954" spans="1:2" ht="15" customHeight="1">
      <c r="A1954" s="228">
        <f t="shared" si="46"/>
        <v>47365</v>
      </c>
      <c r="B1954" s="233">
        <f t="shared" si="45"/>
        <v>37115</v>
      </c>
    </row>
    <row r="1955" spans="1:2" ht="15" customHeight="1">
      <c r="A1955" s="228">
        <f t="shared" si="46"/>
        <v>47366</v>
      </c>
      <c r="B1955" s="233">
        <f t="shared" si="45"/>
        <v>37115</v>
      </c>
    </row>
    <row r="1956" spans="1:2" ht="15" customHeight="1">
      <c r="A1956" s="228">
        <f t="shared" si="46"/>
        <v>47367</v>
      </c>
      <c r="B1956" s="233">
        <f t="shared" si="45"/>
        <v>37115</v>
      </c>
    </row>
    <row r="1957" spans="1:2" ht="15" customHeight="1">
      <c r="A1957" s="228">
        <f t="shared" si="46"/>
        <v>47368</v>
      </c>
      <c r="B1957" s="233">
        <f t="shared" si="45"/>
        <v>37115</v>
      </c>
    </row>
    <row r="1958" spans="1:2" ht="15" customHeight="1">
      <c r="A1958" s="228">
        <f t="shared" si="46"/>
        <v>47369</v>
      </c>
      <c r="B1958" s="233">
        <f t="shared" si="45"/>
        <v>37115</v>
      </c>
    </row>
    <row r="1959" spans="1:2" ht="15" customHeight="1">
      <c r="A1959" s="228">
        <f t="shared" si="46"/>
        <v>47370</v>
      </c>
      <c r="B1959" s="233">
        <f t="shared" si="45"/>
        <v>37115</v>
      </c>
    </row>
    <row r="1960" spans="1:2" ht="15" customHeight="1">
      <c r="A1960" s="228">
        <f t="shared" si="46"/>
        <v>47371</v>
      </c>
      <c r="B1960" s="233">
        <f t="shared" si="45"/>
        <v>37115</v>
      </c>
    </row>
    <row r="1961" spans="1:2" ht="15" customHeight="1">
      <c r="A1961" s="228">
        <f t="shared" si="46"/>
        <v>47372</v>
      </c>
      <c r="B1961" s="233">
        <f t="shared" si="45"/>
        <v>37115</v>
      </c>
    </row>
    <row r="1962" spans="1:2" ht="15" customHeight="1">
      <c r="A1962" s="228">
        <f t="shared" si="46"/>
        <v>47373</v>
      </c>
      <c r="B1962" s="233">
        <f t="shared" si="45"/>
        <v>37115</v>
      </c>
    </row>
    <row r="1963" spans="1:2" ht="15" customHeight="1">
      <c r="A1963" s="228">
        <f t="shared" si="46"/>
        <v>47374</v>
      </c>
      <c r="B1963" s="233">
        <f t="shared" si="45"/>
        <v>37115</v>
      </c>
    </row>
    <row r="1964" spans="1:2" ht="15" customHeight="1">
      <c r="A1964" s="228">
        <f t="shared" si="46"/>
        <v>47375</v>
      </c>
      <c r="B1964" s="233">
        <f t="shared" si="45"/>
        <v>37115</v>
      </c>
    </row>
  </sheetData>
  <pageMargins left="0.7" right="0.7" top="0.75" bottom="0.75" header="0" footer="0"/>
  <pageSetup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7123D-8246-4996-AB84-7B098BB2A521}">
  <dimension ref="A1:E5967"/>
  <sheetViews>
    <sheetView topLeftCell="A5957" workbookViewId="0">
      <selection activeCell="A5959" sqref="A5959:B5967"/>
    </sheetView>
  </sheetViews>
  <sheetFormatPr baseColWidth="10" defaultRowHeight="15.75"/>
  <cols>
    <col min="1" max="1" width="19.7109375" style="638" customWidth="1"/>
    <col min="2" max="2" width="20.85546875" style="639" bestFit="1" customWidth="1"/>
    <col min="3" max="3" width="15.140625" style="598" customWidth="1"/>
    <col min="4" max="4" width="22.28515625" style="598" customWidth="1"/>
    <col min="5" max="5" width="11.42578125" style="594"/>
    <col min="6" max="6" width="13.28515625" style="594" customWidth="1"/>
    <col min="7" max="7" width="27" style="594" customWidth="1"/>
    <col min="8" max="16384" width="11.42578125" style="594"/>
  </cols>
  <sheetData>
    <row r="1" spans="1:4" ht="60.75" thickBot="1">
      <c r="A1" s="591" t="s">
        <v>217</v>
      </c>
      <c r="B1" s="592" t="s">
        <v>267</v>
      </c>
      <c r="C1" s="593"/>
      <c r="D1" s="592" t="s">
        <v>268</v>
      </c>
    </row>
    <row r="2" spans="1:4">
      <c r="A2" s="595">
        <v>37319</v>
      </c>
      <c r="B2" s="596">
        <v>2.0083000000000002</v>
      </c>
      <c r="C2" s="597"/>
    </row>
    <row r="3" spans="1:4">
      <c r="A3" s="599">
        <v>37320</v>
      </c>
      <c r="B3" s="600">
        <v>1.9917</v>
      </c>
    </row>
    <row r="4" spans="1:4">
      <c r="A4" s="599">
        <v>37321</v>
      </c>
      <c r="B4" s="600">
        <v>2.0508000000000002</v>
      </c>
    </row>
    <row r="5" spans="1:4">
      <c r="A5" s="599">
        <v>37322</v>
      </c>
      <c r="B5" s="600">
        <v>2.1375000000000002</v>
      </c>
    </row>
    <row r="6" spans="1:4">
      <c r="A6" s="599">
        <v>37323</v>
      </c>
      <c r="B6" s="600">
        <v>2.2033</v>
      </c>
    </row>
    <row r="7" spans="1:4">
      <c r="A7" s="599">
        <v>37326</v>
      </c>
      <c r="B7" s="600">
        <v>2.2524999999999999</v>
      </c>
    </row>
    <row r="8" spans="1:4">
      <c r="A8" s="599">
        <v>37327</v>
      </c>
      <c r="B8" s="600">
        <v>2.3650000000000002</v>
      </c>
    </row>
    <row r="9" spans="1:4">
      <c r="A9" s="599">
        <v>37328</v>
      </c>
      <c r="B9" s="600">
        <v>2.3317000000000001</v>
      </c>
    </row>
    <row r="10" spans="1:4">
      <c r="A10" s="599">
        <v>37329</v>
      </c>
      <c r="B10" s="600">
        <v>2.3650000000000002</v>
      </c>
    </row>
    <row r="11" spans="1:4">
      <c r="A11" s="599">
        <v>37330</v>
      </c>
      <c r="B11" s="600">
        <v>2.3408000000000002</v>
      </c>
    </row>
    <row r="12" spans="1:4">
      <c r="A12" s="599">
        <v>37333</v>
      </c>
      <c r="B12" s="600">
        <v>2.3174999999999999</v>
      </c>
    </row>
    <row r="13" spans="1:4">
      <c r="A13" s="599">
        <v>37334</v>
      </c>
      <c r="B13" s="600">
        <v>2.3782999999999999</v>
      </c>
    </row>
    <row r="14" spans="1:4">
      <c r="A14" s="599">
        <v>37335</v>
      </c>
      <c r="B14" s="600">
        <v>2.4319999999999999</v>
      </c>
    </row>
    <row r="15" spans="1:4">
      <c r="A15" s="599">
        <v>37336</v>
      </c>
      <c r="B15" s="600">
        <v>2.3883000000000001</v>
      </c>
    </row>
    <row r="16" spans="1:4">
      <c r="A16" s="599">
        <v>37337</v>
      </c>
      <c r="B16" s="600">
        <v>2.5682999999999998</v>
      </c>
    </row>
    <row r="17" spans="1:4">
      <c r="A17" s="599">
        <v>37340</v>
      </c>
      <c r="B17" s="600">
        <v>3.2050000000000001</v>
      </c>
    </row>
    <row r="18" spans="1:4">
      <c r="A18" s="599">
        <v>37341</v>
      </c>
      <c r="B18" s="600">
        <v>2.9916999999999998</v>
      </c>
      <c r="D18" s="601">
        <v>37316</v>
      </c>
    </row>
    <row r="19" spans="1:4" ht="16.5" thickBot="1">
      <c r="A19" s="602">
        <v>37342</v>
      </c>
      <c r="B19" s="603">
        <v>2.8517000000000001</v>
      </c>
      <c r="D19" s="604">
        <v>2.39885555555556</v>
      </c>
    </row>
    <row r="20" spans="1:4">
      <c r="A20" s="595">
        <v>37348</v>
      </c>
      <c r="B20" s="596">
        <v>2.8875000000000002</v>
      </c>
    </row>
    <row r="21" spans="1:4">
      <c r="A21" s="599">
        <v>37349</v>
      </c>
      <c r="B21" s="600">
        <v>2.9033000000000002</v>
      </c>
    </row>
    <row r="22" spans="1:4">
      <c r="A22" s="599">
        <v>37350</v>
      </c>
      <c r="B22" s="600">
        <v>2.8</v>
      </c>
    </row>
    <row r="23" spans="1:4">
      <c r="A23" s="599">
        <v>37351</v>
      </c>
      <c r="B23" s="600">
        <v>2.6732999999999998</v>
      </c>
    </row>
    <row r="24" spans="1:4">
      <c r="A24" s="599">
        <v>37354</v>
      </c>
      <c r="B24" s="600">
        <v>2.7042000000000002</v>
      </c>
    </row>
    <row r="25" spans="1:4">
      <c r="A25" s="599">
        <v>37355</v>
      </c>
      <c r="B25" s="600">
        <v>2.7467000000000001</v>
      </c>
    </row>
    <row r="26" spans="1:4">
      <c r="A26" s="599">
        <v>37356</v>
      </c>
      <c r="B26" s="600">
        <v>2.7707999999999999</v>
      </c>
    </row>
    <row r="27" spans="1:4">
      <c r="A27" s="599">
        <v>37357</v>
      </c>
      <c r="B27" s="600">
        <v>2.7883</v>
      </c>
    </row>
    <row r="28" spans="1:4">
      <c r="A28" s="599">
        <v>37358</v>
      </c>
      <c r="B28" s="600">
        <v>2.8592</v>
      </c>
    </row>
    <row r="29" spans="1:4">
      <c r="A29" s="599">
        <v>37361</v>
      </c>
      <c r="B29" s="600">
        <v>2.9232999999999998</v>
      </c>
    </row>
    <row r="30" spans="1:4">
      <c r="A30" s="599">
        <v>37362</v>
      </c>
      <c r="B30" s="600">
        <v>2.8532999999999999</v>
      </c>
    </row>
    <row r="31" spans="1:4">
      <c r="A31" s="599">
        <v>37363</v>
      </c>
      <c r="B31" s="600">
        <v>2.8050000000000002</v>
      </c>
    </row>
    <row r="32" spans="1:4">
      <c r="A32" s="599">
        <v>37364</v>
      </c>
      <c r="B32" s="600">
        <v>2.9117000000000002</v>
      </c>
    </row>
    <row r="33" spans="1:4">
      <c r="A33" s="599">
        <v>37365</v>
      </c>
      <c r="B33" s="600">
        <v>3.1166999999999998</v>
      </c>
    </row>
    <row r="34" spans="1:4">
      <c r="A34" s="599">
        <v>37375</v>
      </c>
      <c r="B34" s="600">
        <v>3.0217000000000001</v>
      </c>
      <c r="D34" s="601">
        <v>37347</v>
      </c>
    </row>
    <row r="35" spans="1:4" ht="16.5" thickBot="1">
      <c r="A35" s="605">
        <v>37376</v>
      </c>
      <c r="B35" s="606">
        <v>2.9167000000000001</v>
      </c>
      <c r="D35" s="604">
        <v>2.8551062500000008</v>
      </c>
    </row>
    <row r="36" spans="1:4">
      <c r="A36" s="607">
        <v>37378</v>
      </c>
      <c r="B36" s="608">
        <v>3.0358000000000001</v>
      </c>
      <c r="C36" s="597"/>
    </row>
    <row r="37" spans="1:4">
      <c r="A37" s="599">
        <v>37379</v>
      </c>
      <c r="B37" s="600">
        <v>3.16</v>
      </c>
      <c r="C37" s="597"/>
    </row>
    <row r="38" spans="1:4">
      <c r="A38" s="599">
        <v>37382</v>
      </c>
      <c r="B38" s="600">
        <v>3.1633</v>
      </c>
      <c r="C38" s="597"/>
    </row>
    <row r="39" spans="1:4">
      <c r="A39" s="599">
        <v>37383</v>
      </c>
      <c r="B39" s="600">
        <v>3.1717</v>
      </c>
      <c r="C39" s="597"/>
    </row>
    <row r="40" spans="1:4">
      <c r="A40" s="599">
        <v>37384</v>
      </c>
      <c r="B40" s="600">
        <v>3.1863000000000001</v>
      </c>
      <c r="C40" s="597"/>
    </row>
    <row r="41" spans="1:4">
      <c r="A41" s="599">
        <v>37385</v>
      </c>
      <c r="B41" s="600">
        <v>3.18</v>
      </c>
      <c r="C41" s="597"/>
    </row>
    <row r="42" spans="1:4">
      <c r="A42" s="599">
        <v>37386</v>
      </c>
      <c r="B42" s="600">
        <v>3.1766999999999999</v>
      </c>
      <c r="C42" s="597"/>
    </row>
    <row r="43" spans="1:4">
      <c r="A43" s="599">
        <v>37389</v>
      </c>
      <c r="B43" s="600">
        <v>3.2667000000000002</v>
      </c>
      <c r="C43" s="597"/>
    </row>
    <row r="44" spans="1:4">
      <c r="A44" s="599">
        <v>37390</v>
      </c>
      <c r="B44" s="600">
        <v>3.2557</v>
      </c>
      <c r="C44" s="597"/>
    </row>
    <row r="45" spans="1:4">
      <c r="A45" s="599">
        <v>37391</v>
      </c>
      <c r="B45" s="600">
        <v>3.2250000000000001</v>
      </c>
      <c r="C45" s="597"/>
    </row>
    <row r="46" spans="1:4">
      <c r="A46" s="599">
        <v>37392</v>
      </c>
      <c r="B46" s="600">
        <v>3.2227999999999999</v>
      </c>
      <c r="C46" s="597"/>
    </row>
    <row r="47" spans="1:4">
      <c r="A47" s="599">
        <v>37393</v>
      </c>
      <c r="B47" s="600">
        <v>3.33</v>
      </c>
      <c r="C47" s="597"/>
    </row>
    <row r="48" spans="1:4">
      <c r="A48" s="599">
        <v>37396</v>
      </c>
      <c r="B48" s="600">
        <v>3.5167000000000002</v>
      </c>
      <c r="C48" s="597"/>
    </row>
    <row r="49" spans="1:4">
      <c r="A49" s="599">
        <v>37397</v>
      </c>
      <c r="B49" s="600">
        <v>3.4933000000000001</v>
      </c>
      <c r="C49" s="597"/>
    </row>
    <row r="50" spans="1:4">
      <c r="A50" s="599">
        <v>37398</v>
      </c>
      <c r="B50" s="600">
        <v>3.4207999999999998</v>
      </c>
      <c r="C50" s="597"/>
    </row>
    <row r="51" spans="1:4">
      <c r="A51" s="599">
        <v>37399</v>
      </c>
      <c r="B51" s="600">
        <v>3.3883000000000001</v>
      </c>
      <c r="C51" s="597"/>
    </row>
    <row r="52" spans="1:4">
      <c r="A52" s="599">
        <v>37400</v>
      </c>
      <c r="B52" s="600">
        <v>3.4283000000000001</v>
      </c>
      <c r="C52" s="597"/>
    </row>
    <row r="53" spans="1:4">
      <c r="A53" s="599">
        <v>37403</v>
      </c>
      <c r="B53" s="600">
        <v>3.4483000000000001</v>
      </c>
      <c r="C53" s="597"/>
    </row>
    <row r="54" spans="1:4">
      <c r="A54" s="599">
        <v>37404</v>
      </c>
      <c r="B54" s="600">
        <v>3.4517000000000002</v>
      </c>
      <c r="C54" s="597"/>
    </row>
    <row r="55" spans="1:4">
      <c r="A55" s="599">
        <v>37405</v>
      </c>
      <c r="B55" s="600">
        <v>3.5432999999999999</v>
      </c>
      <c r="C55" s="597"/>
    </row>
    <row r="56" spans="1:4">
      <c r="A56" s="599">
        <v>37406</v>
      </c>
      <c r="B56" s="600">
        <v>3.5916999999999999</v>
      </c>
      <c r="C56" s="597"/>
      <c r="D56" s="601">
        <v>37377</v>
      </c>
    </row>
    <row r="57" spans="1:4" ht="16.5" thickBot="1">
      <c r="A57" s="602">
        <v>37407</v>
      </c>
      <c r="B57" s="603">
        <v>3.5750000000000002</v>
      </c>
      <c r="C57" s="597"/>
      <c r="D57" s="604">
        <v>3.3287000000000004</v>
      </c>
    </row>
    <row r="58" spans="1:4">
      <c r="A58" s="595">
        <v>37410</v>
      </c>
      <c r="B58" s="596">
        <v>3.5941999999999998</v>
      </c>
      <c r="C58" s="597"/>
    </row>
    <row r="59" spans="1:4">
      <c r="A59" s="599">
        <v>37411</v>
      </c>
      <c r="B59" s="600">
        <v>3.6082999999999998</v>
      </c>
      <c r="C59" s="597"/>
    </row>
    <row r="60" spans="1:4">
      <c r="A60" s="599">
        <v>37412</v>
      </c>
      <c r="B60" s="600">
        <v>3.6267</v>
      </c>
      <c r="C60" s="597"/>
    </row>
    <row r="61" spans="1:4">
      <c r="A61" s="599">
        <v>37413</v>
      </c>
      <c r="B61" s="600">
        <v>3.6366999999999998</v>
      </c>
      <c r="C61" s="597"/>
    </row>
    <row r="62" spans="1:4">
      <c r="A62" s="599">
        <v>37414</v>
      </c>
      <c r="B62" s="600">
        <v>3.63</v>
      </c>
      <c r="C62" s="597"/>
    </row>
    <row r="63" spans="1:4">
      <c r="A63" s="599">
        <v>37417</v>
      </c>
      <c r="B63" s="600">
        <v>3.5325000000000002</v>
      </c>
      <c r="C63" s="597"/>
    </row>
    <row r="64" spans="1:4">
      <c r="A64" s="599">
        <v>37418</v>
      </c>
      <c r="B64" s="600">
        <v>3.4558</v>
      </c>
      <c r="C64" s="597"/>
    </row>
    <row r="65" spans="1:4">
      <c r="A65" s="599">
        <v>37419</v>
      </c>
      <c r="B65" s="600">
        <v>3.4449999999999998</v>
      </c>
      <c r="C65" s="597"/>
    </row>
    <row r="66" spans="1:4">
      <c r="A66" s="599">
        <v>37420</v>
      </c>
      <c r="B66" s="600">
        <v>3.4716999999999998</v>
      </c>
      <c r="C66" s="597"/>
    </row>
    <row r="67" spans="1:4">
      <c r="A67" s="599">
        <v>37421</v>
      </c>
      <c r="B67" s="600">
        <v>3.5043000000000002</v>
      </c>
      <c r="C67" s="597"/>
    </row>
    <row r="68" spans="1:4">
      <c r="A68" s="599">
        <v>37425</v>
      </c>
      <c r="B68" s="600">
        <v>3.5078</v>
      </c>
      <c r="C68" s="597"/>
    </row>
    <row r="69" spans="1:4">
      <c r="A69" s="599">
        <v>37426</v>
      </c>
      <c r="B69" s="600">
        <v>3.5362</v>
      </c>
      <c r="C69" s="597"/>
    </row>
    <row r="70" spans="1:4">
      <c r="A70" s="599">
        <v>37427</v>
      </c>
      <c r="B70" s="600">
        <v>3.5832999999999999</v>
      </c>
      <c r="C70" s="597"/>
    </row>
    <row r="71" spans="1:4">
      <c r="A71" s="599">
        <v>37428</v>
      </c>
      <c r="B71" s="600">
        <v>3.6360000000000001</v>
      </c>
      <c r="C71" s="597"/>
    </row>
    <row r="72" spans="1:4">
      <c r="A72" s="599">
        <v>37431</v>
      </c>
      <c r="B72" s="600">
        <v>3.7058</v>
      </c>
      <c r="C72" s="597"/>
    </row>
    <row r="73" spans="1:4">
      <c r="A73" s="599">
        <v>37432</v>
      </c>
      <c r="B73" s="600">
        <v>3.85</v>
      </c>
      <c r="C73" s="597"/>
    </row>
    <row r="74" spans="1:4">
      <c r="A74" s="599">
        <v>37433</v>
      </c>
      <c r="B74" s="600">
        <v>3.8675000000000002</v>
      </c>
      <c r="C74" s="597"/>
    </row>
    <row r="75" spans="1:4">
      <c r="A75" s="599">
        <v>37434</v>
      </c>
      <c r="B75" s="600">
        <v>3.8092000000000001</v>
      </c>
      <c r="C75" s="597"/>
      <c r="D75" s="601">
        <v>37408</v>
      </c>
    </row>
    <row r="76" spans="1:4" ht="16.5" thickBot="1">
      <c r="A76" s="602">
        <v>37435</v>
      </c>
      <c r="B76" s="603">
        <v>3.8037000000000001</v>
      </c>
      <c r="C76" s="597"/>
      <c r="D76" s="604">
        <v>3.6213000000000015</v>
      </c>
    </row>
    <row r="77" spans="1:4">
      <c r="A77" s="595">
        <v>37438</v>
      </c>
      <c r="B77" s="596">
        <v>3.7911999999999999</v>
      </c>
      <c r="C77" s="597"/>
    </row>
    <row r="78" spans="1:4">
      <c r="A78" s="599">
        <v>37439</v>
      </c>
      <c r="B78" s="600">
        <v>3.69</v>
      </c>
      <c r="C78" s="597"/>
    </row>
    <row r="79" spans="1:4">
      <c r="A79" s="599">
        <v>37440</v>
      </c>
      <c r="B79" s="600">
        <v>3.5767000000000002</v>
      </c>
      <c r="C79" s="597"/>
    </row>
    <row r="80" spans="1:4">
      <c r="A80" s="599">
        <v>37441</v>
      </c>
      <c r="B80" s="600">
        <v>3.5558000000000001</v>
      </c>
      <c r="C80" s="597"/>
    </row>
    <row r="81" spans="1:3">
      <c r="A81" s="599">
        <v>37442</v>
      </c>
      <c r="B81" s="600">
        <v>3.5667</v>
      </c>
      <c r="C81" s="597"/>
    </row>
    <row r="82" spans="1:3">
      <c r="A82" s="599">
        <v>37445</v>
      </c>
      <c r="B82" s="600">
        <v>3.5316999999999998</v>
      </c>
      <c r="C82" s="597"/>
    </row>
    <row r="83" spans="1:3">
      <c r="A83" s="599">
        <v>37447</v>
      </c>
      <c r="B83" s="600">
        <v>3.5303</v>
      </c>
      <c r="C83" s="597"/>
    </row>
    <row r="84" spans="1:3">
      <c r="A84" s="599">
        <v>37448</v>
      </c>
      <c r="B84" s="600">
        <v>3.5550000000000002</v>
      </c>
      <c r="C84" s="597"/>
    </row>
    <row r="85" spans="1:3">
      <c r="A85" s="599">
        <v>37449</v>
      </c>
      <c r="B85" s="600">
        <v>3.5874999999999999</v>
      </c>
      <c r="C85" s="597"/>
    </row>
    <row r="86" spans="1:3">
      <c r="A86" s="599">
        <v>37452</v>
      </c>
      <c r="B86" s="600">
        <v>3.5933000000000002</v>
      </c>
      <c r="C86" s="597"/>
    </row>
    <row r="87" spans="1:3">
      <c r="A87" s="599">
        <v>37453</v>
      </c>
      <c r="B87" s="600">
        <v>3.5907</v>
      </c>
      <c r="C87" s="597"/>
    </row>
    <row r="88" spans="1:3">
      <c r="A88" s="599">
        <v>37454</v>
      </c>
      <c r="B88" s="600">
        <v>3.4967000000000001</v>
      </c>
      <c r="C88" s="597"/>
    </row>
    <row r="89" spans="1:3">
      <c r="A89" s="599">
        <v>37455</v>
      </c>
      <c r="B89" s="600">
        <v>3.5417000000000001</v>
      </c>
      <c r="C89" s="597"/>
    </row>
    <row r="90" spans="1:3">
      <c r="A90" s="599">
        <v>37456</v>
      </c>
      <c r="B90" s="600">
        <v>3.5844999999999998</v>
      </c>
      <c r="C90" s="597"/>
    </row>
    <row r="91" spans="1:3">
      <c r="A91" s="599">
        <v>37459</v>
      </c>
      <c r="B91" s="600">
        <v>3.5977999999999999</v>
      </c>
      <c r="C91" s="597"/>
    </row>
    <row r="92" spans="1:3">
      <c r="A92" s="599">
        <v>37460</v>
      </c>
      <c r="B92" s="600">
        <v>3.6383000000000001</v>
      </c>
      <c r="C92" s="597"/>
    </row>
    <row r="93" spans="1:3">
      <c r="A93" s="599">
        <v>37461</v>
      </c>
      <c r="B93" s="600">
        <v>3.645</v>
      </c>
      <c r="C93" s="597"/>
    </row>
    <row r="94" spans="1:3">
      <c r="A94" s="599">
        <v>37462</v>
      </c>
      <c r="B94" s="600">
        <v>3.6267</v>
      </c>
      <c r="C94" s="597"/>
    </row>
    <row r="95" spans="1:3">
      <c r="A95" s="599">
        <v>37463</v>
      </c>
      <c r="B95" s="600">
        <v>3.6558000000000002</v>
      </c>
      <c r="C95" s="597"/>
    </row>
    <row r="96" spans="1:3">
      <c r="A96" s="599">
        <v>37466</v>
      </c>
      <c r="B96" s="600">
        <v>3.65</v>
      </c>
      <c r="C96" s="597"/>
    </row>
    <row r="97" spans="1:4">
      <c r="A97" s="599">
        <v>37467</v>
      </c>
      <c r="B97" s="600">
        <v>3.6507999999999998</v>
      </c>
      <c r="C97" s="597"/>
      <c r="D97" s="601">
        <v>37438</v>
      </c>
    </row>
    <row r="98" spans="1:4" ht="16.5" thickBot="1">
      <c r="A98" s="602">
        <v>37468</v>
      </c>
      <c r="B98" s="603">
        <v>3.7008000000000001</v>
      </c>
      <c r="C98" s="597"/>
      <c r="D98" s="604">
        <v>3.6071363636363643</v>
      </c>
    </row>
    <row r="99" spans="1:4">
      <c r="A99" s="595">
        <v>37469</v>
      </c>
      <c r="B99" s="596">
        <v>3.6333000000000002</v>
      </c>
      <c r="C99" s="597"/>
    </row>
    <row r="100" spans="1:4">
      <c r="A100" s="599">
        <v>37470</v>
      </c>
      <c r="B100" s="600">
        <v>3.6150000000000002</v>
      </c>
      <c r="C100" s="597"/>
    </row>
    <row r="101" spans="1:4">
      <c r="A101" s="599">
        <v>37473</v>
      </c>
      <c r="B101" s="600">
        <v>3.6162999999999998</v>
      </c>
    </row>
    <row r="102" spans="1:4">
      <c r="A102" s="599">
        <v>37474</v>
      </c>
      <c r="B102" s="600">
        <v>3.6208</v>
      </c>
    </row>
    <row r="103" spans="1:4">
      <c r="A103" s="599">
        <v>37475</v>
      </c>
      <c r="B103" s="600">
        <v>3.6278000000000001</v>
      </c>
    </row>
    <row r="104" spans="1:4">
      <c r="A104" s="599">
        <v>37476</v>
      </c>
      <c r="B104" s="600">
        <v>3.6408</v>
      </c>
    </row>
    <row r="105" spans="1:4">
      <c r="A105" s="599">
        <v>37477</v>
      </c>
      <c r="B105" s="600">
        <v>3.6366999999999998</v>
      </c>
    </row>
    <row r="106" spans="1:4">
      <c r="A106" s="599">
        <v>37480</v>
      </c>
      <c r="B106" s="600">
        <v>3.62</v>
      </c>
    </row>
    <row r="107" spans="1:4">
      <c r="A107" s="599">
        <v>37481</v>
      </c>
      <c r="B107" s="600">
        <v>3.6107999999999998</v>
      </c>
    </row>
    <row r="108" spans="1:4">
      <c r="A108" s="599">
        <v>37482</v>
      </c>
      <c r="B108" s="600">
        <v>3.6324999999999998</v>
      </c>
    </row>
    <row r="109" spans="1:4">
      <c r="A109" s="599">
        <v>37483</v>
      </c>
      <c r="B109" s="600">
        <v>3.6417000000000002</v>
      </c>
    </row>
    <row r="110" spans="1:4">
      <c r="A110" s="599">
        <v>37484</v>
      </c>
      <c r="B110" s="600">
        <v>3.6392000000000002</v>
      </c>
    </row>
    <row r="111" spans="1:4">
      <c r="A111" s="599">
        <v>37488</v>
      </c>
      <c r="B111" s="600">
        <v>3.63</v>
      </c>
    </row>
    <row r="112" spans="1:4">
      <c r="A112" s="599">
        <v>37489</v>
      </c>
      <c r="B112" s="600">
        <v>3.5983000000000001</v>
      </c>
    </row>
    <row r="113" spans="1:4">
      <c r="A113" s="599">
        <v>37490</v>
      </c>
      <c r="B113" s="600">
        <v>3.5817000000000001</v>
      </c>
    </row>
    <row r="114" spans="1:4">
      <c r="A114" s="599">
        <v>37491</v>
      </c>
      <c r="B114" s="600">
        <v>3.6042000000000001</v>
      </c>
    </row>
    <row r="115" spans="1:4">
      <c r="A115" s="599">
        <v>37494</v>
      </c>
      <c r="B115" s="600">
        <v>3.6183000000000001</v>
      </c>
    </row>
    <row r="116" spans="1:4">
      <c r="A116" s="599">
        <v>37495</v>
      </c>
      <c r="B116" s="600">
        <v>3.6257999999999999</v>
      </c>
    </row>
    <row r="117" spans="1:4">
      <c r="A117" s="599">
        <v>37496</v>
      </c>
      <c r="B117" s="600">
        <v>3.605</v>
      </c>
    </row>
    <row r="118" spans="1:4">
      <c r="A118" s="599">
        <v>37497</v>
      </c>
      <c r="B118" s="600">
        <v>3.6116999999999999</v>
      </c>
      <c r="D118" s="601">
        <v>37469</v>
      </c>
    </row>
    <row r="119" spans="1:4" ht="16.5" thickBot="1">
      <c r="A119" s="602">
        <v>37498</v>
      </c>
      <c r="B119" s="603">
        <v>3.625</v>
      </c>
      <c r="D119" s="604">
        <v>3.6207095238095244</v>
      </c>
    </row>
    <row r="120" spans="1:4">
      <c r="A120" s="595">
        <v>37501</v>
      </c>
      <c r="B120" s="596">
        <v>3.6280000000000001</v>
      </c>
    </row>
    <row r="121" spans="1:4">
      <c r="A121" s="599">
        <v>37502</v>
      </c>
      <c r="B121" s="600">
        <v>3.633</v>
      </c>
    </row>
    <row r="122" spans="1:4">
      <c r="A122" s="599">
        <v>37503</v>
      </c>
      <c r="B122" s="600">
        <v>3.6368</v>
      </c>
    </row>
    <row r="123" spans="1:4">
      <c r="A123" s="599">
        <v>37504</v>
      </c>
      <c r="B123" s="600">
        <v>3.6246999999999998</v>
      </c>
    </row>
    <row r="124" spans="1:4">
      <c r="A124" s="599">
        <v>37505</v>
      </c>
      <c r="B124" s="600">
        <v>3.6092</v>
      </c>
    </row>
    <row r="125" spans="1:4">
      <c r="A125" s="599">
        <v>37508</v>
      </c>
      <c r="B125" s="600">
        <v>3.6092</v>
      </c>
    </row>
    <row r="126" spans="1:4">
      <c r="A126" s="599">
        <v>37509</v>
      </c>
      <c r="B126" s="600">
        <v>3.6183000000000001</v>
      </c>
    </row>
    <row r="127" spans="1:4">
      <c r="A127" s="599">
        <v>37510</v>
      </c>
      <c r="B127" s="600">
        <v>3.61</v>
      </c>
    </row>
    <row r="128" spans="1:4">
      <c r="A128" s="599">
        <v>37511</v>
      </c>
      <c r="B128" s="600">
        <v>3.6236999999999999</v>
      </c>
    </row>
    <row r="129" spans="1:4">
      <c r="A129" s="599">
        <v>37512</v>
      </c>
      <c r="B129" s="600">
        <v>3.6297000000000001</v>
      </c>
    </row>
    <row r="130" spans="1:4">
      <c r="A130" s="599">
        <v>37515</v>
      </c>
      <c r="B130" s="600">
        <v>3.6393</v>
      </c>
    </row>
    <row r="131" spans="1:4">
      <c r="A131" s="599">
        <v>37516</v>
      </c>
      <c r="B131" s="600">
        <v>3.6341999999999999</v>
      </c>
    </row>
    <row r="132" spans="1:4">
      <c r="A132" s="599">
        <v>37517</v>
      </c>
      <c r="B132" s="600">
        <v>3.6316999999999999</v>
      </c>
    </row>
    <row r="133" spans="1:4">
      <c r="A133" s="599">
        <v>37518</v>
      </c>
      <c r="B133" s="600">
        <v>3.6507999999999998</v>
      </c>
    </row>
    <row r="134" spans="1:4">
      <c r="A134" s="599">
        <v>37519</v>
      </c>
      <c r="B134" s="600">
        <v>3.6579999999999999</v>
      </c>
    </row>
    <row r="135" spans="1:4">
      <c r="A135" s="599">
        <v>37522</v>
      </c>
      <c r="B135" s="600">
        <v>3.6492</v>
      </c>
    </row>
    <row r="136" spans="1:4">
      <c r="A136" s="599">
        <v>37523</v>
      </c>
      <c r="B136" s="600">
        <v>3.6583000000000001</v>
      </c>
    </row>
    <row r="137" spans="1:4">
      <c r="A137" s="599">
        <v>37524</v>
      </c>
      <c r="B137" s="600">
        <v>3.665</v>
      </c>
    </row>
    <row r="138" spans="1:4">
      <c r="A138" s="599">
        <v>37525</v>
      </c>
      <c r="B138" s="600">
        <v>3.6678000000000002</v>
      </c>
    </row>
    <row r="139" spans="1:4">
      <c r="A139" s="599">
        <v>37526</v>
      </c>
      <c r="B139" s="600">
        <v>3.7010000000000001</v>
      </c>
      <c r="D139" s="601">
        <v>37500</v>
      </c>
    </row>
    <row r="140" spans="1:4" ht="16.5" thickBot="1">
      <c r="A140" s="602">
        <v>37529</v>
      </c>
      <c r="B140" s="603">
        <v>3.7267000000000001</v>
      </c>
      <c r="D140" s="604">
        <v>3.6430761904761901</v>
      </c>
    </row>
    <row r="141" spans="1:4">
      <c r="A141" s="595">
        <v>37530</v>
      </c>
      <c r="B141" s="596">
        <v>3.7416999999999998</v>
      </c>
    </row>
    <row r="142" spans="1:4">
      <c r="A142" s="599">
        <v>37531</v>
      </c>
      <c r="B142" s="600">
        <v>3.7608000000000001</v>
      </c>
    </row>
    <row r="143" spans="1:4">
      <c r="A143" s="599">
        <v>37532</v>
      </c>
      <c r="B143" s="600">
        <v>3.7507999999999999</v>
      </c>
    </row>
    <row r="144" spans="1:4">
      <c r="A144" s="599">
        <v>37533</v>
      </c>
      <c r="B144" s="600">
        <v>3.7397</v>
      </c>
    </row>
    <row r="145" spans="1:2">
      <c r="A145" s="599">
        <v>37536</v>
      </c>
      <c r="B145" s="600">
        <v>3.7559999999999998</v>
      </c>
    </row>
    <row r="146" spans="1:2">
      <c r="A146" s="599">
        <v>37537</v>
      </c>
      <c r="B146" s="600">
        <v>3.7422</v>
      </c>
    </row>
    <row r="147" spans="1:2">
      <c r="A147" s="599">
        <v>37538</v>
      </c>
      <c r="B147" s="600">
        <v>3.7149999999999999</v>
      </c>
    </row>
    <row r="148" spans="1:2">
      <c r="A148" s="599">
        <v>37539</v>
      </c>
      <c r="B148" s="600">
        <v>3.6907000000000001</v>
      </c>
    </row>
    <row r="149" spans="1:2">
      <c r="A149" s="599">
        <v>37540</v>
      </c>
      <c r="B149" s="600">
        <v>3.7052</v>
      </c>
    </row>
    <row r="150" spans="1:2">
      <c r="A150" s="599">
        <v>37544</v>
      </c>
      <c r="B150" s="600">
        <v>3.6791999999999998</v>
      </c>
    </row>
    <row r="151" spans="1:2">
      <c r="A151" s="599">
        <v>37545</v>
      </c>
      <c r="B151" s="600">
        <v>3.6120000000000001</v>
      </c>
    </row>
    <row r="152" spans="1:2">
      <c r="A152" s="599">
        <v>37546</v>
      </c>
      <c r="B152" s="600">
        <v>3.5741999999999998</v>
      </c>
    </row>
    <row r="153" spans="1:2">
      <c r="A153" s="599">
        <v>37547</v>
      </c>
      <c r="B153" s="600">
        <v>3.5937999999999999</v>
      </c>
    </row>
    <row r="154" spans="1:2">
      <c r="A154" s="599">
        <v>37550</v>
      </c>
      <c r="B154" s="600">
        <v>3.61</v>
      </c>
    </row>
    <row r="155" spans="1:2">
      <c r="A155" s="599">
        <v>37551</v>
      </c>
      <c r="B155" s="600">
        <v>3.6150000000000002</v>
      </c>
    </row>
    <row r="156" spans="1:2">
      <c r="A156" s="599">
        <v>37552</v>
      </c>
      <c r="B156" s="600">
        <v>3.6002000000000001</v>
      </c>
    </row>
    <row r="157" spans="1:2">
      <c r="A157" s="599">
        <v>37553</v>
      </c>
      <c r="B157" s="600">
        <v>3.6032999999999999</v>
      </c>
    </row>
    <row r="158" spans="1:2">
      <c r="A158" s="599">
        <v>37554</v>
      </c>
      <c r="B158" s="600">
        <v>3.6059999999999999</v>
      </c>
    </row>
    <row r="159" spans="1:2">
      <c r="A159" s="599">
        <v>37557</v>
      </c>
      <c r="B159" s="600">
        <v>3.59</v>
      </c>
    </row>
    <row r="160" spans="1:2">
      <c r="A160" s="599">
        <v>37558</v>
      </c>
      <c r="B160" s="600">
        <v>3.5792000000000002</v>
      </c>
    </row>
    <row r="161" spans="1:4">
      <c r="A161" s="599">
        <v>37559</v>
      </c>
      <c r="B161" s="600">
        <v>3.5531999999999999</v>
      </c>
      <c r="D161" s="601">
        <v>37530</v>
      </c>
    </row>
    <row r="162" spans="1:4" ht="16.5" thickBot="1">
      <c r="A162" s="602">
        <v>37560</v>
      </c>
      <c r="B162" s="603">
        <v>3.5232000000000001</v>
      </c>
      <c r="D162" s="604">
        <v>3.6518818181818187</v>
      </c>
    </row>
    <row r="163" spans="1:4">
      <c r="A163" s="595">
        <v>37561</v>
      </c>
      <c r="B163" s="596">
        <v>3.5182000000000002</v>
      </c>
    </row>
    <row r="164" spans="1:4">
      <c r="A164" s="599">
        <v>37564</v>
      </c>
      <c r="B164" s="600">
        <v>3.5409999999999999</v>
      </c>
    </row>
    <row r="165" spans="1:4">
      <c r="A165" s="599">
        <v>37565</v>
      </c>
      <c r="B165" s="600">
        <v>3.5367000000000002</v>
      </c>
    </row>
    <row r="166" spans="1:4">
      <c r="A166" s="599">
        <v>37567</v>
      </c>
      <c r="B166" s="600">
        <v>3.5394999999999999</v>
      </c>
    </row>
    <row r="167" spans="1:4">
      <c r="A167" s="599">
        <v>37568</v>
      </c>
      <c r="B167" s="600">
        <v>3.5343</v>
      </c>
    </row>
    <row r="168" spans="1:4">
      <c r="A168" s="599">
        <v>37571</v>
      </c>
      <c r="B168" s="600">
        <v>3.5421999999999998</v>
      </c>
    </row>
    <row r="169" spans="1:4">
      <c r="A169" s="599">
        <v>37572</v>
      </c>
      <c r="B169" s="600">
        <v>3.5291999999999999</v>
      </c>
    </row>
    <row r="170" spans="1:4">
      <c r="A170" s="599">
        <v>37573</v>
      </c>
      <c r="B170" s="600">
        <v>3.5303</v>
      </c>
    </row>
    <row r="171" spans="1:4">
      <c r="A171" s="599">
        <v>37574</v>
      </c>
      <c r="B171" s="600">
        <v>3.5358000000000001</v>
      </c>
    </row>
    <row r="172" spans="1:4">
      <c r="A172" s="599">
        <v>37575</v>
      </c>
      <c r="B172" s="600">
        <v>3.5316999999999998</v>
      </c>
    </row>
    <row r="173" spans="1:4">
      <c r="A173" s="599">
        <v>37578</v>
      </c>
      <c r="B173" s="600">
        <v>3.5270000000000001</v>
      </c>
    </row>
    <row r="174" spans="1:4">
      <c r="A174" s="599">
        <v>37579</v>
      </c>
      <c r="B174" s="600">
        <v>3.5127000000000002</v>
      </c>
    </row>
    <row r="175" spans="1:4">
      <c r="A175" s="599">
        <v>37580</v>
      </c>
      <c r="B175" s="600">
        <v>3.5123000000000002</v>
      </c>
    </row>
    <row r="176" spans="1:4">
      <c r="A176" s="599">
        <v>37581</v>
      </c>
      <c r="B176" s="600">
        <v>3.5066999999999999</v>
      </c>
    </row>
    <row r="177" spans="1:4">
      <c r="A177" s="599">
        <v>37582</v>
      </c>
      <c r="B177" s="600">
        <v>3.5023</v>
      </c>
    </row>
    <row r="178" spans="1:4">
      <c r="A178" s="599">
        <v>37585</v>
      </c>
      <c r="B178" s="600">
        <v>3.5047000000000001</v>
      </c>
    </row>
    <row r="179" spans="1:4">
      <c r="A179" s="599">
        <v>37586</v>
      </c>
      <c r="B179" s="600">
        <v>3.4794999999999998</v>
      </c>
    </row>
    <row r="180" spans="1:4">
      <c r="A180" s="599">
        <v>37587</v>
      </c>
      <c r="B180" s="600">
        <v>3.4882</v>
      </c>
    </row>
    <row r="181" spans="1:4">
      <c r="A181" s="599">
        <v>37588</v>
      </c>
      <c r="B181" s="600">
        <v>3.5425</v>
      </c>
      <c r="D181" s="601">
        <v>37561</v>
      </c>
    </row>
    <row r="182" spans="1:4" ht="16.5" thickBot="1">
      <c r="A182" s="602">
        <v>37589</v>
      </c>
      <c r="B182" s="603">
        <v>3.5962000000000001</v>
      </c>
      <c r="D182" s="604">
        <v>3.5255500000000004</v>
      </c>
    </row>
    <row r="183" spans="1:4">
      <c r="A183" s="595">
        <v>37592</v>
      </c>
      <c r="B183" s="596">
        <v>3.5874999999999999</v>
      </c>
    </row>
    <row r="184" spans="1:4">
      <c r="A184" s="599">
        <v>37593</v>
      </c>
      <c r="B184" s="600">
        <v>3.5371999999999999</v>
      </c>
    </row>
    <row r="185" spans="1:4">
      <c r="A185" s="599">
        <v>37594</v>
      </c>
      <c r="B185" s="600">
        <v>3.5285000000000002</v>
      </c>
    </row>
    <row r="186" spans="1:4">
      <c r="A186" s="599">
        <v>37595</v>
      </c>
      <c r="B186" s="600">
        <v>3.5188000000000001</v>
      </c>
    </row>
    <row r="187" spans="1:4">
      <c r="A187" s="599">
        <v>37596</v>
      </c>
      <c r="B187" s="600">
        <v>3.5306999999999999</v>
      </c>
    </row>
    <row r="188" spans="1:4">
      <c r="A188" s="599">
        <v>37599</v>
      </c>
      <c r="B188" s="600">
        <v>3.5333000000000001</v>
      </c>
    </row>
    <row r="189" spans="1:4">
      <c r="A189" s="599">
        <v>37600</v>
      </c>
      <c r="B189" s="600">
        <v>3.5268000000000002</v>
      </c>
    </row>
    <row r="190" spans="1:4">
      <c r="A190" s="599">
        <v>37601</v>
      </c>
      <c r="B190" s="600">
        <v>3.5065</v>
      </c>
    </row>
    <row r="191" spans="1:4">
      <c r="A191" s="599">
        <v>37602</v>
      </c>
      <c r="B191" s="600">
        <v>3.4975000000000001</v>
      </c>
    </row>
    <row r="192" spans="1:4">
      <c r="A192" s="599">
        <v>37603</v>
      </c>
      <c r="B192" s="600">
        <v>3.5087999999999999</v>
      </c>
    </row>
    <row r="193" spans="1:4">
      <c r="A193" s="599">
        <v>37606</v>
      </c>
      <c r="B193" s="600">
        <v>3.5365000000000002</v>
      </c>
    </row>
    <row r="194" spans="1:4">
      <c r="A194" s="599">
        <v>37607</v>
      </c>
      <c r="B194" s="600">
        <v>3.5379999999999998</v>
      </c>
    </row>
    <row r="195" spans="1:4">
      <c r="A195" s="599">
        <v>37608</v>
      </c>
      <c r="B195" s="600">
        <v>3.5118</v>
      </c>
    </row>
    <row r="196" spans="1:4">
      <c r="A196" s="599">
        <v>37609</v>
      </c>
      <c r="B196" s="600">
        <v>3.4792000000000001</v>
      </c>
    </row>
    <row r="197" spans="1:4">
      <c r="A197" s="599">
        <v>37610</v>
      </c>
      <c r="B197" s="600">
        <v>3.4748000000000001</v>
      </c>
    </row>
    <row r="198" spans="1:4">
      <c r="A198" s="599">
        <v>37613</v>
      </c>
      <c r="B198" s="600">
        <v>3.47</v>
      </c>
    </row>
    <row r="199" spans="1:4">
      <c r="A199" s="599">
        <v>37614</v>
      </c>
      <c r="B199" s="600">
        <v>3.4466999999999999</v>
      </c>
    </row>
    <row r="200" spans="1:4">
      <c r="A200" s="599">
        <v>37616</v>
      </c>
      <c r="B200" s="600">
        <v>3.4127999999999998</v>
      </c>
    </row>
    <row r="201" spans="1:4">
      <c r="A201" s="599">
        <v>37617</v>
      </c>
      <c r="B201" s="600">
        <v>3.3967000000000001</v>
      </c>
    </row>
    <row r="202" spans="1:4">
      <c r="A202" s="599">
        <v>37620</v>
      </c>
      <c r="B202" s="600">
        <v>3.3885000000000001</v>
      </c>
      <c r="D202" s="601">
        <v>37591</v>
      </c>
    </row>
    <row r="203" spans="1:4" ht="16.5" thickBot="1">
      <c r="A203" s="602">
        <v>37621</v>
      </c>
      <c r="B203" s="603">
        <v>3.363</v>
      </c>
      <c r="D203" s="604">
        <v>3.4901714285714278</v>
      </c>
    </row>
    <row r="204" spans="1:4">
      <c r="A204" s="595">
        <v>37623</v>
      </c>
      <c r="B204" s="596">
        <v>3.3624999999999998</v>
      </c>
    </row>
    <row r="205" spans="1:4">
      <c r="A205" s="599">
        <v>37624</v>
      </c>
      <c r="B205" s="600">
        <v>3.3328000000000002</v>
      </c>
    </row>
    <row r="206" spans="1:4">
      <c r="A206" s="599">
        <v>37627</v>
      </c>
      <c r="B206" s="600">
        <v>3.3290000000000002</v>
      </c>
    </row>
    <row r="207" spans="1:4">
      <c r="A207" s="599">
        <v>37628</v>
      </c>
      <c r="B207" s="600">
        <v>3.2888000000000002</v>
      </c>
    </row>
    <row r="208" spans="1:4">
      <c r="A208" s="599">
        <v>37629</v>
      </c>
      <c r="B208" s="600">
        <v>3.2934999999999999</v>
      </c>
    </row>
    <row r="209" spans="1:4">
      <c r="A209" s="599">
        <v>37630</v>
      </c>
      <c r="B209" s="600">
        <v>3.3142999999999998</v>
      </c>
    </row>
    <row r="210" spans="1:4">
      <c r="A210" s="599">
        <v>37631</v>
      </c>
      <c r="B210" s="600">
        <v>3.3532999999999999</v>
      </c>
    </row>
    <row r="211" spans="1:4">
      <c r="A211" s="599">
        <v>37634</v>
      </c>
      <c r="B211" s="600">
        <v>3.3450000000000002</v>
      </c>
    </row>
    <row r="212" spans="1:4">
      <c r="A212" s="599">
        <v>37635</v>
      </c>
      <c r="B212" s="600">
        <v>3.3037000000000001</v>
      </c>
    </row>
    <row r="213" spans="1:4">
      <c r="A213" s="599">
        <v>37636</v>
      </c>
      <c r="B213" s="600">
        <v>3.2275</v>
      </c>
    </row>
    <row r="214" spans="1:4">
      <c r="A214" s="599">
        <v>37637</v>
      </c>
      <c r="B214" s="600">
        <v>3.2437999999999998</v>
      </c>
    </row>
    <row r="215" spans="1:4">
      <c r="A215" s="599">
        <v>37638</v>
      </c>
      <c r="B215" s="600">
        <v>3.2440000000000002</v>
      </c>
    </row>
    <row r="216" spans="1:4">
      <c r="A216" s="599">
        <v>37641</v>
      </c>
      <c r="B216" s="600">
        <v>3.1932999999999998</v>
      </c>
    </row>
    <row r="217" spans="1:4">
      <c r="A217" s="599">
        <v>37642</v>
      </c>
      <c r="B217" s="600">
        <v>3.1328</v>
      </c>
    </row>
    <row r="218" spans="1:4">
      <c r="A218" s="599">
        <v>37643</v>
      </c>
      <c r="B218" s="600">
        <v>3.0632999999999999</v>
      </c>
    </row>
    <row r="219" spans="1:4">
      <c r="A219" s="599">
        <v>37644</v>
      </c>
      <c r="B219" s="600">
        <v>3.12</v>
      </c>
    </row>
    <row r="220" spans="1:4">
      <c r="A220" s="599">
        <v>37645</v>
      </c>
      <c r="B220" s="600">
        <v>3.1732999999999998</v>
      </c>
    </row>
    <row r="221" spans="1:4">
      <c r="A221" s="599">
        <v>37648</v>
      </c>
      <c r="B221" s="600">
        <v>3.2591999999999999</v>
      </c>
    </row>
    <row r="222" spans="1:4">
      <c r="A222" s="599">
        <v>37649</v>
      </c>
      <c r="B222" s="600">
        <v>3.3433000000000002</v>
      </c>
    </row>
    <row r="223" spans="1:4">
      <c r="A223" s="599">
        <v>37650</v>
      </c>
      <c r="B223" s="600">
        <v>3.335</v>
      </c>
    </row>
    <row r="224" spans="1:4">
      <c r="A224" s="599">
        <v>37651</v>
      </c>
      <c r="B224" s="600">
        <v>3.24</v>
      </c>
      <c r="D224" s="601">
        <v>37622</v>
      </c>
    </row>
    <row r="225" spans="1:4" ht="16.5" thickBot="1">
      <c r="A225" s="602">
        <v>37652</v>
      </c>
      <c r="B225" s="603">
        <v>3.1817000000000002</v>
      </c>
      <c r="D225" s="604">
        <v>3.2581863636363635</v>
      </c>
    </row>
    <row r="226" spans="1:4">
      <c r="A226" s="595">
        <v>37655</v>
      </c>
      <c r="B226" s="596">
        <v>3.1983000000000001</v>
      </c>
    </row>
    <row r="227" spans="1:4">
      <c r="A227" s="599">
        <v>37656</v>
      </c>
      <c r="B227" s="600">
        <v>3.1566999999999998</v>
      </c>
    </row>
    <row r="228" spans="1:4">
      <c r="A228" s="599">
        <v>37657</v>
      </c>
      <c r="B228" s="600">
        <v>3.1533000000000002</v>
      </c>
    </row>
    <row r="229" spans="1:4">
      <c r="A229" s="599">
        <v>37658</v>
      </c>
      <c r="B229" s="600">
        <v>3.1457999999999999</v>
      </c>
    </row>
    <row r="230" spans="1:4">
      <c r="A230" s="599">
        <v>37659</v>
      </c>
      <c r="B230" s="600">
        <v>3.1516999999999999</v>
      </c>
    </row>
    <row r="231" spans="1:4">
      <c r="A231" s="599">
        <v>37662</v>
      </c>
      <c r="B231" s="600">
        <v>3.1457999999999999</v>
      </c>
    </row>
    <row r="232" spans="1:4">
      <c r="A232" s="599">
        <v>37663</v>
      </c>
      <c r="B232" s="600">
        <v>3.1017000000000001</v>
      </c>
    </row>
    <row r="233" spans="1:4">
      <c r="A233" s="599">
        <v>37664</v>
      </c>
      <c r="B233" s="600">
        <v>3.0848</v>
      </c>
    </row>
    <row r="234" spans="1:4">
      <c r="A234" s="599">
        <v>37665</v>
      </c>
      <c r="B234" s="600">
        <v>3.1166999999999998</v>
      </c>
    </row>
    <row r="235" spans="1:4">
      <c r="A235" s="599">
        <v>37666</v>
      </c>
      <c r="B235" s="600">
        <v>3.1907999999999999</v>
      </c>
    </row>
    <row r="236" spans="1:4">
      <c r="A236" s="599">
        <v>37669</v>
      </c>
      <c r="B236" s="600">
        <v>3.1617000000000002</v>
      </c>
    </row>
    <row r="237" spans="1:4">
      <c r="A237" s="599">
        <v>37670</v>
      </c>
      <c r="B237" s="600">
        <v>3.1585000000000001</v>
      </c>
    </row>
    <row r="238" spans="1:4">
      <c r="A238" s="599">
        <v>37671</v>
      </c>
      <c r="B238" s="600">
        <v>3.1842999999999999</v>
      </c>
    </row>
    <row r="239" spans="1:4">
      <c r="A239" s="599">
        <v>37672</v>
      </c>
      <c r="B239" s="600">
        <v>3.2317</v>
      </c>
    </row>
    <row r="240" spans="1:4">
      <c r="A240" s="599">
        <v>37673</v>
      </c>
      <c r="B240" s="600">
        <v>3.2025000000000001</v>
      </c>
    </row>
    <row r="241" spans="1:4">
      <c r="A241" s="599">
        <v>37676</v>
      </c>
      <c r="B241" s="600">
        <v>3.1838000000000002</v>
      </c>
    </row>
    <row r="242" spans="1:4">
      <c r="A242" s="599">
        <v>37677</v>
      </c>
      <c r="B242" s="600">
        <v>3.15</v>
      </c>
    </row>
    <row r="243" spans="1:4">
      <c r="A243" s="599">
        <v>37678</v>
      </c>
      <c r="B243" s="600">
        <v>3.1621999999999999</v>
      </c>
    </row>
    <row r="244" spans="1:4">
      <c r="A244" s="599">
        <v>37679</v>
      </c>
      <c r="B244" s="600">
        <v>3.1817000000000002</v>
      </c>
      <c r="D244" s="601">
        <v>37653</v>
      </c>
    </row>
    <row r="245" spans="1:4" ht="16.5" thickBot="1">
      <c r="A245" s="602">
        <v>37680</v>
      </c>
      <c r="B245" s="603">
        <v>3.2012999999999998</v>
      </c>
      <c r="D245" s="604">
        <v>3.1631649999999993</v>
      </c>
    </row>
    <row r="246" spans="1:4">
      <c r="A246" s="595">
        <v>37683</v>
      </c>
      <c r="B246" s="596">
        <v>3.2187000000000001</v>
      </c>
    </row>
    <row r="247" spans="1:4">
      <c r="A247" s="599">
        <v>37684</v>
      </c>
      <c r="B247" s="600">
        <v>3.1962000000000002</v>
      </c>
    </row>
    <row r="248" spans="1:4">
      <c r="A248" s="599">
        <v>37685</v>
      </c>
      <c r="B248" s="600">
        <v>3.1739999999999999</v>
      </c>
    </row>
    <row r="249" spans="1:4">
      <c r="A249" s="599">
        <v>37686</v>
      </c>
      <c r="B249" s="600">
        <v>3.1808000000000001</v>
      </c>
    </row>
    <row r="250" spans="1:4">
      <c r="A250" s="599">
        <v>37687</v>
      </c>
      <c r="B250" s="600">
        <v>3.1715</v>
      </c>
    </row>
    <row r="251" spans="1:4">
      <c r="A251" s="599">
        <v>37690</v>
      </c>
      <c r="B251" s="600">
        <v>3.1493000000000002</v>
      </c>
    </row>
    <row r="252" spans="1:4">
      <c r="A252" s="599">
        <v>37691</v>
      </c>
      <c r="B252" s="600">
        <v>3.137</v>
      </c>
    </row>
    <row r="253" spans="1:4">
      <c r="A253" s="599">
        <v>37692</v>
      </c>
      <c r="B253" s="600">
        <v>3.1133000000000002</v>
      </c>
    </row>
    <row r="254" spans="1:4">
      <c r="A254" s="599">
        <v>37693</v>
      </c>
      <c r="B254" s="600">
        <v>3.1078000000000001</v>
      </c>
    </row>
    <row r="255" spans="1:4">
      <c r="A255" s="599">
        <v>37694</v>
      </c>
      <c r="B255" s="600">
        <v>3.1208</v>
      </c>
    </row>
    <row r="256" spans="1:4">
      <c r="A256" s="599">
        <v>37697</v>
      </c>
      <c r="B256" s="600">
        <v>3.1</v>
      </c>
    </row>
    <row r="257" spans="1:4">
      <c r="A257" s="599">
        <v>37698</v>
      </c>
      <c r="B257" s="600">
        <v>3.0655000000000001</v>
      </c>
    </row>
    <row r="258" spans="1:4">
      <c r="A258" s="599">
        <v>37699</v>
      </c>
      <c r="B258" s="600">
        <v>3.0192000000000001</v>
      </c>
    </row>
    <row r="259" spans="1:4">
      <c r="A259" s="599">
        <v>37700</v>
      </c>
      <c r="B259" s="600">
        <v>3.0194999999999999</v>
      </c>
    </row>
    <row r="260" spans="1:4">
      <c r="A260" s="599">
        <v>37701</v>
      </c>
      <c r="B260" s="600">
        <v>3.0356999999999998</v>
      </c>
    </row>
    <row r="261" spans="1:4">
      <c r="A261" s="599">
        <v>37704</v>
      </c>
      <c r="B261" s="600">
        <v>3.0087999999999999</v>
      </c>
    </row>
    <row r="262" spans="1:4">
      <c r="A262" s="599">
        <v>37705</v>
      </c>
      <c r="B262" s="600">
        <v>2.9417</v>
      </c>
    </row>
    <row r="263" spans="1:4">
      <c r="A263" s="599">
        <v>37706</v>
      </c>
      <c r="B263" s="600">
        <v>2.9011999999999998</v>
      </c>
    </row>
    <row r="264" spans="1:4">
      <c r="A264" s="599">
        <v>37707</v>
      </c>
      <c r="B264" s="600">
        <v>2.871</v>
      </c>
      <c r="D264" s="601">
        <v>37681</v>
      </c>
    </row>
    <row r="265" spans="1:4" ht="16.5" thickBot="1">
      <c r="A265" s="599">
        <v>37708</v>
      </c>
      <c r="B265" s="600">
        <v>2.9624999999999999</v>
      </c>
      <c r="D265" s="604">
        <v>3.0747249999999999</v>
      </c>
    </row>
    <row r="266" spans="1:4">
      <c r="A266" s="595">
        <v>37712</v>
      </c>
      <c r="B266" s="596">
        <v>2.9792000000000001</v>
      </c>
    </row>
    <row r="267" spans="1:4">
      <c r="A267" s="599">
        <v>37713</v>
      </c>
      <c r="B267" s="600">
        <v>2.9243000000000001</v>
      </c>
    </row>
    <row r="268" spans="1:4">
      <c r="A268" s="599">
        <v>37714</v>
      </c>
      <c r="B268" s="600">
        <v>2.9</v>
      </c>
    </row>
    <row r="269" spans="1:4">
      <c r="A269" s="599">
        <v>37715</v>
      </c>
      <c r="B269" s="600">
        <v>2.9022000000000001</v>
      </c>
    </row>
    <row r="270" spans="1:4">
      <c r="A270" s="599">
        <v>37718</v>
      </c>
      <c r="B270" s="600">
        <v>2.8932000000000002</v>
      </c>
    </row>
    <row r="271" spans="1:4">
      <c r="A271" s="599">
        <v>37719</v>
      </c>
      <c r="B271" s="600">
        <v>2.9091999999999998</v>
      </c>
    </row>
    <row r="272" spans="1:4">
      <c r="A272" s="599">
        <v>37720</v>
      </c>
      <c r="B272" s="600">
        <v>2.9186999999999999</v>
      </c>
    </row>
    <row r="273" spans="1:4">
      <c r="A273" s="599">
        <v>37721</v>
      </c>
      <c r="B273" s="600">
        <v>2.895</v>
      </c>
    </row>
    <row r="274" spans="1:4">
      <c r="A274" s="599">
        <v>37722</v>
      </c>
      <c r="B274" s="600">
        <v>2.8896999999999999</v>
      </c>
    </row>
    <row r="275" spans="1:4">
      <c r="A275" s="599">
        <v>37725</v>
      </c>
      <c r="B275" s="600">
        <v>2.9239999999999999</v>
      </c>
    </row>
    <row r="276" spans="1:4">
      <c r="A276" s="599">
        <v>37726</v>
      </c>
      <c r="B276" s="600">
        <v>2.9590000000000001</v>
      </c>
    </row>
    <row r="277" spans="1:4">
      <c r="A277" s="599">
        <v>37727</v>
      </c>
      <c r="B277" s="600">
        <v>2.9377</v>
      </c>
    </row>
    <row r="278" spans="1:4">
      <c r="A278" s="599">
        <v>37732</v>
      </c>
      <c r="B278" s="600">
        <v>2.8953000000000002</v>
      </c>
    </row>
    <row r="279" spans="1:4">
      <c r="A279" s="599">
        <v>37733</v>
      </c>
      <c r="B279" s="600">
        <v>2.8552</v>
      </c>
    </row>
    <row r="280" spans="1:4">
      <c r="A280" s="599">
        <v>37734</v>
      </c>
      <c r="B280" s="600">
        <v>2.8378000000000001</v>
      </c>
    </row>
    <row r="281" spans="1:4">
      <c r="A281" s="599">
        <v>37735</v>
      </c>
      <c r="B281" s="600">
        <v>2.8519999999999999</v>
      </c>
    </row>
    <row r="282" spans="1:4">
      <c r="A282" s="599">
        <v>37736</v>
      </c>
      <c r="B282" s="600">
        <v>2.8752</v>
      </c>
    </row>
    <row r="283" spans="1:4">
      <c r="A283" s="599">
        <v>37739</v>
      </c>
      <c r="B283" s="600">
        <v>2.8601999999999999</v>
      </c>
    </row>
    <row r="284" spans="1:4">
      <c r="A284" s="599">
        <v>37740</v>
      </c>
      <c r="B284" s="600">
        <v>2.8546999999999998</v>
      </c>
      <c r="D284" s="601">
        <v>37712</v>
      </c>
    </row>
    <row r="285" spans="1:4" ht="16.5" thickBot="1">
      <c r="A285" s="605">
        <v>37741</v>
      </c>
      <c r="B285" s="606">
        <v>2.8294999999999999</v>
      </c>
      <c r="D285" s="604">
        <v>2.8946050000000003</v>
      </c>
    </row>
    <row r="286" spans="1:4">
      <c r="A286" s="607">
        <v>37743</v>
      </c>
      <c r="B286" s="608">
        <v>2.7947000000000002</v>
      </c>
    </row>
    <row r="287" spans="1:4">
      <c r="A287" s="599">
        <v>37746</v>
      </c>
      <c r="B287" s="600">
        <v>2.7974999999999999</v>
      </c>
    </row>
    <row r="288" spans="1:4">
      <c r="A288" s="599">
        <v>37747</v>
      </c>
      <c r="B288" s="600">
        <v>2.7965</v>
      </c>
    </row>
    <row r="289" spans="1:2">
      <c r="A289" s="599">
        <v>37748</v>
      </c>
      <c r="B289" s="600">
        <v>2.8054999999999999</v>
      </c>
    </row>
    <row r="290" spans="1:2">
      <c r="A290" s="599">
        <v>37749</v>
      </c>
      <c r="B290" s="600">
        <v>2.7683</v>
      </c>
    </row>
    <row r="291" spans="1:2">
      <c r="A291" s="599">
        <v>37750</v>
      </c>
      <c r="B291" s="600">
        <v>2.7602000000000002</v>
      </c>
    </row>
    <row r="292" spans="1:2">
      <c r="A292" s="599">
        <v>37753</v>
      </c>
      <c r="B292" s="600">
        <v>2.774</v>
      </c>
    </row>
    <row r="293" spans="1:2">
      <c r="A293" s="599">
        <v>37754</v>
      </c>
      <c r="B293" s="600">
        <v>2.7484999999999999</v>
      </c>
    </row>
    <row r="294" spans="1:2">
      <c r="A294" s="599">
        <v>37755</v>
      </c>
      <c r="B294" s="600">
        <v>2.7677999999999998</v>
      </c>
    </row>
    <row r="295" spans="1:2">
      <c r="A295" s="599">
        <v>37756</v>
      </c>
      <c r="B295" s="600">
        <v>2.8395000000000001</v>
      </c>
    </row>
    <row r="296" spans="1:2">
      <c r="A296" s="599">
        <v>37757</v>
      </c>
      <c r="B296" s="600">
        <v>2.9083000000000001</v>
      </c>
    </row>
    <row r="297" spans="1:2">
      <c r="A297" s="599">
        <v>37760</v>
      </c>
      <c r="B297" s="600">
        <v>2.95</v>
      </c>
    </row>
    <row r="298" spans="1:2">
      <c r="A298" s="599">
        <v>37761</v>
      </c>
      <c r="B298" s="600">
        <v>2.8832</v>
      </c>
    </row>
    <row r="299" spans="1:2">
      <c r="A299" s="599">
        <v>37762</v>
      </c>
      <c r="B299" s="600">
        <v>2.8530000000000002</v>
      </c>
    </row>
    <row r="300" spans="1:2">
      <c r="A300" s="599">
        <v>37763</v>
      </c>
      <c r="B300" s="600">
        <v>2.839</v>
      </c>
    </row>
    <row r="301" spans="1:2">
      <c r="A301" s="599">
        <v>37764</v>
      </c>
      <c r="B301" s="600">
        <v>2.8913000000000002</v>
      </c>
    </row>
    <row r="302" spans="1:2">
      <c r="A302" s="599">
        <v>37767</v>
      </c>
      <c r="B302" s="600">
        <v>2.8824999999999998</v>
      </c>
    </row>
    <row r="303" spans="1:2">
      <c r="A303" s="599">
        <v>37768</v>
      </c>
      <c r="B303" s="600">
        <v>2.8683000000000001</v>
      </c>
    </row>
    <row r="304" spans="1:2">
      <c r="A304" s="599">
        <v>37769</v>
      </c>
      <c r="B304" s="600">
        <v>2.8753000000000002</v>
      </c>
    </row>
    <row r="305" spans="1:4">
      <c r="A305" s="599">
        <v>37770</v>
      </c>
      <c r="B305" s="600">
        <v>2.8824999999999998</v>
      </c>
      <c r="D305" s="601">
        <v>37742</v>
      </c>
    </row>
    <row r="306" spans="1:4" ht="16.5" thickBot="1">
      <c r="A306" s="602">
        <v>37771</v>
      </c>
      <c r="B306" s="603">
        <v>2.8632</v>
      </c>
      <c r="D306" s="604">
        <v>2.8356714285714291</v>
      </c>
    </row>
    <row r="307" spans="1:4">
      <c r="A307" s="595">
        <v>37774</v>
      </c>
      <c r="B307" s="596">
        <v>2.8468</v>
      </c>
    </row>
    <row r="308" spans="1:4">
      <c r="A308" s="599">
        <v>37775</v>
      </c>
      <c r="B308" s="600">
        <v>2.8380000000000001</v>
      </c>
    </row>
    <row r="309" spans="1:4">
      <c r="A309" s="599">
        <v>37776</v>
      </c>
      <c r="B309" s="600">
        <v>2.8254999999999999</v>
      </c>
    </row>
    <row r="310" spans="1:4">
      <c r="A310" s="599">
        <v>37777</v>
      </c>
      <c r="B310" s="600">
        <v>2.8224999999999998</v>
      </c>
    </row>
    <row r="311" spans="1:4">
      <c r="A311" s="599">
        <v>37778</v>
      </c>
      <c r="B311" s="600">
        <v>2.8243</v>
      </c>
    </row>
    <row r="312" spans="1:4">
      <c r="A312" s="599">
        <v>37781</v>
      </c>
      <c r="B312" s="600">
        <v>2.8149999999999999</v>
      </c>
    </row>
    <row r="313" spans="1:4">
      <c r="A313" s="599">
        <v>37782</v>
      </c>
      <c r="B313" s="600">
        <v>2.8109999999999999</v>
      </c>
    </row>
    <row r="314" spans="1:4">
      <c r="A314" s="599">
        <v>37783</v>
      </c>
      <c r="B314" s="600">
        <v>2.8111999999999999</v>
      </c>
    </row>
    <row r="315" spans="1:4">
      <c r="A315" s="599">
        <v>37784</v>
      </c>
      <c r="B315" s="600">
        <v>2.8382999999999998</v>
      </c>
    </row>
    <row r="316" spans="1:4">
      <c r="A316" s="599">
        <v>37785</v>
      </c>
      <c r="B316" s="600">
        <v>2.8264999999999998</v>
      </c>
    </row>
    <row r="317" spans="1:4">
      <c r="A317" s="599">
        <v>37789</v>
      </c>
      <c r="B317" s="600">
        <v>2.8043</v>
      </c>
    </row>
    <row r="318" spans="1:4">
      <c r="A318" s="599">
        <v>37790</v>
      </c>
      <c r="B318" s="600">
        <v>2.7949999999999999</v>
      </c>
    </row>
    <row r="319" spans="1:4">
      <c r="A319" s="599">
        <v>37791</v>
      </c>
      <c r="B319" s="600">
        <v>2.7987000000000002</v>
      </c>
    </row>
    <row r="320" spans="1:4">
      <c r="A320" s="599">
        <v>37792</v>
      </c>
      <c r="B320" s="600">
        <v>2.8027000000000002</v>
      </c>
    </row>
    <row r="321" spans="1:4">
      <c r="A321" s="599">
        <v>37795</v>
      </c>
      <c r="B321" s="600">
        <v>2.7957000000000001</v>
      </c>
    </row>
    <row r="322" spans="1:4">
      <c r="A322" s="599">
        <v>37796</v>
      </c>
      <c r="B322" s="600">
        <v>2.7728000000000002</v>
      </c>
    </row>
    <row r="323" spans="1:4">
      <c r="A323" s="599">
        <v>37797</v>
      </c>
      <c r="B323" s="600">
        <v>2.7614999999999998</v>
      </c>
    </row>
    <row r="324" spans="1:4">
      <c r="A324" s="599">
        <v>37798</v>
      </c>
      <c r="B324" s="600">
        <v>2.7856999999999998</v>
      </c>
    </row>
    <row r="325" spans="1:4">
      <c r="A325" s="599">
        <v>37799</v>
      </c>
      <c r="B325" s="600">
        <v>2.794</v>
      </c>
      <c r="D325" s="601">
        <v>37773</v>
      </c>
    </row>
    <row r="326" spans="1:4" ht="16.5" thickBot="1">
      <c r="A326" s="602">
        <v>37802</v>
      </c>
      <c r="B326" s="603">
        <v>2.8075000000000001</v>
      </c>
      <c r="D326" s="604">
        <v>2.8088499999999996</v>
      </c>
    </row>
    <row r="327" spans="1:4">
      <c r="A327" s="595">
        <v>37803</v>
      </c>
      <c r="B327" s="596">
        <v>2.8003</v>
      </c>
    </row>
    <row r="328" spans="1:4">
      <c r="A328" s="599">
        <v>37804</v>
      </c>
      <c r="B328" s="600">
        <v>2.8012000000000001</v>
      </c>
    </row>
    <row r="329" spans="1:4">
      <c r="A329" s="599">
        <v>37805</v>
      </c>
      <c r="B329" s="600">
        <v>2.7967</v>
      </c>
    </row>
    <row r="330" spans="1:4">
      <c r="A330" s="599">
        <v>37806</v>
      </c>
      <c r="B330" s="600">
        <v>2.7953000000000001</v>
      </c>
    </row>
    <row r="331" spans="1:4">
      <c r="A331" s="599">
        <v>37809</v>
      </c>
      <c r="B331" s="600">
        <v>2.7902</v>
      </c>
    </row>
    <row r="332" spans="1:4">
      <c r="A332" s="599">
        <v>37810</v>
      </c>
      <c r="B332" s="600">
        <v>2.7759999999999998</v>
      </c>
    </row>
    <row r="333" spans="1:4">
      <c r="A333" s="599">
        <v>37812</v>
      </c>
      <c r="B333" s="600">
        <v>2.7673000000000001</v>
      </c>
    </row>
    <row r="334" spans="1:4">
      <c r="A334" s="599">
        <v>37813</v>
      </c>
      <c r="B334" s="600">
        <v>2.7582</v>
      </c>
    </row>
    <row r="335" spans="1:4">
      <c r="A335" s="599">
        <v>37816</v>
      </c>
      <c r="B335" s="600">
        <v>2.7646999999999999</v>
      </c>
    </row>
    <row r="336" spans="1:4">
      <c r="A336" s="599">
        <v>37817</v>
      </c>
      <c r="B336" s="600">
        <v>2.7814999999999999</v>
      </c>
    </row>
    <row r="337" spans="1:4">
      <c r="A337" s="599">
        <v>37818</v>
      </c>
      <c r="B337" s="600">
        <v>2.7715000000000001</v>
      </c>
    </row>
    <row r="338" spans="1:4">
      <c r="A338" s="599">
        <v>37819</v>
      </c>
      <c r="B338" s="600">
        <v>2.7873000000000001</v>
      </c>
    </row>
    <row r="339" spans="1:4">
      <c r="A339" s="599">
        <v>37820</v>
      </c>
      <c r="B339" s="600">
        <v>2.7989999999999999</v>
      </c>
    </row>
    <row r="340" spans="1:4">
      <c r="A340" s="599">
        <v>37823</v>
      </c>
      <c r="B340" s="600">
        <v>2.7972999999999999</v>
      </c>
    </row>
    <row r="341" spans="1:4">
      <c r="A341" s="599">
        <v>37824</v>
      </c>
      <c r="B341" s="600">
        <v>2.7863000000000002</v>
      </c>
    </row>
    <row r="342" spans="1:4">
      <c r="A342" s="599">
        <v>37825</v>
      </c>
      <c r="B342" s="600">
        <v>2.7757000000000001</v>
      </c>
    </row>
    <row r="343" spans="1:4">
      <c r="A343" s="599">
        <v>37826</v>
      </c>
      <c r="B343" s="600">
        <v>2.79</v>
      </c>
    </row>
    <row r="344" spans="1:4">
      <c r="A344" s="599">
        <v>37827</v>
      </c>
      <c r="B344" s="600">
        <v>2.8182999999999998</v>
      </c>
    </row>
    <row r="345" spans="1:4">
      <c r="A345" s="599">
        <v>37830</v>
      </c>
      <c r="B345" s="600">
        <v>2.8182</v>
      </c>
    </row>
    <row r="346" spans="1:4">
      <c r="A346" s="599">
        <v>37831</v>
      </c>
      <c r="B346" s="600">
        <v>2.8422999999999998</v>
      </c>
    </row>
    <row r="347" spans="1:4">
      <c r="A347" s="599">
        <v>37832</v>
      </c>
      <c r="B347" s="600">
        <v>2.8797000000000001</v>
      </c>
      <c r="D347" s="601">
        <v>37803</v>
      </c>
    </row>
    <row r="348" spans="1:4" ht="16.5" thickBot="1">
      <c r="A348" s="602">
        <v>37833</v>
      </c>
      <c r="B348" s="603">
        <v>2.9312999999999998</v>
      </c>
      <c r="D348" s="604">
        <v>2.8012863636363634</v>
      </c>
    </row>
    <row r="349" spans="1:4">
      <c r="A349" s="595">
        <v>37834</v>
      </c>
      <c r="B349" s="596">
        <v>2.93</v>
      </c>
    </row>
    <row r="350" spans="1:4">
      <c r="A350" s="599">
        <v>37837</v>
      </c>
      <c r="B350" s="600">
        <v>2.9618000000000002</v>
      </c>
    </row>
    <row r="351" spans="1:4">
      <c r="A351" s="599">
        <v>37838</v>
      </c>
      <c r="B351" s="600">
        <v>2.9384999999999999</v>
      </c>
    </row>
    <row r="352" spans="1:4">
      <c r="A352" s="599">
        <v>37839</v>
      </c>
      <c r="B352" s="600">
        <v>2.931</v>
      </c>
    </row>
    <row r="353" spans="1:4">
      <c r="A353" s="599">
        <v>37840</v>
      </c>
      <c r="B353" s="600">
        <v>2.9287999999999998</v>
      </c>
    </row>
    <row r="354" spans="1:4">
      <c r="A354" s="599">
        <v>37841</v>
      </c>
      <c r="B354" s="600">
        <v>2.9247999999999998</v>
      </c>
    </row>
    <row r="355" spans="1:4">
      <c r="A355" s="599">
        <v>37844</v>
      </c>
      <c r="B355" s="600">
        <v>2.9207000000000001</v>
      </c>
    </row>
    <row r="356" spans="1:4">
      <c r="A356" s="599">
        <v>37845</v>
      </c>
      <c r="B356" s="600">
        <v>2.9073000000000002</v>
      </c>
    </row>
    <row r="357" spans="1:4">
      <c r="A357" s="599">
        <v>37846</v>
      </c>
      <c r="B357" s="600">
        <v>2.8841999999999999</v>
      </c>
    </row>
    <row r="358" spans="1:4">
      <c r="A358" s="599">
        <v>37847</v>
      </c>
      <c r="B358" s="600">
        <v>2.8959999999999999</v>
      </c>
    </row>
    <row r="359" spans="1:4">
      <c r="A359" s="607">
        <v>37848</v>
      </c>
      <c r="B359" s="608">
        <v>2.9</v>
      </c>
    </row>
    <row r="360" spans="1:4">
      <c r="A360" s="607">
        <v>37852</v>
      </c>
      <c r="B360" s="608">
        <v>2.9020000000000001</v>
      </c>
    </row>
    <row r="361" spans="1:4">
      <c r="A361" s="607">
        <v>37853</v>
      </c>
      <c r="B361" s="608">
        <v>2.9060000000000001</v>
      </c>
    </row>
    <row r="362" spans="1:4">
      <c r="A362" s="607">
        <v>37854</v>
      </c>
      <c r="B362" s="608">
        <v>2.9352</v>
      </c>
    </row>
    <row r="363" spans="1:4">
      <c r="A363" s="607">
        <v>37855</v>
      </c>
      <c r="B363" s="608">
        <v>2.97</v>
      </c>
    </row>
    <row r="364" spans="1:4">
      <c r="A364" s="607">
        <v>37858</v>
      </c>
      <c r="B364" s="608">
        <v>2.9298000000000002</v>
      </c>
    </row>
    <row r="365" spans="1:4">
      <c r="A365" s="607">
        <v>37859</v>
      </c>
      <c r="B365" s="608">
        <v>2.9217</v>
      </c>
    </row>
    <row r="366" spans="1:4">
      <c r="A366" s="607">
        <v>37860</v>
      </c>
      <c r="B366" s="608">
        <v>2.9571999999999998</v>
      </c>
    </row>
    <row r="367" spans="1:4">
      <c r="A367" s="607">
        <v>37861</v>
      </c>
      <c r="B367" s="608">
        <v>2.972</v>
      </c>
      <c r="D367" s="601">
        <v>37834</v>
      </c>
    </row>
    <row r="368" spans="1:4" ht="16.5" thickBot="1">
      <c r="A368" s="605">
        <v>37862</v>
      </c>
      <c r="B368" s="606">
        <v>2.9527999999999999</v>
      </c>
      <c r="D368" s="604">
        <v>2.92849</v>
      </c>
    </row>
    <row r="369" spans="1:2">
      <c r="A369" s="595">
        <v>37865</v>
      </c>
      <c r="B369" s="596">
        <v>2.9630000000000001</v>
      </c>
    </row>
    <row r="370" spans="1:2">
      <c r="A370" s="607">
        <v>37866</v>
      </c>
      <c r="B370" s="600">
        <v>2.9658000000000002</v>
      </c>
    </row>
    <row r="371" spans="1:2">
      <c r="A371" s="607">
        <v>37867</v>
      </c>
      <c r="B371" s="600">
        <v>2.9773000000000001</v>
      </c>
    </row>
    <row r="372" spans="1:2">
      <c r="A372" s="607">
        <v>37868</v>
      </c>
      <c r="B372" s="600">
        <v>2.9607000000000001</v>
      </c>
    </row>
    <row r="373" spans="1:2">
      <c r="A373" s="607">
        <v>37869</v>
      </c>
      <c r="B373" s="600">
        <v>2.9369999999999998</v>
      </c>
    </row>
    <row r="374" spans="1:2">
      <c r="A374" s="607">
        <v>37872</v>
      </c>
      <c r="B374" s="600">
        <v>2.9428000000000001</v>
      </c>
    </row>
    <row r="375" spans="1:2">
      <c r="A375" s="607">
        <v>37873</v>
      </c>
      <c r="B375" s="600">
        <v>2.9567000000000001</v>
      </c>
    </row>
    <row r="376" spans="1:2">
      <c r="A376" s="607">
        <v>37874</v>
      </c>
      <c r="B376" s="600">
        <v>2.9352999999999998</v>
      </c>
    </row>
    <row r="377" spans="1:2">
      <c r="A377" s="607">
        <v>37875</v>
      </c>
      <c r="B377" s="600">
        <v>2.9028</v>
      </c>
    </row>
    <row r="378" spans="1:2">
      <c r="A378" s="607">
        <v>37876</v>
      </c>
      <c r="B378" s="600">
        <v>2.8942000000000001</v>
      </c>
    </row>
    <row r="379" spans="1:2">
      <c r="A379" s="607">
        <v>37879</v>
      </c>
      <c r="B379" s="600">
        <v>2.8898000000000001</v>
      </c>
    </row>
    <row r="380" spans="1:2">
      <c r="A380" s="607">
        <v>37880</v>
      </c>
      <c r="B380" s="600">
        <v>2.8917000000000002</v>
      </c>
    </row>
    <row r="381" spans="1:2">
      <c r="A381" s="607">
        <v>37881</v>
      </c>
      <c r="B381" s="600">
        <v>2.9066999999999998</v>
      </c>
    </row>
    <row r="382" spans="1:2">
      <c r="A382" s="607">
        <v>37882</v>
      </c>
      <c r="B382" s="600">
        <v>2.9178000000000002</v>
      </c>
    </row>
    <row r="383" spans="1:2">
      <c r="A383" s="607">
        <v>37883</v>
      </c>
      <c r="B383" s="600">
        <v>2.9117000000000002</v>
      </c>
    </row>
    <row r="384" spans="1:2">
      <c r="A384" s="607">
        <v>37886</v>
      </c>
      <c r="B384" s="600">
        <v>2.9106999999999998</v>
      </c>
    </row>
    <row r="385" spans="1:4">
      <c r="A385" s="607">
        <v>37887</v>
      </c>
      <c r="B385" s="600">
        <v>2.8963000000000001</v>
      </c>
    </row>
    <row r="386" spans="1:4">
      <c r="A386" s="607">
        <v>37888</v>
      </c>
      <c r="B386" s="600">
        <v>2.8933</v>
      </c>
    </row>
    <row r="387" spans="1:4">
      <c r="A387" s="607">
        <v>37889</v>
      </c>
      <c r="B387" s="600">
        <v>2.89</v>
      </c>
    </row>
    <row r="388" spans="1:4">
      <c r="A388" s="607">
        <v>37890</v>
      </c>
      <c r="B388" s="600">
        <v>2.9007000000000001</v>
      </c>
    </row>
    <row r="389" spans="1:4">
      <c r="A389" s="607">
        <v>37893</v>
      </c>
      <c r="B389" s="600">
        <v>2.9055</v>
      </c>
      <c r="D389" s="601">
        <v>37865</v>
      </c>
    </row>
    <row r="390" spans="1:4" ht="16.5" thickBot="1">
      <c r="A390" s="605">
        <v>37894</v>
      </c>
      <c r="B390" s="606">
        <v>2.911</v>
      </c>
      <c r="D390" s="604">
        <v>2.9209454545454547</v>
      </c>
    </row>
    <row r="391" spans="1:4">
      <c r="A391" s="595">
        <v>37895</v>
      </c>
      <c r="B391" s="596">
        <v>2.9127000000000001</v>
      </c>
    </row>
    <row r="392" spans="1:4">
      <c r="A392" s="607">
        <v>37896</v>
      </c>
      <c r="B392" s="600">
        <v>2.9011999999999998</v>
      </c>
    </row>
    <row r="393" spans="1:4">
      <c r="A393" s="607">
        <v>37897</v>
      </c>
      <c r="B393" s="600">
        <v>2.8952</v>
      </c>
    </row>
    <row r="394" spans="1:4">
      <c r="A394" s="607">
        <v>37900</v>
      </c>
      <c r="B394" s="600">
        <v>2.8782000000000001</v>
      </c>
    </row>
    <row r="395" spans="1:4">
      <c r="A395" s="607">
        <v>37901</v>
      </c>
      <c r="B395" s="600">
        <v>2.8685</v>
      </c>
    </row>
    <row r="396" spans="1:4">
      <c r="A396" s="607">
        <v>37902</v>
      </c>
      <c r="B396" s="600">
        <v>2.8628</v>
      </c>
    </row>
    <row r="397" spans="1:4">
      <c r="A397" s="607">
        <v>37903</v>
      </c>
      <c r="B397" s="600">
        <v>2.8496999999999999</v>
      </c>
    </row>
    <row r="398" spans="1:4">
      <c r="A398" s="607">
        <v>37904</v>
      </c>
      <c r="B398" s="600">
        <v>2.8330000000000002</v>
      </c>
    </row>
    <row r="399" spans="1:4">
      <c r="A399" s="607">
        <v>37908</v>
      </c>
      <c r="B399" s="600">
        <v>2.8372000000000002</v>
      </c>
    </row>
    <row r="400" spans="1:4">
      <c r="A400" s="607">
        <v>37909</v>
      </c>
      <c r="B400" s="600">
        <v>2.8416999999999999</v>
      </c>
    </row>
    <row r="401" spans="1:4">
      <c r="A401" s="607">
        <v>37910</v>
      </c>
      <c r="B401" s="600">
        <v>2.8443000000000001</v>
      </c>
    </row>
    <row r="402" spans="1:4">
      <c r="A402" s="607">
        <v>37911</v>
      </c>
      <c r="B402" s="600">
        <v>2.8502000000000001</v>
      </c>
    </row>
    <row r="403" spans="1:4">
      <c r="A403" s="607">
        <v>37914</v>
      </c>
      <c r="B403" s="600">
        <v>2.8513000000000002</v>
      </c>
    </row>
    <row r="404" spans="1:4">
      <c r="A404" s="607">
        <v>37915</v>
      </c>
      <c r="B404" s="600">
        <v>2.851</v>
      </c>
    </row>
    <row r="405" spans="1:4">
      <c r="A405" s="607">
        <v>37916</v>
      </c>
      <c r="B405" s="600">
        <v>2.8534999999999999</v>
      </c>
    </row>
    <row r="406" spans="1:4">
      <c r="A406" s="607">
        <v>37917</v>
      </c>
      <c r="B406" s="600">
        <v>2.8460000000000001</v>
      </c>
    </row>
    <row r="407" spans="1:4">
      <c r="A407" s="607">
        <v>37918</v>
      </c>
      <c r="B407" s="600">
        <v>2.8428</v>
      </c>
    </row>
    <row r="408" spans="1:4">
      <c r="A408" s="607">
        <v>37921</v>
      </c>
      <c r="B408" s="600">
        <v>2.8382999999999998</v>
      </c>
    </row>
    <row r="409" spans="1:4">
      <c r="A409" s="607">
        <v>37922</v>
      </c>
      <c r="B409" s="600">
        <v>2.8490000000000002</v>
      </c>
    </row>
    <row r="410" spans="1:4">
      <c r="A410" s="607">
        <v>37923</v>
      </c>
      <c r="B410" s="600">
        <v>2.8517999999999999</v>
      </c>
    </row>
    <row r="411" spans="1:4">
      <c r="A411" s="607">
        <v>37924</v>
      </c>
      <c r="B411" s="600">
        <v>2.8632</v>
      </c>
      <c r="D411" s="601">
        <v>37895</v>
      </c>
    </row>
    <row r="412" spans="1:4" ht="16.5" thickBot="1">
      <c r="A412" s="605">
        <v>37925</v>
      </c>
      <c r="B412" s="606">
        <v>2.8774999999999999</v>
      </c>
      <c r="D412" s="604">
        <v>2.8590499999999994</v>
      </c>
    </row>
    <row r="413" spans="1:4">
      <c r="A413" s="595">
        <v>37928</v>
      </c>
      <c r="B413" s="596">
        <v>2.8603000000000001</v>
      </c>
    </row>
    <row r="414" spans="1:4">
      <c r="A414" s="607">
        <v>37929</v>
      </c>
      <c r="B414" s="600">
        <v>2.8517000000000001</v>
      </c>
    </row>
    <row r="415" spans="1:4">
      <c r="A415" s="607">
        <v>37930</v>
      </c>
      <c r="B415" s="600">
        <v>2.8603000000000001</v>
      </c>
    </row>
    <row r="416" spans="1:4">
      <c r="A416" s="607">
        <v>37932</v>
      </c>
      <c r="B416" s="600">
        <v>2.8538000000000001</v>
      </c>
    </row>
    <row r="417" spans="1:4">
      <c r="A417" s="607">
        <v>37935</v>
      </c>
      <c r="B417" s="600">
        <v>2.8452999999999999</v>
      </c>
    </row>
    <row r="418" spans="1:4">
      <c r="A418" s="607">
        <v>37936</v>
      </c>
      <c r="B418" s="600">
        <v>2.8534999999999999</v>
      </c>
    </row>
    <row r="419" spans="1:4">
      <c r="A419" s="607">
        <v>37937</v>
      </c>
      <c r="B419" s="600">
        <v>2.855</v>
      </c>
    </row>
    <row r="420" spans="1:4">
      <c r="A420" s="607">
        <v>37938</v>
      </c>
      <c r="B420" s="600">
        <v>2.8582999999999998</v>
      </c>
    </row>
    <row r="421" spans="1:4">
      <c r="A421" s="607">
        <v>37939</v>
      </c>
      <c r="B421" s="600">
        <v>2.8717999999999999</v>
      </c>
    </row>
    <row r="422" spans="1:4">
      <c r="A422" s="607">
        <v>37942</v>
      </c>
      <c r="B422" s="600">
        <v>2.8759999999999999</v>
      </c>
    </row>
    <row r="423" spans="1:4">
      <c r="A423" s="607">
        <v>37943</v>
      </c>
      <c r="B423" s="600">
        <v>2.8624999999999998</v>
      </c>
    </row>
    <row r="424" spans="1:4">
      <c r="A424" s="607">
        <v>37944</v>
      </c>
      <c r="B424" s="600">
        <v>2.8690000000000002</v>
      </c>
    </row>
    <row r="425" spans="1:4">
      <c r="A425" s="607">
        <v>37945</v>
      </c>
      <c r="B425" s="600">
        <v>2.8795000000000002</v>
      </c>
    </row>
    <row r="426" spans="1:4">
      <c r="A426" s="607">
        <v>37946</v>
      </c>
      <c r="B426" s="600">
        <v>2.8873000000000002</v>
      </c>
    </row>
    <row r="427" spans="1:4">
      <c r="A427" s="607">
        <v>37949</v>
      </c>
      <c r="B427" s="600">
        <v>2.8917999999999999</v>
      </c>
    </row>
    <row r="428" spans="1:4">
      <c r="A428" s="607">
        <v>37950</v>
      </c>
      <c r="B428" s="600">
        <v>2.9157000000000002</v>
      </c>
    </row>
    <row r="429" spans="1:4">
      <c r="A429" s="607">
        <v>37951</v>
      </c>
      <c r="B429" s="600">
        <v>2.9380000000000002</v>
      </c>
    </row>
    <row r="430" spans="1:4">
      <c r="A430" s="607">
        <v>37952</v>
      </c>
      <c r="B430" s="600">
        <v>2.9769999999999999</v>
      </c>
      <c r="D430" s="601">
        <v>37926</v>
      </c>
    </row>
    <row r="431" spans="1:4" ht="16.5" thickBot="1">
      <c r="A431" s="605">
        <v>37953</v>
      </c>
      <c r="B431" s="606">
        <v>2.9876999999999998</v>
      </c>
      <c r="D431" s="604">
        <v>2.8839210526315791</v>
      </c>
    </row>
    <row r="432" spans="1:4">
      <c r="A432" s="595">
        <v>37956</v>
      </c>
      <c r="B432" s="596">
        <v>2.9897999999999998</v>
      </c>
    </row>
    <row r="433" spans="1:2">
      <c r="A433" s="607">
        <v>37957</v>
      </c>
      <c r="B433" s="600">
        <v>2.972</v>
      </c>
    </row>
    <row r="434" spans="1:2">
      <c r="A434" s="607">
        <v>37958</v>
      </c>
      <c r="B434" s="600">
        <v>2.98</v>
      </c>
    </row>
    <row r="435" spans="1:2">
      <c r="A435" s="607">
        <v>37959</v>
      </c>
      <c r="B435" s="600">
        <v>2.9706999999999999</v>
      </c>
    </row>
    <row r="436" spans="1:2">
      <c r="A436" s="607">
        <v>37960</v>
      </c>
      <c r="B436" s="600">
        <v>2.9693000000000001</v>
      </c>
    </row>
    <row r="437" spans="1:2">
      <c r="A437" s="607">
        <v>37964</v>
      </c>
      <c r="B437" s="600">
        <v>2.9546999999999999</v>
      </c>
    </row>
    <row r="438" spans="1:2">
      <c r="A438" s="607">
        <v>37965</v>
      </c>
      <c r="B438" s="600">
        <v>2.9377</v>
      </c>
    </row>
    <row r="439" spans="1:2">
      <c r="A439" s="607">
        <v>37966</v>
      </c>
      <c r="B439" s="600">
        <v>2.9472999999999998</v>
      </c>
    </row>
    <row r="440" spans="1:2">
      <c r="A440" s="607">
        <v>37967</v>
      </c>
      <c r="B440" s="600">
        <v>2.9563000000000001</v>
      </c>
    </row>
    <row r="441" spans="1:2">
      <c r="A441" s="607">
        <v>37970</v>
      </c>
      <c r="B441" s="600">
        <v>2.9609999999999999</v>
      </c>
    </row>
    <row r="442" spans="1:2">
      <c r="A442" s="607">
        <v>37971</v>
      </c>
      <c r="B442" s="600">
        <v>2.9712999999999998</v>
      </c>
    </row>
    <row r="443" spans="1:2">
      <c r="A443" s="607">
        <v>37972</v>
      </c>
      <c r="B443" s="600">
        <v>2.9716999999999998</v>
      </c>
    </row>
    <row r="444" spans="1:2">
      <c r="A444" s="607">
        <v>37973</v>
      </c>
      <c r="B444" s="600">
        <v>2.9658000000000002</v>
      </c>
    </row>
    <row r="445" spans="1:2">
      <c r="A445" s="607">
        <v>37974</v>
      </c>
      <c r="B445" s="600">
        <v>2.9710000000000001</v>
      </c>
    </row>
    <row r="446" spans="1:2">
      <c r="A446" s="607">
        <v>37977</v>
      </c>
      <c r="B446" s="600">
        <v>2.9660000000000002</v>
      </c>
    </row>
    <row r="447" spans="1:2">
      <c r="A447" s="607">
        <v>37978</v>
      </c>
      <c r="B447" s="600">
        <v>2.9567000000000001</v>
      </c>
    </row>
    <row r="448" spans="1:2">
      <c r="A448" s="607">
        <v>37979</v>
      </c>
      <c r="B448" s="600">
        <v>2.9605000000000001</v>
      </c>
    </row>
    <row r="449" spans="1:4">
      <c r="A449" s="607">
        <v>37981</v>
      </c>
      <c r="B449" s="600">
        <v>2.9535</v>
      </c>
    </row>
    <row r="450" spans="1:4">
      <c r="A450" s="607">
        <v>37984</v>
      </c>
      <c r="B450" s="600">
        <v>2.9502999999999999</v>
      </c>
    </row>
    <row r="451" spans="1:4">
      <c r="A451" s="607">
        <v>37985</v>
      </c>
      <c r="B451" s="600">
        <v>2.9344999999999999</v>
      </c>
      <c r="D451" s="601">
        <v>37956</v>
      </c>
    </row>
    <row r="452" spans="1:4" ht="16.5" thickBot="1">
      <c r="A452" s="605">
        <v>37986</v>
      </c>
      <c r="B452" s="606">
        <v>2.9329999999999998</v>
      </c>
      <c r="D452" s="604">
        <v>2.9606238095238089</v>
      </c>
    </row>
    <row r="453" spans="1:4">
      <c r="A453" s="607">
        <v>37988</v>
      </c>
      <c r="B453" s="600">
        <v>2.9243000000000001</v>
      </c>
    </row>
    <row r="454" spans="1:4">
      <c r="A454" s="607">
        <v>37991</v>
      </c>
      <c r="B454" s="600">
        <v>2.8921999999999999</v>
      </c>
    </row>
    <row r="455" spans="1:4">
      <c r="A455" s="607">
        <v>37992</v>
      </c>
      <c r="B455" s="600">
        <v>2.8573</v>
      </c>
    </row>
    <row r="456" spans="1:4">
      <c r="A456" s="607">
        <v>37993</v>
      </c>
      <c r="B456" s="600">
        <v>2.8730000000000002</v>
      </c>
    </row>
    <row r="457" spans="1:4">
      <c r="A457" s="607">
        <v>37994</v>
      </c>
      <c r="B457" s="600">
        <v>2.8902000000000001</v>
      </c>
    </row>
    <row r="458" spans="1:4">
      <c r="A458" s="607">
        <v>37995</v>
      </c>
      <c r="B458" s="600">
        <v>2.8892000000000002</v>
      </c>
    </row>
    <row r="459" spans="1:4">
      <c r="A459" s="607">
        <v>37998</v>
      </c>
      <c r="B459" s="600">
        <v>2.8662999999999998</v>
      </c>
    </row>
    <row r="460" spans="1:4">
      <c r="A460" s="607">
        <v>37999</v>
      </c>
      <c r="B460" s="600">
        <v>2.8567</v>
      </c>
    </row>
    <row r="461" spans="1:4">
      <c r="A461" s="607">
        <v>38000</v>
      </c>
      <c r="B461" s="600">
        <v>2.8767</v>
      </c>
    </row>
    <row r="462" spans="1:4">
      <c r="A462" s="607">
        <v>38001</v>
      </c>
      <c r="B462" s="600">
        <v>2.871</v>
      </c>
    </row>
    <row r="463" spans="1:4">
      <c r="A463" s="607">
        <v>38002</v>
      </c>
      <c r="B463" s="600">
        <v>2.8721999999999999</v>
      </c>
    </row>
    <row r="464" spans="1:4">
      <c r="A464" s="607">
        <v>38005</v>
      </c>
      <c r="B464" s="600">
        <v>2.8881999999999999</v>
      </c>
    </row>
    <row r="465" spans="1:4">
      <c r="A465" s="607">
        <v>38006</v>
      </c>
      <c r="B465" s="600">
        <v>2.8858000000000001</v>
      </c>
    </row>
    <row r="466" spans="1:4">
      <c r="A466" s="607">
        <v>38007</v>
      </c>
      <c r="B466" s="600">
        <v>2.8932000000000002</v>
      </c>
    </row>
    <row r="467" spans="1:4">
      <c r="A467" s="607">
        <v>38008</v>
      </c>
      <c r="B467" s="600">
        <v>2.9112</v>
      </c>
    </row>
    <row r="468" spans="1:4">
      <c r="A468" s="607">
        <v>38009</v>
      </c>
      <c r="B468" s="600">
        <v>2.8952</v>
      </c>
    </row>
    <row r="469" spans="1:4">
      <c r="A469" s="607">
        <v>38012</v>
      </c>
      <c r="B469" s="600">
        <v>2.9089999999999998</v>
      </c>
    </row>
    <row r="470" spans="1:4">
      <c r="A470" s="607">
        <v>38013</v>
      </c>
      <c r="B470" s="600">
        <v>2.9049999999999998</v>
      </c>
    </row>
    <row r="471" spans="1:4">
      <c r="A471" s="607">
        <v>38014</v>
      </c>
      <c r="B471" s="600">
        <v>2.9175</v>
      </c>
    </row>
    <row r="472" spans="1:4">
      <c r="A472" s="607">
        <v>38015</v>
      </c>
      <c r="B472" s="600">
        <v>2.9428000000000001</v>
      </c>
      <c r="D472" s="601">
        <v>37987</v>
      </c>
    </row>
    <row r="473" spans="1:4" ht="16.5" thickBot="1">
      <c r="A473" s="605">
        <v>38016</v>
      </c>
      <c r="B473" s="606">
        <v>2.9327000000000001</v>
      </c>
      <c r="D473" s="604">
        <v>2.892842857142857</v>
      </c>
    </row>
    <row r="474" spans="1:4">
      <c r="A474" s="607">
        <v>38019</v>
      </c>
      <c r="B474" s="608">
        <v>2.9390000000000001</v>
      </c>
    </row>
    <row r="475" spans="1:4">
      <c r="A475" s="607">
        <v>38020</v>
      </c>
      <c r="B475" s="600">
        <v>2.9251999999999998</v>
      </c>
    </row>
    <row r="476" spans="1:4">
      <c r="A476" s="607">
        <v>38021</v>
      </c>
      <c r="B476" s="600">
        <v>2.9337</v>
      </c>
    </row>
    <row r="477" spans="1:4">
      <c r="A477" s="607">
        <v>38022</v>
      </c>
      <c r="B477" s="600">
        <v>2.96</v>
      </c>
    </row>
    <row r="478" spans="1:4">
      <c r="A478" s="607">
        <v>38023</v>
      </c>
      <c r="B478" s="600">
        <v>2.9613</v>
      </c>
    </row>
    <row r="479" spans="1:4">
      <c r="A479" s="607">
        <v>38026</v>
      </c>
      <c r="B479" s="600">
        <v>2.9445000000000001</v>
      </c>
    </row>
    <row r="480" spans="1:4">
      <c r="A480" s="607">
        <v>38027</v>
      </c>
      <c r="B480" s="600">
        <v>2.9279999999999999</v>
      </c>
    </row>
    <row r="481" spans="1:4">
      <c r="A481" s="607">
        <v>38028</v>
      </c>
      <c r="B481" s="600">
        <v>2.9428000000000001</v>
      </c>
    </row>
    <row r="482" spans="1:4">
      <c r="A482" s="607">
        <v>38029</v>
      </c>
      <c r="B482" s="600">
        <v>2.9275000000000002</v>
      </c>
    </row>
    <row r="483" spans="1:4">
      <c r="A483" s="607">
        <v>38030</v>
      </c>
      <c r="B483" s="600">
        <v>2.9173</v>
      </c>
    </row>
    <row r="484" spans="1:4">
      <c r="A484" s="607">
        <v>38033</v>
      </c>
      <c r="B484" s="600">
        <v>2.9167999999999998</v>
      </c>
    </row>
    <row r="485" spans="1:4">
      <c r="A485" s="607">
        <v>38034</v>
      </c>
      <c r="B485" s="600">
        <v>2.9165000000000001</v>
      </c>
    </row>
    <row r="486" spans="1:4">
      <c r="A486" s="607">
        <v>38035</v>
      </c>
      <c r="B486" s="600">
        <v>2.9342000000000001</v>
      </c>
    </row>
    <row r="487" spans="1:4">
      <c r="A487" s="607">
        <v>38036</v>
      </c>
      <c r="B487" s="600">
        <v>2.9398</v>
      </c>
    </row>
    <row r="488" spans="1:4">
      <c r="A488" s="607">
        <v>38037</v>
      </c>
      <c r="B488" s="600">
        <v>2.9411999999999998</v>
      </c>
    </row>
    <row r="489" spans="1:4">
      <c r="A489" s="607">
        <v>38040</v>
      </c>
      <c r="B489" s="600">
        <v>2.9218000000000002</v>
      </c>
    </row>
    <row r="490" spans="1:4">
      <c r="A490" s="607">
        <v>38041</v>
      </c>
      <c r="B490" s="600">
        <v>2.9218000000000002</v>
      </c>
    </row>
    <row r="491" spans="1:4">
      <c r="A491" s="607">
        <v>38042</v>
      </c>
      <c r="B491" s="600">
        <v>2.9192</v>
      </c>
    </row>
    <row r="492" spans="1:4">
      <c r="A492" s="607">
        <v>38043</v>
      </c>
      <c r="B492" s="600">
        <v>2.9243000000000001</v>
      </c>
      <c r="D492" s="601">
        <v>38018</v>
      </c>
    </row>
    <row r="493" spans="1:4" ht="16.5" thickBot="1">
      <c r="A493" s="605">
        <v>38044</v>
      </c>
      <c r="B493" s="606">
        <v>2.9235000000000002</v>
      </c>
      <c r="D493" s="604">
        <v>2.9319199999999999</v>
      </c>
    </row>
    <row r="494" spans="1:4">
      <c r="A494" s="607">
        <v>38047</v>
      </c>
      <c r="B494" s="608">
        <v>2.9163000000000001</v>
      </c>
    </row>
    <row r="495" spans="1:4">
      <c r="A495" s="607">
        <v>38048</v>
      </c>
      <c r="B495" s="600">
        <v>2.9232999999999998</v>
      </c>
    </row>
    <row r="496" spans="1:4">
      <c r="A496" s="607">
        <v>38049</v>
      </c>
      <c r="B496" s="600">
        <v>2.9121999999999999</v>
      </c>
    </row>
    <row r="497" spans="1:2">
      <c r="A497" s="607">
        <v>38050</v>
      </c>
      <c r="B497" s="600">
        <v>2.9165000000000001</v>
      </c>
    </row>
    <row r="498" spans="1:2">
      <c r="A498" s="607">
        <v>38051</v>
      </c>
      <c r="B498" s="600">
        <v>2.9325000000000001</v>
      </c>
    </row>
    <row r="499" spans="1:2">
      <c r="A499" s="607">
        <v>38054</v>
      </c>
      <c r="B499" s="600">
        <v>2.9386999999999999</v>
      </c>
    </row>
    <row r="500" spans="1:2">
      <c r="A500" s="607">
        <v>38055</v>
      </c>
      <c r="B500" s="600">
        <v>2.9249999999999998</v>
      </c>
    </row>
    <row r="501" spans="1:2">
      <c r="A501" s="607">
        <v>38056</v>
      </c>
      <c r="B501" s="600">
        <v>2.9041999999999999</v>
      </c>
    </row>
    <row r="502" spans="1:2">
      <c r="A502" s="607">
        <v>38057</v>
      </c>
      <c r="B502" s="600">
        <v>2.9182000000000001</v>
      </c>
    </row>
    <row r="503" spans="1:2">
      <c r="A503" s="607">
        <v>38058</v>
      </c>
      <c r="B503" s="600">
        <v>2.9119999999999999</v>
      </c>
    </row>
    <row r="504" spans="1:2">
      <c r="A504" s="607">
        <v>38061</v>
      </c>
      <c r="B504" s="600">
        <v>2.9117999999999999</v>
      </c>
    </row>
    <row r="505" spans="1:2">
      <c r="A505" s="607">
        <v>38062</v>
      </c>
      <c r="B505" s="600">
        <v>2.9026999999999998</v>
      </c>
    </row>
    <row r="506" spans="1:2">
      <c r="A506" s="607">
        <v>38063</v>
      </c>
      <c r="B506" s="600">
        <v>2.8932000000000002</v>
      </c>
    </row>
    <row r="507" spans="1:2">
      <c r="A507" s="607">
        <v>38064</v>
      </c>
      <c r="B507" s="600">
        <v>2.8832</v>
      </c>
    </row>
    <row r="508" spans="1:2">
      <c r="A508" s="607">
        <v>38065</v>
      </c>
      <c r="B508" s="600">
        <v>2.8824999999999998</v>
      </c>
    </row>
    <row r="509" spans="1:2">
      <c r="A509" s="607">
        <v>38068</v>
      </c>
      <c r="B509" s="600">
        <v>2.8666999999999998</v>
      </c>
    </row>
    <row r="510" spans="1:2">
      <c r="A510" s="607">
        <v>38069</v>
      </c>
      <c r="B510" s="600">
        <v>2.8658000000000001</v>
      </c>
    </row>
    <row r="511" spans="1:2">
      <c r="A511" s="607">
        <v>38070</v>
      </c>
      <c r="B511" s="600">
        <v>2.8752</v>
      </c>
    </row>
    <row r="512" spans="1:2">
      <c r="A512" s="607">
        <v>38071</v>
      </c>
      <c r="B512" s="600">
        <v>2.8818000000000001</v>
      </c>
    </row>
    <row r="513" spans="1:4">
      <c r="A513" s="607">
        <v>38072</v>
      </c>
      <c r="B513" s="600">
        <v>2.8782000000000001</v>
      </c>
    </row>
    <row r="514" spans="1:4">
      <c r="A514" s="607">
        <v>38075</v>
      </c>
      <c r="B514" s="600">
        <v>2.8839999999999999</v>
      </c>
    </row>
    <row r="515" spans="1:4">
      <c r="A515" s="607">
        <v>38076</v>
      </c>
      <c r="B515" s="600">
        <v>2.8650000000000002</v>
      </c>
      <c r="D515" s="601">
        <v>38047</v>
      </c>
    </row>
    <row r="516" spans="1:4" ht="16.5" thickBot="1">
      <c r="A516" s="605">
        <v>38077</v>
      </c>
      <c r="B516" s="606">
        <v>2.855</v>
      </c>
      <c r="D516" s="604">
        <v>2.8975652173913047</v>
      </c>
    </row>
    <row r="517" spans="1:4">
      <c r="A517" s="607">
        <v>38078</v>
      </c>
      <c r="B517" s="608">
        <v>2.8521999999999998</v>
      </c>
    </row>
    <row r="518" spans="1:4">
      <c r="A518" s="607">
        <v>38079</v>
      </c>
      <c r="B518" s="600">
        <v>2.8456999999999999</v>
      </c>
    </row>
    <row r="519" spans="1:4">
      <c r="A519" s="607">
        <v>38083</v>
      </c>
      <c r="B519" s="600">
        <v>2.8445</v>
      </c>
    </row>
    <row r="520" spans="1:4">
      <c r="A520" s="607">
        <v>38084</v>
      </c>
      <c r="B520" s="600">
        <v>2.8108</v>
      </c>
    </row>
    <row r="521" spans="1:4">
      <c r="A521" s="607">
        <v>38089</v>
      </c>
      <c r="B521" s="600">
        <v>2.8037000000000001</v>
      </c>
    </row>
    <row r="522" spans="1:4">
      <c r="A522" s="607">
        <v>38090</v>
      </c>
      <c r="B522" s="600">
        <v>2.8161999999999998</v>
      </c>
    </row>
    <row r="523" spans="1:4">
      <c r="A523" s="607">
        <v>38091</v>
      </c>
      <c r="B523" s="600">
        <v>2.8167</v>
      </c>
    </row>
    <row r="524" spans="1:4">
      <c r="A524" s="607">
        <v>38092</v>
      </c>
      <c r="B524" s="600">
        <v>2.8142</v>
      </c>
    </row>
    <row r="525" spans="1:4">
      <c r="A525" s="607">
        <v>38093</v>
      </c>
      <c r="B525" s="600">
        <v>2.8195000000000001</v>
      </c>
    </row>
    <row r="526" spans="1:4">
      <c r="A526" s="607">
        <v>38096</v>
      </c>
      <c r="B526" s="600">
        <v>2.823</v>
      </c>
    </row>
    <row r="527" spans="1:4">
      <c r="A527" s="607">
        <v>38097</v>
      </c>
      <c r="B527" s="600">
        <v>2.8355000000000001</v>
      </c>
    </row>
    <row r="528" spans="1:4">
      <c r="A528" s="607">
        <v>38098</v>
      </c>
      <c r="B528" s="600">
        <v>2.8517999999999999</v>
      </c>
    </row>
    <row r="529" spans="1:4">
      <c r="A529" s="607">
        <v>38099</v>
      </c>
      <c r="B529" s="600">
        <v>2.8633000000000002</v>
      </c>
    </row>
    <row r="530" spans="1:4">
      <c r="A530" s="607">
        <v>38100</v>
      </c>
      <c r="B530" s="600">
        <v>2.8582999999999998</v>
      </c>
    </row>
    <row r="531" spans="1:4">
      <c r="A531" s="607">
        <v>38103</v>
      </c>
      <c r="B531" s="600">
        <v>2.8407</v>
      </c>
    </row>
    <row r="532" spans="1:4">
      <c r="A532" s="607">
        <v>38104</v>
      </c>
      <c r="B532" s="600">
        <v>2.8298000000000001</v>
      </c>
    </row>
    <row r="533" spans="1:4">
      <c r="A533" s="607">
        <v>38105</v>
      </c>
      <c r="B533" s="600">
        <v>2.8483000000000001</v>
      </c>
    </row>
    <row r="534" spans="1:4">
      <c r="A534" s="607">
        <v>38106</v>
      </c>
      <c r="B534" s="600">
        <v>2.863</v>
      </c>
      <c r="D534" s="601">
        <v>38078</v>
      </c>
    </row>
    <row r="535" spans="1:4" ht="16.5" thickBot="1">
      <c r="A535" s="602">
        <v>38107</v>
      </c>
      <c r="B535" s="603">
        <v>2.8452000000000002</v>
      </c>
      <c r="D535" s="604">
        <v>2.8359157894736842</v>
      </c>
    </row>
    <row r="536" spans="1:4">
      <c r="A536" s="595">
        <v>38110</v>
      </c>
      <c r="B536" s="596">
        <v>2.8437999999999999</v>
      </c>
    </row>
    <row r="537" spans="1:4">
      <c r="A537" s="599">
        <v>38111</v>
      </c>
      <c r="B537" s="600">
        <v>2.8592</v>
      </c>
    </row>
    <row r="538" spans="1:4">
      <c r="A538" s="599">
        <v>38112</v>
      </c>
      <c r="B538" s="600">
        <v>2.8639999999999999</v>
      </c>
    </row>
    <row r="539" spans="1:4">
      <c r="A539" s="599">
        <v>38113</v>
      </c>
      <c r="B539" s="600">
        <v>2.8837000000000002</v>
      </c>
    </row>
    <row r="540" spans="1:4">
      <c r="A540" s="599">
        <v>38114</v>
      </c>
      <c r="B540" s="600">
        <v>2.9182999999999999</v>
      </c>
    </row>
    <row r="541" spans="1:4">
      <c r="A541" s="599">
        <v>38117</v>
      </c>
      <c r="B541" s="600">
        <v>2.9597000000000002</v>
      </c>
    </row>
    <row r="542" spans="1:4">
      <c r="A542" s="599">
        <v>38118</v>
      </c>
      <c r="B542" s="600">
        <v>2.9142999999999999</v>
      </c>
    </row>
    <row r="543" spans="1:4">
      <c r="A543" s="599">
        <v>38119</v>
      </c>
      <c r="B543" s="600">
        <v>2.9098000000000002</v>
      </c>
    </row>
    <row r="544" spans="1:4">
      <c r="A544" s="599">
        <v>38120</v>
      </c>
      <c r="B544" s="600">
        <v>2.9278</v>
      </c>
    </row>
    <row r="545" spans="1:4">
      <c r="A545" s="599">
        <v>38121</v>
      </c>
      <c r="B545" s="600">
        <v>2.9097</v>
      </c>
    </row>
    <row r="546" spans="1:4">
      <c r="A546" s="599">
        <v>38124</v>
      </c>
      <c r="B546" s="600">
        <v>2.9097</v>
      </c>
    </row>
    <row r="547" spans="1:4">
      <c r="A547" s="599">
        <v>38125</v>
      </c>
      <c r="B547" s="600">
        <v>2.9056999999999999</v>
      </c>
    </row>
    <row r="548" spans="1:4">
      <c r="A548" s="599">
        <v>38126</v>
      </c>
      <c r="B548" s="600">
        <v>2.9102000000000001</v>
      </c>
    </row>
    <row r="549" spans="1:4">
      <c r="A549" s="599">
        <v>38127</v>
      </c>
      <c r="B549" s="600">
        <v>2.9312999999999998</v>
      </c>
    </row>
    <row r="550" spans="1:4">
      <c r="A550" s="599">
        <v>38128</v>
      </c>
      <c r="B550" s="600">
        <v>2.9525000000000001</v>
      </c>
    </row>
    <row r="551" spans="1:4">
      <c r="A551" s="599">
        <v>38131</v>
      </c>
      <c r="B551" s="600">
        <v>2.9512</v>
      </c>
    </row>
    <row r="552" spans="1:4">
      <c r="A552" s="599">
        <v>38133</v>
      </c>
      <c r="B552" s="600">
        <v>2.9535</v>
      </c>
    </row>
    <row r="553" spans="1:4">
      <c r="A553" s="599">
        <v>38134</v>
      </c>
      <c r="B553" s="600">
        <v>2.9622000000000002</v>
      </c>
    </row>
    <row r="554" spans="1:4">
      <c r="A554" s="599">
        <v>38135</v>
      </c>
      <c r="B554" s="600">
        <v>2.9626999999999999</v>
      </c>
      <c r="D554" s="601">
        <v>38108</v>
      </c>
    </row>
    <row r="555" spans="1:4" ht="16.5" thickBot="1">
      <c r="A555" s="599">
        <v>38138</v>
      </c>
      <c r="B555" s="600">
        <v>2.9641999999999999</v>
      </c>
      <c r="D555" s="604">
        <v>2.9196750000000007</v>
      </c>
    </row>
    <row r="556" spans="1:4">
      <c r="A556" s="595">
        <v>38139</v>
      </c>
      <c r="B556" s="596">
        <v>2.9658000000000002</v>
      </c>
    </row>
    <row r="557" spans="1:4">
      <c r="A557" s="599">
        <v>38140</v>
      </c>
      <c r="B557" s="600">
        <v>2.9537</v>
      </c>
    </row>
    <row r="558" spans="1:4">
      <c r="A558" s="599">
        <v>38141</v>
      </c>
      <c r="B558" s="600">
        <v>2.9533</v>
      </c>
    </row>
    <row r="559" spans="1:4">
      <c r="A559" s="599">
        <v>38142</v>
      </c>
      <c r="B559" s="600">
        <v>2.9689999999999999</v>
      </c>
    </row>
    <row r="560" spans="1:4">
      <c r="A560" s="599">
        <v>38145</v>
      </c>
      <c r="B560" s="600">
        <v>2.9649999999999999</v>
      </c>
    </row>
    <row r="561" spans="1:4">
      <c r="A561" s="599">
        <v>38146</v>
      </c>
      <c r="B561" s="600">
        <v>2.9742999999999999</v>
      </c>
    </row>
    <row r="562" spans="1:4">
      <c r="A562" s="599">
        <v>38147</v>
      </c>
      <c r="B562" s="600">
        <v>2.9620000000000002</v>
      </c>
    </row>
    <row r="563" spans="1:4">
      <c r="A563" s="599">
        <v>38148</v>
      </c>
      <c r="B563" s="600">
        <v>2.9638</v>
      </c>
    </row>
    <row r="564" spans="1:4">
      <c r="A564" s="599">
        <v>38149</v>
      </c>
      <c r="B564" s="600">
        <v>2.9695</v>
      </c>
    </row>
    <row r="565" spans="1:4">
      <c r="A565" s="599">
        <v>38152</v>
      </c>
      <c r="B565" s="600">
        <v>2.9708000000000001</v>
      </c>
    </row>
    <row r="566" spans="1:4">
      <c r="A566" s="599">
        <v>38153</v>
      </c>
      <c r="B566" s="600">
        <v>2.9552</v>
      </c>
    </row>
    <row r="567" spans="1:4">
      <c r="A567" s="599">
        <v>38154</v>
      </c>
      <c r="B567" s="600">
        <v>2.9542999999999999</v>
      </c>
    </row>
    <row r="568" spans="1:4">
      <c r="A568" s="599">
        <v>38155</v>
      </c>
      <c r="B568" s="600">
        <v>2.9554999999999998</v>
      </c>
    </row>
    <row r="569" spans="1:4">
      <c r="A569" s="599">
        <v>38156</v>
      </c>
      <c r="B569" s="600">
        <v>2.9632000000000001</v>
      </c>
    </row>
    <row r="570" spans="1:4">
      <c r="A570" s="599">
        <v>38160</v>
      </c>
      <c r="B570" s="600">
        <v>2.9632000000000001</v>
      </c>
    </row>
    <row r="571" spans="1:4">
      <c r="A571" s="599">
        <v>38161</v>
      </c>
      <c r="B571" s="600">
        <v>2.9504999999999999</v>
      </c>
    </row>
    <row r="572" spans="1:4">
      <c r="A572" s="599">
        <v>38162</v>
      </c>
      <c r="B572" s="600">
        <v>2.9378000000000002</v>
      </c>
    </row>
    <row r="573" spans="1:4">
      <c r="A573" s="599">
        <v>38163</v>
      </c>
      <c r="B573" s="600">
        <v>2.9542999999999999</v>
      </c>
    </row>
    <row r="574" spans="1:4">
      <c r="A574" s="599">
        <v>38166</v>
      </c>
      <c r="B574" s="600">
        <v>2.9592999999999998</v>
      </c>
    </row>
    <row r="575" spans="1:4">
      <c r="A575" s="599">
        <v>38167</v>
      </c>
      <c r="B575" s="600">
        <v>2.9641999999999999</v>
      </c>
      <c r="D575" s="601">
        <v>38139</v>
      </c>
    </row>
    <row r="576" spans="1:4" ht="16.5" thickBot="1">
      <c r="A576" s="605">
        <v>38168</v>
      </c>
      <c r="B576" s="606">
        <v>2.9607000000000001</v>
      </c>
      <c r="D576" s="604">
        <v>2.9602571428571429</v>
      </c>
    </row>
    <row r="577" spans="1:2">
      <c r="A577" s="595">
        <v>38169</v>
      </c>
      <c r="B577" s="596">
        <v>2.9504999999999999</v>
      </c>
    </row>
    <row r="578" spans="1:2">
      <c r="A578" s="599">
        <v>38170</v>
      </c>
      <c r="B578" s="600">
        <v>2.9472</v>
      </c>
    </row>
    <row r="579" spans="1:2">
      <c r="A579" s="599">
        <v>38173</v>
      </c>
      <c r="B579" s="600">
        <v>2.9485000000000001</v>
      </c>
    </row>
    <row r="580" spans="1:2">
      <c r="A580" s="599">
        <v>38174</v>
      </c>
      <c r="B580" s="600">
        <v>2.9417</v>
      </c>
    </row>
    <row r="581" spans="1:2">
      <c r="A581" s="599">
        <v>38175</v>
      </c>
      <c r="B581" s="600">
        <v>2.9428000000000001</v>
      </c>
    </row>
    <row r="582" spans="1:2">
      <c r="A582" s="599">
        <v>38176</v>
      </c>
      <c r="B582" s="600">
        <v>2.9531999999999998</v>
      </c>
    </row>
    <row r="583" spans="1:2">
      <c r="A583" s="599">
        <v>38180</v>
      </c>
      <c r="B583" s="600">
        <v>2.9569999999999999</v>
      </c>
    </row>
    <row r="584" spans="1:2">
      <c r="A584" s="599">
        <v>38181</v>
      </c>
      <c r="B584" s="600">
        <v>2.9512999999999998</v>
      </c>
    </row>
    <row r="585" spans="1:2">
      <c r="A585" s="599">
        <v>38182</v>
      </c>
      <c r="B585" s="600">
        <v>2.9472999999999998</v>
      </c>
    </row>
    <row r="586" spans="1:2">
      <c r="A586" s="599">
        <v>38183</v>
      </c>
      <c r="B586" s="600">
        <v>2.9462999999999999</v>
      </c>
    </row>
    <row r="587" spans="1:2">
      <c r="A587" s="599">
        <v>38184</v>
      </c>
      <c r="B587" s="600">
        <v>2.9382000000000001</v>
      </c>
    </row>
    <row r="588" spans="1:2">
      <c r="A588" s="599">
        <v>38187</v>
      </c>
      <c r="B588" s="600">
        <v>2.9443000000000001</v>
      </c>
    </row>
    <row r="589" spans="1:2">
      <c r="A589" s="599">
        <v>38188</v>
      </c>
      <c r="B589" s="600">
        <v>2.9497</v>
      </c>
    </row>
    <row r="590" spans="1:2">
      <c r="A590" s="599">
        <v>38189</v>
      </c>
      <c r="B590" s="600">
        <v>2.9521999999999999</v>
      </c>
    </row>
    <row r="591" spans="1:2">
      <c r="A591" s="599">
        <v>38190</v>
      </c>
      <c r="B591" s="600">
        <v>2.9550000000000001</v>
      </c>
    </row>
    <row r="592" spans="1:2">
      <c r="A592" s="599">
        <v>38191</v>
      </c>
      <c r="B592" s="600">
        <v>2.9620000000000002</v>
      </c>
    </row>
    <row r="593" spans="1:4">
      <c r="A593" s="599">
        <v>38194</v>
      </c>
      <c r="B593" s="600">
        <v>2.9729999999999999</v>
      </c>
    </row>
    <row r="594" spans="1:4">
      <c r="A594" s="599">
        <v>38195</v>
      </c>
      <c r="B594" s="600">
        <v>2.9744999999999999</v>
      </c>
    </row>
    <row r="595" spans="1:4">
      <c r="A595" s="599">
        <v>38196</v>
      </c>
      <c r="B595" s="600">
        <v>2.9712999999999998</v>
      </c>
    </row>
    <row r="596" spans="1:4">
      <c r="A596" s="599">
        <v>38197</v>
      </c>
      <c r="B596" s="600">
        <v>2.9775</v>
      </c>
      <c r="D596" s="601">
        <v>38169</v>
      </c>
    </row>
    <row r="597" spans="1:4" ht="16.5" thickBot="1">
      <c r="A597" s="605">
        <v>38198</v>
      </c>
      <c r="B597" s="606">
        <v>2.976</v>
      </c>
      <c r="D597" s="604">
        <v>2.9552142857142853</v>
      </c>
    </row>
    <row r="598" spans="1:4">
      <c r="A598" s="595">
        <v>38201</v>
      </c>
      <c r="B598" s="596">
        <v>2.9851999999999999</v>
      </c>
    </row>
    <row r="599" spans="1:4">
      <c r="A599" s="599">
        <v>38202</v>
      </c>
      <c r="B599" s="600">
        <v>2.9931999999999999</v>
      </c>
    </row>
    <row r="600" spans="1:4">
      <c r="A600" s="599">
        <v>38203</v>
      </c>
      <c r="B600" s="600">
        <v>3.0118</v>
      </c>
    </row>
    <row r="601" spans="1:4">
      <c r="A601" s="599">
        <v>38204</v>
      </c>
      <c r="B601" s="600">
        <v>3.04</v>
      </c>
    </row>
    <row r="602" spans="1:4">
      <c r="A602" s="599">
        <v>38205</v>
      </c>
      <c r="B602" s="600">
        <v>3.0718000000000001</v>
      </c>
    </row>
    <row r="603" spans="1:4">
      <c r="A603" s="599">
        <v>38208</v>
      </c>
      <c r="B603" s="600">
        <v>3.0449999999999999</v>
      </c>
    </row>
    <row r="604" spans="1:4">
      <c r="A604" s="599">
        <v>38209</v>
      </c>
      <c r="B604" s="600">
        <v>3.0230000000000001</v>
      </c>
    </row>
    <row r="605" spans="1:4">
      <c r="A605" s="599">
        <v>38210</v>
      </c>
      <c r="B605" s="600">
        <v>3.028</v>
      </c>
    </row>
    <row r="606" spans="1:4">
      <c r="A606" s="599">
        <v>38211</v>
      </c>
      <c r="B606" s="600">
        <v>3.0207000000000002</v>
      </c>
    </row>
    <row r="607" spans="1:4">
      <c r="A607" s="599">
        <v>38212</v>
      </c>
      <c r="B607" s="600">
        <v>3.0112000000000001</v>
      </c>
    </row>
    <row r="608" spans="1:4">
      <c r="A608" s="599">
        <v>38216</v>
      </c>
      <c r="B608" s="600">
        <v>3.0106999999999999</v>
      </c>
    </row>
    <row r="609" spans="1:4">
      <c r="A609" s="599">
        <v>38217</v>
      </c>
      <c r="B609" s="600">
        <v>3.0179999999999998</v>
      </c>
    </row>
    <row r="610" spans="1:4">
      <c r="A610" s="599">
        <v>38218</v>
      </c>
      <c r="B610" s="600">
        <v>3.0070000000000001</v>
      </c>
    </row>
    <row r="611" spans="1:4">
      <c r="A611" s="599">
        <v>38219</v>
      </c>
      <c r="B611" s="600">
        <v>3.0087000000000002</v>
      </c>
    </row>
    <row r="612" spans="1:4">
      <c r="A612" s="599">
        <v>38222</v>
      </c>
      <c r="B612" s="600">
        <v>3.0076999999999998</v>
      </c>
    </row>
    <row r="613" spans="1:4">
      <c r="A613" s="599">
        <v>38223</v>
      </c>
      <c r="B613" s="600">
        <v>3.0019999999999998</v>
      </c>
    </row>
    <row r="614" spans="1:4">
      <c r="A614" s="599">
        <v>38224</v>
      </c>
      <c r="B614" s="600">
        <v>2.9891999999999999</v>
      </c>
    </row>
    <row r="615" spans="1:4">
      <c r="A615" s="599">
        <v>38225</v>
      </c>
      <c r="B615" s="600">
        <v>2.9937999999999998</v>
      </c>
    </row>
    <row r="616" spans="1:4">
      <c r="A616" s="599">
        <v>38226</v>
      </c>
      <c r="B616" s="600">
        <v>3.0097</v>
      </c>
    </row>
    <row r="617" spans="1:4">
      <c r="A617" s="599">
        <v>38229</v>
      </c>
      <c r="B617" s="600">
        <v>3.0082</v>
      </c>
      <c r="D617" s="601">
        <v>38200</v>
      </c>
    </row>
    <row r="618" spans="1:4" ht="16.5" thickBot="1">
      <c r="A618" s="605">
        <v>38230</v>
      </c>
      <c r="B618" s="606">
        <v>3.0003000000000002</v>
      </c>
      <c r="D618" s="604">
        <v>3.0135809523809525</v>
      </c>
    </row>
    <row r="619" spans="1:4">
      <c r="A619" s="607">
        <v>38231</v>
      </c>
      <c r="B619" s="608">
        <v>2.9977</v>
      </c>
    </row>
    <row r="620" spans="1:4">
      <c r="A620" s="599">
        <v>38232</v>
      </c>
      <c r="B620" s="600">
        <v>3.0017</v>
      </c>
    </row>
    <row r="621" spans="1:4">
      <c r="A621" s="599">
        <v>38233</v>
      </c>
      <c r="B621" s="600">
        <v>3.0019999999999998</v>
      </c>
    </row>
    <row r="622" spans="1:4">
      <c r="A622" s="599">
        <v>38236</v>
      </c>
      <c r="B622" s="600">
        <v>2.9927999999999999</v>
      </c>
    </row>
    <row r="623" spans="1:4">
      <c r="A623" s="599">
        <v>38237</v>
      </c>
      <c r="B623" s="600">
        <v>2.9931999999999999</v>
      </c>
    </row>
    <row r="624" spans="1:4">
      <c r="A624" s="599">
        <v>38238</v>
      </c>
      <c r="B624" s="600">
        <v>2.9948000000000001</v>
      </c>
    </row>
    <row r="625" spans="1:4">
      <c r="A625" s="599">
        <v>38239</v>
      </c>
      <c r="B625" s="600">
        <v>3.0045000000000002</v>
      </c>
    </row>
    <row r="626" spans="1:4">
      <c r="A626" s="599">
        <v>38240</v>
      </c>
      <c r="B626" s="600">
        <v>3.0095000000000001</v>
      </c>
    </row>
    <row r="627" spans="1:4">
      <c r="A627" s="599">
        <v>38243</v>
      </c>
      <c r="B627" s="600">
        <v>3.0087000000000002</v>
      </c>
    </row>
    <row r="628" spans="1:4">
      <c r="A628" s="599">
        <v>38244</v>
      </c>
      <c r="B628" s="600">
        <v>2.9956999999999998</v>
      </c>
    </row>
    <row r="629" spans="1:4">
      <c r="A629" s="599">
        <v>38245</v>
      </c>
      <c r="B629" s="600">
        <v>2.9832000000000001</v>
      </c>
    </row>
    <row r="630" spans="1:4">
      <c r="A630" s="599">
        <v>38246</v>
      </c>
      <c r="B630" s="600">
        <v>2.9803000000000002</v>
      </c>
    </row>
    <row r="631" spans="1:4">
      <c r="A631" s="599">
        <v>38247</v>
      </c>
      <c r="B631" s="600">
        <v>3.0047999999999999</v>
      </c>
    </row>
    <row r="632" spans="1:4">
      <c r="A632" s="599">
        <v>38250</v>
      </c>
      <c r="B632" s="600">
        <v>2.9937999999999998</v>
      </c>
    </row>
    <row r="633" spans="1:4">
      <c r="A633" s="599">
        <v>38251</v>
      </c>
      <c r="B633" s="600">
        <v>3.0028000000000001</v>
      </c>
    </row>
    <row r="634" spans="1:4">
      <c r="A634" s="599">
        <v>38252</v>
      </c>
      <c r="B634" s="600">
        <v>3.0009999999999999</v>
      </c>
    </row>
    <row r="635" spans="1:4">
      <c r="A635" s="599">
        <v>38253</v>
      </c>
      <c r="B635" s="600">
        <v>2.9925000000000002</v>
      </c>
    </row>
    <row r="636" spans="1:4">
      <c r="A636" s="599">
        <v>38254</v>
      </c>
      <c r="B636" s="600">
        <v>2.9983</v>
      </c>
    </row>
    <row r="637" spans="1:4">
      <c r="A637" s="599">
        <v>38257</v>
      </c>
      <c r="B637" s="600">
        <v>2.9948000000000001</v>
      </c>
    </row>
    <row r="638" spans="1:4">
      <c r="A638" s="599">
        <v>38258</v>
      </c>
      <c r="B638" s="600">
        <v>2.9910000000000001</v>
      </c>
    </row>
    <row r="639" spans="1:4">
      <c r="A639" s="599">
        <v>38259</v>
      </c>
      <c r="B639" s="600">
        <v>2.9866999999999999</v>
      </c>
      <c r="D639" s="601">
        <v>38231</v>
      </c>
    </row>
    <row r="640" spans="1:4" ht="16.5" thickBot="1">
      <c r="A640" s="605">
        <v>38260</v>
      </c>
      <c r="B640" s="606">
        <v>2.9824999999999999</v>
      </c>
      <c r="D640" s="604">
        <v>2.9960136363636365</v>
      </c>
    </row>
    <row r="641" spans="1:2">
      <c r="A641" s="607">
        <v>38261</v>
      </c>
      <c r="B641" s="608">
        <v>2.9790000000000001</v>
      </c>
    </row>
    <row r="642" spans="1:2">
      <c r="A642" s="607">
        <v>38264</v>
      </c>
      <c r="B642" s="608">
        <v>2.9729999999999999</v>
      </c>
    </row>
    <row r="643" spans="1:2">
      <c r="A643" s="607">
        <v>38265</v>
      </c>
      <c r="B643" s="608">
        <v>2.9698000000000002</v>
      </c>
    </row>
    <row r="644" spans="1:2">
      <c r="A644" s="607">
        <v>38266</v>
      </c>
      <c r="B644" s="608">
        <v>2.972</v>
      </c>
    </row>
    <row r="645" spans="1:2">
      <c r="A645" s="607">
        <v>38267</v>
      </c>
      <c r="B645" s="608">
        <v>2.9742999999999999</v>
      </c>
    </row>
    <row r="646" spans="1:2">
      <c r="A646" s="607">
        <v>38268</v>
      </c>
      <c r="B646" s="608">
        <v>2.9657</v>
      </c>
    </row>
    <row r="647" spans="1:2">
      <c r="A647" s="607">
        <v>38272</v>
      </c>
      <c r="B647" s="608">
        <v>2.9662999999999999</v>
      </c>
    </row>
    <row r="648" spans="1:2">
      <c r="A648" s="607">
        <v>38273</v>
      </c>
      <c r="B648" s="608">
        <v>2.9735</v>
      </c>
    </row>
    <row r="649" spans="1:2">
      <c r="A649" s="607">
        <v>38274</v>
      </c>
      <c r="B649" s="608">
        <v>2.9752000000000001</v>
      </c>
    </row>
    <row r="650" spans="1:2">
      <c r="A650" s="607">
        <v>38275</v>
      </c>
      <c r="B650" s="608">
        <v>2.9718</v>
      </c>
    </row>
    <row r="651" spans="1:2">
      <c r="A651" s="607">
        <v>38278</v>
      </c>
      <c r="B651" s="608">
        <v>2.9609999999999999</v>
      </c>
    </row>
    <row r="652" spans="1:2">
      <c r="A652" s="607">
        <v>38279</v>
      </c>
      <c r="B652" s="608">
        <v>2.9558</v>
      </c>
    </row>
    <row r="653" spans="1:2">
      <c r="A653" s="607">
        <v>38280</v>
      </c>
      <c r="B653" s="608">
        <v>2.9632999999999998</v>
      </c>
    </row>
    <row r="654" spans="1:2">
      <c r="A654" s="607">
        <v>38281</v>
      </c>
      <c r="B654" s="608">
        <v>2.9563000000000001</v>
      </c>
    </row>
    <row r="655" spans="1:2">
      <c r="A655" s="607">
        <v>38282</v>
      </c>
      <c r="B655" s="608">
        <v>2.9588000000000001</v>
      </c>
    </row>
    <row r="656" spans="1:2">
      <c r="A656" s="607">
        <v>38285</v>
      </c>
      <c r="B656" s="608">
        <v>2.9687999999999999</v>
      </c>
    </row>
    <row r="657" spans="1:4">
      <c r="A657" s="607">
        <v>38286</v>
      </c>
      <c r="B657" s="608">
        <v>2.9712999999999998</v>
      </c>
    </row>
    <row r="658" spans="1:4">
      <c r="A658" s="607">
        <v>38287</v>
      </c>
      <c r="B658" s="608">
        <v>2.9737</v>
      </c>
    </row>
    <row r="659" spans="1:4">
      <c r="A659" s="607">
        <v>38288</v>
      </c>
      <c r="B659" s="608">
        <v>2.9758</v>
      </c>
      <c r="D659" s="601">
        <v>38261</v>
      </c>
    </row>
    <row r="660" spans="1:4" ht="16.5" thickBot="1">
      <c r="A660" s="605">
        <v>38289</v>
      </c>
      <c r="B660" s="606">
        <v>2.9782000000000002</v>
      </c>
      <c r="D660" s="604">
        <v>2.9691800000000002</v>
      </c>
    </row>
    <row r="661" spans="1:4">
      <c r="A661" s="595">
        <v>38292</v>
      </c>
      <c r="B661" s="596">
        <v>2.968</v>
      </c>
    </row>
    <row r="662" spans="1:4">
      <c r="A662" s="599">
        <v>38293</v>
      </c>
      <c r="B662" s="600">
        <v>2.9590000000000001</v>
      </c>
    </row>
    <row r="663" spans="1:4">
      <c r="A663" s="599">
        <v>38294</v>
      </c>
      <c r="B663" s="600">
        <v>2.9558</v>
      </c>
    </row>
    <row r="664" spans="1:4">
      <c r="A664" s="599">
        <v>38295</v>
      </c>
      <c r="B664" s="600">
        <v>2.9586999999999999</v>
      </c>
    </row>
    <row r="665" spans="1:4">
      <c r="A665" s="599">
        <v>38296</v>
      </c>
      <c r="B665" s="600">
        <v>2.9622000000000002</v>
      </c>
    </row>
    <row r="666" spans="1:4">
      <c r="A666" s="599">
        <v>38299</v>
      </c>
      <c r="B666" s="600">
        <v>2.9672999999999998</v>
      </c>
    </row>
    <row r="667" spans="1:4">
      <c r="A667" s="599">
        <v>38300</v>
      </c>
      <c r="B667" s="600">
        <v>2.9756999999999998</v>
      </c>
    </row>
    <row r="668" spans="1:4">
      <c r="A668" s="599">
        <v>38301</v>
      </c>
      <c r="B668" s="600">
        <v>2.9689999999999999</v>
      </c>
    </row>
    <row r="669" spans="1:4">
      <c r="A669" s="599">
        <v>38302</v>
      </c>
      <c r="B669" s="600">
        <v>2.9678</v>
      </c>
    </row>
    <row r="670" spans="1:4">
      <c r="A670" s="599">
        <v>38303</v>
      </c>
      <c r="B670" s="600">
        <v>2.9638</v>
      </c>
    </row>
    <row r="671" spans="1:4">
      <c r="A671" s="599">
        <v>38306</v>
      </c>
      <c r="B671" s="600">
        <v>2.9552999999999998</v>
      </c>
    </row>
    <row r="672" spans="1:4">
      <c r="A672" s="599">
        <v>38307</v>
      </c>
      <c r="B672" s="600">
        <v>2.9517000000000002</v>
      </c>
    </row>
    <row r="673" spans="1:4">
      <c r="A673" s="599">
        <v>38308</v>
      </c>
      <c r="B673" s="600">
        <v>2.9426999999999999</v>
      </c>
    </row>
    <row r="674" spans="1:4">
      <c r="A674" s="599">
        <v>38309</v>
      </c>
      <c r="B674" s="600">
        <v>2.9342999999999999</v>
      </c>
    </row>
    <row r="675" spans="1:4">
      <c r="A675" s="599">
        <v>38310</v>
      </c>
      <c r="B675" s="600">
        <v>2.9443000000000001</v>
      </c>
    </row>
    <row r="676" spans="1:4">
      <c r="A676" s="599">
        <v>38313</v>
      </c>
      <c r="B676" s="600">
        <v>2.9542999999999999</v>
      </c>
    </row>
    <row r="677" spans="1:4">
      <c r="A677" s="599">
        <v>38314</v>
      </c>
      <c r="B677" s="600">
        <v>2.9489999999999998</v>
      </c>
    </row>
    <row r="678" spans="1:4">
      <c r="A678" s="599">
        <v>38315</v>
      </c>
      <c r="B678" s="600">
        <v>2.9426999999999999</v>
      </c>
    </row>
    <row r="679" spans="1:4">
      <c r="A679" s="599">
        <v>38316</v>
      </c>
      <c r="B679" s="600">
        <v>2.9437000000000002</v>
      </c>
    </row>
    <row r="680" spans="1:4">
      <c r="A680" s="599">
        <v>38317</v>
      </c>
      <c r="B680" s="600">
        <v>2.9401999999999999</v>
      </c>
    </row>
    <row r="681" spans="1:4">
      <c r="A681" s="599">
        <v>38320</v>
      </c>
      <c r="B681" s="600">
        <v>2.9455</v>
      </c>
      <c r="D681" s="601">
        <v>38292</v>
      </c>
    </row>
    <row r="682" spans="1:4" ht="16.5" thickBot="1">
      <c r="A682" s="605">
        <v>38321</v>
      </c>
      <c r="B682" s="606">
        <v>2.9510000000000001</v>
      </c>
      <c r="D682" s="604">
        <v>2.9546363636363639</v>
      </c>
    </row>
    <row r="683" spans="1:4">
      <c r="A683" s="595">
        <v>38322</v>
      </c>
      <c r="B683" s="596">
        <v>2.9418000000000002</v>
      </c>
    </row>
    <row r="684" spans="1:4">
      <c r="A684" s="599">
        <v>38323</v>
      </c>
      <c r="B684" s="600">
        <v>2.9537</v>
      </c>
    </row>
    <row r="685" spans="1:4">
      <c r="A685" s="599">
        <v>38324</v>
      </c>
      <c r="B685" s="600">
        <v>2.9714999999999998</v>
      </c>
    </row>
    <row r="686" spans="1:4">
      <c r="A686" s="599">
        <v>38327</v>
      </c>
      <c r="B686" s="600">
        <v>2.9830000000000001</v>
      </c>
    </row>
    <row r="687" spans="1:4">
      <c r="A687" s="599">
        <v>38328</v>
      </c>
      <c r="B687" s="600">
        <v>2.9912999999999998</v>
      </c>
    </row>
    <row r="688" spans="1:4">
      <c r="A688" s="599">
        <v>38330</v>
      </c>
      <c r="B688" s="600">
        <v>2.9796999999999998</v>
      </c>
    </row>
    <row r="689" spans="1:4">
      <c r="A689" s="599">
        <v>38331</v>
      </c>
      <c r="B689" s="600">
        <v>2.9758</v>
      </c>
    </row>
    <row r="690" spans="1:4">
      <c r="A690" s="599">
        <v>38334</v>
      </c>
      <c r="B690" s="600">
        <v>2.9762</v>
      </c>
    </row>
    <row r="691" spans="1:4">
      <c r="A691" s="599">
        <v>38335</v>
      </c>
      <c r="B691" s="600">
        <v>2.9725000000000001</v>
      </c>
    </row>
    <row r="692" spans="1:4">
      <c r="A692" s="599">
        <v>38336</v>
      </c>
      <c r="B692" s="600">
        <v>2.9794999999999998</v>
      </c>
    </row>
    <row r="693" spans="1:4">
      <c r="A693" s="599">
        <v>38337</v>
      </c>
      <c r="B693" s="600">
        <v>2.9863</v>
      </c>
    </row>
    <row r="694" spans="1:4">
      <c r="A694" s="599">
        <v>38338</v>
      </c>
      <c r="B694" s="600">
        <v>2.9868000000000001</v>
      </c>
    </row>
    <row r="695" spans="1:4">
      <c r="A695" s="599">
        <v>38341</v>
      </c>
      <c r="B695" s="600">
        <v>2.9706999999999999</v>
      </c>
    </row>
    <row r="696" spans="1:4">
      <c r="A696" s="599">
        <v>38342</v>
      </c>
      <c r="B696" s="600">
        <v>2.9537</v>
      </c>
    </row>
    <row r="697" spans="1:4">
      <c r="A697" s="599">
        <v>38343</v>
      </c>
      <c r="B697" s="600">
        <v>2.9617</v>
      </c>
    </row>
    <row r="698" spans="1:4">
      <c r="A698" s="599">
        <v>38344</v>
      </c>
      <c r="B698" s="600">
        <v>2.9607000000000001</v>
      </c>
    </row>
    <row r="699" spans="1:4">
      <c r="A699" s="599">
        <v>38345</v>
      </c>
      <c r="B699" s="600">
        <v>2.9550000000000001</v>
      </c>
    </row>
    <row r="700" spans="1:4">
      <c r="A700" s="599">
        <v>38348</v>
      </c>
      <c r="B700" s="600">
        <v>2.9582999999999999</v>
      </c>
    </row>
    <row r="701" spans="1:4">
      <c r="A701" s="599">
        <v>38349</v>
      </c>
      <c r="B701" s="600">
        <v>2.9681999999999999</v>
      </c>
    </row>
    <row r="702" spans="1:4">
      <c r="A702" s="599">
        <v>38350</v>
      </c>
      <c r="B702" s="600">
        <v>2.9830000000000001</v>
      </c>
    </row>
    <row r="703" spans="1:4">
      <c r="A703" s="599">
        <v>38351</v>
      </c>
      <c r="B703" s="600">
        <v>2.9769999999999999</v>
      </c>
      <c r="D703" s="601">
        <v>38322</v>
      </c>
    </row>
    <row r="704" spans="1:4" ht="16.5" thickBot="1">
      <c r="A704" s="605">
        <v>38352</v>
      </c>
      <c r="B704" s="606">
        <v>2.9738000000000002</v>
      </c>
      <c r="D704" s="604">
        <v>2.970918181818182</v>
      </c>
    </row>
    <row r="705" spans="1:2">
      <c r="A705" s="595">
        <v>38355</v>
      </c>
      <c r="B705" s="596">
        <v>2.9653</v>
      </c>
    </row>
    <row r="706" spans="1:2">
      <c r="A706" s="599">
        <v>38356</v>
      </c>
      <c r="B706" s="600">
        <v>2.9704999999999999</v>
      </c>
    </row>
    <row r="707" spans="1:2">
      <c r="A707" s="599">
        <v>38357</v>
      </c>
      <c r="B707" s="600">
        <v>2.9712000000000001</v>
      </c>
    </row>
    <row r="708" spans="1:2">
      <c r="A708" s="599">
        <v>38358</v>
      </c>
      <c r="B708" s="600">
        <v>2.9718</v>
      </c>
    </row>
    <row r="709" spans="1:2">
      <c r="A709" s="599">
        <v>38359</v>
      </c>
      <c r="B709" s="600">
        <v>2.9653</v>
      </c>
    </row>
    <row r="710" spans="1:2">
      <c r="A710" s="599">
        <v>38362</v>
      </c>
      <c r="B710" s="600">
        <v>2.9670000000000001</v>
      </c>
    </row>
    <row r="711" spans="1:2">
      <c r="A711" s="599">
        <v>38363</v>
      </c>
      <c r="B711" s="600">
        <v>2.9653</v>
      </c>
    </row>
    <row r="712" spans="1:2">
      <c r="A712" s="599">
        <v>38364</v>
      </c>
      <c r="B712" s="600">
        <v>2.9538000000000002</v>
      </c>
    </row>
    <row r="713" spans="1:2">
      <c r="A713" s="599">
        <v>38365</v>
      </c>
      <c r="B713" s="600">
        <v>2.9375</v>
      </c>
    </row>
    <row r="714" spans="1:2">
      <c r="A714" s="599">
        <v>38366</v>
      </c>
      <c r="B714" s="600">
        <v>2.9388000000000001</v>
      </c>
    </row>
    <row r="715" spans="1:2">
      <c r="A715" s="599">
        <v>38369</v>
      </c>
      <c r="B715" s="600">
        <v>2.9331999999999998</v>
      </c>
    </row>
    <row r="716" spans="1:2">
      <c r="A716" s="599">
        <v>38370</v>
      </c>
      <c r="B716" s="600">
        <v>2.9375</v>
      </c>
    </row>
    <row r="717" spans="1:2">
      <c r="A717" s="599">
        <v>38371</v>
      </c>
      <c r="B717" s="600">
        <v>2.9365000000000001</v>
      </c>
    </row>
    <row r="718" spans="1:2">
      <c r="A718" s="599">
        <v>38372</v>
      </c>
      <c r="B718" s="600">
        <v>2.9443000000000001</v>
      </c>
    </row>
    <row r="719" spans="1:2">
      <c r="A719" s="599">
        <v>38373</v>
      </c>
      <c r="B719" s="600">
        <v>2.9432</v>
      </c>
    </row>
    <row r="720" spans="1:2">
      <c r="A720" s="599">
        <v>38376</v>
      </c>
      <c r="B720" s="600">
        <v>2.9392</v>
      </c>
    </row>
    <row r="721" spans="1:4">
      <c r="A721" s="599">
        <v>38377</v>
      </c>
      <c r="B721" s="600">
        <v>2.9258000000000002</v>
      </c>
    </row>
    <row r="722" spans="1:4">
      <c r="A722" s="599">
        <v>38378</v>
      </c>
      <c r="B722" s="600">
        <v>2.9232999999999998</v>
      </c>
    </row>
    <row r="723" spans="1:4">
      <c r="A723" s="599">
        <v>38379</v>
      </c>
      <c r="B723" s="600">
        <v>2.9258000000000002</v>
      </c>
    </row>
    <row r="724" spans="1:4">
      <c r="A724" s="599">
        <v>38380</v>
      </c>
      <c r="B724" s="600">
        <v>2.9260000000000002</v>
      </c>
      <c r="D724" s="601">
        <v>38353</v>
      </c>
    </row>
    <row r="725" spans="1:4" ht="16.5" thickBot="1">
      <c r="A725" s="605">
        <v>38383</v>
      </c>
      <c r="B725" s="606">
        <v>2.9253</v>
      </c>
      <c r="D725" s="604">
        <v>2.9460285714285717</v>
      </c>
    </row>
    <row r="726" spans="1:4">
      <c r="A726" s="595">
        <v>38384</v>
      </c>
      <c r="B726" s="596">
        <v>2.9201999999999999</v>
      </c>
    </row>
    <row r="727" spans="1:4">
      <c r="A727" s="599">
        <v>38385</v>
      </c>
      <c r="B727" s="600">
        <v>2.9243000000000001</v>
      </c>
    </row>
    <row r="728" spans="1:4">
      <c r="A728" s="599">
        <v>38386</v>
      </c>
      <c r="B728" s="600">
        <v>2.9213</v>
      </c>
    </row>
    <row r="729" spans="1:4">
      <c r="A729" s="599">
        <v>38387</v>
      </c>
      <c r="B729" s="600">
        <v>2.9177</v>
      </c>
    </row>
    <row r="730" spans="1:4">
      <c r="A730" s="599">
        <v>38390</v>
      </c>
      <c r="B730" s="600">
        <v>2.919</v>
      </c>
    </row>
    <row r="731" spans="1:4">
      <c r="A731" s="599">
        <v>38391</v>
      </c>
      <c r="B731" s="600">
        <v>2.915</v>
      </c>
    </row>
    <row r="732" spans="1:4">
      <c r="A732" s="599">
        <v>38392</v>
      </c>
      <c r="B732" s="600">
        <v>2.9087000000000001</v>
      </c>
    </row>
    <row r="733" spans="1:4">
      <c r="A733" s="599">
        <v>38393</v>
      </c>
      <c r="B733" s="600">
        <v>2.9087000000000001</v>
      </c>
    </row>
    <row r="734" spans="1:4">
      <c r="A734" s="599">
        <v>38394</v>
      </c>
      <c r="B734" s="600">
        <v>2.9121999999999999</v>
      </c>
    </row>
    <row r="735" spans="1:4">
      <c r="A735" s="599">
        <v>38397</v>
      </c>
      <c r="B735" s="600">
        <v>2.9060000000000001</v>
      </c>
    </row>
    <row r="736" spans="1:4">
      <c r="A736" s="599">
        <v>38398</v>
      </c>
      <c r="B736" s="600">
        <v>2.9056999999999999</v>
      </c>
    </row>
    <row r="737" spans="1:4">
      <c r="A737" s="599">
        <v>38399</v>
      </c>
      <c r="B737" s="600">
        <v>2.8973</v>
      </c>
    </row>
    <row r="738" spans="1:4">
      <c r="A738" s="599">
        <v>38400</v>
      </c>
      <c r="B738" s="600">
        <v>2.8893</v>
      </c>
    </row>
    <row r="739" spans="1:4">
      <c r="A739" s="599">
        <v>38401</v>
      </c>
      <c r="B739" s="600">
        <v>2.9049999999999998</v>
      </c>
    </row>
    <row r="740" spans="1:4">
      <c r="A740" s="599">
        <v>38404</v>
      </c>
      <c r="B740" s="600">
        <v>2.9104999999999999</v>
      </c>
    </row>
    <row r="741" spans="1:4">
      <c r="A741" s="599">
        <v>38405</v>
      </c>
      <c r="B741" s="600">
        <v>2.9155000000000002</v>
      </c>
    </row>
    <row r="742" spans="1:4">
      <c r="A742" s="599">
        <v>38406</v>
      </c>
      <c r="B742" s="600">
        <v>2.9279999999999999</v>
      </c>
    </row>
    <row r="743" spans="1:4">
      <c r="A743" s="599">
        <v>38407</v>
      </c>
      <c r="B743" s="600">
        <v>2.9352999999999998</v>
      </c>
    </row>
    <row r="744" spans="1:4">
      <c r="A744" s="599">
        <v>38408</v>
      </c>
      <c r="B744" s="600">
        <v>2.9344999999999999</v>
      </c>
      <c r="D744" s="601">
        <v>38384</v>
      </c>
    </row>
    <row r="745" spans="1:4" ht="16.5" thickBot="1">
      <c r="A745" s="605">
        <v>38411</v>
      </c>
      <c r="B745" s="606">
        <v>2.9327000000000001</v>
      </c>
      <c r="D745" s="604">
        <v>2.9153449999999994</v>
      </c>
    </row>
    <row r="746" spans="1:4">
      <c r="A746" s="595">
        <v>38412</v>
      </c>
      <c r="B746" s="596">
        <v>2.9422000000000001</v>
      </c>
    </row>
    <row r="747" spans="1:4">
      <c r="A747" s="599">
        <v>38413</v>
      </c>
      <c r="B747" s="600">
        <v>2.9518</v>
      </c>
    </row>
    <row r="748" spans="1:4">
      <c r="A748" s="599">
        <v>38414</v>
      </c>
      <c r="B748" s="600">
        <v>2.9521999999999999</v>
      </c>
    </row>
    <row r="749" spans="1:4">
      <c r="A749" s="599">
        <v>38415</v>
      </c>
      <c r="B749" s="600">
        <v>2.9397000000000002</v>
      </c>
    </row>
    <row r="750" spans="1:4">
      <c r="A750" s="599">
        <v>38418</v>
      </c>
      <c r="B750" s="600">
        <v>2.9253</v>
      </c>
    </row>
    <row r="751" spans="1:4">
      <c r="A751" s="599">
        <v>38419</v>
      </c>
      <c r="B751" s="600">
        <v>2.9312</v>
      </c>
    </row>
    <row r="752" spans="1:4">
      <c r="A752" s="599">
        <v>38420</v>
      </c>
      <c r="B752" s="600">
        <v>2.9355000000000002</v>
      </c>
    </row>
    <row r="753" spans="1:4">
      <c r="A753" s="599">
        <v>38421</v>
      </c>
      <c r="B753" s="600">
        <v>2.9352999999999998</v>
      </c>
    </row>
    <row r="754" spans="1:4">
      <c r="A754" s="599">
        <v>38422</v>
      </c>
      <c r="B754" s="600">
        <v>2.9232</v>
      </c>
    </row>
    <row r="755" spans="1:4">
      <c r="A755" s="599">
        <v>38425</v>
      </c>
      <c r="B755" s="600">
        <v>2.9182999999999999</v>
      </c>
    </row>
    <row r="756" spans="1:4">
      <c r="A756" s="599">
        <v>38426</v>
      </c>
      <c r="B756" s="600">
        <v>2.9178000000000002</v>
      </c>
    </row>
    <row r="757" spans="1:4">
      <c r="A757" s="599">
        <v>38427</v>
      </c>
      <c r="B757" s="600">
        <v>2.923</v>
      </c>
    </row>
    <row r="758" spans="1:4">
      <c r="A758" s="599">
        <v>38428</v>
      </c>
      <c r="B758" s="600">
        <v>2.92</v>
      </c>
    </row>
    <row r="759" spans="1:4">
      <c r="A759" s="599">
        <v>38429</v>
      </c>
      <c r="B759" s="600">
        <v>2.9144999999999999</v>
      </c>
    </row>
    <row r="760" spans="1:4">
      <c r="A760" s="599">
        <v>38432</v>
      </c>
      <c r="B760" s="600">
        <v>2.9163000000000001</v>
      </c>
    </row>
    <row r="761" spans="1:4">
      <c r="A761" s="599">
        <v>38433</v>
      </c>
      <c r="B761" s="600">
        <v>2.9142000000000001</v>
      </c>
    </row>
    <row r="762" spans="1:4">
      <c r="A762" s="599">
        <v>38434</v>
      </c>
      <c r="B762" s="600">
        <v>2.9165000000000001</v>
      </c>
    </row>
    <row r="763" spans="1:4">
      <c r="A763" s="599">
        <v>38439</v>
      </c>
      <c r="B763" s="600">
        <v>2.9188000000000001</v>
      </c>
    </row>
    <row r="764" spans="1:4">
      <c r="A764" s="599">
        <v>38440</v>
      </c>
      <c r="B764" s="600">
        <v>2.9222000000000001</v>
      </c>
    </row>
    <row r="765" spans="1:4">
      <c r="A765" s="599">
        <v>38441</v>
      </c>
      <c r="B765" s="600">
        <v>2.9163000000000001</v>
      </c>
      <c r="D765" s="601">
        <v>38412</v>
      </c>
    </row>
    <row r="766" spans="1:4" ht="16.5" thickBot="1">
      <c r="A766" s="605">
        <v>38442</v>
      </c>
      <c r="B766" s="606">
        <v>2.9232999999999998</v>
      </c>
      <c r="D766" s="604">
        <v>2.9265523809523808</v>
      </c>
    </row>
    <row r="767" spans="1:4">
      <c r="A767" s="599">
        <v>38443</v>
      </c>
      <c r="B767" s="600">
        <v>2.9188000000000001</v>
      </c>
    </row>
    <row r="768" spans="1:4">
      <c r="A768" s="599">
        <v>38446</v>
      </c>
      <c r="B768" s="600">
        <v>2.9186999999999999</v>
      </c>
    </row>
    <row r="769" spans="1:2">
      <c r="A769" s="599">
        <v>38447</v>
      </c>
      <c r="B769" s="600">
        <v>2.9157999999999999</v>
      </c>
    </row>
    <row r="770" spans="1:2">
      <c r="A770" s="599">
        <v>38448</v>
      </c>
      <c r="B770" s="600">
        <v>2.9066999999999998</v>
      </c>
    </row>
    <row r="771" spans="1:2">
      <c r="A771" s="599">
        <v>38449</v>
      </c>
      <c r="B771" s="600">
        <v>2.8925000000000001</v>
      </c>
    </row>
    <row r="772" spans="1:2">
      <c r="A772" s="599">
        <v>38450</v>
      </c>
      <c r="B772" s="600">
        <v>2.8938000000000001</v>
      </c>
    </row>
    <row r="773" spans="1:2">
      <c r="A773" s="599">
        <v>38453</v>
      </c>
      <c r="B773" s="600">
        <v>2.8927</v>
      </c>
    </row>
    <row r="774" spans="1:2">
      <c r="A774" s="599">
        <v>38454</v>
      </c>
      <c r="B774" s="600">
        <v>2.8896999999999999</v>
      </c>
    </row>
    <row r="775" spans="1:2">
      <c r="A775" s="599">
        <v>38455</v>
      </c>
      <c r="B775" s="600">
        <v>2.8822999999999999</v>
      </c>
    </row>
    <row r="776" spans="1:2">
      <c r="A776" s="599">
        <v>38456</v>
      </c>
      <c r="B776" s="600">
        <v>2.8837999999999999</v>
      </c>
    </row>
    <row r="777" spans="1:2">
      <c r="A777" s="599">
        <v>38457</v>
      </c>
      <c r="B777" s="600">
        <v>2.8938000000000001</v>
      </c>
    </row>
    <row r="778" spans="1:2">
      <c r="A778" s="599">
        <v>38460</v>
      </c>
      <c r="B778" s="600">
        <v>2.9011999999999998</v>
      </c>
    </row>
    <row r="779" spans="1:2">
      <c r="A779" s="599">
        <v>38461</v>
      </c>
      <c r="B779" s="600">
        <v>2.8982999999999999</v>
      </c>
    </row>
    <row r="780" spans="1:2">
      <c r="A780" s="599">
        <v>38462</v>
      </c>
      <c r="B780" s="600">
        <v>2.9024999999999999</v>
      </c>
    </row>
    <row r="781" spans="1:2">
      <c r="A781" s="599">
        <v>38463</v>
      </c>
      <c r="B781" s="600">
        <v>2.9001999999999999</v>
      </c>
    </row>
    <row r="782" spans="1:2">
      <c r="A782" s="599">
        <v>38464</v>
      </c>
      <c r="B782" s="600">
        <v>2.9011999999999998</v>
      </c>
    </row>
    <row r="783" spans="1:2">
      <c r="A783" s="599">
        <v>38467</v>
      </c>
      <c r="B783" s="600">
        <v>2.9013</v>
      </c>
    </row>
    <row r="784" spans="1:2">
      <c r="A784" s="599">
        <v>38468</v>
      </c>
      <c r="B784" s="600">
        <v>2.9001999999999999</v>
      </c>
    </row>
    <row r="785" spans="1:4">
      <c r="A785" s="599">
        <v>38469</v>
      </c>
      <c r="B785" s="600">
        <v>2.8982000000000001</v>
      </c>
    </row>
    <row r="786" spans="1:4">
      <c r="A786" s="599">
        <v>38470</v>
      </c>
      <c r="B786" s="600">
        <v>2.9037000000000002</v>
      </c>
      <c r="D786" s="601">
        <v>38443</v>
      </c>
    </row>
    <row r="787" spans="1:4" ht="16.5" thickBot="1">
      <c r="A787" s="605">
        <v>38471</v>
      </c>
      <c r="B787" s="606">
        <v>2.9133</v>
      </c>
      <c r="D787" s="604">
        <v>2.9004142857142861</v>
      </c>
    </row>
    <row r="788" spans="1:4">
      <c r="A788" s="609">
        <v>38474</v>
      </c>
      <c r="B788" s="596">
        <v>2.9039999999999999</v>
      </c>
    </row>
    <row r="789" spans="1:4">
      <c r="A789" s="599">
        <v>38475</v>
      </c>
      <c r="B789" s="600">
        <v>2.8967999999999998</v>
      </c>
    </row>
    <row r="790" spans="1:4">
      <c r="A790" s="599">
        <v>38476</v>
      </c>
      <c r="B790" s="600">
        <v>2.8963000000000001</v>
      </c>
    </row>
    <row r="791" spans="1:4">
      <c r="A791" s="599">
        <v>38477</v>
      </c>
      <c r="B791" s="600">
        <v>2.8957000000000002</v>
      </c>
    </row>
    <row r="792" spans="1:4">
      <c r="A792" s="599">
        <v>38478</v>
      </c>
      <c r="B792" s="600">
        <v>2.8969999999999998</v>
      </c>
    </row>
    <row r="793" spans="1:4">
      <c r="A793" s="599">
        <v>38481</v>
      </c>
      <c r="B793" s="600">
        <v>2.8969999999999998</v>
      </c>
    </row>
    <row r="794" spans="1:4">
      <c r="A794" s="599">
        <v>38482</v>
      </c>
      <c r="B794" s="600">
        <v>2.8917000000000002</v>
      </c>
    </row>
    <row r="795" spans="1:4">
      <c r="A795" s="599">
        <v>38483</v>
      </c>
      <c r="B795" s="600">
        <v>2.8940000000000001</v>
      </c>
    </row>
    <row r="796" spans="1:4">
      <c r="A796" s="599">
        <v>38484</v>
      </c>
      <c r="B796" s="600">
        <v>2.8965000000000001</v>
      </c>
    </row>
    <row r="797" spans="1:4">
      <c r="A797" s="599">
        <v>38485</v>
      </c>
      <c r="B797" s="600">
        <v>2.8967999999999998</v>
      </c>
    </row>
    <row r="798" spans="1:4">
      <c r="A798" s="599">
        <v>38488</v>
      </c>
      <c r="B798" s="600">
        <v>2.8856999999999999</v>
      </c>
    </row>
    <row r="799" spans="1:4">
      <c r="A799" s="599">
        <v>38489</v>
      </c>
      <c r="B799" s="600">
        <v>2.8849999999999998</v>
      </c>
    </row>
    <row r="800" spans="1:4">
      <c r="A800" s="599">
        <v>38490</v>
      </c>
      <c r="B800" s="600">
        <v>2.8873000000000002</v>
      </c>
    </row>
    <row r="801" spans="1:4">
      <c r="A801" s="599">
        <v>38491</v>
      </c>
      <c r="B801" s="600">
        <v>2.8843000000000001</v>
      </c>
    </row>
    <row r="802" spans="1:4">
      <c r="A802" s="599">
        <v>38492</v>
      </c>
      <c r="B802" s="600">
        <v>2.8875000000000002</v>
      </c>
    </row>
    <row r="803" spans="1:4">
      <c r="A803" s="599">
        <v>38495</v>
      </c>
      <c r="B803" s="600">
        <v>2.8862000000000001</v>
      </c>
    </row>
    <row r="804" spans="1:4">
      <c r="A804" s="599">
        <v>38496</v>
      </c>
      <c r="B804" s="600">
        <v>2.8839999999999999</v>
      </c>
    </row>
    <row r="805" spans="1:4">
      <c r="A805" s="599">
        <v>38498</v>
      </c>
      <c r="B805" s="600">
        <v>2.8862000000000001</v>
      </c>
    </row>
    <row r="806" spans="1:4">
      <c r="A806" s="599">
        <v>38499</v>
      </c>
      <c r="B806" s="600">
        <v>2.8849999999999998</v>
      </c>
    </row>
    <row r="807" spans="1:4">
      <c r="A807" s="599">
        <v>38502</v>
      </c>
      <c r="B807" s="600">
        <v>2.8852000000000002</v>
      </c>
      <c r="D807" s="601">
        <v>38473</v>
      </c>
    </row>
    <row r="808" spans="1:4" ht="16.5" thickBot="1">
      <c r="A808" s="605">
        <v>38503</v>
      </c>
      <c r="B808" s="606">
        <v>2.8877000000000002</v>
      </c>
      <c r="D808" s="604">
        <v>2.8909476190476195</v>
      </c>
    </row>
    <row r="809" spans="1:4">
      <c r="A809" s="607">
        <v>38504</v>
      </c>
      <c r="B809" s="608">
        <v>2.8820000000000001</v>
      </c>
    </row>
    <row r="810" spans="1:4">
      <c r="A810" s="599">
        <v>38505</v>
      </c>
      <c r="B810" s="608">
        <v>2.8845000000000001</v>
      </c>
    </row>
    <row r="811" spans="1:4">
      <c r="A811" s="599">
        <v>38506</v>
      </c>
      <c r="B811" s="608">
        <v>2.8856999999999999</v>
      </c>
    </row>
    <row r="812" spans="1:4">
      <c r="A812" s="599">
        <v>38509</v>
      </c>
      <c r="B812" s="608">
        <v>2.8948</v>
      </c>
    </row>
    <row r="813" spans="1:4">
      <c r="A813" s="599">
        <v>38510</v>
      </c>
      <c r="B813" s="608">
        <v>2.8948</v>
      </c>
    </row>
    <row r="814" spans="1:4">
      <c r="A814" s="599">
        <v>38511</v>
      </c>
      <c r="B814" s="608">
        <v>2.8927</v>
      </c>
    </row>
    <row r="815" spans="1:4">
      <c r="A815" s="599">
        <v>38512</v>
      </c>
      <c r="B815" s="608">
        <v>2.8963000000000001</v>
      </c>
    </row>
    <row r="816" spans="1:4">
      <c r="A816" s="599">
        <v>38513</v>
      </c>
      <c r="B816" s="608">
        <v>2.8929999999999998</v>
      </c>
    </row>
    <row r="817" spans="1:4">
      <c r="A817" s="599">
        <v>38516</v>
      </c>
      <c r="B817" s="608">
        <v>2.8902000000000001</v>
      </c>
    </row>
    <row r="818" spans="1:4">
      <c r="A818" s="599">
        <v>38517</v>
      </c>
      <c r="B818" s="608">
        <v>2.8780000000000001</v>
      </c>
    </row>
    <row r="819" spans="1:4">
      <c r="A819" s="599">
        <v>38518</v>
      </c>
      <c r="B819" s="608">
        <v>2.8677999999999999</v>
      </c>
    </row>
    <row r="820" spans="1:4">
      <c r="A820" s="599">
        <v>38519</v>
      </c>
      <c r="B820" s="608">
        <v>2.875</v>
      </c>
    </row>
    <row r="821" spans="1:4">
      <c r="A821" s="599">
        <v>38520</v>
      </c>
      <c r="B821" s="608">
        <v>2.8725000000000001</v>
      </c>
    </row>
    <row r="822" spans="1:4">
      <c r="A822" s="599">
        <v>38524</v>
      </c>
      <c r="B822" s="608">
        <v>2.8702999999999999</v>
      </c>
    </row>
    <row r="823" spans="1:4">
      <c r="A823" s="599">
        <v>38525</v>
      </c>
      <c r="B823" s="608">
        <v>2.8650000000000002</v>
      </c>
    </row>
    <row r="824" spans="1:4">
      <c r="A824" s="599">
        <v>38526</v>
      </c>
      <c r="B824" s="608">
        <v>2.8692000000000002</v>
      </c>
    </row>
    <row r="825" spans="1:4">
      <c r="A825" s="599">
        <v>38527</v>
      </c>
      <c r="B825" s="608">
        <v>2.879</v>
      </c>
    </row>
    <row r="826" spans="1:4">
      <c r="A826" s="599">
        <v>38530</v>
      </c>
      <c r="B826" s="608">
        <v>2.8845000000000001</v>
      </c>
    </row>
    <row r="827" spans="1:4">
      <c r="A827" s="599">
        <v>38531</v>
      </c>
      <c r="B827" s="608">
        <v>2.8940000000000001</v>
      </c>
    </row>
    <row r="828" spans="1:4">
      <c r="A828" s="599">
        <v>38532</v>
      </c>
      <c r="B828" s="608">
        <v>2.8953000000000002</v>
      </c>
      <c r="D828" s="601">
        <v>38504</v>
      </c>
    </row>
    <row r="829" spans="1:4" ht="16.5" thickBot="1">
      <c r="A829" s="602">
        <v>38533</v>
      </c>
      <c r="B829" s="610">
        <v>2.8908</v>
      </c>
      <c r="D829" s="604">
        <v>2.8835904761904763</v>
      </c>
    </row>
    <row r="830" spans="1:4">
      <c r="A830" s="595">
        <v>38534</v>
      </c>
      <c r="B830" s="596">
        <v>2.8845000000000001</v>
      </c>
    </row>
    <row r="831" spans="1:4">
      <c r="A831" s="599">
        <v>38537</v>
      </c>
      <c r="B831" s="608">
        <v>2.8835000000000002</v>
      </c>
    </row>
    <row r="832" spans="1:4">
      <c r="A832" s="599">
        <v>38538</v>
      </c>
      <c r="B832" s="608">
        <v>2.8864999999999998</v>
      </c>
    </row>
    <row r="833" spans="1:2">
      <c r="A833" s="599">
        <v>38539</v>
      </c>
      <c r="B833" s="608">
        <v>2.8839999999999999</v>
      </c>
    </row>
    <row r="834" spans="1:2">
      <c r="A834" s="599">
        <v>38540</v>
      </c>
      <c r="B834" s="608">
        <v>2.8801999999999999</v>
      </c>
    </row>
    <row r="835" spans="1:2">
      <c r="A835" s="599">
        <v>38541</v>
      </c>
      <c r="B835" s="608">
        <v>2.8723000000000001</v>
      </c>
    </row>
    <row r="836" spans="1:2">
      <c r="A836" s="599">
        <v>38544</v>
      </c>
      <c r="B836" s="608">
        <v>2.8633000000000002</v>
      </c>
    </row>
    <row r="837" spans="1:2">
      <c r="A837" s="599">
        <v>38545</v>
      </c>
      <c r="B837" s="608">
        <v>2.8759999999999999</v>
      </c>
    </row>
    <row r="838" spans="1:2">
      <c r="A838" s="599">
        <v>38546</v>
      </c>
      <c r="B838" s="608">
        <v>2.8694999999999999</v>
      </c>
    </row>
    <row r="839" spans="1:2">
      <c r="A839" s="599">
        <v>38547</v>
      </c>
      <c r="B839" s="608">
        <v>2.8687</v>
      </c>
    </row>
    <row r="840" spans="1:2">
      <c r="A840" s="599">
        <v>38548</v>
      </c>
      <c r="B840" s="608">
        <v>2.8620000000000001</v>
      </c>
    </row>
    <row r="841" spans="1:2">
      <c r="A841" s="599">
        <v>38551</v>
      </c>
      <c r="B841" s="608">
        <v>2.8681999999999999</v>
      </c>
    </row>
    <row r="842" spans="1:2">
      <c r="A842" s="599">
        <v>38552</v>
      </c>
      <c r="B842" s="608">
        <v>2.8622000000000001</v>
      </c>
    </row>
    <row r="843" spans="1:2">
      <c r="A843" s="599">
        <v>38553</v>
      </c>
      <c r="B843" s="608">
        <v>2.8610000000000002</v>
      </c>
    </row>
    <row r="844" spans="1:2">
      <c r="A844" s="599">
        <v>38554</v>
      </c>
      <c r="B844" s="608">
        <v>2.8597999999999999</v>
      </c>
    </row>
    <row r="845" spans="1:2">
      <c r="A845" s="599">
        <v>38555</v>
      </c>
      <c r="B845" s="608">
        <v>2.8637000000000001</v>
      </c>
    </row>
    <row r="846" spans="1:2">
      <c r="A846" s="599">
        <v>38558</v>
      </c>
      <c r="B846" s="608">
        <v>2.8647999999999998</v>
      </c>
    </row>
    <row r="847" spans="1:2">
      <c r="A847" s="599">
        <v>38559</v>
      </c>
      <c r="B847" s="608">
        <v>2.8612000000000002</v>
      </c>
    </row>
    <row r="848" spans="1:2">
      <c r="A848" s="599">
        <v>38560</v>
      </c>
      <c r="B848" s="608">
        <v>2.8614999999999999</v>
      </c>
    </row>
    <row r="849" spans="1:4">
      <c r="A849" s="599">
        <v>38561</v>
      </c>
      <c r="B849" s="608">
        <v>2.8652000000000002</v>
      </c>
      <c r="D849" s="601">
        <v>38534</v>
      </c>
    </row>
    <row r="850" spans="1:4" ht="16.5" thickBot="1">
      <c r="A850" s="605">
        <v>38562</v>
      </c>
      <c r="B850" s="606">
        <v>2.8628</v>
      </c>
      <c r="D850" s="604">
        <v>2.869566666666667</v>
      </c>
    </row>
    <row r="851" spans="1:4">
      <c r="A851" s="595">
        <v>38565</v>
      </c>
      <c r="B851" s="596">
        <v>2.8592</v>
      </c>
    </row>
    <row r="852" spans="1:4">
      <c r="A852" s="599">
        <v>38566</v>
      </c>
      <c r="B852" s="608">
        <v>2.8593000000000002</v>
      </c>
    </row>
    <row r="853" spans="1:4">
      <c r="A853" s="599">
        <v>38567</v>
      </c>
      <c r="B853" s="608">
        <v>2.86</v>
      </c>
    </row>
    <row r="854" spans="1:4">
      <c r="A854" s="599">
        <v>38568</v>
      </c>
      <c r="B854" s="608">
        <v>2.8613</v>
      </c>
    </row>
    <row r="855" spans="1:4">
      <c r="A855" s="599">
        <v>38569</v>
      </c>
      <c r="B855" s="608">
        <v>2.8645</v>
      </c>
    </row>
    <row r="856" spans="1:4">
      <c r="A856" s="599">
        <v>38572</v>
      </c>
      <c r="B856" s="608">
        <v>2.8677000000000001</v>
      </c>
    </row>
    <row r="857" spans="1:4">
      <c r="A857" s="599">
        <v>38573</v>
      </c>
      <c r="B857" s="608">
        <v>2.8730000000000002</v>
      </c>
    </row>
    <row r="858" spans="1:4">
      <c r="A858" s="599">
        <v>38574</v>
      </c>
      <c r="B858" s="608">
        <v>2.8738000000000001</v>
      </c>
    </row>
    <row r="859" spans="1:4">
      <c r="A859" s="599">
        <v>38575</v>
      </c>
      <c r="B859" s="608">
        <v>2.8782999999999999</v>
      </c>
    </row>
    <row r="860" spans="1:4">
      <c r="A860" s="599">
        <v>38576</v>
      </c>
      <c r="B860" s="608">
        <v>2.8820000000000001</v>
      </c>
    </row>
    <row r="861" spans="1:4">
      <c r="A861" s="599">
        <v>38580</v>
      </c>
      <c r="B861" s="608">
        <v>2.8864999999999998</v>
      </c>
    </row>
    <row r="862" spans="1:4">
      <c r="A862" s="599">
        <v>38581</v>
      </c>
      <c r="B862" s="608">
        <v>2.8927999999999998</v>
      </c>
    </row>
    <row r="863" spans="1:4">
      <c r="A863" s="599">
        <v>38582</v>
      </c>
      <c r="B863" s="608">
        <v>2.8957000000000002</v>
      </c>
    </row>
    <row r="864" spans="1:4">
      <c r="A864" s="599">
        <v>38583</v>
      </c>
      <c r="B864" s="608">
        <v>2.9072</v>
      </c>
    </row>
    <row r="865" spans="1:4">
      <c r="A865" s="599">
        <v>38586</v>
      </c>
      <c r="B865" s="608">
        <v>2.9064999999999999</v>
      </c>
    </row>
    <row r="866" spans="1:4">
      <c r="A866" s="599">
        <v>38587</v>
      </c>
      <c r="B866" s="608">
        <v>2.9089999999999998</v>
      </c>
    </row>
    <row r="867" spans="1:4">
      <c r="A867" s="599">
        <v>38588</v>
      </c>
      <c r="B867" s="608">
        <v>2.9098000000000002</v>
      </c>
    </row>
    <row r="868" spans="1:4">
      <c r="A868" s="599">
        <v>38589</v>
      </c>
      <c r="B868" s="608">
        <v>2.9077999999999999</v>
      </c>
    </row>
    <row r="869" spans="1:4">
      <c r="A869" s="599">
        <v>38590</v>
      </c>
      <c r="B869" s="608">
        <v>2.9083000000000001</v>
      </c>
    </row>
    <row r="870" spans="1:4">
      <c r="A870" s="599">
        <v>38593</v>
      </c>
      <c r="B870" s="608">
        <v>2.9108000000000001</v>
      </c>
    </row>
    <row r="871" spans="1:4">
      <c r="A871" s="599">
        <v>38594</v>
      </c>
      <c r="B871" s="608">
        <v>2.9112</v>
      </c>
      <c r="D871" s="601">
        <v>38565</v>
      </c>
    </row>
    <row r="872" spans="1:4" ht="16.5" thickBot="1">
      <c r="A872" s="605">
        <v>38595</v>
      </c>
      <c r="B872" s="606">
        <v>2.9117000000000002</v>
      </c>
      <c r="D872" s="604">
        <v>2.888018181818182</v>
      </c>
    </row>
    <row r="873" spans="1:4">
      <c r="A873" s="595">
        <v>38596</v>
      </c>
      <c r="B873" s="596">
        <v>2.9098000000000002</v>
      </c>
    </row>
    <row r="874" spans="1:4">
      <c r="A874" s="599">
        <v>38597</v>
      </c>
      <c r="B874" s="608">
        <v>2.9104999999999999</v>
      </c>
    </row>
    <row r="875" spans="1:4">
      <c r="A875" s="599">
        <v>38600</v>
      </c>
      <c r="B875" s="608">
        <v>2.9075000000000002</v>
      </c>
    </row>
    <row r="876" spans="1:4">
      <c r="A876" s="599">
        <v>38601</v>
      </c>
      <c r="B876" s="608">
        <v>2.9072</v>
      </c>
    </row>
    <row r="877" spans="1:4">
      <c r="A877" s="599">
        <v>38602</v>
      </c>
      <c r="B877" s="608">
        <v>2.9055</v>
      </c>
    </row>
    <row r="878" spans="1:4">
      <c r="A878" s="599">
        <v>38603</v>
      </c>
      <c r="B878" s="608">
        <v>2.9043000000000001</v>
      </c>
    </row>
    <row r="879" spans="1:4">
      <c r="A879" s="599">
        <v>38604</v>
      </c>
      <c r="B879" s="608">
        <v>2.9087000000000001</v>
      </c>
    </row>
    <row r="880" spans="1:4">
      <c r="A880" s="599">
        <v>38607</v>
      </c>
      <c r="B880" s="608">
        <v>2.9152999999999998</v>
      </c>
    </row>
    <row r="881" spans="1:4">
      <c r="A881" s="599">
        <v>38608</v>
      </c>
      <c r="B881" s="608">
        <v>2.9195000000000002</v>
      </c>
    </row>
    <row r="882" spans="1:4">
      <c r="A882" s="599">
        <v>38609</v>
      </c>
      <c r="B882" s="608">
        <v>2.9192999999999998</v>
      </c>
    </row>
    <row r="883" spans="1:4">
      <c r="A883" s="599">
        <v>38610</v>
      </c>
      <c r="B883" s="608">
        <v>2.9165000000000001</v>
      </c>
    </row>
    <row r="884" spans="1:4">
      <c r="A884" s="599">
        <v>38611</v>
      </c>
      <c r="B884" s="608">
        <v>2.9135</v>
      </c>
    </row>
    <row r="885" spans="1:4">
      <c r="A885" s="599">
        <v>38614</v>
      </c>
      <c r="B885" s="608">
        <v>2.9097</v>
      </c>
    </row>
    <row r="886" spans="1:4">
      <c r="A886" s="599">
        <v>38615</v>
      </c>
      <c r="B886" s="608">
        <v>2.9140000000000001</v>
      </c>
    </row>
    <row r="887" spans="1:4">
      <c r="A887" s="599">
        <v>38616</v>
      </c>
      <c r="B887" s="608">
        <v>2.9140000000000001</v>
      </c>
    </row>
    <row r="888" spans="1:4">
      <c r="A888" s="599">
        <v>38617</v>
      </c>
      <c r="B888" s="608">
        <v>2.9131999999999998</v>
      </c>
    </row>
    <row r="889" spans="1:4">
      <c r="A889" s="599">
        <v>38618</v>
      </c>
      <c r="B889" s="608">
        <v>2.9108000000000001</v>
      </c>
    </row>
    <row r="890" spans="1:4">
      <c r="A890" s="599">
        <v>38621</v>
      </c>
      <c r="B890" s="608">
        <v>2.9098000000000002</v>
      </c>
    </row>
    <row r="891" spans="1:4">
      <c r="A891" s="599">
        <v>38622</v>
      </c>
      <c r="B891" s="608">
        <v>2.9085000000000001</v>
      </c>
    </row>
    <row r="892" spans="1:4">
      <c r="A892" s="599">
        <v>38623</v>
      </c>
      <c r="B892" s="608">
        <v>2.9127999999999998</v>
      </c>
    </row>
    <row r="893" spans="1:4">
      <c r="A893" s="599">
        <v>38624</v>
      </c>
      <c r="B893" s="608">
        <v>2.9148000000000001</v>
      </c>
      <c r="D893" s="601">
        <v>38596</v>
      </c>
    </row>
    <row r="894" spans="1:4" ht="16.5" thickBot="1">
      <c r="A894" s="605">
        <v>38625</v>
      </c>
      <c r="B894" s="611">
        <v>2.9125000000000001</v>
      </c>
      <c r="D894" s="604">
        <v>2.9117136363636362</v>
      </c>
    </row>
    <row r="895" spans="1:4">
      <c r="A895" s="595">
        <v>38628</v>
      </c>
      <c r="B895" s="596">
        <v>2.9081999999999999</v>
      </c>
    </row>
    <row r="896" spans="1:4">
      <c r="A896" s="599">
        <v>38629</v>
      </c>
      <c r="B896" s="608">
        <v>2.9112</v>
      </c>
    </row>
    <row r="897" spans="1:2">
      <c r="A897" s="599">
        <v>38630</v>
      </c>
      <c r="B897" s="608">
        <v>2.9186999999999999</v>
      </c>
    </row>
    <row r="898" spans="1:2">
      <c r="A898" s="599">
        <v>38631</v>
      </c>
      <c r="B898" s="608">
        <v>2.9297</v>
      </c>
    </row>
    <row r="899" spans="1:2">
      <c r="A899" s="599">
        <v>38632</v>
      </c>
      <c r="B899" s="608">
        <v>2.9365000000000001</v>
      </c>
    </row>
    <row r="900" spans="1:2">
      <c r="A900" s="599">
        <v>38636</v>
      </c>
      <c r="B900" s="608">
        <v>2.9415</v>
      </c>
    </row>
    <row r="901" spans="1:2">
      <c r="A901" s="599">
        <v>38637</v>
      </c>
      <c r="B901" s="608">
        <v>2.9622000000000002</v>
      </c>
    </row>
    <row r="902" spans="1:2">
      <c r="A902" s="599">
        <v>38638</v>
      </c>
      <c r="B902" s="608">
        <v>2.9773000000000001</v>
      </c>
    </row>
    <row r="903" spans="1:2">
      <c r="A903" s="599">
        <v>38639</v>
      </c>
      <c r="B903" s="608">
        <v>2.9805000000000001</v>
      </c>
    </row>
    <row r="904" spans="1:2">
      <c r="A904" s="599">
        <v>38642</v>
      </c>
      <c r="B904" s="608">
        <v>2.968</v>
      </c>
    </row>
    <row r="905" spans="1:2">
      <c r="A905" s="599">
        <v>38643</v>
      </c>
      <c r="B905" s="608">
        <v>2.9666999999999999</v>
      </c>
    </row>
    <row r="906" spans="1:2">
      <c r="A906" s="599">
        <v>38644</v>
      </c>
      <c r="B906" s="608">
        <v>2.9740000000000002</v>
      </c>
    </row>
    <row r="907" spans="1:2">
      <c r="A907" s="599">
        <v>38645</v>
      </c>
      <c r="B907" s="608">
        <v>2.9762</v>
      </c>
    </row>
    <row r="908" spans="1:2">
      <c r="A908" s="599">
        <v>38646</v>
      </c>
      <c r="B908" s="608">
        <v>2.9855</v>
      </c>
    </row>
    <row r="909" spans="1:2">
      <c r="A909" s="599">
        <v>38649</v>
      </c>
      <c r="B909" s="608">
        <v>2.9777999999999998</v>
      </c>
    </row>
    <row r="910" spans="1:2">
      <c r="A910" s="599">
        <v>38650</v>
      </c>
      <c r="B910" s="608">
        <v>2.9790000000000001</v>
      </c>
    </row>
    <row r="911" spans="1:2">
      <c r="A911" s="599">
        <v>38651</v>
      </c>
      <c r="B911" s="608">
        <v>2.9952000000000001</v>
      </c>
    </row>
    <row r="912" spans="1:2">
      <c r="A912" s="599">
        <v>38652</v>
      </c>
      <c r="B912" s="608">
        <v>3.0125000000000002</v>
      </c>
    </row>
    <row r="913" spans="1:4">
      <c r="A913" s="599">
        <v>38653</v>
      </c>
      <c r="B913" s="608">
        <v>3.0105</v>
      </c>
      <c r="D913" s="601">
        <v>38626</v>
      </c>
    </row>
    <row r="914" spans="1:4" ht="16.5" thickBot="1">
      <c r="A914" s="605">
        <v>38656</v>
      </c>
      <c r="B914" s="611">
        <v>3.0097</v>
      </c>
      <c r="D914" s="604">
        <v>2.9660450000000003</v>
      </c>
    </row>
    <row r="915" spans="1:4">
      <c r="A915" s="595">
        <v>38657</v>
      </c>
      <c r="B915" s="596">
        <v>2.9952000000000001</v>
      </c>
    </row>
    <row r="916" spans="1:4">
      <c r="A916" s="599">
        <v>38658</v>
      </c>
      <c r="B916" s="608">
        <v>2.9927000000000001</v>
      </c>
    </row>
    <row r="917" spans="1:4">
      <c r="A917" s="599">
        <v>38659</v>
      </c>
      <c r="B917" s="608">
        <v>2.9836999999999998</v>
      </c>
    </row>
    <row r="918" spans="1:4">
      <c r="A918" s="599">
        <v>38660</v>
      </c>
      <c r="B918" s="608">
        <v>2.9842</v>
      </c>
    </row>
    <row r="919" spans="1:4">
      <c r="A919" s="599">
        <v>38663</v>
      </c>
      <c r="B919" s="608">
        <v>2.9763000000000002</v>
      </c>
    </row>
    <row r="920" spans="1:4">
      <c r="A920" s="599">
        <v>38664</v>
      </c>
      <c r="B920" s="608">
        <v>2.9668000000000001</v>
      </c>
    </row>
    <row r="921" spans="1:4">
      <c r="A921" s="599">
        <v>38665</v>
      </c>
      <c r="B921" s="608">
        <v>2.9638</v>
      </c>
    </row>
    <row r="922" spans="1:4">
      <c r="A922" s="599">
        <v>38666</v>
      </c>
      <c r="B922" s="608">
        <v>2.9731999999999998</v>
      </c>
    </row>
    <row r="923" spans="1:4">
      <c r="A923" s="599">
        <v>38667</v>
      </c>
      <c r="B923" s="608">
        <v>2.9693000000000001</v>
      </c>
    </row>
    <row r="924" spans="1:4">
      <c r="A924" s="599">
        <v>38670</v>
      </c>
      <c r="B924" s="608">
        <v>2.9653</v>
      </c>
    </row>
    <row r="925" spans="1:4">
      <c r="A925" s="599">
        <v>38671</v>
      </c>
      <c r="B925" s="608">
        <v>2.9598</v>
      </c>
    </row>
    <row r="926" spans="1:4">
      <c r="A926" s="599">
        <v>38672</v>
      </c>
      <c r="B926" s="608">
        <v>2.9483000000000001</v>
      </c>
    </row>
    <row r="927" spans="1:4">
      <c r="A927" s="599">
        <v>38673</v>
      </c>
      <c r="B927" s="608">
        <v>2.9477000000000002</v>
      </c>
    </row>
    <row r="928" spans="1:4">
      <c r="A928" s="599">
        <v>38674</v>
      </c>
      <c r="B928" s="608">
        <v>2.9430000000000001</v>
      </c>
    </row>
    <row r="929" spans="1:4">
      <c r="A929" s="599">
        <v>38677</v>
      </c>
      <c r="B929" s="608">
        <v>2.9405000000000001</v>
      </c>
    </row>
    <row r="930" spans="1:4">
      <c r="A930" s="599">
        <v>38678</v>
      </c>
      <c r="B930" s="608">
        <v>2.9434999999999998</v>
      </c>
    </row>
    <row r="931" spans="1:4">
      <c r="A931" s="599">
        <v>38679</v>
      </c>
      <c r="B931" s="608">
        <v>2.9458000000000002</v>
      </c>
    </row>
    <row r="932" spans="1:4">
      <c r="A932" s="599">
        <v>38680</v>
      </c>
      <c r="B932" s="608">
        <v>2.9538000000000002</v>
      </c>
    </row>
    <row r="933" spans="1:4">
      <c r="A933" s="599">
        <v>38681</v>
      </c>
      <c r="B933" s="608">
        <v>2.9672999999999998</v>
      </c>
    </row>
    <row r="934" spans="1:4">
      <c r="A934" s="599">
        <v>38684</v>
      </c>
      <c r="B934" s="608">
        <v>2.9923000000000002</v>
      </c>
    </row>
    <row r="935" spans="1:4">
      <c r="A935" s="599">
        <v>38685</v>
      </c>
      <c r="B935" s="608">
        <v>2.9927999999999999</v>
      </c>
      <c r="D935" s="601">
        <v>38657</v>
      </c>
    </row>
    <row r="936" spans="1:4" ht="16.5" thickBot="1">
      <c r="A936" s="605">
        <v>38686</v>
      </c>
      <c r="B936" s="611">
        <v>2.9735</v>
      </c>
      <c r="D936" s="604">
        <v>2.9672181818181813</v>
      </c>
    </row>
    <row r="937" spans="1:4">
      <c r="A937" s="595">
        <v>38687</v>
      </c>
      <c r="B937" s="596">
        <v>2.97</v>
      </c>
    </row>
    <row r="938" spans="1:4">
      <c r="A938" s="599">
        <v>38688</v>
      </c>
      <c r="B938" s="608">
        <v>2.9765000000000001</v>
      </c>
    </row>
    <row r="939" spans="1:4">
      <c r="A939" s="599">
        <v>38691</v>
      </c>
      <c r="B939" s="608">
        <v>2.9885000000000002</v>
      </c>
    </row>
    <row r="940" spans="1:4">
      <c r="A940" s="599">
        <v>38692</v>
      </c>
      <c r="B940" s="608">
        <v>2.9983</v>
      </c>
    </row>
    <row r="941" spans="1:4">
      <c r="A941" s="599">
        <v>38693</v>
      </c>
      <c r="B941" s="608">
        <v>2.9878</v>
      </c>
    </row>
    <row r="942" spans="1:4">
      <c r="A942" s="599">
        <v>38695</v>
      </c>
      <c r="B942" s="608">
        <v>3.0009999999999999</v>
      </c>
    </row>
    <row r="943" spans="1:4">
      <c r="A943" s="599">
        <v>38698</v>
      </c>
      <c r="B943" s="608">
        <v>3.0093000000000001</v>
      </c>
    </row>
    <row r="944" spans="1:4">
      <c r="A944" s="599">
        <v>38699</v>
      </c>
      <c r="B944" s="608">
        <v>3.0082</v>
      </c>
    </row>
    <row r="945" spans="1:4">
      <c r="A945" s="599">
        <v>38700</v>
      </c>
      <c r="B945" s="608">
        <v>2.9990000000000001</v>
      </c>
    </row>
    <row r="946" spans="1:4">
      <c r="A946" s="599">
        <v>38701</v>
      </c>
      <c r="B946" s="608">
        <v>3.0065</v>
      </c>
    </row>
    <row r="947" spans="1:4">
      <c r="A947" s="599">
        <v>38702</v>
      </c>
      <c r="B947" s="608">
        <v>3.0522999999999998</v>
      </c>
    </row>
    <row r="948" spans="1:4">
      <c r="A948" s="599">
        <v>38705</v>
      </c>
      <c r="B948" s="608">
        <v>3.0427</v>
      </c>
    </row>
    <row r="949" spans="1:4">
      <c r="A949" s="599">
        <v>38706</v>
      </c>
      <c r="B949" s="608">
        <v>3.028</v>
      </c>
    </row>
    <row r="950" spans="1:4">
      <c r="A950" s="599">
        <v>38707</v>
      </c>
      <c r="B950" s="608">
        <v>3.0337999999999998</v>
      </c>
    </row>
    <row r="951" spans="1:4">
      <c r="A951" s="599">
        <v>38708</v>
      </c>
      <c r="B951" s="608">
        <v>3.0310000000000001</v>
      </c>
    </row>
    <row r="952" spans="1:4">
      <c r="A952" s="599">
        <v>38709</v>
      </c>
      <c r="B952" s="608">
        <v>3.02</v>
      </c>
    </row>
    <row r="953" spans="1:4">
      <c r="A953" s="599">
        <v>38712</v>
      </c>
      <c r="B953" s="608">
        <v>3.0223</v>
      </c>
    </row>
    <row r="954" spans="1:4">
      <c r="A954" s="599">
        <v>38713</v>
      </c>
      <c r="B954" s="608">
        <v>3.0243000000000002</v>
      </c>
    </row>
    <row r="955" spans="1:4">
      <c r="A955" s="599">
        <v>38714</v>
      </c>
      <c r="B955" s="608">
        <v>3.0409999999999999</v>
      </c>
    </row>
    <row r="956" spans="1:4">
      <c r="A956" s="599">
        <v>38715</v>
      </c>
      <c r="B956" s="608">
        <v>3.0314999999999999</v>
      </c>
      <c r="D956" s="601">
        <v>38687</v>
      </c>
    </row>
    <row r="957" spans="1:4" ht="16.5" thickBot="1">
      <c r="A957" s="605">
        <v>38716</v>
      </c>
      <c r="B957" s="611">
        <v>3.0314999999999999</v>
      </c>
      <c r="D957" s="604">
        <v>3.0144523809523811</v>
      </c>
    </row>
    <row r="958" spans="1:4">
      <c r="A958" s="595">
        <v>38719</v>
      </c>
      <c r="B958" s="596">
        <v>3.0305</v>
      </c>
    </row>
    <row r="959" spans="1:4">
      <c r="A959" s="599">
        <v>38720</v>
      </c>
      <c r="B959" s="608">
        <v>3.0373000000000001</v>
      </c>
    </row>
    <row r="960" spans="1:4">
      <c r="A960" s="599">
        <v>38721</v>
      </c>
      <c r="B960" s="608">
        <v>3.0417000000000001</v>
      </c>
    </row>
    <row r="961" spans="1:2">
      <c r="A961" s="599">
        <v>38722</v>
      </c>
      <c r="B961" s="608">
        <v>3.0445000000000002</v>
      </c>
    </row>
    <row r="962" spans="1:2">
      <c r="A962" s="599">
        <v>38723</v>
      </c>
      <c r="B962" s="608">
        <v>3.0510000000000002</v>
      </c>
    </row>
    <row r="963" spans="1:2">
      <c r="A963" s="599">
        <v>38726</v>
      </c>
      <c r="B963" s="608">
        <v>3.0632000000000001</v>
      </c>
    </row>
    <row r="964" spans="1:2">
      <c r="A964" s="599">
        <v>38727</v>
      </c>
      <c r="B964" s="608">
        <v>3.0613000000000001</v>
      </c>
    </row>
    <row r="965" spans="1:2">
      <c r="A965" s="599">
        <v>38728</v>
      </c>
      <c r="B965" s="608">
        <v>3.0522</v>
      </c>
    </row>
    <row r="966" spans="1:2">
      <c r="A966" s="599">
        <v>38729</v>
      </c>
      <c r="B966" s="608">
        <v>3.0438000000000001</v>
      </c>
    </row>
    <row r="967" spans="1:2">
      <c r="A967" s="599">
        <v>38730</v>
      </c>
      <c r="B967" s="608">
        <v>3.0407000000000002</v>
      </c>
    </row>
    <row r="968" spans="1:2">
      <c r="A968" s="599">
        <v>38733</v>
      </c>
      <c r="B968" s="608">
        <v>3.0363000000000002</v>
      </c>
    </row>
    <row r="969" spans="1:2">
      <c r="A969" s="599">
        <v>38734</v>
      </c>
      <c r="B969" s="608">
        <v>3.0390000000000001</v>
      </c>
    </row>
    <row r="970" spans="1:2">
      <c r="A970" s="599">
        <v>38735</v>
      </c>
      <c r="B970" s="608">
        <v>3.0476999999999999</v>
      </c>
    </row>
    <row r="971" spans="1:2">
      <c r="A971" s="599">
        <v>38736</v>
      </c>
      <c r="B971" s="608">
        <v>3.0465</v>
      </c>
    </row>
    <row r="972" spans="1:2">
      <c r="A972" s="599">
        <v>38737</v>
      </c>
      <c r="B972" s="608">
        <v>3.0369999999999999</v>
      </c>
    </row>
    <row r="973" spans="1:2">
      <c r="A973" s="599">
        <v>38740</v>
      </c>
      <c r="B973" s="608">
        <v>3.0356999999999998</v>
      </c>
    </row>
    <row r="974" spans="1:2">
      <c r="A974" s="599">
        <v>38741</v>
      </c>
      <c r="B974" s="608">
        <v>3.0356999999999998</v>
      </c>
    </row>
    <row r="975" spans="1:2">
      <c r="A975" s="599">
        <v>38742</v>
      </c>
      <c r="B975" s="608">
        <v>3.0415000000000001</v>
      </c>
    </row>
    <row r="976" spans="1:2">
      <c r="A976" s="599">
        <v>38743</v>
      </c>
      <c r="B976" s="608">
        <v>3.0531999999999999</v>
      </c>
    </row>
    <row r="977" spans="1:4">
      <c r="A977" s="599">
        <v>38744</v>
      </c>
      <c r="B977" s="608">
        <v>3.0535000000000001</v>
      </c>
    </row>
    <row r="978" spans="1:4">
      <c r="A978" s="599">
        <v>38747</v>
      </c>
      <c r="B978" s="608">
        <v>3.0568</v>
      </c>
      <c r="D978" s="601">
        <v>38718</v>
      </c>
    </row>
    <row r="979" spans="1:4" ht="16.5" thickBot="1">
      <c r="A979" s="602">
        <v>38748</v>
      </c>
      <c r="B979" s="610">
        <v>3.0636999999999999</v>
      </c>
      <c r="D979" s="604">
        <v>3.0460363636363637</v>
      </c>
    </row>
    <row r="980" spans="1:4">
      <c r="A980" s="595">
        <v>38749</v>
      </c>
      <c r="B980" s="596">
        <v>3.0625</v>
      </c>
    </row>
    <row r="981" spans="1:4">
      <c r="A981" s="599">
        <v>38750</v>
      </c>
      <c r="B981" s="608">
        <v>3.0678000000000001</v>
      </c>
    </row>
    <row r="982" spans="1:4">
      <c r="A982" s="599">
        <v>38751</v>
      </c>
      <c r="B982" s="608">
        <v>3.0663</v>
      </c>
    </row>
    <row r="983" spans="1:4">
      <c r="A983" s="599">
        <v>38754</v>
      </c>
      <c r="B983" s="608">
        <v>3.0642999999999998</v>
      </c>
    </row>
    <row r="984" spans="1:4">
      <c r="A984" s="599">
        <v>38755</v>
      </c>
      <c r="B984" s="608">
        <v>3.0697000000000001</v>
      </c>
    </row>
    <row r="985" spans="1:4">
      <c r="A985" s="599">
        <v>38756</v>
      </c>
      <c r="B985" s="608">
        <v>3.0756999999999999</v>
      </c>
    </row>
    <row r="986" spans="1:4">
      <c r="A986" s="599">
        <v>38757</v>
      </c>
      <c r="B986" s="608">
        <v>3.0672999999999999</v>
      </c>
    </row>
    <row r="987" spans="1:4">
      <c r="A987" s="599">
        <v>38758</v>
      </c>
      <c r="B987" s="608">
        <v>3.0634999999999999</v>
      </c>
    </row>
    <row r="988" spans="1:4">
      <c r="A988" s="599">
        <v>38761</v>
      </c>
      <c r="B988" s="608">
        <v>3.0678000000000001</v>
      </c>
    </row>
    <row r="989" spans="1:4">
      <c r="A989" s="599">
        <v>38762</v>
      </c>
      <c r="B989" s="608">
        <v>3.0701999999999998</v>
      </c>
    </row>
    <row r="990" spans="1:4">
      <c r="A990" s="599">
        <v>38763</v>
      </c>
      <c r="B990" s="608">
        <v>3.0697999999999999</v>
      </c>
    </row>
    <row r="991" spans="1:4">
      <c r="A991" s="599">
        <v>38764</v>
      </c>
      <c r="B991" s="608">
        <v>3.0674999999999999</v>
      </c>
    </row>
    <row r="992" spans="1:4">
      <c r="A992" s="599">
        <v>38765</v>
      </c>
      <c r="B992" s="608">
        <v>3.0657000000000001</v>
      </c>
    </row>
    <row r="993" spans="1:4">
      <c r="A993" s="599">
        <v>38768</v>
      </c>
      <c r="B993" s="608">
        <v>3.0670000000000002</v>
      </c>
    </row>
    <row r="994" spans="1:4">
      <c r="A994" s="599">
        <v>38769</v>
      </c>
      <c r="B994" s="608">
        <v>3.0672000000000001</v>
      </c>
    </row>
    <row r="995" spans="1:4">
      <c r="A995" s="599">
        <v>38770</v>
      </c>
      <c r="B995" s="608">
        <v>3.0712999999999999</v>
      </c>
    </row>
    <row r="996" spans="1:4">
      <c r="A996" s="599">
        <v>38771</v>
      </c>
      <c r="B996" s="608">
        <v>3.0722999999999998</v>
      </c>
    </row>
    <row r="997" spans="1:4">
      <c r="A997" s="599">
        <v>38772</v>
      </c>
      <c r="B997" s="608">
        <v>3.0752000000000002</v>
      </c>
    </row>
    <row r="998" spans="1:4">
      <c r="A998" s="599">
        <v>38775</v>
      </c>
      <c r="B998" s="608">
        <v>3.0741999999999998</v>
      </c>
      <c r="D998" s="601">
        <v>38749</v>
      </c>
    </row>
    <row r="999" spans="1:4" ht="16.5" thickBot="1">
      <c r="A999" s="605">
        <v>38776</v>
      </c>
      <c r="B999" s="611">
        <v>3.0728</v>
      </c>
      <c r="D999" s="604">
        <v>3.068905</v>
      </c>
    </row>
    <row r="1000" spans="1:4">
      <c r="A1000" s="595">
        <v>38777</v>
      </c>
      <c r="B1000" s="596">
        <v>3.0697999999999999</v>
      </c>
    </row>
    <row r="1001" spans="1:4">
      <c r="A1001" s="599">
        <v>38778</v>
      </c>
      <c r="B1001" s="608">
        <v>3.0649999999999999</v>
      </c>
    </row>
    <row r="1002" spans="1:4">
      <c r="A1002" s="599">
        <v>38779</v>
      </c>
      <c r="B1002" s="608">
        <v>3.0680000000000001</v>
      </c>
    </row>
    <row r="1003" spans="1:4">
      <c r="A1003" s="599">
        <v>38782</v>
      </c>
      <c r="B1003" s="608">
        <v>3.0758000000000001</v>
      </c>
    </row>
    <row r="1004" spans="1:4">
      <c r="A1004" s="599">
        <v>38783</v>
      </c>
      <c r="B1004" s="608">
        <v>3.0792000000000002</v>
      </c>
    </row>
    <row r="1005" spans="1:4">
      <c r="A1005" s="599">
        <v>38784</v>
      </c>
      <c r="B1005" s="608">
        <v>3.0823</v>
      </c>
    </row>
    <row r="1006" spans="1:4">
      <c r="A1006" s="599">
        <v>38785</v>
      </c>
      <c r="B1006" s="608">
        <v>3.0796999999999999</v>
      </c>
    </row>
    <row r="1007" spans="1:4">
      <c r="A1007" s="599">
        <v>38786</v>
      </c>
      <c r="B1007" s="608">
        <v>3.0815000000000001</v>
      </c>
    </row>
    <row r="1008" spans="1:4">
      <c r="A1008" s="599">
        <v>38789</v>
      </c>
      <c r="B1008" s="608">
        <v>3.0817000000000001</v>
      </c>
    </row>
    <row r="1009" spans="1:4">
      <c r="A1009" s="599">
        <v>38790</v>
      </c>
      <c r="B1009" s="608">
        <v>3.0773000000000001</v>
      </c>
    </row>
    <row r="1010" spans="1:4">
      <c r="A1010" s="599">
        <v>38791</v>
      </c>
      <c r="B1010" s="608">
        <v>3.073</v>
      </c>
    </row>
    <row r="1011" spans="1:4">
      <c r="A1011" s="599">
        <v>38792</v>
      </c>
      <c r="B1011" s="608">
        <v>3.0714999999999999</v>
      </c>
    </row>
    <row r="1012" spans="1:4">
      <c r="A1012" s="599">
        <v>38793</v>
      </c>
      <c r="B1012" s="608">
        <v>3.073</v>
      </c>
    </row>
    <row r="1013" spans="1:4">
      <c r="A1013" s="599">
        <v>38796</v>
      </c>
      <c r="B1013" s="608">
        <v>3.0731999999999999</v>
      </c>
    </row>
    <row r="1014" spans="1:4">
      <c r="A1014" s="599">
        <v>38797</v>
      </c>
      <c r="B1014" s="608">
        <v>3.0748000000000002</v>
      </c>
    </row>
    <row r="1015" spans="1:4">
      <c r="A1015" s="599">
        <v>38798</v>
      </c>
      <c r="B1015" s="608">
        <v>3.0752000000000002</v>
      </c>
    </row>
    <row r="1016" spans="1:4">
      <c r="A1016" s="599">
        <v>38799</v>
      </c>
      <c r="B1016" s="608">
        <v>3.0752999999999999</v>
      </c>
    </row>
    <row r="1017" spans="1:4">
      <c r="A1017" s="599">
        <v>38803</v>
      </c>
      <c r="B1017" s="608">
        <v>3.0794999999999999</v>
      </c>
    </row>
    <row r="1018" spans="1:4">
      <c r="A1018" s="599">
        <v>38804</v>
      </c>
      <c r="B1018" s="608">
        <v>3.0844999999999998</v>
      </c>
    </row>
    <row r="1019" spans="1:4">
      <c r="A1019" s="599">
        <v>38805</v>
      </c>
      <c r="B1019" s="608">
        <v>3.0783</v>
      </c>
    </row>
    <row r="1020" spans="1:4">
      <c r="A1020" s="599">
        <v>38806</v>
      </c>
      <c r="B1020" s="608">
        <v>3.0798000000000001</v>
      </c>
      <c r="D1020" s="601">
        <v>38777</v>
      </c>
    </row>
    <row r="1021" spans="1:4" ht="16.5" thickBot="1">
      <c r="A1021" s="605">
        <v>38807</v>
      </c>
      <c r="B1021" s="612">
        <v>3.0808</v>
      </c>
      <c r="D1021" s="604">
        <v>3.0763272727272732</v>
      </c>
    </row>
    <row r="1022" spans="1:4">
      <c r="A1022" s="595">
        <v>38810</v>
      </c>
      <c r="B1022" s="596">
        <v>3.0817999999999999</v>
      </c>
    </row>
    <row r="1023" spans="1:4">
      <c r="A1023" s="599">
        <v>38811</v>
      </c>
      <c r="B1023" s="608">
        <v>3.0828000000000002</v>
      </c>
    </row>
    <row r="1024" spans="1:4">
      <c r="A1024" s="599">
        <v>38812</v>
      </c>
      <c r="B1024" s="608">
        <v>3.0807000000000002</v>
      </c>
    </row>
    <row r="1025" spans="1:4">
      <c r="A1025" s="599">
        <v>38813</v>
      </c>
      <c r="B1025" s="608">
        <v>3.0787</v>
      </c>
    </row>
    <row r="1026" spans="1:4">
      <c r="A1026" s="599">
        <v>38814</v>
      </c>
      <c r="B1026" s="608">
        <v>3.0790000000000002</v>
      </c>
    </row>
    <row r="1027" spans="1:4">
      <c r="A1027" s="599">
        <v>38817</v>
      </c>
      <c r="B1027" s="608">
        <v>3.08</v>
      </c>
    </row>
    <row r="1028" spans="1:4">
      <c r="A1028" s="599">
        <v>38818</v>
      </c>
      <c r="B1028" s="608">
        <v>3.0788000000000002</v>
      </c>
    </row>
    <row r="1029" spans="1:4">
      <c r="A1029" s="599">
        <v>38819</v>
      </c>
      <c r="B1029" s="608">
        <v>3.077</v>
      </c>
    </row>
    <row r="1030" spans="1:4">
      <c r="A1030" s="599">
        <v>38824</v>
      </c>
      <c r="B1030" s="608">
        <v>3.077</v>
      </c>
    </row>
    <row r="1031" spans="1:4">
      <c r="A1031" s="599">
        <v>38825</v>
      </c>
      <c r="B1031" s="608">
        <v>3.0716999999999999</v>
      </c>
    </row>
    <row r="1032" spans="1:4">
      <c r="A1032" s="599">
        <v>38826</v>
      </c>
      <c r="B1032" s="608">
        <v>3.0687000000000002</v>
      </c>
    </row>
    <row r="1033" spans="1:4">
      <c r="A1033" s="599">
        <v>38827</v>
      </c>
      <c r="B1033" s="608">
        <v>3.0625</v>
      </c>
    </row>
    <row r="1034" spans="1:4">
      <c r="A1034" s="599">
        <v>38828</v>
      </c>
      <c r="B1034" s="608">
        <v>3.0573000000000001</v>
      </c>
    </row>
    <row r="1035" spans="1:4">
      <c r="A1035" s="599">
        <v>38831</v>
      </c>
      <c r="B1035" s="608">
        <v>3.0537999999999998</v>
      </c>
    </row>
    <row r="1036" spans="1:4">
      <c r="A1036" s="599">
        <v>38832</v>
      </c>
      <c r="B1036" s="608">
        <v>3.0417999999999998</v>
      </c>
    </row>
    <row r="1037" spans="1:4">
      <c r="A1037" s="599">
        <v>38833</v>
      </c>
      <c r="B1037" s="608">
        <v>3.0407000000000002</v>
      </c>
    </row>
    <row r="1038" spans="1:4">
      <c r="A1038" s="599">
        <v>38834</v>
      </c>
      <c r="B1038" s="608">
        <v>3.0367000000000002</v>
      </c>
      <c r="D1038" s="613">
        <v>38808</v>
      </c>
    </row>
    <row r="1039" spans="1:4" ht="16.5" thickBot="1">
      <c r="A1039" s="605">
        <v>38835</v>
      </c>
      <c r="B1039" s="611">
        <v>3.0438000000000001</v>
      </c>
      <c r="D1039" s="604">
        <v>3.0662666666666669</v>
      </c>
    </row>
    <row r="1040" spans="1:4">
      <c r="A1040" s="595">
        <v>38839</v>
      </c>
      <c r="B1040" s="596">
        <v>3.0442</v>
      </c>
    </row>
    <row r="1041" spans="1:2">
      <c r="A1041" s="607">
        <v>38840</v>
      </c>
      <c r="B1041" s="608">
        <v>3.0432999999999999</v>
      </c>
    </row>
    <row r="1042" spans="1:2">
      <c r="A1042" s="607">
        <v>38841</v>
      </c>
      <c r="B1042" s="608">
        <v>3.0383</v>
      </c>
    </row>
    <row r="1043" spans="1:2">
      <c r="A1043" s="607">
        <v>38842</v>
      </c>
      <c r="B1043" s="608">
        <v>3.0402999999999998</v>
      </c>
    </row>
    <row r="1044" spans="1:2">
      <c r="A1044" s="607">
        <v>38845</v>
      </c>
      <c r="B1044" s="608">
        <v>3.0387</v>
      </c>
    </row>
    <row r="1045" spans="1:2">
      <c r="A1045" s="607">
        <v>38846</v>
      </c>
      <c r="B1045" s="608">
        <v>3.0398000000000001</v>
      </c>
    </row>
    <row r="1046" spans="1:2">
      <c r="A1046" s="607">
        <v>38847</v>
      </c>
      <c r="B1046" s="608">
        <v>3.0407000000000002</v>
      </c>
    </row>
    <row r="1047" spans="1:2">
      <c r="A1047" s="607">
        <v>38848</v>
      </c>
      <c r="B1047" s="608">
        <v>3.0373000000000001</v>
      </c>
    </row>
    <row r="1048" spans="1:2">
      <c r="A1048" s="607">
        <v>38849</v>
      </c>
      <c r="B1048" s="608">
        <v>3.0367000000000002</v>
      </c>
    </row>
    <row r="1049" spans="1:2">
      <c r="A1049" s="607">
        <v>38852</v>
      </c>
      <c r="B1049" s="608">
        <v>3.0407999999999999</v>
      </c>
    </row>
    <row r="1050" spans="1:2">
      <c r="A1050" s="607">
        <v>38853</v>
      </c>
      <c r="B1050" s="608">
        <v>3.0402</v>
      </c>
    </row>
    <row r="1051" spans="1:2">
      <c r="A1051" s="607">
        <v>38854</v>
      </c>
      <c r="B1051" s="608">
        <v>3.0453000000000001</v>
      </c>
    </row>
    <row r="1052" spans="1:2">
      <c r="A1052" s="607">
        <v>38855</v>
      </c>
      <c r="B1052" s="608">
        <v>3.0516999999999999</v>
      </c>
    </row>
    <row r="1053" spans="1:2">
      <c r="A1053" s="607">
        <v>38856</v>
      </c>
      <c r="B1053" s="608">
        <v>3.0550000000000002</v>
      </c>
    </row>
    <row r="1054" spans="1:2">
      <c r="A1054" s="607">
        <v>38859</v>
      </c>
      <c r="B1054" s="608">
        <v>3.0674999999999999</v>
      </c>
    </row>
    <row r="1055" spans="1:2">
      <c r="A1055" s="607">
        <v>38860</v>
      </c>
      <c r="B1055" s="608">
        <v>3.0687000000000002</v>
      </c>
    </row>
    <row r="1056" spans="1:2">
      <c r="A1056" s="607">
        <v>38861</v>
      </c>
      <c r="B1056" s="608">
        <v>3.0798000000000001</v>
      </c>
    </row>
    <row r="1057" spans="1:4">
      <c r="A1057" s="607">
        <v>38863</v>
      </c>
      <c r="B1057" s="608">
        <v>3.0697000000000001</v>
      </c>
    </row>
    <row r="1058" spans="1:4">
      <c r="A1058" s="607">
        <v>38866</v>
      </c>
      <c r="B1058" s="608">
        <v>3.0775000000000001</v>
      </c>
    </row>
    <row r="1059" spans="1:4">
      <c r="A1059" s="607">
        <v>38867</v>
      </c>
      <c r="B1059" s="608">
        <v>3.0808</v>
      </c>
      <c r="D1059" s="613">
        <v>38838</v>
      </c>
    </row>
    <row r="1060" spans="1:4" ht="16.5" thickBot="1">
      <c r="A1060" s="614">
        <v>38868</v>
      </c>
      <c r="B1060" s="611">
        <v>3.0868000000000002</v>
      </c>
      <c r="D1060" s="604">
        <v>3.0534809523809523</v>
      </c>
    </row>
    <row r="1061" spans="1:4">
      <c r="A1061" s="595">
        <v>38869</v>
      </c>
      <c r="B1061" s="596">
        <v>3.0802999999999998</v>
      </c>
    </row>
    <row r="1062" spans="1:4">
      <c r="A1062" s="607">
        <v>38870</v>
      </c>
      <c r="B1062" s="608">
        <v>3.0760000000000001</v>
      </c>
    </row>
    <row r="1063" spans="1:4">
      <c r="A1063" s="607">
        <v>38873</v>
      </c>
      <c r="B1063" s="608">
        <v>3.0779999999999998</v>
      </c>
    </row>
    <row r="1064" spans="1:4">
      <c r="A1064" s="607">
        <v>38874</v>
      </c>
      <c r="B1064" s="608">
        <v>3.0823</v>
      </c>
    </row>
    <row r="1065" spans="1:4">
      <c r="A1065" s="607">
        <v>38875</v>
      </c>
      <c r="B1065" s="608">
        <v>3.0804999999999998</v>
      </c>
    </row>
    <row r="1066" spans="1:4">
      <c r="A1066" s="607">
        <v>38876</v>
      </c>
      <c r="B1066" s="608">
        <v>3.0827</v>
      </c>
    </row>
    <row r="1067" spans="1:4">
      <c r="A1067" s="607">
        <v>38877</v>
      </c>
      <c r="B1067" s="608">
        <v>3.0813000000000001</v>
      </c>
    </row>
    <row r="1068" spans="1:4">
      <c r="A1068" s="607">
        <v>38880</v>
      </c>
      <c r="B1068" s="608">
        <v>3.0817000000000001</v>
      </c>
    </row>
    <row r="1069" spans="1:4">
      <c r="A1069" s="607">
        <v>38881</v>
      </c>
      <c r="B1069" s="608">
        <v>3.0821999999999998</v>
      </c>
    </row>
    <row r="1070" spans="1:4">
      <c r="A1070" s="607">
        <v>38882</v>
      </c>
      <c r="B1070" s="608">
        <v>3.081</v>
      </c>
    </row>
    <row r="1071" spans="1:4">
      <c r="A1071" s="607">
        <v>38883</v>
      </c>
      <c r="B1071" s="608">
        <v>3.0777999999999999</v>
      </c>
    </row>
    <row r="1072" spans="1:4">
      <c r="A1072" s="607">
        <v>38884</v>
      </c>
      <c r="B1072" s="608">
        <v>3.0785</v>
      </c>
    </row>
    <row r="1073" spans="1:4">
      <c r="A1073" s="607">
        <v>38888</v>
      </c>
      <c r="B1073" s="608">
        <v>3.0796999999999999</v>
      </c>
    </row>
    <row r="1074" spans="1:4">
      <c r="A1074" s="607">
        <v>38889</v>
      </c>
      <c r="B1074" s="608">
        <v>3.0767000000000002</v>
      </c>
    </row>
    <row r="1075" spans="1:4">
      <c r="A1075" s="607">
        <v>38890</v>
      </c>
      <c r="B1075" s="608">
        <v>3.0752999999999999</v>
      </c>
    </row>
    <row r="1076" spans="1:4">
      <c r="A1076" s="607">
        <v>38891</v>
      </c>
      <c r="B1076" s="608">
        <v>3.0804999999999998</v>
      </c>
    </row>
    <row r="1077" spans="1:4">
      <c r="A1077" s="607">
        <v>38894</v>
      </c>
      <c r="B1077" s="608">
        <v>3.0823</v>
      </c>
    </row>
    <row r="1078" spans="1:4">
      <c r="A1078" s="607">
        <v>38895</v>
      </c>
      <c r="B1078" s="608">
        <v>3.0884999999999998</v>
      </c>
    </row>
    <row r="1079" spans="1:4">
      <c r="A1079" s="607">
        <v>38896</v>
      </c>
      <c r="B1079" s="608">
        <v>3.0897999999999999</v>
      </c>
    </row>
    <row r="1080" spans="1:4">
      <c r="A1080" s="607">
        <v>38897</v>
      </c>
      <c r="B1080" s="608">
        <v>3.0867</v>
      </c>
      <c r="D1080" s="613">
        <v>38869</v>
      </c>
    </row>
    <row r="1081" spans="1:4" ht="16.5" thickBot="1">
      <c r="A1081" s="614">
        <v>38898</v>
      </c>
      <c r="B1081" s="611">
        <v>3.0848</v>
      </c>
      <c r="D1081" s="604">
        <v>3.0812666666666657</v>
      </c>
    </row>
    <row r="1082" spans="1:4">
      <c r="A1082" s="595">
        <v>38901</v>
      </c>
      <c r="B1082" s="596">
        <v>3.0844999999999998</v>
      </c>
    </row>
    <row r="1083" spans="1:4">
      <c r="A1083" s="607">
        <v>38902</v>
      </c>
      <c r="B1083" s="608">
        <v>3.0848</v>
      </c>
    </row>
    <row r="1084" spans="1:4">
      <c r="A1084" s="607">
        <v>38903</v>
      </c>
      <c r="B1084" s="608">
        <v>3.0857999999999999</v>
      </c>
    </row>
    <row r="1085" spans="1:4">
      <c r="A1085" s="607">
        <v>38904</v>
      </c>
      <c r="B1085" s="608">
        <v>3.0857999999999999</v>
      </c>
    </row>
    <row r="1086" spans="1:4">
      <c r="A1086" s="607">
        <v>38905</v>
      </c>
      <c r="B1086" s="608">
        <v>3.085</v>
      </c>
    </row>
    <row r="1087" spans="1:4">
      <c r="A1087" s="607">
        <v>38908</v>
      </c>
      <c r="B1087" s="608">
        <v>3.0865</v>
      </c>
    </row>
    <row r="1088" spans="1:4">
      <c r="A1088" s="607">
        <v>38909</v>
      </c>
      <c r="B1088" s="608">
        <v>3.0857000000000001</v>
      </c>
    </row>
    <row r="1089" spans="1:4">
      <c r="A1089" s="607">
        <v>38910</v>
      </c>
      <c r="B1089" s="608">
        <v>3.0823</v>
      </c>
    </row>
    <row r="1090" spans="1:4">
      <c r="A1090" s="607">
        <v>38911</v>
      </c>
      <c r="B1090" s="608">
        <v>3.0847000000000002</v>
      </c>
    </row>
    <row r="1091" spans="1:4">
      <c r="A1091" s="607">
        <v>38912</v>
      </c>
      <c r="B1091" s="608">
        <v>3.0842999999999998</v>
      </c>
    </row>
    <row r="1092" spans="1:4">
      <c r="A1092" s="607">
        <v>38915</v>
      </c>
      <c r="B1092" s="608">
        <v>3.0832000000000002</v>
      </c>
    </row>
    <row r="1093" spans="1:4">
      <c r="A1093" s="607">
        <v>38916</v>
      </c>
      <c r="B1093" s="608">
        <v>3.0817999999999999</v>
      </c>
    </row>
    <row r="1094" spans="1:4">
      <c r="A1094" s="607">
        <v>38917</v>
      </c>
      <c r="B1094" s="608">
        <v>3.0807000000000002</v>
      </c>
    </row>
    <row r="1095" spans="1:4">
      <c r="A1095" s="607">
        <v>38918</v>
      </c>
      <c r="B1095" s="608">
        <v>3.0802999999999998</v>
      </c>
    </row>
    <row r="1096" spans="1:4">
      <c r="A1096" s="607">
        <v>38919</v>
      </c>
      <c r="B1096" s="608">
        <v>3.0813000000000001</v>
      </c>
    </row>
    <row r="1097" spans="1:4">
      <c r="A1097" s="607">
        <v>38922</v>
      </c>
      <c r="B1097" s="608">
        <v>3.0817999999999999</v>
      </c>
    </row>
    <row r="1098" spans="1:4">
      <c r="A1098" s="607">
        <v>38923</v>
      </c>
      <c r="B1098" s="608">
        <v>3.0787</v>
      </c>
    </row>
    <row r="1099" spans="1:4">
      <c r="A1099" s="607">
        <v>38924</v>
      </c>
      <c r="B1099" s="608">
        <v>3.0760000000000001</v>
      </c>
    </row>
    <row r="1100" spans="1:4">
      <c r="A1100" s="607">
        <v>38925</v>
      </c>
      <c r="B1100" s="608">
        <v>3.0752000000000002</v>
      </c>
    </row>
    <row r="1101" spans="1:4">
      <c r="A1101" s="607">
        <v>38926</v>
      </c>
      <c r="B1101" s="608">
        <v>3.0779999999999998</v>
      </c>
      <c r="D1101" s="613">
        <v>38899</v>
      </c>
    </row>
    <row r="1102" spans="1:4" ht="16.5" thickBot="1">
      <c r="A1102" s="614">
        <v>38929</v>
      </c>
      <c r="B1102" s="611">
        <v>3.0748000000000002</v>
      </c>
      <c r="D1102" s="604">
        <v>3.0819619047619051</v>
      </c>
    </row>
    <row r="1103" spans="1:4">
      <c r="A1103" s="595">
        <v>38930</v>
      </c>
      <c r="B1103" s="596">
        <v>3.0708000000000002</v>
      </c>
    </row>
    <row r="1104" spans="1:4">
      <c r="A1104" s="607">
        <v>38931</v>
      </c>
      <c r="B1104" s="608">
        <v>3.0716999999999999</v>
      </c>
    </row>
    <row r="1105" spans="1:2">
      <c r="A1105" s="607">
        <v>38932</v>
      </c>
      <c r="B1105" s="608">
        <v>3.0705</v>
      </c>
    </row>
    <row r="1106" spans="1:2">
      <c r="A1106" s="607">
        <v>38933</v>
      </c>
      <c r="B1106" s="608">
        <v>3.0657999999999999</v>
      </c>
    </row>
    <row r="1107" spans="1:2">
      <c r="A1107" s="607">
        <v>38936</v>
      </c>
      <c r="B1107" s="608">
        <v>3.0705</v>
      </c>
    </row>
    <row r="1108" spans="1:2">
      <c r="A1108" s="607">
        <v>38937</v>
      </c>
      <c r="B1108" s="608">
        <v>3.0724999999999998</v>
      </c>
    </row>
    <row r="1109" spans="1:2">
      <c r="A1109" s="607">
        <v>38938</v>
      </c>
      <c r="B1109" s="608">
        <v>3.0697999999999999</v>
      </c>
    </row>
    <row r="1110" spans="1:2">
      <c r="A1110" s="607">
        <v>38939</v>
      </c>
      <c r="B1110" s="608">
        <v>3.0695000000000001</v>
      </c>
    </row>
    <row r="1111" spans="1:2">
      <c r="A1111" s="607">
        <v>38940</v>
      </c>
      <c r="B1111" s="608">
        <v>3.0691999999999999</v>
      </c>
    </row>
    <row r="1112" spans="1:2">
      <c r="A1112" s="607">
        <v>38943</v>
      </c>
      <c r="B1112" s="608">
        <v>3.0724999999999998</v>
      </c>
    </row>
    <row r="1113" spans="1:2">
      <c r="A1113" s="607">
        <v>38944</v>
      </c>
      <c r="B1113" s="608">
        <v>3.0760000000000001</v>
      </c>
    </row>
    <row r="1114" spans="1:2">
      <c r="A1114" s="607">
        <v>38945</v>
      </c>
      <c r="B1114" s="608">
        <v>3.0768</v>
      </c>
    </row>
    <row r="1115" spans="1:2">
      <c r="A1115" s="607">
        <v>38946</v>
      </c>
      <c r="B1115" s="608">
        <v>3.0754999999999999</v>
      </c>
    </row>
    <row r="1116" spans="1:2">
      <c r="A1116" s="607">
        <v>38947</v>
      </c>
      <c r="B1116" s="608">
        <v>3.0811999999999999</v>
      </c>
    </row>
    <row r="1117" spans="1:2">
      <c r="A1117" s="607">
        <v>38951</v>
      </c>
      <c r="B1117" s="608">
        <v>3.0838000000000001</v>
      </c>
    </row>
    <row r="1118" spans="1:2">
      <c r="A1118" s="607">
        <v>38952</v>
      </c>
      <c r="B1118" s="608">
        <v>3.0857999999999999</v>
      </c>
    </row>
    <row r="1119" spans="1:2">
      <c r="A1119" s="607">
        <v>38953</v>
      </c>
      <c r="B1119" s="608">
        <v>3.0859999999999999</v>
      </c>
    </row>
    <row r="1120" spans="1:2">
      <c r="A1120" s="607">
        <v>38954</v>
      </c>
      <c r="B1120" s="608">
        <v>3.0895000000000001</v>
      </c>
    </row>
    <row r="1121" spans="1:4">
      <c r="A1121" s="607">
        <v>38957</v>
      </c>
      <c r="B1121" s="608">
        <v>3.0952999999999999</v>
      </c>
    </row>
    <row r="1122" spans="1:4">
      <c r="A1122" s="607">
        <v>38958</v>
      </c>
      <c r="B1122" s="608">
        <v>3.093</v>
      </c>
    </row>
    <row r="1123" spans="1:4">
      <c r="A1123" s="607">
        <v>38959</v>
      </c>
      <c r="B1123" s="608">
        <v>3.0945</v>
      </c>
      <c r="D1123" s="613">
        <v>38930</v>
      </c>
    </row>
    <row r="1124" spans="1:4" ht="16.5" thickBot="1">
      <c r="A1124" s="614">
        <v>38960</v>
      </c>
      <c r="B1124" s="611">
        <v>3.0972</v>
      </c>
      <c r="D1124" s="604">
        <v>3.0789727272727272</v>
      </c>
    </row>
    <row r="1125" spans="1:4">
      <c r="A1125" s="595">
        <v>38961</v>
      </c>
      <c r="B1125" s="596">
        <v>3.0943000000000001</v>
      </c>
    </row>
    <row r="1126" spans="1:4">
      <c r="A1126" s="607">
        <v>38964</v>
      </c>
      <c r="B1126" s="608">
        <v>3.0948000000000002</v>
      </c>
    </row>
    <row r="1127" spans="1:4">
      <c r="A1127" s="607">
        <v>38965</v>
      </c>
      <c r="B1127" s="608">
        <v>3.0952999999999999</v>
      </c>
    </row>
    <row r="1128" spans="1:4">
      <c r="A1128" s="607">
        <v>38966</v>
      </c>
      <c r="B1128" s="608">
        <v>3.1002999999999998</v>
      </c>
    </row>
    <row r="1129" spans="1:4">
      <c r="A1129" s="607">
        <v>38967</v>
      </c>
      <c r="B1129" s="608">
        <v>3.1023000000000001</v>
      </c>
    </row>
    <row r="1130" spans="1:4">
      <c r="A1130" s="607">
        <v>38968</v>
      </c>
      <c r="B1130" s="608">
        <v>3.0990000000000002</v>
      </c>
    </row>
    <row r="1131" spans="1:4">
      <c r="A1131" s="607">
        <v>38971</v>
      </c>
      <c r="B1131" s="608">
        <v>3.1015000000000001</v>
      </c>
    </row>
    <row r="1132" spans="1:4">
      <c r="A1132" s="607">
        <v>38972</v>
      </c>
      <c r="B1132" s="608">
        <v>3.105</v>
      </c>
    </row>
    <row r="1133" spans="1:4">
      <c r="A1133" s="607">
        <v>38973</v>
      </c>
      <c r="B1133" s="608">
        <v>3.1067999999999998</v>
      </c>
    </row>
    <row r="1134" spans="1:4">
      <c r="A1134" s="607">
        <v>38974</v>
      </c>
      <c r="B1134" s="608">
        <v>3.101</v>
      </c>
    </row>
    <row r="1135" spans="1:4">
      <c r="A1135" s="607">
        <v>38975</v>
      </c>
      <c r="B1135" s="608">
        <v>3.0983000000000001</v>
      </c>
    </row>
    <row r="1136" spans="1:4">
      <c r="A1136" s="607">
        <v>38978</v>
      </c>
      <c r="B1136" s="608">
        <v>3.0977999999999999</v>
      </c>
    </row>
    <row r="1137" spans="1:4">
      <c r="A1137" s="607">
        <v>38979</v>
      </c>
      <c r="B1137" s="608">
        <v>3.0972</v>
      </c>
    </row>
    <row r="1138" spans="1:4">
      <c r="A1138" s="607">
        <v>38980</v>
      </c>
      <c r="B1138" s="608">
        <v>3.0988000000000002</v>
      </c>
    </row>
    <row r="1139" spans="1:4">
      <c r="A1139" s="607">
        <v>38981</v>
      </c>
      <c r="B1139" s="608">
        <v>3.0994999999999999</v>
      </c>
    </row>
    <row r="1140" spans="1:4">
      <c r="A1140" s="607">
        <v>38982</v>
      </c>
      <c r="B1140" s="608">
        <v>3.0998000000000001</v>
      </c>
    </row>
    <row r="1141" spans="1:4">
      <c r="A1141" s="607">
        <v>38985</v>
      </c>
      <c r="B1141" s="608">
        <v>3.0981999999999998</v>
      </c>
    </row>
    <row r="1142" spans="1:4">
      <c r="A1142" s="607">
        <v>38986</v>
      </c>
      <c r="B1142" s="608">
        <v>3.1008</v>
      </c>
    </row>
    <row r="1143" spans="1:4">
      <c r="A1143" s="607">
        <v>38987</v>
      </c>
      <c r="B1143" s="608">
        <v>3.1032000000000002</v>
      </c>
    </row>
    <row r="1144" spans="1:4">
      <c r="A1144" s="607">
        <v>38988</v>
      </c>
      <c r="B1144" s="608">
        <v>3.1032999999999999</v>
      </c>
      <c r="D1144" s="613">
        <v>38961</v>
      </c>
    </row>
    <row r="1145" spans="1:4" ht="16.5" thickBot="1">
      <c r="A1145" s="615">
        <v>38989</v>
      </c>
      <c r="B1145" s="610">
        <v>3.1042999999999998</v>
      </c>
      <c r="D1145" s="604">
        <v>3.1000714285714279</v>
      </c>
    </row>
    <row r="1146" spans="1:4">
      <c r="A1146" s="595">
        <v>38992</v>
      </c>
      <c r="B1146" s="596">
        <v>3.1023000000000001</v>
      </c>
    </row>
    <row r="1147" spans="1:4">
      <c r="A1147" s="599">
        <v>38993</v>
      </c>
      <c r="B1147" s="600">
        <v>3.1032999999999999</v>
      </c>
    </row>
    <row r="1148" spans="1:4">
      <c r="A1148" s="599">
        <v>38994</v>
      </c>
      <c r="B1148" s="600">
        <v>3.1055000000000001</v>
      </c>
    </row>
    <row r="1149" spans="1:4">
      <c r="A1149" s="599">
        <v>38995</v>
      </c>
      <c r="B1149" s="600">
        <v>3.1042000000000001</v>
      </c>
    </row>
    <row r="1150" spans="1:4">
      <c r="A1150" s="599">
        <v>38996</v>
      </c>
      <c r="B1150" s="600">
        <v>3.1057999999999999</v>
      </c>
    </row>
    <row r="1151" spans="1:4">
      <c r="A1151" s="599">
        <v>38999</v>
      </c>
      <c r="B1151" s="600">
        <v>3.1061999999999999</v>
      </c>
    </row>
    <row r="1152" spans="1:4">
      <c r="A1152" s="599">
        <v>39000</v>
      </c>
      <c r="B1152" s="600">
        <v>3.1059999999999999</v>
      </c>
    </row>
    <row r="1153" spans="1:4">
      <c r="A1153" s="599">
        <v>39001</v>
      </c>
      <c r="B1153" s="600">
        <v>3.1072000000000002</v>
      </c>
    </row>
    <row r="1154" spans="1:4">
      <c r="A1154" s="599">
        <v>39002</v>
      </c>
      <c r="B1154" s="600">
        <v>3.1052</v>
      </c>
    </row>
    <row r="1155" spans="1:4">
      <c r="A1155" s="599">
        <v>39003</v>
      </c>
      <c r="B1155" s="600">
        <v>3.1027999999999998</v>
      </c>
    </row>
    <row r="1156" spans="1:4">
      <c r="A1156" s="599">
        <v>39007</v>
      </c>
      <c r="B1156" s="600">
        <v>3.1019999999999999</v>
      </c>
    </row>
    <row r="1157" spans="1:4">
      <c r="A1157" s="599">
        <v>39008</v>
      </c>
      <c r="B1157" s="600">
        <v>3.0956999999999999</v>
      </c>
    </row>
    <row r="1158" spans="1:4">
      <c r="A1158" s="599">
        <v>39009</v>
      </c>
      <c r="B1158" s="600">
        <v>3.09</v>
      </c>
    </row>
    <row r="1159" spans="1:4">
      <c r="A1159" s="599">
        <v>39010</v>
      </c>
      <c r="B1159" s="600">
        <v>3.0910000000000002</v>
      </c>
    </row>
    <row r="1160" spans="1:4">
      <c r="A1160" s="599">
        <v>39013</v>
      </c>
      <c r="B1160" s="600">
        <v>3.0908000000000002</v>
      </c>
    </row>
    <row r="1161" spans="1:4">
      <c r="A1161" s="599">
        <v>39014</v>
      </c>
      <c r="B1161" s="600">
        <v>3.0897000000000001</v>
      </c>
    </row>
    <row r="1162" spans="1:4">
      <c r="A1162" s="599">
        <v>39015</v>
      </c>
      <c r="B1162" s="600">
        <v>3.0920000000000001</v>
      </c>
    </row>
    <row r="1163" spans="1:4">
      <c r="A1163" s="599">
        <v>39016</v>
      </c>
      <c r="B1163" s="600">
        <v>3.0907</v>
      </c>
    </row>
    <row r="1164" spans="1:4">
      <c r="A1164" s="599">
        <v>39017</v>
      </c>
      <c r="B1164" s="600">
        <v>3.089</v>
      </c>
    </row>
    <row r="1165" spans="1:4">
      <c r="A1165" s="599">
        <v>39020</v>
      </c>
      <c r="B1165" s="600">
        <v>3.0952999999999999</v>
      </c>
      <c r="D1165" s="613">
        <v>38991</v>
      </c>
    </row>
    <row r="1166" spans="1:4" ht="16.5" thickBot="1">
      <c r="A1166" s="605">
        <v>39021</v>
      </c>
      <c r="B1166" s="606">
        <v>3.0933000000000002</v>
      </c>
      <c r="D1166" s="604">
        <v>3.0984761904761902</v>
      </c>
    </row>
    <row r="1167" spans="1:4">
      <c r="A1167" s="595">
        <v>39022</v>
      </c>
      <c r="B1167" s="596">
        <v>3.0886999999999998</v>
      </c>
    </row>
    <row r="1168" spans="1:4">
      <c r="A1168" s="599">
        <v>39023</v>
      </c>
      <c r="B1168" s="600">
        <v>3.0857999999999999</v>
      </c>
    </row>
    <row r="1169" spans="1:2">
      <c r="A1169" s="599">
        <v>39024</v>
      </c>
      <c r="B1169" s="600">
        <v>3.0830000000000002</v>
      </c>
    </row>
    <row r="1170" spans="1:2">
      <c r="A1170" s="599">
        <v>39028</v>
      </c>
      <c r="B1170" s="600">
        <v>3.0802999999999998</v>
      </c>
    </row>
    <row r="1171" spans="1:2">
      <c r="A1171" s="599">
        <v>39029</v>
      </c>
      <c r="B1171" s="600">
        <v>3.0722</v>
      </c>
    </row>
    <row r="1172" spans="1:2">
      <c r="A1172" s="599">
        <v>39030</v>
      </c>
      <c r="B1172" s="600">
        <v>3.0687000000000002</v>
      </c>
    </row>
    <row r="1173" spans="1:2">
      <c r="A1173" s="599">
        <v>39031</v>
      </c>
      <c r="B1173" s="600">
        <v>3.0710000000000002</v>
      </c>
    </row>
    <row r="1174" spans="1:2">
      <c r="A1174" s="599">
        <v>39034</v>
      </c>
      <c r="B1174" s="600">
        <v>3.0760000000000001</v>
      </c>
    </row>
    <row r="1175" spans="1:2">
      <c r="A1175" s="599">
        <v>39035</v>
      </c>
      <c r="B1175" s="600">
        <v>3.0752999999999999</v>
      </c>
    </row>
    <row r="1176" spans="1:2">
      <c r="A1176" s="599">
        <v>39036</v>
      </c>
      <c r="B1176" s="600">
        <v>3.0691999999999999</v>
      </c>
    </row>
    <row r="1177" spans="1:2">
      <c r="A1177" s="599">
        <v>39037</v>
      </c>
      <c r="B1177" s="600">
        <v>3.0680000000000001</v>
      </c>
    </row>
    <row r="1178" spans="1:2">
      <c r="A1178" s="599">
        <v>39038</v>
      </c>
      <c r="B1178" s="600">
        <v>3.0731999999999999</v>
      </c>
    </row>
    <row r="1179" spans="1:2">
      <c r="A1179" s="599">
        <v>39041</v>
      </c>
      <c r="B1179" s="600">
        <v>3.0737999999999999</v>
      </c>
    </row>
    <row r="1180" spans="1:2">
      <c r="A1180" s="599">
        <v>39042</v>
      </c>
      <c r="B1180" s="600">
        <v>3.0790000000000002</v>
      </c>
    </row>
    <row r="1181" spans="1:2">
      <c r="A1181" s="599">
        <v>39043</v>
      </c>
      <c r="B1181" s="600">
        <v>3.0785</v>
      </c>
    </row>
    <row r="1182" spans="1:2">
      <c r="A1182" s="599">
        <v>39044</v>
      </c>
      <c r="B1182" s="600">
        <v>3.0727000000000002</v>
      </c>
    </row>
    <row r="1183" spans="1:2">
      <c r="A1183" s="599">
        <v>39045</v>
      </c>
      <c r="B1183" s="600">
        <v>3.0735000000000001</v>
      </c>
    </row>
    <row r="1184" spans="1:2">
      <c r="A1184" s="599">
        <v>39048</v>
      </c>
      <c r="B1184" s="600">
        <v>3.077</v>
      </c>
    </row>
    <row r="1185" spans="1:4">
      <c r="A1185" s="599">
        <v>39049</v>
      </c>
      <c r="B1185" s="600">
        <v>3.0790000000000002</v>
      </c>
    </row>
    <row r="1186" spans="1:4">
      <c r="A1186" s="599">
        <v>39050</v>
      </c>
      <c r="B1186" s="600">
        <v>3.0762999999999998</v>
      </c>
      <c r="D1186" s="613">
        <v>39022</v>
      </c>
    </row>
    <row r="1187" spans="1:4" ht="16.5" thickBot="1">
      <c r="A1187" s="605">
        <v>39051</v>
      </c>
      <c r="B1187" s="606">
        <v>3.0693000000000001</v>
      </c>
      <c r="D1187" s="604">
        <v>3.075738095238095</v>
      </c>
    </row>
    <row r="1188" spans="1:4">
      <c r="A1188" s="595">
        <v>39052</v>
      </c>
      <c r="B1188" s="596">
        <v>3.0659999999999998</v>
      </c>
    </row>
    <row r="1189" spans="1:4">
      <c r="A1189" s="607">
        <v>39055</v>
      </c>
      <c r="B1189" s="600">
        <v>3.0630000000000002</v>
      </c>
    </row>
    <row r="1190" spans="1:4">
      <c r="A1190" s="607">
        <v>39056</v>
      </c>
      <c r="B1190" s="600">
        <v>3.0562999999999998</v>
      </c>
    </row>
    <row r="1191" spans="1:4">
      <c r="A1191" s="607">
        <v>39057</v>
      </c>
      <c r="B1191" s="600">
        <v>3.0562</v>
      </c>
    </row>
    <row r="1192" spans="1:4">
      <c r="A1192" s="607">
        <v>39058</v>
      </c>
      <c r="B1192" s="600">
        <v>3.0592999999999999</v>
      </c>
    </row>
    <row r="1193" spans="1:4">
      <c r="A1193" s="607">
        <v>39062</v>
      </c>
      <c r="B1193" s="600">
        <v>3.0607000000000002</v>
      </c>
    </row>
    <row r="1194" spans="1:4">
      <c r="A1194" s="607">
        <v>39063</v>
      </c>
      <c r="B1194" s="600">
        <v>3.0562</v>
      </c>
    </row>
    <row r="1195" spans="1:4">
      <c r="A1195" s="607">
        <v>39064</v>
      </c>
      <c r="B1195" s="600">
        <v>3.0556999999999999</v>
      </c>
    </row>
    <row r="1196" spans="1:4">
      <c r="A1196" s="607">
        <v>39065</v>
      </c>
      <c r="B1196" s="600">
        <v>3.0577999999999999</v>
      </c>
    </row>
    <row r="1197" spans="1:4">
      <c r="A1197" s="607">
        <v>39066</v>
      </c>
      <c r="B1197" s="600">
        <v>3.0573000000000001</v>
      </c>
    </row>
    <row r="1198" spans="1:4">
      <c r="A1198" s="607">
        <v>39069</v>
      </c>
      <c r="B1198" s="600">
        <v>3.0568</v>
      </c>
    </row>
    <row r="1199" spans="1:4">
      <c r="A1199" s="607">
        <v>39070</v>
      </c>
      <c r="B1199" s="600">
        <v>3.0577999999999999</v>
      </c>
    </row>
    <row r="1200" spans="1:4">
      <c r="A1200" s="607">
        <v>39071</v>
      </c>
      <c r="B1200" s="600">
        <v>3.0529999999999999</v>
      </c>
    </row>
    <row r="1201" spans="1:4">
      <c r="A1201" s="607">
        <v>39072</v>
      </c>
      <c r="B1201" s="600">
        <v>3.0491999999999999</v>
      </c>
    </row>
    <row r="1202" spans="1:4">
      <c r="A1202" s="607">
        <v>39073</v>
      </c>
      <c r="B1202" s="600">
        <v>3.0516999999999999</v>
      </c>
    </row>
    <row r="1203" spans="1:4">
      <c r="A1203" s="607">
        <v>39077</v>
      </c>
      <c r="B1203" s="600">
        <v>3.0661999999999998</v>
      </c>
    </row>
    <row r="1204" spans="1:4">
      <c r="A1204" s="607">
        <v>39078</v>
      </c>
      <c r="B1204" s="600">
        <v>3.0792000000000002</v>
      </c>
    </row>
    <row r="1205" spans="1:4">
      <c r="A1205" s="607">
        <v>39079</v>
      </c>
      <c r="B1205" s="600">
        <v>3.0731999999999999</v>
      </c>
      <c r="D1205" s="613">
        <v>39052</v>
      </c>
    </row>
    <row r="1206" spans="1:4" ht="16.5" thickBot="1">
      <c r="A1206" s="614">
        <v>39080</v>
      </c>
      <c r="B1206" s="612">
        <v>3.0695000000000001</v>
      </c>
      <c r="D1206" s="604">
        <v>3.0602684210526312</v>
      </c>
    </row>
    <row r="1207" spans="1:4">
      <c r="A1207" s="595">
        <v>39084</v>
      </c>
      <c r="B1207" s="596">
        <v>3.0577000000000001</v>
      </c>
    </row>
    <row r="1208" spans="1:4">
      <c r="A1208" s="607">
        <v>39085</v>
      </c>
      <c r="B1208" s="600">
        <v>3.0552999999999999</v>
      </c>
    </row>
    <row r="1209" spans="1:4">
      <c r="A1209" s="607">
        <v>39086</v>
      </c>
      <c r="B1209" s="600">
        <v>3.07</v>
      </c>
    </row>
    <row r="1210" spans="1:4">
      <c r="A1210" s="607">
        <v>39087</v>
      </c>
      <c r="B1210" s="600">
        <v>3.0771999999999999</v>
      </c>
    </row>
    <row r="1211" spans="1:4">
      <c r="A1211" s="607">
        <v>39090</v>
      </c>
      <c r="B1211" s="600">
        <v>3.0802</v>
      </c>
    </row>
    <row r="1212" spans="1:4">
      <c r="A1212" s="607">
        <v>39091</v>
      </c>
      <c r="B1212" s="600">
        <v>3.0832000000000002</v>
      </c>
    </row>
    <row r="1213" spans="1:4">
      <c r="A1213" s="607">
        <v>39092</v>
      </c>
      <c r="B1213" s="600">
        <v>3.0840000000000001</v>
      </c>
    </row>
    <row r="1214" spans="1:4">
      <c r="A1214" s="607">
        <v>39093</v>
      </c>
      <c r="B1214" s="600">
        <v>3.0804999999999998</v>
      </c>
    </row>
    <row r="1215" spans="1:4">
      <c r="A1215" s="607">
        <v>39094</v>
      </c>
      <c r="B1215" s="600">
        <v>3.0811999999999999</v>
      </c>
    </row>
    <row r="1216" spans="1:4">
      <c r="A1216" s="607">
        <v>39097</v>
      </c>
      <c r="B1216" s="600">
        <v>3.0788000000000002</v>
      </c>
    </row>
    <row r="1217" spans="1:4">
      <c r="A1217" s="607">
        <v>39098</v>
      </c>
      <c r="B1217" s="600">
        <v>3.0804999999999998</v>
      </c>
    </row>
    <row r="1218" spans="1:4">
      <c r="A1218" s="607">
        <v>39099</v>
      </c>
      <c r="B1218" s="600">
        <v>3.0781999999999998</v>
      </c>
    </row>
    <row r="1219" spans="1:4">
      <c r="A1219" s="607">
        <v>39100</v>
      </c>
      <c r="B1219" s="600">
        <v>3.0792999999999999</v>
      </c>
    </row>
    <row r="1220" spans="1:4">
      <c r="A1220" s="607">
        <v>39101</v>
      </c>
      <c r="B1220" s="600">
        <v>3.0844999999999998</v>
      </c>
    </row>
    <row r="1221" spans="1:4">
      <c r="A1221" s="607">
        <v>39104</v>
      </c>
      <c r="B1221" s="600">
        <v>3.0882999999999998</v>
      </c>
    </row>
    <row r="1222" spans="1:4">
      <c r="A1222" s="607">
        <v>39105</v>
      </c>
      <c r="B1222" s="600">
        <v>3.0972</v>
      </c>
    </row>
    <row r="1223" spans="1:4">
      <c r="A1223" s="607">
        <v>39106</v>
      </c>
      <c r="B1223" s="600">
        <v>3.0975000000000001</v>
      </c>
    </row>
    <row r="1224" spans="1:4">
      <c r="A1224" s="607">
        <v>39107</v>
      </c>
      <c r="B1224" s="600">
        <v>3.0948000000000002</v>
      </c>
    </row>
    <row r="1225" spans="1:4">
      <c r="A1225" s="607">
        <v>39108</v>
      </c>
      <c r="B1225" s="600">
        <v>3.1032000000000002</v>
      </c>
    </row>
    <row r="1226" spans="1:4">
      <c r="A1226" s="607">
        <v>39111</v>
      </c>
      <c r="B1226" s="600">
        <v>3.1067999999999998</v>
      </c>
    </row>
    <row r="1227" spans="1:4">
      <c r="A1227" s="607">
        <v>39112</v>
      </c>
      <c r="B1227" s="600">
        <v>3.1061999999999999</v>
      </c>
      <c r="D1227" s="613">
        <v>39083</v>
      </c>
    </row>
    <row r="1228" spans="1:4" ht="16.5" thickBot="1">
      <c r="A1228" s="614">
        <v>39113</v>
      </c>
      <c r="B1228" s="606">
        <v>3.1063000000000001</v>
      </c>
      <c r="D1228" s="604">
        <v>3.0850409090909094</v>
      </c>
    </row>
    <row r="1229" spans="1:4">
      <c r="A1229" s="595">
        <v>39114</v>
      </c>
      <c r="B1229" s="596">
        <v>3.1040000000000001</v>
      </c>
    </row>
    <row r="1230" spans="1:4">
      <c r="A1230" s="607">
        <v>39115</v>
      </c>
      <c r="B1230" s="600">
        <v>3.0988000000000002</v>
      </c>
    </row>
    <row r="1231" spans="1:4">
      <c r="A1231" s="607">
        <v>39118</v>
      </c>
      <c r="B1231" s="600">
        <v>3.1002000000000001</v>
      </c>
    </row>
    <row r="1232" spans="1:4">
      <c r="A1232" s="607">
        <v>39119</v>
      </c>
      <c r="B1232" s="600">
        <v>3.1032999999999999</v>
      </c>
    </row>
    <row r="1233" spans="1:4">
      <c r="A1233" s="607">
        <v>39120</v>
      </c>
      <c r="B1233" s="600">
        <v>3.1008</v>
      </c>
    </row>
    <row r="1234" spans="1:4">
      <c r="A1234" s="607">
        <v>39121</v>
      </c>
      <c r="B1234" s="600">
        <v>3.1044999999999998</v>
      </c>
    </row>
    <row r="1235" spans="1:4">
      <c r="A1235" s="607">
        <v>39122</v>
      </c>
      <c r="B1235" s="600">
        <v>3.1044999999999998</v>
      </c>
    </row>
    <row r="1236" spans="1:4">
      <c r="A1236" s="607">
        <v>39125</v>
      </c>
      <c r="B1236" s="600">
        <v>3.1057999999999999</v>
      </c>
    </row>
    <row r="1237" spans="1:4">
      <c r="A1237" s="607">
        <v>39126</v>
      </c>
      <c r="B1237" s="600">
        <v>3.1008</v>
      </c>
    </row>
    <row r="1238" spans="1:4">
      <c r="A1238" s="607">
        <v>39127</v>
      </c>
      <c r="B1238" s="600">
        <v>3.0994999999999999</v>
      </c>
    </row>
    <row r="1239" spans="1:4">
      <c r="A1239" s="607">
        <v>39128</v>
      </c>
      <c r="B1239" s="600">
        <v>3.0975000000000001</v>
      </c>
    </row>
    <row r="1240" spans="1:4">
      <c r="A1240" s="607">
        <v>39129</v>
      </c>
      <c r="B1240" s="600">
        <v>3.1034999999999999</v>
      </c>
    </row>
    <row r="1241" spans="1:4">
      <c r="A1241" s="607">
        <v>39132</v>
      </c>
      <c r="B1241" s="600">
        <v>3.1034999999999999</v>
      </c>
    </row>
    <row r="1242" spans="1:4">
      <c r="A1242" s="607">
        <v>39133</v>
      </c>
      <c r="B1242" s="600">
        <v>3.1044999999999998</v>
      </c>
    </row>
    <row r="1243" spans="1:4">
      <c r="A1243" s="607">
        <v>39134</v>
      </c>
      <c r="B1243" s="600">
        <v>3.1038000000000001</v>
      </c>
    </row>
    <row r="1244" spans="1:4">
      <c r="A1244" s="607">
        <v>39135</v>
      </c>
      <c r="B1244" s="600">
        <v>3.1046999999999998</v>
      </c>
    </row>
    <row r="1245" spans="1:4">
      <c r="A1245" s="607">
        <v>39136</v>
      </c>
      <c r="B1245" s="600">
        <v>3.1038000000000001</v>
      </c>
    </row>
    <row r="1246" spans="1:4">
      <c r="A1246" s="607">
        <v>39139</v>
      </c>
      <c r="B1246" s="600">
        <v>3.1040000000000001</v>
      </c>
    </row>
    <row r="1247" spans="1:4">
      <c r="A1247" s="607">
        <v>39140</v>
      </c>
      <c r="B1247" s="600">
        <v>3.1040000000000001</v>
      </c>
      <c r="D1247" s="613">
        <v>39114</v>
      </c>
    </row>
    <row r="1248" spans="1:4" ht="16.5" thickBot="1">
      <c r="A1248" s="614">
        <v>39141</v>
      </c>
      <c r="B1248" s="606">
        <v>3.101</v>
      </c>
      <c r="D1248" s="604">
        <v>3.1026249999999997</v>
      </c>
    </row>
    <row r="1249" spans="1:2">
      <c r="A1249" s="595">
        <v>39142</v>
      </c>
      <c r="B1249" s="596">
        <v>3.1002000000000001</v>
      </c>
    </row>
    <row r="1250" spans="1:2">
      <c r="A1250" s="607">
        <v>39143</v>
      </c>
      <c r="B1250" s="600">
        <v>3.0962999999999998</v>
      </c>
    </row>
    <row r="1251" spans="1:2">
      <c r="A1251" s="607">
        <v>39146</v>
      </c>
      <c r="B1251" s="600">
        <v>3.1015000000000001</v>
      </c>
    </row>
    <row r="1252" spans="1:2">
      <c r="A1252" s="607">
        <v>39147</v>
      </c>
      <c r="B1252" s="600">
        <v>3.101</v>
      </c>
    </row>
    <row r="1253" spans="1:2">
      <c r="A1253" s="607">
        <v>39148</v>
      </c>
      <c r="B1253" s="600">
        <v>3.1032999999999999</v>
      </c>
    </row>
    <row r="1254" spans="1:2">
      <c r="A1254" s="607">
        <v>39149</v>
      </c>
      <c r="B1254" s="600">
        <v>3.1038000000000001</v>
      </c>
    </row>
    <row r="1255" spans="1:2">
      <c r="A1255" s="607">
        <v>39150</v>
      </c>
      <c r="B1255" s="600">
        <v>3.1040000000000001</v>
      </c>
    </row>
    <row r="1256" spans="1:2">
      <c r="A1256" s="607">
        <v>39153</v>
      </c>
      <c r="B1256" s="600">
        <v>3.1046999999999998</v>
      </c>
    </row>
    <row r="1257" spans="1:2">
      <c r="A1257" s="607">
        <v>39154</v>
      </c>
      <c r="B1257" s="600">
        <v>3.1023000000000001</v>
      </c>
    </row>
    <row r="1258" spans="1:2">
      <c r="A1258" s="607">
        <v>39155</v>
      </c>
      <c r="B1258" s="600">
        <v>3.0987</v>
      </c>
    </row>
    <row r="1259" spans="1:2">
      <c r="A1259" s="607">
        <v>39156</v>
      </c>
      <c r="B1259" s="600">
        <v>3.0975000000000001</v>
      </c>
    </row>
    <row r="1260" spans="1:2">
      <c r="A1260" s="607">
        <v>39157</v>
      </c>
      <c r="B1260" s="600">
        <v>3.097</v>
      </c>
    </row>
    <row r="1261" spans="1:2">
      <c r="A1261" s="607">
        <v>39160</v>
      </c>
      <c r="B1261" s="600">
        <v>3.0994999999999999</v>
      </c>
    </row>
    <row r="1262" spans="1:2">
      <c r="A1262" s="607">
        <v>39161</v>
      </c>
      <c r="B1262" s="600">
        <v>3.1</v>
      </c>
    </row>
    <row r="1263" spans="1:2">
      <c r="A1263" s="607">
        <v>39162</v>
      </c>
      <c r="B1263" s="600">
        <v>3.0996999999999999</v>
      </c>
    </row>
    <row r="1264" spans="1:2">
      <c r="A1264" s="607">
        <v>39163</v>
      </c>
      <c r="B1264" s="600">
        <v>3.0988000000000002</v>
      </c>
    </row>
    <row r="1265" spans="1:4">
      <c r="A1265" s="607">
        <v>39164</v>
      </c>
      <c r="B1265" s="600">
        <v>3.0988000000000002</v>
      </c>
    </row>
    <row r="1266" spans="1:4">
      <c r="A1266" s="607">
        <v>39167</v>
      </c>
      <c r="B1266" s="600">
        <v>3.1019999999999999</v>
      </c>
    </row>
    <row r="1267" spans="1:4">
      <c r="A1267" s="607">
        <v>39168</v>
      </c>
      <c r="B1267" s="600">
        <v>3.1057999999999999</v>
      </c>
    </row>
    <row r="1268" spans="1:4">
      <c r="A1268" s="607">
        <v>39169</v>
      </c>
      <c r="B1268" s="600">
        <v>3.1059999999999999</v>
      </c>
    </row>
    <row r="1269" spans="1:4">
      <c r="A1269" s="607">
        <v>39170</v>
      </c>
      <c r="B1269" s="600">
        <v>3.1013000000000002</v>
      </c>
      <c r="D1269" s="613">
        <v>39142</v>
      </c>
    </row>
    <row r="1270" spans="1:4" ht="16.5" thickBot="1">
      <c r="A1270" s="614">
        <v>39171</v>
      </c>
      <c r="B1270" s="606">
        <v>3.1006999999999998</v>
      </c>
      <c r="D1270" s="604">
        <v>3.101040909090909</v>
      </c>
    </row>
    <row r="1271" spans="1:4">
      <c r="A1271" s="595">
        <v>39175</v>
      </c>
      <c r="B1271" s="596">
        <v>3.1006999999999998</v>
      </c>
    </row>
    <row r="1272" spans="1:4">
      <c r="A1272" s="607">
        <v>39176</v>
      </c>
      <c r="B1272" s="600">
        <v>3.1008</v>
      </c>
    </row>
    <row r="1273" spans="1:4">
      <c r="A1273" s="607">
        <v>39181</v>
      </c>
      <c r="B1273" s="600">
        <v>3.0968</v>
      </c>
    </row>
    <row r="1274" spans="1:4">
      <c r="A1274" s="607">
        <v>39182</v>
      </c>
      <c r="B1274" s="600">
        <v>3.0945</v>
      </c>
    </row>
    <row r="1275" spans="1:4">
      <c r="A1275" s="607">
        <v>39183</v>
      </c>
      <c r="B1275" s="600">
        <v>3.0918000000000001</v>
      </c>
    </row>
    <row r="1276" spans="1:4">
      <c r="A1276" s="607">
        <v>39184</v>
      </c>
      <c r="B1276" s="600">
        <v>3.0855000000000001</v>
      </c>
    </row>
    <row r="1277" spans="1:4">
      <c r="A1277" s="607">
        <v>39185</v>
      </c>
      <c r="B1277" s="600">
        <v>3.089</v>
      </c>
    </row>
    <row r="1278" spans="1:4">
      <c r="A1278" s="607">
        <v>39188</v>
      </c>
      <c r="B1278" s="600">
        <v>3.0884999999999998</v>
      </c>
    </row>
    <row r="1279" spans="1:4">
      <c r="A1279" s="607">
        <v>39189</v>
      </c>
      <c r="B1279" s="600">
        <v>3.0834999999999999</v>
      </c>
    </row>
    <row r="1280" spans="1:4">
      <c r="A1280" s="607">
        <v>39190</v>
      </c>
      <c r="B1280" s="600">
        <v>3.0808</v>
      </c>
    </row>
    <row r="1281" spans="1:4">
      <c r="A1281" s="607">
        <v>39191</v>
      </c>
      <c r="B1281" s="600">
        <v>3.0865</v>
      </c>
    </row>
    <row r="1282" spans="1:4">
      <c r="A1282" s="607">
        <v>39192</v>
      </c>
      <c r="B1282" s="600">
        <v>3.0870000000000002</v>
      </c>
    </row>
    <row r="1283" spans="1:4">
      <c r="A1283" s="607">
        <v>39195</v>
      </c>
      <c r="B1283" s="600">
        <v>3.0861999999999998</v>
      </c>
    </row>
    <row r="1284" spans="1:4">
      <c r="A1284" s="607">
        <v>39196</v>
      </c>
      <c r="B1284" s="600">
        <v>3.0808</v>
      </c>
    </row>
    <row r="1285" spans="1:4">
      <c r="A1285" s="607">
        <v>39197</v>
      </c>
      <c r="B1285" s="600">
        <v>3.0838000000000001</v>
      </c>
    </row>
    <row r="1286" spans="1:4">
      <c r="A1286" s="607">
        <v>39198</v>
      </c>
      <c r="B1286" s="600">
        <v>3.0868000000000002</v>
      </c>
    </row>
    <row r="1287" spans="1:4">
      <c r="A1287" s="607">
        <v>39199</v>
      </c>
      <c r="B1287" s="600">
        <v>3.0901999999999998</v>
      </c>
      <c r="D1287" s="613">
        <v>39173</v>
      </c>
    </row>
    <row r="1288" spans="1:4" ht="16.5" thickBot="1">
      <c r="A1288" s="614">
        <v>39202</v>
      </c>
      <c r="B1288" s="606">
        <v>3.0897999999999999</v>
      </c>
      <c r="D1288" s="604">
        <v>3.089055555555555</v>
      </c>
    </row>
    <row r="1289" spans="1:4">
      <c r="A1289" s="595">
        <v>39204</v>
      </c>
      <c r="B1289" s="596">
        <v>3.0848</v>
      </c>
    </row>
    <row r="1290" spans="1:4">
      <c r="A1290" s="607">
        <v>39205</v>
      </c>
      <c r="B1290" s="600">
        <v>3.0851999999999999</v>
      </c>
    </row>
    <row r="1291" spans="1:4">
      <c r="A1291" s="607">
        <v>39206</v>
      </c>
      <c r="B1291" s="600">
        <v>3.0825</v>
      </c>
    </row>
    <row r="1292" spans="1:4">
      <c r="A1292" s="607">
        <v>39209</v>
      </c>
      <c r="B1292" s="600">
        <v>3.0804999999999998</v>
      </c>
    </row>
    <row r="1293" spans="1:4">
      <c r="A1293" s="607">
        <v>39210</v>
      </c>
      <c r="B1293" s="600">
        <v>3.0804999999999998</v>
      </c>
    </row>
    <row r="1294" spans="1:4">
      <c r="A1294" s="607">
        <v>39211</v>
      </c>
      <c r="B1294" s="600">
        <v>3.0781999999999998</v>
      </c>
    </row>
    <row r="1295" spans="1:4">
      <c r="A1295" s="607">
        <v>39212</v>
      </c>
      <c r="B1295" s="600">
        <v>3.0794999999999999</v>
      </c>
    </row>
    <row r="1296" spans="1:4">
      <c r="A1296" s="607">
        <v>39213</v>
      </c>
      <c r="B1296" s="600">
        <v>3.0807000000000002</v>
      </c>
    </row>
    <row r="1297" spans="1:4">
      <c r="A1297" s="607">
        <v>39216</v>
      </c>
      <c r="B1297" s="600">
        <v>3.0804999999999998</v>
      </c>
    </row>
    <row r="1298" spans="1:4">
      <c r="A1298" s="607">
        <v>39217</v>
      </c>
      <c r="B1298" s="600">
        <v>3.0748000000000002</v>
      </c>
    </row>
    <row r="1299" spans="1:4">
      <c r="A1299" s="607">
        <v>39218</v>
      </c>
      <c r="B1299" s="600">
        <v>3.0754999999999999</v>
      </c>
    </row>
    <row r="1300" spans="1:4">
      <c r="A1300" s="607">
        <v>39219</v>
      </c>
      <c r="B1300" s="600">
        <v>3.0762999999999998</v>
      </c>
    </row>
    <row r="1301" spans="1:4">
      <c r="A1301" s="607">
        <v>39220</v>
      </c>
      <c r="B1301" s="600">
        <v>3.0779999999999998</v>
      </c>
    </row>
    <row r="1302" spans="1:4">
      <c r="A1302" s="607">
        <v>39223</v>
      </c>
      <c r="B1302" s="600">
        <v>3.0764999999999998</v>
      </c>
    </row>
    <row r="1303" spans="1:4">
      <c r="A1303" s="607">
        <v>39224</v>
      </c>
      <c r="B1303" s="600">
        <v>3.0727000000000002</v>
      </c>
    </row>
    <row r="1304" spans="1:4">
      <c r="A1304" s="607">
        <v>39225</v>
      </c>
      <c r="B1304" s="600">
        <v>3.0825</v>
      </c>
    </row>
    <row r="1305" spans="1:4">
      <c r="A1305" s="607">
        <v>39226</v>
      </c>
      <c r="B1305" s="600">
        <v>3.0848</v>
      </c>
    </row>
    <row r="1306" spans="1:4">
      <c r="A1306" s="607">
        <v>39230</v>
      </c>
      <c r="B1306" s="600">
        <v>3.0840000000000001</v>
      </c>
    </row>
    <row r="1307" spans="1:4">
      <c r="A1307" s="607">
        <v>39231</v>
      </c>
      <c r="B1307" s="600">
        <v>3.0828000000000002</v>
      </c>
    </row>
    <row r="1308" spans="1:4">
      <c r="A1308" s="607">
        <v>39232</v>
      </c>
      <c r="B1308" s="600">
        <v>3.0815000000000001</v>
      </c>
      <c r="D1308" s="613">
        <v>39203</v>
      </c>
    </row>
    <row r="1309" spans="1:4" ht="16.5" thickBot="1">
      <c r="A1309" s="614">
        <v>39233</v>
      </c>
      <c r="B1309" s="606">
        <v>3.0785</v>
      </c>
      <c r="D1309" s="604">
        <v>3.0800142857142867</v>
      </c>
    </row>
    <row r="1310" spans="1:4">
      <c r="A1310" s="595">
        <v>39234</v>
      </c>
      <c r="B1310" s="596">
        <v>3.0748000000000002</v>
      </c>
    </row>
    <row r="1311" spans="1:4">
      <c r="A1311" s="607">
        <v>39237</v>
      </c>
      <c r="B1311" s="600">
        <v>3.0727000000000002</v>
      </c>
    </row>
    <row r="1312" spans="1:4">
      <c r="A1312" s="607">
        <v>39238</v>
      </c>
      <c r="B1312" s="600">
        <v>3.073</v>
      </c>
    </row>
    <row r="1313" spans="1:4">
      <c r="A1313" s="607">
        <v>39239</v>
      </c>
      <c r="B1313" s="600">
        <v>3.0764999999999998</v>
      </c>
    </row>
    <row r="1314" spans="1:4">
      <c r="A1314" s="607">
        <v>39240</v>
      </c>
      <c r="B1314" s="600">
        <v>3.0773000000000001</v>
      </c>
    </row>
    <row r="1315" spans="1:4">
      <c r="A1315" s="607">
        <v>39241</v>
      </c>
      <c r="B1315" s="600">
        <v>3.0779999999999998</v>
      </c>
    </row>
    <row r="1316" spans="1:4">
      <c r="A1316" s="607">
        <v>39244</v>
      </c>
      <c r="B1316" s="600">
        <v>3.0747</v>
      </c>
    </row>
    <row r="1317" spans="1:4">
      <c r="A1317" s="607">
        <v>39245</v>
      </c>
      <c r="B1317" s="600">
        <v>3.0762</v>
      </c>
    </row>
    <row r="1318" spans="1:4">
      <c r="A1318" s="607">
        <v>39246</v>
      </c>
      <c r="B1318" s="600">
        <v>3.0752000000000002</v>
      </c>
    </row>
    <row r="1319" spans="1:4">
      <c r="A1319" s="607">
        <v>39247</v>
      </c>
      <c r="B1319" s="600">
        <v>3.0737999999999999</v>
      </c>
    </row>
    <row r="1320" spans="1:4">
      <c r="A1320" s="607">
        <v>39248</v>
      </c>
      <c r="B1320" s="600">
        <v>3.0722</v>
      </c>
    </row>
    <row r="1321" spans="1:4">
      <c r="A1321" s="607">
        <v>39252</v>
      </c>
      <c r="B1321" s="600">
        <v>3.0748000000000002</v>
      </c>
    </row>
    <row r="1322" spans="1:4">
      <c r="A1322" s="607">
        <v>39253</v>
      </c>
      <c r="B1322" s="600">
        <v>3.0777000000000001</v>
      </c>
    </row>
    <row r="1323" spans="1:4">
      <c r="A1323" s="607">
        <v>39254</v>
      </c>
      <c r="B1323" s="600">
        <v>3.0808</v>
      </c>
    </row>
    <row r="1324" spans="1:4">
      <c r="A1324" s="607">
        <v>39255</v>
      </c>
      <c r="B1324" s="600">
        <v>3.0825</v>
      </c>
    </row>
    <row r="1325" spans="1:4">
      <c r="A1325" s="607">
        <v>39258</v>
      </c>
      <c r="B1325" s="600">
        <v>3.0832000000000002</v>
      </c>
    </row>
    <row r="1326" spans="1:4">
      <c r="A1326" s="607">
        <v>39259</v>
      </c>
      <c r="B1326" s="600">
        <v>3.0882000000000001</v>
      </c>
    </row>
    <row r="1327" spans="1:4">
      <c r="A1327" s="607">
        <v>39260</v>
      </c>
      <c r="B1327" s="600">
        <v>3.0931999999999999</v>
      </c>
    </row>
    <row r="1328" spans="1:4">
      <c r="A1328" s="607">
        <v>39261</v>
      </c>
      <c r="B1328" s="600">
        <v>3.0897000000000001</v>
      </c>
      <c r="D1328" s="613">
        <v>39234</v>
      </c>
    </row>
    <row r="1329" spans="1:4" ht="16.5" thickBot="1">
      <c r="A1329" s="615">
        <v>39262</v>
      </c>
      <c r="B1329" s="616">
        <v>3.0908000000000002</v>
      </c>
      <c r="D1329" s="604">
        <v>3.0792650000000004</v>
      </c>
    </row>
    <row r="1330" spans="1:4">
      <c r="A1330" s="595">
        <v>39265</v>
      </c>
      <c r="B1330" s="596">
        <v>3.0918000000000001</v>
      </c>
    </row>
    <row r="1331" spans="1:4">
      <c r="A1331" s="599">
        <v>39266</v>
      </c>
      <c r="B1331" s="600">
        <v>3.0916999999999999</v>
      </c>
    </row>
    <row r="1332" spans="1:4">
      <c r="A1332" s="599">
        <v>39267</v>
      </c>
      <c r="B1332" s="600">
        <v>3.0914999999999999</v>
      </c>
    </row>
    <row r="1333" spans="1:4">
      <c r="A1333" s="599">
        <v>39268</v>
      </c>
      <c r="B1333" s="600">
        <v>3.0994999999999999</v>
      </c>
    </row>
    <row r="1334" spans="1:4">
      <c r="A1334" s="599">
        <v>39269</v>
      </c>
      <c r="B1334" s="600">
        <v>3.1048</v>
      </c>
    </row>
    <row r="1335" spans="1:4">
      <c r="A1335" s="599">
        <v>39273</v>
      </c>
      <c r="B1335" s="600">
        <v>3.1057999999999999</v>
      </c>
    </row>
    <row r="1336" spans="1:4">
      <c r="A1336" s="599">
        <v>39274</v>
      </c>
      <c r="B1336" s="600">
        <v>3.1021999999999998</v>
      </c>
    </row>
    <row r="1337" spans="1:4">
      <c r="A1337" s="599">
        <v>39275</v>
      </c>
      <c r="B1337" s="600">
        <v>3.1002000000000001</v>
      </c>
    </row>
    <row r="1338" spans="1:4">
      <c r="A1338" s="599">
        <v>39276</v>
      </c>
      <c r="B1338" s="600">
        <v>3.0998000000000001</v>
      </c>
    </row>
    <row r="1339" spans="1:4">
      <c r="A1339" s="599">
        <v>39279</v>
      </c>
      <c r="B1339" s="600">
        <v>3.1002999999999998</v>
      </c>
    </row>
    <row r="1340" spans="1:4">
      <c r="A1340" s="599">
        <v>39280</v>
      </c>
      <c r="B1340" s="600">
        <v>3.1027999999999998</v>
      </c>
    </row>
    <row r="1341" spans="1:4">
      <c r="A1341" s="599">
        <v>39281</v>
      </c>
      <c r="B1341" s="600">
        <v>3.1023000000000001</v>
      </c>
    </row>
    <row r="1342" spans="1:4">
      <c r="A1342" s="599">
        <v>39282</v>
      </c>
      <c r="B1342" s="600">
        <v>3.1030000000000002</v>
      </c>
    </row>
    <row r="1343" spans="1:4">
      <c r="A1343" s="599">
        <v>39283</v>
      </c>
      <c r="B1343" s="600">
        <v>3.1082000000000001</v>
      </c>
    </row>
    <row r="1344" spans="1:4">
      <c r="A1344" s="599">
        <v>39286</v>
      </c>
      <c r="B1344" s="600">
        <v>3.1233</v>
      </c>
    </row>
    <row r="1345" spans="1:4">
      <c r="A1345" s="599">
        <v>39287</v>
      </c>
      <c r="B1345" s="600">
        <v>3.1381999999999999</v>
      </c>
    </row>
    <row r="1346" spans="1:4">
      <c r="A1346" s="599">
        <v>39288</v>
      </c>
      <c r="B1346" s="600">
        <v>3.1713</v>
      </c>
    </row>
    <row r="1347" spans="1:4">
      <c r="A1347" s="599">
        <v>39289</v>
      </c>
      <c r="B1347" s="600">
        <v>3.1457000000000002</v>
      </c>
    </row>
    <row r="1348" spans="1:4">
      <c r="A1348" s="599">
        <v>39290</v>
      </c>
      <c r="B1348" s="600">
        <v>3.1223000000000001</v>
      </c>
    </row>
    <row r="1349" spans="1:4">
      <c r="A1349" s="599">
        <v>39293</v>
      </c>
      <c r="B1349" s="600">
        <v>3.12</v>
      </c>
      <c r="D1349" s="613">
        <v>39264</v>
      </c>
    </row>
    <row r="1350" spans="1:4" ht="16.5" thickBot="1">
      <c r="A1350" s="605">
        <v>39294</v>
      </c>
      <c r="B1350" s="606">
        <v>3.1194999999999999</v>
      </c>
      <c r="D1350" s="604">
        <v>3.1116285714285716</v>
      </c>
    </row>
    <row r="1351" spans="1:4">
      <c r="A1351" s="595">
        <v>39295</v>
      </c>
      <c r="B1351" s="596">
        <v>3.1316999999999999</v>
      </c>
    </row>
    <row r="1352" spans="1:4">
      <c r="A1352" s="599">
        <v>39296</v>
      </c>
      <c r="B1352" s="600">
        <v>3.1324999999999998</v>
      </c>
    </row>
    <row r="1353" spans="1:4">
      <c r="A1353" s="599">
        <v>39297</v>
      </c>
      <c r="B1353" s="600">
        <v>3.1402999999999999</v>
      </c>
    </row>
    <row r="1354" spans="1:4">
      <c r="A1354" s="599">
        <v>39300</v>
      </c>
      <c r="B1354" s="600">
        <v>3.1413000000000002</v>
      </c>
    </row>
    <row r="1355" spans="1:4">
      <c r="A1355" s="599">
        <v>39301</v>
      </c>
      <c r="B1355" s="600">
        <v>3.1415000000000002</v>
      </c>
    </row>
    <row r="1356" spans="1:4">
      <c r="A1356" s="599">
        <v>39302</v>
      </c>
      <c r="B1356" s="600">
        <v>3.1352000000000002</v>
      </c>
    </row>
    <row r="1357" spans="1:4">
      <c r="A1357" s="599">
        <v>39303</v>
      </c>
      <c r="B1357" s="600">
        <v>3.1413000000000002</v>
      </c>
    </row>
    <row r="1358" spans="1:4">
      <c r="A1358" s="599">
        <v>39304</v>
      </c>
      <c r="B1358" s="600">
        <v>3.1480000000000001</v>
      </c>
    </row>
    <row r="1359" spans="1:4">
      <c r="A1359" s="599">
        <v>39307</v>
      </c>
      <c r="B1359" s="600">
        <v>3.1427</v>
      </c>
    </row>
    <row r="1360" spans="1:4">
      <c r="A1360" s="599">
        <v>39308</v>
      </c>
      <c r="B1360" s="600">
        <v>3.145</v>
      </c>
    </row>
    <row r="1361" spans="1:4">
      <c r="A1361" s="599">
        <v>39309</v>
      </c>
      <c r="B1361" s="600">
        <v>3.1507999999999998</v>
      </c>
    </row>
    <row r="1362" spans="1:4">
      <c r="A1362" s="599">
        <v>39310</v>
      </c>
      <c r="B1362" s="600">
        <v>3.1657999999999999</v>
      </c>
    </row>
    <row r="1363" spans="1:4">
      <c r="A1363" s="599">
        <v>39311</v>
      </c>
      <c r="B1363" s="600">
        <v>3.153</v>
      </c>
    </row>
    <row r="1364" spans="1:4">
      <c r="A1364" s="599">
        <v>39315</v>
      </c>
      <c r="B1364" s="600">
        <v>3.1585000000000001</v>
      </c>
    </row>
    <row r="1365" spans="1:4">
      <c r="A1365" s="599">
        <v>39316</v>
      </c>
      <c r="B1365" s="600">
        <v>3.1644999999999999</v>
      </c>
    </row>
    <row r="1366" spans="1:4">
      <c r="A1366" s="599">
        <v>39317</v>
      </c>
      <c r="B1366" s="600">
        <v>3.1711999999999998</v>
      </c>
    </row>
    <row r="1367" spans="1:4">
      <c r="A1367" s="599">
        <v>39318</v>
      </c>
      <c r="B1367" s="600">
        <v>3.173</v>
      </c>
    </row>
    <row r="1368" spans="1:4">
      <c r="A1368" s="599">
        <v>39321</v>
      </c>
      <c r="B1368" s="600">
        <v>3.1695000000000002</v>
      </c>
    </row>
    <row r="1369" spans="1:4">
      <c r="A1369" s="599">
        <v>39322</v>
      </c>
      <c r="B1369" s="600">
        <v>3.1677</v>
      </c>
    </row>
    <row r="1370" spans="1:4">
      <c r="A1370" s="599">
        <v>39323</v>
      </c>
      <c r="B1370" s="600">
        <v>3.1627999999999998</v>
      </c>
    </row>
    <row r="1371" spans="1:4">
      <c r="A1371" s="599">
        <v>39324</v>
      </c>
      <c r="B1371" s="600">
        <v>3.1598000000000002</v>
      </c>
      <c r="D1371" s="613">
        <v>39295</v>
      </c>
    </row>
    <row r="1372" spans="1:4" ht="16.5" thickBot="1">
      <c r="A1372" s="605">
        <v>39325</v>
      </c>
      <c r="B1372" s="606">
        <v>3.1558000000000002</v>
      </c>
      <c r="D1372" s="604">
        <v>3.1523590909090902</v>
      </c>
    </row>
    <row r="1373" spans="1:4">
      <c r="A1373" s="595">
        <v>39328</v>
      </c>
      <c r="B1373" s="596">
        <v>3.1585000000000001</v>
      </c>
    </row>
    <row r="1374" spans="1:4">
      <c r="A1374" s="599">
        <v>39329</v>
      </c>
      <c r="B1374" s="600">
        <v>3.1625000000000001</v>
      </c>
    </row>
    <row r="1375" spans="1:4">
      <c r="A1375" s="599">
        <v>39330</v>
      </c>
      <c r="B1375" s="600">
        <v>3.1652</v>
      </c>
    </row>
    <row r="1376" spans="1:4">
      <c r="A1376" s="599">
        <v>39331</v>
      </c>
      <c r="B1376" s="600">
        <v>3.1627000000000001</v>
      </c>
    </row>
    <row r="1377" spans="1:4">
      <c r="A1377" s="599">
        <v>39332</v>
      </c>
      <c r="B1377" s="600">
        <v>3.1627999999999998</v>
      </c>
    </row>
    <row r="1378" spans="1:4">
      <c r="A1378" s="599">
        <v>39335</v>
      </c>
      <c r="B1378" s="600">
        <v>3.1615000000000002</v>
      </c>
    </row>
    <row r="1379" spans="1:4">
      <c r="A1379" s="599">
        <v>39336</v>
      </c>
      <c r="B1379" s="600">
        <v>3.1518000000000002</v>
      </c>
    </row>
    <row r="1380" spans="1:4">
      <c r="A1380" s="599">
        <v>39337</v>
      </c>
      <c r="B1380" s="600">
        <v>3.1404999999999998</v>
      </c>
    </row>
    <row r="1381" spans="1:4">
      <c r="A1381" s="599">
        <v>39338</v>
      </c>
      <c r="B1381" s="600">
        <v>3.1326999999999998</v>
      </c>
    </row>
    <row r="1382" spans="1:4">
      <c r="A1382" s="599">
        <v>39339</v>
      </c>
      <c r="B1382" s="600">
        <v>3.1324999999999998</v>
      </c>
    </row>
    <row r="1383" spans="1:4">
      <c r="A1383" s="599">
        <v>39342</v>
      </c>
      <c r="B1383" s="600">
        <v>3.1352000000000002</v>
      </c>
    </row>
    <row r="1384" spans="1:4">
      <c r="A1384" s="599">
        <v>39343</v>
      </c>
      <c r="B1384" s="600">
        <v>3.1355</v>
      </c>
    </row>
    <row r="1385" spans="1:4">
      <c r="A1385" s="599">
        <v>39344</v>
      </c>
      <c r="B1385" s="600">
        <v>3.1318000000000001</v>
      </c>
    </row>
    <row r="1386" spans="1:4">
      <c r="A1386" s="599">
        <v>39345</v>
      </c>
      <c r="B1386" s="600">
        <v>3.1345000000000001</v>
      </c>
    </row>
    <row r="1387" spans="1:4">
      <c r="A1387" s="599">
        <v>39346</v>
      </c>
      <c r="B1387" s="600">
        <v>3.1427999999999998</v>
      </c>
    </row>
    <row r="1388" spans="1:4">
      <c r="A1388" s="599">
        <v>39349</v>
      </c>
      <c r="B1388" s="600">
        <v>3.1473</v>
      </c>
    </row>
    <row r="1389" spans="1:4">
      <c r="A1389" s="599">
        <v>39350</v>
      </c>
      <c r="B1389" s="600">
        <v>3.1457999999999999</v>
      </c>
    </row>
    <row r="1390" spans="1:4">
      <c r="A1390" s="599">
        <v>39351</v>
      </c>
      <c r="B1390" s="600">
        <v>3.1461999999999999</v>
      </c>
    </row>
    <row r="1391" spans="1:4">
      <c r="A1391" s="599">
        <v>39352</v>
      </c>
      <c r="B1391" s="600">
        <v>3.1497999999999999</v>
      </c>
      <c r="D1391" s="613">
        <v>39326</v>
      </c>
    </row>
    <row r="1392" spans="1:4" ht="16.5" thickBot="1">
      <c r="A1392" s="605">
        <v>39353</v>
      </c>
      <c r="B1392" s="606">
        <v>3.1495000000000002</v>
      </c>
      <c r="D1392" s="604">
        <v>3.1474550000000003</v>
      </c>
    </row>
    <row r="1393" spans="1:2">
      <c r="A1393" s="595">
        <v>39356</v>
      </c>
      <c r="B1393" s="596">
        <v>3.1497000000000002</v>
      </c>
    </row>
    <row r="1394" spans="1:2">
      <c r="A1394" s="599">
        <v>39357</v>
      </c>
      <c r="B1394" s="600">
        <v>3.1469999999999998</v>
      </c>
    </row>
    <row r="1395" spans="1:2">
      <c r="A1395" s="599">
        <v>39358</v>
      </c>
      <c r="B1395" s="600">
        <v>3.1497000000000002</v>
      </c>
    </row>
    <row r="1396" spans="1:2">
      <c r="A1396" s="599">
        <v>39359</v>
      </c>
      <c r="B1396" s="600">
        <v>3.1545000000000001</v>
      </c>
    </row>
    <row r="1397" spans="1:2">
      <c r="A1397" s="599">
        <v>39360</v>
      </c>
      <c r="B1397" s="600">
        <v>3.1549999999999998</v>
      </c>
    </row>
    <row r="1398" spans="1:2">
      <c r="A1398" s="599">
        <v>39363</v>
      </c>
      <c r="B1398" s="600">
        <v>3.1591999999999998</v>
      </c>
    </row>
    <row r="1399" spans="1:2">
      <c r="A1399" s="599">
        <v>39364</v>
      </c>
      <c r="B1399" s="600">
        <v>3.161</v>
      </c>
    </row>
    <row r="1400" spans="1:2">
      <c r="A1400" s="599">
        <v>39365</v>
      </c>
      <c r="B1400" s="600">
        <v>3.1613000000000002</v>
      </c>
    </row>
    <row r="1401" spans="1:2">
      <c r="A1401" s="599">
        <v>39366</v>
      </c>
      <c r="B1401" s="600">
        <v>3.1575000000000002</v>
      </c>
    </row>
    <row r="1402" spans="1:2">
      <c r="A1402" s="599">
        <v>39367</v>
      </c>
      <c r="B1402" s="600">
        <v>3.157</v>
      </c>
    </row>
    <row r="1403" spans="1:2">
      <c r="A1403" s="599">
        <v>39371</v>
      </c>
      <c r="B1403" s="600">
        <v>3.1625000000000001</v>
      </c>
    </row>
    <row r="1404" spans="1:2">
      <c r="A1404" s="599">
        <v>39372</v>
      </c>
      <c r="B1404" s="600">
        <v>3.1593</v>
      </c>
    </row>
    <row r="1405" spans="1:2">
      <c r="A1405" s="599">
        <v>39373</v>
      </c>
      <c r="B1405" s="600">
        <v>3.1627999999999998</v>
      </c>
    </row>
    <row r="1406" spans="1:2">
      <c r="A1406" s="599">
        <v>39374</v>
      </c>
      <c r="B1406" s="600">
        <v>3.1640000000000001</v>
      </c>
    </row>
    <row r="1407" spans="1:2">
      <c r="A1407" s="599">
        <v>39377</v>
      </c>
      <c r="B1407" s="600">
        <v>3.1682000000000001</v>
      </c>
    </row>
    <row r="1408" spans="1:2">
      <c r="A1408" s="599">
        <v>39378</v>
      </c>
      <c r="B1408" s="600">
        <v>3.1707999999999998</v>
      </c>
    </row>
    <row r="1409" spans="1:4">
      <c r="A1409" s="599">
        <v>39379</v>
      </c>
      <c r="B1409" s="600">
        <v>3.1778</v>
      </c>
    </row>
    <row r="1410" spans="1:4">
      <c r="A1410" s="599">
        <v>39380</v>
      </c>
      <c r="B1410" s="600">
        <v>3.1797</v>
      </c>
    </row>
    <row r="1411" spans="1:4">
      <c r="A1411" s="599">
        <v>39381</v>
      </c>
      <c r="B1411" s="600">
        <v>3.1743000000000001</v>
      </c>
    </row>
    <row r="1412" spans="1:4">
      <c r="A1412" s="599">
        <v>39384</v>
      </c>
      <c r="B1412" s="600">
        <v>3.1613000000000002</v>
      </c>
    </row>
    <row r="1413" spans="1:4">
      <c r="A1413" s="599">
        <v>39385</v>
      </c>
      <c r="B1413" s="600">
        <v>3.1495000000000002</v>
      </c>
      <c r="D1413" s="613">
        <v>39356</v>
      </c>
    </row>
    <row r="1414" spans="1:4" ht="16.5" thickBot="1">
      <c r="A1414" s="605">
        <v>39386</v>
      </c>
      <c r="B1414" s="606">
        <v>3.1476999999999999</v>
      </c>
      <c r="D1414" s="604">
        <v>3.1604454545454543</v>
      </c>
    </row>
    <row r="1415" spans="1:4">
      <c r="A1415" s="595">
        <v>39387</v>
      </c>
      <c r="B1415" s="596">
        <v>3.1395</v>
      </c>
    </row>
    <row r="1416" spans="1:4">
      <c r="A1416" s="599">
        <v>39388</v>
      </c>
      <c r="B1416" s="600">
        <v>3.1309999999999998</v>
      </c>
    </row>
    <row r="1417" spans="1:4">
      <c r="A1417" s="599">
        <v>39391</v>
      </c>
      <c r="B1417" s="600">
        <v>3.1307</v>
      </c>
    </row>
    <row r="1418" spans="1:4">
      <c r="A1418" s="599">
        <v>39393</v>
      </c>
      <c r="B1418" s="600">
        <v>3.1313</v>
      </c>
    </row>
    <row r="1419" spans="1:4">
      <c r="A1419" s="599">
        <v>39394</v>
      </c>
      <c r="B1419" s="600">
        <v>3.1242000000000001</v>
      </c>
    </row>
    <row r="1420" spans="1:4">
      <c r="A1420" s="599">
        <v>39395</v>
      </c>
      <c r="B1420" s="600">
        <v>3.1315</v>
      </c>
    </row>
    <row r="1421" spans="1:4">
      <c r="A1421" s="599">
        <v>39398</v>
      </c>
      <c r="B1421" s="600">
        <v>3.1303000000000001</v>
      </c>
    </row>
    <row r="1422" spans="1:4">
      <c r="A1422" s="599">
        <v>39399</v>
      </c>
      <c r="B1422" s="600">
        <v>3.1347</v>
      </c>
    </row>
    <row r="1423" spans="1:4">
      <c r="A1423" s="599">
        <v>39400</v>
      </c>
      <c r="B1423" s="600">
        <v>3.1309999999999998</v>
      </c>
    </row>
    <row r="1424" spans="1:4">
      <c r="A1424" s="599">
        <v>39401</v>
      </c>
      <c r="B1424" s="600">
        <v>3.1267999999999998</v>
      </c>
    </row>
    <row r="1425" spans="1:4">
      <c r="A1425" s="599">
        <v>39402</v>
      </c>
      <c r="B1425" s="600">
        <v>3.1288</v>
      </c>
    </row>
    <row r="1426" spans="1:4">
      <c r="A1426" s="599">
        <v>39405</v>
      </c>
      <c r="B1426" s="600">
        <v>3.1320000000000001</v>
      </c>
    </row>
    <row r="1427" spans="1:4">
      <c r="A1427" s="599">
        <v>39406</v>
      </c>
      <c r="B1427" s="600">
        <v>3.129</v>
      </c>
    </row>
    <row r="1428" spans="1:4">
      <c r="A1428" s="599">
        <v>39407</v>
      </c>
      <c r="B1428" s="600">
        <v>3.1373000000000002</v>
      </c>
    </row>
    <row r="1429" spans="1:4">
      <c r="A1429" s="599">
        <v>39408</v>
      </c>
      <c r="B1429" s="600">
        <v>3.1406999999999998</v>
      </c>
    </row>
    <row r="1430" spans="1:4">
      <c r="A1430" s="599">
        <v>39409</v>
      </c>
      <c r="B1430" s="600">
        <v>3.1438000000000001</v>
      </c>
    </row>
    <row r="1431" spans="1:4">
      <c r="A1431" s="599">
        <v>39412</v>
      </c>
      <c r="B1431" s="600">
        <v>3.1438000000000001</v>
      </c>
    </row>
    <row r="1432" spans="1:4">
      <c r="A1432" s="599">
        <v>39413</v>
      </c>
      <c r="B1432" s="600">
        <v>3.1461999999999999</v>
      </c>
    </row>
    <row r="1433" spans="1:4">
      <c r="A1433" s="599">
        <v>39414</v>
      </c>
      <c r="B1433" s="600">
        <v>3.1482000000000001</v>
      </c>
    </row>
    <row r="1434" spans="1:4">
      <c r="A1434" s="599">
        <v>39415</v>
      </c>
      <c r="B1434" s="600">
        <v>3.1492</v>
      </c>
      <c r="D1434" s="613">
        <v>39387</v>
      </c>
    </row>
    <row r="1435" spans="1:4" ht="16.5" thickBot="1">
      <c r="A1435" s="605">
        <v>39416</v>
      </c>
      <c r="B1435" s="606">
        <v>3.1442000000000001</v>
      </c>
      <c r="D1435" s="604">
        <v>3.1359142857142861</v>
      </c>
    </row>
    <row r="1436" spans="1:4">
      <c r="A1436" s="595">
        <v>39419</v>
      </c>
      <c r="B1436" s="596">
        <v>3.1406999999999998</v>
      </c>
    </row>
    <row r="1437" spans="1:4">
      <c r="A1437" s="599">
        <v>39420</v>
      </c>
      <c r="B1437" s="600">
        <v>3.1372</v>
      </c>
    </row>
    <row r="1438" spans="1:4">
      <c r="A1438" s="599">
        <v>39421</v>
      </c>
      <c r="B1438" s="600">
        <v>3.1318000000000001</v>
      </c>
    </row>
    <row r="1439" spans="1:4">
      <c r="A1439" s="599">
        <v>39422</v>
      </c>
      <c r="B1439" s="600">
        <v>3.1335000000000002</v>
      </c>
    </row>
    <row r="1440" spans="1:4">
      <c r="A1440" s="599">
        <v>39423</v>
      </c>
      <c r="B1440" s="600">
        <v>3.1343000000000001</v>
      </c>
    </row>
    <row r="1441" spans="1:4">
      <c r="A1441" s="599">
        <v>39426</v>
      </c>
      <c r="B1441" s="600">
        <v>3.1398000000000001</v>
      </c>
    </row>
    <row r="1442" spans="1:4">
      <c r="A1442" s="599">
        <v>39427</v>
      </c>
      <c r="B1442" s="600">
        <v>3.1393</v>
      </c>
    </row>
    <row r="1443" spans="1:4">
      <c r="A1443" s="599">
        <v>39428</v>
      </c>
      <c r="B1443" s="600">
        <v>3.1387999999999998</v>
      </c>
    </row>
    <row r="1444" spans="1:4">
      <c r="A1444" s="599">
        <v>39429</v>
      </c>
      <c r="B1444" s="600">
        <v>3.1408</v>
      </c>
    </row>
    <row r="1445" spans="1:4">
      <c r="A1445" s="599">
        <v>39430</v>
      </c>
      <c r="B1445" s="600">
        <v>3.1444999999999999</v>
      </c>
    </row>
    <row r="1446" spans="1:4">
      <c r="A1446" s="599">
        <v>39433</v>
      </c>
      <c r="B1446" s="600">
        <v>3.1446999999999998</v>
      </c>
    </row>
    <row r="1447" spans="1:4">
      <c r="A1447" s="599">
        <v>39434</v>
      </c>
      <c r="B1447" s="600">
        <v>3.1385000000000001</v>
      </c>
    </row>
    <row r="1448" spans="1:4">
      <c r="A1448" s="599">
        <v>39435</v>
      </c>
      <c r="B1448" s="600">
        <v>3.1353</v>
      </c>
    </row>
    <row r="1449" spans="1:4">
      <c r="A1449" s="599">
        <v>39436</v>
      </c>
      <c r="B1449" s="600">
        <v>3.1345000000000001</v>
      </c>
    </row>
    <row r="1450" spans="1:4">
      <c r="A1450" s="599">
        <v>39437</v>
      </c>
      <c r="B1450" s="600">
        <v>3.1373000000000002</v>
      </c>
    </row>
    <row r="1451" spans="1:4">
      <c r="A1451" s="599">
        <v>39442</v>
      </c>
      <c r="B1451" s="600">
        <v>3.1442000000000001</v>
      </c>
    </row>
    <row r="1452" spans="1:4">
      <c r="A1452" s="599">
        <v>39443</v>
      </c>
      <c r="B1452" s="600">
        <v>3.1475</v>
      </c>
      <c r="D1452" s="613">
        <v>39417</v>
      </c>
    </row>
    <row r="1453" spans="1:4" ht="16.5" thickBot="1">
      <c r="A1453" s="605">
        <v>39444</v>
      </c>
      <c r="B1453" s="612">
        <v>3.1509999999999998</v>
      </c>
      <c r="D1453" s="604">
        <v>3.1396500000000001</v>
      </c>
    </row>
    <row r="1454" spans="1:4">
      <c r="A1454" s="595">
        <v>39449</v>
      </c>
      <c r="B1454" s="596">
        <v>3.1473</v>
      </c>
    </row>
    <row r="1455" spans="1:4">
      <c r="A1455" s="599">
        <v>39450</v>
      </c>
      <c r="B1455" s="600">
        <v>3.1421999999999999</v>
      </c>
    </row>
    <row r="1456" spans="1:4">
      <c r="A1456" s="599">
        <v>39451</v>
      </c>
      <c r="B1456" s="600">
        <v>3.1415000000000002</v>
      </c>
    </row>
    <row r="1457" spans="1:2">
      <c r="A1457" s="599">
        <v>39454</v>
      </c>
      <c r="B1457" s="600">
        <v>3.137</v>
      </c>
    </row>
    <row r="1458" spans="1:2">
      <c r="A1458" s="599">
        <v>39455</v>
      </c>
      <c r="B1458" s="600">
        <v>3.1318000000000001</v>
      </c>
    </row>
    <row r="1459" spans="1:2">
      <c r="A1459" s="599">
        <v>39456</v>
      </c>
      <c r="B1459" s="600">
        <v>3.1286999999999998</v>
      </c>
    </row>
    <row r="1460" spans="1:2">
      <c r="A1460" s="599">
        <v>39457</v>
      </c>
      <c r="B1460" s="600">
        <v>3.1284999999999998</v>
      </c>
    </row>
    <row r="1461" spans="1:2">
      <c r="A1461" s="599">
        <v>39458</v>
      </c>
      <c r="B1461" s="600">
        <v>3.1282000000000001</v>
      </c>
    </row>
    <row r="1462" spans="1:2">
      <c r="A1462" s="599">
        <v>39461</v>
      </c>
      <c r="B1462" s="600">
        <v>3.1312000000000002</v>
      </c>
    </row>
    <row r="1463" spans="1:2">
      <c r="A1463" s="599">
        <v>39462</v>
      </c>
      <c r="B1463" s="600">
        <v>3.1406999999999998</v>
      </c>
    </row>
    <row r="1464" spans="1:2">
      <c r="A1464" s="599">
        <v>39463</v>
      </c>
      <c r="B1464" s="600">
        <v>3.1413000000000002</v>
      </c>
    </row>
    <row r="1465" spans="1:2">
      <c r="A1465" s="599">
        <v>39464</v>
      </c>
      <c r="B1465" s="600">
        <v>3.1480000000000001</v>
      </c>
    </row>
    <row r="1466" spans="1:2">
      <c r="A1466" s="599">
        <v>39465</v>
      </c>
      <c r="B1466" s="600">
        <v>3.1524999999999999</v>
      </c>
    </row>
    <row r="1467" spans="1:2">
      <c r="A1467" s="599">
        <v>39468</v>
      </c>
      <c r="B1467" s="600">
        <v>3.1575000000000002</v>
      </c>
    </row>
    <row r="1468" spans="1:2">
      <c r="A1468" s="599">
        <v>39469</v>
      </c>
      <c r="B1468" s="600">
        <v>3.1568000000000001</v>
      </c>
    </row>
    <row r="1469" spans="1:2">
      <c r="A1469" s="599">
        <v>39470</v>
      </c>
      <c r="B1469" s="600">
        <v>3.157</v>
      </c>
    </row>
    <row r="1470" spans="1:2">
      <c r="A1470" s="599">
        <v>39471</v>
      </c>
      <c r="B1470" s="600">
        <v>3.1537999999999999</v>
      </c>
    </row>
    <row r="1471" spans="1:2">
      <c r="A1471" s="599">
        <v>39472</v>
      </c>
      <c r="B1471" s="600">
        <v>3.1465000000000001</v>
      </c>
    </row>
    <row r="1472" spans="1:2">
      <c r="A1472" s="599">
        <v>39475</v>
      </c>
      <c r="B1472" s="600">
        <v>3.1507000000000001</v>
      </c>
    </row>
    <row r="1473" spans="1:4">
      <c r="A1473" s="599">
        <v>39476</v>
      </c>
      <c r="B1473" s="600">
        <v>3.1473</v>
      </c>
    </row>
    <row r="1474" spans="1:4">
      <c r="A1474" s="599">
        <v>39477</v>
      </c>
      <c r="B1474" s="600">
        <v>3.153</v>
      </c>
      <c r="D1474" s="613">
        <v>39448</v>
      </c>
    </row>
    <row r="1475" spans="1:4" ht="16.5" thickBot="1">
      <c r="A1475" s="605">
        <v>39478</v>
      </c>
      <c r="B1475" s="606">
        <v>3.1556999999999999</v>
      </c>
      <c r="D1475" s="604">
        <v>3.1444181818181818</v>
      </c>
    </row>
    <row r="1476" spans="1:4">
      <c r="A1476" s="607">
        <v>39479</v>
      </c>
      <c r="B1476" s="608">
        <v>3.1526999999999998</v>
      </c>
    </row>
    <row r="1477" spans="1:4">
      <c r="A1477" s="599">
        <v>39482</v>
      </c>
      <c r="B1477" s="600">
        <v>3.1526999999999998</v>
      </c>
    </row>
    <row r="1478" spans="1:4">
      <c r="A1478" s="599">
        <v>39483</v>
      </c>
      <c r="B1478" s="600">
        <v>3.1587999999999998</v>
      </c>
    </row>
    <row r="1479" spans="1:4">
      <c r="A1479" s="599">
        <v>39484</v>
      </c>
      <c r="B1479" s="600">
        <v>3.1682000000000001</v>
      </c>
    </row>
    <row r="1480" spans="1:4">
      <c r="A1480" s="599">
        <v>39485</v>
      </c>
      <c r="B1480" s="600">
        <v>3.1669999999999998</v>
      </c>
    </row>
    <row r="1481" spans="1:4">
      <c r="A1481" s="599">
        <v>39486</v>
      </c>
      <c r="B1481" s="600">
        <v>3.1695000000000002</v>
      </c>
    </row>
    <row r="1482" spans="1:4">
      <c r="A1482" s="599">
        <v>39489</v>
      </c>
      <c r="B1482" s="600">
        <v>3.1677</v>
      </c>
    </row>
    <row r="1483" spans="1:4">
      <c r="A1483" s="599">
        <v>39490</v>
      </c>
      <c r="B1483" s="600">
        <v>3.1637</v>
      </c>
    </row>
    <row r="1484" spans="1:4">
      <c r="A1484" s="599">
        <v>39491</v>
      </c>
      <c r="B1484" s="600">
        <v>3.1608000000000001</v>
      </c>
    </row>
    <row r="1485" spans="1:4">
      <c r="A1485" s="599">
        <v>39492</v>
      </c>
      <c r="B1485" s="600">
        <v>3.1541999999999999</v>
      </c>
    </row>
    <row r="1486" spans="1:4">
      <c r="A1486" s="599">
        <v>39493</v>
      </c>
      <c r="B1486" s="600">
        <v>3.1537000000000002</v>
      </c>
    </row>
    <row r="1487" spans="1:4">
      <c r="A1487" s="599">
        <v>39496</v>
      </c>
      <c r="B1487" s="600">
        <v>3.1535000000000002</v>
      </c>
    </row>
    <row r="1488" spans="1:4">
      <c r="A1488" s="599">
        <v>39497</v>
      </c>
      <c r="B1488" s="600">
        <v>3.1537999999999999</v>
      </c>
    </row>
    <row r="1489" spans="1:4">
      <c r="A1489" s="599">
        <v>39498</v>
      </c>
      <c r="B1489" s="600">
        <v>3.1547999999999998</v>
      </c>
    </row>
    <row r="1490" spans="1:4">
      <c r="A1490" s="599">
        <v>39499</v>
      </c>
      <c r="B1490" s="600">
        <v>3.1505000000000001</v>
      </c>
    </row>
    <row r="1491" spans="1:4">
      <c r="A1491" s="599">
        <v>39500</v>
      </c>
      <c r="B1491" s="600">
        <v>3.1528</v>
      </c>
    </row>
    <row r="1492" spans="1:4">
      <c r="A1492" s="599">
        <v>39503</v>
      </c>
      <c r="B1492" s="600">
        <v>3.1572</v>
      </c>
    </row>
    <row r="1493" spans="1:4">
      <c r="A1493" s="599">
        <v>39504</v>
      </c>
      <c r="B1493" s="600">
        <v>3.1595</v>
      </c>
    </row>
    <row r="1494" spans="1:4">
      <c r="A1494" s="599">
        <v>39505</v>
      </c>
      <c r="B1494" s="600">
        <v>3.1573000000000002</v>
      </c>
    </row>
    <row r="1495" spans="1:4">
      <c r="A1495" s="599">
        <v>39506</v>
      </c>
      <c r="B1495" s="600">
        <v>3.1575000000000002</v>
      </c>
      <c r="D1495" s="613">
        <v>39479</v>
      </c>
    </row>
    <row r="1496" spans="1:4" ht="16.5" thickBot="1">
      <c r="A1496" s="605">
        <v>39507</v>
      </c>
      <c r="B1496" s="606">
        <v>3.1587000000000001</v>
      </c>
      <c r="D1496" s="604">
        <v>3.1583142857142859</v>
      </c>
    </row>
    <row r="1497" spans="1:4">
      <c r="A1497" s="607">
        <v>39510</v>
      </c>
      <c r="B1497" s="608">
        <v>3.1608000000000001</v>
      </c>
    </row>
    <row r="1498" spans="1:4">
      <c r="A1498" s="599">
        <v>39511</v>
      </c>
      <c r="B1498" s="600">
        <v>3.1549999999999998</v>
      </c>
    </row>
    <row r="1499" spans="1:4">
      <c r="A1499" s="599">
        <v>39512</v>
      </c>
      <c r="B1499" s="600">
        <v>3.1518000000000002</v>
      </c>
    </row>
    <row r="1500" spans="1:4">
      <c r="A1500" s="599">
        <v>39513</v>
      </c>
      <c r="B1500" s="600">
        <v>3.1524999999999999</v>
      </c>
    </row>
    <row r="1501" spans="1:4">
      <c r="A1501" s="599">
        <v>39514</v>
      </c>
      <c r="B1501" s="600">
        <v>3.1535000000000002</v>
      </c>
    </row>
    <row r="1502" spans="1:4">
      <c r="A1502" s="599">
        <v>39517</v>
      </c>
      <c r="B1502" s="600">
        <v>3.1572</v>
      </c>
    </row>
    <row r="1503" spans="1:4">
      <c r="A1503" s="599">
        <v>39518</v>
      </c>
      <c r="B1503" s="600">
        <v>3.153</v>
      </c>
    </row>
    <row r="1504" spans="1:4">
      <c r="A1504" s="599">
        <v>39519</v>
      </c>
      <c r="B1504" s="600">
        <v>3.1526999999999998</v>
      </c>
    </row>
    <row r="1505" spans="1:4">
      <c r="A1505" s="599">
        <v>39520</v>
      </c>
      <c r="B1505" s="600">
        <v>3.1501999999999999</v>
      </c>
    </row>
    <row r="1506" spans="1:4">
      <c r="A1506" s="599">
        <v>39521</v>
      </c>
      <c r="B1506" s="600">
        <v>3.1448</v>
      </c>
    </row>
    <row r="1507" spans="1:4">
      <c r="A1507" s="599">
        <v>39524</v>
      </c>
      <c r="B1507" s="600">
        <v>3.1503000000000001</v>
      </c>
    </row>
    <row r="1508" spans="1:4">
      <c r="A1508" s="599">
        <v>39525</v>
      </c>
      <c r="B1508" s="600">
        <v>3.1469999999999998</v>
      </c>
    </row>
    <row r="1509" spans="1:4">
      <c r="A1509" s="599">
        <v>39526</v>
      </c>
      <c r="B1509" s="600">
        <v>3.1497000000000002</v>
      </c>
    </row>
    <row r="1510" spans="1:4">
      <c r="A1510" s="599">
        <v>39532</v>
      </c>
      <c r="B1510" s="600">
        <v>3.1615000000000002</v>
      </c>
    </row>
    <row r="1511" spans="1:4">
      <c r="A1511" s="599">
        <v>39533</v>
      </c>
      <c r="B1511" s="600">
        <v>3.1688000000000001</v>
      </c>
    </row>
    <row r="1512" spans="1:4">
      <c r="A1512" s="599">
        <v>39534</v>
      </c>
      <c r="B1512" s="600">
        <v>3.1671999999999998</v>
      </c>
    </row>
    <row r="1513" spans="1:4">
      <c r="A1513" s="599">
        <v>39535</v>
      </c>
      <c r="B1513" s="600">
        <v>3.1638000000000002</v>
      </c>
      <c r="D1513" s="613">
        <v>39508</v>
      </c>
    </row>
    <row r="1514" spans="1:4" ht="16.5" thickBot="1">
      <c r="A1514" s="605">
        <v>39538</v>
      </c>
      <c r="B1514" s="606">
        <v>3.1652999999999998</v>
      </c>
      <c r="D1514" s="604">
        <v>3.1558388888888889</v>
      </c>
    </row>
    <row r="1515" spans="1:4">
      <c r="A1515" s="607">
        <v>39539</v>
      </c>
      <c r="B1515" s="608">
        <v>3.1667999999999998</v>
      </c>
    </row>
    <row r="1516" spans="1:4">
      <c r="A1516" s="599">
        <v>39541</v>
      </c>
      <c r="B1516" s="600">
        <v>3.1625000000000001</v>
      </c>
    </row>
    <row r="1517" spans="1:4">
      <c r="A1517" s="599">
        <v>39542</v>
      </c>
      <c r="B1517" s="600">
        <v>3.1625000000000001</v>
      </c>
    </row>
    <row r="1518" spans="1:4">
      <c r="A1518" s="599">
        <v>39545</v>
      </c>
      <c r="B1518" s="600">
        <v>3.16</v>
      </c>
    </row>
    <row r="1519" spans="1:4">
      <c r="A1519" s="599">
        <v>39546</v>
      </c>
      <c r="B1519" s="600">
        <v>3.1577999999999999</v>
      </c>
    </row>
    <row r="1520" spans="1:4">
      <c r="A1520" s="599">
        <v>39547</v>
      </c>
      <c r="B1520" s="600">
        <v>3.1585000000000001</v>
      </c>
    </row>
    <row r="1521" spans="1:4">
      <c r="A1521" s="599">
        <v>39548</v>
      </c>
      <c r="B1521" s="600">
        <v>3.1573000000000002</v>
      </c>
    </row>
    <row r="1522" spans="1:4">
      <c r="A1522" s="599">
        <v>39549</v>
      </c>
      <c r="B1522" s="600">
        <v>3.1520000000000001</v>
      </c>
    </row>
    <row r="1523" spans="1:4">
      <c r="A1523" s="599">
        <v>39552</v>
      </c>
      <c r="B1523" s="600">
        <v>3.1526999999999998</v>
      </c>
    </row>
    <row r="1524" spans="1:4">
      <c r="A1524" s="599">
        <v>39553</v>
      </c>
      <c r="B1524" s="600">
        <v>3.1553</v>
      </c>
    </row>
    <row r="1525" spans="1:4">
      <c r="A1525" s="599">
        <v>39554</v>
      </c>
      <c r="B1525" s="600">
        <v>3.1633</v>
      </c>
    </row>
    <row r="1526" spans="1:4">
      <c r="A1526" s="599">
        <v>39555</v>
      </c>
      <c r="B1526" s="600">
        <v>3.1692</v>
      </c>
    </row>
    <row r="1527" spans="1:4">
      <c r="A1527" s="599">
        <v>39556</v>
      </c>
      <c r="B1527" s="600">
        <v>3.1698</v>
      </c>
    </row>
    <row r="1528" spans="1:4">
      <c r="A1528" s="599">
        <v>39559</v>
      </c>
      <c r="B1528" s="600">
        <v>3.1732</v>
      </c>
    </row>
    <row r="1529" spans="1:4">
      <c r="A1529" s="599">
        <v>39560</v>
      </c>
      <c r="B1529" s="600">
        <v>3.1844999999999999</v>
      </c>
    </row>
    <row r="1530" spans="1:4">
      <c r="A1530" s="599">
        <v>39561</v>
      </c>
      <c r="B1530" s="600">
        <v>3.1825000000000001</v>
      </c>
    </row>
    <row r="1531" spans="1:4">
      <c r="A1531" s="599">
        <v>39562</v>
      </c>
      <c r="B1531" s="600">
        <v>3.1833</v>
      </c>
    </row>
    <row r="1532" spans="1:4">
      <c r="A1532" s="599">
        <v>39563</v>
      </c>
      <c r="B1532" s="600">
        <v>3.1815000000000002</v>
      </c>
    </row>
    <row r="1533" spans="1:4">
      <c r="A1533" s="599">
        <v>39566</v>
      </c>
      <c r="B1533" s="600">
        <v>3.1707000000000001</v>
      </c>
    </row>
    <row r="1534" spans="1:4">
      <c r="A1534" s="599">
        <v>39567</v>
      </c>
      <c r="B1534" s="600">
        <v>3.1705000000000001</v>
      </c>
      <c r="D1534" s="613">
        <v>39539</v>
      </c>
    </row>
    <row r="1535" spans="1:4" ht="16.5" thickBot="1">
      <c r="A1535" s="605">
        <v>39568</v>
      </c>
      <c r="B1535" s="606">
        <v>3.1635</v>
      </c>
      <c r="D1535" s="604">
        <v>3.1665428571428578</v>
      </c>
    </row>
    <row r="1536" spans="1:4">
      <c r="A1536" s="607">
        <v>39570</v>
      </c>
      <c r="B1536" s="608">
        <v>3.1682999999999999</v>
      </c>
    </row>
    <row r="1537" spans="1:2">
      <c r="A1537" s="599">
        <v>39573</v>
      </c>
      <c r="B1537" s="600">
        <v>3.1724999999999999</v>
      </c>
    </row>
    <row r="1538" spans="1:2">
      <c r="A1538" s="599">
        <v>39574</v>
      </c>
      <c r="B1538" s="600">
        <v>3.1758000000000002</v>
      </c>
    </row>
    <row r="1539" spans="1:2">
      <c r="A1539" s="599">
        <v>39575</v>
      </c>
      <c r="B1539" s="600">
        <v>3.1804999999999999</v>
      </c>
    </row>
    <row r="1540" spans="1:2">
      <c r="A1540" s="599">
        <v>39576</v>
      </c>
      <c r="B1540" s="600">
        <v>3.1812</v>
      </c>
    </row>
    <row r="1541" spans="1:2">
      <c r="A1541" s="599">
        <v>39577</v>
      </c>
      <c r="B1541" s="600">
        <v>3.1751999999999998</v>
      </c>
    </row>
    <row r="1542" spans="1:2">
      <c r="A1542" s="599">
        <v>39580</v>
      </c>
      <c r="B1542" s="600">
        <v>3.1772999999999998</v>
      </c>
    </row>
    <row r="1543" spans="1:2">
      <c r="A1543" s="599">
        <v>39581</v>
      </c>
      <c r="B1543" s="600">
        <v>3.1739999999999999</v>
      </c>
    </row>
    <row r="1544" spans="1:2">
      <c r="A1544" s="599">
        <v>39582</v>
      </c>
      <c r="B1544" s="600">
        <v>3.1615000000000002</v>
      </c>
    </row>
    <row r="1545" spans="1:2">
      <c r="A1545" s="599">
        <v>39583</v>
      </c>
      <c r="B1545" s="600">
        <v>3.1608000000000001</v>
      </c>
    </row>
    <row r="1546" spans="1:2">
      <c r="A1546" s="599">
        <v>39584</v>
      </c>
      <c r="B1546" s="600">
        <v>3.1577000000000002</v>
      </c>
    </row>
    <row r="1547" spans="1:2">
      <c r="A1547" s="599">
        <v>39587</v>
      </c>
      <c r="B1547" s="600">
        <v>3.1442999999999999</v>
      </c>
    </row>
    <row r="1548" spans="1:2">
      <c r="A1548" s="599">
        <v>39588</v>
      </c>
      <c r="B1548" s="600">
        <v>3.1438000000000001</v>
      </c>
    </row>
    <row r="1549" spans="1:2">
      <c r="A1549" s="599">
        <v>39589</v>
      </c>
      <c r="B1549" s="600">
        <v>3.1341999999999999</v>
      </c>
    </row>
    <row r="1550" spans="1:2">
      <c r="A1550" s="599">
        <v>39590</v>
      </c>
      <c r="B1550" s="600">
        <v>3.1326999999999998</v>
      </c>
    </row>
    <row r="1551" spans="1:2">
      <c r="A1551" s="599">
        <v>39591</v>
      </c>
      <c r="B1551" s="600">
        <v>3.1349999999999998</v>
      </c>
    </row>
    <row r="1552" spans="1:2">
      <c r="A1552" s="599">
        <v>39594</v>
      </c>
      <c r="B1552" s="600">
        <v>3.1389999999999998</v>
      </c>
    </row>
    <row r="1553" spans="1:4">
      <c r="A1553" s="599">
        <v>39595</v>
      </c>
      <c r="B1553" s="600">
        <v>3.1335000000000002</v>
      </c>
    </row>
    <row r="1554" spans="1:4">
      <c r="A1554" s="599">
        <v>39596</v>
      </c>
      <c r="B1554" s="600">
        <v>3.1175000000000002</v>
      </c>
    </row>
    <row r="1555" spans="1:4">
      <c r="A1555" s="599">
        <v>39597</v>
      </c>
      <c r="B1555" s="600">
        <v>3.1105</v>
      </c>
      <c r="D1555" s="613">
        <v>39569</v>
      </c>
    </row>
    <row r="1556" spans="1:4" ht="16.5" thickBot="1">
      <c r="A1556" s="605">
        <v>39598</v>
      </c>
      <c r="B1556" s="606">
        <v>3.0977999999999999</v>
      </c>
      <c r="D1556" s="604">
        <v>3.1511000000000005</v>
      </c>
    </row>
    <row r="1557" spans="1:4">
      <c r="A1557" s="607">
        <v>39601</v>
      </c>
      <c r="B1557" s="608">
        <v>3.0931999999999999</v>
      </c>
    </row>
    <row r="1558" spans="1:4">
      <c r="A1558" s="599">
        <v>39602</v>
      </c>
      <c r="B1558" s="600">
        <v>3.0724999999999998</v>
      </c>
    </row>
    <row r="1559" spans="1:4">
      <c r="A1559" s="599">
        <v>39603</v>
      </c>
      <c r="B1559" s="600">
        <v>3.06</v>
      </c>
      <c r="D1559" s="597"/>
    </row>
    <row r="1560" spans="1:4">
      <c r="A1560" s="599">
        <v>39604</v>
      </c>
      <c r="B1560" s="600">
        <v>3.0611999999999999</v>
      </c>
    </row>
    <row r="1561" spans="1:4">
      <c r="A1561" s="599">
        <v>39605</v>
      </c>
      <c r="B1561" s="600">
        <v>3.0565000000000002</v>
      </c>
    </row>
    <row r="1562" spans="1:4">
      <c r="A1562" s="599">
        <v>39608</v>
      </c>
      <c r="B1562" s="600">
        <v>3.0588000000000002</v>
      </c>
    </row>
    <row r="1563" spans="1:4">
      <c r="A1563" s="599">
        <v>39609</v>
      </c>
      <c r="B1563" s="600">
        <v>3.0634999999999999</v>
      </c>
    </row>
    <row r="1564" spans="1:4">
      <c r="A1564" s="599">
        <v>39610</v>
      </c>
      <c r="B1564" s="600">
        <v>3.0611999999999999</v>
      </c>
    </row>
    <row r="1565" spans="1:4">
      <c r="A1565" s="599">
        <v>39611</v>
      </c>
      <c r="B1565" s="600">
        <v>3.0527000000000002</v>
      </c>
    </row>
    <row r="1566" spans="1:4">
      <c r="A1566" s="599">
        <v>39612</v>
      </c>
      <c r="B1566" s="600">
        <v>3.0522999999999998</v>
      </c>
    </row>
    <row r="1567" spans="1:4">
      <c r="A1567" s="599">
        <v>39616</v>
      </c>
      <c r="B1567" s="600">
        <v>3.0343</v>
      </c>
    </row>
    <row r="1568" spans="1:4">
      <c r="A1568" s="599">
        <v>39617</v>
      </c>
      <c r="B1568" s="600">
        <v>3.0305</v>
      </c>
    </row>
    <row r="1569" spans="1:4">
      <c r="A1569" s="599">
        <v>39618</v>
      </c>
      <c r="B1569" s="600">
        <v>3.0272000000000001</v>
      </c>
    </row>
    <row r="1570" spans="1:4">
      <c r="A1570" s="599">
        <v>39619</v>
      </c>
      <c r="B1570" s="600">
        <v>3.024</v>
      </c>
    </row>
    <row r="1571" spans="1:4">
      <c r="A1571" s="599">
        <v>39622</v>
      </c>
      <c r="B1571" s="600">
        <v>3.0202</v>
      </c>
    </row>
    <row r="1572" spans="1:4">
      <c r="A1572" s="599">
        <v>39623</v>
      </c>
      <c r="B1572" s="600">
        <v>3.0127999999999999</v>
      </c>
    </row>
    <row r="1573" spans="1:4">
      <c r="A1573" s="599">
        <v>39624</v>
      </c>
      <c r="B1573" s="600">
        <v>3.0150000000000001</v>
      </c>
    </row>
    <row r="1574" spans="1:4">
      <c r="A1574" s="599">
        <v>39625</v>
      </c>
      <c r="B1574" s="600">
        <v>3.0222000000000002</v>
      </c>
    </row>
    <row r="1575" spans="1:4">
      <c r="A1575" s="599">
        <v>39626</v>
      </c>
      <c r="B1575" s="600">
        <v>3.0247000000000002</v>
      </c>
      <c r="D1575" s="613">
        <v>39600</v>
      </c>
    </row>
    <row r="1576" spans="1:4" ht="16.5" thickBot="1">
      <c r="A1576" s="605">
        <v>39629</v>
      </c>
      <c r="B1576" s="606">
        <v>3.0242</v>
      </c>
      <c r="D1576" s="604">
        <v>3.0433500000000007</v>
      </c>
    </row>
    <row r="1577" spans="1:4">
      <c r="A1577" s="607">
        <v>39630</v>
      </c>
      <c r="B1577" s="608">
        <v>3.0242</v>
      </c>
    </row>
    <row r="1578" spans="1:4">
      <c r="A1578" s="599">
        <v>39631</v>
      </c>
      <c r="B1578" s="600">
        <v>3.0198</v>
      </c>
    </row>
    <row r="1579" spans="1:4">
      <c r="A1579" s="599">
        <v>39632</v>
      </c>
      <c r="B1579" s="600">
        <v>3.0266999999999999</v>
      </c>
    </row>
    <row r="1580" spans="1:4">
      <c r="A1580" s="599">
        <v>39633</v>
      </c>
      <c r="B1580" s="600">
        <v>3.0287999999999999</v>
      </c>
    </row>
    <row r="1581" spans="1:4">
      <c r="A1581" s="599">
        <v>39636</v>
      </c>
      <c r="B1581" s="600">
        <v>3.0194999999999999</v>
      </c>
    </row>
    <row r="1582" spans="1:4">
      <c r="A1582" s="599">
        <v>39637</v>
      </c>
      <c r="B1582" s="600">
        <v>3.0143</v>
      </c>
    </row>
    <row r="1583" spans="1:4">
      <c r="A1583" s="599">
        <v>39639</v>
      </c>
      <c r="B1583" s="600">
        <v>3.0158</v>
      </c>
    </row>
    <row r="1584" spans="1:4">
      <c r="A1584" s="599">
        <v>39640</v>
      </c>
      <c r="B1584" s="600">
        <v>3.0211999999999999</v>
      </c>
    </row>
    <row r="1585" spans="1:4">
      <c r="A1585" s="599">
        <v>39643</v>
      </c>
      <c r="B1585" s="600">
        <v>3.0255000000000001</v>
      </c>
    </row>
    <row r="1586" spans="1:4">
      <c r="A1586" s="599">
        <v>39644</v>
      </c>
      <c r="B1586" s="600">
        <v>3.0226999999999999</v>
      </c>
    </row>
    <row r="1587" spans="1:4">
      <c r="A1587" s="599">
        <v>39645</v>
      </c>
      <c r="B1587" s="600">
        <v>3.0255000000000001</v>
      </c>
    </row>
    <row r="1588" spans="1:4">
      <c r="A1588" s="599">
        <v>39646</v>
      </c>
      <c r="B1588" s="600">
        <v>3.0219999999999998</v>
      </c>
    </row>
    <row r="1589" spans="1:4">
      <c r="A1589" s="599">
        <v>39647</v>
      </c>
      <c r="B1589" s="600">
        <v>3.0238</v>
      </c>
    </row>
    <row r="1590" spans="1:4">
      <c r="A1590" s="599">
        <v>39650</v>
      </c>
      <c r="B1590" s="600">
        <v>3.0238</v>
      </c>
    </row>
    <row r="1591" spans="1:4">
      <c r="A1591" s="599">
        <v>39651</v>
      </c>
      <c r="B1591" s="600">
        <v>3.0251999999999999</v>
      </c>
    </row>
    <row r="1592" spans="1:4">
      <c r="A1592" s="599">
        <v>39652</v>
      </c>
      <c r="B1592" s="600">
        <v>3.0222000000000002</v>
      </c>
    </row>
    <row r="1593" spans="1:4">
      <c r="A1593" s="599">
        <v>39653</v>
      </c>
      <c r="B1593" s="600">
        <v>3.0152999999999999</v>
      </c>
    </row>
    <row r="1594" spans="1:4">
      <c r="A1594" s="599">
        <v>39654</v>
      </c>
      <c r="B1594" s="600">
        <v>3.0173000000000001</v>
      </c>
    </row>
    <row r="1595" spans="1:4">
      <c r="A1595" s="599">
        <v>39657</v>
      </c>
      <c r="B1595" s="600">
        <v>3.0185</v>
      </c>
    </row>
    <row r="1596" spans="1:4">
      <c r="A1596" s="599">
        <v>39658</v>
      </c>
      <c r="B1596" s="600">
        <v>3.0232000000000001</v>
      </c>
    </row>
    <row r="1597" spans="1:4">
      <c r="A1597" s="599">
        <v>39659</v>
      </c>
      <c r="B1597" s="600">
        <v>3.0257999999999998</v>
      </c>
      <c r="D1597" s="613">
        <v>39630</v>
      </c>
    </row>
    <row r="1598" spans="1:4" ht="16.5" thickBot="1">
      <c r="A1598" s="605">
        <v>39660</v>
      </c>
      <c r="B1598" s="606">
        <v>3.0305</v>
      </c>
      <c r="D1598" s="604">
        <v>3.0223454545454547</v>
      </c>
    </row>
    <row r="1599" spans="1:4">
      <c r="A1599" s="607">
        <v>39661</v>
      </c>
      <c r="B1599" s="608">
        <v>3.04</v>
      </c>
    </row>
    <row r="1600" spans="1:4">
      <c r="A1600" s="599">
        <v>39664</v>
      </c>
      <c r="B1600" s="600">
        <v>3.0377999999999998</v>
      </c>
    </row>
    <row r="1601" spans="1:2">
      <c r="A1601" s="599">
        <v>39665</v>
      </c>
      <c r="B1601" s="600">
        <v>3.0394999999999999</v>
      </c>
    </row>
    <row r="1602" spans="1:2">
      <c r="A1602" s="599">
        <v>39666</v>
      </c>
      <c r="B1602" s="600">
        <v>3.0432000000000001</v>
      </c>
    </row>
    <row r="1603" spans="1:2">
      <c r="A1603" s="599">
        <v>39667</v>
      </c>
      <c r="B1603" s="600">
        <v>3.0461999999999998</v>
      </c>
    </row>
    <row r="1604" spans="1:2">
      <c r="A1604" s="599">
        <v>39668</v>
      </c>
      <c r="B1604" s="600">
        <v>3.0522</v>
      </c>
    </row>
    <row r="1605" spans="1:2">
      <c r="A1605" s="599">
        <v>39671</v>
      </c>
      <c r="B1605" s="600">
        <v>3.0434999999999999</v>
      </c>
    </row>
    <row r="1606" spans="1:2">
      <c r="A1606" s="599">
        <v>39672</v>
      </c>
      <c r="B1606" s="600">
        <v>3.0337999999999998</v>
      </c>
    </row>
    <row r="1607" spans="1:2">
      <c r="A1607" s="599">
        <v>39673</v>
      </c>
      <c r="B1607" s="600">
        <v>3.0352999999999999</v>
      </c>
    </row>
    <row r="1608" spans="1:2">
      <c r="A1608" s="599">
        <v>39674</v>
      </c>
      <c r="B1608" s="600">
        <v>3.0285000000000002</v>
      </c>
    </row>
    <row r="1609" spans="1:2">
      <c r="A1609" s="599">
        <v>39675</v>
      </c>
      <c r="B1609" s="600">
        <v>3.0285000000000002</v>
      </c>
    </row>
    <row r="1610" spans="1:2">
      <c r="A1610" s="599">
        <v>39679</v>
      </c>
      <c r="B1610" s="600">
        <v>3.0289999999999999</v>
      </c>
    </row>
    <row r="1611" spans="1:2">
      <c r="A1611" s="599">
        <v>39680</v>
      </c>
      <c r="B1611" s="600">
        <v>3.0270000000000001</v>
      </c>
    </row>
    <row r="1612" spans="1:2">
      <c r="A1612" s="599">
        <v>39681</v>
      </c>
      <c r="B1612" s="600">
        <v>3.0253000000000001</v>
      </c>
    </row>
    <row r="1613" spans="1:2">
      <c r="A1613" s="599">
        <v>39682</v>
      </c>
      <c r="B1613" s="600">
        <v>3.0228000000000002</v>
      </c>
    </row>
    <row r="1614" spans="1:2">
      <c r="A1614" s="599">
        <v>39685</v>
      </c>
      <c r="B1614" s="600">
        <v>3.0238</v>
      </c>
    </row>
    <row r="1615" spans="1:2">
      <c r="A1615" s="599">
        <v>39686</v>
      </c>
      <c r="B1615" s="600">
        <v>3.0259999999999998</v>
      </c>
    </row>
    <row r="1616" spans="1:2">
      <c r="A1616" s="599">
        <v>39687</v>
      </c>
      <c r="B1616" s="600">
        <v>3.0278</v>
      </c>
    </row>
    <row r="1617" spans="1:4">
      <c r="A1617" s="599">
        <v>39688</v>
      </c>
      <c r="B1617" s="600">
        <v>3.0265</v>
      </c>
      <c r="D1617" s="613">
        <v>39661</v>
      </c>
    </row>
    <row r="1618" spans="1:4" ht="16.5" thickBot="1">
      <c r="A1618" s="605">
        <v>39689</v>
      </c>
      <c r="B1618" s="606">
        <v>3.0287999999999999</v>
      </c>
      <c r="D1618" s="604">
        <v>3.0332750000000002</v>
      </c>
    </row>
    <row r="1619" spans="1:4">
      <c r="A1619" s="617">
        <v>39692</v>
      </c>
      <c r="B1619" s="618">
        <v>3.0305</v>
      </c>
    </row>
    <row r="1620" spans="1:4">
      <c r="A1620" s="619">
        <v>39693</v>
      </c>
      <c r="B1620" s="620">
        <v>3.0316999999999998</v>
      </c>
    </row>
    <row r="1621" spans="1:4">
      <c r="A1621" s="619">
        <v>39694</v>
      </c>
      <c r="B1621" s="620">
        <v>3.0461999999999998</v>
      </c>
    </row>
    <row r="1622" spans="1:4">
      <c r="A1622" s="619">
        <v>39695</v>
      </c>
      <c r="B1622" s="620">
        <v>3.0392000000000001</v>
      </c>
    </row>
    <row r="1623" spans="1:4">
      <c r="A1623" s="619">
        <v>39696</v>
      </c>
      <c r="B1623" s="620">
        <v>3.0388000000000002</v>
      </c>
    </row>
    <row r="1624" spans="1:4">
      <c r="A1624" s="619">
        <v>39699</v>
      </c>
      <c r="B1624" s="620">
        <v>3.0415000000000001</v>
      </c>
    </row>
    <row r="1625" spans="1:4">
      <c r="A1625" s="619">
        <v>39700</v>
      </c>
      <c r="B1625" s="620">
        <v>3.0548000000000002</v>
      </c>
    </row>
    <row r="1626" spans="1:4">
      <c r="A1626" s="619">
        <v>39701</v>
      </c>
      <c r="B1626" s="620">
        <v>3.0680000000000001</v>
      </c>
    </row>
    <row r="1627" spans="1:4">
      <c r="A1627" s="619">
        <v>39702</v>
      </c>
      <c r="B1627" s="620">
        <v>3.0867</v>
      </c>
    </row>
    <row r="1628" spans="1:4">
      <c r="A1628" s="619">
        <v>39703</v>
      </c>
      <c r="B1628" s="620">
        <v>3.0802</v>
      </c>
    </row>
    <row r="1629" spans="1:4">
      <c r="A1629" s="619">
        <v>39706</v>
      </c>
      <c r="B1629" s="620">
        <v>3.0876999999999999</v>
      </c>
    </row>
    <row r="1630" spans="1:4">
      <c r="A1630" s="619">
        <v>39707</v>
      </c>
      <c r="B1630" s="620">
        <v>3.0945</v>
      </c>
    </row>
    <row r="1631" spans="1:4">
      <c r="A1631" s="619">
        <v>39708</v>
      </c>
      <c r="B1631" s="620">
        <v>3.0996999999999999</v>
      </c>
    </row>
    <row r="1632" spans="1:4">
      <c r="A1632" s="619">
        <v>39709</v>
      </c>
      <c r="B1632" s="620">
        <v>3.113</v>
      </c>
    </row>
    <row r="1633" spans="1:4">
      <c r="A1633" s="619">
        <v>39710</v>
      </c>
      <c r="B1633" s="620">
        <v>3.1057999999999999</v>
      </c>
    </row>
    <row r="1634" spans="1:4">
      <c r="A1634" s="619">
        <v>39713</v>
      </c>
      <c r="B1634" s="620">
        <v>3.1135000000000002</v>
      </c>
    </row>
    <row r="1635" spans="1:4">
      <c r="A1635" s="619">
        <v>39714</v>
      </c>
      <c r="B1635" s="620">
        <v>3.1027</v>
      </c>
    </row>
    <row r="1636" spans="1:4">
      <c r="A1636" s="619">
        <v>39715</v>
      </c>
      <c r="B1636" s="620">
        <v>3.1021999999999998</v>
      </c>
    </row>
    <row r="1637" spans="1:4">
      <c r="A1637" s="619">
        <v>39716</v>
      </c>
      <c r="B1637" s="620">
        <v>3.1095000000000002</v>
      </c>
    </row>
    <row r="1638" spans="1:4">
      <c r="A1638" s="619">
        <v>39717</v>
      </c>
      <c r="B1638" s="620">
        <v>3.1158000000000001</v>
      </c>
    </row>
    <row r="1639" spans="1:4">
      <c r="A1639" s="619">
        <v>39720</v>
      </c>
      <c r="B1639" s="620">
        <v>3.1198000000000001</v>
      </c>
      <c r="D1639" s="613">
        <v>39692</v>
      </c>
    </row>
    <row r="1640" spans="1:4" ht="16.5" thickBot="1">
      <c r="A1640" s="621">
        <v>39721</v>
      </c>
      <c r="B1640" s="622">
        <v>3.1301999999999999</v>
      </c>
      <c r="D1640" s="604">
        <v>3.0823636363636369</v>
      </c>
    </row>
    <row r="1641" spans="1:4">
      <c r="A1641" s="617">
        <v>39722</v>
      </c>
      <c r="B1641" s="618">
        <v>3.1349999999999998</v>
      </c>
    </row>
    <row r="1642" spans="1:4">
      <c r="A1642" s="619">
        <v>39723</v>
      </c>
      <c r="B1642" s="620">
        <v>3.1395</v>
      </c>
    </row>
    <row r="1643" spans="1:4">
      <c r="A1643" s="619">
        <v>39724</v>
      </c>
      <c r="B1643" s="620">
        <v>3.1615000000000002</v>
      </c>
    </row>
    <row r="1644" spans="1:4">
      <c r="A1644" s="619">
        <v>39727</v>
      </c>
      <c r="B1644" s="620">
        <v>3.1949999999999998</v>
      </c>
    </row>
    <row r="1645" spans="1:4">
      <c r="A1645" s="619">
        <v>39728</v>
      </c>
      <c r="B1645" s="620">
        <v>3.2115</v>
      </c>
    </row>
    <row r="1646" spans="1:4">
      <c r="A1646" s="619">
        <v>39729</v>
      </c>
      <c r="B1646" s="620">
        <v>3.2222</v>
      </c>
    </row>
    <row r="1647" spans="1:4">
      <c r="A1647" s="619">
        <v>39730</v>
      </c>
      <c r="B1647" s="620">
        <v>3.2267999999999999</v>
      </c>
    </row>
    <row r="1648" spans="1:4">
      <c r="A1648" s="619">
        <v>39731</v>
      </c>
      <c r="B1648" s="620">
        <v>3.2551999999999999</v>
      </c>
    </row>
    <row r="1649" spans="1:4">
      <c r="A1649" s="619">
        <v>39735</v>
      </c>
      <c r="B1649" s="620">
        <v>3.2061999999999999</v>
      </c>
    </row>
    <row r="1650" spans="1:4">
      <c r="A1650" s="619">
        <v>39736</v>
      </c>
      <c r="B1650" s="620">
        <v>3.2012999999999998</v>
      </c>
    </row>
    <row r="1651" spans="1:4">
      <c r="A1651" s="619">
        <v>39737</v>
      </c>
      <c r="B1651" s="620">
        <v>3.2037</v>
      </c>
    </row>
    <row r="1652" spans="1:4">
      <c r="A1652" s="619">
        <v>39738</v>
      </c>
      <c r="B1652" s="620">
        <v>3.2069999999999999</v>
      </c>
    </row>
    <row r="1653" spans="1:4">
      <c r="A1653" s="619">
        <v>39741</v>
      </c>
      <c r="B1653" s="620">
        <v>3.2178</v>
      </c>
    </row>
    <row r="1654" spans="1:4">
      <c r="A1654" s="619">
        <v>39742</v>
      </c>
      <c r="B1654" s="620">
        <v>3.2235</v>
      </c>
    </row>
    <row r="1655" spans="1:4">
      <c r="A1655" s="619">
        <v>39743</v>
      </c>
      <c r="B1655" s="620">
        <v>3.2162999999999999</v>
      </c>
    </row>
    <row r="1656" spans="1:4">
      <c r="A1656" s="619">
        <v>39744</v>
      </c>
      <c r="B1656" s="620">
        <v>3.2425000000000002</v>
      </c>
    </row>
    <row r="1657" spans="1:4">
      <c r="A1657" s="619">
        <v>39745</v>
      </c>
      <c r="B1657" s="620">
        <v>3.2645</v>
      </c>
    </row>
    <row r="1658" spans="1:4">
      <c r="A1658" s="619">
        <v>39748</v>
      </c>
      <c r="B1658" s="620">
        <v>3.2877999999999998</v>
      </c>
    </row>
    <row r="1659" spans="1:4">
      <c r="A1659" s="619">
        <v>39749</v>
      </c>
      <c r="B1659" s="620">
        <v>3.3088000000000002</v>
      </c>
    </row>
    <row r="1660" spans="1:4">
      <c r="A1660" s="619">
        <v>39750</v>
      </c>
      <c r="B1660" s="620">
        <v>3.3797000000000001</v>
      </c>
    </row>
    <row r="1661" spans="1:4">
      <c r="A1661" s="619">
        <v>39751</v>
      </c>
      <c r="B1661" s="620">
        <v>3.3626999999999998</v>
      </c>
      <c r="D1661" s="613">
        <v>39722</v>
      </c>
    </row>
    <row r="1662" spans="1:4" ht="16.5" thickBot="1">
      <c r="A1662" s="621">
        <v>39752</v>
      </c>
      <c r="B1662" s="622">
        <v>3.379</v>
      </c>
      <c r="D1662" s="604">
        <v>3.2385227272727275</v>
      </c>
    </row>
    <row r="1663" spans="1:4">
      <c r="A1663" s="617">
        <v>39755</v>
      </c>
      <c r="B1663" s="618">
        <v>3.38</v>
      </c>
    </row>
    <row r="1664" spans="1:4">
      <c r="A1664" s="619">
        <v>39756</v>
      </c>
      <c r="B1664" s="620">
        <v>3.3687</v>
      </c>
    </row>
    <row r="1665" spans="1:4">
      <c r="A1665" s="619">
        <v>39757</v>
      </c>
      <c r="B1665" s="620">
        <v>3.3041999999999998</v>
      </c>
    </row>
    <row r="1666" spans="1:4">
      <c r="A1666" s="619">
        <v>39759</v>
      </c>
      <c r="B1666" s="620">
        <v>3.3092999999999999</v>
      </c>
    </row>
    <row r="1667" spans="1:4">
      <c r="A1667" s="619">
        <v>39762</v>
      </c>
      <c r="B1667" s="620">
        <v>3.3033000000000001</v>
      </c>
    </row>
    <row r="1668" spans="1:4">
      <c r="A1668" s="619">
        <v>39763</v>
      </c>
      <c r="B1668" s="620">
        <v>3.2993000000000001</v>
      </c>
    </row>
    <row r="1669" spans="1:4">
      <c r="A1669" s="619">
        <v>39764</v>
      </c>
      <c r="B1669" s="620">
        <v>3.302</v>
      </c>
    </row>
    <row r="1670" spans="1:4">
      <c r="A1670" s="619">
        <v>39765</v>
      </c>
      <c r="B1670" s="620">
        <v>3.3083</v>
      </c>
    </row>
    <row r="1671" spans="1:4">
      <c r="A1671" s="619">
        <v>39766</v>
      </c>
      <c r="B1671" s="620">
        <v>3.3107000000000002</v>
      </c>
    </row>
    <row r="1672" spans="1:4">
      <c r="A1672" s="619">
        <v>39769</v>
      </c>
      <c r="B1672" s="620">
        <v>3.3176999999999999</v>
      </c>
    </row>
    <row r="1673" spans="1:4">
      <c r="A1673" s="619">
        <v>39770</v>
      </c>
      <c r="B1673" s="620">
        <v>3.3174999999999999</v>
      </c>
    </row>
    <row r="1674" spans="1:4">
      <c r="A1674" s="619">
        <v>39771</v>
      </c>
      <c r="B1674" s="620">
        <v>3.3268</v>
      </c>
    </row>
    <row r="1675" spans="1:4">
      <c r="A1675" s="619">
        <v>39772</v>
      </c>
      <c r="B1675" s="620">
        <v>3.3281999999999998</v>
      </c>
    </row>
    <row r="1676" spans="1:4">
      <c r="A1676" s="619">
        <v>39773</v>
      </c>
      <c r="B1676" s="620">
        <v>3.3328000000000002</v>
      </c>
    </row>
    <row r="1677" spans="1:4">
      <c r="A1677" s="619">
        <v>39776</v>
      </c>
      <c r="B1677" s="620">
        <v>3.3368000000000002</v>
      </c>
    </row>
    <row r="1678" spans="1:4">
      <c r="A1678" s="619">
        <v>39777</v>
      </c>
      <c r="B1678" s="620">
        <v>3.339</v>
      </c>
    </row>
    <row r="1679" spans="1:4">
      <c r="A1679" s="619">
        <v>39778</v>
      </c>
      <c r="B1679" s="620">
        <v>3.3454999999999999</v>
      </c>
    </row>
    <row r="1680" spans="1:4">
      <c r="A1680" s="619">
        <v>39779</v>
      </c>
      <c r="B1680" s="620">
        <v>3.3552</v>
      </c>
      <c r="D1680" s="613">
        <v>39753</v>
      </c>
    </row>
    <row r="1681" spans="1:4" ht="16.5" thickBot="1">
      <c r="A1681" s="621">
        <v>39780</v>
      </c>
      <c r="B1681" s="622">
        <v>3.3690000000000002</v>
      </c>
      <c r="D1681" s="604">
        <v>3.3291736842105264</v>
      </c>
    </row>
    <row r="1682" spans="1:4">
      <c r="A1682" s="617">
        <v>39783</v>
      </c>
      <c r="B1682" s="618">
        <v>3.3763000000000001</v>
      </c>
    </row>
    <row r="1683" spans="1:4">
      <c r="A1683" s="619">
        <v>39784</v>
      </c>
      <c r="B1683" s="620">
        <v>3.3919999999999999</v>
      </c>
    </row>
    <row r="1684" spans="1:4">
      <c r="A1684" s="619">
        <v>39785</v>
      </c>
      <c r="B1684" s="620">
        <v>3.4041999999999999</v>
      </c>
    </row>
    <row r="1685" spans="1:4">
      <c r="A1685" s="619">
        <v>39786</v>
      </c>
      <c r="B1685" s="620">
        <v>3.4277000000000002</v>
      </c>
    </row>
    <row r="1686" spans="1:4">
      <c r="A1686" s="619">
        <v>39787</v>
      </c>
      <c r="B1686" s="620">
        <v>3.4487999999999999</v>
      </c>
    </row>
    <row r="1687" spans="1:4">
      <c r="A1687" s="619">
        <v>39791</v>
      </c>
      <c r="B1687" s="620">
        <v>3.4417</v>
      </c>
    </row>
    <row r="1688" spans="1:4">
      <c r="A1688" s="619">
        <v>39792</v>
      </c>
      <c r="B1688" s="620">
        <v>3.4201999999999999</v>
      </c>
    </row>
    <row r="1689" spans="1:4">
      <c r="A1689" s="619">
        <v>39793</v>
      </c>
      <c r="B1689" s="620">
        <v>3.4131999999999998</v>
      </c>
    </row>
    <row r="1690" spans="1:4">
      <c r="A1690" s="619">
        <v>39794</v>
      </c>
      <c r="B1690" s="620">
        <v>3.4165000000000001</v>
      </c>
    </row>
    <row r="1691" spans="1:4">
      <c r="A1691" s="619">
        <v>39797</v>
      </c>
      <c r="B1691" s="620">
        <v>3.4306999999999999</v>
      </c>
    </row>
    <row r="1692" spans="1:4">
      <c r="A1692" s="619">
        <v>39798</v>
      </c>
      <c r="B1692" s="620">
        <v>3.4182999999999999</v>
      </c>
    </row>
    <row r="1693" spans="1:4">
      <c r="A1693" s="619">
        <v>39799</v>
      </c>
      <c r="B1693" s="620">
        <v>3.3997999999999999</v>
      </c>
    </row>
    <row r="1694" spans="1:4">
      <c r="A1694" s="619">
        <v>39800</v>
      </c>
      <c r="B1694" s="620">
        <v>3.4089999999999998</v>
      </c>
    </row>
    <row r="1695" spans="1:4">
      <c r="A1695" s="619">
        <v>39801</v>
      </c>
      <c r="B1695" s="620">
        <v>3.4062000000000001</v>
      </c>
    </row>
    <row r="1696" spans="1:4">
      <c r="A1696" s="619">
        <v>39804</v>
      </c>
      <c r="B1696" s="620">
        <v>3.4182000000000001</v>
      </c>
    </row>
    <row r="1697" spans="1:4">
      <c r="A1697" s="619">
        <v>39805</v>
      </c>
      <c r="B1697" s="620">
        <v>3.4291999999999998</v>
      </c>
    </row>
    <row r="1698" spans="1:4">
      <c r="A1698" s="619">
        <v>39806</v>
      </c>
      <c r="B1698" s="620">
        <v>3.4363000000000001</v>
      </c>
    </row>
    <row r="1699" spans="1:4">
      <c r="A1699" s="619">
        <v>39808</v>
      </c>
      <c r="B1699" s="620">
        <v>3.4420000000000002</v>
      </c>
    </row>
    <row r="1700" spans="1:4">
      <c r="A1700" s="619">
        <v>39811</v>
      </c>
      <c r="B1700" s="620">
        <v>3.4415</v>
      </c>
    </row>
    <row r="1701" spans="1:4">
      <c r="A1701" s="619">
        <v>39812</v>
      </c>
      <c r="B1701" s="620">
        <v>3.4498000000000002</v>
      </c>
      <c r="D1701" s="613">
        <v>39783</v>
      </c>
    </row>
    <row r="1702" spans="1:4" ht="16.5" thickBot="1">
      <c r="A1702" s="621">
        <v>39813</v>
      </c>
      <c r="B1702" s="622">
        <v>3.4537</v>
      </c>
      <c r="D1702" s="604">
        <v>3.4226333333333332</v>
      </c>
    </row>
    <row r="1703" spans="1:4">
      <c r="A1703" s="617">
        <v>39815</v>
      </c>
      <c r="B1703" s="618">
        <v>3.4542999999999999</v>
      </c>
    </row>
    <row r="1704" spans="1:4">
      <c r="A1704" s="619">
        <v>39818</v>
      </c>
      <c r="B1704" s="620">
        <v>3.4603000000000002</v>
      </c>
    </row>
    <row r="1705" spans="1:4">
      <c r="A1705" s="619">
        <v>39819</v>
      </c>
      <c r="B1705" s="620">
        <v>3.4502000000000002</v>
      </c>
    </row>
    <row r="1706" spans="1:4">
      <c r="A1706" s="619">
        <v>39820</v>
      </c>
      <c r="B1706" s="620">
        <v>3.4567999999999999</v>
      </c>
    </row>
    <row r="1707" spans="1:4">
      <c r="A1707" s="619">
        <v>39821</v>
      </c>
      <c r="B1707" s="620">
        <v>3.4546999999999999</v>
      </c>
    </row>
    <row r="1708" spans="1:4">
      <c r="A1708" s="619">
        <v>39822</v>
      </c>
      <c r="B1708" s="620">
        <v>3.4497</v>
      </c>
    </row>
    <row r="1709" spans="1:4">
      <c r="A1709" s="619">
        <v>39825</v>
      </c>
      <c r="B1709" s="620">
        <v>3.45</v>
      </c>
    </row>
    <row r="1710" spans="1:4">
      <c r="A1710" s="619">
        <v>39826</v>
      </c>
      <c r="B1710" s="620">
        <v>3.4504999999999999</v>
      </c>
    </row>
    <row r="1711" spans="1:4">
      <c r="A1711" s="619">
        <v>39827</v>
      </c>
      <c r="B1711" s="620">
        <v>3.4510000000000001</v>
      </c>
    </row>
    <row r="1712" spans="1:4">
      <c r="A1712" s="619">
        <v>39828</v>
      </c>
      <c r="B1712" s="620">
        <v>3.4525000000000001</v>
      </c>
    </row>
    <row r="1713" spans="1:4">
      <c r="A1713" s="619">
        <v>39829</v>
      </c>
      <c r="B1713" s="620">
        <v>3.4548000000000001</v>
      </c>
    </row>
    <row r="1714" spans="1:4">
      <c r="A1714" s="619">
        <v>39832</v>
      </c>
      <c r="B1714" s="620">
        <v>3.4571999999999998</v>
      </c>
    </row>
    <row r="1715" spans="1:4">
      <c r="A1715" s="619">
        <v>39833</v>
      </c>
      <c r="B1715" s="620">
        <v>3.4584999999999999</v>
      </c>
    </row>
    <row r="1716" spans="1:4">
      <c r="A1716" s="619">
        <v>39834</v>
      </c>
      <c r="B1716" s="620">
        <v>3.4653</v>
      </c>
    </row>
    <row r="1717" spans="1:4">
      <c r="A1717" s="619">
        <v>39835</v>
      </c>
      <c r="B1717" s="620">
        <v>3.4735</v>
      </c>
    </row>
    <row r="1718" spans="1:4">
      <c r="A1718" s="619">
        <v>39836</v>
      </c>
      <c r="B1718" s="620">
        <v>3.4780000000000002</v>
      </c>
    </row>
    <row r="1719" spans="1:4">
      <c r="A1719" s="619">
        <v>39839</v>
      </c>
      <c r="B1719" s="620">
        <v>3.4842</v>
      </c>
    </row>
    <row r="1720" spans="1:4">
      <c r="A1720" s="619">
        <v>39840</v>
      </c>
      <c r="B1720" s="620">
        <v>3.4823</v>
      </c>
    </row>
    <row r="1721" spans="1:4">
      <c r="A1721" s="619">
        <v>39841</v>
      </c>
      <c r="B1721" s="620">
        <v>3.4855</v>
      </c>
    </row>
    <row r="1722" spans="1:4">
      <c r="A1722" s="619">
        <v>39842</v>
      </c>
      <c r="B1722" s="620">
        <v>3.4874999999999998</v>
      </c>
      <c r="D1722" s="613">
        <v>39814</v>
      </c>
    </row>
    <row r="1723" spans="1:4" ht="16.5" thickBot="1">
      <c r="A1723" s="621">
        <v>39843</v>
      </c>
      <c r="B1723" s="622">
        <v>3.4874999999999998</v>
      </c>
      <c r="D1723" s="604">
        <v>3.4640142857142857</v>
      </c>
    </row>
    <row r="1724" spans="1:4">
      <c r="A1724" s="617">
        <v>39846</v>
      </c>
      <c r="B1724" s="618">
        <v>3.4887999999999999</v>
      </c>
    </row>
    <row r="1725" spans="1:4">
      <c r="A1725" s="619">
        <v>39847</v>
      </c>
      <c r="B1725" s="620">
        <v>3.496</v>
      </c>
    </row>
    <row r="1726" spans="1:4">
      <c r="A1726" s="619">
        <v>39848</v>
      </c>
      <c r="B1726" s="620">
        <v>3.4956999999999998</v>
      </c>
    </row>
    <row r="1727" spans="1:4">
      <c r="A1727" s="619">
        <v>39849</v>
      </c>
      <c r="B1727" s="620">
        <v>3.4870000000000001</v>
      </c>
    </row>
    <row r="1728" spans="1:4">
      <c r="A1728" s="619">
        <v>39850</v>
      </c>
      <c r="B1728" s="620">
        <v>3.4860000000000002</v>
      </c>
    </row>
    <row r="1729" spans="1:4">
      <c r="A1729" s="619">
        <v>39853</v>
      </c>
      <c r="B1729" s="620">
        <v>3.4876999999999998</v>
      </c>
    </row>
    <row r="1730" spans="1:4">
      <c r="A1730" s="619">
        <v>39854</v>
      </c>
      <c r="B1730" s="620">
        <v>3.488</v>
      </c>
    </row>
    <row r="1731" spans="1:4">
      <c r="A1731" s="619">
        <v>39855</v>
      </c>
      <c r="B1731" s="620">
        <v>3.4868000000000001</v>
      </c>
    </row>
    <row r="1732" spans="1:4">
      <c r="A1732" s="619">
        <v>39856</v>
      </c>
      <c r="B1732" s="620">
        <v>3.4929999999999999</v>
      </c>
    </row>
    <row r="1733" spans="1:4">
      <c r="A1733" s="619">
        <v>39857</v>
      </c>
      <c r="B1733" s="620">
        <v>3.4929999999999999</v>
      </c>
    </row>
    <row r="1734" spans="1:4">
      <c r="A1734" s="619">
        <v>39860</v>
      </c>
      <c r="B1734" s="620">
        <v>3.4971999999999999</v>
      </c>
    </row>
    <row r="1735" spans="1:4">
      <c r="A1735" s="619">
        <v>39861</v>
      </c>
      <c r="B1735" s="620">
        <v>3.5002</v>
      </c>
    </row>
    <row r="1736" spans="1:4">
      <c r="A1736" s="619">
        <v>39862</v>
      </c>
      <c r="B1736" s="620">
        <v>3.5076999999999998</v>
      </c>
    </row>
    <row r="1737" spans="1:4">
      <c r="A1737" s="619">
        <v>39863</v>
      </c>
      <c r="B1737" s="620">
        <v>3.5217999999999998</v>
      </c>
    </row>
    <row r="1738" spans="1:4">
      <c r="A1738" s="619">
        <v>39864</v>
      </c>
      <c r="B1738" s="620">
        <v>3.5377999999999998</v>
      </c>
    </row>
    <row r="1739" spans="1:4">
      <c r="A1739" s="619">
        <v>39867</v>
      </c>
      <c r="B1739" s="620">
        <v>3.5442999999999998</v>
      </c>
    </row>
    <row r="1740" spans="1:4">
      <c r="A1740" s="619">
        <v>39868</v>
      </c>
      <c r="B1740" s="620">
        <v>3.5518000000000001</v>
      </c>
    </row>
    <row r="1741" spans="1:4">
      <c r="A1741" s="619">
        <v>39869</v>
      </c>
      <c r="B1741" s="620">
        <v>3.5529999999999999</v>
      </c>
    </row>
    <row r="1742" spans="1:4">
      <c r="A1742" s="619">
        <v>39870</v>
      </c>
      <c r="B1742" s="620">
        <v>3.5550000000000002</v>
      </c>
      <c r="D1742" s="613">
        <v>39845</v>
      </c>
    </row>
    <row r="1743" spans="1:4" ht="16.5" thickBot="1">
      <c r="A1743" s="621">
        <v>39871</v>
      </c>
      <c r="B1743" s="622">
        <v>3.5594999999999999</v>
      </c>
      <c r="D1743" s="604">
        <v>3.5115149999999993</v>
      </c>
    </row>
    <row r="1744" spans="1:4">
      <c r="A1744" s="617">
        <v>39874</v>
      </c>
      <c r="B1744" s="618">
        <v>3.5905</v>
      </c>
    </row>
    <row r="1745" spans="1:2">
      <c r="A1745" s="619">
        <v>39875</v>
      </c>
      <c r="B1745" s="620">
        <v>3.6137999999999999</v>
      </c>
    </row>
    <row r="1746" spans="1:2">
      <c r="A1746" s="619">
        <v>39876</v>
      </c>
      <c r="B1746" s="620">
        <v>3.6143000000000001</v>
      </c>
    </row>
    <row r="1747" spans="1:2">
      <c r="A1747" s="619">
        <v>39877</v>
      </c>
      <c r="B1747" s="620">
        <v>3.6244999999999998</v>
      </c>
    </row>
    <row r="1748" spans="1:2">
      <c r="A1748" s="619">
        <v>39878</v>
      </c>
      <c r="B1748" s="620">
        <v>3.6282999999999999</v>
      </c>
    </row>
    <row r="1749" spans="1:2">
      <c r="A1749" s="619">
        <v>39881</v>
      </c>
      <c r="B1749" s="620">
        <v>3.6377000000000002</v>
      </c>
    </row>
    <row r="1750" spans="1:2">
      <c r="A1750" s="619">
        <v>39882</v>
      </c>
      <c r="B1750" s="620">
        <v>3.6387999999999998</v>
      </c>
    </row>
    <row r="1751" spans="1:2">
      <c r="A1751" s="619">
        <v>39883</v>
      </c>
      <c r="B1751" s="620">
        <v>3.64</v>
      </c>
    </row>
    <row r="1752" spans="1:2">
      <c r="A1752" s="619">
        <v>39884</v>
      </c>
      <c r="B1752" s="620">
        <v>3.6469999999999998</v>
      </c>
    </row>
    <row r="1753" spans="1:2">
      <c r="A1753" s="619">
        <v>39885</v>
      </c>
      <c r="B1753" s="620">
        <v>3.6495000000000002</v>
      </c>
    </row>
    <row r="1754" spans="1:2">
      <c r="A1754" s="619">
        <v>39888</v>
      </c>
      <c r="B1754" s="620">
        <v>3.6497000000000002</v>
      </c>
    </row>
    <row r="1755" spans="1:2">
      <c r="A1755" s="619">
        <v>39889</v>
      </c>
      <c r="B1755" s="620">
        <v>3.6467000000000001</v>
      </c>
    </row>
    <row r="1756" spans="1:2">
      <c r="A1756" s="619">
        <v>39890</v>
      </c>
      <c r="B1756" s="620">
        <v>3.6526999999999998</v>
      </c>
    </row>
    <row r="1757" spans="1:2">
      <c r="A1757" s="619">
        <v>39891</v>
      </c>
      <c r="B1757" s="620">
        <v>3.6555</v>
      </c>
    </row>
    <row r="1758" spans="1:2">
      <c r="A1758" s="619">
        <v>39892</v>
      </c>
      <c r="B1758" s="620">
        <v>3.6547000000000001</v>
      </c>
    </row>
    <row r="1759" spans="1:2">
      <c r="A1759" s="619">
        <v>39895</v>
      </c>
      <c r="B1759" s="620">
        <v>3.6717</v>
      </c>
    </row>
    <row r="1760" spans="1:2">
      <c r="A1760" s="619">
        <v>39897</v>
      </c>
      <c r="B1760" s="620">
        <v>3.6858</v>
      </c>
    </row>
    <row r="1761" spans="1:4">
      <c r="A1761" s="619">
        <v>39898</v>
      </c>
      <c r="B1761" s="620">
        <v>3.6917</v>
      </c>
    </row>
    <row r="1762" spans="1:4">
      <c r="A1762" s="619">
        <v>39899</v>
      </c>
      <c r="B1762" s="620">
        <v>3.7103000000000002</v>
      </c>
    </row>
    <row r="1763" spans="1:4">
      <c r="A1763" s="619">
        <v>39902</v>
      </c>
      <c r="B1763" s="620">
        <v>3.7166999999999999</v>
      </c>
      <c r="D1763" s="613">
        <v>39873</v>
      </c>
    </row>
    <row r="1764" spans="1:4" ht="16.5" thickBot="1">
      <c r="A1764" s="621">
        <v>39903</v>
      </c>
      <c r="B1764" s="622">
        <v>3.7134999999999998</v>
      </c>
      <c r="D1764" s="604">
        <v>3.6539714285714293</v>
      </c>
    </row>
    <row r="1765" spans="1:4">
      <c r="A1765" s="617">
        <v>39904</v>
      </c>
      <c r="B1765" s="618">
        <v>3.7185000000000001</v>
      </c>
    </row>
    <row r="1766" spans="1:4">
      <c r="A1766" s="619">
        <v>39906</v>
      </c>
      <c r="B1766" s="620">
        <v>3.7017000000000002</v>
      </c>
    </row>
    <row r="1767" spans="1:4">
      <c r="A1767" s="619">
        <v>39909</v>
      </c>
      <c r="B1767" s="620">
        <v>3.6848000000000001</v>
      </c>
    </row>
    <row r="1768" spans="1:4">
      <c r="A1768" s="619">
        <v>39910</v>
      </c>
      <c r="B1768" s="620">
        <v>3.6738</v>
      </c>
    </row>
    <row r="1769" spans="1:4">
      <c r="A1769" s="619">
        <v>39911</v>
      </c>
      <c r="B1769" s="620">
        <v>3.6779999999999999</v>
      </c>
    </row>
    <row r="1770" spans="1:4">
      <c r="A1770" s="619">
        <v>39916</v>
      </c>
      <c r="B1770" s="620">
        <v>3.6777000000000002</v>
      </c>
    </row>
    <row r="1771" spans="1:4">
      <c r="A1771" s="619">
        <v>39917</v>
      </c>
      <c r="B1771" s="620">
        <v>3.6823000000000001</v>
      </c>
    </row>
    <row r="1772" spans="1:4">
      <c r="A1772" s="619">
        <v>39918</v>
      </c>
      <c r="B1772" s="620">
        <v>3.6772</v>
      </c>
    </row>
    <row r="1773" spans="1:4">
      <c r="A1773" s="619">
        <v>39919</v>
      </c>
      <c r="B1773" s="620">
        <v>3.6760000000000002</v>
      </c>
    </row>
    <row r="1774" spans="1:4">
      <c r="A1774" s="619">
        <v>39920</v>
      </c>
      <c r="B1774" s="620">
        <v>3.6798000000000002</v>
      </c>
    </row>
    <row r="1775" spans="1:4">
      <c r="A1775" s="619">
        <v>39923</v>
      </c>
      <c r="B1775" s="620">
        <v>3.6867999999999999</v>
      </c>
    </row>
    <row r="1776" spans="1:4">
      <c r="A1776" s="619">
        <v>39924</v>
      </c>
      <c r="B1776" s="620">
        <v>3.6924999999999999</v>
      </c>
    </row>
    <row r="1777" spans="1:4">
      <c r="A1777" s="619">
        <v>39925</v>
      </c>
      <c r="B1777" s="620">
        <v>3.6966999999999999</v>
      </c>
    </row>
    <row r="1778" spans="1:4">
      <c r="A1778" s="619">
        <v>39926</v>
      </c>
      <c r="B1778" s="620">
        <v>3.698</v>
      </c>
    </row>
    <row r="1779" spans="1:4">
      <c r="A1779" s="619">
        <v>39927</v>
      </c>
      <c r="B1779" s="620">
        <v>3.6966999999999999</v>
      </c>
    </row>
    <row r="1780" spans="1:4">
      <c r="A1780" s="619">
        <v>39930</v>
      </c>
      <c r="B1780" s="620">
        <v>3.7012</v>
      </c>
    </row>
    <row r="1781" spans="1:4">
      <c r="A1781" s="619">
        <v>39931</v>
      </c>
      <c r="B1781" s="620">
        <v>3.7118000000000002</v>
      </c>
    </row>
    <row r="1782" spans="1:4">
      <c r="A1782" s="619">
        <v>39932</v>
      </c>
      <c r="B1782" s="620">
        <v>3.7208000000000001</v>
      </c>
      <c r="D1782" s="613">
        <v>39904</v>
      </c>
    </row>
    <row r="1783" spans="1:4" ht="16.5" thickBot="1">
      <c r="A1783" s="621">
        <v>39933</v>
      </c>
      <c r="B1783" s="622">
        <v>3.7198000000000002</v>
      </c>
      <c r="D1783" s="604">
        <v>3.6933736842105267</v>
      </c>
    </row>
    <row r="1784" spans="1:4">
      <c r="A1784" s="617">
        <v>39937</v>
      </c>
      <c r="B1784" s="618">
        <v>3.6928000000000001</v>
      </c>
    </row>
    <row r="1785" spans="1:4">
      <c r="A1785" s="619">
        <v>39938</v>
      </c>
      <c r="B1785" s="620">
        <v>3.6945000000000001</v>
      </c>
    </row>
    <row r="1786" spans="1:4">
      <c r="A1786" s="619">
        <v>39939</v>
      </c>
      <c r="B1786" s="620">
        <v>3.7021999999999999</v>
      </c>
    </row>
    <row r="1787" spans="1:4">
      <c r="A1787" s="619">
        <v>39940</v>
      </c>
      <c r="B1787" s="620">
        <v>3.7151999999999998</v>
      </c>
    </row>
    <row r="1788" spans="1:4">
      <c r="A1788" s="619">
        <v>39941</v>
      </c>
      <c r="B1788" s="620">
        <v>3.7198000000000002</v>
      </c>
    </row>
    <row r="1789" spans="1:4">
      <c r="A1789" s="619">
        <v>39944</v>
      </c>
      <c r="B1789" s="620">
        <v>3.7187000000000001</v>
      </c>
    </row>
    <row r="1790" spans="1:4">
      <c r="A1790" s="619">
        <v>39945</v>
      </c>
      <c r="B1790" s="620">
        <v>3.72</v>
      </c>
    </row>
    <row r="1791" spans="1:4">
      <c r="A1791" s="619">
        <v>39946</v>
      </c>
      <c r="B1791" s="620">
        <v>3.7225000000000001</v>
      </c>
    </row>
    <row r="1792" spans="1:4">
      <c r="A1792" s="619">
        <v>39947</v>
      </c>
      <c r="B1792" s="620">
        <v>3.7263000000000002</v>
      </c>
    </row>
    <row r="1793" spans="1:4">
      <c r="A1793" s="619">
        <v>39948</v>
      </c>
      <c r="B1793" s="620">
        <v>3.7290000000000001</v>
      </c>
    </row>
    <row r="1794" spans="1:4">
      <c r="A1794" s="619">
        <v>39951</v>
      </c>
      <c r="B1794" s="620">
        <v>3.7288000000000001</v>
      </c>
    </row>
    <row r="1795" spans="1:4">
      <c r="A1795" s="619">
        <v>39952</v>
      </c>
      <c r="B1795" s="620">
        <v>3.7267999999999999</v>
      </c>
    </row>
    <row r="1796" spans="1:4">
      <c r="A1796" s="619">
        <v>39953</v>
      </c>
      <c r="B1796" s="620">
        <v>3.73</v>
      </c>
    </row>
    <row r="1797" spans="1:4">
      <c r="A1797" s="619">
        <v>39954</v>
      </c>
      <c r="B1797" s="620">
        <v>3.7347999999999999</v>
      </c>
    </row>
    <row r="1798" spans="1:4">
      <c r="A1798" s="619">
        <v>39955</v>
      </c>
      <c r="B1798" s="620">
        <v>3.7378</v>
      </c>
    </row>
    <row r="1799" spans="1:4">
      <c r="A1799" s="619">
        <v>39959</v>
      </c>
      <c r="B1799" s="620">
        <v>3.7397999999999998</v>
      </c>
    </row>
    <row r="1800" spans="1:4">
      <c r="A1800" s="619">
        <v>39960</v>
      </c>
      <c r="B1800" s="620">
        <v>3.7391999999999999</v>
      </c>
    </row>
    <row r="1801" spans="1:4">
      <c r="A1801" s="619">
        <v>39961</v>
      </c>
      <c r="B1801" s="620">
        <v>3.7403</v>
      </c>
      <c r="D1801" s="613">
        <v>39934</v>
      </c>
    </row>
    <row r="1802" spans="1:4" ht="16.5" thickBot="1">
      <c r="A1802" s="621">
        <v>39962</v>
      </c>
      <c r="B1802" s="622">
        <v>3.7465000000000002</v>
      </c>
      <c r="D1802" s="604">
        <v>3.7244736842105257</v>
      </c>
    </row>
    <row r="1803" spans="1:4">
      <c r="A1803" s="617">
        <v>39965</v>
      </c>
      <c r="B1803" s="618">
        <v>3.7467999999999999</v>
      </c>
    </row>
    <row r="1804" spans="1:4">
      <c r="A1804" s="619">
        <v>39966</v>
      </c>
      <c r="B1804" s="620">
        <v>3.7431999999999999</v>
      </c>
    </row>
    <row r="1805" spans="1:4">
      <c r="A1805" s="619">
        <v>39967</v>
      </c>
      <c r="B1805" s="620">
        <v>3.7427000000000001</v>
      </c>
    </row>
    <row r="1806" spans="1:4">
      <c r="A1806" s="619">
        <v>39968</v>
      </c>
      <c r="B1806" s="620">
        <v>3.7431999999999999</v>
      </c>
    </row>
    <row r="1807" spans="1:4">
      <c r="A1807" s="619">
        <v>39969</v>
      </c>
      <c r="B1807" s="620">
        <v>3.7473000000000001</v>
      </c>
    </row>
    <row r="1808" spans="1:4">
      <c r="A1808" s="619">
        <v>39972</v>
      </c>
      <c r="B1808" s="620">
        <v>3.7570000000000001</v>
      </c>
    </row>
    <row r="1809" spans="1:4">
      <c r="A1809" s="619">
        <v>39973</v>
      </c>
      <c r="B1809" s="620">
        <v>3.7595000000000001</v>
      </c>
    </row>
    <row r="1810" spans="1:4">
      <c r="A1810" s="619">
        <v>39974</v>
      </c>
      <c r="B1810" s="620">
        <v>3.7587000000000002</v>
      </c>
    </row>
    <row r="1811" spans="1:4">
      <c r="A1811" s="619">
        <v>39975</v>
      </c>
      <c r="B1811" s="620">
        <v>3.7614999999999998</v>
      </c>
    </row>
    <row r="1812" spans="1:4">
      <c r="A1812" s="619">
        <v>39976</v>
      </c>
      <c r="B1812" s="620">
        <v>3.7629999999999999</v>
      </c>
    </row>
    <row r="1813" spans="1:4">
      <c r="A1813" s="619">
        <v>39980</v>
      </c>
      <c r="B1813" s="620">
        <v>3.7671999999999999</v>
      </c>
    </row>
    <row r="1814" spans="1:4">
      <c r="A1814" s="619">
        <v>39981</v>
      </c>
      <c r="B1814" s="620">
        <v>3.7667000000000002</v>
      </c>
    </row>
    <row r="1815" spans="1:4">
      <c r="A1815" s="619">
        <v>39982</v>
      </c>
      <c r="B1815" s="620">
        <v>3.7677999999999998</v>
      </c>
    </row>
    <row r="1816" spans="1:4">
      <c r="A1816" s="619">
        <v>39983</v>
      </c>
      <c r="B1816" s="620">
        <v>3.7707999999999999</v>
      </c>
    </row>
    <row r="1817" spans="1:4">
      <c r="A1817" s="619">
        <v>39986</v>
      </c>
      <c r="B1817" s="620">
        <v>3.7791999999999999</v>
      </c>
    </row>
    <row r="1818" spans="1:4">
      <c r="A1818" s="619">
        <v>39987</v>
      </c>
      <c r="B1818" s="620">
        <v>3.7856999999999998</v>
      </c>
    </row>
    <row r="1819" spans="1:4">
      <c r="A1819" s="619">
        <v>39988</v>
      </c>
      <c r="B1819" s="620">
        <v>3.7892999999999999</v>
      </c>
    </row>
    <row r="1820" spans="1:4">
      <c r="A1820" s="619">
        <v>39989</v>
      </c>
      <c r="B1820" s="620">
        <v>3.7955000000000001</v>
      </c>
    </row>
    <row r="1821" spans="1:4">
      <c r="A1821" s="619">
        <v>39990</v>
      </c>
      <c r="B1821" s="620">
        <v>3.8008000000000002</v>
      </c>
    </row>
    <row r="1822" spans="1:4">
      <c r="A1822" s="619">
        <v>39993</v>
      </c>
      <c r="B1822" s="620">
        <v>3.7896999999999998</v>
      </c>
      <c r="D1822" s="613">
        <v>39965</v>
      </c>
    </row>
    <row r="1823" spans="1:4" ht="16.5" thickBot="1">
      <c r="A1823" s="621">
        <v>39994</v>
      </c>
      <c r="B1823" s="622">
        <v>3.7951999999999999</v>
      </c>
      <c r="D1823" s="604">
        <v>3.7681333333333331</v>
      </c>
    </row>
    <row r="1824" spans="1:4">
      <c r="A1824" s="617">
        <v>39995</v>
      </c>
      <c r="B1824" s="618">
        <v>3.7982999999999998</v>
      </c>
    </row>
    <row r="1825" spans="1:2">
      <c r="A1825" s="619">
        <v>39996</v>
      </c>
      <c r="B1825" s="620">
        <v>3.7997999999999998</v>
      </c>
    </row>
    <row r="1826" spans="1:2">
      <c r="A1826" s="619">
        <v>39997</v>
      </c>
      <c r="B1826" s="620">
        <v>3.8014999999999999</v>
      </c>
    </row>
    <row r="1827" spans="1:2">
      <c r="A1827" s="619">
        <v>40000</v>
      </c>
      <c r="B1827" s="620">
        <v>3.8054999999999999</v>
      </c>
    </row>
    <row r="1828" spans="1:2">
      <c r="A1828" s="619">
        <v>40001</v>
      </c>
      <c r="B1828" s="620">
        <v>3.8039999999999998</v>
      </c>
    </row>
    <row r="1829" spans="1:2">
      <c r="A1829" s="619">
        <v>40002</v>
      </c>
      <c r="B1829" s="620">
        <v>3.8090000000000002</v>
      </c>
    </row>
    <row r="1830" spans="1:2">
      <c r="A1830" s="619">
        <v>40007</v>
      </c>
      <c r="B1830" s="620">
        <v>3.8109999999999999</v>
      </c>
    </row>
    <row r="1831" spans="1:2">
      <c r="A1831" s="619">
        <v>40008</v>
      </c>
      <c r="B1831" s="620">
        <v>3.8069999999999999</v>
      </c>
    </row>
    <row r="1832" spans="1:2">
      <c r="A1832" s="619">
        <v>40009</v>
      </c>
      <c r="B1832" s="620">
        <v>3.8062</v>
      </c>
    </row>
    <row r="1833" spans="1:2">
      <c r="A1833" s="619">
        <v>40010</v>
      </c>
      <c r="B1833" s="620">
        <v>3.8077000000000001</v>
      </c>
    </row>
    <row r="1834" spans="1:2">
      <c r="A1834" s="619">
        <v>40011</v>
      </c>
      <c r="B1834" s="620">
        <v>3.8075000000000001</v>
      </c>
    </row>
    <row r="1835" spans="1:2">
      <c r="A1835" s="619">
        <v>40014</v>
      </c>
      <c r="B1835" s="620">
        <v>3.8077999999999999</v>
      </c>
    </row>
    <row r="1836" spans="1:2">
      <c r="A1836" s="619">
        <v>40015</v>
      </c>
      <c r="B1836" s="620">
        <v>3.8083</v>
      </c>
    </row>
    <row r="1837" spans="1:2">
      <c r="A1837" s="619">
        <v>40016</v>
      </c>
      <c r="B1837" s="620">
        <v>3.8077999999999999</v>
      </c>
    </row>
    <row r="1838" spans="1:2">
      <c r="A1838" s="619">
        <v>40017</v>
      </c>
      <c r="B1838" s="620">
        <v>3.8088000000000002</v>
      </c>
    </row>
    <row r="1839" spans="1:2">
      <c r="A1839" s="619">
        <v>40018</v>
      </c>
      <c r="B1839" s="620">
        <v>3.8090000000000002</v>
      </c>
    </row>
    <row r="1840" spans="1:2">
      <c r="A1840" s="619">
        <v>40021</v>
      </c>
      <c r="B1840" s="620">
        <v>3.8102999999999998</v>
      </c>
    </row>
    <row r="1841" spans="1:4">
      <c r="A1841" s="619">
        <v>40022</v>
      </c>
      <c r="B1841" s="620">
        <v>3.8132000000000001</v>
      </c>
    </row>
    <row r="1842" spans="1:4">
      <c r="A1842" s="619">
        <v>40023</v>
      </c>
      <c r="B1842" s="620">
        <v>3.8207</v>
      </c>
    </row>
    <row r="1843" spans="1:4">
      <c r="A1843" s="619">
        <v>40024</v>
      </c>
      <c r="B1843" s="620">
        <v>3.8304999999999998</v>
      </c>
      <c r="D1843" s="613">
        <v>39995</v>
      </c>
    </row>
    <row r="1844" spans="1:4" ht="16.5" thickBot="1">
      <c r="A1844" s="621">
        <v>40025</v>
      </c>
      <c r="B1844" s="622">
        <v>3.8304999999999998</v>
      </c>
      <c r="D1844" s="604">
        <v>3.809733333333333</v>
      </c>
    </row>
    <row r="1845" spans="1:4">
      <c r="A1845" s="617">
        <v>40028</v>
      </c>
      <c r="B1845" s="618">
        <v>3.8271999999999999</v>
      </c>
    </row>
    <row r="1846" spans="1:4">
      <c r="A1846" s="619">
        <v>40029</v>
      </c>
      <c r="B1846" s="620">
        <v>3.8222999999999998</v>
      </c>
    </row>
    <row r="1847" spans="1:4">
      <c r="A1847" s="619">
        <v>40030</v>
      </c>
      <c r="B1847" s="620">
        <v>3.8245</v>
      </c>
    </row>
    <row r="1848" spans="1:4">
      <c r="A1848" s="619">
        <v>40031</v>
      </c>
      <c r="B1848" s="620">
        <v>3.8247</v>
      </c>
    </row>
    <row r="1849" spans="1:4">
      <c r="A1849" s="619">
        <v>40032</v>
      </c>
      <c r="B1849" s="620">
        <v>3.8260000000000001</v>
      </c>
    </row>
    <row r="1850" spans="1:4">
      <c r="A1850" s="619">
        <v>40035</v>
      </c>
      <c r="B1850" s="620">
        <v>3.8277000000000001</v>
      </c>
    </row>
    <row r="1851" spans="1:4">
      <c r="A1851" s="619">
        <v>40036</v>
      </c>
      <c r="B1851" s="620">
        <v>3.8302999999999998</v>
      </c>
    </row>
    <row r="1852" spans="1:4">
      <c r="A1852" s="619">
        <v>40037</v>
      </c>
      <c r="B1852" s="620">
        <v>3.8325</v>
      </c>
    </row>
    <row r="1853" spans="1:4">
      <c r="A1853" s="619">
        <v>40038</v>
      </c>
      <c r="B1853" s="620">
        <v>3.8357999999999999</v>
      </c>
    </row>
    <row r="1854" spans="1:4">
      <c r="A1854" s="619">
        <v>40039</v>
      </c>
      <c r="B1854" s="620">
        <v>3.8397999999999999</v>
      </c>
    </row>
    <row r="1855" spans="1:4">
      <c r="A1855" s="619">
        <v>40043</v>
      </c>
      <c r="B1855" s="620">
        <v>3.8445</v>
      </c>
    </row>
    <row r="1856" spans="1:4">
      <c r="A1856" s="619">
        <v>40044</v>
      </c>
      <c r="B1856" s="620">
        <v>3.8477999999999999</v>
      </c>
    </row>
    <row r="1857" spans="1:4">
      <c r="A1857" s="619">
        <v>40045</v>
      </c>
      <c r="B1857" s="620">
        <v>3.8492000000000002</v>
      </c>
    </row>
    <row r="1858" spans="1:4">
      <c r="A1858" s="619">
        <v>40046</v>
      </c>
      <c r="B1858" s="620">
        <v>3.8502999999999998</v>
      </c>
    </row>
    <row r="1859" spans="1:4">
      <c r="A1859" s="619">
        <v>40049</v>
      </c>
      <c r="B1859" s="620">
        <v>3.8508</v>
      </c>
    </row>
    <row r="1860" spans="1:4">
      <c r="A1860" s="619">
        <v>40050</v>
      </c>
      <c r="B1860" s="620">
        <v>3.8512</v>
      </c>
    </row>
    <row r="1861" spans="1:4">
      <c r="A1861" s="619">
        <v>40051</v>
      </c>
      <c r="B1861" s="620">
        <v>3.8498000000000001</v>
      </c>
    </row>
    <row r="1862" spans="1:4">
      <c r="A1862" s="619">
        <v>40052</v>
      </c>
      <c r="B1862" s="620">
        <v>3.8488000000000002</v>
      </c>
    </row>
    <row r="1863" spans="1:4">
      <c r="A1863" s="619">
        <v>40053</v>
      </c>
      <c r="B1863" s="620">
        <v>3.8477999999999999</v>
      </c>
      <c r="D1863" s="613">
        <v>40026</v>
      </c>
    </row>
    <row r="1864" spans="1:4" ht="16.5" thickBot="1">
      <c r="A1864" s="621">
        <v>40056</v>
      </c>
      <c r="B1864" s="622">
        <v>3.8525</v>
      </c>
      <c r="D1864" s="604">
        <v>3.839175</v>
      </c>
    </row>
    <row r="1865" spans="1:4">
      <c r="A1865" s="617">
        <v>40057</v>
      </c>
      <c r="B1865" s="618">
        <v>3.847</v>
      </c>
    </row>
    <row r="1866" spans="1:4">
      <c r="A1866" s="619">
        <v>40058</v>
      </c>
      <c r="B1866" s="620">
        <v>3.8454999999999999</v>
      </c>
    </row>
    <row r="1867" spans="1:4">
      <c r="A1867" s="619">
        <v>40059</v>
      </c>
      <c r="B1867" s="620">
        <v>3.8462000000000001</v>
      </c>
    </row>
    <row r="1868" spans="1:4">
      <c r="A1868" s="619">
        <v>40060</v>
      </c>
      <c r="B1868" s="620">
        <v>3.8468</v>
      </c>
    </row>
    <row r="1869" spans="1:4">
      <c r="A1869" s="619">
        <v>40063</v>
      </c>
      <c r="B1869" s="620">
        <v>3.8490000000000002</v>
      </c>
    </row>
    <row r="1870" spans="1:4">
      <c r="A1870" s="619">
        <v>40064</v>
      </c>
      <c r="B1870" s="620">
        <v>3.8496999999999999</v>
      </c>
    </row>
    <row r="1871" spans="1:4">
      <c r="A1871" s="619">
        <v>40065</v>
      </c>
      <c r="B1871" s="620">
        <v>3.8532999999999999</v>
      </c>
    </row>
    <row r="1872" spans="1:4">
      <c r="A1872" s="619">
        <v>40066</v>
      </c>
      <c r="B1872" s="620">
        <v>3.8542000000000001</v>
      </c>
    </row>
    <row r="1873" spans="1:4">
      <c r="A1873" s="619">
        <v>40067</v>
      </c>
      <c r="B1873" s="620">
        <v>3.8544999999999998</v>
      </c>
    </row>
    <row r="1874" spans="1:4">
      <c r="A1874" s="619">
        <v>40070</v>
      </c>
      <c r="B1874" s="620">
        <v>3.8523000000000001</v>
      </c>
    </row>
    <row r="1875" spans="1:4">
      <c r="A1875" s="619">
        <v>40071</v>
      </c>
      <c r="B1875" s="620">
        <v>3.8321999999999998</v>
      </c>
    </row>
    <row r="1876" spans="1:4">
      <c r="A1876" s="619">
        <v>40072</v>
      </c>
      <c r="B1876" s="620">
        <v>3.8275000000000001</v>
      </c>
    </row>
    <row r="1877" spans="1:4">
      <c r="A1877" s="619">
        <v>40073</v>
      </c>
      <c r="B1877" s="620">
        <v>3.8292000000000002</v>
      </c>
    </row>
    <row r="1878" spans="1:4">
      <c r="A1878" s="619">
        <v>40074</v>
      </c>
      <c r="B1878" s="620">
        <v>3.8359999999999999</v>
      </c>
    </row>
    <row r="1879" spans="1:4">
      <c r="A1879" s="619">
        <v>40077</v>
      </c>
      <c r="B1879" s="620">
        <v>3.8378000000000001</v>
      </c>
    </row>
    <row r="1880" spans="1:4">
      <c r="A1880" s="619">
        <v>40078</v>
      </c>
      <c r="B1880" s="620">
        <v>3.8338000000000001</v>
      </c>
    </row>
    <row r="1881" spans="1:4">
      <c r="A1881" s="619">
        <v>40079</v>
      </c>
      <c r="B1881" s="620">
        <v>3.8376999999999999</v>
      </c>
    </row>
    <row r="1882" spans="1:4">
      <c r="A1882" s="619">
        <v>40080</v>
      </c>
      <c r="B1882" s="620">
        <v>3.8351999999999999</v>
      </c>
    </row>
    <row r="1883" spans="1:4">
      <c r="A1883" s="619">
        <v>40081</v>
      </c>
      <c r="B1883" s="620">
        <v>3.8384999999999998</v>
      </c>
    </row>
    <row r="1884" spans="1:4">
      <c r="A1884" s="619">
        <v>40084</v>
      </c>
      <c r="B1884" s="620">
        <v>3.8397999999999999</v>
      </c>
    </row>
    <row r="1885" spans="1:4">
      <c r="A1885" s="619">
        <v>40085</v>
      </c>
      <c r="B1885" s="620">
        <v>3.8431999999999999</v>
      </c>
      <c r="D1885" s="613">
        <v>40057</v>
      </c>
    </row>
    <row r="1886" spans="1:4" ht="16.5" thickBot="1">
      <c r="A1886" s="621">
        <v>40086</v>
      </c>
      <c r="B1886" s="622">
        <v>3.8426999999999998</v>
      </c>
      <c r="D1886" s="604">
        <v>3.842368181818181</v>
      </c>
    </row>
    <row r="1887" spans="1:4">
      <c r="A1887" s="617">
        <v>40087</v>
      </c>
      <c r="B1887" s="618">
        <v>3.8416999999999999</v>
      </c>
    </row>
    <row r="1888" spans="1:4">
      <c r="A1888" s="619">
        <v>40088</v>
      </c>
      <c r="B1888" s="620">
        <v>3.8452000000000002</v>
      </c>
    </row>
    <row r="1889" spans="1:2">
      <c r="A1889" s="619">
        <v>40091</v>
      </c>
      <c r="B1889" s="620">
        <v>3.8405</v>
      </c>
    </row>
    <row r="1890" spans="1:2">
      <c r="A1890" s="619">
        <v>40092</v>
      </c>
      <c r="B1890" s="620">
        <v>3.8344999999999998</v>
      </c>
    </row>
    <row r="1891" spans="1:2">
      <c r="A1891" s="619">
        <v>40093</v>
      </c>
      <c r="B1891" s="620">
        <v>3.8342999999999998</v>
      </c>
    </row>
    <row r="1892" spans="1:2">
      <c r="A1892" s="619">
        <v>40094</v>
      </c>
      <c r="B1892" s="620">
        <v>3.8332999999999999</v>
      </c>
    </row>
    <row r="1893" spans="1:2">
      <c r="A1893" s="619">
        <v>40095</v>
      </c>
      <c r="B1893" s="620">
        <v>3.8298000000000001</v>
      </c>
    </row>
    <row r="1894" spans="1:2">
      <c r="A1894" s="619">
        <v>40099</v>
      </c>
      <c r="B1894" s="620">
        <v>3.8239999999999998</v>
      </c>
    </row>
    <row r="1895" spans="1:2">
      <c r="A1895" s="619">
        <v>40100</v>
      </c>
      <c r="B1895" s="620">
        <v>3.8222</v>
      </c>
    </row>
    <row r="1896" spans="1:2">
      <c r="A1896" s="619">
        <v>40101</v>
      </c>
      <c r="B1896" s="620">
        <v>3.82</v>
      </c>
    </row>
    <row r="1897" spans="1:2">
      <c r="A1897" s="619">
        <v>40102</v>
      </c>
      <c r="B1897" s="620">
        <v>3.8193000000000001</v>
      </c>
    </row>
    <row r="1898" spans="1:2">
      <c r="A1898" s="619">
        <v>40105</v>
      </c>
      <c r="B1898" s="620">
        <v>3.8212000000000002</v>
      </c>
    </row>
    <row r="1899" spans="1:2">
      <c r="A1899" s="619">
        <v>40106</v>
      </c>
      <c r="B1899" s="620">
        <v>3.8210000000000002</v>
      </c>
    </row>
    <row r="1900" spans="1:2">
      <c r="A1900" s="619">
        <v>40107</v>
      </c>
      <c r="B1900" s="620">
        <v>3.8203</v>
      </c>
    </row>
    <row r="1901" spans="1:2">
      <c r="A1901" s="619">
        <v>40108</v>
      </c>
      <c r="B1901" s="620">
        <v>3.8220000000000001</v>
      </c>
    </row>
    <row r="1902" spans="1:2">
      <c r="A1902" s="619">
        <v>40109</v>
      </c>
      <c r="B1902" s="620">
        <v>3.8201999999999998</v>
      </c>
    </row>
    <row r="1903" spans="1:2">
      <c r="A1903" s="619">
        <v>40112</v>
      </c>
      <c r="B1903" s="620">
        <v>3.8197999999999999</v>
      </c>
    </row>
    <row r="1904" spans="1:2">
      <c r="A1904" s="619">
        <v>40113</v>
      </c>
      <c r="B1904" s="620">
        <v>3.8208000000000002</v>
      </c>
    </row>
    <row r="1905" spans="1:4">
      <c r="A1905" s="619">
        <v>40114</v>
      </c>
      <c r="B1905" s="620">
        <v>3.8205</v>
      </c>
    </row>
    <row r="1906" spans="1:4">
      <c r="A1906" s="619">
        <v>40115</v>
      </c>
      <c r="B1906" s="620">
        <v>3.8208000000000002</v>
      </c>
      <c r="D1906" s="613">
        <v>40087</v>
      </c>
    </row>
    <row r="1907" spans="1:4" ht="16.5" thickBot="1">
      <c r="A1907" s="621">
        <v>40116</v>
      </c>
      <c r="B1907" s="622">
        <v>3.819</v>
      </c>
      <c r="D1907" s="604">
        <v>3.8262095238095242</v>
      </c>
    </row>
    <row r="1908" spans="1:4">
      <c r="A1908" s="617">
        <v>40119</v>
      </c>
      <c r="B1908" s="618">
        <v>3.8191999999999999</v>
      </c>
    </row>
    <row r="1909" spans="1:4">
      <c r="A1909" s="619">
        <v>40120</v>
      </c>
      <c r="B1909" s="620">
        <v>3.8191999999999999</v>
      </c>
    </row>
    <row r="1910" spans="1:4">
      <c r="A1910" s="619">
        <v>40121</v>
      </c>
      <c r="B1910" s="620">
        <v>3.8172000000000001</v>
      </c>
    </row>
    <row r="1911" spans="1:4">
      <c r="A1911" s="619">
        <v>40122</v>
      </c>
      <c r="B1911" s="620">
        <v>3.8174999999999999</v>
      </c>
    </row>
    <row r="1912" spans="1:4">
      <c r="A1912" s="619">
        <v>40126</v>
      </c>
      <c r="B1912" s="620">
        <v>3.8165</v>
      </c>
    </row>
    <row r="1913" spans="1:4">
      <c r="A1913" s="619">
        <v>40127</v>
      </c>
      <c r="B1913" s="620">
        <v>3.8155000000000001</v>
      </c>
    </row>
    <row r="1914" spans="1:4">
      <c r="A1914" s="619">
        <v>40128</v>
      </c>
      <c r="B1914" s="620">
        <v>3.8134999999999999</v>
      </c>
    </row>
    <row r="1915" spans="1:4">
      <c r="A1915" s="619">
        <v>40129</v>
      </c>
      <c r="B1915" s="620">
        <v>3.8123</v>
      </c>
    </row>
    <row r="1916" spans="1:4">
      <c r="A1916" s="619">
        <v>40130</v>
      </c>
      <c r="B1916" s="620">
        <v>3.8142</v>
      </c>
    </row>
    <row r="1917" spans="1:4">
      <c r="A1917" s="619">
        <v>40133</v>
      </c>
      <c r="B1917" s="620">
        <v>3.8144999999999998</v>
      </c>
    </row>
    <row r="1918" spans="1:4">
      <c r="A1918" s="619">
        <v>40134</v>
      </c>
      <c r="B1918" s="620">
        <v>3.8155000000000001</v>
      </c>
    </row>
    <row r="1919" spans="1:4">
      <c r="A1919" s="619">
        <v>40135</v>
      </c>
      <c r="B1919" s="620">
        <v>3.8121999999999998</v>
      </c>
    </row>
    <row r="1920" spans="1:4">
      <c r="A1920" s="619">
        <v>40136</v>
      </c>
      <c r="B1920" s="620">
        <v>3.8052000000000001</v>
      </c>
    </row>
    <row r="1921" spans="1:4">
      <c r="A1921" s="619">
        <v>40137</v>
      </c>
      <c r="B1921" s="620">
        <v>3.8012999999999999</v>
      </c>
    </row>
    <row r="1922" spans="1:4">
      <c r="A1922" s="619">
        <v>40140</v>
      </c>
      <c r="B1922" s="620">
        <v>3.7988</v>
      </c>
    </row>
    <row r="1923" spans="1:4">
      <c r="A1923" s="619">
        <v>40141</v>
      </c>
      <c r="B1923" s="620">
        <v>3.7995000000000001</v>
      </c>
    </row>
    <row r="1924" spans="1:4">
      <c r="A1924" s="619">
        <v>40142</v>
      </c>
      <c r="B1924" s="620">
        <v>3.8033000000000001</v>
      </c>
    </row>
    <row r="1925" spans="1:4">
      <c r="A1925" s="619">
        <v>40143</v>
      </c>
      <c r="B1925" s="620">
        <v>3.8052000000000001</v>
      </c>
    </row>
    <row r="1926" spans="1:4">
      <c r="A1926" s="619">
        <v>40144</v>
      </c>
      <c r="B1926" s="620">
        <v>3.8081999999999998</v>
      </c>
      <c r="D1926" s="613">
        <v>40118</v>
      </c>
    </row>
    <row r="1927" spans="1:4" ht="16.5" thickBot="1">
      <c r="A1927" s="621">
        <v>40147</v>
      </c>
      <c r="B1927" s="622">
        <v>3.8102</v>
      </c>
      <c r="D1927" s="604">
        <v>3.8109499999999996</v>
      </c>
    </row>
    <row r="1928" spans="1:4">
      <c r="A1928" s="617">
        <v>40148</v>
      </c>
      <c r="B1928" s="618">
        <v>3.8108</v>
      </c>
    </row>
    <row r="1929" spans="1:4">
      <c r="A1929" s="619">
        <v>40149</v>
      </c>
      <c r="B1929" s="620">
        <v>3.8123</v>
      </c>
    </row>
    <row r="1930" spans="1:4">
      <c r="A1930" s="619">
        <v>40150</v>
      </c>
      <c r="B1930" s="620">
        <v>3.8107000000000002</v>
      </c>
    </row>
    <row r="1931" spans="1:4">
      <c r="A1931" s="619">
        <v>40151</v>
      </c>
      <c r="B1931" s="620">
        <v>3.8071999999999999</v>
      </c>
    </row>
    <row r="1932" spans="1:4">
      <c r="A1932" s="619">
        <v>40154</v>
      </c>
      <c r="B1932" s="620">
        <v>3.8065000000000002</v>
      </c>
    </row>
    <row r="1933" spans="1:4">
      <c r="A1933" s="619">
        <v>40156</v>
      </c>
      <c r="B1933" s="620">
        <v>3.8008000000000002</v>
      </c>
    </row>
    <row r="1934" spans="1:4">
      <c r="A1934" s="619">
        <v>40157</v>
      </c>
      <c r="B1934" s="620">
        <v>3.8014999999999999</v>
      </c>
    </row>
    <row r="1935" spans="1:4">
      <c r="A1935" s="619">
        <v>40158</v>
      </c>
      <c r="B1935" s="620">
        <v>3.8001999999999998</v>
      </c>
    </row>
    <row r="1936" spans="1:4">
      <c r="A1936" s="619">
        <v>40161</v>
      </c>
      <c r="B1936" s="620">
        <v>3.8068</v>
      </c>
    </row>
    <row r="1937" spans="1:4">
      <c r="A1937" s="619">
        <v>40162</v>
      </c>
      <c r="B1937" s="620">
        <v>3.8153000000000001</v>
      </c>
    </row>
    <row r="1938" spans="1:4">
      <c r="A1938" s="619">
        <v>40163</v>
      </c>
      <c r="B1938" s="620">
        <v>3.8108</v>
      </c>
    </row>
    <row r="1939" spans="1:4">
      <c r="A1939" s="619">
        <v>40164</v>
      </c>
      <c r="B1939" s="620">
        <v>3.8130000000000002</v>
      </c>
    </row>
    <row r="1940" spans="1:4">
      <c r="A1940" s="619">
        <v>40165</v>
      </c>
      <c r="B1940" s="620">
        <v>3.8205</v>
      </c>
    </row>
    <row r="1941" spans="1:4">
      <c r="A1941" s="619">
        <v>40168</v>
      </c>
      <c r="B1941" s="620">
        <v>3.8127</v>
      </c>
    </row>
    <row r="1942" spans="1:4">
      <c r="A1942" s="619">
        <v>40169</v>
      </c>
      <c r="B1942" s="620">
        <v>3.8062999999999998</v>
      </c>
    </row>
    <row r="1943" spans="1:4">
      <c r="A1943" s="619">
        <v>40170</v>
      </c>
      <c r="B1943" s="620">
        <v>3.7957000000000001</v>
      </c>
    </row>
    <row r="1944" spans="1:4">
      <c r="A1944" s="619">
        <v>40171</v>
      </c>
      <c r="B1944" s="620">
        <v>3.7936999999999999</v>
      </c>
    </row>
    <row r="1945" spans="1:4">
      <c r="A1945" s="619">
        <v>40175</v>
      </c>
      <c r="B1945" s="620">
        <v>3.7919999999999998</v>
      </c>
    </row>
    <row r="1946" spans="1:4">
      <c r="A1946" s="619">
        <v>40176</v>
      </c>
      <c r="B1946" s="620">
        <v>3.8157000000000001</v>
      </c>
    </row>
    <row r="1947" spans="1:4">
      <c r="A1947" s="619">
        <v>40177</v>
      </c>
      <c r="B1947" s="620">
        <v>3.8182</v>
      </c>
      <c r="D1947" s="613">
        <v>40148</v>
      </c>
    </row>
    <row r="1948" spans="1:4" ht="16.5" thickBot="1">
      <c r="A1948" s="621">
        <v>40178</v>
      </c>
      <c r="B1948" s="622">
        <v>3.7967</v>
      </c>
      <c r="D1948" s="604">
        <v>3.8070190476190482</v>
      </c>
    </row>
    <row r="1949" spans="1:4">
      <c r="A1949" s="617">
        <v>40182</v>
      </c>
      <c r="B1949" s="618">
        <v>3.7974999999999999</v>
      </c>
    </row>
    <row r="1950" spans="1:4">
      <c r="A1950" s="619">
        <v>40183</v>
      </c>
      <c r="B1950" s="620">
        <v>3.7978000000000001</v>
      </c>
    </row>
    <row r="1951" spans="1:4">
      <c r="A1951" s="619">
        <v>40184</v>
      </c>
      <c r="B1951" s="620">
        <v>3.8105000000000002</v>
      </c>
    </row>
    <row r="1952" spans="1:4">
      <c r="A1952" s="619">
        <v>40185</v>
      </c>
      <c r="B1952" s="620">
        <v>3.8029999999999999</v>
      </c>
    </row>
    <row r="1953" spans="1:4">
      <c r="A1953" s="619">
        <v>40186</v>
      </c>
      <c r="B1953" s="620">
        <v>3.8012999999999999</v>
      </c>
    </row>
    <row r="1954" spans="1:4">
      <c r="A1954" s="619">
        <v>40189</v>
      </c>
      <c r="B1954" s="620">
        <v>3.7968000000000002</v>
      </c>
    </row>
    <row r="1955" spans="1:4">
      <c r="A1955" s="619">
        <v>40190</v>
      </c>
      <c r="B1955" s="620">
        <v>3.7942</v>
      </c>
    </row>
    <row r="1956" spans="1:4">
      <c r="A1956" s="619">
        <v>40191</v>
      </c>
      <c r="B1956" s="620">
        <v>3.7970000000000002</v>
      </c>
    </row>
    <row r="1957" spans="1:4">
      <c r="A1957" s="619">
        <v>40192</v>
      </c>
      <c r="B1957" s="620">
        <v>3.7965</v>
      </c>
    </row>
    <row r="1958" spans="1:4">
      <c r="A1958" s="619">
        <v>40193</v>
      </c>
      <c r="B1958" s="620">
        <v>3.7988</v>
      </c>
    </row>
    <row r="1959" spans="1:4">
      <c r="A1959" s="619">
        <v>40196</v>
      </c>
      <c r="B1959" s="620">
        <v>3.7974999999999999</v>
      </c>
    </row>
    <row r="1960" spans="1:4">
      <c r="A1960" s="619">
        <v>40197</v>
      </c>
      <c r="B1960" s="620">
        <v>3.8008000000000002</v>
      </c>
    </row>
    <row r="1961" spans="1:4">
      <c r="A1961" s="619">
        <v>40198</v>
      </c>
      <c r="B1961" s="620">
        <v>3.8012999999999999</v>
      </c>
    </row>
    <row r="1962" spans="1:4">
      <c r="A1962" s="619">
        <v>40199</v>
      </c>
      <c r="B1962" s="620">
        <v>3.8062</v>
      </c>
    </row>
    <row r="1963" spans="1:4">
      <c r="A1963" s="619">
        <v>40200</v>
      </c>
      <c r="B1963" s="620">
        <v>3.8109999999999999</v>
      </c>
    </row>
    <row r="1964" spans="1:4">
      <c r="A1964" s="619">
        <v>40203</v>
      </c>
      <c r="B1964" s="620">
        <v>3.8058000000000001</v>
      </c>
    </row>
    <row r="1965" spans="1:4">
      <c r="A1965" s="619">
        <v>40204</v>
      </c>
      <c r="B1965" s="620">
        <v>3.8098000000000001</v>
      </c>
    </row>
    <row r="1966" spans="1:4">
      <c r="A1966" s="619">
        <v>40205</v>
      </c>
      <c r="B1966" s="620">
        <v>3.8170000000000002</v>
      </c>
    </row>
    <row r="1967" spans="1:4">
      <c r="A1967" s="619">
        <v>40206</v>
      </c>
      <c r="B1967" s="620">
        <v>3.8172999999999999</v>
      </c>
      <c r="D1967" s="613">
        <v>40179</v>
      </c>
    </row>
    <row r="1968" spans="1:4" ht="16.5" thickBot="1">
      <c r="A1968" s="621">
        <v>40207</v>
      </c>
      <c r="B1968" s="622">
        <v>3.823</v>
      </c>
      <c r="D1968" s="604">
        <v>3.8041999999999998</v>
      </c>
    </row>
    <row r="1969" spans="1:2">
      <c r="A1969" s="617">
        <v>40210</v>
      </c>
      <c r="B1969" s="618">
        <v>3.8407</v>
      </c>
    </row>
    <row r="1970" spans="1:2">
      <c r="A1970" s="619">
        <v>40211</v>
      </c>
      <c r="B1970" s="620">
        <v>3.831</v>
      </c>
    </row>
    <row r="1971" spans="1:2">
      <c r="A1971" s="619">
        <v>40212</v>
      </c>
      <c r="B1971" s="620">
        <v>3.8332000000000002</v>
      </c>
    </row>
    <row r="1972" spans="1:2">
      <c r="A1972" s="619">
        <v>40213</v>
      </c>
      <c r="B1972" s="620">
        <v>3.8410000000000002</v>
      </c>
    </row>
    <row r="1973" spans="1:2">
      <c r="A1973" s="619">
        <v>40214</v>
      </c>
      <c r="B1973" s="620">
        <v>3.8447</v>
      </c>
    </row>
    <row r="1974" spans="1:2">
      <c r="A1974" s="619">
        <v>40217</v>
      </c>
      <c r="B1974" s="620">
        <v>3.8407</v>
      </c>
    </row>
    <row r="1975" spans="1:2">
      <c r="A1975" s="619">
        <v>40218</v>
      </c>
      <c r="B1975" s="620">
        <v>3.8426999999999998</v>
      </c>
    </row>
    <row r="1976" spans="1:2">
      <c r="A1976" s="619">
        <v>40219</v>
      </c>
      <c r="B1976" s="620">
        <v>3.8458000000000001</v>
      </c>
    </row>
    <row r="1977" spans="1:2">
      <c r="A1977" s="619">
        <v>40220</v>
      </c>
      <c r="B1977" s="620">
        <v>3.8502000000000001</v>
      </c>
    </row>
    <row r="1978" spans="1:2">
      <c r="A1978" s="619">
        <v>40221</v>
      </c>
      <c r="B1978" s="620">
        <v>3.8536999999999999</v>
      </c>
    </row>
    <row r="1979" spans="1:2">
      <c r="A1979" s="619">
        <v>40224</v>
      </c>
      <c r="B1979" s="620">
        <v>3.8576999999999999</v>
      </c>
    </row>
    <row r="1980" spans="1:2">
      <c r="A1980" s="619">
        <v>40225</v>
      </c>
      <c r="B1980" s="620">
        <v>3.8612000000000002</v>
      </c>
    </row>
    <row r="1981" spans="1:2">
      <c r="A1981" s="619">
        <v>40226</v>
      </c>
      <c r="B1981" s="620">
        <v>3.8557000000000001</v>
      </c>
    </row>
    <row r="1982" spans="1:2">
      <c r="A1982" s="619">
        <v>40227</v>
      </c>
      <c r="B1982" s="620">
        <v>3.8582000000000001</v>
      </c>
    </row>
    <row r="1983" spans="1:2">
      <c r="A1983" s="619">
        <v>40228</v>
      </c>
      <c r="B1983" s="620">
        <v>3.8586999999999998</v>
      </c>
    </row>
    <row r="1984" spans="1:2">
      <c r="A1984" s="619">
        <v>40231</v>
      </c>
      <c r="B1984" s="620">
        <v>3.8607999999999998</v>
      </c>
    </row>
    <row r="1985" spans="1:4">
      <c r="A1985" s="619">
        <v>40232</v>
      </c>
      <c r="B1985" s="620">
        <v>3.8677000000000001</v>
      </c>
    </row>
    <row r="1986" spans="1:4">
      <c r="A1986" s="619">
        <v>40233</v>
      </c>
      <c r="B1986" s="620">
        <v>3.8595000000000002</v>
      </c>
    </row>
    <row r="1987" spans="1:4">
      <c r="A1987" s="619">
        <v>40234</v>
      </c>
      <c r="B1987" s="620">
        <v>3.8616999999999999</v>
      </c>
      <c r="D1987" s="613">
        <v>40210</v>
      </c>
    </row>
    <row r="1988" spans="1:4" ht="16.5" thickBot="1">
      <c r="A1988" s="621">
        <v>40235</v>
      </c>
      <c r="B1988" s="622">
        <v>3.8597999999999999</v>
      </c>
      <c r="D1988" s="604">
        <v>3.851235</v>
      </c>
    </row>
    <row r="1989" spans="1:4">
      <c r="A1989" s="619">
        <v>40238</v>
      </c>
      <c r="B1989" s="618">
        <v>3.8597000000000001</v>
      </c>
    </row>
    <row r="1990" spans="1:4">
      <c r="A1990" s="619">
        <v>40239</v>
      </c>
      <c r="B1990" s="620">
        <v>3.8578000000000001</v>
      </c>
    </row>
    <row r="1991" spans="1:4">
      <c r="A1991" s="619">
        <v>40240</v>
      </c>
      <c r="B1991" s="620">
        <v>3.8542999999999998</v>
      </c>
    </row>
    <row r="1992" spans="1:4">
      <c r="A1992" s="619">
        <v>40241</v>
      </c>
      <c r="B1992" s="620">
        <v>3.8563000000000001</v>
      </c>
    </row>
    <row r="1993" spans="1:4">
      <c r="A1993" s="619">
        <v>40242</v>
      </c>
      <c r="B1993" s="620">
        <v>3.8573</v>
      </c>
    </row>
    <row r="1994" spans="1:4">
      <c r="A1994" s="619">
        <v>40245</v>
      </c>
      <c r="B1994" s="620">
        <v>3.8595000000000002</v>
      </c>
    </row>
    <row r="1995" spans="1:4">
      <c r="A1995" s="619">
        <v>40246</v>
      </c>
      <c r="B1995" s="620">
        <v>3.8618000000000001</v>
      </c>
    </row>
    <row r="1996" spans="1:4">
      <c r="A1996" s="619">
        <v>40247</v>
      </c>
      <c r="B1996" s="620">
        <v>3.8614999999999999</v>
      </c>
    </row>
    <row r="1997" spans="1:4">
      <c r="A1997" s="619">
        <v>40248</v>
      </c>
      <c r="B1997" s="620">
        <v>3.8588</v>
      </c>
    </row>
    <row r="1998" spans="1:4">
      <c r="A1998" s="619">
        <v>40249</v>
      </c>
      <c r="B1998" s="620">
        <v>3.8597000000000001</v>
      </c>
    </row>
    <row r="1999" spans="1:4">
      <c r="A1999" s="619">
        <v>40252</v>
      </c>
      <c r="B1999" s="620">
        <v>3.8618000000000001</v>
      </c>
    </row>
    <row r="2000" spans="1:4">
      <c r="A2000" s="619">
        <v>40253</v>
      </c>
      <c r="B2000" s="620">
        <v>3.8628</v>
      </c>
    </row>
    <row r="2001" spans="1:4">
      <c r="A2001" s="619">
        <v>40254</v>
      </c>
      <c r="B2001" s="620">
        <v>3.8613</v>
      </c>
    </row>
    <row r="2002" spans="1:4">
      <c r="A2002" s="619">
        <v>40255</v>
      </c>
      <c r="B2002" s="620">
        <v>3.8622000000000001</v>
      </c>
    </row>
    <row r="2003" spans="1:4">
      <c r="A2003" s="619">
        <v>40256</v>
      </c>
      <c r="B2003" s="620">
        <v>3.8628</v>
      </c>
    </row>
    <row r="2004" spans="1:4">
      <c r="A2004" s="619">
        <v>40259</v>
      </c>
      <c r="B2004" s="620">
        <v>3.8637999999999999</v>
      </c>
    </row>
    <row r="2005" spans="1:4">
      <c r="A2005" s="619">
        <v>40260</v>
      </c>
      <c r="B2005" s="620">
        <v>3.8635000000000002</v>
      </c>
    </row>
    <row r="2006" spans="1:4">
      <c r="A2006" s="619">
        <v>40262</v>
      </c>
      <c r="B2006" s="620">
        <v>3.8658000000000001</v>
      </c>
    </row>
    <row r="2007" spans="1:4">
      <c r="A2007" s="619">
        <v>40263</v>
      </c>
      <c r="B2007" s="620">
        <v>3.8672</v>
      </c>
    </row>
    <row r="2008" spans="1:4">
      <c r="A2008" s="619">
        <v>40266</v>
      </c>
      <c r="B2008" s="620">
        <v>3.8713000000000002</v>
      </c>
    </row>
    <row r="2009" spans="1:4">
      <c r="A2009" s="619">
        <v>40267</v>
      </c>
      <c r="B2009" s="620">
        <v>3.8748</v>
      </c>
      <c r="D2009" s="613">
        <v>40238</v>
      </c>
    </row>
    <row r="2010" spans="1:4" ht="16.5" thickBot="1">
      <c r="A2010" s="621">
        <v>40268</v>
      </c>
      <c r="B2010" s="622">
        <v>3.8763000000000001</v>
      </c>
      <c r="D2010" s="604">
        <v>3.8627409090909093</v>
      </c>
    </row>
    <row r="2011" spans="1:4">
      <c r="A2011" s="617">
        <v>40273</v>
      </c>
      <c r="B2011" s="618">
        <v>3.8767999999999998</v>
      </c>
    </row>
    <row r="2012" spans="1:4">
      <c r="A2012" s="619">
        <v>40274</v>
      </c>
      <c r="B2012" s="620">
        <v>3.8788</v>
      </c>
    </row>
    <row r="2013" spans="1:4">
      <c r="A2013" s="619">
        <v>40275</v>
      </c>
      <c r="B2013" s="620">
        <v>3.8797999999999999</v>
      </c>
    </row>
    <row r="2014" spans="1:4">
      <c r="A2014" s="619">
        <v>40276</v>
      </c>
      <c r="B2014" s="620">
        <v>3.8757999999999999</v>
      </c>
    </row>
    <row r="2015" spans="1:4">
      <c r="A2015" s="619">
        <v>40277</v>
      </c>
      <c r="B2015" s="620">
        <v>3.8744999999999998</v>
      </c>
    </row>
    <row r="2016" spans="1:4">
      <c r="A2016" s="619">
        <v>40280</v>
      </c>
      <c r="B2016" s="620">
        <v>3.8774999999999999</v>
      </c>
    </row>
    <row r="2017" spans="1:4">
      <c r="A2017" s="619">
        <v>40281</v>
      </c>
      <c r="B2017" s="620">
        <v>3.8807999999999998</v>
      </c>
    </row>
    <row r="2018" spans="1:4">
      <c r="A2018" s="619">
        <v>40282</v>
      </c>
      <c r="B2018" s="620">
        <v>3.879</v>
      </c>
    </row>
    <row r="2019" spans="1:4">
      <c r="A2019" s="619">
        <v>40283</v>
      </c>
      <c r="B2019" s="620">
        <v>3.8748</v>
      </c>
    </row>
    <row r="2020" spans="1:4">
      <c r="A2020" s="619">
        <v>40284</v>
      </c>
      <c r="B2020" s="620">
        <v>3.8717000000000001</v>
      </c>
    </row>
    <row r="2021" spans="1:4">
      <c r="A2021" s="619">
        <v>40287</v>
      </c>
      <c r="B2021" s="620">
        <v>3.8681999999999999</v>
      </c>
    </row>
    <row r="2022" spans="1:4">
      <c r="A2022" s="619">
        <v>40288</v>
      </c>
      <c r="B2022" s="620">
        <v>3.8715000000000002</v>
      </c>
    </row>
    <row r="2023" spans="1:4">
      <c r="A2023" s="619">
        <v>40289</v>
      </c>
      <c r="B2023" s="620">
        <v>3.8717000000000001</v>
      </c>
    </row>
    <row r="2024" spans="1:4">
      <c r="A2024" s="619">
        <v>40290</v>
      </c>
      <c r="B2024" s="620">
        <v>3.8713000000000002</v>
      </c>
    </row>
    <row r="2025" spans="1:4">
      <c r="A2025" s="619">
        <v>40291</v>
      </c>
      <c r="B2025" s="620">
        <v>3.8721999999999999</v>
      </c>
    </row>
    <row r="2026" spans="1:4">
      <c r="A2026" s="619">
        <v>40294</v>
      </c>
      <c r="B2026" s="620">
        <v>3.8721999999999999</v>
      </c>
    </row>
    <row r="2027" spans="1:4">
      <c r="A2027" s="619">
        <v>40295</v>
      </c>
      <c r="B2027" s="620">
        <v>3.8765000000000001</v>
      </c>
    </row>
    <row r="2028" spans="1:4">
      <c r="A2028" s="619">
        <v>40296</v>
      </c>
      <c r="B2028" s="620">
        <v>3.8803000000000001</v>
      </c>
    </row>
    <row r="2029" spans="1:4">
      <c r="A2029" s="619">
        <v>40297</v>
      </c>
      <c r="B2029" s="620">
        <v>3.8818000000000001</v>
      </c>
      <c r="D2029" s="613">
        <v>40269</v>
      </c>
    </row>
    <row r="2030" spans="1:4" ht="16.5" thickBot="1">
      <c r="A2030" s="621">
        <v>40298</v>
      </c>
      <c r="B2030" s="622">
        <v>3.8862000000000001</v>
      </c>
      <c r="D2030" s="604">
        <v>3.8760699999999999</v>
      </c>
    </row>
    <row r="2031" spans="1:4">
      <c r="A2031" s="619">
        <v>40301</v>
      </c>
      <c r="B2031" s="618">
        <v>3.8860000000000001</v>
      </c>
    </row>
    <row r="2032" spans="1:4">
      <c r="A2032" s="619">
        <v>40302</v>
      </c>
      <c r="B2032" s="620">
        <v>3.8898000000000001</v>
      </c>
    </row>
    <row r="2033" spans="1:4">
      <c r="A2033" s="619">
        <v>40303</v>
      </c>
      <c r="B2033" s="620">
        <v>3.9009999999999998</v>
      </c>
    </row>
    <row r="2034" spans="1:4">
      <c r="A2034" s="619">
        <v>40304</v>
      </c>
      <c r="B2034" s="620">
        <v>3.8975</v>
      </c>
    </row>
    <row r="2035" spans="1:4">
      <c r="A2035" s="619">
        <v>40305</v>
      </c>
      <c r="B2035" s="620">
        <v>3.8952</v>
      </c>
    </row>
    <row r="2036" spans="1:4">
      <c r="A2036" s="619">
        <v>40308</v>
      </c>
      <c r="B2036" s="620">
        <v>3.8946999999999998</v>
      </c>
    </row>
    <row r="2037" spans="1:4">
      <c r="A2037" s="619">
        <v>40309</v>
      </c>
      <c r="B2037" s="620">
        <v>3.8957999999999999</v>
      </c>
    </row>
    <row r="2038" spans="1:4">
      <c r="A2038" s="619">
        <v>40310</v>
      </c>
      <c r="B2038" s="620">
        <v>3.8955000000000002</v>
      </c>
    </row>
    <row r="2039" spans="1:4">
      <c r="A2039" s="619">
        <v>40311</v>
      </c>
      <c r="B2039" s="620">
        <v>3.8957999999999999</v>
      </c>
    </row>
    <row r="2040" spans="1:4">
      <c r="A2040" s="619">
        <v>40312</v>
      </c>
      <c r="B2040" s="620">
        <v>3.8957999999999999</v>
      </c>
    </row>
    <row r="2041" spans="1:4">
      <c r="A2041" s="619">
        <v>40315</v>
      </c>
      <c r="B2041" s="620">
        <v>3.8997999999999999</v>
      </c>
    </row>
    <row r="2042" spans="1:4">
      <c r="A2042" s="619">
        <v>40316</v>
      </c>
      <c r="B2042" s="620">
        <v>3.9062000000000001</v>
      </c>
    </row>
    <row r="2043" spans="1:4">
      <c r="A2043" s="619">
        <v>40317</v>
      </c>
      <c r="B2043" s="620">
        <v>3.9098000000000002</v>
      </c>
    </row>
    <row r="2044" spans="1:4">
      <c r="A2044" s="619">
        <v>40318</v>
      </c>
      <c r="B2044" s="620">
        <v>3.9068000000000001</v>
      </c>
    </row>
    <row r="2045" spans="1:4">
      <c r="A2045" s="619">
        <v>40319</v>
      </c>
      <c r="B2045" s="620">
        <v>3.9062000000000001</v>
      </c>
    </row>
    <row r="2046" spans="1:4">
      <c r="A2046" s="619">
        <v>40324</v>
      </c>
      <c r="B2046" s="620">
        <v>3.9087999999999998</v>
      </c>
    </row>
    <row r="2047" spans="1:4">
      <c r="A2047" s="619">
        <v>40325</v>
      </c>
      <c r="B2047" s="620">
        <v>3.9115000000000002</v>
      </c>
    </row>
    <row r="2048" spans="1:4">
      <c r="A2048" s="619">
        <v>40326</v>
      </c>
      <c r="B2048" s="620">
        <v>3.9144999999999999</v>
      </c>
      <c r="D2048" s="613">
        <v>40299</v>
      </c>
    </row>
    <row r="2049" spans="1:4" ht="16.5" thickBot="1">
      <c r="A2049" s="621">
        <v>40329</v>
      </c>
      <c r="B2049" s="622">
        <v>3.9268000000000001</v>
      </c>
      <c r="D2049" s="604">
        <v>3.9019736842105264</v>
      </c>
    </row>
    <row r="2050" spans="1:4">
      <c r="A2050" s="617">
        <v>40330</v>
      </c>
      <c r="B2050" s="618">
        <v>3.9308000000000001</v>
      </c>
    </row>
    <row r="2051" spans="1:4">
      <c r="A2051" s="619">
        <v>40331</v>
      </c>
      <c r="B2051" s="620">
        <v>3.9287999999999998</v>
      </c>
    </row>
    <row r="2052" spans="1:4">
      <c r="A2052" s="619">
        <v>40332</v>
      </c>
      <c r="B2052" s="620">
        <v>3.923</v>
      </c>
    </row>
    <row r="2053" spans="1:4">
      <c r="A2053" s="619">
        <v>40333</v>
      </c>
      <c r="B2053" s="620">
        <v>3.923</v>
      </c>
    </row>
    <row r="2054" spans="1:4">
      <c r="A2054" s="619">
        <v>40336</v>
      </c>
      <c r="B2054" s="620">
        <v>3.9251999999999998</v>
      </c>
    </row>
    <row r="2055" spans="1:4">
      <c r="A2055" s="619">
        <v>40337</v>
      </c>
      <c r="B2055" s="620">
        <v>3.9215</v>
      </c>
    </row>
    <row r="2056" spans="1:4">
      <c r="A2056" s="619">
        <v>40338</v>
      </c>
      <c r="B2056" s="620">
        <v>3.9159999999999999</v>
      </c>
    </row>
    <row r="2057" spans="1:4">
      <c r="A2057" s="619">
        <v>40339</v>
      </c>
      <c r="B2057" s="620">
        <v>3.9175</v>
      </c>
    </row>
    <row r="2058" spans="1:4">
      <c r="A2058" s="619">
        <v>40340</v>
      </c>
      <c r="B2058" s="620">
        <v>3.9222000000000001</v>
      </c>
    </row>
    <row r="2059" spans="1:4">
      <c r="A2059" s="619">
        <v>40343</v>
      </c>
      <c r="B2059" s="620">
        <v>3.9268000000000001</v>
      </c>
    </row>
    <row r="2060" spans="1:4">
      <c r="A2060" s="619">
        <v>40344</v>
      </c>
      <c r="B2060" s="620">
        <v>3.9257</v>
      </c>
    </row>
    <row r="2061" spans="1:4">
      <c r="A2061" s="619">
        <v>40345</v>
      </c>
      <c r="B2061" s="620">
        <v>3.9258000000000002</v>
      </c>
    </row>
    <row r="2062" spans="1:4">
      <c r="A2062" s="619">
        <v>40346</v>
      </c>
      <c r="B2062" s="620">
        <v>3.9262000000000001</v>
      </c>
    </row>
    <row r="2063" spans="1:4">
      <c r="A2063" s="619">
        <v>40347</v>
      </c>
      <c r="B2063" s="620">
        <v>3.9264999999999999</v>
      </c>
    </row>
    <row r="2064" spans="1:4">
      <c r="A2064" s="619">
        <v>40351</v>
      </c>
      <c r="B2064" s="620">
        <v>3.9287999999999998</v>
      </c>
    </row>
    <row r="2065" spans="1:4">
      <c r="A2065" s="619">
        <v>40352</v>
      </c>
      <c r="B2065" s="620">
        <v>3.9295</v>
      </c>
    </row>
    <row r="2066" spans="1:4">
      <c r="A2066" s="619">
        <v>40353</v>
      </c>
      <c r="B2066" s="620">
        <v>3.9283000000000001</v>
      </c>
    </row>
    <row r="2067" spans="1:4">
      <c r="A2067" s="619">
        <v>40354</v>
      </c>
      <c r="B2067" s="620">
        <v>3.9323000000000001</v>
      </c>
    </row>
    <row r="2068" spans="1:4">
      <c r="A2068" s="619">
        <v>40357</v>
      </c>
      <c r="B2068" s="620">
        <v>3.9331999999999998</v>
      </c>
    </row>
    <row r="2069" spans="1:4">
      <c r="A2069" s="619">
        <v>40358</v>
      </c>
      <c r="B2069" s="620">
        <v>3.9333</v>
      </c>
      <c r="D2069" s="613">
        <v>40330</v>
      </c>
    </row>
    <row r="2070" spans="1:4" ht="16.5" thickBot="1">
      <c r="A2070" s="621">
        <v>40359</v>
      </c>
      <c r="B2070" s="622">
        <v>3.9318</v>
      </c>
      <c r="D2070" s="604">
        <v>3.9264999999999999</v>
      </c>
    </row>
    <row r="2071" spans="1:4">
      <c r="A2071" s="617">
        <v>40360</v>
      </c>
      <c r="B2071" s="623">
        <v>3.9325000000000001</v>
      </c>
    </row>
    <row r="2072" spans="1:4">
      <c r="A2072" s="619">
        <v>40361</v>
      </c>
      <c r="B2072" s="620">
        <v>3.9342000000000001</v>
      </c>
    </row>
    <row r="2073" spans="1:4">
      <c r="A2073" s="619">
        <v>40364</v>
      </c>
      <c r="B2073" s="620">
        <v>3.9355000000000002</v>
      </c>
    </row>
    <row r="2074" spans="1:4">
      <c r="A2074" s="619">
        <v>40365</v>
      </c>
      <c r="B2074" s="620">
        <v>3.9344999999999999</v>
      </c>
    </row>
    <row r="2075" spans="1:4">
      <c r="A2075" s="619">
        <v>40366</v>
      </c>
      <c r="B2075" s="620">
        <v>3.9358</v>
      </c>
    </row>
    <row r="2076" spans="1:4">
      <c r="A2076" s="619">
        <v>40367</v>
      </c>
      <c r="B2076" s="620">
        <v>3.9367000000000001</v>
      </c>
    </row>
    <row r="2077" spans="1:4">
      <c r="A2077" s="619">
        <v>40371</v>
      </c>
      <c r="B2077" s="620">
        <v>3.9375</v>
      </c>
    </row>
    <row r="2078" spans="1:4">
      <c r="A2078" s="619">
        <v>40372</v>
      </c>
      <c r="B2078" s="620">
        <v>3.9358</v>
      </c>
    </row>
    <row r="2079" spans="1:4">
      <c r="A2079" s="619">
        <v>40373</v>
      </c>
      <c r="B2079" s="620">
        <v>3.9346999999999999</v>
      </c>
    </row>
    <row r="2080" spans="1:4">
      <c r="A2080" s="619">
        <v>40374</v>
      </c>
      <c r="B2080" s="620">
        <v>3.9348000000000001</v>
      </c>
    </row>
    <row r="2081" spans="1:4">
      <c r="A2081" s="619">
        <v>40375</v>
      </c>
      <c r="B2081" s="620">
        <v>3.9357000000000002</v>
      </c>
    </row>
    <row r="2082" spans="1:4">
      <c r="A2082" s="619">
        <v>40378</v>
      </c>
      <c r="B2082" s="620">
        <v>3.9344999999999999</v>
      </c>
    </row>
    <row r="2083" spans="1:4">
      <c r="A2083" s="619">
        <v>40379</v>
      </c>
      <c r="B2083" s="620">
        <v>3.9352999999999998</v>
      </c>
    </row>
    <row r="2084" spans="1:4">
      <c r="A2084" s="619">
        <v>40380</v>
      </c>
      <c r="B2084" s="620">
        <v>3.9348000000000001</v>
      </c>
    </row>
    <row r="2085" spans="1:4">
      <c r="A2085" s="619">
        <v>40381</v>
      </c>
      <c r="B2085" s="620">
        <v>3.9335</v>
      </c>
    </row>
    <row r="2086" spans="1:4">
      <c r="A2086" s="619">
        <v>40382</v>
      </c>
      <c r="B2086" s="620">
        <v>3.9318</v>
      </c>
    </row>
    <row r="2087" spans="1:4">
      <c r="A2087" s="619">
        <v>40385</v>
      </c>
      <c r="B2087" s="620">
        <v>3.9321999999999999</v>
      </c>
    </row>
    <row r="2088" spans="1:4">
      <c r="A2088" s="619">
        <v>40386</v>
      </c>
      <c r="B2088" s="620">
        <v>3.9315000000000002</v>
      </c>
    </row>
    <row r="2089" spans="1:4">
      <c r="A2089" s="619">
        <v>40387</v>
      </c>
      <c r="B2089" s="620">
        <v>3.9338000000000002</v>
      </c>
    </row>
    <row r="2090" spans="1:4">
      <c r="A2090" s="619">
        <v>40388</v>
      </c>
      <c r="B2090" s="620">
        <v>3.9367000000000001</v>
      </c>
      <c r="D2090" s="613">
        <v>40360</v>
      </c>
    </row>
    <row r="2091" spans="1:4" ht="16.5" thickBot="1">
      <c r="A2091" s="621">
        <v>40389</v>
      </c>
      <c r="B2091" s="622">
        <v>3.9394999999999998</v>
      </c>
      <c r="D2091" s="604">
        <v>3.9348238095238099</v>
      </c>
    </row>
    <row r="2092" spans="1:4">
      <c r="A2092" s="617">
        <v>40392</v>
      </c>
      <c r="B2092" s="618">
        <v>3.9388000000000001</v>
      </c>
    </row>
    <row r="2093" spans="1:4">
      <c r="A2093" s="619">
        <v>40393</v>
      </c>
      <c r="B2093" s="620">
        <v>3.9352</v>
      </c>
    </row>
    <row r="2094" spans="1:4">
      <c r="A2094" s="619">
        <v>40394</v>
      </c>
      <c r="B2094" s="620">
        <v>3.9325000000000001</v>
      </c>
    </row>
    <row r="2095" spans="1:4">
      <c r="A2095" s="619">
        <v>40395</v>
      </c>
      <c r="B2095" s="620">
        <v>3.9346999999999999</v>
      </c>
    </row>
    <row r="2096" spans="1:4">
      <c r="A2096" s="619">
        <v>40396</v>
      </c>
      <c r="B2096" s="620">
        <v>3.9325000000000001</v>
      </c>
    </row>
    <row r="2097" spans="1:4">
      <c r="A2097" s="619">
        <v>40399</v>
      </c>
      <c r="B2097" s="620">
        <v>3.9308000000000001</v>
      </c>
    </row>
    <row r="2098" spans="1:4">
      <c r="A2098" s="619">
        <v>40400</v>
      </c>
      <c r="B2098" s="620">
        <v>3.9327999999999999</v>
      </c>
    </row>
    <row r="2099" spans="1:4">
      <c r="A2099" s="619">
        <v>40401</v>
      </c>
      <c r="B2099" s="620">
        <v>3.9344999999999999</v>
      </c>
    </row>
    <row r="2100" spans="1:4">
      <c r="A2100" s="619">
        <v>40402</v>
      </c>
      <c r="B2100" s="620">
        <v>3.9338000000000002</v>
      </c>
    </row>
    <row r="2101" spans="1:4">
      <c r="A2101" s="619">
        <v>40403</v>
      </c>
      <c r="B2101" s="620">
        <v>3.9327999999999999</v>
      </c>
    </row>
    <row r="2102" spans="1:4">
      <c r="A2102" s="619">
        <v>40407</v>
      </c>
      <c r="B2102" s="620">
        <v>3.9333</v>
      </c>
    </row>
    <row r="2103" spans="1:4">
      <c r="A2103" s="619">
        <v>40408</v>
      </c>
      <c r="B2103" s="620">
        <v>3.9338000000000002</v>
      </c>
    </row>
    <row r="2104" spans="1:4">
      <c r="A2104" s="619">
        <v>40409</v>
      </c>
      <c r="B2104" s="620">
        <v>3.9367999999999999</v>
      </c>
    </row>
    <row r="2105" spans="1:4">
      <c r="A2105" s="619">
        <v>40410</v>
      </c>
      <c r="B2105" s="620">
        <v>3.9382000000000001</v>
      </c>
    </row>
    <row r="2106" spans="1:4">
      <c r="A2106" s="619">
        <v>40413</v>
      </c>
      <c r="B2106" s="620">
        <v>3.9394999999999998</v>
      </c>
    </row>
    <row r="2107" spans="1:4">
      <c r="A2107" s="619">
        <v>40414</v>
      </c>
      <c r="B2107" s="620">
        <v>3.9415</v>
      </c>
    </row>
    <row r="2108" spans="1:4">
      <c r="A2108" s="619">
        <v>40415</v>
      </c>
      <c r="B2108" s="620">
        <v>3.9455</v>
      </c>
    </row>
    <row r="2109" spans="1:4">
      <c r="A2109" s="619">
        <v>40416</v>
      </c>
      <c r="B2109" s="620">
        <v>3.9447999999999999</v>
      </c>
    </row>
    <row r="2110" spans="1:4">
      <c r="A2110" s="619">
        <v>40417</v>
      </c>
      <c r="B2110" s="620">
        <v>3.9438</v>
      </c>
    </row>
    <row r="2111" spans="1:4">
      <c r="A2111" s="619">
        <v>40420</v>
      </c>
      <c r="B2111" s="620">
        <v>3.9445000000000001</v>
      </c>
      <c r="D2111" s="613">
        <v>40391</v>
      </c>
    </row>
    <row r="2112" spans="1:4" ht="16.5" thickBot="1">
      <c r="A2112" s="621">
        <v>40421</v>
      </c>
      <c r="B2112" s="622">
        <v>3.9497</v>
      </c>
      <c r="D2112" s="604">
        <v>3.9376095238095234</v>
      </c>
    </row>
    <row r="2113" spans="1:2">
      <c r="A2113" s="617">
        <v>40422</v>
      </c>
      <c r="B2113" s="618">
        <v>3.9487999999999999</v>
      </c>
    </row>
    <row r="2114" spans="1:2">
      <c r="A2114" s="619">
        <v>40423</v>
      </c>
      <c r="B2114" s="620">
        <v>3.9487999999999999</v>
      </c>
    </row>
    <row r="2115" spans="1:2">
      <c r="A2115" s="619">
        <v>40424</v>
      </c>
      <c r="B2115" s="620">
        <v>3.9441999999999999</v>
      </c>
    </row>
    <row r="2116" spans="1:2">
      <c r="A2116" s="619">
        <v>40427</v>
      </c>
      <c r="B2116" s="620">
        <v>3.9455</v>
      </c>
    </row>
    <row r="2117" spans="1:2">
      <c r="A2117" s="619">
        <v>40428</v>
      </c>
      <c r="B2117" s="620">
        <v>3.9462000000000002</v>
      </c>
    </row>
    <row r="2118" spans="1:2">
      <c r="A2118" s="619">
        <v>40429</v>
      </c>
      <c r="B2118" s="620">
        <v>3.9468000000000001</v>
      </c>
    </row>
    <row r="2119" spans="1:2">
      <c r="A2119" s="619">
        <v>40430</v>
      </c>
      <c r="B2119" s="620">
        <v>3.9451999999999998</v>
      </c>
    </row>
    <row r="2120" spans="1:2">
      <c r="A2120" s="619">
        <v>40431</v>
      </c>
      <c r="B2120" s="620">
        <v>3.9460000000000002</v>
      </c>
    </row>
    <row r="2121" spans="1:2">
      <c r="A2121" s="619">
        <v>40434</v>
      </c>
      <c r="B2121" s="620">
        <v>3.9468000000000001</v>
      </c>
    </row>
    <row r="2122" spans="1:2">
      <c r="A2122" s="619">
        <v>40435</v>
      </c>
      <c r="B2122" s="620">
        <v>3.9491999999999998</v>
      </c>
    </row>
    <row r="2123" spans="1:2">
      <c r="A2123" s="619">
        <v>40436</v>
      </c>
      <c r="B2123" s="620">
        <v>3.9502999999999999</v>
      </c>
    </row>
    <row r="2124" spans="1:2">
      <c r="A2124" s="619">
        <v>40437</v>
      </c>
      <c r="B2124" s="620">
        <v>3.9495</v>
      </c>
    </row>
    <row r="2125" spans="1:2">
      <c r="A2125" s="619">
        <v>40438</v>
      </c>
      <c r="B2125" s="620">
        <v>3.9495</v>
      </c>
    </row>
    <row r="2126" spans="1:2">
      <c r="A2126" s="619">
        <v>40441</v>
      </c>
      <c r="B2126" s="620">
        <v>3.9512</v>
      </c>
    </row>
    <row r="2127" spans="1:2">
      <c r="A2127" s="619">
        <v>40442</v>
      </c>
      <c r="B2127" s="620">
        <v>3.9512</v>
      </c>
    </row>
    <row r="2128" spans="1:2">
      <c r="A2128" s="619">
        <v>40443</v>
      </c>
      <c r="B2128" s="620">
        <v>3.9523000000000001</v>
      </c>
    </row>
    <row r="2129" spans="1:4">
      <c r="A2129" s="619">
        <v>40444</v>
      </c>
      <c r="B2129" s="620">
        <v>3.9521999999999999</v>
      </c>
    </row>
    <row r="2130" spans="1:4">
      <c r="A2130" s="619">
        <v>40445</v>
      </c>
      <c r="B2130" s="620">
        <v>3.9552</v>
      </c>
    </row>
    <row r="2131" spans="1:4">
      <c r="A2131" s="619">
        <v>40448</v>
      </c>
      <c r="B2131" s="620">
        <v>3.9607000000000001</v>
      </c>
    </row>
    <row r="2132" spans="1:4">
      <c r="A2132" s="619">
        <v>40449</v>
      </c>
      <c r="B2132" s="620">
        <v>3.9714999999999998</v>
      </c>
    </row>
    <row r="2133" spans="1:4">
      <c r="A2133" s="619">
        <v>40450</v>
      </c>
      <c r="B2133" s="620">
        <v>3.9698000000000002</v>
      </c>
      <c r="D2133" s="613">
        <v>40422</v>
      </c>
    </row>
    <row r="2134" spans="1:4" ht="16.5" thickBot="1">
      <c r="A2134" s="621">
        <v>40451</v>
      </c>
      <c r="B2134" s="622">
        <v>3.9607000000000001</v>
      </c>
      <c r="D2134" s="604">
        <v>3.9518909090909102</v>
      </c>
    </row>
    <row r="2135" spans="1:4">
      <c r="A2135" s="617">
        <v>40452</v>
      </c>
      <c r="B2135" s="618">
        <v>3.9611999999999998</v>
      </c>
    </row>
    <row r="2136" spans="1:4">
      <c r="A2136" s="619">
        <v>40455</v>
      </c>
      <c r="B2136" s="620">
        <v>3.9611999999999998</v>
      </c>
    </row>
    <row r="2137" spans="1:4">
      <c r="A2137" s="619">
        <v>40456</v>
      </c>
      <c r="B2137" s="620">
        <v>3.9590000000000001</v>
      </c>
    </row>
    <row r="2138" spans="1:4">
      <c r="A2138" s="619">
        <v>40457</v>
      </c>
      <c r="B2138" s="620">
        <v>3.9586999999999999</v>
      </c>
    </row>
    <row r="2139" spans="1:4">
      <c r="A2139" s="619">
        <v>40458</v>
      </c>
      <c r="B2139" s="620">
        <v>3.9594999999999998</v>
      </c>
    </row>
    <row r="2140" spans="1:4">
      <c r="A2140" s="619">
        <v>40459</v>
      </c>
      <c r="B2140" s="620">
        <v>3.9573</v>
      </c>
    </row>
    <row r="2141" spans="1:4">
      <c r="A2141" s="619">
        <v>40463</v>
      </c>
      <c r="B2141" s="620">
        <v>3.9558</v>
      </c>
    </row>
    <row r="2142" spans="1:4">
      <c r="A2142" s="619">
        <v>40464</v>
      </c>
      <c r="B2142" s="620">
        <v>3.9531999999999998</v>
      </c>
    </row>
    <row r="2143" spans="1:4">
      <c r="A2143" s="619">
        <v>40465</v>
      </c>
      <c r="B2143" s="620">
        <v>3.9512999999999998</v>
      </c>
    </row>
    <row r="2144" spans="1:4">
      <c r="A2144" s="619">
        <v>40466</v>
      </c>
      <c r="B2144" s="620">
        <v>3.9502999999999999</v>
      </c>
    </row>
    <row r="2145" spans="1:4">
      <c r="A2145" s="619">
        <v>40469</v>
      </c>
      <c r="B2145" s="620">
        <v>3.9550000000000001</v>
      </c>
    </row>
    <row r="2146" spans="1:4">
      <c r="A2146" s="619">
        <v>40470</v>
      </c>
      <c r="B2146" s="620">
        <v>3.9557000000000002</v>
      </c>
    </row>
    <row r="2147" spans="1:4">
      <c r="A2147" s="619">
        <v>40471</v>
      </c>
      <c r="B2147" s="620">
        <v>3.9584999999999999</v>
      </c>
    </row>
    <row r="2148" spans="1:4">
      <c r="A2148" s="619">
        <v>40472</v>
      </c>
      <c r="B2148" s="620">
        <v>3.9601999999999999</v>
      </c>
    </row>
    <row r="2149" spans="1:4">
      <c r="A2149" s="619">
        <v>40473</v>
      </c>
      <c r="B2149" s="620">
        <v>3.9577</v>
      </c>
    </row>
    <row r="2150" spans="1:4">
      <c r="A2150" s="619">
        <v>40476</v>
      </c>
      <c r="B2150" s="620">
        <v>3.9565000000000001</v>
      </c>
    </row>
    <row r="2151" spans="1:4">
      <c r="A2151" s="619">
        <v>40477</v>
      </c>
      <c r="B2151" s="620">
        <v>3.9558</v>
      </c>
    </row>
    <row r="2152" spans="1:4">
      <c r="A2152" s="619">
        <v>40479</v>
      </c>
      <c r="B2152" s="620">
        <v>3.9588000000000001</v>
      </c>
      <c r="D2152" s="613">
        <v>40452</v>
      </c>
    </row>
    <row r="2153" spans="1:4" ht="16.5" thickBot="1">
      <c r="A2153" s="621">
        <v>40480</v>
      </c>
      <c r="B2153" s="622">
        <v>3.9569999999999999</v>
      </c>
      <c r="D2153" s="604">
        <v>3.9569999999999999</v>
      </c>
    </row>
    <row r="2154" spans="1:4">
      <c r="A2154" s="617">
        <v>40483</v>
      </c>
      <c r="B2154" s="618">
        <v>3.9580000000000002</v>
      </c>
    </row>
    <row r="2155" spans="1:4">
      <c r="A2155" s="619">
        <v>40484</v>
      </c>
      <c r="B2155" s="620">
        <v>3.9584999999999999</v>
      </c>
    </row>
    <row r="2156" spans="1:4">
      <c r="A2156" s="619">
        <v>40485</v>
      </c>
      <c r="B2156" s="620">
        <v>3.9567000000000001</v>
      </c>
    </row>
    <row r="2157" spans="1:4">
      <c r="A2157" s="619">
        <v>40486</v>
      </c>
      <c r="B2157" s="620">
        <v>3.9571999999999998</v>
      </c>
    </row>
    <row r="2158" spans="1:4">
      <c r="A2158" s="619">
        <v>40487</v>
      </c>
      <c r="B2158" s="620">
        <v>3.9578000000000002</v>
      </c>
    </row>
    <row r="2159" spans="1:4">
      <c r="A2159" s="619">
        <v>40490</v>
      </c>
      <c r="B2159" s="620">
        <v>3.9594999999999998</v>
      </c>
    </row>
    <row r="2160" spans="1:4">
      <c r="A2160" s="619">
        <v>40491</v>
      </c>
      <c r="B2160" s="620">
        <v>3.9611999999999998</v>
      </c>
    </row>
    <row r="2161" spans="1:4">
      <c r="A2161" s="619">
        <v>40492</v>
      </c>
      <c r="B2161" s="620">
        <v>3.9622999999999999</v>
      </c>
    </row>
    <row r="2162" spans="1:4">
      <c r="A2162" s="619">
        <v>40493</v>
      </c>
      <c r="B2162" s="620">
        <v>3.9632999999999998</v>
      </c>
    </row>
    <row r="2163" spans="1:4">
      <c r="A2163" s="619">
        <v>40494</v>
      </c>
      <c r="B2163" s="620">
        <v>3.9632000000000001</v>
      </c>
    </row>
    <row r="2164" spans="1:4">
      <c r="A2164" s="619">
        <v>40497</v>
      </c>
      <c r="B2164" s="620">
        <v>3.9662000000000002</v>
      </c>
    </row>
    <row r="2165" spans="1:4">
      <c r="A2165" s="619">
        <v>40498</v>
      </c>
      <c r="B2165" s="620">
        <v>3.9695</v>
      </c>
    </row>
    <row r="2166" spans="1:4">
      <c r="A2166" s="619">
        <v>40499</v>
      </c>
      <c r="B2166" s="620">
        <v>3.976</v>
      </c>
    </row>
    <row r="2167" spans="1:4">
      <c r="A2167" s="619">
        <v>40500</v>
      </c>
      <c r="B2167" s="620">
        <v>3.9725000000000001</v>
      </c>
    </row>
    <row r="2168" spans="1:4">
      <c r="A2168" s="619">
        <v>40501</v>
      </c>
      <c r="B2168" s="620">
        <v>3.9735</v>
      </c>
    </row>
    <row r="2169" spans="1:4">
      <c r="A2169" s="619">
        <v>40505</v>
      </c>
      <c r="B2169" s="620">
        <v>3.9742000000000002</v>
      </c>
    </row>
    <row r="2170" spans="1:4">
      <c r="A2170" s="619">
        <v>40506</v>
      </c>
      <c r="B2170" s="620">
        <v>3.9731999999999998</v>
      </c>
    </row>
    <row r="2171" spans="1:4">
      <c r="A2171" s="619">
        <v>40507</v>
      </c>
      <c r="B2171" s="620">
        <v>3.9735</v>
      </c>
    </row>
    <row r="2172" spans="1:4">
      <c r="A2172" s="619">
        <v>40508</v>
      </c>
      <c r="B2172" s="620">
        <v>3.9767999999999999</v>
      </c>
    </row>
    <row r="2173" spans="1:4">
      <c r="A2173" s="619">
        <v>40511</v>
      </c>
      <c r="B2173" s="620">
        <v>3.9824999999999999</v>
      </c>
      <c r="D2173" s="613">
        <v>40483</v>
      </c>
    </row>
    <row r="2174" spans="1:4" ht="16.5" thickBot="1">
      <c r="A2174" s="621">
        <v>40512</v>
      </c>
      <c r="B2174" s="622">
        <v>3.984</v>
      </c>
      <c r="D2174" s="604">
        <v>3.9676</v>
      </c>
    </row>
    <row r="2175" spans="1:4">
      <c r="A2175" s="617">
        <v>40513</v>
      </c>
      <c r="B2175" s="618">
        <v>3.9855</v>
      </c>
    </row>
    <row r="2176" spans="1:4">
      <c r="A2176" s="619">
        <v>40514</v>
      </c>
      <c r="B2176" s="620">
        <v>3.9802</v>
      </c>
    </row>
    <row r="2177" spans="1:2">
      <c r="A2177" s="619">
        <v>40515</v>
      </c>
      <c r="B2177" s="620">
        <v>3.9794999999999998</v>
      </c>
    </row>
    <row r="2178" spans="1:2">
      <c r="A2178" s="619">
        <v>40518</v>
      </c>
      <c r="B2178" s="620">
        <v>3.9771999999999998</v>
      </c>
    </row>
    <row r="2179" spans="1:2">
      <c r="A2179" s="619">
        <v>40519</v>
      </c>
      <c r="B2179" s="620">
        <v>3.9782000000000002</v>
      </c>
    </row>
    <row r="2180" spans="1:2">
      <c r="A2180" s="619">
        <v>40521</v>
      </c>
      <c r="B2180" s="620">
        <v>3.9775</v>
      </c>
    </row>
    <row r="2181" spans="1:2">
      <c r="A2181" s="619">
        <v>40522</v>
      </c>
      <c r="B2181" s="620">
        <v>3.9762</v>
      </c>
    </row>
    <row r="2182" spans="1:2">
      <c r="A2182" s="619">
        <v>40525</v>
      </c>
      <c r="B2182" s="620">
        <v>3.9740000000000002</v>
      </c>
    </row>
    <row r="2183" spans="1:2">
      <c r="A2183" s="619">
        <v>40526</v>
      </c>
      <c r="B2183" s="620">
        <v>3.9731999999999998</v>
      </c>
    </row>
    <row r="2184" spans="1:2">
      <c r="A2184" s="619">
        <v>40527</v>
      </c>
      <c r="B2184" s="620">
        <v>3.9738000000000002</v>
      </c>
    </row>
    <row r="2185" spans="1:2">
      <c r="A2185" s="619">
        <v>40528</v>
      </c>
      <c r="B2185" s="620">
        <v>3.9754999999999998</v>
      </c>
    </row>
    <row r="2186" spans="1:2">
      <c r="A2186" s="619">
        <v>40529</v>
      </c>
      <c r="B2186" s="620">
        <v>3.9754999999999998</v>
      </c>
    </row>
    <row r="2187" spans="1:2">
      <c r="A2187" s="619">
        <v>40532</v>
      </c>
      <c r="B2187" s="620">
        <v>3.9748000000000001</v>
      </c>
    </row>
    <row r="2188" spans="1:2">
      <c r="A2188" s="619">
        <v>40533</v>
      </c>
      <c r="B2188" s="620">
        <v>3.9744999999999999</v>
      </c>
    </row>
    <row r="2189" spans="1:2">
      <c r="A2189" s="619">
        <v>40534</v>
      </c>
      <c r="B2189" s="620">
        <v>3.9738000000000002</v>
      </c>
    </row>
    <row r="2190" spans="1:2">
      <c r="A2190" s="619">
        <v>40535</v>
      </c>
      <c r="B2190" s="620">
        <v>3.9752999999999998</v>
      </c>
    </row>
    <row r="2191" spans="1:2">
      <c r="A2191" s="619">
        <v>40539</v>
      </c>
      <c r="B2191" s="620">
        <v>3.9845000000000002</v>
      </c>
    </row>
    <row r="2192" spans="1:2">
      <c r="A2192" s="619">
        <v>40540</v>
      </c>
      <c r="B2192" s="620">
        <v>3.9857</v>
      </c>
    </row>
    <row r="2193" spans="1:4">
      <c r="A2193" s="619">
        <v>40541</v>
      </c>
      <c r="B2193" s="620">
        <v>3.9817999999999998</v>
      </c>
      <c r="D2193" s="613">
        <v>39783</v>
      </c>
    </row>
    <row r="2194" spans="1:4" ht="16.5" thickBot="1">
      <c r="A2194" s="621">
        <v>40542</v>
      </c>
      <c r="B2194" s="622">
        <v>3.9758</v>
      </c>
      <c r="D2194" s="604">
        <v>3.9776249999999997</v>
      </c>
    </row>
    <row r="2195" spans="1:4">
      <c r="A2195" s="617">
        <v>40546</v>
      </c>
      <c r="B2195" s="618">
        <v>3.9738000000000002</v>
      </c>
    </row>
    <row r="2196" spans="1:4">
      <c r="A2196" s="619">
        <v>40547</v>
      </c>
      <c r="B2196" s="620">
        <v>3.9729999999999999</v>
      </c>
    </row>
    <row r="2197" spans="1:4">
      <c r="A2197" s="619">
        <v>40548</v>
      </c>
      <c r="B2197" s="620">
        <v>3.9725000000000001</v>
      </c>
    </row>
    <row r="2198" spans="1:4">
      <c r="A2198" s="619">
        <v>40549</v>
      </c>
      <c r="B2198" s="620">
        <v>3.9714999999999998</v>
      </c>
    </row>
    <row r="2199" spans="1:4">
      <c r="A2199" s="619">
        <v>40550</v>
      </c>
      <c r="B2199" s="620">
        <v>3.9738000000000002</v>
      </c>
    </row>
    <row r="2200" spans="1:4">
      <c r="A2200" s="619">
        <v>40553</v>
      </c>
      <c r="B2200" s="620">
        <v>3.9788000000000001</v>
      </c>
    </row>
    <row r="2201" spans="1:4">
      <c r="A2201" s="619">
        <v>40554</v>
      </c>
      <c r="B2201" s="620">
        <v>3.9769999999999999</v>
      </c>
    </row>
    <row r="2202" spans="1:4">
      <c r="A2202" s="619">
        <v>40555</v>
      </c>
      <c r="B2202" s="620">
        <v>3.9765000000000001</v>
      </c>
    </row>
    <row r="2203" spans="1:4">
      <c r="A2203" s="619">
        <v>40556</v>
      </c>
      <c r="B2203" s="620">
        <v>3.9750000000000001</v>
      </c>
    </row>
    <row r="2204" spans="1:4">
      <c r="A2204" s="619">
        <v>40557</v>
      </c>
      <c r="B2204" s="620">
        <v>3.9777</v>
      </c>
    </row>
    <row r="2205" spans="1:4">
      <c r="A2205" s="619">
        <v>40560</v>
      </c>
      <c r="B2205" s="620">
        <v>3.9786999999999999</v>
      </c>
    </row>
    <row r="2206" spans="1:4">
      <c r="A2206" s="619">
        <v>40561</v>
      </c>
      <c r="B2206" s="620">
        <v>3.9803000000000002</v>
      </c>
    </row>
    <row r="2207" spans="1:4">
      <c r="A2207" s="619">
        <v>40562</v>
      </c>
      <c r="B2207" s="620">
        <v>3.9828000000000001</v>
      </c>
    </row>
    <row r="2208" spans="1:4">
      <c r="A2208" s="619">
        <v>40563</v>
      </c>
      <c r="B2208" s="620">
        <v>3.9823</v>
      </c>
    </row>
    <row r="2209" spans="1:4">
      <c r="A2209" s="619">
        <v>40564</v>
      </c>
      <c r="B2209" s="620">
        <v>3.9832000000000001</v>
      </c>
    </row>
    <row r="2210" spans="1:4">
      <c r="A2210" s="619">
        <v>40567</v>
      </c>
      <c r="B2210" s="620">
        <v>3.9845000000000002</v>
      </c>
    </row>
    <row r="2211" spans="1:4">
      <c r="A2211" s="619">
        <v>40568</v>
      </c>
      <c r="B2211" s="620">
        <v>3.9872000000000001</v>
      </c>
    </row>
    <row r="2212" spans="1:4">
      <c r="A2212" s="619">
        <v>40569</v>
      </c>
      <c r="B2212" s="620">
        <v>3.9887999999999999</v>
      </c>
    </row>
    <row r="2213" spans="1:4">
      <c r="A2213" s="619">
        <v>40570</v>
      </c>
      <c r="B2213" s="620">
        <v>3.9912999999999998</v>
      </c>
    </row>
    <row r="2214" spans="1:4">
      <c r="A2214" s="619">
        <v>40571</v>
      </c>
      <c r="B2214" s="620">
        <v>3.9980000000000002</v>
      </c>
      <c r="D2214" s="613">
        <v>40544</v>
      </c>
    </row>
    <row r="2215" spans="1:4" ht="16.5" thickBot="1">
      <c r="A2215" s="621">
        <v>40574</v>
      </c>
      <c r="B2215" s="622">
        <v>4.0007999999999999</v>
      </c>
      <c r="D2215" s="604">
        <v>3.9813000000000001</v>
      </c>
    </row>
    <row r="2216" spans="1:4">
      <c r="A2216" s="617">
        <v>40575</v>
      </c>
      <c r="B2216" s="618">
        <v>4.0087999999999999</v>
      </c>
    </row>
    <row r="2217" spans="1:4">
      <c r="A2217" s="619">
        <v>40576</v>
      </c>
      <c r="B2217" s="620">
        <v>4.0106999999999999</v>
      </c>
    </row>
    <row r="2218" spans="1:4">
      <c r="A2218" s="619">
        <v>40577</v>
      </c>
      <c r="B2218" s="620">
        <v>4.0143000000000004</v>
      </c>
    </row>
    <row r="2219" spans="1:4">
      <c r="A2219" s="619">
        <v>40578</v>
      </c>
      <c r="B2219" s="620">
        <v>4.0171999999999999</v>
      </c>
    </row>
    <row r="2220" spans="1:4">
      <c r="A2220" s="619">
        <v>40581</v>
      </c>
      <c r="B2220" s="620">
        <v>4.0186999999999999</v>
      </c>
    </row>
    <row r="2221" spans="1:4">
      <c r="A2221" s="619">
        <v>40582</v>
      </c>
      <c r="B2221" s="620">
        <v>4.0191999999999997</v>
      </c>
    </row>
    <row r="2222" spans="1:4">
      <c r="A2222" s="619">
        <v>40583</v>
      </c>
      <c r="B2222" s="620">
        <v>4.0167000000000002</v>
      </c>
    </row>
    <row r="2223" spans="1:4">
      <c r="A2223" s="619">
        <v>40584</v>
      </c>
      <c r="B2223" s="620">
        <v>4.0183</v>
      </c>
    </row>
    <row r="2224" spans="1:4">
      <c r="A2224" s="619">
        <v>40585</v>
      </c>
      <c r="B2224" s="620">
        <v>4.0220000000000002</v>
      </c>
    </row>
    <row r="2225" spans="1:4">
      <c r="A2225" s="619">
        <v>40588</v>
      </c>
      <c r="B2225" s="620">
        <v>4.0235000000000003</v>
      </c>
    </row>
    <row r="2226" spans="1:4">
      <c r="A2226" s="619">
        <v>40589</v>
      </c>
      <c r="B2226" s="620">
        <v>4.0247999999999999</v>
      </c>
    </row>
    <row r="2227" spans="1:4">
      <c r="A2227" s="619">
        <v>40590</v>
      </c>
      <c r="B2227" s="620">
        <v>4.0244999999999997</v>
      </c>
    </row>
    <row r="2228" spans="1:4">
      <c r="A2228" s="619">
        <v>40591</v>
      </c>
      <c r="B2228" s="620">
        <v>4.024</v>
      </c>
    </row>
    <row r="2229" spans="1:4">
      <c r="A2229" s="619">
        <v>40592</v>
      </c>
      <c r="B2229" s="620">
        <v>4.0247999999999999</v>
      </c>
    </row>
    <row r="2230" spans="1:4">
      <c r="A2230" s="619">
        <v>40595</v>
      </c>
      <c r="B2230" s="620">
        <v>4.0273000000000003</v>
      </c>
    </row>
    <row r="2231" spans="1:4">
      <c r="A2231" s="619">
        <v>40596</v>
      </c>
      <c r="B2231" s="620">
        <v>4.0282</v>
      </c>
    </row>
    <row r="2232" spans="1:4">
      <c r="A2232" s="619">
        <v>40597</v>
      </c>
      <c r="B2232" s="620">
        <v>4.0288000000000004</v>
      </c>
    </row>
    <row r="2233" spans="1:4">
      <c r="A2233" s="619">
        <v>40598</v>
      </c>
      <c r="B2233" s="620">
        <v>4.0282</v>
      </c>
    </row>
    <row r="2234" spans="1:4">
      <c r="A2234" s="619">
        <v>40599</v>
      </c>
      <c r="B2234" s="620">
        <v>4.0286999999999997</v>
      </c>
      <c r="D2234" s="613">
        <v>40575</v>
      </c>
    </row>
    <row r="2235" spans="1:4" ht="16.5" thickBot="1">
      <c r="A2235" s="621">
        <v>40602</v>
      </c>
      <c r="B2235" s="622">
        <v>4.0305</v>
      </c>
      <c r="D2235" s="604">
        <v>4.0220000000000002</v>
      </c>
    </row>
    <row r="2236" spans="1:4">
      <c r="A2236" s="617">
        <v>40603</v>
      </c>
      <c r="B2236" s="618">
        <v>4.0308000000000002</v>
      </c>
    </row>
    <row r="2237" spans="1:4">
      <c r="A2237" s="619">
        <v>40604</v>
      </c>
      <c r="B2237" s="620">
        <v>4.0315000000000003</v>
      </c>
    </row>
    <row r="2238" spans="1:4">
      <c r="A2238" s="619">
        <v>40605</v>
      </c>
      <c r="B2238" s="620">
        <v>4.0297999999999998</v>
      </c>
    </row>
    <row r="2239" spans="1:4">
      <c r="A2239" s="619">
        <v>40606</v>
      </c>
      <c r="B2239" s="620">
        <v>4.0297999999999998</v>
      </c>
    </row>
    <row r="2240" spans="1:4">
      <c r="A2240" s="619">
        <v>40611</v>
      </c>
      <c r="B2240" s="620">
        <v>4.0324999999999998</v>
      </c>
    </row>
    <row r="2241" spans="1:4">
      <c r="A2241" s="619">
        <v>40612</v>
      </c>
      <c r="B2241" s="620">
        <v>4.032</v>
      </c>
    </row>
    <row r="2242" spans="1:4">
      <c r="A2242" s="619">
        <v>40613</v>
      </c>
      <c r="B2242" s="620">
        <v>4.0307000000000004</v>
      </c>
    </row>
    <row r="2243" spans="1:4">
      <c r="A2243" s="619">
        <v>40616</v>
      </c>
      <c r="B2243" s="620">
        <v>4.0288000000000004</v>
      </c>
    </row>
    <row r="2244" spans="1:4">
      <c r="A2244" s="619">
        <v>40617</v>
      </c>
      <c r="B2244" s="620">
        <v>4.0324999999999998</v>
      </c>
    </row>
    <row r="2245" spans="1:4">
      <c r="A2245" s="619">
        <v>40618</v>
      </c>
      <c r="B2245" s="620">
        <v>4.0365000000000002</v>
      </c>
    </row>
    <row r="2246" spans="1:4">
      <c r="A2246" s="619">
        <v>40619</v>
      </c>
      <c r="B2246" s="620">
        <v>4.0397999999999996</v>
      </c>
    </row>
    <row r="2247" spans="1:4">
      <c r="A2247" s="619">
        <v>40620</v>
      </c>
      <c r="B2247" s="620">
        <v>4.0392999999999999</v>
      </c>
    </row>
    <row r="2248" spans="1:4">
      <c r="A2248" s="619">
        <v>40623</v>
      </c>
      <c r="B2248" s="620">
        <v>4.0407999999999999</v>
      </c>
    </row>
    <row r="2249" spans="1:4">
      <c r="A2249" s="619">
        <v>40624</v>
      </c>
      <c r="B2249" s="620">
        <v>4.0407999999999999</v>
      </c>
    </row>
    <row r="2250" spans="1:4">
      <c r="A2250" s="619">
        <v>40625</v>
      </c>
      <c r="B2250" s="620">
        <v>4.0415000000000001</v>
      </c>
    </row>
    <row r="2251" spans="1:4">
      <c r="A2251" s="619">
        <v>40630</v>
      </c>
      <c r="B2251" s="620">
        <v>4.0438000000000001</v>
      </c>
    </row>
    <row r="2252" spans="1:4">
      <c r="A2252" s="619">
        <v>40631</v>
      </c>
      <c r="B2252" s="620">
        <v>4.0453000000000001</v>
      </c>
    </row>
    <row r="2253" spans="1:4">
      <c r="A2253" s="619">
        <v>40632</v>
      </c>
      <c r="B2253" s="620">
        <v>4.0491999999999999</v>
      </c>
      <c r="D2253" s="613">
        <v>40603</v>
      </c>
    </row>
    <row r="2254" spans="1:4" ht="16.5" thickBot="1">
      <c r="A2254" s="621">
        <v>40633</v>
      </c>
      <c r="B2254" s="622">
        <v>4.0519999999999996</v>
      </c>
      <c r="D2254" s="604">
        <v>4.0372000000000003</v>
      </c>
    </row>
    <row r="2255" spans="1:4">
      <c r="A2255" s="617">
        <v>40634</v>
      </c>
      <c r="B2255" s="618">
        <v>4.0541999999999998</v>
      </c>
    </row>
    <row r="2256" spans="1:4">
      <c r="A2256" s="619">
        <v>40637</v>
      </c>
      <c r="B2256" s="620">
        <v>4.0522</v>
      </c>
    </row>
    <row r="2257" spans="1:4">
      <c r="A2257" s="619">
        <v>40638</v>
      </c>
      <c r="B2257" s="620">
        <v>4.0525000000000002</v>
      </c>
    </row>
    <row r="2258" spans="1:4">
      <c r="A2258" s="619">
        <v>40639</v>
      </c>
      <c r="B2258" s="620">
        <v>4.0534999999999997</v>
      </c>
    </row>
    <row r="2259" spans="1:4">
      <c r="A2259" s="619">
        <v>40640</v>
      </c>
      <c r="B2259" s="620">
        <v>4.0534999999999997</v>
      </c>
    </row>
    <row r="2260" spans="1:4">
      <c r="A2260" s="619">
        <v>40641</v>
      </c>
      <c r="B2260" s="620">
        <v>4.0502000000000002</v>
      </c>
    </row>
    <row r="2261" spans="1:4">
      <c r="A2261" s="619">
        <v>40644</v>
      </c>
      <c r="B2261" s="620">
        <v>4.0495000000000001</v>
      </c>
    </row>
    <row r="2262" spans="1:4">
      <c r="A2262" s="619">
        <v>40645</v>
      </c>
      <c r="B2262" s="620">
        <v>4.0498000000000003</v>
      </c>
    </row>
    <row r="2263" spans="1:4">
      <c r="A2263" s="619">
        <v>40646</v>
      </c>
      <c r="B2263" s="620">
        <v>4.0552999999999999</v>
      </c>
    </row>
    <row r="2264" spans="1:4">
      <c r="A2264" s="619">
        <v>40647</v>
      </c>
      <c r="B2264" s="620">
        <v>4.0651999999999999</v>
      </c>
    </row>
    <row r="2265" spans="1:4">
      <c r="A2265" s="619">
        <v>40648</v>
      </c>
      <c r="B2265" s="620">
        <v>4.0688000000000004</v>
      </c>
    </row>
    <row r="2266" spans="1:4">
      <c r="A2266" s="619">
        <v>40651</v>
      </c>
      <c r="B2266" s="620">
        <v>4.0732999999999997</v>
      </c>
    </row>
    <row r="2267" spans="1:4">
      <c r="A2267" s="619">
        <v>40652</v>
      </c>
      <c r="B2267" s="620">
        <v>4.0751999999999997</v>
      </c>
    </row>
    <row r="2268" spans="1:4">
      <c r="A2268" s="619">
        <v>40653</v>
      </c>
      <c r="B2268" s="620">
        <v>4.0781999999999998</v>
      </c>
    </row>
    <row r="2269" spans="1:4">
      <c r="A2269" s="619">
        <v>40658</v>
      </c>
      <c r="B2269" s="620">
        <v>4.0827999999999998</v>
      </c>
    </row>
    <row r="2270" spans="1:4">
      <c r="A2270" s="619">
        <v>40659</v>
      </c>
      <c r="B2270" s="620">
        <v>4.0822000000000003</v>
      </c>
    </row>
    <row r="2271" spans="1:4">
      <c r="A2271" s="619">
        <v>40660</v>
      </c>
      <c r="B2271" s="620">
        <v>4.0834999999999999</v>
      </c>
    </row>
    <row r="2272" spans="1:4">
      <c r="A2272" s="619">
        <v>40661</v>
      </c>
      <c r="B2272" s="620">
        <v>4.0837000000000003</v>
      </c>
      <c r="D2272" s="613">
        <v>40634</v>
      </c>
    </row>
    <row r="2273" spans="1:4" ht="16.5" thickBot="1">
      <c r="A2273" s="621">
        <v>40662</v>
      </c>
      <c r="B2273" s="622">
        <v>4.0804999999999998</v>
      </c>
      <c r="D2273" s="604">
        <v>4.0655000000000001</v>
      </c>
    </row>
    <row r="2274" spans="1:4">
      <c r="A2274" s="617">
        <v>40665</v>
      </c>
      <c r="B2274" s="618">
        <v>4.0804999999999998</v>
      </c>
    </row>
    <row r="2275" spans="1:4">
      <c r="A2275" s="619">
        <v>40666</v>
      </c>
      <c r="B2275" s="620">
        <v>4.0788000000000002</v>
      </c>
    </row>
    <row r="2276" spans="1:4">
      <c r="A2276" s="619">
        <v>40667</v>
      </c>
      <c r="B2276" s="620">
        <v>4.0795000000000003</v>
      </c>
    </row>
    <row r="2277" spans="1:4">
      <c r="A2277" s="619">
        <v>40668</v>
      </c>
      <c r="B2277" s="620">
        <v>4.0811999999999999</v>
      </c>
    </row>
    <row r="2278" spans="1:4">
      <c r="A2278" s="619">
        <v>40669</v>
      </c>
      <c r="B2278" s="620">
        <v>4.0804999999999998</v>
      </c>
    </row>
    <row r="2279" spans="1:4">
      <c r="A2279" s="619">
        <v>40672</v>
      </c>
      <c r="B2279" s="620">
        <v>4.0822000000000003</v>
      </c>
    </row>
    <row r="2280" spans="1:4">
      <c r="A2280" s="619">
        <v>40673</v>
      </c>
      <c r="B2280" s="620">
        <v>4.0818000000000003</v>
      </c>
    </row>
    <row r="2281" spans="1:4">
      <c r="A2281" s="619">
        <v>40674</v>
      </c>
      <c r="B2281" s="620">
        <v>4.0822000000000003</v>
      </c>
    </row>
    <row r="2282" spans="1:4">
      <c r="A2282" s="619">
        <v>40675</v>
      </c>
      <c r="B2282" s="620">
        <v>4.0833000000000004</v>
      </c>
    </row>
    <row r="2283" spans="1:4">
      <c r="A2283" s="619">
        <v>40676</v>
      </c>
      <c r="B2283" s="620">
        <v>4.0827999999999998</v>
      </c>
    </row>
    <row r="2284" spans="1:4">
      <c r="A2284" s="619">
        <v>40679</v>
      </c>
      <c r="B2284" s="620">
        <v>4.0845000000000002</v>
      </c>
    </row>
    <row r="2285" spans="1:4">
      <c r="A2285" s="619">
        <v>40680</v>
      </c>
      <c r="B2285" s="620">
        <v>4.0852000000000004</v>
      </c>
    </row>
    <row r="2286" spans="1:4">
      <c r="A2286" s="619">
        <v>40681</v>
      </c>
      <c r="B2286" s="620">
        <v>4.0857999999999999</v>
      </c>
    </row>
    <row r="2287" spans="1:4">
      <c r="A2287" s="619">
        <v>40682</v>
      </c>
      <c r="B2287" s="620">
        <v>4.0854999999999997</v>
      </c>
    </row>
    <row r="2288" spans="1:4">
      <c r="A2288" s="619">
        <v>40683</v>
      </c>
      <c r="B2288" s="620">
        <v>4.0865</v>
      </c>
    </row>
    <row r="2289" spans="1:4">
      <c r="A2289" s="619">
        <v>40686</v>
      </c>
      <c r="B2289" s="620">
        <v>4.0861999999999998</v>
      </c>
    </row>
    <row r="2290" spans="1:4">
      <c r="A2290" s="619">
        <v>40687</v>
      </c>
      <c r="B2290" s="620">
        <v>4.0865</v>
      </c>
    </row>
    <row r="2291" spans="1:4">
      <c r="A2291" s="619">
        <v>40689</v>
      </c>
      <c r="B2291" s="620">
        <v>4.0865</v>
      </c>
    </row>
    <row r="2292" spans="1:4">
      <c r="A2292" s="619">
        <v>40690</v>
      </c>
      <c r="B2292" s="620">
        <v>4.0857000000000001</v>
      </c>
    </row>
    <row r="2293" spans="1:4">
      <c r="A2293" s="619">
        <v>40693</v>
      </c>
      <c r="B2293" s="620">
        <v>4.0876999999999999</v>
      </c>
      <c r="D2293" s="613">
        <v>40664</v>
      </c>
    </row>
    <row r="2294" spans="1:4" ht="16.5" thickBot="1">
      <c r="A2294" s="621">
        <v>40694</v>
      </c>
      <c r="B2294" s="622">
        <v>4.0887000000000002</v>
      </c>
      <c r="D2294" s="604">
        <v>4.0838999999999999</v>
      </c>
    </row>
    <row r="2295" spans="1:4">
      <c r="A2295" s="617">
        <v>40695</v>
      </c>
      <c r="B2295" s="618">
        <v>4.0890000000000004</v>
      </c>
    </row>
    <row r="2296" spans="1:4">
      <c r="A2296" s="619">
        <v>40696</v>
      </c>
      <c r="B2296" s="620">
        <v>4.0898000000000003</v>
      </c>
    </row>
    <row r="2297" spans="1:4">
      <c r="A2297" s="619">
        <v>40697</v>
      </c>
      <c r="B2297" s="620">
        <v>4.0904999999999996</v>
      </c>
    </row>
    <row r="2298" spans="1:4">
      <c r="A2298" s="619">
        <v>40700</v>
      </c>
      <c r="B2298" s="620">
        <v>4.0907999999999998</v>
      </c>
    </row>
    <row r="2299" spans="1:4">
      <c r="A2299" s="619">
        <v>40701</v>
      </c>
      <c r="B2299" s="620">
        <v>4.0925000000000002</v>
      </c>
    </row>
    <row r="2300" spans="1:4">
      <c r="A2300" s="619">
        <v>40702</v>
      </c>
      <c r="B2300" s="620">
        <v>4.0925000000000002</v>
      </c>
    </row>
    <row r="2301" spans="1:4">
      <c r="A2301" s="619">
        <v>40703</v>
      </c>
      <c r="B2301" s="620">
        <v>4.0925000000000002</v>
      </c>
    </row>
    <row r="2302" spans="1:4">
      <c r="A2302" s="619">
        <v>40704</v>
      </c>
      <c r="B2302" s="620">
        <v>4.0928000000000004</v>
      </c>
    </row>
    <row r="2303" spans="1:4">
      <c r="A2303" s="619">
        <v>40707</v>
      </c>
      <c r="B2303" s="620">
        <v>4.0934999999999997</v>
      </c>
    </row>
    <row r="2304" spans="1:4">
      <c r="A2304" s="619">
        <v>40708</v>
      </c>
      <c r="B2304" s="620">
        <v>4.0925000000000002</v>
      </c>
    </row>
    <row r="2305" spans="1:4">
      <c r="A2305" s="619">
        <v>40709</v>
      </c>
      <c r="B2305" s="620">
        <v>4.0932000000000004</v>
      </c>
    </row>
    <row r="2306" spans="1:4">
      <c r="A2306" s="619">
        <v>40710</v>
      </c>
      <c r="B2306" s="620">
        <v>4.0945</v>
      </c>
    </row>
    <row r="2307" spans="1:4">
      <c r="A2307" s="619">
        <v>40711</v>
      </c>
      <c r="B2307" s="620">
        <v>4.0945</v>
      </c>
    </row>
    <row r="2308" spans="1:4">
      <c r="A2308" s="619">
        <v>40715</v>
      </c>
      <c r="B2308" s="620">
        <v>4.0970000000000004</v>
      </c>
    </row>
    <row r="2309" spans="1:4">
      <c r="A2309" s="619">
        <v>40716</v>
      </c>
      <c r="B2309" s="620">
        <v>4.0982000000000003</v>
      </c>
    </row>
    <row r="2310" spans="1:4">
      <c r="A2310" s="619">
        <v>40717</v>
      </c>
      <c r="B2310" s="620">
        <v>4.0991999999999997</v>
      </c>
    </row>
    <row r="2311" spans="1:4">
      <c r="A2311" s="619">
        <v>40718</v>
      </c>
      <c r="B2311" s="620">
        <v>4.0998000000000001</v>
      </c>
    </row>
    <row r="2312" spans="1:4">
      <c r="A2312" s="619">
        <v>40721</v>
      </c>
      <c r="B2312" s="620">
        <v>4.1020000000000003</v>
      </c>
    </row>
    <row r="2313" spans="1:4">
      <c r="A2313" s="619">
        <v>40722</v>
      </c>
      <c r="B2313" s="620">
        <v>4.1032000000000002</v>
      </c>
    </row>
    <row r="2314" spans="1:4">
      <c r="A2314" s="619">
        <v>40723</v>
      </c>
      <c r="B2314" s="620">
        <v>4.1070000000000002</v>
      </c>
      <c r="D2314" s="613">
        <v>40695</v>
      </c>
    </row>
    <row r="2315" spans="1:4" ht="16.5" thickBot="1">
      <c r="A2315" s="621">
        <v>40724</v>
      </c>
      <c r="B2315" s="622">
        <v>4.1109999999999998</v>
      </c>
      <c r="D2315" s="604">
        <v>4.0960000000000001</v>
      </c>
    </row>
    <row r="2316" spans="1:4">
      <c r="A2316" s="617">
        <v>40725</v>
      </c>
      <c r="B2316" s="618">
        <v>4.1105</v>
      </c>
    </row>
    <row r="2317" spans="1:4">
      <c r="A2317" s="619">
        <v>40728</v>
      </c>
      <c r="B2317" s="620">
        <v>4.1139999999999999</v>
      </c>
    </row>
    <row r="2318" spans="1:4">
      <c r="A2318" s="619">
        <v>40729</v>
      </c>
      <c r="B2318" s="620">
        <v>4.1162000000000001</v>
      </c>
    </row>
    <row r="2319" spans="1:4">
      <c r="A2319" s="619">
        <v>40730</v>
      </c>
      <c r="B2319" s="620">
        <v>4.1174999999999997</v>
      </c>
    </row>
    <row r="2320" spans="1:4">
      <c r="A2320" s="619">
        <v>40731</v>
      </c>
      <c r="B2320" s="620">
        <v>4.1197999999999997</v>
      </c>
    </row>
    <row r="2321" spans="1:4">
      <c r="A2321" s="619">
        <v>40732</v>
      </c>
      <c r="B2321" s="620">
        <v>4.1230000000000002</v>
      </c>
    </row>
    <row r="2322" spans="1:4">
      <c r="A2322" s="619">
        <v>40735</v>
      </c>
      <c r="B2322" s="620">
        <v>4.1227</v>
      </c>
    </row>
    <row r="2323" spans="1:4">
      <c r="A2323" s="619">
        <v>40736</v>
      </c>
      <c r="B2323" s="620">
        <v>4.1224999999999996</v>
      </c>
    </row>
    <row r="2324" spans="1:4">
      <c r="A2324" s="619">
        <v>40737</v>
      </c>
      <c r="B2324" s="620">
        <v>4.1218000000000004</v>
      </c>
    </row>
    <row r="2325" spans="1:4">
      <c r="A2325" s="619">
        <v>40738</v>
      </c>
      <c r="B2325" s="620">
        <v>4.1224999999999996</v>
      </c>
    </row>
    <row r="2326" spans="1:4">
      <c r="A2326" s="619">
        <v>40739</v>
      </c>
      <c r="B2326" s="620">
        <v>4.1230000000000002</v>
      </c>
    </row>
    <row r="2327" spans="1:4">
      <c r="A2327" s="619">
        <v>40742</v>
      </c>
      <c r="B2327" s="620">
        <v>4.1262999999999996</v>
      </c>
    </row>
    <row r="2328" spans="1:4">
      <c r="A2328" s="619">
        <v>40743</v>
      </c>
      <c r="B2328" s="620">
        <v>4.1296999999999997</v>
      </c>
    </row>
    <row r="2329" spans="1:4">
      <c r="A2329" s="619">
        <v>40744</v>
      </c>
      <c r="B2329" s="620">
        <v>4.1363000000000003</v>
      </c>
    </row>
    <row r="2330" spans="1:4">
      <c r="A2330" s="619">
        <v>40745</v>
      </c>
      <c r="B2330" s="620">
        <v>4.1378000000000004</v>
      </c>
    </row>
    <row r="2331" spans="1:4">
      <c r="A2331" s="619">
        <v>40746</v>
      </c>
      <c r="B2331" s="620">
        <v>4.1395</v>
      </c>
    </row>
    <row r="2332" spans="1:4">
      <c r="A2332" s="619">
        <v>40749</v>
      </c>
      <c r="B2332" s="620">
        <v>4.1390000000000002</v>
      </c>
    </row>
    <row r="2333" spans="1:4">
      <c r="A2333" s="619">
        <v>40750</v>
      </c>
      <c r="B2333" s="620">
        <v>4.1372</v>
      </c>
    </row>
    <row r="2334" spans="1:4">
      <c r="A2334" s="619">
        <v>40751</v>
      </c>
      <c r="B2334" s="620">
        <v>4.1379999999999999</v>
      </c>
    </row>
    <row r="2335" spans="1:4">
      <c r="A2335" s="619">
        <v>40752</v>
      </c>
      <c r="B2335" s="620">
        <v>4.1398000000000001</v>
      </c>
      <c r="D2335" s="613">
        <v>40725</v>
      </c>
    </row>
    <row r="2336" spans="1:4" ht="16.5" thickBot="1">
      <c r="A2336" s="621">
        <v>40753</v>
      </c>
      <c r="B2336" s="622">
        <v>4.1429999999999998</v>
      </c>
      <c r="D2336" s="604">
        <v>4.1276000000000002</v>
      </c>
    </row>
    <row r="2337" spans="1:2">
      <c r="A2337" s="617">
        <v>40756</v>
      </c>
      <c r="B2337" s="618">
        <v>4.1459999999999999</v>
      </c>
    </row>
    <row r="2338" spans="1:2">
      <c r="A2338" s="619">
        <v>40757</v>
      </c>
      <c r="B2338" s="620">
        <v>4.1478000000000002</v>
      </c>
    </row>
    <row r="2339" spans="1:2">
      <c r="A2339" s="619">
        <v>40758</v>
      </c>
      <c r="B2339" s="620">
        <v>4.1501999999999999</v>
      </c>
    </row>
    <row r="2340" spans="1:2">
      <c r="A2340" s="619">
        <v>40759</v>
      </c>
      <c r="B2340" s="620">
        <v>4.1529999999999996</v>
      </c>
    </row>
    <row r="2341" spans="1:2">
      <c r="A2341" s="619">
        <v>40760</v>
      </c>
      <c r="B2341" s="620">
        <v>4.1544999999999996</v>
      </c>
    </row>
    <row r="2342" spans="1:2">
      <c r="A2342" s="619">
        <v>40763</v>
      </c>
      <c r="B2342" s="620">
        <v>4.1567999999999996</v>
      </c>
    </row>
    <row r="2343" spans="1:2">
      <c r="A2343" s="619">
        <v>40764</v>
      </c>
      <c r="B2343" s="620">
        <v>4.1562000000000001</v>
      </c>
    </row>
    <row r="2344" spans="1:2">
      <c r="A2344" s="619">
        <v>40765</v>
      </c>
      <c r="B2344" s="620">
        <v>4.1571999999999996</v>
      </c>
    </row>
    <row r="2345" spans="1:2">
      <c r="A2345" s="619">
        <v>40766</v>
      </c>
      <c r="B2345" s="620">
        <v>4.1585000000000001</v>
      </c>
    </row>
    <row r="2346" spans="1:2">
      <c r="A2346" s="619">
        <v>40767</v>
      </c>
      <c r="B2346" s="620">
        <v>4.1592000000000002</v>
      </c>
    </row>
    <row r="2347" spans="1:2">
      <c r="A2347" s="619">
        <v>40770</v>
      </c>
      <c r="B2347" s="620">
        <v>4.1595000000000004</v>
      </c>
    </row>
    <row r="2348" spans="1:2">
      <c r="A2348" s="619">
        <v>40771</v>
      </c>
      <c r="B2348" s="620">
        <v>4.1623000000000001</v>
      </c>
    </row>
    <row r="2349" spans="1:2">
      <c r="A2349" s="619">
        <v>40772</v>
      </c>
      <c r="B2349" s="620">
        <v>4.1654999999999998</v>
      </c>
    </row>
    <row r="2350" spans="1:2">
      <c r="A2350" s="619">
        <v>40773</v>
      </c>
      <c r="B2350" s="620">
        <v>4.1712999999999996</v>
      </c>
    </row>
    <row r="2351" spans="1:2">
      <c r="A2351" s="619">
        <v>40774</v>
      </c>
      <c r="B2351" s="620">
        <v>4.1772</v>
      </c>
    </row>
    <row r="2352" spans="1:2">
      <c r="A2352" s="619">
        <v>40778</v>
      </c>
      <c r="B2352" s="620">
        <v>4.1828000000000003</v>
      </c>
    </row>
    <row r="2353" spans="1:4">
      <c r="A2353" s="619">
        <v>40779</v>
      </c>
      <c r="B2353" s="620">
        <v>4.1863000000000001</v>
      </c>
    </row>
    <row r="2354" spans="1:4">
      <c r="A2354" s="619">
        <v>40780</v>
      </c>
      <c r="B2354" s="620">
        <v>4.1867999999999999</v>
      </c>
    </row>
    <row r="2355" spans="1:4">
      <c r="A2355" s="619">
        <v>40781</v>
      </c>
      <c r="B2355" s="620">
        <v>4.1855000000000002</v>
      </c>
    </row>
    <row r="2356" spans="1:4">
      <c r="A2356" s="619">
        <v>40784</v>
      </c>
      <c r="B2356" s="620">
        <v>4.1875</v>
      </c>
    </row>
    <row r="2357" spans="1:4">
      <c r="A2357" s="619">
        <v>40785</v>
      </c>
      <c r="B2357" s="620">
        <v>4.1917</v>
      </c>
      <c r="D2357" s="613">
        <v>40756</v>
      </c>
    </row>
    <row r="2358" spans="1:4" ht="16.5" thickBot="1">
      <c r="A2358" s="621">
        <v>40786</v>
      </c>
      <c r="B2358" s="622">
        <v>4.1994999999999996</v>
      </c>
      <c r="D2358" s="604">
        <v>4.1680000000000001</v>
      </c>
    </row>
    <row r="2359" spans="1:4">
      <c r="A2359" s="617">
        <v>40787</v>
      </c>
      <c r="B2359" s="618">
        <v>4.2062999999999997</v>
      </c>
    </row>
    <row r="2360" spans="1:4">
      <c r="A2360" s="619">
        <v>40788</v>
      </c>
      <c r="B2360" s="620">
        <v>4.2172999999999998</v>
      </c>
    </row>
    <row r="2361" spans="1:4">
      <c r="A2361" s="619">
        <v>40791</v>
      </c>
      <c r="B2361" s="620">
        <v>4.2092000000000001</v>
      </c>
    </row>
    <row r="2362" spans="1:4">
      <c r="A2362" s="619">
        <v>40792</v>
      </c>
      <c r="B2362" s="620">
        <v>4.2077</v>
      </c>
    </row>
    <row r="2363" spans="1:4">
      <c r="A2363" s="619">
        <v>40793</v>
      </c>
      <c r="B2363" s="620">
        <v>4.2065000000000001</v>
      </c>
    </row>
    <row r="2364" spans="1:4">
      <c r="A2364" s="619">
        <v>40794</v>
      </c>
      <c r="B2364" s="620">
        <v>4.2051999999999996</v>
      </c>
    </row>
    <row r="2365" spans="1:4">
      <c r="A2365" s="619">
        <v>40795</v>
      </c>
      <c r="B2365" s="620">
        <v>4.2039999999999997</v>
      </c>
    </row>
    <row r="2366" spans="1:4">
      <c r="A2366" s="619">
        <v>40798</v>
      </c>
      <c r="B2366" s="620">
        <v>4.2042000000000002</v>
      </c>
    </row>
    <row r="2367" spans="1:4">
      <c r="A2367" s="619">
        <v>40799</v>
      </c>
      <c r="B2367" s="620">
        <v>4.2037000000000004</v>
      </c>
    </row>
    <row r="2368" spans="1:4">
      <c r="A2368" s="619">
        <v>40800</v>
      </c>
      <c r="B2368" s="620">
        <v>4.2035</v>
      </c>
    </row>
    <row r="2369" spans="1:4">
      <c r="A2369" s="619">
        <v>40801</v>
      </c>
      <c r="B2369" s="620">
        <v>4.2042999999999999</v>
      </c>
    </row>
    <row r="2370" spans="1:4">
      <c r="A2370" s="619">
        <v>40802</v>
      </c>
      <c r="B2370" s="620">
        <v>4.2045000000000003</v>
      </c>
    </row>
    <row r="2371" spans="1:4">
      <c r="A2371" s="619">
        <v>40805</v>
      </c>
      <c r="B2371" s="620">
        <v>4.2046999999999999</v>
      </c>
    </row>
    <row r="2372" spans="1:4">
      <c r="A2372" s="619">
        <v>40806</v>
      </c>
      <c r="B2372" s="620">
        <v>4.1971999999999996</v>
      </c>
    </row>
    <row r="2373" spans="1:4">
      <c r="A2373" s="619">
        <v>40807</v>
      </c>
      <c r="B2373" s="620">
        <v>4.1909999999999998</v>
      </c>
    </row>
    <row r="2374" spans="1:4">
      <c r="A2374" s="619">
        <v>40808</v>
      </c>
      <c r="B2374" s="620">
        <v>4.1978</v>
      </c>
    </row>
    <row r="2375" spans="1:4">
      <c r="A2375" s="619">
        <v>40809</v>
      </c>
      <c r="B2375" s="620">
        <v>4.2030000000000003</v>
      </c>
    </row>
    <row r="2376" spans="1:4">
      <c r="A2376" s="619">
        <v>40812</v>
      </c>
      <c r="B2376" s="620">
        <v>4.2045000000000003</v>
      </c>
    </row>
    <row r="2377" spans="1:4">
      <c r="A2377" s="619">
        <v>40813</v>
      </c>
      <c r="B2377" s="620">
        <v>4.2045000000000003</v>
      </c>
    </row>
    <row r="2378" spans="1:4">
      <c r="A2378" s="619">
        <v>40814</v>
      </c>
      <c r="B2378" s="620">
        <v>4.2045000000000003</v>
      </c>
    </row>
    <row r="2379" spans="1:4">
      <c r="A2379" s="619">
        <v>40815</v>
      </c>
      <c r="B2379" s="620">
        <v>4.2045000000000003</v>
      </c>
      <c r="D2379" s="613">
        <v>40787</v>
      </c>
    </row>
    <row r="2380" spans="1:4" ht="16.5" thickBot="1">
      <c r="A2380" s="621">
        <v>40816</v>
      </c>
      <c r="B2380" s="622">
        <v>4.2045000000000003</v>
      </c>
      <c r="D2380" s="604">
        <v>4.2042000000000002</v>
      </c>
    </row>
    <row r="2381" spans="1:4">
      <c r="A2381" s="617">
        <v>40819</v>
      </c>
      <c r="B2381" s="618">
        <v>4.2045000000000003</v>
      </c>
    </row>
    <row r="2382" spans="1:4">
      <c r="A2382" s="619">
        <v>40820</v>
      </c>
      <c r="B2382" s="620">
        <v>4.2045000000000003</v>
      </c>
    </row>
    <row r="2383" spans="1:4">
      <c r="A2383" s="619">
        <v>40821</v>
      </c>
      <c r="B2383" s="620">
        <v>4.2057000000000002</v>
      </c>
    </row>
    <row r="2384" spans="1:4">
      <c r="A2384" s="619">
        <v>40822</v>
      </c>
      <c r="B2384" s="620">
        <v>4.2084999999999999</v>
      </c>
    </row>
    <row r="2385" spans="1:4">
      <c r="A2385" s="619">
        <v>40823</v>
      </c>
      <c r="B2385" s="620">
        <v>4.2095000000000002</v>
      </c>
    </row>
    <row r="2386" spans="1:4">
      <c r="A2386" s="619">
        <v>40827</v>
      </c>
      <c r="B2386" s="620">
        <v>4.2107999999999999</v>
      </c>
    </row>
    <row r="2387" spans="1:4">
      <c r="A2387" s="619">
        <v>40828</v>
      </c>
      <c r="B2387" s="620">
        <v>4.2104999999999997</v>
      </c>
    </row>
    <row r="2388" spans="1:4">
      <c r="A2388" s="619">
        <v>40829</v>
      </c>
      <c r="B2388" s="620">
        <v>4.2133000000000003</v>
      </c>
    </row>
    <row r="2389" spans="1:4">
      <c r="A2389" s="619">
        <v>40830</v>
      </c>
      <c r="B2389" s="620">
        <v>4.2148000000000003</v>
      </c>
    </row>
    <row r="2390" spans="1:4">
      <c r="A2390" s="619">
        <v>40833</v>
      </c>
      <c r="B2390" s="620">
        <v>4.2220000000000004</v>
      </c>
    </row>
    <row r="2391" spans="1:4">
      <c r="A2391" s="619">
        <v>40834</v>
      </c>
      <c r="B2391" s="620">
        <v>4.2244999999999999</v>
      </c>
    </row>
    <row r="2392" spans="1:4">
      <c r="A2392" s="619">
        <v>40835</v>
      </c>
      <c r="B2392" s="620">
        <v>4.2317999999999998</v>
      </c>
    </row>
    <row r="2393" spans="1:4">
      <c r="A2393" s="619">
        <v>40836</v>
      </c>
      <c r="B2393" s="620">
        <v>4.2344999999999997</v>
      </c>
    </row>
    <row r="2394" spans="1:4">
      <c r="A2394" s="619">
        <v>40837</v>
      </c>
      <c r="B2394" s="620">
        <v>4.2344999999999997</v>
      </c>
    </row>
    <row r="2395" spans="1:4">
      <c r="A2395" s="619">
        <v>40840</v>
      </c>
      <c r="B2395" s="620">
        <v>4.2355</v>
      </c>
    </row>
    <row r="2396" spans="1:4">
      <c r="A2396" s="619">
        <v>40841</v>
      </c>
      <c r="B2396" s="620">
        <v>4.2355</v>
      </c>
    </row>
    <row r="2397" spans="1:4">
      <c r="A2397" s="619">
        <v>40842</v>
      </c>
      <c r="B2397" s="620">
        <v>4.2358000000000002</v>
      </c>
    </row>
    <row r="2398" spans="1:4">
      <c r="A2398" s="619">
        <v>40843</v>
      </c>
      <c r="B2398" s="620">
        <v>4.2352999999999996</v>
      </c>
    </row>
    <row r="2399" spans="1:4">
      <c r="A2399" s="619">
        <v>40844</v>
      </c>
      <c r="B2399" s="620">
        <v>4.2355</v>
      </c>
      <c r="D2399" s="613">
        <v>40817</v>
      </c>
    </row>
    <row r="2400" spans="1:4" ht="16.5" thickBot="1">
      <c r="A2400" s="621">
        <v>40847</v>
      </c>
      <c r="B2400" s="622">
        <v>4.2355</v>
      </c>
      <c r="D2400" s="604">
        <v>4.2221249999999992</v>
      </c>
    </row>
    <row r="2401" spans="1:2">
      <c r="A2401" s="617">
        <v>40848</v>
      </c>
      <c r="B2401" s="618">
        <v>4.2377000000000002</v>
      </c>
    </row>
    <row r="2402" spans="1:2">
      <c r="A2402" s="619">
        <v>40849</v>
      </c>
      <c r="B2402" s="620">
        <v>4.2477999999999998</v>
      </c>
    </row>
    <row r="2403" spans="1:2">
      <c r="A2403" s="619">
        <v>40850</v>
      </c>
      <c r="B2403" s="620">
        <v>4.2503000000000002</v>
      </c>
    </row>
    <row r="2404" spans="1:2">
      <c r="A2404" s="619">
        <v>40851</v>
      </c>
      <c r="B2404" s="620">
        <v>4.2510000000000003</v>
      </c>
    </row>
    <row r="2405" spans="1:2">
      <c r="A2405" s="619">
        <v>40854</v>
      </c>
      <c r="B2405" s="620">
        <v>4.2575000000000003</v>
      </c>
    </row>
    <row r="2406" spans="1:2">
      <c r="A2406" s="619">
        <v>40855</v>
      </c>
      <c r="B2406" s="620">
        <v>4.26</v>
      </c>
    </row>
    <row r="2407" spans="1:2">
      <c r="A2407" s="619">
        <v>40856</v>
      </c>
      <c r="B2407" s="620">
        <v>4.2605000000000004</v>
      </c>
    </row>
    <row r="2408" spans="1:2">
      <c r="A2408" s="619">
        <v>40857</v>
      </c>
      <c r="B2408" s="620">
        <v>4.2613000000000003</v>
      </c>
    </row>
    <row r="2409" spans="1:2">
      <c r="A2409" s="619">
        <v>40858</v>
      </c>
      <c r="B2409" s="620">
        <v>4.2648000000000001</v>
      </c>
    </row>
    <row r="2410" spans="1:2">
      <c r="A2410" s="619">
        <v>40861</v>
      </c>
      <c r="B2410" s="620">
        <v>4.2714999999999996</v>
      </c>
    </row>
    <row r="2411" spans="1:2">
      <c r="A2411" s="619">
        <v>40862</v>
      </c>
      <c r="B2411" s="620">
        <v>4.2727000000000004</v>
      </c>
    </row>
    <row r="2412" spans="1:2">
      <c r="A2412" s="619">
        <v>40863</v>
      </c>
      <c r="B2412" s="620">
        <v>4.2595000000000001</v>
      </c>
    </row>
    <row r="2413" spans="1:2">
      <c r="A2413" s="619">
        <v>40864</v>
      </c>
      <c r="B2413" s="620">
        <v>4.2572000000000001</v>
      </c>
    </row>
    <row r="2414" spans="1:2">
      <c r="A2414" s="619">
        <v>40865</v>
      </c>
      <c r="B2414" s="620">
        <v>4.2567000000000004</v>
      </c>
    </row>
    <row r="2415" spans="1:2">
      <c r="A2415" s="619">
        <v>40868</v>
      </c>
      <c r="B2415" s="620">
        <v>4.2575000000000003</v>
      </c>
    </row>
    <row r="2416" spans="1:2">
      <c r="A2416" s="619">
        <v>40869</v>
      </c>
      <c r="B2416" s="620">
        <v>4.2592999999999996</v>
      </c>
    </row>
    <row r="2417" spans="1:4">
      <c r="A2417" s="619">
        <v>40870</v>
      </c>
      <c r="B2417" s="620">
        <v>4.2607999999999997</v>
      </c>
    </row>
    <row r="2418" spans="1:4">
      <c r="A2418" s="619">
        <v>40871</v>
      </c>
      <c r="B2418" s="620">
        <v>4.2628000000000004</v>
      </c>
    </row>
    <row r="2419" spans="1:4">
      <c r="A2419" s="619">
        <v>40872</v>
      </c>
      <c r="B2419" s="620">
        <v>4.2633000000000001</v>
      </c>
    </row>
    <row r="2420" spans="1:4">
      <c r="A2420" s="619">
        <v>40876</v>
      </c>
      <c r="B2420" s="620">
        <v>4.2694999999999999</v>
      </c>
      <c r="D2420" s="613">
        <v>40848</v>
      </c>
    </row>
    <row r="2421" spans="1:4" ht="16.5" thickBot="1">
      <c r="A2421" s="621">
        <v>40877</v>
      </c>
      <c r="B2421" s="622">
        <v>4.2807000000000004</v>
      </c>
      <c r="D2421" s="604">
        <v>4.2601142857142849</v>
      </c>
    </row>
    <row r="2422" spans="1:4">
      <c r="A2422" s="617">
        <v>40878</v>
      </c>
      <c r="B2422" s="618">
        <v>4.2831999999999999</v>
      </c>
    </row>
    <row r="2423" spans="1:4">
      <c r="A2423" s="619">
        <v>40879</v>
      </c>
      <c r="B2423" s="620">
        <v>4.2842000000000002</v>
      </c>
    </row>
    <row r="2424" spans="1:4">
      <c r="A2424" s="619">
        <v>40882</v>
      </c>
      <c r="B2424" s="620">
        <v>4.2859999999999996</v>
      </c>
    </row>
    <row r="2425" spans="1:4">
      <c r="A2425" s="619">
        <v>40883</v>
      </c>
      <c r="B2425" s="620">
        <v>4.2812000000000001</v>
      </c>
    </row>
    <row r="2426" spans="1:4">
      <c r="A2426" s="619">
        <v>40884</v>
      </c>
      <c r="B2426" s="620">
        <v>4.2779999999999996</v>
      </c>
    </row>
    <row r="2427" spans="1:4">
      <c r="A2427" s="619">
        <v>40889</v>
      </c>
      <c r="B2427" s="620">
        <v>4.2792000000000003</v>
      </c>
    </row>
    <row r="2428" spans="1:4">
      <c r="A2428" s="619">
        <v>40890</v>
      </c>
      <c r="B2428" s="620">
        <v>4.2794999999999996</v>
      </c>
    </row>
    <row r="2429" spans="1:4">
      <c r="A2429" s="619">
        <v>40891</v>
      </c>
      <c r="B2429" s="620">
        <v>4.2801999999999998</v>
      </c>
    </row>
    <row r="2430" spans="1:4">
      <c r="A2430" s="619">
        <v>40892</v>
      </c>
      <c r="B2430" s="620">
        <v>4.2823000000000002</v>
      </c>
    </row>
    <row r="2431" spans="1:4">
      <c r="A2431" s="619">
        <v>40893</v>
      </c>
      <c r="B2431" s="620">
        <v>4.2874999999999996</v>
      </c>
    </row>
    <row r="2432" spans="1:4">
      <c r="A2432" s="619">
        <v>40896</v>
      </c>
      <c r="B2432" s="620">
        <v>4.2920999999999996</v>
      </c>
    </row>
    <row r="2433" spans="1:4">
      <c r="A2433" s="619">
        <v>40897</v>
      </c>
      <c r="B2433" s="620">
        <v>4.2925000000000004</v>
      </c>
    </row>
    <row r="2434" spans="1:4">
      <c r="A2434" s="619">
        <v>40898</v>
      </c>
      <c r="B2434" s="620">
        <v>4.2927999999999997</v>
      </c>
    </row>
    <row r="2435" spans="1:4">
      <c r="A2435" s="619">
        <v>40899</v>
      </c>
      <c r="B2435" s="620">
        <v>4.2922000000000002</v>
      </c>
    </row>
    <row r="2436" spans="1:4">
      <c r="A2436" s="619">
        <v>40900</v>
      </c>
      <c r="B2436" s="620">
        <v>4.2927</v>
      </c>
    </row>
    <row r="2437" spans="1:4">
      <c r="A2437" s="619">
        <v>40904</v>
      </c>
      <c r="B2437" s="620">
        <v>4.2954999999999997</v>
      </c>
    </row>
    <row r="2438" spans="1:4">
      <c r="A2438" s="619">
        <v>40905</v>
      </c>
      <c r="B2438" s="620">
        <v>4.3011999999999997</v>
      </c>
    </row>
    <row r="2439" spans="1:4">
      <c r="A2439" s="619">
        <v>40906</v>
      </c>
      <c r="B2439" s="620">
        <v>4.3034999999999997</v>
      </c>
      <c r="D2439" s="613">
        <v>40878</v>
      </c>
    </row>
    <row r="2440" spans="1:4" ht="16.5" thickBot="1">
      <c r="A2440" s="621">
        <v>40907</v>
      </c>
      <c r="B2440" s="622">
        <v>4.3032000000000004</v>
      </c>
      <c r="D2440" s="604">
        <v>4.2887894736842105</v>
      </c>
    </row>
    <row r="2441" spans="1:4">
      <c r="A2441" s="617">
        <v>40911</v>
      </c>
      <c r="B2441" s="618">
        <v>4.3052000000000001</v>
      </c>
    </row>
    <row r="2442" spans="1:4">
      <c r="A2442" s="619">
        <v>40912</v>
      </c>
      <c r="B2442" s="620">
        <v>4.3048000000000002</v>
      </c>
    </row>
    <row r="2443" spans="1:4">
      <c r="A2443" s="619">
        <v>40913</v>
      </c>
      <c r="B2443" s="620">
        <v>4.3067000000000002</v>
      </c>
    </row>
    <row r="2444" spans="1:4">
      <c r="A2444" s="619">
        <v>40914</v>
      </c>
      <c r="B2444" s="620">
        <v>4.3151999999999999</v>
      </c>
    </row>
    <row r="2445" spans="1:4">
      <c r="A2445" s="619">
        <v>40917</v>
      </c>
      <c r="B2445" s="620">
        <v>4.3182</v>
      </c>
    </row>
    <row r="2446" spans="1:4">
      <c r="A2446" s="619">
        <v>40918</v>
      </c>
      <c r="B2446" s="620">
        <v>4.3132999999999999</v>
      </c>
    </row>
    <row r="2447" spans="1:4">
      <c r="A2447" s="619">
        <v>40919</v>
      </c>
      <c r="B2447" s="620">
        <v>4.3132999999999999</v>
      </c>
    </row>
    <row r="2448" spans="1:4">
      <c r="A2448" s="619">
        <v>40920</v>
      </c>
      <c r="B2448" s="620">
        <v>4.3120000000000003</v>
      </c>
    </row>
    <row r="2449" spans="1:4">
      <c r="A2449" s="619">
        <v>40921</v>
      </c>
      <c r="B2449" s="620">
        <v>4.3117999999999999</v>
      </c>
    </row>
    <row r="2450" spans="1:4">
      <c r="A2450" s="619">
        <v>40924</v>
      </c>
      <c r="B2450" s="620">
        <v>4.3148</v>
      </c>
    </row>
    <row r="2451" spans="1:4">
      <c r="A2451" s="619">
        <v>40925</v>
      </c>
      <c r="B2451" s="620">
        <v>4.3170000000000002</v>
      </c>
    </row>
    <row r="2452" spans="1:4">
      <c r="A2452" s="619">
        <v>40926</v>
      </c>
      <c r="B2452" s="620">
        <v>4.3188000000000004</v>
      </c>
    </row>
    <row r="2453" spans="1:4">
      <c r="A2453" s="619">
        <v>40927</v>
      </c>
      <c r="B2453" s="620">
        <v>4.3207000000000004</v>
      </c>
    </row>
    <row r="2454" spans="1:4">
      <c r="A2454" s="619">
        <v>40928</v>
      </c>
      <c r="B2454" s="620">
        <v>4.3221999999999996</v>
      </c>
    </row>
    <row r="2455" spans="1:4">
      <c r="A2455" s="619">
        <v>40931</v>
      </c>
      <c r="B2455" s="620">
        <v>4.3257000000000003</v>
      </c>
    </row>
    <row r="2456" spans="1:4">
      <c r="A2456" s="619">
        <v>40932</v>
      </c>
      <c r="B2456" s="620">
        <v>4.3311999999999999</v>
      </c>
    </row>
    <row r="2457" spans="1:4">
      <c r="A2457" s="619">
        <v>40933</v>
      </c>
      <c r="B2457" s="620">
        <v>4.3365</v>
      </c>
    </row>
    <row r="2458" spans="1:4">
      <c r="A2458" s="619">
        <v>40934</v>
      </c>
      <c r="B2458" s="620">
        <v>4.3383000000000003</v>
      </c>
    </row>
    <row r="2459" spans="1:4">
      <c r="A2459" s="619">
        <v>40935</v>
      </c>
      <c r="B2459" s="620">
        <v>4.3367000000000004</v>
      </c>
    </row>
    <row r="2460" spans="1:4">
      <c r="A2460" s="619">
        <v>40938</v>
      </c>
      <c r="B2460" s="620">
        <v>4.3345000000000002</v>
      </c>
      <c r="D2460" s="613">
        <v>40909</v>
      </c>
    </row>
    <row r="2461" spans="1:4" ht="16.5" thickBot="1">
      <c r="A2461" s="621">
        <v>40939</v>
      </c>
      <c r="B2461" s="622">
        <v>4.3361999999999998</v>
      </c>
      <c r="D2461" s="604">
        <v>4.3206238095238101</v>
      </c>
    </row>
    <row r="2462" spans="1:4">
      <c r="A2462" s="617">
        <v>40940</v>
      </c>
      <c r="B2462" s="618">
        <v>4.3357000000000001</v>
      </c>
    </row>
    <row r="2463" spans="1:4">
      <c r="A2463" s="619">
        <v>40941</v>
      </c>
      <c r="B2463" s="620">
        <v>4.3346999999999998</v>
      </c>
    </row>
    <row r="2464" spans="1:4">
      <c r="A2464" s="619">
        <v>40942</v>
      </c>
      <c r="B2464" s="620">
        <v>4.3337000000000003</v>
      </c>
    </row>
    <row r="2465" spans="1:4">
      <c r="A2465" s="619">
        <v>40945</v>
      </c>
      <c r="B2465" s="620">
        <v>4.3342000000000001</v>
      </c>
    </row>
    <row r="2466" spans="1:4">
      <c r="A2466" s="619">
        <v>40946</v>
      </c>
      <c r="B2466" s="620">
        <v>4.3368000000000002</v>
      </c>
    </row>
    <row r="2467" spans="1:4">
      <c r="A2467" s="619">
        <v>40947</v>
      </c>
      <c r="B2467" s="620">
        <v>4.3398000000000003</v>
      </c>
    </row>
    <row r="2468" spans="1:4">
      <c r="A2468" s="619">
        <v>40948</v>
      </c>
      <c r="B2468" s="620">
        <v>4.3448000000000002</v>
      </c>
    </row>
    <row r="2469" spans="1:4">
      <c r="A2469" s="619">
        <v>40949</v>
      </c>
      <c r="B2469" s="620">
        <v>4.3463000000000003</v>
      </c>
    </row>
    <row r="2470" spans="1:4">
      <c r="A2470" s="619">
        <v>40952</v>
      </c>
      <c r="B2470" s="620">
        <v>4.3463000000000003</v>
      </c>
    </row>
    <row r="2471" spans="1:4">
      <c r="A2471" s="619">
        <v>40953</v>
      </c>
      <c r="B2471" s="620">
        <v>4.3472999999999997</v>
      </c>
    </row>
    <row r="2472" spans="1:4">
      <c r="A2472" s="619">
        <v>40954</v>
      </c>
      <c r="B2472" s="620">
        <v>4.3491999999999997</v>
      </c>
    </row>
    <row r="2473" spans="1:4">
      <c r="A2473" s="619">
        <v>40955</v>
      </c>
      <c r="B2473" s="620">
        <v>4.3521999999999998</v>
      </c>
    </row>
    <row r="2474" spans="1:4">
      <c r="A2474" s="619">
        <v>40956</v>
      </c>
      <c r="B2474" s="620">
        <v>4.3550000000000004</v>
      </c>
    </row>
    <row r="2475" spans="1:4">
      <c r="A2475" s="619">
        <v>40961</v>
      </c>
      <c r="B2475" s="620">
        <v>4.3552</v>
      </c>
    </row>
    <row r="2476" spans="1:4">
      <c r="A2476" s="619">
        <v>40962</v>
      </c>
      <c r="B2476" s="620">
        <v>4.3550000000000004</v>
      </c>
    </row>
    <row r="2477" spans="1:4">
      <c r="A2477" s="619">
        <v>40963</v>
      </c>
      <c r="B2477" s="620">
        <v>4.3548</v>
      </c>
    </row>
    <row r="2478" spans="1:4">
      <c r="A2478" s="619">
        <v>40967</v>
      </c>
      <c r="B2478" s="620">
        <v>4.3558000000000003</v>
      </c>
      <c r="D2478" s="613">
        <v>40940</v>
      </c>
    </row>
    <row r="2479" spans="1:4" ht="16.5" thickBot="1">
      <c r="A2479" s="621">
        <v>40968</v>
      </c>
      <c r="B2479" s="622">
        <v>4.3564999999999996</v>
      </c>
      <c r="D2479" s="604">
        <v>4.3462944444444442</v>
      </c>
    </row>
    <row r="2480" spans="1:4">
      <c r="A2480" s="617">
        <v>40969</v>
      </c>
      <c r="B2480" s="618">
        <v>4.3548</v>
      </c>
    </row>
    <row r="2481" spans="1:2">
      <c r="A2481" s="619">
        <v>40970</v>
      </c>
      <c r="B2481" s="620">
        <v>4.3433000000000002</v>
      </c>
    </row>
    <row r="2482" spans="1:2">
      <c r="A2482" s="619">
        <v>40973</v>
      </c>
      <c r="B2482" s="620">
        <v>4.3345000000000002</v>
      </c>
    </row>
    <row r="2483" spans="1:2">
      <c r="A2483" s="619">
        <v>40974</v>
      </c>
      <c r="B2483" s="620">
        <v>4.3353000000000002</v>
      </c>
    </row>
    <row r="2484" spans="1:2">
      <c r="A2484" s="619">
        <v>40975</v>
      </c>
      <c r="B2484" s="620">
        <v>4.3361999999999998</v>
      </c>
    </row>
    <row r="2485" spans="1:2">
      <c r="A2485" s="619">
        <v>40976</v>
      </c>
      <c r="B2485" s="620">
        <v>4.3368000000000002</v>
      </c>
    </row>
    <row r="2486" spans="1:2">
      <c r="A2486" s="619">
        <v>40977</v>
      </c>
      <c r="B2486" s="620">
        <v>4.3410000000000002</v>
      </c>
    </row>
    <row r="2487" spans="1:2">
      <c r="A2487" s="619">
        <v>40980</v>
      </c>
      <c r="B2487" s="620">
        <v>4.3457999999999997</v>
      </c>
    </row>
    <row r="2488" spans="1:2">
      <c r="A2488" s="619">
        <v>40981</v>
      </c>
      <c r="B2488" s="620">
        <v>4.3497000000000003</v>
      </c>
    </row>
    <row r="2489" spans="1:2">
      <c r="A2489" s="619">
        <v>40982</v>
      </c>
      <c r="B2489" s="620">
        <v>4.3559999999999999</v>
      </c>
    </row>
    <row r="2490" spans="1:2">
      <c r="A2490" s="619">
        <v>40983</v>
      </c>
      <c r="B2490" s="620">
        <v>4.3556999999999997</v>
      </c>
    </row>
    <row r="2491" spans="1:2">
      <c r="A2491" s="619">
        <v>40984</v>
      </c>
      <c r="B2491" s="620">
        <v>4.3540000000000001</v>
      </c>
    </row>
    <row r="2492" spans="1:2">
      <c r="A2492" s="619">
        <v>40987</v>
      </c>
      <c r="B2492" s="620">
        <v>4.3632999999999997</v>
      </c>
    </row>
    <row r="2493" spans="1:2">
      <c r="A2493" s="619">
        <v>40988</v>
      </c>
      <c r="B2493" s="620">
        <v>4.3639999999999999</v>
      </c>
    </row>
    <row r="2494" spans="1:2">
      <c r="A2494" s="619">
        <v>40989</v>
      </c>
      <c r="B2494" s="620">
        <v>4.3667999999999996</v>
      </c>
    </row>
    <row r="2495" spans="1:2">
      <c r="A2495" s="619">
        <v>40990</v>
      </c>
      <c r="B2495" s="620">
        <v>4.3654999999999999</v>
      </c>
    </row>
    <row r="2496" spans="1:2">
      <c r="A2496" s="619">
        <v>40991</v>
      </c>
      <c r="B2496" s="620">
        <v>4.3666999999999998</v>
      </c>
    </row>
    <row r="2497" spans="1:4">
      <c r="A2497" s="619">
        <v>40994</v>
      </c>
      <c r="B2497" s="620">
        <v>4.3696999999999999</v>
      </c>
    </row>
    <row r="2498" spans="1:4">
      <c r="A2498" s="619">
        <v>40995</v>
      </c>
      <c r="B2498" s="620">
        <v>4.3724999999999996</v>
      </c>
    </row>
    <row r="2499" spans="1:4">
      <c r="A2499" s="619">
        <v>40996</v>
      </c>
      <c r="B2499" s="620">
        <v>4.3734999999999999</v>
      </c>
    </row>
    <row r="2500" spans="1:4">
      <c r="A2500" s="619">
        <v>40997</v>
      </c>
      <c r="B2500" s="620">
        <v>4.3753000000000002</v>
      </c>
      <c r="D2500" s="613">
        <v>40969</v>
      </c>
    </row>
    <row r="2501" spans="1:4" ht="16.5" thickBot="1">
      <c r="A2501" s="621">
        <v>40998</v>
      </c>
      <c r="B2501" s="622">
        <v>4.3784999999999998</v>
      </c>
      <c r="C2501" s="597"/>
      <c r="D2501" s="604">
        <v>4.3563136363636357</v>
      </c>
    </row>
    <row r="2502" spans="1:4">
      <c r="A2502" s="617">
        <v>41002</v>
      </c>
      <c r="B2502" s="618">
        <v>4.3798000000000004</v>
      </c>
    </row>
    <row r="2503" spans="1:4">
      <c r="A2503" s="619">
        <v>41003</v>
      </c>
      <c r="B2503" s="620">
        <v>4.3842999999999996</v>
      </c>
    </row>
    <row r="2504" spans="1:4">
      <c r="A2504" s="619">
        <v>41008</v>
      </c>
      <c r="B2504" s="620">
        <v>4.3868</v>
      </c>
    </row>
    <row r="2505" spans="1:4">
      <c r="A2505" s="619">
        <v>41009</v>
      </c>
      <c r="B2505" s="620">
        <v>4.3834999999999997</v>
      </c>
    </row>
    <row r="2506" spans="1:4">
      <c r="A2506" s="619">
        <v>41010</v>
      </c>
      <c r="B2506" s="620">
        <v>4.3849999999999998</v>
      </c>
    </row>
    <row r="2507" spans="1:4">
      <c r="A2507" s="619">
        <v>41011</v>
      </c>
      <c r="B2507" s="620">
        <v>4.3906999999999998</v>
      </c>
    </row>
    <row r="2508" spans="1:4">
      <c r="A2508" s="619">
        <v>41012</v>
      </c>
      <c r="B2508" s="620">
        <v>4.3948</v>
      </c>
    </row>
    <row r="2509" spans="1:4">
      <c r="A2509" s="619">
        <v>41015</v>
      </c>
      <c r="B2509" s="620">
        <v>4.3952999999999998</v>
      </c>
    </row>
    <row r="2510" spans="1:4">
      <c r="A2510" s="619">
        <v>41016</v>
      </c>
      <c r="B2510" s="620">
        <v>4.3948</v>
      </c>
    </row>
    <row r="2511" spans="1:4">
      <c r="A2511" s="619">
        <v>41017</v>
      </c>
      <c r="B2511" s="620">
        <v>4.3992000000000004</v>
      </c>
    </row>
    <row r="2512" spans="1:4">
      <c r="A2512" s="619">
        <v>41018</v>
      </c>
      <c r="B2512" s="620">
        <v>4.4036999999999997</v>
      </c>
    </row>
    <row r="2513" spans="1:4">
      <c r="A2513" s="619">
        <v>41019</v>
      </c>
      <c r="B2513" s="620">
        <v>4.4051999999999998</v>
      </c>
    </row>
    <row r="2514" spans="1:4">
      <c r="A2514" s="619">
        <v>41022</v>
      </c>
      <c r="B2514" s="620">
        <v>4.407</v>
      </c>
    </row>
    <row r="2515" spans="1:4">
      <c r="A2515" s="619">
        <v>41023</v>
      </c>
      <c r="B2515" s="620">
        <v>4.4097999999999997</v>
      </c>
    </row>
    <row r="2516" spans="1:4">
      <c r="A2516" s="619">
        <v>41024</v>
      </c>
      <c r="B2516" s="620">
        <v>4.4130000000000003</v>
      </c>
    </row>
    <row r="2517" spans="1:4">
      <c r="A2517" s="619">
        <v>41025</v>
      </c>
      <c r="B2517" s="620">
        <v>4.4145000000000003</v>
      </c>
      <c r="D2517" s="613">
        <v>41000</v>
      </c>
    </row>
    <row r="2518" spans="1:4" ht="16.5" thickBot="1">
      <c r="A2518" s="621">
        <v>41026</v>
      </c>
      <c r="B2518" s="622">
        <v>4.4147999999999996</v>
      </c>
      <c r="D2518" s="604">
        <v>4.3978000000000002</v>
      </c>
    </row>
    <row r="2519" spans="1:4">
      <c r="A2519" s="617">
        <v>41031</v>
      </c>
      <c r="B2519" s="618">
        <v>4.4204999999999997</v>
      </c>
      <c r="D2519" s="597"/>
    </row>
    <row r="2520" spans="1:4">
      <c r="A2520" s="619">
        <v>41032</v>
      </c>
      <c r="B2520" s="620">
        <v>4.4272999999999998</v>
      </c>
      <c r="D2520" s="597"/>
    </row>
    <row r="2521" spans="1:4">
      <c r="A2521" s="619">
        <v>41033</v>
      </c>
      <c r="B2521" s="620">
        <v>4.4275000000000002</v>
      </c>
    </row>
    <row r="2522" spans="1:4">
      <c r="A2522" s="619">
        <v>41036</v>
      </c>
      <c r="B2522" s="620">
        <v>4.4317000000000002</v>
      </c>
    </row>
    <row r="2523" spans="1:4">
      <c r="A2523" s="619">
        <v>41037</v>
      </c>
      <c r="B2523" s="620">
        <v>4.4367000000000001</v>
      </c>
    </row>
    <row r="2524" spans="1:4">
      <c r="A2524" s="619">
        <v>41038</v>
      </c>
      <c r="B2524" s="620">
        <v>4.4405000000000001</v>
      </c>
    </row>
    <row r="2525" spans="1:4">
      <c r="A2525" s="619">
        <v>41039</v>
      </c>
      <c r="B2525" s="620">
        <v>4.4397000000000002</v>
      </c>
    </row>
    <row r="2526" spans="1:4">
      <c r="A2526" s="619">
        <v>41040</v>
      </c>
      <c r="B2526" s="620">
        <v>4.4379999999999997</v>
      </c>
    </row>
    <row r="2527" spans="1:4">
      <c r="A2527" s="619">
        <v>41043</v>
      </c>
      <c r="B2527" s="620">
        <v>4.4420000000000002</v>
      </c>
    </row>
    <row r="2528" spans="1:4">
      <c r="A2528" s="619">
        <v>41044</v>
      </c>
      <c r="B2528" s="620">
        <v>4.4428000000000001</v>
      </c>
    </row>
    <row r="2529" spans="1:4">
      <c r="A2529" s="619">
        <v>41045</v>
      </c>
      <c r="B2529" s="620">
        <v>4.4436999999999998</v>
      </c>
    </row>
    <row r="2530" spans="1:4">
      <c r="A2530" s="619">
        <v>41046</v>
      </c>
      <c r="B2530" s="620">
        <v>4.4504999999999999</v>
      </c>
    </row>
    <row r="2531" spans="1:4">
      <c r="A2531" s="619">
        <v>41047</v>
      </c>
      <c r="B2531" s="620">
        <v>4.4542999999999999</v>
      </c>
    </row>
    <row r="2532" spans="1:4">
      <c r="A2532" s="619">
        <v>41050</v>
      </c>
      <c r="B2532" s="620">
        <v>4.4622000000000002</v>
      </c>
    </row>
    <row r="2533" spans="1:4">
      <c r="A2533" s="619">
        <v>41051</v>
      </c>
      <c r="B2533" s="620">
        <v>4.4675000000000002</v>
      </c>
    </row>
    <row r="2534" spans="1:4">
      <c r="A2534" s="619">
        <v>41052</v>
      </c>
      <c r="B2534" s="620">
        <v>4.4691999999999998</v>
      </c>
    </row>
    <row r="2535" spans="1:4">
      <c r="A2535" s="619">
        <v>41053</v>
      </c>
      <c r="B2535" s="620">
        <v>4.4696999999999996</v>
      </c>
    </row>
    <row r="2536" spans="1:4">
      <c r="A2536" s="619">
        <v>41057</v>
      </c>
      <c r="B2536" s="620">
        <v>4.4770000000000003</v>
      </c>
    </row>
    <row r="2537" spans="1:4">
      <c r="A2537" s="619">
        <v>41058</v>
      </c>
      <c r="B2537" s="620">
        <v>4.4734999999999996</v>
      </c>
    </row>
    <row r="2538" spans="1:4">
      <c r="A2538" s="619">
        <v>41059</v>
      </c>
      <c r="B2538" s="620">
        <v>4.4722999999999997</v>
      </c>
      <c r="D2538" s="613">
        <v>41030</v>
      </c>
    </row>
    <row r="2539" spans="1:4" ht="16.5" thickBot="1">
      <c r="A2539" s="621">
        <v>41060</v>
      </c>
      <c r="B2539" s="622">
        <v>4.4713000000000003</v>
      </c>
      <c r="D2539" s="604">
        <v>4.4503761904761907</v>
      </c>
    </row>
    <row r="2540" spans="1:4">
      <c r="A2540" s="617">
        <v>41061</v>
      </c>
      <c r="B2540" s="618">
        <v>4.4707999999999997</v>
      </c>
    </row>
    <row r="2541" spans="1:4">
      <c r="A2541" s="619">
        <v>41064</v>
      </c>
      <c r="B2541" s="620">
        <v>4.4733000000000001</v>
      </c>
    </row>
    <row r="2542" spans="1:4">
      <c r="A2542" s="619">
        <v>41065</v>
      </c>
      <c r="B2542" s="620">
        <v>4.4786999999999999</v>
      </c>
    </row>
    <row r="2543" spans="1:4">
      <c r="A2543" s="619">
        <v>41066</v>
      </c>
      <c r="B2543" s="620">
        <v>4.4903000000000004</v>
      </c>
    </row>
    <row r="2544" spans="1:4">
      <c r="A2544" s="619">
        <v>41067</v>
      </c>
      <c r="B2544" s="620">
        <v>4.4863</v>
      </c>
    </row>
    <row r="2545" spans="1:4">
      <c r="A2545" s="619">
        <v>41068</v>
      </c>
      <c r="B2545" s="620">
        <v>4.4852999999999996</v>
      </c>
    </row>
    <row r="2546" spans="1:4">
      <c r="A2546" s="619">
        <v>41071</v>
      </c>
      <c r="B2546" s="620">
        <v>4.4889999999999999</v>
      </c>
    </row>
    <row r="2547" spans="1:4">
      <c r="A2547" s="619">
        <v>41072</v>
      </c>
      <c r="B2547" s="620">
        <v>4.4892000000000003</v>
      </c>
    </row>
    <row r="2548" spans="1:4">
      <c r="A2548" s="619">
        <v>41073</v>
      </c>
      <c r="B2548" s="620">
        <v>4.4904999999999999</v>
      </c>
    </row>
    <row r="2549" spans="1:4">
      <c r="A2549" s="619">
        <v>41074</v>
      </c>
      <c r="B2549" s="620">
        <v>4.4950000000000001</v>
      </c>
    </row>
    <row r="2550" spans="1:4">
      <c r="A2550" s="619">
        <v>41075</v>
      </c>
      <c r="B2550" s="620">
        <v>4.4965000000000002</v>
      </c>
    </row>
    <row r="2551" spans="1:4">
      <c r="A2551" s="619">
        <v>41078</v>
      </c>
      <c r="B2551" s="620">
        <v>4.4995000000000003</v>
      </c>
    </row>
    <row r="2552" spans="1:4">
      <c r="A2552" s="619">
        <v>41079</v>
      </c>
      <c r="B2552" s="620">
        <v>4.5027999999999997</v>
      </c>
    </row>
    <row r="2553" spans="1:4">
      <c r="A2553" s="619">
        <v>41081</v>
      </c>
      <c r="B2553" s="620">
        <v>4.5052000000000003</v>
      </c>
    </row>
    <row r="2554" spans="1:4">
      <c r="A2554" s="619">
        <v>41082</v>
      </c>
      <c r="B2554" s="620">
        <v>4.5103</v>
      </c>
    </row>
    <row r="2555" spans="1:4">
      <c r="A2555" s="619">
        <v>41085</v>
      </c>
      <c r="B2555" s="620">
        <v>4.5133000000000001</v>
      </c>
    </row>
    <row r="2556" spans="1:4">
      <c r="A2556" s="619">
        <v>41086</v>
      </c>
      <c r="B2556" s="620">
        <v>4.5167999999999999</v>
      </c>
    </row>
    <row r="2557" spans="1:4">
      <c r="A2557" s="619">
        <v>41087</v>
      </c>
      <c r="B2557" s="620">
        <v>4.5156999999999998</v>
      </c>
    </row>
    <row r="2558" spans="1:4">
      <c r="A2558" s="619">
        <v>41088</v>
      </c>
      <c r="B2558" s="620">
        <v>4.5213000000000001</v>
      </c>
      <c r="D2558" s="613">
        <v>41061</v>
      </c>
    </row>
    <row r="2559" spans="1:4" ht="16.5" thickBot="1">
      <c r="A2559" s="621">
        <v>41089</v>
      </c>
      <c r="B2559" s="622">
        <v>4.5252999999999997</v>
      </c>
      <c r="D2559" s="604">
        <v>4.4977549999999997</v>
      </c>
    </row>
    <row r="2560" spans="1:4">
      <c r="A2560" s="617">
        <v>41092</v>
      </c>
      <c r="B2560" s="618">
        <v>4.53</v>
      </c>
    </row>
    <row r="2561" spans="1:2">
      <c r="A2561" s="619">
        <v>41093</v>
      </c>
      <c r="B2561" s="620">
        <v>4.5258000000000003</v>
      </c>
    </row>
    <row r="2562" spans="1:2">
      <c r="A2562" s="619">
        <v>41094</v>
      </c>
      <c r="B2562" s="620">
        <v>4.5255000000000001</v>
      </c>
    </row>
    <row r="2563" spans="1:2">
      <c r="A2563" s="619">
        <v>41095</v>
      </c>
      <c r="B2563" s="620">
        <v>4.5274999999999999</v>
      </c>
    </row>
    <row r="2564" spans="1:2">
      <c r="A2564" s="619">
        <v>41096</v>
      </c>
      <c r="B2564" s="620">
        <v>4.5321999999999996</v>
      </c>
    </row>
    <row r="2565" spans="1:2">
      <c r="A2565" s="619">
        <v>41100</v>
      </c>
      <c r="B2565" s="620">
        <v>4.5385</v>
      </c>
    </row>
    <row r="2566" spans="1:2">
      <c r="A2566" s="619">
        <v>41101</v>
      </c>
      <c r="B2566" s="620">
        <v>4.5403000000000002</v>
      </c>
    </row>
    <row r="2567" spans="1:2">
      <c r="A2567" s="619">
        <v>41102</v>
      </c>
      <c r="B2567" s="620">
        <v>4.5430000000000001</v>
      </c>
    </row>
    <row r="2568" spans="1:2">
      <c r="A2568" s="619">
        <v>41103</v>
      </c>
      <c r="B2568" s="620">
        <v>4.5477999999999996</v>
      </c>
    </row>
    <row r="2569" spans="1:2">
      <c r="A2569" s="619">
        <v>41106</v>
      </c>
      <c r="B2569" s="620">
        <v>4.5483000000000002</v>
      </c>
    </row>
    <row r="2570" spans="1:2">
      <c r="A2570" s="619">
        <v>41107</v>
      </c>
      <c r="B2570" s="620">
        <v>4.5511999999999997</v>
      </c>
    </row>
    <row r="2571" spans="1:2">
      <c r="A2571" s="619">
        <v>41108</v>
      </c>
      <c r="B2571" s="620">
        <v>4.5533000000000001</v>
      </c>
    </row>
    <row r="2572" spans="1:2">
      <c r="A2572" s="619">
        <v>41109</v>
      </c>
      <c r="B2572" s="620">
        <v>4.5583</v>
      </c>
    </row>
    <row r="2573" spans="1:2">
      <c r="A2573" s="619">
        <v>41110</v>
      </c>
      <c r="B2573" s="620">
        <v>4.5620000000000003</v>
      </c>
    </row>
    <row r="2574" spans="1:2">
      <c r="A2574" s="619">
        <v>41113</v>
      </c>
      <c r="B2574" s="620">
        <v>4.5688000000000004</v>
      </c>
    </row>
    <row r="2575" spans="1:2">
      <c r="A2575" s="619">
        <v>41114</v>
      </c>
      <c r="B2575" s="620">
        <v>4.5707000000000004</v>
      </c>
    </row>
    <row r="2576" spans="1:2">
      <c r="A2576" s="619">
        <v>41115</v>
      </c>
      <c r="B2576" s="620">
        <v>4.5712000000000002</v>
      </c>
    </row>
    <row r="2577" spans="1:4">
      <c r="A2577" s="619">
        <v>41116</v>
      </c>
      <c r="B2577" s="620">
        <v>4.5716999999999999</v>
      </c>
    </row>
    <row r="2578" spans="1:4">
      <c r="A2578" s="619">
        <v>41117</v>
      </c>
      <c r="B2578" s="620">
        <v>4.5782999999999996</v>
      </c>
    </row>
    <row r="2579" spans="1:4">
      <c r="A2579" s="619">
        <v>41120</v>
      </c>
      <c r="B2579" s="620">
        <v>4.5812999999999997</v>
      </c>
      <c r="D2579" s="613">
        <v>41091</v>
      </c>
    </row>
    <row r="2580" spans="1:4" ht="16.5" thickBot="1">
      <c r="A2580" s="621">
        <v>41121</v>
      </c>
      <c r="B2580" s="622">
        <v>4.5833000000000004</v>
      </c>
      <c r="D2580" s="604">
        <v>4.5528095238095245</v>
      </c>
    </row>
    <row r="2581" spans="1:4">
      <c r="A2581" s="617">
        <v>41122</v>
      </c>
      <c r="B2581" s="618">
        <v>4.5861999999999998</v>
      </c>
    </row>
    <row r="2582" spans="1:4">
      <c r="A2582" s="619">
        <v>41123</v>
      </c>
      <c r="B2582" s="620">
        <v>4.5869999999999997</v>
      </c>
    </row>
    <row r="2583" spans="1:4">
      <c r="A2583" s="619">
        <v>41124</v>
      </c>
      <c r="B2583" s="620">
        <v>4.5876999999999999</v>
      </c>
    </row>
    <row r="2584" spans="1:4">
      <c r="A2584" s="619">
        <v>41127</v>
      </c>
      <c r="B2584" s="620">
        <v>4.5907</v>
      </c>
    </row>
    <row r="2585" spans="1:4">
      <c r="A2585" s="619">
        <v>41128</v>
      </c>
      <c r="B2585" s="620">
        <v>4.5940000000000003</v>
      </c>
    </row>
    <row r="2586" spans="1:4">
      <c r="A2586" s="619">
        <v>41129</v>
      </c>
      <c r="B2586" s="620">
        <v>4.5972999999999997</v>
      </c>
    </row>
    <row r="2587" spans="1:4">
      <c r="A2587" s="619">
        <v>41130</v>
      </c>
      <c r="B2587" s="620">
        <v>4.5991999999999997</v>
      </c>
    </row>
    <row r="2588" spans="1:4">
      <c r="A2588" s="619">
        <v>41131</v>
      </c>
      <c r="B2588" s="620">
        <v>4.6012000000000004</v>
      </c>
    </row>
    <row r="2589" spans="1:4">
      <c r="A2589" s="619">
        <v>41134</v>
      </c>
      <c r="B2589" s="620">
        <v>4.6047000000000002</v>
      </c>
    </row>
    <row r="2590" spans="1:4">
      <c r="A2590" s="619">
        <v>41135</v>
      </c>
      <c r="B2590" s="620">
        <v>4.6062000000000003</v>
      </c>
    </row>
    <row r="2591" spans="1:4">
      <c r="A2591" s="619">
        <v>41136</v>
      </c>
      <c r="B2591" s="620">
        <v>4.6074999999999999</v>
      </c>
    </row>
    <row r="2592" spans="1:4">
      <c r="A2592" s="619">
        <v>41137</v>
      </c>
      <c r="B2592" s="620">
        <v>4.6092000000000004</v>
      </c>
    </row>
    <row r="2593" spans="1:4">
      <c r="A2593" s="619">
        <v>41138</v>
      </c>
      <c r="B2593" s="620">
        <v>4.6138000000000003</v>
      </c>
    </row>
    <row r="2594" spans="1:4">
      <c r="A2594" s="619">
        <v>41142</v>
      </c>
      <c r="B2594" s="620">
        <v>4.6186999999999996</v>
      </c>
    </row>
    <row r="2595" spans="1:4">
      <c r="A2595" s="619">
        <v>41143</v>
      </c>
      <c r="B2595" s="620">
        <v>4.6177999999999999</v>
      </c>
    </row>
    <row r="2596" spans="1:4">
      <c r="A2596" s="619">
        <v>41144</v>
      </c>
      <c r="B2596" s="620">
        <v>4.6173000000000002</v>
      </c>
    </row>
    <row r="2597" spans="1:4">
      <c r="A2597" s="619">
        <v>41145</v>
      </c>
      <c r="B2597" s="620">
        <v>4.6201999999999996</v>
      </c>
    </row>
    <row r="2598" spans="1:4">
      <c r="A2598" s="619">
        <v>41148</v>
      </c>
      <c r="B2598" s="620">
        <v>4.6287000000000003</v>
      </c>
    </row>
    <row r="2599" spans="1:4">
      <c r="A2599" s="619">
        <v>41149</v>
      </c>
      <c r="B2599" s="620">
        <v>4.6322000000000001</v>
      </c>
    </row>
    <row r="2600" spans="1:4">
      <c r="A2600" s="619">
        <v>41150</v>
      </c>
      <c r="B2600" s="620">
        <v>4.6311999999999998</v>
      </c>
    </row>
    <row r="2601" spans="1:4">
      <c r="A2601" s="619">
        <v>41151</v>
      </c>
      <c r="B2601" s="620">
        <v>4.6307</v>
      </c>
      <c r="D2601" s="613">
        <v>41122</v>
      </c>
    </row>
    <row r="2602" spans="1:4" ht="16.5" thickBot="1">
      <c r="A2602" s="621">
        <v>41152</v>
      </c>
      <c r="B2602" s="622">
        <v>4.6346999999999996</v>
      </c>
      <c r="D2602" s="604">
        <v>4.6098272727272729</v>
      </c>
    </row>
    <row r="2603" spans="1:4">
      <c r="A2603" s="617">
        <v>41155</v>
      </c>
      <c r="B2603" s="618">
        <v>4.6422999999999996</v>
      </c>
    </row>
    <row r="2604" spans="1:4">
      <c r="A2604" s="619">
        <v>41156</v>
      </c>
      <c r="B2604" s="620">
        <v>4.6448</v>
      </c>
    </row>
    <row r="2605" spans="1:4">
      <c r="A2605" s="619">
        <v>41157</v>
      </c>
      <c r="B2605" s="620">
        <v>4.6505000000000001</v>
      </c>
    </row>
    <row r="2606" spans="1:4">
      <c r="A2606" s="619">
        <v>41158</v>
      </c>
      <c r="B2606" s="620">
        <v>4.6535000000000002</v>
      </c>
    </row>
    <row r="2607" spans="1:4">
      <c r="A2607" s="619">
        <v>41159</v>
      </c>
      <c r="B2607" s="620">
        <v>4.6585000000000001</v>
      </c>
    </row>
    <row r="2608" spans="1:4">
      <c r="A2608" s="619">
        <v>41162</v>
      </c>
      <c r="B2608" s="620">
        <v>4.6619999999999999</v>
      </c>
    </row>
    <row r="2609" spans="1:4">
      <c r="A2609" s="619">
        <v>41163</v>
      </c>
      <c r="B2609" s="620">
        <v>4.6623000000000001</v>
      </c>
    </row>
    <row r="2610" spans="1:4">
      <c r="A2610" s="619">
        <v>41164</v>
      </c>
      <c r="B2610" s="620">
        <v>4.6622000000000003</v>
      </c>
    </row>
    <row r="2611" spans="1:4">
      <c r="A2611" s="619">
        <v>41165</v>
      </c>
      <c r="B2611" s="620">
        <v>4.6627000000000001</v>
      </c>
    </row>
    <row r="2612" spans="1:4">
      <c r="A2612" s="619">
        <v>41166</v>
      </c>
      <c r="B2612" s="620">
        <v>4.6684999999999999</v>
      </c>
    </row>
    <row r="2613" spans="1:4">
      <c r="A2613" s="619">
        <v>41169</v>
      </c>
      <c r="B2613" s="620">
        <v>4.6737000000000002</v>
      </c>
    </row>
    <row r="2614" spans="1:4">
      <c r="A2614" s="619">
        <v>41170</v>
      </c>
      <c r="B2614" s="620">
        <v>4.6749999999999998</v>
      </c>
    </row>
    <row r="2615" spans="1:4">
      <c r="A2615" s="619">
        <v>41171</v>
      </c>
      <c r="B2615" s="620">
        <v>4.6802000000000001</v>
      </c>
    </row>
    <row r="2616" spans="1:4">
      <c r="A2616" s="619">
        <v>41172</v>
      </c>
      <c r="B2616" s="620">
        <v>4.6821999999999999</v>
      </c>
    </row>
    <row r="2617" spans="1:4">
      <c r="A2617" s="619">
        <v>41173</v>
      </c>
      <c r="B2617" s="620">
        <v>4.6841999999999997</v>
      </c>
    </row>
    <row r="2618" spans="1:4">
      <c r="A2618" s="619">
        <v>41177</v>
      </c>
      <c r="B2618" s="620">
        <v>4.6897000000000002</v>
      </c>
    </row>
    <row r="2619" spans="1:4">
      <c r="A2619" s="619">
        <v>41178</v>
      </c>
      <c r="B2619" s="620">
        <v>4.6900000000000004</v>
      </c>
    </row>
    <row r="2620" spans="1:4">
      <c r="A2620" s="619">
        <v>41179</v>
      </c>
      <c r="B2620" s="620">
        <v>4.6914999999999996</v>
      </c>
      <c r="D2620" s="613">
        <v>41153</v>
      </c>
    </row>
    <row r="2621" spans="1:4" ht="16.5" thickBot="1">
      <c r="A2621" s="621">
        <v>41180</v>
      </c>
      <c r="B2621" s="622">
        <v>4.6942000000000004</v>
      </c>
      <c r="D2621" s="604">
        <v>4.6698947368421049</v>
      </c>
    </row>
    <row r="2622" spans="1:4">
      <c r="A2622" s="617">
        <v>41183</v>
      </c>
      <c r="B2622" s="618">
        <v>4.6992000000000003</v>
      </c>
      <c r="C2622" s="624"/>
    </row>
    <row r="2623" spans="1:4">
      <c r="A2623" s="619">
        <v>41184</v>
      </c>
      <c r="B2623" s="620">
        <v>4.6997999999999998</v>
      </c>
    </row>
    <row r="2624" spans="1:4">
      <c r="A2624" s="619">
        <v>41185</v>
      </c>
      <c r="B2624" s="620">
        <v>4.7012</v>
      </c>
    </row>
    <row r="2625" spans="1:2">
      <c r="A2625" s="619">
        <v>41186</v>
      </c>
      <c r="B2625" s="620">
        <v>4.7038000000000002</v>
      </c>
    </row>
    <row r="2626" spans="1:2">
      <c r="A2626" s="619">
        <v>41187</v>
      </c>
      <c r="B2626" s="620">
        <v>4.7077</v>
      </c>
    </row>
    <row r="2627" spans="1:2">
      <c r="A2627" s="619">
        <v>41191</v>
      </c>
      <c r="B2627" s="620">
        <v>4.7127999999999997</v>
      </c>
    </row>
    <row r="2628" spans="1:2">
      <c r="A2628" s="619">
        <v>41192</v>
      </c>
      <c r="B2628" s="620">
        <v>4.7134999999999998</v>
      </c>
    </row>
    <row r="2629" spans="1:2">
      <c r="A2629" s="619">
        <v>41193</v>
      </c>
      <c r="B2629" s="620">
        <v>4.7195</v>
      </c>
    </row>
    <row r="2630" spans="1:2">
      <c r="A2630" s="619">
        <v>41194</v>
      </c>
      <c r="B2630" s="620">
        <v>4.7226999999999997</v>
      </c>
    </row>
    <row r="2631" spans="1:2">
      <c r="A2631" s="619">
        <v>41197</v>
      </c>
      <c r="B2631" s="620">
        <v>4.7255000000000003</v>
      </c>
    </row>
    <row r="2632" spans="1:2">
      <c r="A2632" s="619">
        <v>41198</v>
      </c>
      <c r="B2632" s="620">
        <v>4.7293000000000003</v>
      </c>
    </row>
    <row r="2633" spans="1:2">
      <c r="A2633" s="619">
        <v>41199</v>
      </c>
      <c r="B2633" s="620">
        <v>4.7324999999999999</v>
      </c>
    </row>
    <row r="2634" spans="1:2">
      <c r="A2634" s="619">
        <v>41200</v>
      </c>
      <c r="B2634" s="620">
        <v>4.7332000000000001</v>
      </c>
    </row>
    <row r="2635" spans="1:2">
      <c r="A2635" s="619">
        <v>41201</v>
      </c>
      <c r="B2635" s="620">
        <v>4.7367999999999997</v>
      </c>
    </row>
    <row r="2636" spans="1:2">
      <c r="A2636" s="619">
        <v>41204</v>
      </c>
      <c r="B2636" s="620">
        <v>4.7431999999999999</v>
      </c>
    </row>
    <row r="2637" spans="1:2">
      <c r="A2637" s="619">
        <v>41205</v>
      </c>
      <c r="B2637" s="620">
        <v>4.7439999999999998</v>
      </c>
    </row>
    <row r="2638" spans="1:2">
      <c r="A2638" s="619">
        <v>41206</v>
      </c>
      <c r="B2638" s="620">
        <v>4.7466999999999997</v>
      </c>
    </row>
    <row r="2639" spans="1:2">
      <c r="A2639" s="619">
        <v>41207</v>
      </c>
      <c r="B2639" s="620">
        <v>4.7507999999999999</v>
      </c>
    </row>
    <row r="2640" spans="1:2">
      <c r="A2640" s="619">
        <v>41208</v>
      </c>
      <c r="B2640" s="620">
        <v>4.7531999999999996</v>
      </c>
    </row>
    <row r="2641" spans="1:4">
      <c r="A2641" s="619">
        <v>41211</v>
      </c>
      <c r="B2641" s="620">
        <v>4.7557999999999998</v>
      </c>
    </row>
    <row r="2642" spans="1:4">
      <c r="A2642" s="619">
        <v>41212</v>
      </c>
      <c r="B2642" s="620">
        <v>4.76</v>
      </c>
      <c r="D2642" s="613">
        <v>41183</v>
      </c>
    </row>
    <row r="2643" spans="1:4" ht="16.5" thickBot="1">
      <c r="A2643" s="621">
        <v>41213</v>
      </c>
      <c r="B2643" s="622">
        <v>4.7655000000000003</v>
      </c>
      <c r="D2643" s="604">
        <v>4.7298500000000008</v>
      </c>
    </row>
    <row r="2644" spans="1:4">
      <c r="A2644" s="617">
        <v>41214</v>
      </c>
      <c r="B2644" s="618">
        <v>4.7699999999999996</v>
      </c>
    </row>
    <row r="2645" spans="1:4">
      <c r="A2645" s="619">
        <v>41215</v>
      </c>
      <c r="B2645" s="620">
        <v>4.7708000000000004</v>
      </c>
    </row>
    <row r="2646" spans="1:4">
      <c r="A2646" s="619">
        <v>41218</v>
      </c>
      <c r="B2646" s="620">
        <v>4.7721999999999998</v>
      </c>
    </row>
    <row r="2647" spans="1:4">
      <c r="A2647" s="619">
        <v>41220</v>
      </c>
      <c r="B2647" s="620">
        <v>4.7714999999999996</v>
      </c>
    </row>
    <row r="2648" spans="1:4">
      <c r="A2648" s="619">
        <v>41221</v>
      </c>
      <c r="B2648" s="620">
        <v>4.7725</v>
      </c>
    </row>
    <row r="2649" spans="1:4">
      <c r="A2649" s="619">
        <v>41222</v>
      </c>
      <c r="B2649" s="620">
        <v>4.7770000000000001</v>
      </c>
    </row>
    <row r="2650" spans="1:4">
      <c r="A2650" s="619">
        <v>41225</v>
      </c>
      <c r="B2650" s="620">
        <v>4.7821999999999996</v>
      </c>
    </row>
    <row r="2651" spans="1:4">
      <c r="A2651" s="619">
        <v>41226</v>
      </c>
      <c r="B2651" s="620">
        <v>4.7831999999999999</v>
      </c>
    </row>
    <row r="2652" spans="1:4">
      <c r="A2652" s="619">
        <v>41227</v>
      </c>
      <c r="B2652" s="620">
        <v>4.7854999999999999</v>
      </c>
    </row>
    <row r="2653" spans="1:4">
      <c r="A2653" s="619">
        <v>41228</v>
      </c>
      <c r="B2653" s="620">
        <v>4.7907999999999999</v>
      </c>
    </row>
    <row r="2654" spans="1:4">
      <c r="A2654" s="619">
        <v>41229</v>
      </c>
      <c r="B2654" s="620">
        <v>4.798</v>
      </c>
    </row>
    <row r="2655" spans="1:4">
      <c r="A2655" s="619">
        <v>41232</v>
      </c>
      <c r="B2655" s="620">
        <v>4.8028000000000004</v>
      </c>
    </row>
    <row r="2656" spans="1:4">
      <c r="A2656" s="619">
        <v>41233</v>
      </c>
      <c r="B2656" s="620">
        <v>4.8057999999999996</v>
      </c>
    </row>
    <row r="2657" spans="1:4">
      <c r="A2657" s="619">
        <v>41234</v>
      </c>
      <c r="B2657" s="620">
        <v>4.8090000000000002</v>
      </c>
    </row>
    <row r="2658" spans="1:4">
      <c r="A2658" s="619">
        <v>41235</v>
      </c>
      <c r="B2658" s="620">
        <v>4.8235000000000001</v>
      </c>
    </row>
    <row r="2659" spans="1:4">
      <c r="A2659" s="619">
        <v>41236</v>
      </c>
      <c r="B2659" s="620">
        <v>4.8209999999999997</v>
      </c>
    </row>
    <row r="2660" spans="1:4">
      <c r="A2660" s="619">
        <v>41240</v>
      </c>
      <c r="B2660" s="620">
        <v>4.8227000000000002</v>
      </c>
    </row>
    <row r="2661" spans="1:4">
      <c r="A2661" s="619">
        <v>41241</v>
      </c>
      <c r="B2661" s="620">
        <v>4.8253000000000004</v>
      </c>
    </row>
    <row r="2662" spans="1:4">
      <c r="A2662" s="619">
        <v>41242</v>
      </c>
      <c r="B2662" s="620">
        <v>4.8301999999999996</v>
      </c>
      <c r="D2662" s="613">
        <v>41214</v>
      </c>
    </row>
    <row r="2663" spans="1:4" ht="16.5" thickBot="1">
      <c r="A2663" s="621">
        <v>41243</v>
      </c>
      <c r="B2663" s="622">
        <v>4.8338000000000001</v>
      </c>
      <c r="C2663" s="597"/>
      <c r="D2663" s="604">
        <v>4.7973899999999992</v>
      </c>
    </row>
    <row r="2664" spans="1:4">
      <c r="A2664" s="617">
        <v>41246</v>
      </c>
      <c r="B2664" s="618">
        <v>4.8398000000000003</v>
      </c>
    </row>
    <row r="2665" spans="1:4">
      <c r="A2665" s="619">
        <v>41247</v>
      </c>
      <c r="B2665" s="620">
        <v>4.8445</v>
      </c>
    </row>
    <row r="2666" spans="1:4">
      <c r="A2666" s="619">
        <v>41248</v>
      </c>
      <c r="B2666" s="620">
        <v>4.8505000000000003</v>
      </c>
    </row>
    <row r="2667" spans="1:4">
      <c r="A2667" s="619">
        <v>41249</v>
      </c>
      <c r="B2667" s="620">
        <v>4.8541999999999996</v>
      </c>
    </row>
    <row r="2668" spans="1:4">
      <c r="A2668" s="619">
        <v>41250</v>
      </c>
      <c r="B2668" s="620">
        <v>4.8616999999999999</v>
      </c>
    </row>
    <row r="2669" spans="1:4">
      <c r="A2669" s="619">
        <v>41253</v>
      </c>
      <c r="B2669" s="620">
        <v>4.8632</v>
      </c>
    </row>
    <row r="2670" spans="1:4">
      <c r="A2670" s="619">
        <v>41254</v>
      </c>
      <c r="B2670" s="620">
        <v>4.8654999999999999</v>
      </c>
    </row>
    <row r="2671" spans="1:4">
      <c r="A2671" s="619">
        <v>41255</v>
      </c>
      <c r="B2671" s="620">
        <v>4.8718000000000004</v>
      </c>
    </row>
    <row r="2672" spans="1:4">
      <c r="A2672" s="619">
        <v>41256</v>
      </c>
      <c r="B2672" s="620">
        <v>4.8734999999999999</v>
      </c>
    </row>
    <row r="2673" spans="1:4">
      <c r="A2673" s="619">
        <v>41257</v>
      </c>
      <c r="B2673" s="620">
        <v>4.8769999999999998</v>
      </c>
    </row>
    <row r="2674" spans="1:4">
      <c r="A2674" s="619">
        <v>41260</v>
      </c>
      <c r="B2674" s="620">
        <v>4.8832000000000004</v>
      </c>
    </row>
    <row r="2675" spans="1:4">
      <c r="A2675" s="619">
        <v>41261</v>
      </c>
      <c r="B2675" s="620">
        <v>4.8860000000000001</v>
      </c>
    </row>
    <row r="2676" spans="1:4">
      <c r="A2676" s="619">
        <v>41262</v>
      </c>
      <c r="B2676" s="620">
        <v>4.8948</v>
      </c>
    </row>
    <row r="2677" spans="1:4">
      <c r="A2677" s="619">
        <v>41263</v>
      </c>
      <c r="B2677" s="620">
        <v>4.8986999999999998</v>
      </c>
    </row>
    <row r="2678" spans="1:4">
      <c r="A2678" s="619">
        <v>41264</v>
      </c>
      <c r="B2678" s="620">
        <v>4.9032</v>
      </c>
    </row>
    <row r="2679" spans="1:4">
      <c r="A2679" s="619">
        <v>41269</v>
      </c>
      <c r="B2679" s="620">
        <v>4.91</v>
      </c>
    </row>
    <row r="2680" spans="1:4">
      <c r="A2680" s="619">
        <v>41270</v>
      </c>
      <c r="B2680" s="620">
        <v>4.9124999999999996</v>
      </c>
    </row>
    <row r="2681" spans="1:4">
      <c r="A2681" s="619">
        <v>41271</v>
      </c>
      <c r="B2681" s="620">
        <v>4.9130000000000003</v>
      </c>
      <c r="D2681" s="613">
        <v>41244</v>
      </c>
    </row>
    <row r="2682" spans="1:4" ht="16.5" thickBot="1">
      <c r="A2682" s="621">
        <v>41274</v>
      </c>
      <c r="B2682" s="622">
        <v>4.9173</v>
      </c>
      <c r="C2682" s="597"/>
      <c r="D2682" s="604">
        <v>4.88</v>
      </c>
    </row>
    <row r="2683" spans="1:4">
      <c r="A2683" s="617">
        <v>41276</v>
      </c>
      <c r="B2683" s="618">
        <v>4.9227999999999996</v>
      </c>
    </row>
    <row r="2684" spans="1:4">
      <c r="A2684" s="619">
        <v>41277</v>
      </c>
      <c r="B2684" s="620">
        <v>4.9263000000000003</v>
      </c>
    </row>
    <row r="2685" spans="1:4">
      <c r="A2685" s="619">
        <v>41278</v>
      </c>
      <c r="B2685" s="620">
        <v>4.9261999999999997</v>
      </c>
    </row>
    <row r="2686" spans="1:4">
      <c r="A2686" s="619">
        <v>41281</v>
      </c>
      <c r="B2686" s="620">
        <v>4.9287999999999998</v>
      </c>
    </row>
    <row r="2687" spans="1:4">
      <c r="A2687" s="619">
        <v>41282</v>
      </c>
      <c r="B2687" s="620">
        <v>4.9311999999999996</v>
      </c>
    </row>
    <row r="2688" spans="1:4">
      <c r="A2688" s="619">
        <v>41283</v>
      </c>
      <c r="B2688" s="620">
        <v>4.9352999999999998</v>
      </c>
    </row>
    <row r="2689" spans="1:4">
      <c r="A2689" s="619">
        <v>41284</v>
      </c>
      <c r="B2689" s="620">
        <v>4.9385000000000003</v>
      </c>
    </row>
    <row r="2690" spans="1:4">
      <c r="A2690" s="619">
        <v>41285</v>
      </c>
      <c r="B2690" s="620">
        <v>4.9408000000000003</v>
      </c>
    </row>
    <row r="2691" spans="1:4">
      <c r="A2691" s="619">
        <v>41288</v>
      </c>
      <c r="B2691" s="620">
        <v>4.9480000000000004</v>
      </c>
    </row>
    <row r="2692" spans="1:4">
      <c r="A2692" s="619">
        <v>41289</v>
      </c>
      <c r="B2692" s="620">
        <v>4.9507000000000003</v>
      </c>
    </row>
    <row r="2693" spans="1:4">
      <c r="A2693" s="619">
        <v>41290</v>
      </c>
      <c r="B2693" s="620">
        <v>4.9493</v>
      </c>
    </row>
    <row r="2694" spans="1:4">
      <c r="A2694" s="619">
        <v>41291</v>
      </c>
      <c r="B2694" s="620">
        <v>4.9494999999999996</v>
      </c>
    </row>
    <row r="2695" spans="1:4">
      <c r="A2695" s="619">
        <v>41292</v>
      </c>
      <c r="B2695" s="620">
        <v>4.95</v>
      </c>
    </row>
    <row r="2696" spans="1:4">
      <c r="A2696" s="619">
        <v>41295</v>
      </c>
      <c r="B2696" s="620">
        <v>4.9562999999999997</v>
      </c>
    </row>
    <row r="2697" spans="1:4">
      <c r="A2697" s="619">
        <v>41296</v>
      </c>
      <c r="B2697" s="620">
        <v>4.9588000000000001</v>
      </c>
    </row>
    <row r="2698" spans="1:4">
      <c r="A2698" s="619">
        <v>41297</v>
      </c>
      <c r="B2698" s="620">
        <v>4.9607999999999999</v>
      </c>
    </row>
    <row r="2699" spans="1:4">
      <c r="A2699" s="619">
        <v>41298</v>
      </c>
      <c r="B2699" s="620">
        <v>4.9625000000000004</v>
      </c>
    </row>
    <row r="2700" spans="1:4">
      <c r="A2700" s="619">
        <v>41299</v>
      </c>
      <c r="B2700" s="620">
        <v>4.9640000000000004</v>
      </c>
    </row>
    <row r="2701" spans="1:4">
      <c r="A2701" s="619">
        <v>41302</v>
      </c>
      <c r="B2701" s="620">
        <v>4.9702000000000002</v>
      </c>
    </row>
    <row r="2702" spans="1:4">
      <c r="A2702" s="619">
        <v>41303</v>
      </c>
      <c r="B2702" s="620">
        <v>4.9740000000000002</v>
      </c>
      <c r="D2702" s="613">
        <v>41275</v>
      </c>
    </row>
    <row r="2703" spans="1:4" ht="16.5" thickBot="1">
      <c r="A2703" s="621">
        <v>41304</v>
      </c>
      <c r="B2703" s="622">
        <v>4.9767999999999999</v>
      </c>
      <c r="D2703" s="604">
        <v>4.9485999999999999</v>
      </c>
    </row>
    <row r="2704" spans="1:4">
      <c r="A2704" s="625">
        <v>41306</v>
      </c>
      <c r="B2704" s="626">
        <v>4.9828000000000001</v>
      </c>
    </row>
    <row r="2705" spans="1:4">
      <c r="A2705" s="619">
        <v>41309</v>
      </c>
      <c r="B2705" s="620">
        <v>4.9824999999999999</v>
      </c>
    </row>
    <row r="2706" spans="1:4">
      <c r="A2706" s="619">
        <v>41310</v>
      </c>
      <c r="B2706" s="620">
        <v>4.9832999999999998</v>
      </c>
    </row>
    <row r="2707" spans="1:4">
      <c r="A2707" s="619">
        <v>41311</v>
      </c>
      <c r="B2707" s="620">
        <v>4.9855</v>
      </c>
    </row>
    <row r="2708" spans="1:4">
      <c r="A2708" s="619">
        <v>41312</v>
      </c>
      <c r="B2708" s="620">
        <v>4.9912999999999998</v>
      </c>
    </row>
    <row r="2709" spans="1:4">
      <c r="A2709" s="619">
        <v>41313</v>
      </c>
      <c r="B2709" s="620">
        <v>4.9962999999999997</v>
      </c>
    </row>
    <row r="2710" spans="1:4">
      <c r="A2710" s="619">
        <v>41318</v>
      </c>
      <c r="B2710" s="620">
        <v>5.0019999999999998</v>
      </c>
    </row>
    <row r="2711" spans="1:4">
      <c r="A2711" s="619">
        <v>41319</v>
      </c>
      <c r="B2711" s="620">
        <v>5.0046999999999997</v>
      </c>
    </row>
    <row r="2712" spans="1:4">
      <c r="A2712" s="619">
        <v>41320</v>
      </c>
      <c r="B2712" s="620">
        <v>5.0087999999999999</v>
      </c>
    </row>
    <row r="2713" spans="1:4">
      <c r="A2713" s="619">
        <v>41323</v>
      </c>
      <c r="B2713" s="620">
        <v>5.0186999999999999</v>
      </c>
    </row>
    <row r="2714" spans="1:4">
      <c r="A2714" s="619">
        <v>41324</v>
      </c>
      <c r="B2714" s="620">
        <v>5.0214999999999996</v>
      </c>
    </row>
    <row r="2715" spans="1:4">
      <c r="A2715" s="619">
        <v>41326</v>
      </c>
      <c r="B2715" s="620">
        <v>5.0274999999999999</v>
      </c>
    </row>
    <row r="2716" spans="1:4">
      <c r="A2716" s="619">
        <v>41327</v>
      </c>
      <c r="B2716" s="620">
        <v>5.03</v>
      </c>
    </row>
    <row r="2717" spans="1:4">
      <c r="A2717" s="619">
        <v>41330</v>
      </c>
      <c r="B2717" s="620">
        <v>5.0336999999999996</v>
      </c>
    </row>
    <row r="2718" spans="1:4">
      <c r="A2718" s="619">
        <v>41331</v>
      </c>
      <c r="B2718" s="620">
        <v>5.0358000000000001</v>
      </c>
    </row>
    <row r="2719" spans="1:4">
      <c r="A2719" s="619">
        <v>41332</v>
      </c>
      <c r="B2719" s="620">
        <v>5.0392000000000001</v>
      </c>
      <c r="D2719" s="613">
        <v>41306</v>
      </c>
    </row>
    <row r="2720" spans="1:4" ht="16.5" thickBot="1">
      <c r="A2720" s="627">
        <v>41333</v>
      </c>
      <c r="B2720" s="628">
        <v>5.0448000000000004</v>
      </c>
      <c r="D2720" s="604">
        <v>5.0110999999999999</v>
      </c>
    </row>
    <row r="2721" spans="1:2">
      <c r="A2721" s="629">
        <v>41334</v>
      </c>
      <c r="B2721" s="630">
        <v>5.0475000000000003</v>
      </c>
    </row>
    <row r="2722" spans="1:2">
      <c r="A2722" s="619">
        <v>41337</v>
      </c>
      <c r="B2722" s="620">
        <v>5.0522999999999998</v>
      </c>
    </row>
    <row r="2723" spans="1:2">
      <c r="A2723" s="619">
        <v>41338</v>
      </c>
      <c r="B2723" s="620">
        <v>5.0555000000000003</v>
      </c>
    </row>
    <row r="2724" spans="1:2">
      <c r="A2724" s="619">
        <v>41339</v>
      </c>
      <c r="B2724" s="620">
        <v>5.0591999999999997</v>
      </c>
    </row>
    <row r="2725" spans="1:2">
      <c r="A2725" s="619">
        <v>41340</v>
      </c>
      <c r="B2725" s="620">
        <v>5.0628000000000002</v>
      </c>
    </row>
    <row r="2726" spans="1:2">
      <c r="A2726" s="619">
        <v>41341</v>
      </c>
      <c r="B2726" s="620">
        <v>5.0648</v>
      </c>
    </row>
    <row r="2727" spans="1:2">
      <c r="A2727" s="619">
        <v>41344</v>
      </c>
      <c r="B2727" s="620">
        <v>5.0692000000000004</v>
      </c>
    </row>
    <row r="2728" spans="1:2">
      <c r="A2728" s="619">
        <v>41345</v>
      </c>
      <c r="B2728" s="620">
        <v>5.0765000000000002</v>
      </c>
    </row>
    <row r="2729" spans="1:2">
      <c r="A2729" s="619">
        <v>41346</v>
      </c>
      <c r="B2729" s="620">
        <v>5.0788000000000002</v>
      </c>
    </row>
    <row r="2730" spans="1:2">
      <c r="A2730" s="619">
        <v>41347</v>
      </c>
      <c r="B2730" s="620">
        <v>5.0842999999999998</v>
      </c>
    </row>
    <row r="2731" spans="1:2">
      <c r="A2731" s="619">
        <v>41348</v>
      </c>
      <c r="B2731" s="620">
        <v>5.0902000000000003</v>
      </c>
    </row>
    <row r="2732" spans="1:2">
      <c r="A2732" s="619">
        <v>41351</v>
      </c>
      <c r="B2732" s="620">
        <v>5.0967000000000002</v>
      </c>
    </row>
    <row r="2733" spans="1:2">
      <c r="A2733" s="619">
        <v>41352</v>
      </c>
      <c r="B2733" s="620">
        <v>5.0967000000000002</v>
      </c>
    </row>
    <row r="2734" spans="1:2">
      <c r="A2734" s="619">
        <v>41353</v>
      </c>
      <c r="B2734" s="620">
        <v>5.0957999999999997</v>
      </c>
    </row>
    <row r="2735" spans="1:2">
      <c r="A2735" s="619">
        <v>41354</v>
      </c>
      <c r="B2735" s="620">
        <v>5.0997000000000003</v>
      </c>
    </row>
    <row r="2736" spans="1:2">
      <c r="A2736" s="619">
        <v>41355</v>
      </c>
      <c r="B2736" s="620">
        <v>5.1077000000000004</v>
      </c>
    </row>
    <row r="2737" spans="1:4">
      <c r="A2737" s="619">
        <v>41358</v>
      </c>
      <c r="B2737" s="620">
        <v>5.1159999999999997</v>
      </c>
    </row>
    <row r="2738" spans="1:4">
      <c r="A2738" s="619">
        <v>41359</v>
      </c>
      <c r="B2738" s="620">
        <v>5.1193</v>
      </c>
      <c r="D2738" s="613">
        <v>41334</v>
      </c>
    </row>
    <row r="2739" spans="1:4">
      <c r="A2739" s="619">
        <v>41360</v>
      </c>
      <c r="B2739" s="620">
        <v>5.1223000000000001</v>
      </c>
      <c r="D2739" s="604">
        <v>5.0839999999999996</v>
      </c>
    </row>
    <row r="2740" spans="1:4">
      <c r="A2740" s="619">
        <v>41367</v>
      </c>
      <c r="B2740" s="620">
        <v>5.1303000000000001</v>
      </c>
    </row>
    <row r="2741" spans="1:4">
      <c r="A2741" s="619">
        <v>41368</v>
      </c>
      <c r="B2741" s="620">
        <v>5.1327999999999996</v>
      </c>
    </row>
    <row r="2742" spans="1:4">
      <c r="A2742" s="619">
        <v>41369</v>
      </c>
      <c r="B2742" s="620">
        <v>5.1369999999999996</v>
      </c>
    </row>
    <row r="2743" spans="1:4">
      <c r="A2743" s="619">
        <v>41372</v>
      </c>
      <c r="B2743" s="620">
        <v>5.1345000000000001</v>
      </c>
    </row>
    <row r="2744" spans="1:4">
      <c r="A2744" s="619">
        <v>41373</v>
      </c>
      <c r="B2744" s="620">
        <v>5.1372999999999998</v>
      </c>
    </row>
    <row r="2745" spans="1:4">
      <c r="A2745" s="619">
        <v>41374</v>
      </c>
      <c r="B2745" s="620">
        <v>5.14</v>
      </c>
    </row>
    <row r="2746" spans="1:4">
      <c r="A2746" s="619">
        <v>41375</v>
      </c>
      <c r="B2746" s="620">
        <v>5.1432000000000002</v>
      </c>
    </row>
    <row r="2747" spans="1:4">
      <c r="A2747" s="619">
        <v>41376</v>
      </c>
      <c r="B2747" s="620">
        <v>5.1467999999999998</v>
      </c>
    </row>
    <row r="2748" spans="1:4">
      <c r="A2748" s="619">
        <v>41379</v>
      </c>
      <c r="B2748" s="620">
        <v>5.1521999999999997</v>
      </c>
    </row>
    <row r="2749" spans="1:4">
      <c r="A2749" s="619">
        <v>41380</v>
      </c>
      <c r="B2749" s="620">
        <v>5.1551999999999998</v>
      </c>
    </row>
    <row r="2750" spans="1:4">
      <c r="A2750" s="619">
        <v>41381</v>
      </c>
      <c r="B2750" s="620">
        <v>5.1558000000000002</v>
      </c>
    </row>
    <row r="2751" spans="1:4">
      <c r="A2751" s="619">
        <v>41382</v>
      </c>
      <c r="B2751" s="620">
        <v>5.1580000000000004</v>
      </c>
    </row>
    <row r="2752" spans="1:4">
      <c r="A2752" s="619">
        <v>41383</v>
      </c>
      <c r="B2752" s="620">
        <v>5.1612999999999998</v>
      </c>
    </row>
    <row r="2753" spans="1:4">
      <c r="A2753" s="619">
        <v>41386</v>
      </c>
      <c r="B2753" s="620">
        <v>5.1666999999999996</v>
      </c>
    </row>
    <row r="2754" spans="1:4">
      <c r="A2754" s="619">
        <v>41387</v>
      </c>
      <c r="B2754" s="620">
        <v>5.1692999999999998</v>
      </c>
    </row>
    <row r="2755" spans="1:4">
      <c r="A2755" s="619">
        <v>41388</v>
      </c>
      <c r="B2755" s="620">
        <v>5.1746999999999996</v>
      </c>
    </row>
    <row r="2756" spans="1:4">
      <c r="A2756" s="619">
        <v>41389</v>
      </c>
      <c r="B2756" s="620">
        <v>5.1753</v>
      </c>
    </row>
    <row r="2757" spans="1:4">
      <c r="A2757" s="619">
        <v>41390</v>
      </c>
      <c r="B2757" s="620">
        <v>5.1752000000000002</v>
      </c>
    </row>
    <row r="2758" spans="1:4">
      <c r="A2758" s="619">
        <v>41393</v>
      </c>
      <c r="B2758" s="620">
        <v>5.1805000000000003</v>
      </c>
      <c r="D2758" s="613">
        <v>41365</v>
      </c>
    </row>
    <row r="2759" spans="1:4" ht="16.5" thickBot="1">
      <c r="A2759" s="621">
        <v>41394</v>
      </c>
      <c r="B2759" s="622">
        <v>5.1840000000000002</v>
      </c>
      <c r="D2759" s="604">
        <v>5.1555</v>
      </c>
    </row>
    <row r="2760" spans="1:4">
      <c r="A2760" s="617">
        <v>41396</v>
      </c>
      <c r="B2760" s="618">
        <v>5.1898</v>
      </c>
    </row>
    <row r="2761" spans="1:4">
      <c r="A2761" s="619">
        <v>41397</v>
      </c>
      <c r="B2761" s="620">
        <v>5.1967999999999996</v>
      </c>
    </row>
    <row r="2762" spans="1:4">
      <c r="A2762" s="619">
        <v>41400</v>
      </c>
      <c r="B2762" s="620">
        <v>5.2065000000000001</v>
      </c>
    </row>
    <row r="2763" spans="1:4">
      <c r="A2763" s="619">
        <v>41401</v>
      </c>
      <c r="B2763" s="620">
        <v>5.2095000000000002</v>
      </c>
    </row>
    <row r="2764" spans="1:4">
      <c r="A2764" s="619">
        <v>41402</v>
      </c>
      <c r="B2764" s="620">
        <v>5.2130000000000001</v>
      </c>
    </row>
    <row r="2765" spans="1:4">
      <c r="A2765" s="619">
        <v>41403</v>
      </c>
      <c r="B2765" s="620">
        <v>5.2196999999999996</v>
      </c>
    </row>
    <row r="2766" spans="1:4">
      <c r="A2766" s="619">
        <v>41404</v>
      </c>
      <c r="B2766" s="620">
        <v>5.2267999999999999</v>
      </c>
    </row>
    <row r="2767" spans="1:4">
      <c r="A2767" s="619">
        <v>41407</v>
      </c>
      <c r="B2767" s="620">
        <v>5.2313000000000001</v>
      </c>
    </row>
    <row r="2768" spans="1:4">
      <c r="A2768" s="619">
        <v>41408</v>
      </c>
      <c r="B2768" s="620">
        <v>5.2359999999999998</v>
      </c>
    </row>
    <row r="2769" spans="1:4">
      <c r="A2769" s="619">
        <v>41409</v>
      </c>
      <c r="B2769" s="620">
        <v>5.2355</v>
      </c>
    </row>
    <row r="2770" spans="1:4">
      <c r="A2770" s="619">
        <v>41410</v>
      </c>
      <c r="B2770" s="620">
        <v>5.234</v>
      </c>
    </row>
    <row r="2771" spans="1:4">
      <c r="A2771" s="619">
        <v>41411</v>
      </c>
      <c r="B2771" s="620">
        <v>5.2343000000000002</v>
      </c>
    </row>
    <row r="2772" spans="1:4">
      <c r="A2772" s="619">
        <v>41414</v>
      </c>
      <c r="B2772" s="620">
        <v>5.2423000000000002</v>
      </c>
    </row>
    <row r="2773" spans="1:4">
      <c r="A2773" s="619">
        <v>41415</v>
      </c>
      <c r="B2773" s="620">
        <v>5.2472000000000003</v>
      </c>
    </row>
    <row r="2774" spans="1:4">
      <c r="A2774" s="619">
        <v>41416</v>
      </c>
      <c r="B2774" s="620">
        <v>5.2511999999999999</v>
      </c>
    </row>
    <row r="2775" spans="1:4">
      <c r="A2775" s="619">
        <v>41417</v>
      </c>
      <c r="B2775" s="620">
        <v>5.2602000000000002</v>
      </c>
    </row>
    <row r="2776" spans="1:4">
      <c r="A2776" s="619">
        <v>41418</v>
      </c>
      <c r="B2776" s="620">
        <v>5.2662000000000004</v>
      </c>
    </row>
    <row r="2777" spans="1:4">
      <c r="A2777" s="619">
        <v>41421</v>
      </c>
      <c r="B2777" s="620">
        <v>5.2685000000000004</v>
      </c>
    </row>
    <row r="2778" spans="1:4">
      <c r="A2778" s="619">
        <v>41422</v>
      </c>
      <c r="B2778" s="620">
        <v>5.2702</v>
      </c>
    </row>
    <row r="2779" spans="1:4">
      <c r="A2779" s="619">
        <v>41423</v>
      </c>
      <c r="B2779" s="620">
        <v>5.2743000000000002</v>
      </c>
    </row>
    <row r="2780" spans="1:4">
      <c r="A2780" s="619">
        <v>41424</v>
      </c>
      <c r="B2780" s="620">
        <v>5.2797999999999998</v>
      </c>
      <c r="D2780" s="613">
        <v>41395</v>
      </c>
    </row>
    <row r="2781" spans="1:4" ht="16.5" thickBot="1">
      <c r="A2781" s="621">
        <v>41425</v>
      </c>
      <c r="B2781" s="622">
        <v>5.2836999999999996</v>
      </c>
      <c r="D2781" s="604">
        <v>5.2398999999999996</v>
      </c>
    </row>
    <row r="2782" spans="1:4">
      <c r="A2782" s="617">
        <v>41428</v>
      </c>
      <c r="B2782" s="618">
        <v>5.2874999999999996</v>
      </c>
    </row>
    <row r="2783" spans="1:4">
      <c r="A2783" s="619">
        <v>41429</v>
      </c>
      <c r="B2783" s="620">
        <v>5.2895000000000003</v>
      </c>
    </row>
    <row r="2784" spans="1:4">
      <c r="A2784" s="619">
        <v>41430</v>
      </c>
      <c r="B2784" s="620">
        <v>5.2916999999999996</v>
      </c>
    </row>
    <row r="2785" spans="1:4">
      <c r="A2785" s="619">
        <v>41431</v>
      </c>
      <c r="B2785" s="620">
        <v>5.2954999999999997</v>
      </c>
    </row>
    <row r="2786" spans="1:4">
      <c r="A2786" s="619">
        <v>41432</v>
      </c>
      <c r="B2786" s="620">
        <v>5.2995000000000001</v>
      </c>
    </row>
    <row r="2787" spans="1:4">
      <c r="A2787" s="619">
        <v>41435</v>
      </c>
      <c r="B2787" s="620">
        <v>5.3052000000000001</v>
      </c>
    </row>
    <row r="2788" spans="1:4">
      <c r="A2788" s="619">
        <v>41436</v>
      </c>
      <c r="B2788" s="620">
        <v>5.3093000000000004</v>
      </c>
    </row>
    <row r="2789" spans="1:4">
      <c r="A2789" s="619">
        <v>41437</v>
      </c>
      <c r="B2789" s="620">
        <v>5.3167</v>
      </c>
    </row>
    <row r="2790" spans="1:4">
      <c r="A2790" s="619">
        <v>41438</v>
      </c>
      <c r="B2790" s="620">
        <v>5.3250000000000002</v>
      </c>
    </row>
    <row r="2791" spans="1:4">
      <c r="A2791" s="619">
        <v>41439</v>
      </c>
      <c r="B2791" s="620">
        <v>5.3301999999999996</v>
      </c>
    </row>
    <row r="2792" spans="1:4">
      <c r="A2792" s="619">
        <v>41442</v>
      </c>
      <c r="B2792" s="620">
        <v>5.3368000000000002</v>
      </c>
    </row>
    <row r="2793" spans="1:4">
      <c r="A2793" s="619">
        <v>41443</v>
      </c>
      <c r="B2793" s="620">
        <v>5.3395000000000001</v>
      </c>
    </row>
    <row r="2794" spans="1:4">
      <c r="A2794" s="619">
        <v>41444</v>
      </c>
      <c r="B2794" s="620">
        <v>5.3467000000000002</v>
      </c>
    </row>
    <row r="2795" spans="1:4">
      <c r="A2795" s="619">
        <v>41449</v>
      </c>
      <c r="B2795" s="620">
        <v>5.3592000000000004</v>
      </c>
    </row>
    <row r="2796" spans="1:4">
      <c r="A2796" s="619">
        <v>41450</v>
      </c>
      <c r="B2796" s="620">
        <v>5.3635000000000002</v>
      </c>
    </row>
    <row r="2797" spans="1:4">
      <c r="A2797" s="619">
        <v>41451</v>
      </c>
      <c r="B2797" s="620">
        <v>5.3688000000000002</v>
      </c>
    </row>
    <row r="2798" spans="1:4">
      <c r="A2798" s="619">
        <v>41452</v>
      </c>
      <c r="B2798" s="620">
        <v>5.3757999999999999</v>
      </c>
      <c r="D2798" s="613">
        <v>41426</v>
      </c>
    </row>
    <row r="2799" spans="1:4">
      <c r="A2799" s="619">
        <v>41453</v>
      </c>
      <c r="B2799" s="620">
        <v>5.3852000000000002</v>
      </c>
      <c r="D2799" s="604">
        <v>5.3292000000000002</v>
      </c>
    </row>
    <row r="2800" spans="1:4">
      <c r="A2800" s="619">
        <v>41456</v>
      </c>
      <c r="B2800" s="620">
        <v>5.39</v>
      </c>
    </row>
    <row r="2801" spans="1:3">
      <c r="A2801" s="619">
        <v>41457</v>
      </c>
      <c r="B2801" s="620">
        <v>5.3932000000000002</v>
      </c>
      <c r="C2801" s="597"/>
    </row>
    <row r="2802" spans="1:3">
      <c r="A2802" s="619">
        <v>41458</v>
      </c>
      <c r="B2802" s="620">
        <v>5.399</v>
      </c>
      <c r="C2802" s="597"/>
    </row>
    <row r="2803" spans="1:3">
      <c r="A2803" s="619">
        <v>41459</v>
      </c>
      <c r="B2803" s="620">
        <v>5.4050000000000002</v>
      </c>
      <c r="C2803" s="597"/>
    </row>
    <row r="2804" spans="1:3">
      <c r="A2804" s="619">
        <v>41460</v>
      </c>
      <c r="B2804" s="620">
        <v>5.4047999999999998</v>
      </c>
      <c r="C2804" s="597"/>
    </row>
    <row r="2805" spans="1:3">
      <c r="A2805" s="619">
        <v>41463</v>
      </c>
      <c r="B2805" s="620">
        <v>5.4073000000000002</v>
      </c>
      <c r="C2805" s="597"/>
    </row>
    <row r="2806" spans="1:3">
      <c r="A2806" s="619">
        <v>41465</v>
      </c>
      <c r="B2806" s="620">
        <v>5.4124999999999996</v>
      </c>
      <c r="C2806" s="597"/>
    </row>
    <row r="2807" spans="1:3">
      <c r="A2807" s="619">
        <v>41466</v>
      </c>
      <c r="B2807" s="620">
        <v>5.4183000000000003</v>
      </c>
      <c r="C2807" s="597"/>
    </row>
    <row r="2808" spans="1:3">
      <c r="A2808" s="619">
        <v>41467</v>
      </c>
      <c r="B2808" s="620">
        <v>5.4241999999999999</v>
      </c>
      <c r="C2808" s="597"/>
    </row>
    <row r="2809" spans="1:3">
      <c r="A2809" s="619">
        <v>41470</v>
      </c>
      <c r="B2809" s="620">
        <v>5.4302999999999999</v>
      </c>
      <c r="C2809" s="597"/>
    </row>
    <row r="2810" spans="1:3">
      <c r="A2810" s="619">
        <v>41471</v>
      </c>
      <c r="B2810" s="620">
        <v>5.4344999999999999</v>
      </c>
      <c r="C2810" s="597"/>
    </row>
    <row r="2811" spans="1:3">
      <c r="A2811" s="619">
        <v>41472</v>
      </c>
      <c r="B2811" s="620">
        <v>5.4382999999999999</v>
      </c>
      <c r="C2811" s="597"/>
    </row>
    <row r="2812" spans="1:3">
      <c r="A2812" s="619">
        <v>41473</v>
      </c>
      <c r="B2812" s="620">
        <v>5.4465000000000003</v>
      </c>
      <c r="C2812" s="597"/>
    </row>
    <row r="2813" spans="1:3">
      <c r="A2813" s="619">
        <v>41474</v>
      </c>
      <c r="B2813" s="620">
        <v>5.4592999999999998</v>
      </c>
      <c r="C2813" s="597"/>
    </row>
    <row r="2814" spans="1:3">
      <c r="A2814" s="619">
        <v>41477</v>
      </c>
      <c r="B2814" s="620">
        <v>5.4622999999999999</v>
      </c>
    </row>
    <row r="2815" spans="1:3">
      <c r="A2815" s="619">
        <v>41478</v>
      </c>
      <c r="B2815" s="620">
        <v>5.4617000000000004</v>
      </c>
    </row>
    <row r="2816" spans="1:3">
      <c r="A2816" s="619">
        <v>41479</v>
      </c>
      <c r="B2816" s="620">
        <v>5.4638</v>
      </c>
    </row>
    <row r="2817" spans="1:4">
      <c r="A2817" s="619">
        <v>41480</v>
      </c>
      <c r="B2817" s="620">
        <v>5.4710000000000001</v>
      </c>
    </row>
    <row r="2818" spans="1:4">
      <c r="A2818" s="619">
        <v>41481</v>
      </c>
      <c r="B2818" s="620">
        <v>5.4806999999999997</v>
      </c>
    </row>
    <row r="2819" spans="1:4">
      <c r="A2819" s="619">
        <v>41484</v>
      </c>
      <c r="B2819" s="620">
        <v>5.4908000000000001</v>
      </c>
    </row>
    <row r="2820" spans="1:4">
      <c r="A2820" s="619">
        <v>41485</v>
      </c>
      <c r="B2820" s="620">
        <v>5.4992999999999999</v>
      </c>
      <c r="D2820" s="613">
        <v>41456</v>
      </c>
    </row>
    <row r="2821" spans="1:4">
      <c r="A2821" s="619">
        <v>41486</v>
      </c>
      <c r="B2821" s="620">
        <v>5.5065</v>
      </c>
      <c r="D2821" s="604">
        <v>5.4408772727272696</v>
      </c>
    </row>
    <row r="2822" spans="1:4">
      <c r="A2822" s="619">
        <v>41487</v>
      </c>
      <c r="B2822" s="620">
        <v>5.5082000000000004</v>
      </c>
    </row>
    <row r="2823" spans="1:4">
      <c r="A2823" s="619">
        <v>41488</v>
      </c>
      <c r="B2823" s="620">
        <v>5.5172999999999996</v>
      </c>
    </row>
    <row r="2824" spans="1:4">
      <c r="A2824" s="619">
        <v>41491</v>
      </c>
      <c r="B2824" s="620">
        <v>5.5202</v>
      </c>
    </row>
    <row r="2825" spans="1:4">
      <c r="A2825" s="619">
        <v>41492</v>
      </c>
      <c r="B2825" s="620">
        <v>5.5274999999999999</v>
      </c>
    </row>
    <row r="2826" spans="1:4">
      <c r="A2826" s="619">
        <v>41493</v>
      </c>
      <c r="B2826" s="620">
        <v>5.5285000000000002</v>
      </c>
    </row>
    <row r="2827" spans="1:4">
      <c r="A2827" s="619">
        <v>41494</v>
      </c>
      <c r="B2827" s="620">
        <v>5.5377000000000001</v>
      </c>
    </row>
    <row r="2828" spans="1:4">
      <c r="A2828" s="619">
        <v>41495</v>
      </c>
      <c r="B2828" s="620">
        <v>5.5427999999999997</v>
      </c>
    </row>
    <row r="2829" spans="1:4">
      <c r="A2829" s="619">
        <v>41498</v>
      </c>
      <c r="B2829" s="620">
        <v>5.5492999999999997</v>
      </c>
    </row>
    <row r="2830" spans="1:4">
      <c r="A2830" s="619">
        <v>41499</v>
      </c>
      <c r="B2830" s="620">
        <v>5.5602999999999998</v>
      </c>
    </row>
    <row r="2831" spans="1:4">
      <c r="A2831" s="619">
        <v>41500</v>
      </c>
      <c r="B2831" s="620">
        <v>5.5682</v>
      </c>
    </row>
    <row r="2832" spans="1:4">
      <c r="A2832" s="619">
        <v>41501</v>
      </c>
      <c r="B2832" s="620">
        <v>5.5747999999999998</v>
      </c>
    </row>
    <row r="2833" spans="1:4">
      <c r="A2833" s="619">
        <v>41502</v>
      </c>
      <c r="B2833" s="620">
        <v>5.5891999999999999</v>
      </c>
    </row>
    <row r="2834" spans="1:4">
      <c r="A2834" s="619">
        <v>41506</v>
      </c>
      <c r="B2834" s="620">
        <v>5.5961999999999996</v>
      </c>
    </row>
    <row r="2835" spans="1:4">
      <c r="A2835" s="619">
        <v>41507</v>
      </c>
      <c r="B2835" s="620">
        <v>5.6007999999999996</v>
      </c>
    </row>
    <row r="2836" spans="1:4">
      <c r="A2836" s="619">
        <v>41508</v>
      </c>
      <c r="B2836" s="620">
        <v>5.6115000000000004</v>
      </c>
    </row>
    <row r="2837" spans="1:4">
      <c r="A2837" s="619">
        <v>41509</v>
      </c>
      <c r="B2837" s="620">
        <v>5.6216999999999997</v>
      </c>
    </row>
    <row r="2838" spans="1:4">
      <c r="A2838" s="619">
        <v>41512</v>
      </c>
      <c r="B2838" s="620">
        <v>5.6302000000000003</v>
      </c>
    </row>
    <row r="2839" spans="1:4">
      <c r="A2839" s="619">
        <v>41513</v>
      </c>
      <c r="B2839" s="620">
        <v>5.6428000000000003</v>
      </c>
    </row>
    <row r="2840" spans="1:4">
      <c r="A2840" s="619">
        <v>41514</v>
      </c>
      <c r="B2840" s="620">
        <v>5.6492000000000004</v>
      </c>
    </row>
    <row r="2841" spans="1:4">
      <c r="A2841" s="619">
        <v>41515</v>
      </c>
      <c r="B2841" s="620">
        <v>5.6609999999999996</v>
      </c>
      <c r="D2841" s="613">
        <v>41487</v>
      </c>
    </row>
    <row r="2842" spans="1:4">
      <c r="A2842" s="619">
        <v>41516</v>
      </c>
      <c r="B2842" s="620">
        <v>5.6712999999999996</v>
      </c>
      <c r="D2842" s="604">
        <v>5.5813666666666677</v>
      </c>
    </row>
    <row r="2843" spans="1:4">
      <c r="A2843" s="619">
        <v>41519</v>
      </c>
      <c r="B2843" s="620">
        <v>5.6844999999999999</v>
      </c>
    </row>
    <row r="2844" spans="1:4">
      <c r="A2844" s="619">
        <v>41520</v>
      </c>
      <c r="B2844" s="620">
        <v>5.6909999999999998</v>
      </c>
    </row>
    <row r="2845" spans="1:4">
      <c r="A2845" s="619">
        <v>41521</v>
      </c>
      <c r="B2845" s="620">
        <v>5.7</v>
      </c>
    </row>
    <row r="2846" spans="1:4">
      <c r="A2846" s="619">
        <v>41522</v>
      </c>
      <c r="B2846" s="620">
        <v>5.7096999999999998</v>
      </c>
    </row>
    <row r="2847" spans="1:4">
      <c r="A2847" s="619">
        <v>41523</v>
      </c>
      <c r="B2847" s="620">
        <v>5.7027000000000001</v>
      </c>
    </row>
    <row r="2848" spans="1:4">
      <c r="A2848" s="619">
        <v>41526</v>
      </c>
      <c r="B2848" s="620">
        <v>5.7038000000000002</v>
      </c>
    </row>
    <row r="2849" spans="1:4">
      <c r="A2849" s="619">
        <v>41527</v>
      </c>
      <c r="B2849" s="620">
        <v>5.7102000000000004</v>
      </c>
    </row>
    <row r="2850" spans="1:4">
      <c r="A2850" s="619">
        <v>41528</v>
      </c>
      <c r="B2850" s="620">
        <v>5.7206999999999999</v>
      </c>
    </row>
    <row r="2851" spans="1:4">
      <c r="A2851" s="619">
        <v>41529</v>
      </c>
      <c r="B2851" s="620">
        <v>5.7195</v>
      </c>
    </row>
    <row r="2852" spans="1:4">
      <c r="A2852" s="619">
        <v>41530</v>
      </c>
      <c r="B2852" s="620">
        <v>5.7237999999999998</v>
      </c>
    </row>
    <row r="2853" spans="1:4">
      <c r="A2853" s="619">
        <v>41533</v>
      </c>
      <c r="B2853" s="620">
        <v>5.7313000000000001</v>
      </c>
    </row>
    <row r="2854" spans="1:4">
      <c r="A2854" s="619">
        <v>41534</v>
      </c>
      <c r="B2854" s="620">
        <v>5.7408000000000001</v>
      </c>
    </row>
    <row r="2855" spans="1:4">
      <c r="A2855" s="619">
        <v>41535</v>
      </c>
      <c r="B2855" s="620">
        <v>5.7497999999999996</v>
      </c>
    </row>
    <row r="2856" spans="1:4">
      <c r="A2856" s="619">
        <v>41536</v>
      </c>
      <c r="B2856" s="620">
        <v>5.7577999999999996</v>
      </c>
    </row>
    <row r="2857" spans="1:4">
      <c r="A2857" s="619">
        <v>41537</v>
      </c>
      <c r="B2857" s="620">
        <v>5.7596999999999996</v>
      </c>
    </row>
    <row r="2858" spans="1:4">
      <c r="A2858" s="619">
        <v>41540</v>
      </c>
      <c r="B2858" s="620">
        <v>5.7702999999999998</v>
      </c>
    </row>
    <row r="2859" spans="1:4">
      <c r="A2859" s="619">
        <v>41541</v>
      </c>
      <c r="B2859" s="620">
        <v>5.7713000000000001</v>
      </c>
    </row>
    <row r="2860" spans="1:4">
      <c r="A2860" s="619">
        <v>41542</v>
      </c>
      <c r="B2860" s="620">
        <v>5.7709999999999999</v>
      </c>
    </row>
    <row r="2861" spans="1:4">
      <c r="A2861" s="619">
        <v>41543</v>
      </c>
      <c r="B2861" s="620">
        <v>5.7797000000000001</v>
      </c>
    </row>
    <row r="2862" spans="1:4">
      <c r="A2862" s="619">
        <v>41544</v>
      </c>
      <c r="B2862" s="620">
        <v>5.7904999999999998</v>
      </c>
      <c r="D2862" s="613">
        <v>41518</v>
      </c>
    </row>
    <row r="2863" spans="1:4">
      <c r="A2863" s="619">
        <v>41547</v>
      </c>
      <c r="B2863" s="620">
        <v>5.7915000000000001</v>
      </c>
      <c r="D2863" s="604">
        <v>5.7371238095238093</v>
      </c>
    </row>
    <row r="2864" spans="1:4">
      <c r="A2864" s="619">
        <v>41548</v>
      </c>
      <c r="B2864" s="620">
        <v>5.7995000000000001</v>
      </c>
    </row>
    <row r="2865" spans="1:2">
      <c r="A2865" s="619">
        <v>41549</v>
      </c>
      <c r="B2865" s="620">
        <v>5.8028000000000004</v>
      </c>
    </row>
    <row r="2866" spans="1:2">
      <c r="A2866" s="619">
        <v>41550</v>
      </c>
      <c r="B2866" s="620">
        <v>5.8117999999999999</v>
      </c>
    </row>
    <row r="2867" spans="1:2">
      <c r="A2867" s="619">
        <v>41551</v>
      </c>
      <c r="B2867" s="620">
        <v>5.8128000000000002</v>
      </c>
    </row>
    <row r="2868" spans="1:2">
      <c r="A2868" s="619">
        <v>41554</v>
      </c>
      <c r="B2868" s="620">
        <v>5.8188000000000004</v>
      </c>
    </row>
    <row r="2869" spans="1:2">
      <c r="A2869" s="619">
        <v>41555</v>
      </c>
      <c r="B2869" s="620">
        <v>5.8220000000000001</v>
      </c>
    </row>
    <row r="2870" spans="1:2">
      <c r="A2870" s="619">
        <v>41556</v>
      </c>
      <c r="B2870" s="620">
        <v>5.8228</v>
      </c>
    </row>
    <row r="2871" spans="1:2">
      <c r="A2871" s="619">
        <v>41557</v>
      </c>
      <c r="B2871" s="620">
        <v>5.8277999999999999</v>
      </c>
    </row>
    <row r="2872" spans="1:2">
      <c r="A2872" s="619">
        <v>41558</v>
      </c>
      <c r="B2872" s="620">
        <v>5.8324999999999996</v>
      </c>
    </row>
    <row r="2873" spans="1:2">
      <c r="A2873" s="619">
        <v>41562</v>
      </c>
      <c r="B2873" s="620">
        <v>5.8388</v>
      </c>
    </row>
    <row r="2874" spans="1:2">
      <c r="A2874" s="619">
        <v>41563</v>
      </c>
      <c r="B2874" s="620">
        <v>5.8410000000000002</v>
      </c>
    </row>
    <row r="2875" spans="1:2">
      <c r="A2875" s="619">
        <v>41564</v>
      </c>
      <c r="B2875" s="620">
        <v>5.8487999999999998</v>
      </c>
    </row>
    <row r="2876" spans="1:2">
      <c r="A2876" s="619">
        <v>41565</v>
      </c>
      <c r="B2876" s="620">
        <v>5.8528000000000002</v>
      </c>
    </row>
    <row r="2877" spans="1:2">
      <c r="A2877" s="619">
        <v>41568</v>
      </c>
      <c r="B2877" s="620">
        <v>5.8609999999999998</v>
      </c>
    </row>
    <row r="2878" spans="1:2">
      <c r="A2878" s="619">
        <v>41569</v>
      </c>
      <c r="B2878" s="620">
        <v>5.8616999999999999</v>
      </c>
    </row>
    <row r="2879" spans="1:2">
      <c r="A2879" s="619">
        <v>41570</v>
      </c>
      <c r="B2879" s="620">
        <v>5.8628</v>
      </c>
    </row>
    <row r="2880" spans="1:2">
      <c r="A2880" s="619">
        <v>41571</v>
      </c>
      <c r="B2880" s="620">
        <v>5.8681999999999999</v>
      </c>
    </row>
    <row r="2881" spans="1:4">
      <c r="A2881" s="619">
        <v>41572</v>
      </c>
      <c r="B2881" s="620">
        <v>5.8780000000000001</v>
      </c>
    </row>
    <row r="2882" spans="1:4">
      <c r="A2882" s="619">
        <v>41575</v>
      </c>
      <c r="B2882" s="620">
        <v>5.8897000000000004</v>
      </c>
    </row>
    <row r="2883" spans="1:4">
      <c r="A2883" s="619">
        <v>41576</v>
      </c>
      <c r="B2883" s="620">
        <v>5.8926999999999996</v>
      </c>
    </row>
    <row r="2884" spans="1:4">
      <c r="A2884" s="619">
        <v>41577</v>
      </c>
      <c r="B2884" s="620">
        <v>5.9032</v>
      </c>
      <c r="D2884" s="613">
        <v>41548</v>
      </c>
    </row>
    <row r="2885" spans="1:4">
      <c r="A2885" s="619">
        <v>41578</v>
      </c>
      <c r="B2885" s="620">
        <v>5.9108000000000001</v>
      </c>
      <c r="D2885" s="604">
        <v>5.8482000000000003</v>
      </c>
    </row>
    <row r="2886" spans="1:4">
      <c r="A2886" s="619">
        <v>41579</v>
      </c>
      <c r="B2886" s="620">
        <v>5.9215</v>
      </c>
    </row>
    <row r="2887" spans="1:4">
      <c r="A2887" s="619">
        <v>41582</v>
      </c>
      <c r="B2887" s="620">
        <v>5.9402999999999997</v>
      </c>
    </row>
    <row r="2888" spans="1:4">
      <c r="A2888" s="619">
        <v>41583</v>
      </c>
      <c r="B2888" s="620">
        <v>5.9530000000000003</v>
      </c>
    </row>
    <row r="2889" spans="1:4">
      <c r="A2889" s="619">
        <v>41585</v>
      </c>
      <c r="B2889" s="620">
        <v>5.9432</v>
      </c>
    </row>
    <row r="2890" spans="1:4">
      <c r="A2890" s="619">
        <v>41586</v>
      </c>
      <c r="B2890" s="620">
        <v>5.9595000000000002</v>
      </c>
    </row>
    <row r="2891" spans="1:4">
      <c r="A2891" s="619">
        <v>41589</v>
      </c>
      <c r="B2891" s="620">
        <v>5.9713000000000003</v>
      </c>
    </row>
    <row r="2892" spans="1:4">
      <c r="A2892" s="619">
        <v>41590</v>
      </c>
      <c r="B2892" s="620">
        <v>5.9741999999999997</v>
      </c>
    </row>
    <row r="2893" spans="1:4">
      <c r="A2893" s="619">
        <v>41591</v>
      </c>
      <c r="B2893" s="620">
        <v>5.9764999999999997</v>
      </c>
    </row>
    <row r="2894" spans="1:4">
      <c r="A2894" s="619">
        <v>41592</v>
      </c>
      <c r="B2894" s="620">
        <v>5.9858000000000002</v>
      </c>
    </row>
    <row r="2895" spans="1:4">
      <c r="A2895" s="619">
        <v>41593</v>
      </c>
      <c r="B2895" s="620">
        <v>5.9931999999999999</v>
      </c>
    </row>
    <row r="2896" spans="1:4">
      <c r="A2896" s="619">
        <v>41596</v>
      </c>
      <c r="B2896" s="620">
        <v>6.0019999999999998</v>
      </c>
    </row>
    <row r="2897" spans="1:4">
      <c r="A2897" s="619">
        <v>41597</v>
      </c>
      <c r="B2897" s="620">
        <v>6.0247999999999999</v>
      </c>
    </row>
    <row r="2898" spans="1:4">
      <c r="A2898" s="619">
        <v>41598</v>
      </c>
      <c r="B2898" s="620">
        <v>6.0442</v>
      </c>
    </row>
    <row r="2899" spans="1:4">
      <c r="A2899" s="619">
        <v>41599</v>
      </c>
      <c r="B2899" s="620">
        <v>6.0576999999999996</v>
      </c>
    </row>
    <row r="2900" spans="1:4">
      <c r="A2900" s="619">
        <v>41600</v>
      </c>
      <c r="B2900" s="620">
        <v>6.0765000000000002</v>
      </c>
    </row>
    <row r="2901" spans="1:4">
      <c r="A2901" s="619">
        <v>41604</v>
      </c>
      <c r="B2901" s="620">
        <v>6.0933000000000002</v>
      </c>
    </row>
    <row r="2902" spans="1:4">
      <c r="A2902" s="619">
        <v>41605</v>
      </c>
      <c r="B2902" s="620">
        <v>6.1064999999999996</v>
      </c>
    </row>
    <row r="2903" spans="1:4">
      <c r="A2903" s="619">
        <v>41606</v>
      </c>
      <c r="B2903" s="620">
        <v>6.1242999999999999</v>
      </c>
      <c r="D2903" s="613">
        <v>41579</v>
      </c>
    </row>
    <row r="2904" spans="1:4">
      <c r="A2904" s="619">
        <v>41607</v>
      </c>
      <c r="B2904" s="620">
        <v>6.1360000000000001</v>
      </c>
      <c r="D2904" s="604">
        <v>6.0149368421052625</v>
      </c>
    </row>
    <row r="2905" spans="1:4">
      <c r="A2905" s="619">
        <v>41610</v>
      </c>
      <c r="B2905" s="620">
        <v>6.1547000000000001</v>
      </c>
    </row>
    <row r="2906" spans="1:4">
      <c r="A2906" s="619">
        <v>41611</v>
      </c>
      <c r="B2906" s="620">
        <v>6.1712999999999996</v>
      </c>
    </row>
    <row r="2907" spans="1:4">
      <c r="A2907" s="619">
        <v>41612</v>
      </c>
      <c r="B2907" s="620">
        <v>6.1973000000000003</v>
      </c>
    </row>
    <row r="2908" spans="1:4">
      <c r="A2908" s="619">
        <v>41613</v>
      </c>
      <c r="B2908" s="620">
        <v>6.2202999999999999</v>
      </c>
    </row>
    <row r="2909" spans="1:4">
      <c r="A2909" s="619">
        <v>41614</v>
      </c>
      <c r="B2909" s="620">
        <v>6.2407000000000004</v>
      </c>
    </row>
    <row r="2910" spans="1:4">
      <c r="A2910" s="619">
        <v>41617</v>
      </c>
      <c r="B2910" s="620">
        <v>6.2458</v>
      </c>
    </row>
    <row r="2911" spans="1:4">
      <c r="A2911" s="619">
        <v>41618</v>
      </c>
      <c r="B2911" s="620">
        <v>6.2622999999999998</v>
      </c>
    </row>
    <row r="2912" spans="1:4">
      <c r="A2912" s="619">
        <v>41619</v>
      </c>
      <c r="B2912" s="620">
        <v>6.2737999999999996</v>
      </c>
    </row>
    <row r="2913" spans="1:4">
      <c r="A2913" s="619">
        <v>41620</v>
      </c>
      <c r="B2913" s="620">
        <v>6.2808000000000002</v>
      </c>
    </row>
    <row r="2914" spans="1:4">
      <c r="A2914" s="619">
        <v>41621</v>
      </c>
      <c r="B2914" s="620">
        <v>6.2907999999999999</v>
      </c>
    </row>
    <row r="2915" spans="1:4">
      <c r="A2915" s="619">
        <v>41624</v>
      </c>
      <c r="B2915" s="620">
        <v>6.3049999999999997</v>
      </c>
    </row>
    <row r="2916" spans="1:4">
      <c r="A2916" s="619">
        <v>41625</v>
      </c>
      <c r="B2916" s="620">
        <v>6.3281999999999998</v>
      </c>
    </row>
    <row r="2917" spans="1:4">
      <c r="A2917" s="619">
        <v>41626</v>
      </c>
      <c r="B2917" s="620">
        <v>6.3559999999999999</v>
      </c>
    </row>
    <row r="2918" spans="1:4">
      <c r="A2918" s="619">
        <v>41627</v>
      </c>
      <c r="B2918" s="620">
        <v>6.3977000000000004</v>
      </c>
    </row>
    <row r="2919" spans="1:4">
      <c r="A2919" s="619">
        <v>41628</v>
      </c>
      <c r="B2919" s="620">
        <v>6.4204999999999997</v>
      </c>
    </row>
    <row r="2920" spans="1:4">
      <c r="A2920" s="619">
        <v>41631</v>
      </c>
      <c r="B2920" s="620">
        <v>6.4408000000000003</v>
      </c>
    </row>
    <row r="2921" spans="1:4">
      <c r="A2921" s="619">
        <v>41634</v>
      </c>
      <c r="B2921" s="620">
        <v>6.4711999999999996</v>
      </c>
    </row>
    <row r="2922" spans="1:4">
      <c r="A2922" s="619">
        <v>41635</v>
      </c>
      <c r="B2922" s="620">
        <v>6.4892000000000003</v>
      </c>
      <c r="D2922" s="613">
        <v>41609</v>
      </c>
    </row>
    <row r="2923" spans="1:4">
      <c r="A2923" s="619">
        <v>41638</v>
      </c>
      <c r="B2923" s="620">
        <v>6.5179999999999998</v>
      </c>
      <c r="D2923" s="604">
        <v>6.3191789473684201</v>
      </c>
    </row>
    <row r="2924" spans="1:4">
      <c r="A2924" s="619">
        <v>41641</v>
      </c>
      <c r="B2924" s="620">
        <v>6.5430000000000001</v>
      </c>
    </row>
    <row r="2925" spans="1:4">
      <c r="A2925" s="619">
        <v>41642</v>
      </c>
      <c r="B2925" s="620">
        <v>6.5579999999999998</v>
      </c>
    </row>
    <row r="2926" spans="1:4">
      <c r="A2926" s="619">
        <v>41645</v>
      </c>
      <c r="B2926" s="620">
        <v>6.5857000000000001</v>
      </c>
    </row>
    <row r="2927" spans="1:4">
      <c r="A2927" s="619">
        <v>41646</v>
      </c>
      <c r="B2927" s="620">
        <v>6.5987999999999998</v>
      </c>
    </row>
    <row r="2928" spans="1:4">
      <c r="A2928" s="619">
        <v>41647</v>
      </c>
      <c r="B2928" s="620">
        <v>6.6041999999999996</v>
      </c>
    </row>
    <row r="2929" spans="1:4">
      <c r="A2929" s="619">
        <v>41648</v>
      </c>
      <c r="B2929" s="620">
        <v>6.6283000000000003</v>
      </c>
    </row>
    <row r="2930" spans="1:4">
      <c r="A2930" s="619">
        <v>41649</v>
      </c>
      <c r="B2930" s="620">
        <v>6.6497999999999999</v>
      </c>
    </row>
    <row r="2931" spans="1:4">
      <c r="A2931" s="619">
        <v>41652</v>
      </c>
      <c r="B2931" s="620">
        <v>6.6905000000000001</v>
      </c>
    </row>
    <row r="2932" spans="1:4">
      <c r="A2932" s="619">
        <v>41653</v>
      </c>
      <c r="B2932" s="620">
        <v>6.7080000000000002</v>
      </c>
    </row>
    <row r="2933" spans="1:4">
      <c r="A2933" s="619">
        <v>41654</v>
      </c>
      <c r="B2933" s="620">
        <v>6.7408000000000001</v>
      </c>
    </row>
    <row r="2934" spans="1:4">
      <c r="A2934" s="619">
        <v>41655</v>
      </c>
      <c r="B2934" s="620">
        <v>6.7732999999999999</v>
      </c>
    </row>
    <row r="2935" spans="1:4">
      <c r="A2935" s="619">
        <v>41656</v>
      </c>
      <c r="B2935" s="620">
        <v>6.8055000000000003</v>
      </c>
    </row>
    <row r="2936" spans="1:4">
      <c r="A2936" s="619">
        <v>41659</v>
      </c>
      <c r="B2936" s="620">
        <v>6.8295000000000003</v>
      </c>
    </row>
    <row r="2937" spans="1:4">
      <c r="A2937" s="619">
        <v>41660</v>
      </c>
      <c r="B2937" s="620">
        <v>6.8762999999999996</v>
      </c>
    </row>
    <row r="2938" spans="1:4">
      <c r="A2938" s="619">
        <v>41661</v>
      </c>
      <c r="B2938" s="620">
        <v>6.9119999999999999</v>
      </c>
    </row>
    <row r="2939" spans="1:4">
      <c r="A2939" s="619">
        <v>41662</v>
      </c>
      <c r="B2939" s="620">
        <v>7.5271999999999997</v>
      </c>
    </row>
    <row r="2940" spans="1:4">
      <c r="A2940" s="619">
        <v>41663</v>
      </c>
      <c r="B2940" s="620">
        <v>8.0183</v>
      </c>
    </row>
    <row r="2941" spans="1:4">
      <c r="A2941" s="619">
        <v>41666</v>
      </c>
      <c r="B2941" s="620">
        <v>8.0058000000000007</v>
      </c>
    </row>
    <row r="2942" spans="1:4">
      <c r="A2942" s="619">
        <v>41667</v>
      </c>
      <c r="B2942" s="620">
        <v>8.0173000000000005</v>
      </c>
    </row>
    <row r="2943" spans="1:4">
      <c r="A2943" s="619">
        <v>41668</v>
      </c>
      <c r="B2943" s="620">
        <v>8.0150000000000006</v>
      </c>
    </row>
    <row r="2944" spans="1:4">
      <c r="A2944" s="619">
        <v>41669</v>
      </c>
      <c r="B2944" s="620">
        <v>8.0225000000000009</v>
      </c>
      <c r="D2944" s="613">
        <v>41640</v>
      </c>
    </row>
    <row r="2945" spans="1:4">
      <c r="A2945" s="619">
        <v>41670</v>
      </c>
      <c r="B2945" s="620">
        <v>8.0182000000000002</v>
      </c>
      <c r="D2945" s="604">
        <v>7.0967272727272723</v>
      </c>
    </row>
    <row r="2946" spans="1:4">
      <c r="A2946" s="619">
        <v>41673</v>
      </c>
      <c r="B2946" s="620">
        <v>8.0177999999999994</v>
      </c>
    </row>
    <row r="2947" spans="1:4">
      <c r="A2947" s="619">
        <v>41674</v>
      </c>
      <c r="B2947" s="620">
        <v>8.0117999999999991</v>
      </c>
    </row>
    <row r="2948" spans="1:4">
      <c r="A2948" s="619">
        <v>41675</v>
      </c>
      <c r="B2948" s="620">
        <v>7.9667000000000003</v>
      </c>
    </row>
    <row r="2949" spans="1:4">
      <c r="A2949" s="619">
        <v>41676</v>
      </c>
      <c r="B2949" s="620">
        <v>7.9050000000000002</v>
      </c>
    </row>
    <row r="2950" spans="1:4">
      <c r="A2950" s="619">
        <v>41677</v>
      </c>
      <c r="B2950" s="620">
        <v>7.8647999999999998</v>
      </c>
    </row>
    <row r="2951" spans="1:4">
      <c r="A2951" s="619">
        <v>41680</v>
      </c>
      <c r="B2951" s="620">
        <v>7.8383000000000003</v>
      </c>
    </row>
    <row r="2952" spans="1:4">
      <c r="A2952" s="619">
        <v>41681</v>
      </c>
      <c r="B2952" s="620">
        <v>7.8173000000000004</v>
      </c>
    </row>
    <row r="2953" spans="1:4">
      <c r="A2953" s="619">
        <v>41682</v>
      </c>
      <c r="B2953" s="620">
        <v>7.8164999999999996</v>
      </c>
    </row>
    <row r="2954" spans="1:4">
      <c r="A2954" s="619">
        <v>41683</v>
      </c>
      <c r="B2954" s="620">
        <v>7.8029999999999999</v>
      </c>
    </row>
    <row r="2955" spans="1:4">
      <c r="A2955" s="619">
        <v>41684</v>
      </c>
      <c r="B2955" s="620">
        <v>7.7803000000000004</v>
      </c>
    </row>
    <row r="2956" spans="1:4">
      <c r="A2956" s="619">
        <v>41687</v>
      </c>
      <c r="B2956" s="620">
        <v>7.7645</v>
      </c>
    </row>
    <row r="2957" spans="1:4">
      <c r="A2957" s="619">
        <v>41688</v>
      </c>
      <c r="B2957" s="620">
        <v>7.7634999999999996</v>
      </c>
    </row>
    <row r="2958" spans="1:4">
      <c r="A2958" s="619">
        <v>41689</v>
      </c>
      <c r="B2958" s="620">
        <v>7.7744999999999997</v>
      </c>
    </row>
    <row r="2959" spans="1:4">
      <c r="A2959" s="619">
        <v>41690</v>
      </c>
      <c r="B2959" s="620">
        <v>7.8022999999999998</v>
      </c>
    </row>
    <row r="2960" spans="1:4">
      <c r="A2960" s="619">
        <v>41691</v>
      </c>
      <c r="B2960" s="620">
        <v>7.8407999999999998</v>
      </c>
    </row>
    <row r="2961" spans="1:4">
      <c r="A2961" s="619">
        <v>41694</v>
      </c>
      <c r="B2961" s="620">
        <v>7.8609999999999998</v>
      </c>
    </row>
    <row r="2962" spans="1:4">
      <c r="A2962" s="619">
        <v>41695</v>
      </c>
      <c r="B2962" s="620">
        <v>7.8639999999999999</v>
      </c>
    </row>
    <row r="2963" spans="1:4">
      <c r="A2963" s="619">
        <v>41696</v>
      </c>
      <c r="B2963" s="620">
        <v>7.8730000000000002</v>
      </c>
    </row>
    <row r="2964" spans="1:4">
      <c r="A2964" s="619">
        <v>41697</v>
      </c>
      <c r="B2964" s="620">
        <v>7.8872999999999998</v>
      </c>
      <c r="D2964" s="613">
        <v>41671</v>
      </c>
    </row>
    <row r="2965" spans="1:4">
      <c r="A2965" s="619">
        <v>41698</v>
      </c>
      <c r="B2965" s="620">
        <v>7.8781999999999996</v>
      </c>
      <c r="D2965" s="604">
        <v>7.8564999999999996</v>
      </c>
    </row>
    <row r="2966" spans="1:4">
      <c r="A2966" s="619">
        <v>41703</v>
      </c>
      <c r="B2966" s="620">
        <v>7.8822000000000001</v>
      </c>
    </row>
    <row r="2967" spans="1:4">
      <c r="A2967" s="619">
        <v>41704</v>
      </c>
      <c r="B2967" s="620">
        <v>7.8781999999999996</v>
      </c>
    </row>
    <row r="2968" spans="1:4">
      <c r="A2968" s="619">
        <v>41705</v>
      </c>
      <c r="B2968" s="620">
        <v>7.8657000000000004</v>
      </c>
    </row>
    <row r="2969" spans="1:4">
      <c r="A2969" s="619">
        <v>41708</v>
      </c>
      <c r="B2969" s="620">
        <v>7.8665000000000003</v>
      </c>
    </row>
    <row r="2970" spans="1:4">
      <c r="A2970" s="619">
        <v>41709</v>
      </c>
      <c r="B2970" s="620">
        <v>7.8674999999999997</v>
      </c>
    </row>
    <row r="2971" spans="1:4">
      <c r="A2971" s="619">
        <v>41710</v>
      </c>
      <c r="B2971" s="620">
        <v>7.8746999999999998</v>
      </c>
    </row>
    <row r="2972" spans="1:4">
      <c r="A2972" s="619">
        <v>41711</v>
      </c>
      <c r="B2972" s="620">
        <v>7.8832000000000004</v>
      </c>
    </row>
    <row r="2973" spans="1:4">
      <c r="A2973" s="619">
        <v>41712</v>
      </c>
      <c r="B2973" s="620">
        <v>7.8952999999999998</v>
      </c>
    </row>
    <row r="2974" spans="1:4">
      <c r="A2974" s="619">
        <v>41715</v>
      </c>
      <c r="B2974" s="620">
        <v>7.9089999999999998</v>
      </c>
    </row>
    <row r="2975" spans="1:4">
      <c r="A2975" s="619">
        <v>41716</v>
      </c>
      <c r="B2975" s="620">
        <v>7.9348000000000001</v>
      </c>
    </row>
    <row r="2976" spans="1:4">
      <c r="A2976" s="619">
        <v>41717</v>
      </c>
      <c r="B2976" s="620">
        <v>7.9545000000000003</v>
      </c>
    </row>
    <row r="2977" spans="1:4">
      <c r="A2977" s="619">
        <v>41718</v>
      </c>
      <c r="B2977" s="620">
        <v>7.9592000000000001</v>
      </c>
    </row>
    <row r="2978" spans="1:4">
      <c r="A2978" s="619">
        <v>41719</v>
      </c>
      <c r="B2978" s="620">
        <v>7.9706999999999999</v>
      </c>
    </row>
    <row r="2979" spans="1:4">
      <c r="A2979" s="619">
        <v>41723</v>
      </c>
      <c r="B2979" s="620">
        <v>7.9954999999999998</v>
      </c>
    </row>
    <row r="2980" spans="1:4">
      <c r="A2980" s="619">
        <v>41724</v>
      </c>
      <c r="B2980" s="620">
        <v>8.0053000000000001</v>
      </c>
    </row>
    <row r="2981" spans="1:4">
      <c r="A2981" s="619">
        <v>41725</v>
      </c>
      <c r="B2981" s="620">
        <v>8.0065000000000008</v>
      </c>
    </row>
    <row r="2982" spans="1:4">
      <c r="A2982" s="619">
        <v>41726</v>
      </c>
      <c r="B2982" s="620">
        <v>8.0047999999999995</v>
      </c>
      <c r="D2982" s="613">
        <v>41699</v>
      </c>
    </row>
    <row r="2983" spans="1:4">
      <c r="A2983" s="619">
        <v>41729</v>
      </c>
      <c r="B2983" s="620">
        <v>8.0098000000000003</v>
      </c>
      <c r="D2983" s="604">
        <v>7.9313000000000011</v>
      </c>
    </row>
    <row r="2984" spans="1:4">
      <c r="A2984" s="619">
        <v>41730</v>
      </c>
      <c r="B2984" s="620">
        <v>8.0012000000000008</v>
      </c>
    </row>
    <row r="2985" spans="1:4">
      <c r="A2985" s="619">
        <v>41732</v>
      </c>
      <c r="B2985" s="620">
        <v>8.0028000000000006</v>
      </c>
    </row>
    <row r="2986" spans="1:4">
      <c r="A2986" s="619">
        <v>41733</v>
      </c>
      <c r="B2986" s="620">
        <v>8.0007999999999999</v>
      </c>
    </row>
    <row r="2987" spans="1:4">
      <c r="A2987" s="619">
        <v>41736</v>
      </c>
      <c r="B2987" s="620">
        <v>8.0017999999999994</v>
      </c>
    </row>
    <row r="2988" spans="1:4">
      <c r="A2988" s="619">
        <v>41737</v>
      </c>
      <c r="B2988" s="620">
        <v>8.0013000000000005</v>
      </c>
    </row>
    <row r="2989" spans="1:4">
      <c r="A2989" s="619">
        <v>41738</v>
      </c>
      <c r="B2989" s="620">
        <v>8.0007999999999999</v>
      </c>
    </row>
    <row r="2990" spans="1:4">
      <c r="A2990" s="619">
        <v>41739</v>
      </c>
      <c r="B2990" s="620">
        <v>8.0012000000000008</v>
      </c>
    </row>
    <row r="2991" spans="1:4">
      <c r="A2991" s="619">
        <v>41740</v>
      </c>
      <c r="B2991" s="620">
        <v>8.0013000000000005</v>
      </c>
    </row>
    <row r="2992" spans="1:4">
      <c r="A2992" s="619">
        <v>41743</v>
      </c>
      <c r="B2992" s="620">
        <v>8.0017999999999994</v>
      </c>
    </row>
    <row r="2993" spans="1:4">
      <c r="A2993" s="619">
        <v>41744</v>
      </c>
      <c r="B2993" s="620">
        <v>8.0020000000000007</v>
      </c>
    </row>
    <row r="2994" spans="1:4">
      <c r="A2994" s="619">
        <v>41745</v>
      </c>
      <c r="B2994" s="620">
        <v>8.0007000000000001</v>
      </c>
    </row>
    <row r="2995" spans="1:4">
      <c r="A2995" s="619">
        <v>41750</v>
      </c>
      <c r="B2995" s="620">
        <v>8.0020000000000007</v>
      </c>
    </row>
    <row r="2996" spans="1:4">
      <c r="A2996" s="619">
        <v>41751</v>
      </c>
      <c r="B2996" s="620">
        <v>8.0015000000000001</v>
      </c>
    </row>
    <row r="2997" spans="1:4">
      <c r="A2997" s="619">
        <v>41752</v>
      </c>
      <c r="B2997" s="620">
        <v>8.0007999999999999</v>
      </c>
    </row>
    <row r="2998" spans="1:4">
      <c r="A2998" s="619">
        <v>41753</v>
      </c>
      <c r="B2998" s="620">
        <v>8.0007999999999999</v>
      </c>
    </row>
    <row r="2999" spans="1:4">
      <c r="A2999" s="619">
        <v>41754</v>
      </c>
      <c r="B2999" s="620">
        <v>8.0005000000000006</v>
      </c>
    </row>
    <row r="3000" spans="1:4">
      <c r="A3000" s="619">
        <v>41757</v>
      </c>
      <c r="B3000" s="620">
        <v>8.0005000000000006</v>
      </c>
    </row>
    <row r="3001" spans="1:4">
      <c r="A3001" s="619">
        <v>41758</v>
      </c>
      <c r="B3001" s="620">
        <v>8.0005000000000006</v>
      </c>
      <c r="D3001" s="613">
        <v>41730</v>
      </c>
    </row>
    <row r="3002" spans="1:4">
      <c r="A3002" s="619">
        <v>41759</v>
      </c>
      <c r="B3002" s="620">
        <v>8.0015000000000001</v>
      </c>
      <c r="D3002" s="604">
        <v>8.0013000000000005</v>
      </c>
    </row>
    <row r="3003" spans="1:4">
      <c r="A3003" s="619">
        <v>41764</v>
      </c>
      <c r="B3003" s="620">
        <v>8.0012000000000008</v>
      </c>
    </row>
    <row r="3004" spans="1:4">
      <c r="A3004" s="619">
        <v>41765</v>
      </c>
      <c r="B3004" s="620">
        <v>8.0005000000000006</v>
      </c>
    </row>
    <row r="3005" spans="1:4">
      <c r="A3005" s="619">
        <v>41766</v>
      </c>
      <c r="B3005" s="620">
        <v>8.0005000000000006</v>
      </c>
    </row>
    <row r="3006" spans="1:4">
      <c r="A3006" s="619">
        <v>41767</v>
      </c>
      <c r="B3006" s="620">
        <v>8.0007999999999999</v>
      </c>
    </row>
    <row r="3007" spans="1:4">
      <c r="A3007" s="619">
        <v>41768</v>
      </c>
      <c r="B3007" s="620">
        <v>8.0035000000000007</v>
      </c>
    </row>
    <row r="3008" spans="1:4">
      <c r="A3008" s="619">
        <v>41771</v>
      </c>
      <c r="B3008" s="620">
        <v>8.0062999999999995</v>
      </c>
    </row>
    <row r="3009" spans="1:4">
      <c r="A3009" s="619">
        <v>41772</v>
      </c>
      <c r="B3009" s="620">
        <v>8.0197000000000003</v>
      </c>
      <c r="D3009" s="597"/>
    </row>
    <row r="3010" spans="1:4">
      <c r="A3010" s="619">
        <v>41773</v>
      </c>
      <c r="B3010" s="620">
        <v>8.0287000000000006</v>
      </c>
    </row>
    <row r="3011" spans="1:4">
      <c r="A3011" s="619">
        <v>41774</v>
      </c>
      <c r="B3011" s="620">
        <v>8.0534999999999997</v>
      </c>
    </row>
    <row r="3012" spans="1:4">
      <c r="A3012" s="619">
        <v>41775</v>
      </c>
      <c r="B3012" s="620">
        <v>8.0604999999999993</v>
      </c>
    </row>
    <row r="3013" spans="1:4">
      <c r="A3013" s="619">
        <v>41778</v>
      </c>
      <c r="B3013" s="620">
        <v>8.0632000000000001</v>
      </c>
    </row>
    <row r="3014" spans="1:4">
      <c r="A3014" s="619">
        <v>41779</v>
      </c>
      <c r="B3014" s="620">
        <v>8.0602</v>
      </c>
    </row>
    <row r="3015" spans="1:4">
      <c r="A3015" s="619">
        <v>41780</v>
      </c>
      <c r="B3015" s="620">
        <v>8.0612999999999992</v>
      </c>
    </row>
    <row r="3016" spans="1:4">
      <c r="A3016" s="619">
        <v>41781</v>
      </c>
      <c r="B3016" s="620">
        <v>8.0632000000000001</v>
      </c>
    </row>
    <row r="3017" spans="1:4">
      <c r="A3017" s="619">
        <v>41782</v>
      </c>
      <c r="B3017" s="620">
        <v>8.0653000000000006</v>
      </c>
    </row>
    <row r="3018" spans="1:4">
      <c r="A3018" s="619">
        <v>41785</v>
      </c>
      <c r="B3018" s="620">
        <v>8.0692000000000004</v>
      </c>
    </row>
    <row r="3019" spans="1:4">
      <c r="A3019" s="619">
        <v>41786</v>
      </c>
      <c r="B3019" s="620">
        <v>8.0677000000000003</v>
      </c>
    </row>
    <row r="3020" spans="1:4">
      <c r="A3020" s="619">
        <v>41787</v>
      </c>
      <c r="B3020" s="620">
        <v>8.0745000000000005</v>
      </c>
    </row>
    <row r="3021" spans="1:4">
      <c r="A3021" s="619">
        <v>41788</v>
      </c>
      <c r="B3021" s="620">
        <v>8.0757999999999992</v>
      </c>
      <c r="D3021" s="613">
        <v>41760</v>
      </c>
    </row>
    <row r="3022" spans="1:4">
      <c r="A3022" s="619">
        <v>41789</v>
      </c>
      <c r="B3022" s="620">
        <v>8.0777000000000001</v>
      </c>
      <c r="D3022" s="604">
        <v>8.0427</v>
      </c>
    </row>
    <row r="3023" spans="1:4">
      <c r="A3023" s="619">
        <v>41792</v>
      </c>
      <c r="B3023" s="620">
        <v>8.0824999999999996</v>
      </c>
    </row>
    <row r="3024" spans="1:4">
      <c r="A3024" s="619">
        <v>41793</v>
      </c>
      <c r="B3024" s="620">
        <v>8.0892999999999997</v>
      </c>
    </row>
    <row r="3025" spans="1:2">
      <c r="A3025" s="619">
        <v>41794</v>
      </c>
      <c r="B3025" s="620">
        <v>8.1031999999999993</v>
      </c>
    </row>
    <row r="3026" spans="1:2">
      <c r="A3026" s="619">
        <v>41795</v>
      </c>
      <c r="B3026" s="620">
        <v>8.1150000000000002</v>
      </c>
    </row>
    <row r="3027" spans="1:2">
      <c r="A3027" s="619">
        <v>41796</v>
      </c>
      <c r="B3027" s="620">
        <v>8.1411999999999995</v>
      </c>
    </row>
    <row r="3028" spans="1:2">
      <c r="A3028" s="619">
        <v>41799</v>
      </c>
      <c r="B3028" s="620">
        <v>8.1308000000000007</v>
      </c>
    </row>
    <row r="3029" spans="1:2">
      <c r="A3029" s="619">
        <v>41800</v>
      </c>
      <c r="B3029" s="620">
        <v>8.1321999999999992</v>
      </c>
    </row>
    <row r="3030" spans="1:2">
      <c r="A3030" s="619">
        <v>41801</v>
      </c>
      <c r="B3030" s="620">
        <v>8.1319999999999997</v>
      </c>
    </row>
    <row r="3031" spans="1:2">
      <c r="A3031" s="619">
        <v>41802</v>
      </c>
      <c r="B3031" s="620">
        <v>8.1321999999999992</v>
      </c>
    </row>
    <row r="3032" spans="1:2">
      <c r="A3032" s="619">
        <v>41803</v>
      </c>
      <c r="B3032" s="620">
        <v>8.1325000000000003</v>
      </c>
    </row>
    <row r="3033" spans="1:2">
      <c r="A3033" s="619">
        <v>41806</v>
      </c>
      <c r="B3033" s="620">
        <v>8.1362000000000005</v>
      </c>
    </row>
    <row r="3034" spans="1:2">
      <c r="A3034" s="619">
        <v>41807</v>
      </c>
      <c r="B3034" s="620">
        <v>8.1312999999999995</v>
      </c>
    </row>
    <row r="3035" spans="1:2">
      <c r="A3035" s="619">
        <v>41808</v>
      </c>
      <c r="B3035" s="620">
        <v>8.1296999999999997</v>
      </c>
    </row>
    <row r="3036" spans="1:2">
      <c r="A3036" s="619">
        <v>41809</v>
      </c>
      <c r="B3036" s="620">
        <v>8.1317000000000004</v>
      </c>
    </row>
    <row r="3037" spans="1:2">
      <c r="A3037" s="619">
        <v>41813</v>
      </c>
      <c r="B3037" s="620">
        <v>8.1323000000000008</v>
      </c>
    </row>
    <row r="3038" spans="1:2">
      <c r="A3038" s="619">
        <v>41814</v>
      </c>
      <c r="B3038" s="620">
        <v>8.1311999999999998</v>
      </c>
    </row>
    <row r="3039" spans="1:2">
      <c r="A3039" s="619">
        <v>41815</v>
      </c>
      <c r="B3039" s="620">
        <v>8.1304999999999996</v>
      </c>
    </row>
    <row r="3040" spans="1:2">
      <c r="A3040" s="619">
        <v>41816</v>
      </c>
      <c r="B3040" s="620">
        <v>8.1318000000000001</v>
      </c>
    </row>
    <row r="3041" spans="1:4">
      <c r="A3041" s="619">
        <v>41817</v>
      </c>
      <c r="B3041" s="620">
        <v>8.1319999999999997</v>
      </c>
      <c r="D3041" s="613">
        <v>41791</v>
      </c>
    </row>
    <row r="3042" spans="1:4">
      <c r="A3042" s="619">
        <v>41820</v>
      </c>
      <c r="B3042" s="620">
        <v>8.1326999999999998</v>
      </c>
      <c r="D3042" s="604">
        <v>8.1255000000000006</v>
      </c>
    </row>
    <row r="3043" spans="1:4">
      <c r="A3043" s="619">
        <v>41821</v>
      </c>
      <c r="B3043" s="620">
        <v>8.1344999999999992</v>
      </c>
    </row>
    <row r="3044" spans="1:4">
      <c r="A3044" s="619">
        <v>41822</v>
      </c>
      <c r="B3044" s="620">
        <v>8.1379999999999999</v>
      </c>
    </row>
    <row r="3045" spans="1:4">
      <c r="A3045" s="619">
        <v>41823</v>
      </c>
      <c r="B3045" s="620">
        <v>8.1393000000000004</v>
      </c>
    </row>
    <row r="3046" spans="1:4">
      <c r="A3046" s="619">
        <v>41824</v>
      </c>
      <c r="B3046" s="620">
        <v>8.1437000000000008</v>
      </c>
    </row>
    <row r="3047" spans="1:4">
      <c r="A3047" s="619">
        <v>41827</v>
      </c>
      <c r="B3047" s="620">
        <v>8.1415000000000006</v>
      </c>
    </row>
    <row r="3048" spans="1:4">
      <c r="A3048" s="619">
        <v>41828</v>
      </c>
      <c r="B3048" s="620">
        <v>8.1417999999999999</v>
      </c>
    </row>
    <row r="3049" spans="1:4">
      <c r="A3049" s="619">
        <v>41830</v>
      </c>
      <c r="B3049" s="620">
        <v>8.1463000000000001</v>
      </c>
    </row>
    <row r="3050" spans="1:4">
      <c r="A3050" s="619">
        <v>41831</v>
      </c>
      <c r="B3050" s="620">
        <v>8.1501999999999999</v>
      </c>
    </row>
    <row r="3051" spans="1:4">
      <c r="A3051" s="619">
        <v>41834</v>
      </c>
      <c r="B3051" s="620">
        <v>8.1538000000000004</v>
      </c>
    </row>
    <row r="3052" spans="1:4">
      <c r="A3052" s="619">
        <v>41835</v>
      </c>
      <c r="B3052" s="620">
        <v>8.1530000000000005</v>
      </c>
    </row>
    <row r="3053" spans="1:4">
      <c r="A3053" s="619">
        <v>41836</v>
      </c>
      <c r="B3053" s="620">
        <v>8.1524999999999999</v>
      </c>
    </row>
    <row r="3054" spans="1:4">
      <c r="A3054" s="619">
        <v>41837</v>
      </c>
      <c r="B3054" s="620">
        <v>8.1555</v>
      </c>
    </row>
    <row r="3055" spans="1:4">
      <c r="A3055" s="619">
        <v>41838</v>
      </c>
      <c r="B3055" s="620">
        <v>8.1577000000000002</v>
      </c>
    </row>
    <row r="3056" spans="1:4">
      <c r="A3056" s="619">
        <v>41841</v>
      </c>
      <c r="B3056" s="620">
        <v>8.1628000000000007</v>
      </c>
    </row>
    <row r="3057" spans="1:4">
      <c r="A3057" s="619">
        <v>41842</v>
      </c>
      <c r="B3057" s="620">
        <v>8.1639999999999997</v>
      </c>
    </row>
    <row r="3058" spans="1:4">
      <c r="A3058" s="619">
        <v>41843</v>
      </c>
      <c r="B3058" s="620">
        <v>8.1684999999999999</v>
      </c>
    </row>
    <row r="3059" spans="1:4">
      <c r="A3059" s="619">
        <v>41844</v>
      </c>
      <c r="B3059" s="620">
        <v>8.173</v>
      </c>
    </row>
    <row r="3060" spans="1:4">
      <c r="A3060" s="619">
        <v>41845</v>
      </c>
      <c r="B3060" s="620">
        <v>8.1768000000000001</v>
      </c>
    </row>
    <row r="3061" spans="1:4">
      <c r="A3061" s="619">
        <v>41848</v>
      </c>
      <c r="B3061" s="620">
        <v>8.1835000000000004</v>
      </c>
    </row>
    <row r="3062" spans="1:4">
      <c r="A3062" s="619">
        <v>41849</v>
      </c>
      <c r="B3062" s="620">
        <v>8.1882999999999999</v>
      </c>
    </row>
    <row r="3063" spans="1:4">
      <c r="A3063" s="619">
        <v>41850</v>
      </c>
      <c r="B3063" s="620">
        <v>8.1980000000000004</v>
      </c>
      <c r="D3063" s="613">
        <v>41821</v>
      </c>
    </row>
    <row r="3064" spans="1:4">
      <c r="A3064" s="619">
        <v>41851</v>
      </c>
      <c r="B3064" s="620">
        <v>8.2102000000000004</v>
      </c>
      <c r="D3064" s="604">
        <v>8.1606000000000005</v>
      </c>
    </row>
    <row r="3065" spans="1:4">
      <c r="A3065" s="619">
        <v>41852</v>
      </c>
      <c r="B3065" s="620">
        <v>8.2242999999999995</v>
      </c>
    </row>
    <row r="3066" spans="1:4">
      <c r="A3066" s="619">
        <v>41855</v>
      </c>
      <c r="B3066" s="620">
        <v>8.2492000000000001</v>
      </c>
    </row>
    <row r="3067" spans="1:4">
      <c r="A3067" s="619">
        <v>41856</v>
      </c>
      <c r="B3067" s="620">
        <v>8.2662999999999993</v>
      </c>
    </row>
    <row r="3068" spans="1:4">
      <c r="A3068" s="619">
        <v>41857</v>
      </c>
      <c r="B3068" s="620">
        <v>8.2705000000000002</v>
      </c>
    </row>
    <row r="3069" spans="1:4">
      <c r="A3069" s="619">
        <v>41858</v>
      </c>
      <c r="B3069" s="620">
        <v>8.2727000000000004</v>
      </c>
    </row>
    <row r="3070" spans="1:4">
      <c r="A3070" s="619">
        <v>41859</v>
      </c>
      <c r="B3070" s="620">
        <v>8.2713000000000001</v>
      </c>
    </row>
    <row r="3071" spans="1:4">
      <c r="A3071" s="619">
        <v>41862</v>
      </c>
      <c r="B3071" s="620">
        <v>8.2737999999999996</v>
      </c>
    </row>
    <row r="3072" spans="1:4">
      <c r="A3072" s="619">
        <v>41863</v>
      </c>
      <c r="B3072" s="620">
        <v>8.2718000000000007</v>
      </c>
    </row>
    <row r="3073" spans="1:4">
      <c r="A3073" s="619">
        <v>41864</v>
      </c>
      <c r="B3073" s="620">
        <v>8.2731999999999992</v>
      </c>
    </row>
    <row r="3074" spans="1:4">
      <c r="A3074" s="619">
        <v>41865</v>
      </c>
      <c r="B3074" s="620">
        <v>8.2761999999999993</v>
      </c>
    </row>
    <row r="3075" spans="1:4">
      <c r="A3075" s="619">
        <v>41866</v>
      </c>
      <c r="B3075" s="620">
        <v>8.2803000000000004</v>
      </c>
    </row>
    <row r="3076" spans="1:4">
      <c r="A3076" s="619">
        <v>41870</v>
      </c>
      <c r="B3076" s="620">
        <v>8.2844999999999995</v>
      </c>
    </row>
    <row r="3077" spans="1:4">
      <c r="A3077" s="619">
        <v>41871</v>
      </c>
      <c r="B3077" s="620">
        <v>8.2951999999999995</v>
      </c>
    </row>
    <row r="3078" spans="1:4">
      <c r="A3078" s="619">
        <v>41872</v>
      </c>
      <c r="B3078" s="620">
        <v>8.3529999999999998</v>
      </c>
    </row>
    <row r="3079" spans="1:4">
      <c r="A3079" s="619">
        <v>41873</v>
      </c>
      <c r="B3079" s="620">
        <v>8.4245000000000001</v>
      </c>
    </row>
    <row r="3080" spans="1:4">
      <c r="A3080" s="619">
        <v>41876</v>
      </c>
      <c r="B3080" s="620">
        <v>8.4124999999999996</v>
      </c>
    </row>
    <row r="3081" spans="1:4">
      <c r="A3081" s="619">
        <v>41877</v>
      </c>
      <c r="B3081" s="620">
        <v>8.4109999999999996</v>
      </c>
    </row>
    <row r="3082" spans="1:4">
      <c r="A3082" s="619">
        <v>41878</v>
      </c>
      <c r="B3082" s="620">
        <v>8.4077000000000002</v>
      </c>
    </row>
    <row r="3083" spans="1:4">
      <c r="A3083" s="619">
        <v>41879</v>
      </c>
      <c r="B3083" s="620">
        <v>8.4052000000000007</v>
      </c>
      <c r="D3083" s="613">
        <v>41852</v>
      </c>
    </row>
    <row r="3084" spans="1:4">
      <c r="A3084" s="619">
        <v>41880</v>
      </c>
      <c r="B3084" s="620">
        <v>8.4039999999999999</v>
      </c>
      <c r="D3084" s="604">
        <v>8.3163999999999998</v>
      </c>
    </row>
    <row r="3085" spans="1:4">
      <c r="A3085" s="619">
        <v>41883</v>
      </c>
      <c r="B3085" s="620">
        <v>8.4086999999999996</v>
      </c>
    </row>
    <row r="3086" spans="1:4">
      <c r="A3086" s="619">
        <v>41884</v>
      </c>
      <c r="B3086" s="620">
        <v>8.4102999999999994</v>
      </c>
    </row>
    <row r="3087" spans="1:4">
      <c r="A3087" s="619">
        <v>41885</v>
      </c>
      <c r="B3087" s="620">
        <v>8.4135000000000009</v>
      </c>
    </row>
    <row r="3088" spans="1:4">
      <c r="A3088" s="619">
        <v>41886</v>
      </c>
      <c r="B3088" s="620">
        <v>8.4017999999999997</v>
      </c>
    </row>
    <row r="3089" spans="1:2">
      <c r="A3089" s="619">
        <v>41887</v>
      </c>
      <c r="B3089" s="620">
        <v>8.4120000000000008</v>
      </c>
    </row>
    <row r="3090" spans="1:2">
      <c r="A3090" s="619">
        <v>41890</v>
      </c>
      <c r="B3090" s="620">
        <v>8.42</v>
      </c>
    </row>
    <row r="3091" spans="1:2">
      <c r="A3091" s="619">
        <v>41891</v>
      </c>
      <c r="B3091" s="620">
        <v>8.4086999999999996</v>
      </c>
    </row>
    <row r="3092" spans="1:2">
      <c r="A3092" s="619">
        <v>41892</v>
      </c>
      <c r="B3092" s="620">
        <v>8.4045000000000005</v>
      </c>
    </row>
    <row r="3093" spans="1:2">
      <c r="A3093" s="619">
        <v>41893</v>
      </c>
      <c r="B3093" s="620">
        <v>8.4023000000000003</v>
      </c>
    </row>
    <row r="3094" spans="1:2">
      <c r="A3094" s="619">
        <v>41894</v>
      </c>
      <c r="B3094" s="620">
        <v>8.4022000000000006</v>
      </c>
    </row>
    <row r="3095" spans="1:2">
      <c r="A3095" s="619">
        <v>41897</v>
      </c>
      <c r="B3095" s="620">
        <v>8.4034999999999993</v>
      </c>
    </row>
    <row r="3096" spans="1:2">
      <c r="A3096" s="619">
        <v>41898</v>
      </c>
      <c r="B3096" s="620">
        <v>8.4032</v>
      </c>
    </row>
    <row r="3097" spans="1:2">
      <c r="A3097" s="619">
        <v>41899</v>
      </c>
      <c r="B3097" s="620">
        <v>8.4082000000000008</v>
      </c>
    </row>
    <row r="3098" spans="1:2">
      <c r="A3098" s="619">
        <v>41900</v>
      </c>
      <c r="B3098" s="620">
        <v>8.4237000000000002</v>
      </c>
    </row>
    <row r="3099" spans="1:2">
      <c r="A3099" s="619">
        <v>41901</v>
      </c>
      <c r="B3099" s="620">
        <v>8.4235000000000007</v>
      </c>
    </row>
    <row r="3100" spans="1:2">
      <c r="A3100" s="619">
        <v>41904</v>
      </c>
      <c r="B3100" s="620">
        <v>8.4288000000000007</v>
      </c>
    </row>
    <row r="3101" spans="1:2">
      <c r="A3101" s="619">
        <v>41905</v>
      </c>
      <c r="B3101" s="620">
        <v>8.4320000000000004</v>
      </c>
    </row>
    <row r="3102" spans="1:2">
      <c r="A3102" s="619">
        <v>41906</v>
      </c>
      <c r="B3102" s="620">
        <v>8.4271999999999991</v>
      </c>
    </row>
    <row r="3103" spans="1:2">
      <c r="A3103" s="619">
        <v>41907</v>
      </c>
      <c r="B3103" s="620">
        <v>8.4254999999999995</v>
      </c>
    </row>
    <row r="3104" spans="1:2">
      <c r="A3104" s="619">
        <v>41908</v>
      </c>
      <c r="B3104" s="620">
        <v>8.4402000000000008</v>
      </c>
    </row>
    <row r="3105" spans="1:4">
      <c r="A3105" s="619">
        <v>41911</v>
      </c>
      <c r="B3105" s="620">
        <v>8.4600000000000009</v>
      </c>
      <c r="D3105" s="613">
        <v>41883</v>
      </c>
    </row>
    <row r="3106" spans="1:4">
      <c r="A3106" s="619">
        <v>41912</v>
      </c>
      <c r="B3106" s="620">
        <v>8.4642999999999997</v>
      </c>
      <c r="D3106" s="604">
        <v>8.4192772727272729</v>
      </c>
    </row>
    <row r="3107" spans="1:4">
      <c r="A3107" s="619">
        <v>41913</v>
      </c>
      <c r="B3107" s="620">
        <v>8.4474999999999998</v>
      </c>
    </row>
    <row r="3108" spans="1:4">
      <c r="A3108" s="619">
        <v>41914</v>
      </c>
      <c r="B3108" s="620">
        <v>8.4478000000000009</v>
      </c>
    </row>
    <row r="3109" spans="1:4">
      <c r="A3109" s="619">
        <v>41915</v>
      </c>
      <c r="B3109" s="620">
        <v>8.4589999999999996</v>
      </c>
    </row>
    <row r="3110" spans="1:4">
      <c r="A3110" s="619">
        <v>41918</v>
      </c>
      <c r="B3110" s="620">
        <v>8.4644999999999992</v>
      </c>
    </row>
    <row r="3111" spans="1:4">
      <c r="A3111" s="619">
        <v>41919</v>
      </c>
      <c r="B3111" s="620">
        <v>8.4670000000000005</v>
      </c>
    </row>
    <row r="3112" spans="1:4">
      <c r="A3112" s="619">
        <v>41920</v>
      </c>
      <c r="B3112" s="620">
        <v>8.4642999999999997</v>
      </c>
    </row>
    <row r="3113" spans="1:4">
      <c r="A3113" s="619">
        <v>41921</v>
      </c>
      <c r="B3113" s="620">
        <v>8.4740000000000002</v>
      </c>
    </row>
    <row r="3114" spans="1:4">
      <c r="A3114" s="619">
        <v>41922</v>
      </c>
      <c r="B3114" s="620">
        <v>8.4781999999999993</v>
      </c>
    </row>
    <row r="3115" spans="1:4">
      <c r="A3115" s="619">
        <v>41926</v>
      </c>
      <c r="B3115" s="620">
        <v>8.4751999999999992</v>
      </c>
    </row>
    <row r="3116" spans="1:4">
      <c r="A3116" s="619">
        <v>41927</v>
      </c>
      <c r="B3116" s="620">
        <v>8.4779999999999998</v>
      </c>
    </row>
    <row r="3117" spans="1:4">
      <c r="A3117" s="619">
        <v>41928</v>
      </c>
      <c r="B3117" s="620">
        <v>8.4785000000000004</v>
      </c>
    </row>
    <row r="3118" spans="1:4">
      <c r="A3118" s="619">
        <v>41929</v>
      </c>
      <c r="B3118" s="620">
        <v>8.4764999999999997</v>
      </c>
    </row>
    <row r="3119" spans="1:4">
      <c r="A3119" s="619">
        <v>41932</v>
      </c>
      <c r="B3119" s="620">
        <v>8.4837000000000007</v>
      </c>
    </row>
    <row r="3120" spans="1:4">
      <c r="A3120" s="619">
        <v>41933</v>
      </c>
      <c r="B3120" s="620">
        <v>8.4953000000000003</v>
      </c>
    </row>
    <row r="3121" spans="1:4">
      <c r="A3121" s="619">
        <v>41934</v>
      </c>
      <c r="B3121" s="620">
        <v>8.4915000000000003</v>
      </c>
    </row>
    <row r="3122" spans="1:4">
      <c r="A3122" s="619">
        <v>41935</v>
      </c>
      <c r="B3122" s="620">
        <v>8.4894999999999996</v>
      </c>
    </row>
    <row r="3123" spans="1:4">
      <c r="A3123" s="619">
        <v>41936</v>
      </c>
      <c r="B3123" s="620">
        <v>8.4916999999999998</v>
      </c>
    </row>
    <row r="3124" spans="1:4">
      <c r="A3124" s="619">
        <v>41939</v>
      </c>
      <c r="B3124" s="620">
        <v>8.4960000000000004</v>
      </c>
    </row>
    <row r="3125" spans="1:4">
      <c r="A3125" s="619">
        <v>41940</v>
      </c>
      <c r="B3125" s="620">
        <v>8.5009999999999994</v>
      </c>
    </row>
    <row r="3126" spans="1:4">
      <c r="A3126" s="619">
        <v>41941</v>
      </c>
      <c r="B3126" s="620">
        <v>8.5027000000000008</v>
      </c>
    </row>
    <row r="3127" spans="1:4">
      <c r="A3127" s="619">
        <v>41942</v>
      </c>
      <c r="B3127" s="620">
        <v>8.5027000000000008</v>
      </c>
      <c r="D3127" s="613">
        <v>41913</v>
      </c>
    </row>
    <row r="3128" spans="1:4">
      <c r="A3128" s="619">
        <v>41943</v>
      </c>
      <c r="B3128" s="620">
        <v>8.5023</v>
      </c>
      <c r="D3128" s="604">
        <v>8.4803136363636362</v>
      </c>
    </row>
    <row r="3129" spans="1:4">
      <c r="A3129" s="619">
        <v>41946</v>
      </c>
      <c r="B3129" s="620">
        <v>8.5069999999999997</v>
      </c>
    </row>
    <row r="3130" spans="1:4">
      <c r="A3130" s="619">
        <v>41947</v>
      </c>
      <c r="B3130" s="620">
        <v>8.5065000000000008</v>
      </c>
    </row>
    <row r="3131" spans="1:4">
      <c r="A3131" s="619">
        <v>41948</v>
      </c>
      <c r="B3131" s="620">
        <v>8.5086999999999993</v>
      </c>
    </row>
    <row r="3132" spans="1:4">
      <c r="A3132" s="619">
        <v>41950</v>
      </c>
      <c r="B3132" s="620">
        <v>8.5090000000000003</v>
      </c>
    </row>
    <row r="3133" spans="1:4">
      <c r="A3133" s="619">
        <v>41953</v>
      </c>
      <c r="B3133" s="620">
        <v>8.5127000000000006</v>
      </c>
    </row>
    <row r="3134" spans="1:4">
      <c r="A3134" s="619">
        <v>41954</v>
      </c>
      <c r="B3134" s="620">
        <v>8.5122</v>
      </c>
    </row>
    <row r="3135" spans="1:4">
      <c r="A3135" s="619">
        <v>41955</v>
      </c>
      <c r="B3135" s="620">
        <v>8.5114999999999998</v>
      </c>
    </row>
    <row r="3136" spans="1:4">
      <c r="A3136" s="619">
        <v>41956</v>
      </c>
      <c r="B3136" s="620">
        <v>8.5101999999999993</v>
      </c>
    </row>
    <row r="3137" spans="1:4">
      <c r="A3137" s="619">
        <v>41957</v>
      </c>
      <c r="B3137" s="620">
        <v>8.5114999999999998</v>
      </c>
    </row>
    <row r="3138" spans="1:4">
      <c r="A3138" s="619">
        <v>41960</v>
      </c>
      <c r="B3138" s="620">
        <v>8.5114999999999998</v>
      </c>
    </row>
    <row r="3139" spans="1:4">
      <c r="A3139" s="619">
        <v>41961</v>
      </c>
      <c r="B3139" s="620">
        <v>8.5129999999999999</v>
      </c>
    </row>
    <row r="3140" spans="1:4">
      <c r="A3140" s="619">
        <v>41962</v>
      </c>
      <c r="B3140" s="620">
        <v>8.5137</v>
      </c>
    </row>
    <row r="3141" spans="1:4">
      <c r="A3141" s="619">
        <v>41963</v>
      </c>
      <c r="B3141" s="620">
        <v>8.5146999999999995</v>
      </c>
    </row>
    <row r="3142" spans="1:4">
      <c r="A3142" s="619">
        <v>41964</v>
      </c>
      <c r="B3142" s="620">
        <v>8.5158000000000005</v>
      </c>
    </row>
    <row r="3143" spans="1:4">
      <c r="A3143" s="619">
        <v>41968</v>
      </c>
      <c r="B3143" s="620">
        <v>8.5197000000000003</v>
      </c>
    </row>
    <row r="3144" spans="1:4">
      <c r="A3144" s="619">
        <v>41969</v>
      </c>
      <c r="B3144" s="620">
        <v>8.5231999999999992</v>
      </c>
    </row>
    <row r="3145" spans="1:4">
      <c r="A3145" s="619">
        <v>41970</v>
      </c>
      <c r="B3145" s="620">
        <v>8.5259999999999998</v>
      </c>
      <c r="D3145" s="613">
        <v>41944</v>
      </c>
    </row>
    <row r="3146" spans="1:4">
      <c r="A3146" s="619">
        <v>41971</v>
      </c>
      <c r="B3146" s="620">
        <v>8.5254999999999992</v>
      </c>
      <c r="D3146" s="604">
        <v>8.5140222222222217</v>
      </c>
    </row>
    <row r="3147" spans="1:4">
      <c r="A3147" s="619">
        <v>41974</v>
      </c>
      <c r="B3147" s="620">
        <v>8.5263000000000009</v>
      </c>
    </row>
    <row r="3148" spans="1:4">
      <c r="A3148" s="619">
        <v>41975</v>
      </c>
      <c r="B3148" s="620">
        <v>8.5361999999999991</v>
      </c>
    </row>
    <row r="3149" spans="1:4">
      <c r="A3149" s="619">
        <v>41976</v>
      </c>
      <c r="B3149" s="620">
        <v>8.5414999999999992</v>
      </c>
    </row>
    <row r="3150" spans="1:4">
      <c r="A3150" s="619">
        <v>41977</v>
      </c>
      <c r="B3150" s="620">
        <v>8.5444999999999993</v>
      </c>
    </row>
    <row r="3151" spans="1:4">
      <c r="A3151" s="619">
        <v>41978</v>
      </c>
      <c r="B3151" s="620">
        <v>8.5521999999999991</v>
      </c>
    </row>
    <row r="3152" spans="1:4">
      <c r="A3152" s="619">
        <v>41982</v>
      </c>
      <c r="B3152" s="620">
        <v>8.5555000000000003</v>
      </c>
    </row>
    <row r="3153" spans="1:4">
      <c r="A3153" s="619">
        <v>41983</v>
      </c>
      <c r="B3153" s="620">
        <v>8.5538000000000007</v>
      </c>
    </row>
    <row r="3154" spans="1:4">
      <c r="A3154" s="619">
        <v>41984</v>
      </c>
      <c r="B3154" s="620">
        <v>8.5534999999999997</v>
      </c>
    </row>
    <row r="3155" spans="1:4">
      <c r="A3155" s="619">
        <v>41985</v>
      </c>
      <c r="B3155" s="620">
        <v>8.5526999999999997</v>
      </c>
    </row>
    <row r="3156" spans="1:4">
      <c r="A3156" s="619">
        <v>41988</v>
      </c>
      <c r="B3156" s="620">
        <v>8.5533000000000001</v>
      </c>
    </row>
    <row r="3157" spans="1:4">
      <c r="A3157" s="619">
        <v>41989</v>
      </c>
      <c r="B3157" s="620">
        <v>8.5517000000000003</v>
      </c>
    </row>
    <row r="3158" spans="1:4">
      <c r="A3158" s="619">
        <v>41990</v>
      </c>
      <c r="B3158" s="620">
        <v>8.5517000000000003</v>
      </c>
    </row>
    <row r="3159" spans="1:4">
      <c r="A3159" s="619">
        <v>41991</v>
      </c>
      <c r="B3159" s="620">
        <v>8.5518000000000001</v>
      </c>
    </row>
    <row r="3160" spans="1:4">
      <c r="A3160" s="619">
        <v>41992</v>
      </c>
      <c r="B3160" s="620">
        <v>8.5518000000000001</v>
      </c>
    </row>
    <row r="3161" spans="1:4">
      <c r="A3161" s="619">
        <v>41995</v>
      </c>
      <c r="B3161" s="620">
        <v>8.5523000000000007</v>
      </c>
    </row>
    <row r="3162" spans="1:4">
      <c r="A3162" s="619">
        <v>41996</v>
      </c>
      <c r="B3162" s="620">
        <v>8.5518000000000001</v>
      </c>
    </row>
    <row r="3163" spans="1:4">
      <c r="A3163" s="619">
        <v>41997</v>
      </c>
      <c r="B3163" s="620">
        <v>8.5540000000000003</v>
      </c>
    </row>
    <row r="3164" spans="1:4">
      <c r="A3164" s="619">
        <v>42002</v>
      </c>
      <c r="B3164" s="620">
        <v>8.5540000000000003</v>
      </c>
      <c r="D3164" s="613">
        <v>41974</v>
      </c>
    </row>
    <row r="3165" spans="1:4">
      <c r="A3165" s="619">
        <v>42003</v>
      </c>
      <c r="B3165" s="620">
        <v>8.5519999999999996</v>
      </c>
      <c r="D3165" s="604">
        <v>8.5495052631578901</v>
      </c>
    </row>
    <row r="3166" spans="1:4">
      <c r="A3166" s="619">
        <v>42006</v>
      </c>
      <c r="B3166" s="620">
        <v>8.5536999999999992</v>
      </c>
      <c r="D3166" s="597"/>
    </row>
    <row r="3167" spans="1:4">
      <c r="A3167" s="619">
        <v>42009</v>
      </c>
      <c r="B3167" s="620">
        <v>8.5572999999999997</v>
      </c>
    </row>
    <row r="3168" spans="1:4">
      <c r="A3168" s="619">
        <v>42010</v>
      </c>
      <c r="B3168" s="620">
        <v>8.5668000000000006</v>
      </c>
    </row>
    <row r="3169" spans="1:2">
      <c r="A3169" s="619">
        <v>42011</v>
      </c>
      <c r="B3169" s="620">
        <v>8.5787999999999993</v>
      </c>
    </row>
    <row r="3170" spans="1:2">
      <c r="A3170" s="619">
        <v>42012</v>
      </c>
      <c r="B3170" s="620">
        <v>8.59</v>
      </c>
    </row>
    <row r="3171" spans="1:2">
      <c r="A3171" s="619">
        <v>42013</v>
      </c>
      <c r="B3171" s="620">
        <v>8.5927000000000007</v>
      </c>
    </row>
    <row r="3172" spans="1:2">
      <c r="A3172" s="619">
        <v>42016</v>
      </c>
      <c r="B3172" s="620">
        <v>8.5932999999999993</v>
      </c>
    </row>
    <row r="3173" spans="1:2">
      <c r="A3173" s="619">
        <v>42017</v>
      </c>
      <c r="B3173" s="620">
        <v>8.5937000000000001</v>
      </c>
    </row>
    <row r="3174" spans="1:2">
      <c r="A3174" s="619">
        <v>42018</v>
      </c>
      <c r="B3174" s="620">
        <v>8.5954999999999995</v>
      </c>
    </row>
    <row r="3175" spans="1:2">
      <c r="A3175" s="619">
        <v>42019</v>
      </c>
      <c r="B3175" s="620">
        <v>8.5972000000000008</v>
      </c>
    </row>
    <row r="3176" spans="1:2">
      <c r="A3176" s="619">
        <v>42020</v>
      </c>
      <c r="B3176" s="620">
        <v>8.5990000000000002</v>
      </c>
    </row>
    <row r="3177" spans="1:2">
      <c r="A3177" s="619">
        <v>42023</v>
      </c>
      <c r="B3177" s="620">
        <v>8.6039999999999992</v>
      </c>
    </row>
    <row r="3178" spans="1:2">
      <c r="A3178" s="619">
        <v>42024</v>
      </c>
      <c r="B3178" s="620">
        <v>8.6082000000000001</v>
      </c>
    </row>
    <row r="3179" spans="1:2">
      <c r="A3179" s="619">
        <v>42025</v>
      </c>
      <c r="B3179" s="620">
        <v>8.6120000000000001</v>
      </c>
    </row>
    <row r="3180" spans="1:2">
      <c r="A3180" s="619">
        <v>42026</v>
      </c>
      <c r="B3180" s="620">
        <v>8.6204999999999998</v>
      </c>
    </row>
    <row r="3181" spans="1:2">
      <c r="A3181" s="619">
        <v>42027</v>
      </c>
      <c r="B3181" s="620">
        <v>8.6259999999999994</v>
      </c>
    </row>
    <row r="3182" spans="1:2">
      <c r="A3182" s="619">
        <v>42030</v>
      </c>
      <c r="B3182" s="620">
        <v>8.6287000000000003</v>
      </c>
    </row>
    <row r="3183" spans="1:2">
      <c r="A3183" s="619">
        <v>42031</v>
      </c>
      <c r="B3183" s="620">
        <v>8.6288</v>
      </c>
    </row>
    <row r="3184" spans="1:2">
      <c r="A3184" s="619">
        <v>42032</v>
      </c>
      <c r="B3184" s="620">
        <v>8.6312999999999995</v>
      </c>
    </row>
    <row r="3185" spans="1:4">
      <c r="A3185" s="619">
        <v>42033</v>
      </c>
      <c r="B3185" s="620">
        <v>8.6329999999999991</v>
      </c>
      <c r="D3185" s="613">
        <v>42005</v>
      </c>
    </row>
    <row r="3186" spans="1:4">
      <c r="A3186" s="619">
        <v>42034</v>
      </c>
      <c r="B3186" s="620">
        <v>8.6395</v>
      </c>
      <c r="D3186" s="604">
        <v>8.6023809523809547</v>
      </c>
    </row>
    <row r="3187" spans="1:4">
      <c r="A3187" s="619">
        <v>42037</v>
      </c>
      <c r="B3187" s="620">
        <v>8.6487999999999996</v>
      </c>
    </row>
    <row r="3188" spans="1:4">
      <c r="A3188" s="619">
        <v>42038</v>
      </c>
      <c r="B3188" s="620">
        <v>8.6602999999999994</v>
      </c>
    </row>
    <row r="3189" spans="1:4">
      <c r="A3189" s="619">
        <v>42039</v>
      </c>
      <c r="B3189" s="620">
        <v>8.6623000000000001</v>
      </c>
    </row>
    <row r="3190" spans="1:4">
      <c r="A3190" s="619">
        <v>42040</v>
      </c>
      <c r="B3190" s="620">
        <v>8.6624999999999996</v>
      </c>
    </row>
    <row r="3191" spans="1:4">
      <c r="A3191" s="619">
        <v>42041</v>
      </c>
      <c r="B3191" s="620">
        <v>8.6615000000000002</v>
      </c>
    </row>
    <row r="3192" spans="1:4">
      <c r="A3192" s="619">
        <v>42044</v>
      </c>
      <c r="B3192" s="620">
        <v>8.6646999999999998</v>
      </c>
    </row>
    <row r="3193" spans="1:4">
      <c r="A3193" s="619">
        <v>42045</v>
      </c>
      <c r="B3193" s="620">
        <v>8.6701999999999995</v>
      </c>
    </row>
    <row r="3194" spans="1:4">
      <c r="A3194" s="619">
        <v>42046</v>
      </c>
      <c r="B3194" s="620">
        <v>8.6753</v>
      </c>
    </row>
    <row r="3195" spans="1:4">
      <c r="A3195" s="619">
        <v>42047</v>
      </c>
      <c r="B3195" s="620">
        <v>8.6788000000000007</v>
      </c>
    </row>
    <row r="3196" spans="1:4">
      <c r="A3196" s="619">
        <v>42048</v>
      </c>
      <c r="B3196" s="620">
        <v>8.6824999999999992</v>
      </c>
    </row>
    <row r="3197" spans="1:4">
      <c r="A3197" s="619">
        <v>42053</v>
      </c>
      <c r="B3197" s="620">
        <v>8.6898</v>
      </c>
    </row>
    <row r="3198" spans="1:4">
      <c r="A3198" s="619">
        <v>42054</v>
      </c>
      <c r="B3198" s="620">
        <v>8.6933000000000007</v>
      </c>
    </row>
    <row r="3199" spans="1:4">
      <c r="A3199" s="619">
        <v>42055</v>
      </c>
      <c r="B3199" s="620">
        <v>8.7007999999999992</v>
      </c>
    </row>
    <row r="3200" spans="1:4">
      <c r="A3200" s="619">
        <v>42058</v>
      </c>
      <c r="B3200" s="620">
        <v>8.7072000000000003</v>
      </c>
    </row>
    <row r="3201" spans="1:4">
      <c r="A3201" s="619">
        <v>42059</v>
      </c>
      <c r="B3201" s="620">
        <v>8.7152999999999992</v>
      </c>
    </row>
    <row r="3202" spans="1:4">
      <c r="A3202" s="619">
        <v>42060</v>
      </c>
      <c r="B3202" s="620">
        <v>8.7218</v>
      </c>
    </row>
    <row r="3203" spans="1:4">
      <c r="A3203" s="619">
        <v>42061</v>
      </c>
      <c r="B3203" s="620">
        <v>8.7260000000000009</v>
      </c>
      <c r="D3203" s="613">
        <v>42036</v>
      </c>
    </row>
    <row r="3204" spans="1:4">
      <c r="A3204" s="619">
        <v>42062</v>
      </c>
      <c r="B3204" s="620">
        <v>8.7242999999999995</v>
      </c>
      <c r="D3204" s="604">
        <v>8.6858555555555554</v>
      </c>
    </row>
    <row r="3205" spans="1:4">
      <c r="A3205" s="619">
        <v>42065</v>
      </c>
      <c r="B3205" s="620">
        <v>8.7309999999999999</v>
      </c>
    </row>
    <row r="3206" spans="1:4">
      <c r="A3206" s="619">
        <v>42066</v>
      </c>
      <c r="B3206" s="620">
        <v>8.7360000000000007</v>
      </c>
    </row>
    <row r="3207" spans="1:4">
      <c r="A3207" s="619">
        <v>42067</v>
      </c>
      <c r="B3207" s="620">
        <v>8.7430000000000003</v>
      </c>
    </row>
    <row r="3208" spans="1:4">
      <c r="A3208" s="619">
        <v>42068</v>
      </c>
      <c r="B3208" s="620">
        <v>8.7472999999999992</v>
      </c>
    </row>
    <row r="3209" spans="1:4">
      <c r="A3209" s="619">
        <v>42069</v>
      </c>
      <c r="B3209" s="620">
        <v>8.7556999999999992</v>
      </c>
    </row>
    <row r="3210" spans="1:4">
      <c r="A3210" s="619">
        <v>42072</v>
      </c>
      <c r="B3210" s="620">
        <v>8.7612000000000005</v>
      </c>
    </row>
    <row r="3211" spans="1:4">
      <c r="A3211" s="619">
        <v>42073</v>
      </c>
      <c r="B3211" s="620">
        <v>8.7682000000000002</v>
      </c>
    </row>
    <row r="3212" spans="1:4">
      <c r="A3212" s="619">
        <v>42074</v>
      </c>
      <c r="B3212" s="620">
        <v>8.7748000000000008</v>
      </c>
    </row>
    <row r="3213" spans="1:4">
      <c r="A3213" s="619">
        <v>42075</v>
      </c>
      <c r="B3213" s="620">
        <v>8.7787000000000006</v>
      </c>
    </row>
    <row r="3214" spans="1:4">
      <c r="A3214" s="619">
        <v>42076</v>
      </c>
      <c r="B3214" s="620">
        <v>8.7829999999999995</v>
      </c>
    </row>
    <row r="3215" spans="1:4">
      <c r="A3215" s="619">
        <v>42079</v>
      </c>
      <c r="B3215" s="620">
        <v>8.7833000000000006</v>
      </c>
    </row>
    <row r="3216" spans="1:4">
      <c r="A3216" s="619">
        <v>42080</v>
      </c>
      <c r="B3216" s="620">
        <v>8.7855000000000008</v>
      </c>
    </row>
    <row r="3217" spans="1:4">
      <c r="A3217" s="619">
        <v>42081</v>
      </c>
      <c r="B3217" s="620">
        <v>8.7912999999999997</v>
      </c>
    </row>
    <row r="3218" spans="1:4">
      <c r="A3218" s="619">
        <v>42082</v>
      </c>
      <c r="B3218" s="620">
        <v>8.7933000000000003</v>
      </c>
    </row>
    <row r="3219" spans="1:4">
      <c r="A3219" s="619">
        <v>42083</v>
      </c>
      <c r="B3219" s="620">
        <v>8.7963000000000005</v>
      </c>
    </row>
    <row r="3220" spans="1:4">
      <c r="A3220" s="619">
        <v>42088</v>
      </c>
      <c r="B3220" s="620">
        <v>8.8023000000000007</v>
      </c>
    </row>
    <row r="3221" spans="1:4">
      <c r="A3221" s="619">
        <v>42089</v>
      </c>
      <c r="B3221" s="620">
        <v>8.8040000000000003</v>
      </c>
    </row>
    <row r="3222" spans="1:4">
      <c r="A3222" s="619">
        <v>42090</v>
      </c>
      <c r="B3222" s="620">
        <v>8.8089999999999993</v>
      </c>
    </row>
    <row r="3223" spans="1:4">
      <c r="A3223" s="619">
        <v>42093</v>
      </c>
      <c r="B3223" s="620">
        <v>8.8157999999999994</v>
      </c>
      <c r="D3223" s="613">
        <v>42064</v>
      </c>
    </row>
    <row r="3224" spans="1:4">
      <c r="A3224" s="619">
        <v>42094</v>
      </c>
      <c r="B3224" s="620">
        <v>8.8196999999999992</v>
      </c>
      <c r="D3224" s="604">
        <v>8.7789699999999993</v>
      </c>
    </row>
    <row r="3225" spans="1:4">
      <c r="A3225" s="619">
        <v>42095</v>
      </c>
      <c r="B3225" s="620">
        <v>8.8260000000000005</v>
      </c>
    </row>
    <row r="3226" spans="1:4">
      <c r="A3226" s="619">
        <v>42100</v>
      </c>
      <c r="B3226" s="620">
        <v>8.8294999999999995</v>
      </c>
    </row>
    <row r="3227" spans="1:4">
      <c r="A3227" s="619">
        <v>42101</v>
      </c>
      <c r="B3227" s="620">
        <v>8.8343000000000007</v>
      </c>
    </row>
    <row r="3228" spans="1:4">
      <c r="A3228" s="619">
        <v>42102</v>
      </c>
      <c r="B3228" s="620">
        <v>8.8388000000000009</v>
      </c>
    </row>
    <row r="3229" spans="1:4">
      <c r="A3229" s="619">
        <v>42103</v>
      </c>
      <c r="B3229" s="620">
        <v>8.8435000000000006</v>
      </c>
    </row>
    <row r="3230" spans="1:4">
      <c r="A3230" s="619">
        <v>42104</v>
      </c>
      <c r="B3230" s="620">
        <v>8.8482000000000003</v>
      </c>
    </row>
    <row r="3231" spans="1:4">
      <c r="A3231" s="619">
        <v>42107</v>
      </c>
      <c r="B3231" s="620">
        <v>8.8543000000000003</v>
      </c>
    </row>
    <row r="3232" spans="1:4">
      <c r="A3232" s="619">
        <v>42108</v>
      </c>
      <c r="B3232" s="620">
        <v>8.8577999999999992</v>
      </c>
    </row>
    <row r="3233" spans="1:4">
      <c r="A3233" s="619">
        <v>42109</v>
      </c>
      <c r="B3233" s="620">
        <v>8.8637999999999995</v>
      </c>
    </row>
    <row r="3234" spans="1:4">
      <c r="A3234" s="619">
        <v>42110</v>
      </c>
      <c r="B3234" s="620">
        <v>8.8673000000000002</v>
      </c>
    </row>
    <row r="3235" spans="1:4">
      <c r="A3235" s="619">
        <v>42111</v>
      </c>
      <c r="B3235" s="620">
        <v>8.8667999999999996</v>
      </c>
    </row>
    <row r="3236" spans="1:4">
      <c r="A3236" s="619">
        <v>42114</v>
      </c>
      <c r="B3236" s="620">
        <v>8.8691999999999993</v>
      </c>
    </row>
    <row r="3237" spans="1:4">
      <c r="A3237" s="619">
        <v>42115</v>
      </c>
      <c r="B3237" s="620">
        <v>8.8727999999999998</v>
      </c>
    </row>
    <row r="3238" spans="1:4">
      <c r="A3238" s="619">
        <v>42116</v>
      </c>
      <c r="B3238" s="620">
        <v>8.8772000000000002</v>
      </c>
    </row>
    <row r="3239" spans="1:4">
      <c r="A3239" s="619">
        <v>42117</v>
      </c>
      <c r="B3239" s="620">
        <v>8.8823000000000008</v>
      </c>
    </row>
    <row r="3240" spans="1:4">
      <c r="A3240" s="619">
        <v>42118</v>
      </c>
      <c r="B3240" s="620">
        <v>8.8878000000000004</v>
      </c>
    </row>
    <row r="3241" spans="1:4">
      <c r="A3241" s="619">
        <v>42121</v>
      </c>
      <c r="B3241" s="620">
        <v>8.8934999999999995</v>
      </c>
    </row>
    <row r="3242" spans="1:4">
      <c r="A3242" s="619">
        <v>42122</v>
      </c>
      <c r="B3242" s="620">
        <v>8.8975000000000009</v>
      </c>
    </row>
    <row r="3243" spans="1:4">
      <c r="A3243" s="619">
        <v>42123</v>
      </c>
      <c r="B3243" s="620">
        <v>8.8994999999999997</v>
      </c>
      <c r="D3243" s="613">
        <v>42095</v>
      </c>
    </row>
    <row r="3244" spans="1:4">
      <c r="A3244" s="619">
        <v>42124</v>
      </c>
      <c r="B3244" s="620">
        <v>8.9047000000000001</v>
      </c>
      <c r="D3244" s="604">
        <v>8.8657399999999988</v>
      </c>
    </row>
    <row r="3245" spans="1:4">
      <c r="A3245" s="619">
        <v>42128</v>
      </c>
      <c r="B3245" s="620">
        <v>8.9102999999999994</v>
      </c>
    </row>
    <row r="3246" spans="1:4">
      <c r="A3246" s="619">
        <v>42129</v>
      </c>
      <c r="B3246" s="620">
        <v>8.9141999999999992</v>
      </c>
    </row>
    <row r="3247" spans="1:4">
      <c r="A3247" s="619">
        <v>42130</v>
      </c>
      <c r="B3247" s="620">
        <v>8.9190000000000005</v>
      </c>
    </row>
    <row r="3248" spans="1:4">
      <c r="A3248" s="619">
        <v>42131</v>
      </c>
      <c r="B3248" s="620">
        <v>8.9231999999999996</v>
      </c>
    </row>
    <row r="3249" spans="1:4">
      <c r="A3249" s="619">
        <v>42132</v>
      </c>
      <c r="B3249" s="620">
        <v>8.9269999999999996</v>
      </c>
    </row>
    <row r="3250" spans="1:4">
      <c r="A3250" s="619">
        <v>42135</v>
      </c>
      <c r="B3250" s="620">
        <v>8.9318000000000008</v>
      </c>
    </row>
    <row r="3251" spans="1:4">
      <c r="A3251" s="619">
        <v>42136</v>
      </c>
      <c r="B3251" s="620">
        <v>8.9357000000000006</v>
      </c>
    </row>
    <row r="3252" spans="1:4">
      <c r="A3252" s="619">
        <v>42137</v>
      </c>
      <c r="B3252" s="620">
        <v>8.9388000000000005</v>
      </c>
    </row>
    <row r="3253" spans="1:4">
      <c r="A3253" s="619">
        <v>42138</v>
      </c>
      <c r="B3253" s="620">
        <v>8.9440000000000008</v>
      </c>
    </row>
    <row r="3254" spans="1:4">
      <c r="A3254" s="619">
        <v>42139</v>
      </c>
      <c r="B3254" s="620">
        <v>8.9474999999999998</v>
      </c>
    </row>
    <row r="3255" spans="1:4">
      <c r="A3255" s="619">
        <v>42142</v>
      </c>
      <c r="B3255" s="620">
        <v>8.9510000000000005</v>
      </c>
    </row>
    <row r="3256" spans="1:4">
      <c r="A3256" s="619">
        <v>42143</v>
      </c>
      <c r="B3256" s="620">
        <v>8.9567999999999994</v>
      </c>
    </row>
    <row r="3257" spans="1:4">
      <c r="A3257" s="619">
        <v>42144</v>
      </c>
      <c r="B3257" s="620">
        <v>8.9606999999999992</v>
      </c>
    </row>
    <row r="3258" spans="1:4">
      <c r="A3258" s="619">
        <v>42145</v>
      </c>
      <c r="B3258" s="620">
        <v>8.9657</v>
      </c>
    </row>
    <row r="3259" spans="1:4">
      <c r="A3259" s="619">
        <v>42146</v>
      </c>
      <c r="B3259" s="620">
        <v>8.9697999999999993</v>
      </c>
    </row>
    <row r="3260" spans="1:4">
      <c r="A3260" s="619">
        <v>42150</v>
      </c>
      <c r="B3260" s="620">
        <v>8.9745000000000008</v>
      </c>
    </row>
    <row r="3261" spans="1:4">
      <c r="A3261" s="619">
        <v>42151</v>
      </c>
      <c r="B3261" s="620">
        <v>8.9809999999999999</v>
      </c>
    </row>
    <row r="3262" spans="1:4">
      <c r="A3262" s="619">
        <v>42152</v>
      </c>
      <c r="B3262" s="620">
        <v>8.9847999999999999</v>
      </c>
      <c r="D3262" s="613">
        <v>42125</v>
      </c>
    </row>
    <row r="3263" spans="1:4">
      <c r="A3263" s="619">
        <v>42153</v>
      </c>
      <c r="B3263" s="620">
        <v>8.9893000000000001</v>
      </c>
      <c r="D3263" s="604">
        <v>8.9486894736842117</v>
      </c>
    </row>
    <row r="3264" spans="1:4">
      <c r="A3264" s="619">
        <v>42156</v>
      </c>
      <c r="B3264" s="620">
        <v>8.9964999999999993</v>
      </c>
    </row>
    <row r="3265" spans="1:2">
      <c r="A3265" s="619">
        <v>42157</v>
      </c>
      <c r="B3265" s="620">
        <v>9.0007999999999999</v>
      </c>
    </row>
    <row r="3266" spans="1:2">
      <c r="A3266" s="619">
        <v>42158</v>
      </c>
      <c r="B3266" s="620">
        <v>9.0050000000000008</v>
      </c>
    </row>
    <row r="3267" spans="1:2">
      <c r="A3267" s="619">
        <v>42159</v>
      </c>
      <c r="B3267" s="620">
        <v>9.0094999999999992</v>
      </c>
    </row>
    <row r="3268" spans="1:2">
      <c r="A3268" s="619">
        <v>42160</v>
      </c>
      <c r="B3268" s="620">
        <v>9.0143000000000004</v>
      </c>
    </row>
    <row r="3269" spans="1:2">
      <c r="A3269" s="619">
        <v>42163</v>
      </c>
      <c r="B3269" s="620">
        <v>9.0180000000000007</v>
      </c>
    </row>
    <row r="3270" spans="1:2">
      <c r="A3270" s="619">
        <v>42164</v>
      </c>
      <c r="B3270" s="620">
        <v>9.0222999999999995</v>
      </c>
    </row>
    <row r="3271" spans="1:2">
      <c r="A3271" s="619">
        <v>42165</v>
      </c>
      <c r="B3271" s="620">
        <v>9.0282</v>
      </c>
    </row>
    <row r="3272" spans="1:2">
      <c r="A3272" s="619">
        <v>42166</v>
      </c>
      <c r="B3272" s="620">
        <v>9.0325000000000006</v>
      </c>
    </row>
    <row r="3273" spans="1:2">
      <c r="A3273" s="619">
        <v>42167</v>
      </c>
      <c r="B3273" s="620">
        <v>9.0359999999999996</v>
      </c>
    </row>
    <row r="3274" spans="1:2">
      <c r="A3274" s="619">
        <v>42170</v>
      </c>
      <c r="B3274" s="620">
        <v>9.0403000000000002</v>
      </c>
    </row>
    <row r="3275" spans="1:2">
      <c r="A3275" s="619">
        <v>42171</v>
      </c>
      <c r="B3275" s="620">
        <v>9.0449999999999999</v>
      </c>
    </row>
    <row r="3276" spans="1:2">
      <c r="A3276" s="619">
        <v>42172</v>
      </c>
      <c r="B3276" s="620">
        <v>9.0477000000000007</v>
      </c>
    </row>
    <row r="3277" spans="1:2">
      <c r="A3277" s="619">
        <v>42173</v>
      </c>
      <c r="B3277" s="620">
        <v>9.0521999999999991</v>
      </c>
    </row>
    <row r="3278" spans="1:2">
      <c r="A3278" s="619">
        <v>42174</v>
      </c>
      <c r="B3278" s="620">
        <v>9.0564999999999998</v>
      </c>
    </row>
    <row r="3279" spans="1:2">
      <c r="A3279" s="619">
        <v>42177</v>
      </c>
      <c r="B3279" s="620">
        <v>9.0604999999999993</v>
      </c>
    </row>
    <row r="3280" spans="1:2">
      <c r="A3280" s="619">
        <v>42178</v>
      </c>
      <c r="B3280" s="620">
        <v>9.0645000000000007</v>
      </c>
    </row>
    <row r="3281" spans="1:4">
      <c r="A3281" s="619">
        <v>42179</v>
      </c>
      <c r="B3281" s="620">
        <v>9.0690000000000008</v>
      </c>
    </row>
    <row r="3282" spans="1:4">
      <c r="A3282" s="619">
        <v>42180</v>
      </c>
      <c r="B3282" s="620">
        <v>9.0723000000000003</v>
      </c>
    </row>
    <row r="3283" spans="1:4">
      <c r="A3283" s="619">
        <v>42181</v>
      </c>
      <c r="B3283" s="620">
        <v>9.0767000000000007</v>
      </c>
    </row>
    <row r="3284" spans="1:4">
      <c r="A3284" s="619">
        <v>42184</v>
      </c>
      <c r="B3284" s="620">
        <v>9.0817999999999994</v>
      </c>
      <c r="D3284" s="613">
        <v>42156</v>
      </c>
    </row>
    <row r="3285" spans="1:4">
      <c r="A3285" s="619">
        <v>42185</v>
      </c>
      <c r="B3285" s="620">
        <v>9.0864999999999991</v>
      </c>
      <c r="D3285" s="604">
        <v>9.0416409090909085</v>
      </c>
    </row>
    <row r="3286" spans="1:4">
      <c r="A3286" s="619">
        <v>42186</v>
      </c>
      <c r="B3286" s="620">
        <v>9.0920000000000005</v>
      </c>
    </row>
    <row r="3287" spans="1:4">
      <c r="A3287" s="619">
        <v>42187</v>
      </c>
      <c r="B3287" s="620">
        <v>9.0973000000000006</v>
      </c>
    </row>
    <row r="3288" spans="1:4">
      <c r="A3288" s="619">
        <v>42188</v>
      </c>
      <c r="B3288" s="620">
        <v>9.1021999999999998</v>
      </c>
    </row>
    <row r="3289" spans="1:4">
      <c r="A3289" s="619">
        <v>42191</v>
      </c>
      <c r="B3289" s="620">
        <v>9.1072000000000006</v>
      </c>
    </row>
    <row r="3290" spans="1:4">
      <c r="A3290" s="619">
        <v>42192</v>
      </c>
      <c r="B3290" s="620">
        <v>9.1127000000000002</v>
      </c>
    </row>
    <row r="3291" spans="1:4">
      <c r="A3291" s="619">
        <v>42193</v>
      </c>
      <c r="B3291" s="620">
        <v>9.1170000000000009</v>
      </c>
    </row>
    <row r="3292" spans="1:4">
      <c r="A3292" s="619">
        <v>42195</v>
      </c>
      <c r="B3292" s="620">
        <v>9.1219999999999999</v>
      </c>
    </row>
    <row r="3293" spans="1:4">
      <c r="A3293" s="619">
        <v>42198</v>
      </c>
      <c r="B3293" s="620">
        <v>9.1273</v>
      </c>
    </row>
    <row r="3294" spans="1:4">
      <c r="A3294" s="619">
        <v>42199</v>
      </c>
      <c r="B3294" s="620">
        <v>9.1319999999999997</v>
      </c>
    </row>
    <row r="3295" spans="1:4">
      <c r="A3295" s="619">
        <v>42200</v>
      </c>
      <c r="B3295" s="620">
        <v>9.1362000000000005</v>
      </c>
    </row>
    <row r="3296" spans="1:4">
      <c r="A3296" s="619">
        <v>42201</v>
      </c>
      <c r="B3296" s="620">
        <v>9.1415000000000006</v>
      </c>
    </row>
    <row r="3297" spans="1:4">
      <c r="A3297" s="619">
        <v>42202</v>
      </c>
      <c r="B3297" s="620">
        <v>9.1462000000000003</v>
      </c>
    </row>
    <row r="3298" spans="1:4">
      <c r="A3298" s="619">
        <v>42205</v>
      </c>
      <c r="B3298" s="620">
        <v>9.1502999999999997</v>
      </c>
    </row>
    <row r="3299" spans="1:4">
      <c r="A3299" s="619">
        <v>42206</v>
      </c>
      <c r="B3299" s="620">
        <v>9.1547999999999998</v>
      </c>
    </row>
    <row r="3300" spans="1:4">
      <c r="A3300" s="619">
        <v>42207</v>
      </c>
      <c r="B3300" s="620">
        <v>9.16</v>
      </c>
    </row>
    <row r="3301" spans="1:4">
      <c r="A3301" s="619">
        <v>42208</v>
      </c>
      <c r="B3301" s="620">
        <v>9.1643000000000008</v>
      </c>
    </row>
    <row r="3302" spans="1:4">
      <c r="A3302" s="619">
        <v>42209</v>
      </c>
      <c r="B3302" s="620">
        <v>9.1683000000000003</v>
      </c>
    </row>
    <row r="3303" spans="1:4">
      <c r="A3303" s="619">
        <v>42212</v>
      </c>
      <c r="B3303" s="620">
        <v>9.1727000000000007</v>
      </c>
    </row>
    <row r="3304" spans="1:4">
      <c r="A3304" s="619">
        <v>42213</v>
      </c>
      <c r="B3304" s="620">
        <v>9.1777999999999995</v>
      </c>
    </row>
    <row r="3305" spans="1:4">
      <c r="A3305" s="619">
        <v>42214</v>
      </c>
      <c r="B3305" s="620">
        <v>9.1814999999999998</v>
      </c>
    </row>
    <row r="3306" spans="1:4">
      <c r="A3306" s="619">
        <v>42215</v>
      </c>
      <c r="B3306" s="620">
        <v>9.1843000000000004</v>
      </c>
      <c r="D3306" s="613">
        <v>42186</v>
      </c>
    </row>
    <row r="3307" spans="1:4">
      <c r="A3307" s="619">
        <v>42216</v>
      </c>
      <c r="B3307" s="620">
        <v>9.1873000000000005</v>
      </c>
      <c r="D3307" s="604">
        <v>9.142495454545454</v>
      </c>
    </row>
    <row r="3308" spans="1:4">
      <c r="A3308" s="619">
        <v>42219</v>
      </c>
      <c r="B3308" s="620">
        <v>9.1936999999999998</v>
      </c>
    </row>
    <row r="3309" spans="1:4">
      <c r="A3309" s="619">
        <v>42220</v>
      </c>
      <c r="B3309" s="620">
        <v>9.1987000000000005</v>
      </c>
    </row>
    <row r="3310" spans="1:4">
      <c r="A3310" s="619">
        <v>42221</v>
      </c>
      <c r="B3310" s="620">
        <v>9.2035</v>
      </c>
    </row>
    <row r="3311" spans="1:4">
      <c r="A3311" s="619">
        <v>42222</v>
      </c>
      <c r="B3311" s="620">
        <v>9.2088000000000001</v>
      </c>
    </row>
    <row r="3312" spans="1:4">
      <c r="A3312" s="619">
        <v>42223</v>
      </c>
      <c r="B3312" s="620">
        <v>9.2134999999999998</v>
      </c>
    </row>
    <row r="3313" spans="1:4">
      <c r="A3313" s="619">
        <v>42226</v>
      </c>
      <c r="B3313" s="620">
        <v>9.2182999999999993</v>
      </c>
    </row>
    <row r="3314" spans="1:4">
      <c r="A3314" s="619">
        <v>42227</v>
      </c>
      <c r="B3314" s="620">
        <v>9.2242999999999995</v>
      </c>
    </row>
    <row r="3315" spans="1:4">
      <c r="A3315" s="619">
        <v>42228</v>
      </c>
      <c r="B3315" s="620">
        <v>9.2311999999999994</v>
      </c>
    </row>
    <row r="3316" spans="1:4">
      <c r="A3316" s="619">
        <v>42229</v>
      </c>
      <c r="B3316" s="620">
        <v>9.2362000000000002</v>
      </c>
    </row>
    <row r="3317" spans="1:4">
      <c r="A3317" s="619">
        <v>42230</v>
      </c>
      <c r="B3317" s="620">
        <v>9.2408000000000001</v>
      </c>
    </row>
    <row r="3318" spans="1:4">
      <c r="A3318" s="619">
        <v>42234</v>
      </c>
      <c r="B3318" s="620">
        <v>9.2454999999999998</v>
      </c>
    </row>
    <row r="3319" spans="1:4">
      <c r="A3319" s="619">
        <v>42235</v>
      </c>
      <c r="B3319" s="620">
        <v>9.2505000000000006</v>
      </c>
    </row>
    <row r="3320" spans="1:4">
      <c r="A3320" s="619">
        <v>42236</v>
      </c>
      <c r="B3320" s="620">
        <v>9.2550000000000008</v>
      </c>
    </row>
    <row r="3321" spans="1:4">
      <c r="A3321" s="619">
        <v>42237</v>
      </c>
      <c r="B3321" s="620">
        <v>9.2598000000000003</v>
      </c>
    </row>
    <row r="3322" spans="1:4">
      <c r="A3322" s="619">
        <v>42240</v>
      </c>
      <c r="B3322" s="620">
        <v>9.2661999999999995</v>
      </c>
    </row>
    <row r="3323" spans="1:4">
      <c r="A3323" s="619">
        <v>42241</v>
      </c>
      <c r="B3323" s="620">
        <v>9.2720000000000002</v>
      </c>
    </row>
    <row r="3324" spans="1:4">
      <c r="A3324" s="619">
        <v>42242</v>
      </c>
      <c r="B3324" s="620">
        <v>9.2780000000000005</v>
      </c>
    </row>
    <row r="3325" spans="1:4">
      <c r="A3325" s="619">
        <v>42243</v>
      </c>
      <c r="B3325" s="620">
        <v>9.2840000000000007</v>
      </c>
    </row>
    <row r="3326" spans="1:4">
      <c r="A3326" s="619">
        <v>42244</v>
      </c>
      <c r="B3326" s="620">
        <v>9.2897999999999996</v>
      </c>
      <c r="D3326" s="613">
        <v>42217</v>
      </c>
    </row>
    <row r="3327" spans="1:4">
      <c r="A3327" s="619">
        <v>42247</v>
      </c>
      <c r="B3327" s="620">
        <v>9.2955000000000005</v>
      </c>
      <c r="D3327" s="604">
        <v>9.2432649999999974</v>
      </c>
    </row>
    <row r="3328" spans="1:4">
      <c r="A3328" s="619">
        <v>42248</v>
      </c>
      <c r="B3328" s="620">
        <v>9.3019999999999996</v>
      </c>
    </row>
    <row r="3329" spans="1:2">
      <c r="A3329" s="619">
        <v>42249</v>
      </c>
      <c r="B3329" s="620">
        <v>9.3087999999999997</v>
      </c>
    </row>
    <row r="3330" spans="1:2">
      <c r="A3330" s="619">
        <v>42250</v>
      </c>
      <c r="B3330" s="620">
        <v>9.3149999999999995</v>
      </c>
    </row>
    <row r="3331" spans="1:2">
      <c r="A3331" s="619">
        <v>42251</v>
      </c>
      <c r="B3331" s="620">
        <v>9.3237000000000005</v>
      </c>
    </row>
    <row r="3332" spans="1:2">
      <c r="A3332" s="619">
        <v>42254</v>
      </c>
      <c r="B3332" s="620">
        <v>9.3338000000000001</v>
      </c>
    </row>
    <row r="3333" spans="1:2">
      <c r="A3333" s="619">
        <v>42255</v>
      </c>
      <c r="B3333" s="620">
        <v>9.3346999999999998</v>
      </c>
    </row>
    <row r="3334" spans="1:2">
      <c r="A3334" s="619">
        <v>42256</v>
      </c>
      <c r="B3334" s="620">
        <v>9.343</v>
      </c>
    </row>
    <row r="3335" spans="1:2">
      <c r="A3335" s="619">
        <v>42257</v>
      </c>
      <c r="B3335" s="620">
        <v>9.3490000000000002</v>
      </c>
    </row>
    <row r="3336" spans="1:2">
      <c r="A3336" s="619">
        <v>42258</v>
      </c>
      <c r="B3336" s="620">
        <v>9.3533000000000008</v>
      </c>
    </row>
    <row r="3337" spans="1:2">
      <c r="A3337" s="619">
        <v>42261</v>
      </c>
      <c r="B3337" s="620">
        <v>9.3572000000000006</v>
      </c>
    </row>
    <row r="3338" spans="1:2">
      <c r="A3338" s="619">
        <v>42262</v>
      </c>
      <c r="B3338" s="620">
        <v>9.3637999999999995</v>
      </c>
    </row>
    <row r="3339" spans="1:2">
      <c r="A3339" s="619">
        <v>42263</v>
      </c>
      <c r="B3339" s="620">
        <v>9.3693000000000008</v>
      </c>
    </row>
    <row r="3340" spans="1:2">
      <c r="A3340" s="619">
        <v>42264</v>
      </c>
      <c r="B3340" s="620">
        <v>9.375</v>
      </c>
    </row>
    <row r="3341" spans="1:2">
      <c r="A3341" s="619">
        <v>42265</v>
      </c>
      <c r="B3341" s="620">
        <v>9.3803000000000001</v>
      </c>
    </row>
    <row r="3342" spans="1:2">
      <c r="A3342" s="619">
        <v>42268</v>
      </c>
      <c r="B3342" s="620">
        <v>9.3857999999999997</v>
      </c>
    </row>
    <row r="3343" spans="1:2">
      <c r="A3343" s="619">
        <v>42269</v>
      </c>
      <c r="B3343" s="620">
        <v>9.3917000000000002</v>
      </c>
    </row>
    <row r="3344" spans="1:2">
      <c r="A3344" s="619">
        <v>42270</v>
      </c>
      <c r="B3344" s="620">
        <v>9.3978000000000002</v>
      </c>
    </row>
    <row r="3345" spans="1:4">
      <c r="A3345" s="619">
        <v>42271</v>
      </c>
      <c r="B3345" s="620">
        <v>9.4023000000000003</v>
      </c>
    </row>
    <row r="3346" spans="1:4">
      <c r="A3346" s="619">
        <v>42272</v>
      </c>
      <c r="B3346" s="620">
        <v>9.4053000000000004</v>
      </c>
    </row>
    <row r="3347" spans="1:4">
      <c r="A3347" s="619">
        <v>42275</v>
      </c>
      <c r="B3347" s="620">
        <v>9.4094999999999995</v>
      </c>
    </row>
    <row r="3348" spans="1:4">
      <c r="A3348" s="619">
        <v>42276</v>
      </c>
      <c r="B3348" s="620">
        <v>9.4146999999999998</v>
      </c>
      <c r="D3348" s="613">
        <v>42248</v>
      </c>
    </row>
    <row r="3349" spans="1:4">
      <c r="A3349" s="619">
        <v>42277</v>
      </c>
      <c r="B3349" s="620">
        <v>9.4192</v>
      </c>
      <c r="D3349" s="604">
        <v>9.3652363636363631</v>
      </c>
    </row>
    <row r="3350" spans="1:4">
      <c r="A3350" s="619">
        <v>42278</v>
      </c>
      <c r="B3350" s="620">
        <v>9.4273000000000007</v>
      </c>
    </row>
    <row r="3351" spans="1:4">
      <c r="A3351" s="619">
        <v>42279</v>
      </c>
      <c r="B3351" s="620">
        <v>9.4354999999999993</v>
      </c>
    </row>
    <row r="3352" spans="1:4">
      <c r="A3352" s="619">
        <v>42282</v>
      </c>
      <c r="B3352" s="620">
        <v>9.4407999999999994</v>
      </c>
    </row>
    <row r="3353" spans="1:4">
      <c r="A3353" s="619">
        <v>42283</v>
      </c>
      <c r="B3353" s="620">
        <v>9.4491999999999994</v>
      </c>
    </row>
    <row r="3354" spans="1:4">
      <c r="A3354" s="619">
        <v>42284</v>
      </c>
      <c r="B3354" s="620">
        <v>9.4536999999999995</v>
      </c>
    </row>
    <row r="3355" spans="1:4">
      <c r="A3355" s="619">
        <v>42285</v>
      </c>
      <c r="B3355" s="620">
        <v>9.4608000000000008</v>
      </c>
    </row>
    <row r="3356" spans="1:4">
      <c r="A3356" s="619">
        <v>42286</v>
      </c>
      <c r="B3356" s="620">
        <v>9.4655000000000005</v>
      </c>
    </row>
    <row r="3357" spans="1:4">
      <c r="A3357" s="619">
        <v>42290</v>
      </c>
      <c r="B3357" s="620">
        <v>9.4711999999999996</v>
      </c>
    </row>
    <row r="3358" spans="1:4">
      <c r="A3358" s="619">
        <v>42291</v>
      </c>
      <c r="B3358" s="620">
        <v>9.4802</v>
      </c>
    </row>
    <row r="3359" spans="1:4">
      <c r="A3359" s="619">
        <v>42292</v>
      </c>
      <c r="B3359" s="620">
        <v>9.4830000000000005</v>
      </c>
    </row>
    <row r="3360" spans="1:4">
      <c r="A3360" s="619">
        <v>42293</v>
      </c>
      <c r="B3360" s="620">
        <v>9.4887999999999995</v>
      </c>
    </row>
    <row r="3361" spans="1:4">
      <c r="A3361" s="619">
        <v>42296</v>
      </c>
      <c r="B3361" s="620">
        <v>9.4962</v>
      </c>
    </row>
    <row r="3362" spans="1:4">
      <c r="A3362" s="619">
        <v>42297</v>
      </c>
      <c r="B3362" s="620">
        <v>9.5020000000000007</v>
      </c>
    </row>
    <row r="3363" spans="1:4">
      <c r="A3363" s="619">
        <v>42298</v>
      </c>
      <c r="B3363" s="620">
        <v>9.5086999999999993</v>
      </c>
    </row>
    <row r="3364" spans="1:4">
      <c r="A3364" s="619">
        <v>42299</v>
      </c>
      <c r="B3364" s="620">
        <v>9.5131999999999994</v>
      </c>
    </row>
    <row r="3365" spans="1:4">
      <c r="A3365" s="619">
        <v>42300</v>
      </c>
      <c r="B3365" s="620">
        <v>9.5198</v>
      </c>
    </row>
    <row r="3366" spans="1:4">
      <c r="A3366" s="619">
        <v>42303</v>
      </c>
      <c r="B3366" s="620">
        <v>9.5267999999999997</v>
      </c>
    </row>
    <row r="3367" spans="1:4">
      <c r="A3367" s="619">
        <v>42304</v>
      </c>
      <c r="B3367" s="620">
        <v>9.5321999999999996</v>
      </c>
    </row>
    <row r="3368" spans="1:4">
      <c r="A3368" s="619">
        <v>42305</v>
      </c>
      <c r="B3368" s="620">
        <v>9.5380000000000003</v>
      </c>
    </row>
    <row r="3369" spans="1:4">
      <c r="A3369" s="619">
        <v>42306</v>
      </c>
      <c r="B3369" s="620">
        <v>9.5419999999999998</v>
      </c>
      <c r="D3369" s="613">
        <v>42278</v>
      </c>
    </row>
    <row r="3370" spans="1:4">
      <c r="A3370" s="619">
        <v>42307</v>
      </c>
      <c r="B3370" s="620">
        <v>9.5459999999999994</v>
      </c>
      <c r="D3370" s="604">
        <v>9.4895999999999994</v>
      </c>
    </row>
    <row r="3371" spans="1:4">
      <c r="A3371" s="619">
        <v>42310</v>
      </c>
      <c r="B3371" s="620">
        <v>9.5540000000000003</v>
      </c>
    </row>
    <row r="3372" spans="1:4">
      <c r="A3372" s="619">
        <v>42311</v>
      </c>
      <c r="B3372" s="620">
        <v>9.5619999999999994</v>
      </c>
    </row>
    <row r="3373" spans="1:4">
      <c r="A3373" s="619">
        <v>42312</v>
      </c>
      <c r="B3373" s="620">
        <v>9.5696999999999992</v>
      </c>
    </row>
    <row r="3374" spans="1:4">
      <c r="A3374" s="619">
        <v>42313</v>
      </c>
      <c r="B3374" s="620">
        <v>9.5785</v>
      </c>
    </row>
    <row r="3375" spans="1:4">
      <c r="A3375" s="619">
        <v>42317</v>
      </c>
      <c r="B3375" s="620">
        <v>9.5860000000000003</v>
      </c>
    </row>
    <row r="3376" spans="1:4">
      <c r="A3376" s="619">
        <v>42318</v>
      </c>
      <c r="B3376" s="620">
        <v>9.5939999999999994</v>
      </c>
    </row>
    <row r="3377" spans="1:4">
      <c r="A3377" s="619">
        <v>42319</v>
      </c>
      <c r="B3377" s="620">
        <v>9.6022999999999996</v>
      </c>
    </row>
    <row r="3378" spans="1:4">
      <c r="A3378" s="619">
        <v>42320</v>
      </c>
      <c r="B3378" s="620">
        <v>9.6137999999999995</v>
      </c>
    </row>
    <row r="3379" spans="1:4">
      <c r="A3379" s="619">
        <v>42321</v>
      </c>
      <c r="B3379" s="620">
        <v>9.6222999999999992</v>
      </c>
    </row>
    <row r="3380" spans="1:4">
      <c r="A3380" s="619">
        <v>42324</v>
      </c>
      <c r="B3380" s="620">
        <v>9.6297999999999995</v>
      </c>
    </row>
    <row r="3381" spans="1:4">
      <c r="A3381" s="619">
        <v>42325</v>
      </c>
      <c r="B3381" s="620">
        <v>9.64</v>
      </c>
    </row>
    <row r="3382" spans="1:4">
      <c r="A3382" s="619">
        <v>42326</v>
      </c>
      <c r="B3382" s="620">
        <v>9.6478000000000002</v>
      </c>
    </row>
    <row r="3383" spans="1:4">
      <c r="A3383" s="619">
        <v>42327</v>
      </c>
      <c r="B3383" s="620">
        <v>9.6560000000000006</v>
      </c>
    </row>
    <row r="3384" spans="1:4">
      <c r="A3384" s="619">
        <v>42328</v>
      </c>
      <c r="B3384" s="620">
        <v>9.6661999999999999</v>
      </c>
    </row>
    <row r="3385" spans="1:4">
      <c r="A3385" s="619">
        <v>42331</v>
      </c>
      <c r="B3385" s="620">
        <v>9.6709999999999994</v>
      </c>
    </row>
    <row r="3386" spans="1:4">
      <c r="A3386" s="619">
        <v>42332</v>
      </c>
      <c r="B3386" s="620">
        <v>9.6731999999999996</v>
      </c>
    </row>
    <row r="3387" spans="1:4">
      <c r="A3387" s="619">
        <v>42333</v>
      </c>
      <c r="B3387" s="620">
        <v>9.6780000000000008</v>
      </c>
    </row>
    <row r="3388" spans="1:4">
      <c r="A3388" s="619">
        <v>42334</v>
      </c>
      <c r="B3388" s="620">
        <v>9.6846999999999994</v>
      </c>
      <c r="D3388" s="613">
        <v>42309</v>
      </c>
    </row>
    <row r="3389" spans="1:4">
      <c r="A3389" s="619">
        <v>42338</v>
      </c>
      <c r="B3389" s="620">
        <v>9.6880000000000006</v>
      </c>
      <c r="D3389" s="604">
        <v>9.6272263157894731</v>
      </c>
    </row>
    <row r="3390" spans="1:4">
      <c r="A3390" s="619">
        <v>42339</v>
      </c>
      <c r="B3390" s="620">
        <v>9.6974999999999998</v>
      </c>
    </row>
    <row r="3391" spans="1:4">
      <c r="A3391" s="619">
        <v>42340</v>
      </c>
      <c r="B3391" s="620">
        <v>9.7070000000000007</v>
      </c>
    </row>
    <row r="3392" spans="1:4">
      <c r="A3392" s="619">
        <v>42341</v>
      </c>
      <c r="B3392" s="620">
        <v>9.7178000000000004</v>
      </c>
    </row>
    <row r="3393" spans="1:4">
      <c r="A3393" s="619">
        <v>42342</v>
      </c>
      <c r="B3393" s="620">
        <v>9.7272999999999996</v>
      </c>
    </row>
    <row r="3394" spans="1:4">
      <c r="A3394" s="619">
        <v>42347</v>
      </c>
      <c r="B3394" s="620">
        <v>9.7367000000000008</v>
      </c>
    </row>
    <row r="3395" spans="1:4">
      <c r="A3395" s="619">
        <v>42348</v>
      </c>
      <c r="B3395" s="620">
        <v>9.7487999999999992</v>
      </c>
    </row>
    <row r="3396" spans="1:4">
      <c r="A3396" s="619">
        <v>42349</v>
      </c>
      <c r="B3396" s="620">
        <v>9.7728000000000002</v>
      </c>
    </row>
    <row r="3397" spans="1:4">
      <c r="A3397" s="619">
        <v>42352</v>
      </c>
      <c r="B3397" s="620">
        <v>9.7874999999999996</v>
      </c>
    </row>
    <row r="3398" spans="1:4">
      <c r="A3398" s="619">
        <v>42353</v>
      </c>
      <c r="B3398" s="620">
        <v>9.8059999999999992</v>
      </c>
    </row>
    <row r="3399" spans="1:4">
      <c r="A3399" s="619">
        <v>42354</v>
      </c>
      <c r="B3399" s="620">
        <v>9.8268000000000004</v>
      </c>
    </row>
    <row r="3400" spans="1:4">
      <c r="A3400" s="619">
        <v>42355</v>
      </c>
      <c r="B3400" s="620">
        <v>13.763299999999999</v>
      </c>
    </row>
    <row r="3401" spans="1:4">
      <c r="A3401" s="619">
        <v>42356</v>
      </c>
      <c r="B3401" s="620">
        <v>13.4217</v>
      </c>
    </row>
    <row r="3402" spans="1:4">
      <c r="A3402" s="619">
        <v>42359</v>
      </c>
      <c r="B3402" s="620">
        <v>12.808299999999999</v>
      </c>
    </row>
    <row r="3403" spans="1:4">
      <c r="A3403" s="619">
        <v>42360</v>
      </c>
      <c r="B3403" s="620">
        <v>12.9375</v>
      </c>
    </row>
    <row r="3404" spans="1:4">
      <c r="A3404" s="619">
        <v>42361</v>
      </c>
      <c r="B3404" s="620">
        <v>13.0442</v>
      </c>
    </row>
    <row r="3405" spans="1:4">
      <c r="A3405" s="619">
        <v>42362</v>
      </c>
      <c r="B3405" s="620">
        <v>13.05</v>
      </c>
    </row>
    <row r="3406" spans="1:4">
      <c r="A3406" s="619">
        <v>42366</v>
      </c>
      <c r="B3406" s="620">
        <v>13.0558</v>
      </c>
    </row>
    <row r="3407" spans="1:4">
      <c r="A3407" s="619">
        <v>42367</v>
      </c>
      <c r="B3407" s="620">
        <v>12.9658</v>
      </c>
    </row>
    <row r="3408" spans="1:4">
      <c r="A3408" s="619">
        <v>42368</v>
      </c>
      <c r="B3408" s="620">
        <v>12.9757</v>
      </c>
      <c r="D3408" s="613">
        <v>42339</v>
      </c>
    </row>
    <row r="3409" spans="1:4">
      <c r="A3409" s="619">
        <v>42369</v>
      </c>
      <c r="B3409" s="620">
        <v>13.005000000000001</v>
      </c>
      <c r="D3409" s="604">
        <v>11.4278</v>
      </c>
    </row>
    <row r="3410" spans="1:4">
      <c r="A3410" s="619">
        <v>42373</v>
      </c>
      <c r="B3410" s="620">
        <v>13.0692</v>
      </c>
    </row>
    <row r="3411" spans="1:4">
      <c r="A3411" s="619">
        <v>42374</v>
      </c>
      <c r="B3411" s="620">
        <v>13.455</v>
      </c>
    </row>
    <row r="3412" spans="1:4">
      <c r="A3412" s="619">
        <v>42375</v>
      </c>
      <c r="B3412" s="620">
        <v>13.835000000000001</v>
      </c>
    </row>
    <row r="3413" spans="1:4">
      <c r="A3413" s="619">
        <v>42376</v>
      </c>
      <c r="B3413" s="620">
        <v>13.9413</v>
      </c>
    </row>
    <row r="3414" spans="1:4">
      <c r="A3414" s="619">
        <v>42377</v>
      </c>
      <c r="B3414" s="620">
        <v>13.865</v>
      </c>
    </row>
    <row r="3415" spans="1:4">
      <c r="A3415" s="619">
        <v>42380</v>
      </c>
      <c r="B3415" s="620">
        <v>13.8725</v>
      </c>
    </row>
    <row r="3416" spans="1:4">
      <c r="A3416" s="619">
        <v>42381</v>
      </c>
      <c r="B3416" s="620">
        <v>13.583299999999999</v>
      </c>
    </row>
    <row r="3417" spans="1:4">
      <c r="A3417" s="619">
        <v>42382</v>
      </c>
      <c r="B3417" s="620">
        <v>13.56</v>
      </c>
    </row>
    <row r="3418" spans="1:4">
      <c r="A3418" s="619">
        <v>42383</v>
      </c>
      <c r="B3418" s="620">
        <v>13.46</v>
      </c>
    </row>
    <row r="3419" spans="1:4">
      <c r="A3419" s="619">
        <v>42384</v>
      </c>
      <c r="B3419" s="620">
        <v>13.4367</v>
      </c>
    </row>
    <row r="3420" spans="1:4">
      <c r="A3420" s="619">
        <v>42387</v>
      </c>
      <c r="B3420" s="620">
        <v>13.511699999999999</v>
      </c>
    </row>
    <row r="3421" spans="1:4">
      <c r="A3421" s="619">
        <v>42388</v>
      </c>
      <c r="B3421" s="620">
        <v>13.486700000000001</v>
      </c>
    </row>
    <row r="3422" spans="1:4">
      <c r="A3422" s="619">
        <v>42389</v>
      </c>
      <c r="B3422" s="620">
        <v>13.4467</v>
      </c>
    </row>
    <row r="3423" spans="1:4">
      <c r="A3423" s="619">
        <v>42390</v>
      </c>
      <c r="B3423" s="620">
        <v>13.5533</v>
      </c>
    </row>
    <row r="3424" spans="1:4">
      <c r="A3424" s="619">
        <v>42391</v>
      </c>
      <c r="B3424" s="620">
        <v>13.715</v>
      </c>
    </row>
    <row r="3425" spans="1:4">
      <c r="A3425" s="619">
        <v>42394</v>
      </c>
      <c r="B3425" s="620">
        <v>13.783200000000001</v>
      </c>
    </row>
    <row r="3426" spans="1:4">
      <c r="A3426" s="619">
        <v>42395</v>
      </c>
      <c r="B3426" s="620">
        <v>13.8378</v>
      </c>
    </row>
    <row r="3427" spans="1:4">
      <c r="A3427" s="619">
        <v>42396</v>
      </c>
      <c r="B3427" s="620">
        <v>13.8912</v>
      </c>
    </row>
    <row r="3428" spans="1:4">
      <c r="A3428" s="619">
        <v>42397</v>
      </c>
      <c r="B3428" s="620">
        <v>13.889200000000001</v>
      </c>
      <c r="D3428" s="613">
        <v>42370</v>
      </c>
    </row>
    <row r="3429" spans="1:4">
      <c r="A3429" s="619">
        <v>42398</v>
      </c>
      <c r="B3429" s="620">
        <v>13.904</v>
      </c>
      <c r="D3429" s="604">
        <v>13.6548</v>
      </c>
    </row>
    <row r="3430" spans="1:4">
      <c r="A3430" s="619">
        <v>42401</v>
      </c>
      <c r="B3430" s="620">
        <v>14.0883</v>
      </c>
    </row>
    <row r="3431" spans="1:4">
      <c r="A3431" s="619">
        <v>42402</v>
      </c>
      <c r="B3431" s="620">
        <v>14.136699999999999</v>
      </c>
    </row>
    <row r="3432" spans="1:4">
      <c r="A3432" s="619">
        <v>42403</v>
      </c>
      <c r="B3432" s="620">
        <v>14.1433</v>
      </c>
    </row>
    <row r="3433" spans="1:4">
      <c r="A3433" s="619">
        <v>42404</v>
      </c>
      <c r="B3433" s="620">
        <v>14.186199999999999</v>
      </c>
    </row>
    <row r="3434" spans="1:4">
      <c r="A3434" s="619">
        <v>42405</v>
      </c>
      <c r="B3434" s="620">
        <v>14.3142</v>
      </c>
    </row>
    <row r="3435" spans="1:4">
      <c r="A3435" s="619">
        <v>42410</v>
      </c>
      <c r="B3435" s="620">
        <v>14.4717</v>
      </c>
    </row>
    <row r="3436" spans="1:4">
      <c r="A3436" s="619">
        <v>42411</v>
      </c>
      <c r="B3436" s="620">
        <v>14.559200000000001</v>
      </c>
    </row>
    <row r="3437" spans="1:4">
      <c r="A3437" s="619">
        <v>42412</v>
      </c>
      <c r="B3437" s="620">
        <v>14.729799999999999</v>
      </c>
    </row>
    <row r="3438" spans="1:4">
      <c r="A3438" s="619">
        <v>42415</v>
      </c>
      <c r="B3438" s="620">
        <v>14.773300000000001</v>
      </c>
    </row>
    <row r="3439" spans="1:4">
      <c r="A3439" s="619">
        <v>42416</v>
      </c>
      <c r="B3439" s="620">
        <v>14.8498</v>
      </c>
    </row>
    <row r="3440" spans="1:4">
      <c r="A3440" s="619">
        <v>42417</v>
      </c>
      <c r="B3440" s="620">
        <v>14.914199999999999</v>
      </c>
    </row>
    <row r="3441" spans="1:4">
      <c r="A3441" s="619">
        <v>42418</v>
      </c>
      <c r="B3441" s="620">
        <v>15.033300000000001</v>
      </c>
    </row>
    <row r="3442" spans="1:4">
      <c r="A3442" s="619">
        <v>42419</v>
      </c>
      <c r="B3442" s="620">
        <v>15.0283</v>
      </c>
    </row>
    <row r="3443" spans="1:4">
      <c r="A3443" s="619">
        <v>42422</v>
      </c>
      <c r="B3443" s="620">
        <v>15.09</v>
      </c>
    </row>
    <row r="3444" spans="1:4">
      <c r="A3444" s="619">
        <v>42423</v>
      </c>
      <c r="B3444" s="620">
        <v>15.42</v>
      </c>
    </row>
    <row r="3445" spans="1:4">
      <c r="A3445" s="619">
        <v>42424</v>
      </c>
      <c r="B3445" s="620">
        <v>15.3483</v>
      </c>
    </row>
    <row r="3446" spans="1:4">
      <c r="A3446" s="619">
        <v>42425</v>
      </c>
      <c r="B3446" s="620">
        <v>15.370799999999999</v>
      </c>
    </row>
    <row r="3447" spans="1:4">
      <c r="A3447" s="619">
        <v>42426</v>
      </c>
      <c r="B3447" s="620">
        <v>15.435</v>
      </c>
      <c r="D3447" s="613">
        <v>42401</v>
      </c>
    </row>
    <row r="3448" spans="1:4">
      <c r="A3448" s="619">
        <v>42429</v>
      </c>
      <c r="B3448" s="620">
        <v>15.584199999999999</v>
      </c>
      <c r="D3448" s="604">
        <v>14.81455789473684</v>
      </c>
    </row>
    <row r="3449" spans="1:4">
      <c r="A3449" s="619">
        <v>42430</v>
      </c>
      <c r="B3449" s="620">
        <v>15.9192</v>
      </c>
    </row>
    <row r="3450" spans="1:4">
      <c r="A3450" s="619">
        <v>42431</v>
      </c>
      <c r="B3450" s="620">
        <v>15.6852</v>
      </c>
    </row>
    <row r="3451" spans="1:4">
      <c r="A3451" s="619">
        <v>42432</v>
      </c>
      <c r="B3451" s="620">
        <v>15.445</v>
      </c>
    </row>
    <row r="3452" spans="1:4">
      <c r="A3452" s="619">
        <v>42433</v>
      </c>
      <c r="B3452" s="620">
        <v>15.195</v>
      </c>
    </row>
    <row r="3453" spans="1:4">
      <c r="A3453" s="619">
        <v>42436</v>
      </c>
      <c r="B3453" s="620">
        <v>15.344200000000001</v>
      </c>
    </row>
    <row r="3454" spans="1:4">
      <c r="A3454" s="619">
        <v>42437</v>
      </c>
      <c r="B3454" s="620">
        <v>15.4392</v>
      </c>
    </row>
    <row r="3455" spans="1:4">
      <c r="A3455" s="619">
        <v>42438</v>
      </c>
      <c r="B3455" s="620">
        <v>15.363300000000001</v>
      </c>
    </row>
    <row r="3456" spans="1:4">
      <c r="A3456" s="619">
        <v>42439</v>
      </c>
      <c r="B3456" s="620">
        <v>15.340299999999999</v>
      </c>
    </row>
    <row r="3457" spans="1:4">
      <c r="A3457" s="619">
        <v>42440</v>
      </c>
      <c r="B3457" s="620">
        <v>15.1183</v>
      </c>
    </row>
    <row r="3458" spans="1:4">
      <c r="A3458" s="619">
        <v>42443</v>
      </c>
      <c r="B3458" s="620">
        <v>14.8017</v>
      </c>
    </row>
    <row r="3459" spans="1:4">
      <c r="A3459" s="619">
        <v>42444</v>
      </c>
      <c r="B3459" s="620">
        <v>14.6083</v>
      </c>
    </row>
    <row r="3460" spans="1:4">
      <c r="A3460" s="619">
        <v>42445</v>
      </c>
      <c r="B3460" s="620">
        <v>14.5093</v>
      </c>
    </row>
    <row r="3461" spans="1:4">
      <c r="A3461" s="619">
        <v>42446</v>
      </c>
      <c r="B3461" s="620">
        <v>14.6273</v>
      </c>
    </row>
    <row r="3462" spans="1:4">
      <c r="A3462" s="619">
        <v>42447</v>
      </c>
      <c r="B3462" s="620">
        <v>14.8217</v>
      </c>
    </row>
    <row r="3463" spans="1:4">
      <c r="A3463" s="619">
        <v>42450</v>
      </c>
      <c r="B3463" s="620">
        <v>14.5808</v>
      </c>
    </row>
    <row r="3464" spans="1:4">
      <c r="A3464" s="619">
        <v>42451</v>
      </c>
      <c r="B3464" s="620">
        <v>14.245799999999999</v>
      </c>
    </row>
    <row r="3465" spans="1:4">
      <c r="A3465" s="619">
        <v>42452</v>
      </c>
      <c r="B3465" s="620">
        <v>14.426</v>
      </c>
    </row>
    <row r="3466" spans="1:4">
      <c r="A3466" s="619">
        <v>42457</v>
      </c>
      <c r="B3466" s="620">
        <v>14.638299999999999</v>
      </c>
    </row>
    <row r="3467" spans="1:4">
      <c r="A3467" s="619">
        <v>42458</v>
      </c>
      <c r="B3467" s="620">
        <v>14.884</v>
      </c>
    </row>
    <row r="3468" spans="1:4">
      <c r="A3468" s="619">
        <v>42459</v>
      </c>
      <c r="B3468" s="620">
        <v>14.6167</v>
      </c>
      <c r="D3468" s="613">
        <v>42430</v>
      </c>
    </row>
    <row r="3469" spans="1:4">
      <c r="A3469" s="619">
        <v>42460</v>
      </c>
      <c r="B3469" s="620">
        <v>14.5817</v>
      </c>
      <c r="D3469" s="604">
        <v>14.961490476190477</v>
      </c>
    </row>
    <row r="3470" spans="1:4">
      <c r="A3470" s="619">
        <v>42461</v>
      </c>
      <c r="B3470" s="620">
        <v>14.7033</v>
      </c>
    </row>
    <row r="3471" spans="1:4">
      <c r="A3471" s="619">
        <v>42464</v>
      </c>
      <c r="B3471" s="620">
        <v>14.779199999999999</v>
      </c>
    </row>
    <row r="3472" spans="1:4">
      <c r="A3472" s="619">
        <v>42465</v>
      </c>
      <c r="B3472" s="620">
        <v>14.681699999999999</v>
      </c>
    </row>
    <row r="3473" spans="1:2">
      <c r="A3473" s="619">
        <v>42466</v>
      </c>
      <c r="B3473" s="620">
        <v>14.6913</v>
      </c>
    </row>
    <row r="3474" spans="1:2">
      <c r="A3474" s="619">
        <v>42467</v>
      </c>
      <c r="B3474" s="620">
        <v>14.525</v>
      </c>
    </row>
    <row r="3475" spans="1:2">
      <c r="A3475" s="619">
        <v>42468</v>
      </c>
      <c r="B3475" s="620">
        <v>14.43</v>
      </c>
    </row>
    <row r="3476" spans="1:2">
      <c r="A3476" s="619">
        <v>42471</v>
      </c>
      <c r="B3476" s="620">
        <v>14.51</v>
      </c>
    </row>
    <row r="3477" spans="1:2">
      <c r="A3477" s="619">
        <v>42472</v>
      </c>
      <c r="B3477" s="620">
        <v>14.54</v>
      </c>
    </row>
    <row r="3478" spans="1:2">
      <c r="A3478" s="619">
        <v>42473</v>
      </c>
      <c r="B3478" s="620">
        <v>14.424200000000001</v>
      </c>
    </row>
    <row r="3479" spans="1:2">
      <c r="A3479" s="619">
        <v>42474</v>
      </c>
      <c r="B3479" s="620">
        <v>14.3683</v>
      </c>
    </row>
    <row r="3480" spans="1:2">
      <c r="A3480" s="619">
        <v>42475</v>
      </c>
      <c r="B3480" s="620">
        <v>14.295</v>
      </c>
    </row>
    <row r="3481" spans="1:2">
      <c r="A3481" s="619">
        <v>42478</v>
      </c>
      <c r="B3481" s="620">
        <v>14.14</v>
      </c>
    </row>
    <row r="3482" spans="1:2">
      <c r="A3482" s="619">
        <v>42479</v>
      </c>
      <c r="B3482" s="620">
        <v>14.1418</v>
      </c>
    </row>
    <row r="3483" spans="1:2">
      <c r="A3483" s="619">
        <v>42480</v>
      </c>
      <c r="B3483" s="620">
        <v>14.2425</v>
      </c>
    </row>
    <row r="3484" spans="1:2">
      <c r="A3484" s="619">
        <v>42481</v>
      </c>
      <c r="B3484" s="620">
        <v>14.36</v>
      </c>
    </row>
    <row r="3485" spans="1:2">
      <c r="A3485" s="619">
        <v>42482</v>
      </c>
      <c r="B3485" s="620">
        <v>14.4558</v>
      </c>
    </row>
    <row r="3486" spans="1:2">
      <c r="A3486" s="619">
        <v>42485</v>
      </c>
      <c r="B3486" s="620">
        <v>14.3308</v>
      </c>
    </row>
    <row r="3487" spans="1:2">
      <c r="A3487" s="619">
        <v>42486</v>
      </c>
      <c r="B3487" s="620">
        <v>14.312200000000001</v>
      </c>
    </row>
    <row r="3488" spans="1:2">
      <c r="A3488" s="619">
        <v>42487</v>
      </c>
      <c r="B3488" s="620">
        <v>14.2408</v>
      </c>
    </row>
    <row r="3489" spans="1:4">
      <c r="A3489" s="619">
        <v>42488</v>
      </c>
      <c r="B3489" s="620">
        <v>14.170199999999999</v>
      </c>
      <c r="D3489" s="613">
        <v>42461</v>
      </c>
    </row>
    <row r="3490" spans="1:4">
      <c r="A3490" s="619">
        <v>42489</v>
      </c>
      <c r="B3490" s="620">
        <v>14.2582</v>
      </c>
      <c r="D3490" s="604">
        <v>14.409538095238098</v>
      </c>
    </row>
    <row r="3491" spans="1:4">
      <c r="A3491" s="619">
        <v>42492</v>
      </c>
      <c r="B3491" s="620">
        <v>14.261699999999999</v>
      </c>
    </row>
    <row r="3492" spans="1:4">
      <c r="A3492" s="619">
        <v>42493</v>
      </c>
      <c r="B3492" s="620">
        <v>14.2098</v>
      </c>
    </row>
    <row r="3493" spans="1:4">
      <c r="A3493" s="619">
        <v>42494</v>
      </c>
      <c r="B3493" s="620">
        <v>14.2133</v>
      </c>
    </row>
    <row r="3494" spans="1:4">
      <c r="A3494" s="619">
        <v>42495</v>
      </c>
      <c r="B3494" s="620">
        <v>14.253500000000001</v>
      </c>
    </row>
    <row r="3495" spans="1:4">
      <c r="A3495" s="619">
        <v>42496</v>
      </c>
      <c r="B3495" s="620">
        <v>14.2355</v>
      </c>
    </row>
    <row r="3496" spans="1:4">
      <c r="A3496" s="619">
        <v>42499</v>
      </c>
      <c r="B3496" s="620">
        <v>14.2242</v>
      </c>
    </row>
    <row r="3497" spans="1:4">
      <c r="A3497" s="619">
        <v>42500</v>
      </c>
      <c r="B3497" s="620">
        <v>14.231199999999999</v>
      </c>
    </row>
    <row r="3498" spans="1:4">
      <c r="A3498" s="619">
        <v>42501</v>
      </c>
      <c r="B3498" s="620">
        <v>14.222</v>
      </c>
    </row>
    <row r="3499" spans="1:4">
      <c r="A3499" s="619">
        <v>42502</v>
      </c>
      <c r="B3499" s="620">
        <v>14.198700000000001</v>
      </c>
    </row>
    <row r="3500" spans="1:4">
      <c r="A3500" s="619">
        <v>42503</v>
      </c>
      <c r="B3500" s="620">
        <v>14.1622</v>
      </c>
    </row>
    <row r="3501" spans="1:4">
      <c r="A3501" s="619">
        <v>42506</v>
      </c>
      <c r="B3501" s="620">
        <v>14.149800000000001</v>
      </c>
    </row>
    <row r="3502" spans="1:4">
      <c r="A3502" s="619">
        <v>42507</v>
      </c>
      <c r="B3502" s="620">
        <v>14.1318</v>
      </c>
    </row>
    <row r="3503" spans="1:4">
      <c r="A3503" s="619">
        <v>42508</v>
      </c>
      <c r="B3503" s="620">
        <v>14.110799999999999</v>
      </c>
    </row>
    <row r="3504" spans="1:4">
      <c r="A3504" s="619">
        <v>42509</v>
      </c>
      <c r="B3504" s="620">
        <v>14.122199999999999</v>
      </c>
    </row>
    <row r="3505" spans="1:4">
      <c r="A3505" s="619">
        <v>42510</v>
      </c>
      <c r="B3505" s="620">
        <v>14.080299999999999</v>
      </c>
    </row>
    <row r="3506" spans="1:4">
      <c r="A3506" s="619">
        <v>42513</v>
      </c>
      <c r="B3506" s="620">
        <v>14.011699999999999</v>
      </c>
    </row>
    <row r="3507" spans="1:4">
      <c r="A3507" s="619">
        <v>42514</v>
      </c>
      <c r="B3507" s="620">
        <v>14.023300000000001</v>
      </c>
    </row>
    <row r="3508" spans="1:4">
      <c r="A3508" s="619">
        <v>42516</v>
      </c>
      <c r="B3508" s="620">
        <v>14.0875</v>
      </c>
    </row>
    <row r="3509" spans="1:4">
      <c r="A3509" s="619">
        <v>42517</v>
      </c>
      <c r="B3509" s="620">
        <v>13.986700000000001</v>
      </c>
    </row>
    <row r="3510" spans="1:4">
      <c r="A3510" s="619">
        <v>42520</v>
      </c>
      <c r="B3510" s="620">
        <v>13.9633</v>
      </c>
      <c r="D3510" s="613">
        <v>42491</v>
      </c>
    </row>
    <row r="3511" spans="1:4">
      <c r="A3511" s="619">
        <v>42521</v>
      </c>
      <c r="B3511" s="620">
        <v>14.012700000000001</v>
      </c>
      <c r="D3511" s="604">
        <f>+AVERAGE(B3491:B3511)</f>
        <v>14.137723809523809</v>
      </c>
    </row>
    <row r="3512" spans="1:4">
      <c r="A3512" s="619">
        <v>42522</v>
      </c>
      <c r="B3512" s="620">
        <v>13.9537</v>
      </c>
    </row>
    <row r="3513" spans="1:4">
      <c r="A3513" s="619">
        <v>42523</v>
      </c>
      <c r="B3513" s="620">
        <v>13.9343</v>
      </c>
    </row>
    <row r="3514" spans="1:4">
      <c r="A3514" s="619">
        <v>42524</v>
      </c>
      <c r="B3514" s="620">
        <v>13.878299999999999</v>
      </c>
    </row>
    <row r="3515" spans="1:4">
      <c r="A3515" s="619">
        <v>42527</v>
      </c>
      <c r="B3515" s="620">
        <v>13.7773</v>
      </c>
    </row>
    <row r="3516" spans="1:4">
      <c r="A3516" s="619">
        <v>42528</v>
      </c>
      <c r="B3516" s="620">
        <v>13.8042</v>
      </c>
    </row>
    <row r="3517" spans="1:4">
      <c r="A3517" s="619">
        <v>42529</v>
      </c>
      <c r="B3517" s="620">
        <v>13.835000000000001</v>
      </c>
    </row>
    <row r="3518" spans="1:4">
      <c r="A3518" s="619">
        <v>42530</v>
      </c>
      <c r="B3518" s="620">
        <v>13.8498</v>
      </c>
    </row>
    <row r="3519" spans="1:4">
      <c r="A3519" s="619">
        <v>42531</v>
      </c>
      <c r="B3519" s="620">
        <v>13.819699999999999</v>
      </c>
    </row>
    <row r="3520" spans="1:4">
      <c r="A3520" s="619">
        <v>42534</v>
      </c>
      <c r="B3520" s="620">
        <v>13.798299999999999</v>
      </c>
    </row>
    <row r="3521" spans="1:4">
      <c r="A3521" s="619">
        <v>42535</v>
      </c>
      <c r="B3521" s="620">
        <v>13.772500000000001</v>
      </c>
    </row>
    <row r="3522" spans="1:4">
      <c r="A3522" s="619">
        <v>42536</v>
      </c>
      <c r="B3522" s="620">
        <v>13.7568</v>
      </c>
    </row>
    <row r="3523" spans="1:4">
      <c r="A3523" s="619">
        <v>42537</v>
      </c>
      <c r="B3523" s="620">
        <v>13.7935</v>
      </c>
    </row>
    <row r="3524" spans="1:4">
      <c r="A3524" s="619">
        <v>42542</v>
      </c>
      <c r="B3524" s="620">
        <v>13.878299999999999</v>
      </c>
    </row>
    <row r="3525" spans="1:4">
      <c r="A3525" s="619">
        <v>42543</v>
      </c>
      <c r="B3525" s="620">
        <v>14.0253</v>
      </c>
    </row>
    <row r="3526" spans="1:4">
      <c r="A3526" s="619">
        <v>42544</v>
      </c>
      <c r="B3526" s="620">
        <v>14.190799999999999</v>
      </c>
    </row>
    <row r="3527" spans="1:4">
      <c r="A3527" s="619">
        <v>42545</v>
      </c>
      <c r="B3527" s="620">
        <v>14.836499999999999</v>
      </c>
    </row>
    <row r="3528" spans="1:4">
      <c r="A3528" s="619">
        <v>42548</v>
      </c>
      <c r="B3528" s="620">
        <v>15.030200000000001</v>
      </c>
    </row>
    <row r="3529" spans="1:4">
      <c r="A3529" s="619">
        <v>42549</v>
      </c>
      <c r="B3529" s="620">
        <v>15.0563</v>
      </c>
    </row>
    <row r="3530" spans="1:4">
      <c r="A3530" s="619">
        <v>42550</v>
      </c>
      <c r="B3530" s="620">
        <v>14.904199999999999</v>
      </c>
      <c r="D3530" s="613">
        <v>42522</v>
      </c>
    </row>
    <row r="3531" spans="1:4">
      <c r="A3531" s="619">
        <v>42551</v>
      </c>
      <c r="B3531" s="620">
        <v>14.92</v>
      </c>
      <c r="D3531" s="604">
        <f>+AVERAGE(B3512:B3531)</f>
        <v>14.140749999999997</v>
      </c>
    </row>
    <row r="3532" spans="1:4">
      <c r="A3532" s="619">
        <v>42552</v>
      </c>
      <c r="B3532" s="620">
        <v>15.119</v>
      </c>
    </row>
    <row r="3533" spans="1:4">
      <c r="A3533" s="619">
        <v>42555</v>
      </c>
      <c r="B3533" s="620">
        <v>15.067500000000001</v>
      </c>
    </row>
    <row r="3534" spans="1:4">
      <c r="A3534" s="619">
        <v>42556</v>
      </c>
      <c r="B3534" s="620">
        <v>15.018700000000001</v>
      </c>
    </row>
    <row r="3535" spans="1:4">
      <c r="A3535" s="619">
        <v>42557</v>
      </c>
      <c r="B3535" s="620">
        <v>14.755000000000001</v>
      </c>
    </row>
    <row r="3536" spans="1:4">
      <c r="A3536" s="619">
        <v>42558</v>
      </c>
      <c r="B3536" s="620">
        <v>14.692500000000001</v>
      </c>
    </row>
    <row r="3537" spans="1:4">
      <c r="A3537" s="619">
        <v>42562</v>
      </c>
      <c r="B3537" s="620">
        <v>14.71</v>
      </c>
    </row>
    <row r="3538" spans="1:4">
      <c r="A3538" s="619">
        <v>42563</v>
      </c>
      <c r="B3538" s="620">
        <v>14.5992</v>
      </c>
    </row>
    <row r="3539" spans="1:4">
      <c r="A3539" s="619">
        <v>42564</v>
      </c>
      <c r="B3539" s="620">
        <v>14.5718</v>
      </c>
    </row>
    <row r="3540" spans="1:4">
      <c r="A3540" s="619">
        <v>42565</v>
      </c>
      <c r="B3540" s="620">
        <v>14.6203</v>
      </c>
    </row>
    <row r="3541" spans="1:4">
      <c r="A3541" s="619">
        <v>42566</v>
      </c>
      <c r="B3541" s="620">
        <v>14.8583</v>
      </c>
    </row>
    <row r="3542" spans="1:4">
      <c r="A3542" s="619">
        <v>42569</v>
      </c>
      <c r="B3542" s="620">
        <v>15.0557</v>
      </c>
    </row>
    <row r="3543" spans="1:4">
      <c r="A3543" s="619">
        <v>42570</v>
      </c>
      <c r="B3543" s="620">
        <v>15.193300000000001</v>
      </c>
    </row>
    <row r="3544" spans="1:4">
      <c r="A3544" s="619">
        <v>42571</v>
      </c>
      <c r="B3544" s="620">
        <v>14.996700000000001</v>
      </c>
    </row>
    <row r="3545" spans="1:4">
      <c r="A3545" s="619">
        <v>42572</v>
      </c>
      <c r="B3545" s="620">
        <v>15.0425</v>
      </c>
    </row>
    <row r="3546" spans="1:4">
      <c r="A3546" s="619">
        <v>42573</v>
      </c>
      <c r="B3546" s="620">
        <v>14.951700000000001</v>
      </c>
    </row>
    <row r="3547" spans="1:4">
      <c r="A3547" s="619">
        <v>42576</v>
      </c>
      <c r="B3547" s="620">
        <v>14.9267</v>
      </c>
    </row>
    <row r="3548" spans="1:4">
      <c r="A3548" s="619">
        <v>42577</v>
      </c>
      <c r="B3548" s="620">
        <v>14.958299999999999</v>
      </c>
    </row>
    <row r="3549" spans="1:4">
      <c r="A3549" s="619">
        <v>42578</v>
      </c>
      <c r="B3549" s="620">
        <v>14.978300000000001</v>
      </c>
    </row>
    <row r="3550" spans="1:4">
      <c r="A3550" s="619">
        <v>42579</v>
      </c>
      <c r="B3550" s="620">
        <v>15.0275</v>
      </c>
      <c r="D3550" s="613">
        <v>42552</v>
      </c>
    </row>
    <row r="3551" spans="1:4">
      <c r="A3551" s="619">
        <v>42580</v>
      </c>
      <c r="B3551" s="620">
        <v>15.044700000000001</v>
      </c>
      <c r="D3551" s="604">
        <f>+AVERAGE(B3532:B3551)</f>
        <v>14.909384999999997</v>
      </c>
    </row>
    <row r="3552" spans="1:4">
      <c r="A3552" s="619">
        <v>42583</v>
      </c>
      <c r="B3552" s="620">
        <v>14.985799999999999</v>
      </c>
    </row>
    <row r="3553" spans="1:2">
      <c r="A3553" s="619">
        <v>42584</v>
      </c>
      <c r="B3553" s="620">
        <v>14.854200000000001</v>
      </c>
    </row>
    <row r="3554" spans="1:2">
      <c r="A3554" s="619">
        <v>42585</v>
      </c>
      <c r="B3554" s="620">
        <v>14.8675</v>
      </c>
    </row>
    <row r="3555" spans="1:2">
      <c r="A3555" s="619">
        <v>42586</v>
      </c>
      <c r="B3555" s="620">
        <v>14.8812</v>
      </c>
    </row>
    <row r="3556" spans="1:2">
      <c r="A3556" s="619">
        <v>42587</v>
      </c>
      <c r="B3556" s="620">
        <v>14.8483</v>
      </c>
    </row>
    <row r="3557" spans="1:2">
      <c r="A3557" s="619">
        <v>42590</v>
      </c>
      <c r="B3557" s="620">
        <v>14.790800000000001</v>
      </c>
    </row>
    <row r="3558" spans="1:2">
      <c r="A3558" s="619">
        <v>42591</v>
      </c>
      <c r="B3558" s="620">
        <v>14.7675</v>
      </c>
    </row>
    <row r="3559" spans="1:2">
      <c r="A3559" s="619">
        <v>42592</v>
      </c>
      <c r="B3559" s="620">
        <v>14.747199999999999</v>
      </c>
    </row>
    <row r="3560" spans="1:2">
      <c r="A3560" s="619">
        <v>42593</v>
      </c>
      <c r="B3560" s="620">
        <v>14.658300000000001</v>
      </c>
    </row>
    <row r="3561" spans="1:2">
      <c r="A3561" s="619">
        <v>42594</v>
      </c>
      <c r="B3561" s="620">
        <v>14.6525</v>
      </c>
    </row>
    <row r="3562" spans="1:2">
      <c r="A3562" s="619">
        <v>42598</v>
      </c>
      <c r="B3562" s="620">
        <v>14.670199999999999</v>
      </c>
    </row>
    <row r="3563" spans="1:2">
      <c r="A3563" s="619">
        <v>42599</v>
      </c>
      <c r="B3563" s="620">
        <v>14.6975</v>
      </c>
    </row>
    <row r="3564" spans="1:2">
      <c r="A3564" s="619">
        <v>42600</v>
      </c>
      <c r="B3564" s="620">
        <v>14.852499999999999</v>
      </c>
    </row>
    <row r="3565" spans="1:2">
      <c r="A3565" s="619">
        <v>42601</v>
      </c>
      <c r="B3565" s="620">
        <v>14.942500000000001</v>
      </c>
    </row>
    <row r="3566" spans="1:2">
      <c r="A3566" s="619">
        <v>42604</v>
      </c>
      <c r="B3566" s="620">
        <v>14.8995</v>
      </c>
    </row>
    <row r="3567" spans="1:2">
      <c r="A3567" s="619">
        <v>42605</v>
      </c>
      <c r="B3567" s="620">
        <v>14.8325</v>
      </c>
    </row>
    <row r="3568" spans="1:2">
      <c r="A3568" s="619">
        <v>42606</v>
      </c>
      <c r="B3568" s="620">
        <v>14.874700000000001</v>
      </c>
    </row>
    <row r="3569" spans="1:4">
      <c r="A3569" s="619">
        <v>42607</v>
      </c>
      <c r="B3569" s="620">
        <v>14.883699999999999</v>
      </c>
    </row>
    <row r="3570" spans="1:4">
      <c r="A3570" s="619">
        <v>42608</v>
      </c>
      <c r="B3570" s="620">
        <v>14.929</v>
      </c>
    </row>
    <row r="3571" spans="1:4">
      <c r="A3571" s="619">
        <v>42611</v>
      </c>
      <c r="B3571" s="620">
        <v>15.0608</v>
      </c>
    </row>
    <row r="3572" spans="1:4">
      <c r="A3572" s="619">
        <v>42612</v>
      </c>
      <c r="B3572" s="620">
        <v>15.098800000000001</v>
      </c>
      <c r="D3572" s="613">
        <v>42583</v>
      </c>
    </row>
    <row r="3573" spans="1:4">
      <c r="A3573" s="619">
        <v>42613</v>
      </c>
      <c r="B3573" s="620">
        <v>14.9008</v>
      </c>
      <c r="D3573" s="604">
        <f>+AVERAGE(B3552:B3573)</f>
        <v>14.849809090909089</v>
      </c>
    </row>
    <row r="3574" spans="1:4">
      <c r="A3574" s="619">
        <v>42614</v>
      </c>
      <c r="B3574" s="620">
        <v>14.8843</v>
      </c>
    </row>
    <row r="3575" spans="1:4">
      <c r="A3575" s="619">
        <v>42615</v>
      </c>
      <c r="B3575" s="620">
        <v>14.9</v>
      </c>
    </row>
    <row r="3576" spans="1:4">
      <c r="A3576" s="619">
        <v>42618</v>
      </c>
      <c r="B3576" s="620">
        <v>14.994999999999999</v>
      </c>
    </row>
    <row r="3577" spans="1:4">
      <c r="A3577" s="619">
        <v>42619</v>
      </c>
      <c r="B3577" s="620">
        <v>15.0067</v>
      </c>
    </row>
    <row r="3578" spans="1:4">
      <c r="A3578" s="619">
        <v>42620</v>
      </c>
      <c r="B3578" s="620">
        <v>15.025</v>
      </c>
    </row>
    <row r="3579" spans="1:4">
      <c r="A3579" s="619">
        <v>42621</v>
      </c>
      <c r="B3579" s="620">
        <v>15.0665</v>
      </c>
    </row>
    <row r="3580" spans="1:4">
      <c r="A3580" s="619">
        <v>42622</v>
      </c>
      <c r="B3580" s="620">
        <v>15.057700000000001</v>
      </c>
    </row>
    <row r="3581" spans="1:4">
      <c r="A3581" s="619">
        <v>42625</v>
      </c>
      <c r="B3581" s="620">
        <v>14.9887</v>
      </c>
    </row>
    <row r="3582" spans="1:4">
      <c r="A3582" s="619">
        <v>42626</v>
      </c>
      <c r="B3582" s="620">
        <v>14.9125</v>
      </c>
    </row>
    <row r="3583" spans="1:4">
      <c r="A3583" s="619">
        <v>42627</v>
      </c>
      <c r="B3583" s="620">
        <v>15.0275</v>
      </c>
    </row>
    <row r="3584" spans="1:4">
      <c r="A3584" s="619">
        <v>42628</v>
      </c>
      <c r="B3584" s="620">
        <v>15.0402</v>
      </c>
    </row>
    <row r="3585" spans="1:4">
      <c r="A3585" s="619">
        <v>42629</v>
      </c>
      <c r="B3585" s="620">
        <v>15.0892</v>
      </c>
    </row>
    <row r="3586" spans="1:4">
      <c r="A3586" s="619">
        <v>42632</v>
      </c>
      <c r="B3586" s="620">
        <v>15.1508</v>
      </c>
    </row>
    <row r="3587" spans="1:4">
      <c r="A3587" s="619">
        <v>42633</v>
      </c>
      <c r="B3587" s="620">
        <v>15.1617</v>
      </c>
    </row>
    <row r="3588" spans="1:4">
      <c r="A3588" s="619">
        <v>42634</v>
      </c>
      <c r="B3588" s="620">
        <v>15.1365</v>
      </c>
    </row>
    <row r="3589" spans="1:4">
      <c r="A3589" s="619">
        <v>42635</v>
      </c>
      <c r="B3589" s="620">
        <v>15.168200000000001</v>
      </c>
    </row>
    <row r="3590" spans="1:4">
      <c r="A3590" s="619">
        <v>42636</v>
      </c>
      <c r="B3590" s="620">
        <v>15.1607</v>
      </c>
    </row>
    <row r="3591" spans="1:4">
      <c r="A3591" s="619">
        <v>42639</v>
      </c>
      <c r="B3591" s="620">
        <v>15.2067</v>
      </c>
    </row>
    <row r="3592" spans="1:4">
      <c r="A3592" s="619">
        <v>42640</v>
      </c>
      <c r="B3592" s="620">
        <v>15.2677</v>
      </c>
    </row>
    <row r="3593" spans="1:4">
      <c r="A3593" s="619">
        <v>42641</v>
      </c>
      <c r="B3593" s="620">
        <v>15.305</v>
      </c>
    </row>
    <row r="3594" spans="1:4">
      <c r="A3594" s="619">
        <v>42642</v>
      </c>
      <c r="B3594" s="620">
        <v>15.4023</v>
      </c>
      <c r="D3594" s="613">
        <v>42614</v>
      </c>
    </row>
    <row r="3595" spans="1:4">
      <c r="A3595" s="619">
        <v>42643</v>
      </c>
      <c r="B3595" s="620">
        <v>15.263299999999999</v>
      </c>
      <c r="D3595" s="604">
        <f>+AVERAGE(B3574:B3595)</f>
        <v>15.100736363636367</v>
      </c>
    </row>
    <row r="3596" spans="1:4">
      <c r="A3596" s="619">
        <v>42646</v>
      </c>
      <c r="B3596" s="620">
        <v>15.225</v>
      </c>
    </row>
    <row r="3597" spans="1:4">
      <c r="A3597" s="619">
        <v>42647</v>
      </c>
      <c r="B3597" s="620">
        <v>15.18</v>
      </c>
    </row>
    <row r="3598" spans="1:4">
      <c r="A3598" s="619">
        <v>42648</v>
      </c>
      <c r="B3598" s="620">
        <v>15.182499999999999</v>
      </c>
    </row>
    <row r="3599" spans="1:4">
      <c r="A3599" s="619">
        <v>42649</v>
      </c>
      <c r="B3599" s="620">
        <v>15.2232</v>
      </c>
    </row>
    <row r="3600" spans="1:4">
      <c r="A3600" s="619">
        <v>42650</v>
      </c>
      <c r="B3600" s="620">
        <v>15.209199999999999</v>
      </c>
    </row>
    <row r="3601" spans="1:4">
      <c r="A3601" s="619">
        <v>42654</v>
      </c>
      <c r="B3601" s="620">
        <v>15.186199999999999</v>
      </c>
    </row>
    <row r="3602" spans="1:4">
      <c r="A3602" s="619">
        <v>42655</v>
      </c>
      <c r="B3602" s="620">
        <v>15.152200000000001</v>
      </c>
    </row>
    <row r="3603" spans="1:4">
      <c r="A3603" s="619">
        <v>42656</v>
      </c>
      <c r="B3603" s="620">
        <v>15.1152</v>
      </c>
    </row>
    <row r="3604" spans="1:4">
      <c r="A3604" s="619">
        <v>42657</v>
      </c>
      <c r="B3604" s="620">
        <v>15.121700000000001</v>
      </c>
    </row>
    <row r="3605" spans="1:4">
      <c r="A3605" s="619">
        <v>42660</v>
      </c>
      <c r="B3605" s="620">
        <v>15.21</v>
      </c>
    </row>
    <row r="3606" spans="1:4">
      <c r="A3606" s="619">
        <v>42661</v>
      </c>
      <c r="B3606" s="620">
        <v>15.201499999999999</v>
      </c>
    </row>
    <row r="3607" spans="1:4">
      <c r="A3607" s="619">
        <v>42662</v>
      </c>
      <c r="B3607" s="620">
        <v>15.2065</v>
      </c>
    </row>
    <row r="3608" spans="1:4">
      <c r="A3608" s="619">
        <v>42663</v>
      </c>
      <c r="B3608" s="620">
        <v>15.181699999999999</v>
      </c>
    </row>
    <row r="3609" spans="1:4">
      <c r="A3609" s="619">
        <v>42664</v>
      </c>
      <c r="B3609" s="620">
        <v>15.1503</v>
      </c>
    </row>
    <row r="3610" spans="1:4">
      <c r="A3610" s="619">
        <v>42667</v>
      </c>
      <c r="B3610" s="620">
        <v>15.1183</v>
      </c>
    </row>
    <row r="3611" spans="1:4">
      <c r="A3611" s="619">
        <v>42668</v>
      </c>
      <c r="B3611" s="620">
        <v>15.1922</v>
      </c>
    </row>
    <row r="3612" spans="1:4">
      <c r="A3612" s="619">
        <v>42669</v>
      </c>
      <c r="B3612" s="620">
        <v>15.2242</v>
      </c>
    </row>
    <row r="3613" spans="1:4">
      <c r="A3613" s="619">
        <v>42670</v>
      </c>
      <c r="B3613" s="620">
        <v>15.1797</v>
      </c>
    </row>
    <row r="3614" spans="1:4">
      <c r="A3614" s="619">
        <v>42671</v>
      </c>
      <c r="B3614" s="620">
        <v>15.1858</v>
      </c>
      <c r="D3614" s="613">
        <v>42644</v>
      </c>
    </row>
    <row r="3615" spans="1:4">
      <c r="A3615" s="619">
        <v>42674</v>
      </c>
      <c r="B3615" s="620">
        <v>15.1745</v>
      </c>
      <c r="D3615" s="604">
        <f>+AVERAGE(B3596:B3615)</f>
        <v>15.180995000000005</v>
      </c>
    </row>
    <row r="3616" spans="1:4">
      <c r="A3616" s="619">
        <v>42675</v>
      </c>
      <c r="B3616" s="620">
        <v>15.1252</v>
      </c>
    </row>
    <row r="3617" spans="1:2">
      <c r="A3617" s="619">
        <v>42676</v>
      </c>
      <c r="B3617" s="620">
        <v>15.084199999999999</v>
      </c>
    </row>
    <row r="3618" spans="1:2">
      <c r="A3618" s="619">
        <v>42677</v>
      </c>
      <c r="B3618" s="620">
        <v>15.125</v>
      </c>
    </row>
    <row r="3619" spans="1:2">
      <c r="A3619" s="619">
        <v>42678</v>
      </c>
      <c r="B3619" s="620">
        <v>15.0745</v>
      </c>
    </row>
    <row r="3620" spans="1:2">
      <c r="A3620" s="619">
        <v>42681</v>
      </c>
      <c r="B3620" s="620">
        <v>15.0367</v>
      </c>
    </row>
    <row r="3621" spans="1:2">
      <c r="A3621" s="619">
        <v>42682</v>
      </c>
      <c r="B3621" s="620">
        <v>15.039300000000001</v>
      </c>
    </row>
    <row r="3622" spans="1:2">
      <c r="A3622" s="619">
        <v>42683</v>
      </c>
      <c r="B3622" s="620">
        <v>15.02</v>
      </c>
    </row>
    <row r="3623" spans="1:2">
      <c r="A3623" s="619">
        <v>42684</v>
      </c>
      <c r="B3623" s="620">
        <v>15.0183</v>
      </c>
    </row>
    <row r="3624" spans="1:2">
      <c r="A3624" s="619">
        <v>42685</v>
      </c>
      <c r="B3624" s="620">
        <v>15.2217</v>
      </c>
    </row>
    <row r="3625" spans="1:2">
      <c r="A3625" s="619">
        <v>42688</v>
      </c>
      <c r="B3625" s="620">
        <v>15.530799999999999</v>
      </c>
    </row>
    <row r="3626" spans="1:2">
      <c r="A3626" s="619">
        <v>42689</v>
      </c>
      <c r="B3626" s="620">
        <v>15.541700000000001</v>
      </c>
    </row>
    <row r="3627" spans="1:2">
      <c r="A3627" s="619">
        <v>42690</v>
      </c>
      <c r="B3627" s="620">
        <v>15.55</v>
      </c>
    </row>
    <row r="3628" spans="1:2">
      <c r="A3628" s="619">
        <v>42691</v>
      </c>
      <c r="B3628" s="620">
        <v>15.4735</v>
      </c>
    </row>
    <row r="3629" spans="1:2">
      <c r="A3629" s="619">
        <v>42692</v>
      </c>
      <c r="B3629" s="620">
        <v>15.4817</v>
      </c>
    </row>
    <row r="3630" spans="1:2">
      <c r="A3630" s="619">
        <v>42695</v>
      </c>
      <c r="B3630" s="620">
        <v>15.398999999999999</v>
      </c>
    </row>
    <row r="3631" spans="1:2">
      <c r="A3631" s="619">
        <v>42696</v>
      </c>
      <c r="B3631" s="620">
        <v>15.406000000000001</v>
      </c>
    </row>
    <row r="3632" spans="1:2">
      <c r="A3632" s="619">
        <v>42697</v>
      </c>
      <c r="B3632" s="620">
        <v>15.531000000000001</v>
      </c>
    </row>
    <row r="3633" spans="1:4">
      <c r="A3633" s="619">
        <v>42698</v>
      </c>
      <c r="B3633" s="620">
        <v>15.53</v>
      </c>
    </row>
    <row r="3634" spans="1:4">
      <c r="A3634" s="619">
        <v>42699</v>
      </c>
      <c r="B3634" s="620">
        <v>15.535</v>
      </c>
    </row>
    <row r="3635" spans="1:4">
      <c r="A3635" s="619">
        <v>42703</v>
      </c>
      <c r="B3635" s="620">
        <v>15.5702</v>
      </c>
      <c r="D3635" s="613">
        <v>42675</v>
      </c>
    </row>
    <row r="3636" spans="1:4">
      <c r="A3636" s="619">
        <v>42704</v>
      </c>
      <c r="B3636" s="620">
        <v>15.844200000000001</v>
      </c>
      <c r="D3636" s="604">
        <f>+AVERAGE(B3616:B3636)</f>
        <v>15.33990476190476</v>
      </c>
    </row>
    <row r="3637" spans="1:4">
      <c r="A3637" s="619">
        <v>42705</v>
      </c>
      <c r="B3637" s="620">
        <v>15.874000000000001</v>
      </c>
    </row>
    <row r="3638" spans="1:4">
      <c r="A3638" s="619">
        <v>42706</v>
      </c>
      <c r="B3638" s="620">
        <v>15.877000000000001</v>
      </c>
    </row>
    <row r="3639" spans="1:4">
      <c r="A3639" s="619">
        <v>42709</v>
      </c>
      <c r="B3639" s="620">
        <v>15.9397</v>
      </c>
    </row>
    <row r="3640" spans="1:4">
      <c r="A3640" s="619">
        <v>42710</v>
      </c>
      <c r="B3640" s="620">
        <v>15.8683</v>
      </c>
    </row>
    <row r="3641" spans="1:4">
      <c r="A3641" s="619">
        <v>42711</v>
      </c>
      <c r="B3641" s="620">
        <v>15.958</v>
      </c>
    </row>
    <row r="3642" spans="1:4">
      <c r="A3642" s="619">
        <v>42716</v>
      </c>
      <c r="B3642" s="620">
        <v>16.039200000000001</v>
      </c>
    </row>
    <row r="3643" spans="1:4">
      <c r="A3643" s="619">
        <v>42717</v>
      </c>
      <c r="B3643" s="620">
        <v>16.0183</v>
      </c>
    </row>
    <row r="3644" spans="1:4">
      <c r="A3644" s="619">
        <v>42718</v>
      </c>
      <c r="B3644" s="620">
        <v>15.9133</v>
      </c>
    </row>
    <row r="3645" spans="1:4">
      <c r="A3645" s="619">
        <v>42719</v>
      </c>
      <c r="B3645" s="620">
        <v>15.9992</v>
      </c>
    </row>
    <row r="3646" spans="1:4">
      <c r="A3646" s="619">
        <v>42720</v>
      </c>
      <c r="B3646" s="620">
        <v>15.952299999999999</v>
      </c>
    </row>
    <row r="3647" spans="1:4">
      <c r="A3647" s="619">
        <v>42723</v>
      </c>
      <c r="B3647" s="620">
        <v>15.8567</v>
      </c>
    </row>
    <row r="3648" spans="1:4">
      <c r="A3648" s="619">
        <v>42724</v>
      </c>
      <c r="B3648" s="620">
        <v>15.827299999999999</v>
      </c>
    </row>
    <row r="3649" spans="1:4">
      <c r="A3649" s="619">
        <v>42725</v>
      </c>
      <c r="B3649" s="620">
        <v>15.864800000000001</v>
      </c>
    </row>
    <row r="3650" spans="1:4">
      <c r="A3650" s="619">
        <v>42726</v>
      </c>
      <c r="B3650" s="620">
        <v>15.773300000000001</v>
      </c>
    </row>
    <row r="3651" spans="1:4">
      <c r="A3651" s="619">
        <v>42727</v>
      </c>
      <c r="B3651" s="620">
        <v>15.599299999999999</v>
      </c>
    </row>
    <row r="3652" spans="1:4">
      <c r="A3652" s="619">
        <v>42730</v>
      </c>
      <c r="B3652" s="620">
        <v>15.5525</v>
      </c>
    </row>
    <row r="3653" spans="1:4">
      <c r="A3653" s="619">
        <v>42731</v>
      </c>
      <c r="B3653" s="620">
        <v>15.522500000000001</v>
      </c>
    </row>
    <row r="3654" spans="1:4">
      <c r="A3654" s="619">
        <v>42732</v>
      </c>
      <c r="B3654" s="620">
        <v>15.5725</v>
      </c>
    </row>
    <row r="3655" spans="1:4">
      <c r="A3655" s="619">
        <v>42733</v>
      </c>
      <c r="B3655" s="620">
        <v>15.7333</v>
      </c>
      <c r="D3655" s="613">
        <v>42705</v>
      </c>
    </row>
    <row r="3656" spans="1:4">
      <c r="A3656" s="619">
        <v>42734</v>
      </c>
      <c r="B3656" s="620">
        <v>15.850199999999999</v>
      </c>
      <c r="D3656" s="604">
        <v>15.829599999999999</v>
      </c>
    </row>
    <row r="3657" spans="1:4">
      <c r="A3657" s="619">
        <v>42737</v>
      </c>
      <c r="B3657" s="620">
        <v>15.9192</v>
      </c>
    </row>
    <row r="3658" spans="1:4">
      <c r="A3658" s="619">
        <v>42738</v>
      </c>
      <c r="B3658" s="620">
        <v>15.8955</v>
      </c>
    </row>
    <row r="3659" spans="1:4">
      <c r="A3659" s="619">
        <v>42739</v>
      </c>
      <c r="B3659" s="620">
        <v>16.0533</v>
      </c>
    </row>
    <row r="3660" spans="1:4">
      <c r="A3660" s="619">
        <v>42740</v>
      </c>
      <c r="B3660" s="620">
        <v>15.994199999999999</v>
      </c>
    </row>
    <row r="3661" spans="1:4">
      <c r="A3661" s="619">
        <v>42741</v>
      </c>
      <c r="B3661" s="620">
        <v>15.8535</v>
      </c>
    </row>
    <row r="3662" spans="1:4">
      <c r="A3662" s="619">
        <v>42744</v>
      </c>
      <c r="B3662" s="620">
        <v>15.808299999999999</v>
      </c>
    </row>
    <row r="3663" spans="1:4">
      <c r="A3663" s="619">
        <v>42745</v>
      </c>
      <c r="B3663" s="620">
        <v>15.867699999999999</v>
      </c>
    </row>
    <row r="3664" spans="1:4">
      <c r="A3664" s="619">
        <v>42746</v>
      </c>
      <c r="B3664" s="620">
        <v>15.8575</v>
      </c>
    </row>
    <row r="3665" spans="1:4">
      <c r="A3665" s="619">
        <v>42747</v>
      </c>
      <c r="B3665" s="620">
        <v>15.8208</v>
      </c>
    </row>
    <row r="3666" spans="1:4">
      <c r="A3666" s="619">
        <v>42748</v>
      </c>
      <c r="B3666" s="620">
        <v>15.843</v>
      </c>
    </row>
    <row r="3667" spans="1:4">
      <c r="A3667" s="619">
        <v>42751</v>
      </c>
      <c r="B3667" s="620">
        <v>15.8695</v>
      </c>
    </row>
    <row r="3668" spans="1:4">
      <c r="A3668" s="619">
        <v>42752</v>
      </c>
      <c r="B3668" s="620">
        <v>15.8827</v>
      </c>
    </row>
    <row r="3669" spans="1:4">
      <c r="A3669" s="619">
        <v>42753</v>
      </c>
      <c r="B3669" s="620">
        <v>15.951700000000001</v>
      </c>
    </row>
    <row r="3670" spans="1:4">
      <c r="A3670" s="619">
        <v>42754</v>
      </c>
      <c r="B3670" s="620">
        <v>15.978300000000001</v>
      </c>
    </row>
    <row r="3671" spans="1:4">
      <c r="A3671" s="619">
        <v>42755</v>
      </c>
      <c r="B3671" s="620">
        <v>15.8567</v>
      </c>
    </row>
    <row r="3672" spans="1:4">
      <c r="A3672" s="619">
        <v>42758</v>
      </c>
      <c r="B3672" s="620">
        <v>15.921799999999999</v>
      </c>
    </row>
    <row r="3673" spans="1:4">
      <c r="A3673" s="619">
        <v>42759</v>
      </c>
      <c r="B3673" s="620">
        <v>15.9558</v>
      </c>
    </row>
    <row r="3674" spans="1:4">
      <c r="A3674" s="619">
        <v>42760</v>
      </c>
      <c r="B3674" s="620">
        <v>15.9312</v>
      </c>
    </row>
    <row r="3675" spans="1:4">
      <c r="A3675" s="619">
        <v>42761</v>
      </c>
      <c r="B3675" s="620">
        <v>15.944800000000001</v>
      </c>
    </row>
    <row r="3676" spans="1:4">
      <c r="A3676" s="619">
        <v>42762</v>
      </c>
      <c r="B3676" s="620">
        <v>15.8908</v>
      </c>
    </row>
    <row r="3677" spans="1:4">
      <c r="A3677" s="619">
        <v>42765</v>
      </c>
      <c r="B3677" s="620">
        <v>15.935</v>
      </c>
      <c r="D3677" s="613">
        <v>42736</v>
      </c>
    </row>
    <row r="3678" spans="1:4">
      <c r="A3678" s="619">
        <v>42766</v>
      </c>
      <c r="B3678" s="620">
        <v>15.9117</v>
      </c>
      <c r="D3678" s="604">
        <v>15.906499999999996</v>
      </c>
    </row>
    <row r="3679" spans="1:4">
      <c r="A3679" s="619">
        <v>42767</v>
      </c>
      <c r="B3679" s="620">
        <v>15.835000000000001</v>
      </c>
    </row>
    <row r="3680" spans="1:4">
      <c r="A3680" s="619">
        <v>42768</v>
      </c>
      <c r="B3680" s="620">
        <v>15.7235</v>
      </c>
    </row>
    <row r="3681" spans="1:4">
      <c r="A3681" s="619">
        <v>42769</v>
      </c>
      <c r="B3681" s="620">
        <v>15.654199999999999</v>
      </c>
    </row>
    <row r="3682" spans="1:4">
      <c r="A3682" s="619">
        <v>42772</v>
      </c>
      <c r="B3682" s="620">
        <v>15.6175</v>
      </c>
    </row>
    <row r="3683" spans="1:4">
      <c r="A3683" s="619">
        <v>42773</v>
      </c>
      <c r="B3683" s="620">
        <v>15.7212</v>
      </c>
    </row>
    <row r="3684" spans="1:4">
      <c r="A3684" s="619">
        <v>42774</v>
      </c>
      <c r="B3684" s="620">
        <v>15.685</v>
      </c>
    </row>
    <row r="3685" spans="1:4">
      <c r="A3685" s="619">
        <v>42775</v>
      </c>
      <c r="B3685" s="620">
        <v>15.6325</v>
      </c>
    </row>
    <row r="3686" spans="1:4">
      <c r="A3686" s="619">
        <v>42776</v>
      </c>
      <c r="B3686" s="620">
        <v>15.548299999999999</v>
      </c>
    </row>
    <row r="3687" spans="1:4">
      <c r="A3687" s="619">
        <v>42779</v>
      </c>
      <c r="B3687" s="620">
        <v>15.526199999999999</v>
      </c>
    </row>
    <row r="3688" spans="1:4">
      <c r="A3688" s="619">
        <v>42780</v>
      </c>
      <c r="B3688" s="620">
        <v>15.484500000000001</v>
      </c>
    </row>
    <row r="3689" spans="1:4">
      <c r="A3689" s="619">
        <v>42781</v>
      </c>
      <c r="B3689" s="620">
        <v>15.4587</v>
      </c>
    </row>
    <row r="3690" spans="1:4">
      <c r="A3690" s="619">
        <v>42782</v>
      </c>
      <c r="B3690" s="620">
        <v>15.3675</v>
      </c>
    </row>
    <row r="3691" spans="1:4">
      <c r="A3691" s="619">
        <v>42783</v>
      </c>
      <c r="B3691" s="620">
        <v>15.574999999999999</v>
      </c>
    </row>
    <row r="3692" spans="1:4">
      <c r="A3692" s="619">
        <v>42786</v>
      </c>
      <c r="B3692" s="620">
        <v>15.715</v>
      </c>
    </row>
    <row r="3693" spans="1:4">
      <c r="A3693" s="619">
        <v>42787</v>
      </c>
      <c r="B3693" s="620">
        <v>15.664199999999999</v>
      </c>
    </row>
    <row r="3694" spans="1:4">
      <c r="A3694" s="619">
        <v>42788</v>
      </c>
      <c r="B3694" s="620">
        <v>15.5358</v>
      </c>
    </row>
    <row r="3695" spans="1:4">
      <c r="A3695" s="619">
        <v>42789</v>
      </c>
      <c r="B3695" s="620">
        <v>15.569800000000001</v>
      </c>
      <c r="D3695" s="613">
        <v>42767</v>
      </c>
    </row>
    <row r="3696" spans="1:4">
      <c r="A3696" s="619">
        <v>42790</v>
      </c>
      <c r="B3696" s="620">
        <v>15.455</v>
      </c>
      <c r="D3696" s="604">
        <v>15.5983</v>
      </c>
    </row>
    <row r="3697" spans="1:4">
      <c r="A3697" s="619">
        <v>42795</v>
      </c>
      <c r="B3697" s="620">
        <v>15.477</v>
      </c>
      <c r="D3697" s="597"/>
    </row>
    <row r="3698" spans="1:4">
      <c r="A3698" s="619">
        <v>42796</v>
      </c>
      <c r="B3698" s="620">
        <v>15.387499999999999</v>
      </c>
    </row>
    <row r="3699" spans="1:4">
      <c r="A3699" s="619">
        <v>42797</v>
      </c>
      <c r="B3699" s="620">
        <v>15.45</v>
      </c>
    </row>
    <row r="3700" spans="1:4">
      <c r="A3700" s="619">
        <v>42800</v>
      </c>
      <c r="B3700" s="620">
        <v>15.4375</v>
      </c>
    </row>
    <row r="3701" spans="1:4">
      <c r="A3701" s="619">
        <v>42801</v>
      </c>
      <c r="B3701" s="620">
        <v>15.5008</v>
      </c>
    </row>
    <row r="3702" spans="1:4">
      <c r="A3702" s="619">
        <v>42802</v>
      </c>
      <c r="B3702" s="620">
        <v>15.593299999999999</v>
      </c>
    </row>
    <row r="3703" spans="1:4">
      <c r="A3703" s="619">
        <v>42803</v>
      </c>
      <c r="B3703" s="620">
        <v>15.625</v>
      </c>
    </row>
    <row r="3704" spans="1:4">
      <c r="A3704" s="619">
        <v>42804</v>
      </c>
      <c r="B3704" s="620">
        <v>15.476699999999999</v>
      </c>
    </row>
    <row r="3705" spans="1:4">
      <c r="A3705" s="619">
        <v>42807</v>
      </c>
      <c r="B3705" s="620">
        <v>15.516299999999999</v>
      </c>
    </row>
    <row r="3706" spans="1:4">
      <c r="A3706" s="619">
        <v>42808</v>
      </c>
      <c r="B3706" s="620">
        <v>15.5358</v>
      </c>
    </row>
    <row r="3707" spans="1:4">
      <c r="A3707" s="619">
        <v>42809</v>
      </c>
      <c r="B3707" s="620">
        <v>15.5467</v>
      </c>
    </row>
    <row r="3708" spans="1:4">
      <c r="A3708" s="619">
        <v>42810</v>
      </c>
      <c r="B3708" s="620">
        <v>15.5283</v>
      </c>
    </row>
    <row r="3709" spans="1:4">
      <c r="A3709" s="619">
        <v>42811</v>
      </c>
      <c r="B3709" s="620">
        <v>15.5342</v>
      </c>
    </row>
    <row r="3710" spans="1:4">
      <c r="A3710" s="619">
        <v>42814</v>
      </c>
      <c r="B3710" s="620">
        <v>15.668699999999999</v>
      </c>
    </row>
    <row r="3711" spans="1:4">
      <c r="A3711" s="619">
        <v>42815</v>
      </c>
      <c r="B3711" s="620">
        <v>15.635300000000001</v>
      </c>
    </row>
    <row r="3712" spans="1:4">
      <c r="A3712" s="619">
        <v>42816</v>
      </c>
      <c r="B3712" s="620">
        <v>15.5815</v>
      </c>
    </row>
    <row r="3713" spans="1:4">
      <c r="A3713" s="619">
        <v>42817</v>
      </c>
      <c r="B3713" s="620">
        <v>15.625999999999999</v>
      </c>
    </row>
    <row r="3714" spans="1:4">
      <c r="A3714" s="619">
        <v>42821</v>
      </c>
      <c r="B3714" s="620">
        <v>15.6075</v>
      </c>
    </row>
    <row r="3715" spans="1:4">
      <c r="A3715" s="619">
        <v>42822</v>
      </c>
      <c r="B3715" s="620">
        <v>15.5433</v>
      </c>
    </row>
    <row r="3716" spans="1:4">
      <c r="A3716" s="619">
        <v>42823</v>
      </c>
      <c r="B3716" s="620">
        <v>15.4678</v>
      </c>
    </row>
    <row r="3717" spans="1:4">
      <c r="A3717" s="619">
        <v>42824</v>
      </c>
      <c r="B3717" s="620">
        <v>15.399800000000001</v>
      </c>
      <c r="D3717" s="613">
        <v>42795</v>
      </c>
    </row>
    <row r="3718" spans="1:4">
      <c r="A3718" s="619">
        <v>42825</v>
      </c>
      <c r="B3718" s="620">
        <v>15.3818</v>
      </c>
      <c r="D3718" s="604">
        <v>15.5237</v>
      </c>
    </row>
    <row r="3719" spans="1:4">
      <c r="A3719" s="619">
        <v>42828</v>
      </c>
      <c r="B3719" s="620">
        <v>15.4175</v>
      </c>
    </row>
    <row r="3720" spans="1:4">
      <c r="A3720" s="619">
        <v>42829</v>
      </c>
      <c r="B3720" s="620">
        <v>15.379</v>
      </c>
    </row>
    <row r="3721" spans="1:4">
      <c r="A3721" s="619">
        <v>42830</v>
      </c>
      <c r="B3721" s="620">
        <v>15.352</v>
      </c>
    </row>
    <row r="3722" spans="1:4">
      <c r="A3722" s="619">
        <v>42831</v>
      </c>
      <c r="B3722" s="620">
        <v>15.407500000000001</v>
      </c>
    </row>
    <row r="3723" spans="1:4">
      <c r="A3723" s="619">
        <v>42832</v>
      </c>
      <c r="B3723" s="620">
        <v>15.374499999999999</v>
      </c>
    </row>
    <row r="3724" spans="1:4">
      <c r="A3724" s="619">
        <v>42835</v>
      </c>
      <c r="B3724" s="620">
        <v>15.3293</v>
      </c>
    </row>
    <row r="3725" spans="1:4">
      <c r="A3725" s="619">
        <v>42836</v>
      </c>
      <c r="B3725" s="620">
        <v>15.2393</v>
      </c>
    </row>
    <row r="3726" spans="1:4">
      <c r="A3726" s="619">
        <v>42837</v>
      </c>
      <c r="B3726" s="620">
        <v>15.174200000000001</v>
      </c>
      <c r="D3726" s="597"/>
    </row>
    <row r="3727" spans="1:4">
      <c r="A3727" s="619">
        <v>42842</v>
      </c>
      <c r="B3727" s="620">
        <v>15.2098</v>
      </c>
    </row>
    <row r="3728" spans="1:4">
      <c r="A3728" s="619">
        <v>42843</v>
      </c>
      <c r="B3728" s="620">
        <v>15.2255</v>
      </c>
    </row>
    <row r="3729" spans="1:4">
      <c r="A3729" s="619">
        <v>42844</v>
      </c>
      <c r="B3729" s="620">
        <v>15.416700000000001</v>
      </c>
    </row>
    <row r="3730" spans="1:4">
      <c r="A3730" s="619">
        <v>42845</v>
      </c>
      <c r="B3730" s="620">
        <v>15.404199999999999</v>
      </c>
    </row>
    <row r="3731" spans="1:4">
      <c r="A3731" s="619">
        <v>42846</v>
      </c>
      <c r="B3731" s="620">
        <v>15.393000000000001</v>
      </c>
    </row>
    <row r="3732" spans="1:4">
      <c r="A3732" s="619">
        <v>42849</v>
      </c>
      <c r="B3732" s="620">
        <v>15.4192</v>
      </c>
    </row>
    <row r="3733" spans="1:4">
      <c r="A3733" s="619">
        <v>42850</v>
      </c>
      <c r="B3733" s="620">
        <v>15.414199999999999</v>
      </c>
    </row>
    <row r="3734" spans="1:4">
      <c r="A3734" s="619">
        <v>42851</v>
      </c>
      <c r="B3734" s="620">
        <v>15.443199999999999</v>
      </c>
    </row>
    <row r="3735" spans="1:4">
      <c r="A3735" s="619">
        <v>42852</v>
      </c>
      <c r="B3735" s="620">
        <v>15.453200000000001</v>
      </c>
      <c r="D3735" s="613">
        <v>42826</v>
      </c>
    </row>
    <row r="3736" spans="1:4">
      <c r="A3736" s="619">
        <v>42853</v>
      </c>
      <c r="B3736" s="620">
        <v>15.4268</v>
      </c>
      <c r="D3736" s="604">
        <v>15.359949999999998</v>
      </c>
    </row>
    <row r="3737" spans="1:4">
      <c r="A3737" s="619">
        <v>42857</v>
      </c>
      <c r="B3737" s="620">
        <v>15.325799999999999</v>
      </c>
    </row>
    <row r="3738" spans="1:4">
      <c r="A3738" s="619">
        <v>42858</v>
      </c>
      <c r="B3738" s="620">
        <v>15.268700000000001</v>
      </c>
    </row>
    <row r="3739" spans="1:4">
      <c r="A3739" s="619">
        <v>42859</v>
      </c>
      <c r="B3739" s="620">
        <v>15.372199999999999</v>
      </c>
    </row>
    <row r="3740" spans="1:4">
      <c r="A3740" s="619">
        <v>42860</v>
      </c>
      <c r="B3740" s="620">
        <v>15.335000000000001</v>
      </c>
    </row>
    <row r="3741" spans="1:4">
      <c r="A3741" s="619">
        <v>42863</v>
      </c>
      <c r="B3741" s="620">
        <v>15.3908</v>
      </c>
    </row>
    <row r="3742" spans="1:4">
      <c r="A3742" s="619">
        <v>42864</v>
      </c>
      <c r="B3742" s="620">
        <v>15.5467</v>
      </c>
    </row>
    <row r="3743" spans="1:4">
      <c r="A3743" s="619">
        <v>42865</v>
      </c>
      <c r="B3743" s="620">
        <v>15.534700000000001</v>
      </c>
    </row>
    <row r="3744" spans="1:4">
      <c r="A3744" s="619">
        <v>42866</v>
      </c>
      <c r="B3744" s="620">
        <v>15.4575</v>
      </c>
    </row>
    <row r="3745" spans="1:4">
      <c r="A3745" s="619">
        <v>42867</v>
      </c>
      <c r="B3745" s="620">
        <v>15.412699999999999</v>
      </c>
    </row>
    <row r="3746" spans="1:4">
      <c r="A3746" s="619">
        <v>42870</v>
      </c>
      <c r="B3746" s="620">
        <v>15.4848</v>
      </c>
    </row>
    <row r="3747" spans="1:4">
      <c r="A3747" s="619">
        <v>42871</v>
      </c>
      <c r="B3747" s="620">
        <v>15.5928</v>
      </c>
    </row>
    <row r="3748" spans="1:4">
      <c r="A3748" s="619">
        <v>42872</v>
      </c>
      <c r="B3748" s="620">
        <v>15.6248</v>
      </c>
    </row>
    <row r="3749" spans="1:4">
      <c r="A3749" s="619">
        <v>42873</v>
      </c>
      <c r="B3749" s="620">
        <v>15.9108</v>
      </c>
    </row>
    <row r="3750" spans="1:4">
      <c r="A3750" s="619">
        <v>42874</v>
      </c>
      <c r="B3750" s="620">
        <v>15.8858</v>
      </c>
    </row>
    <row r="3751" spans="1:4">
      <c r="A3751" s="619">
        <v>42877</v>
      </c>
      <c r="B3751" s="620">
        <v>16.07</v>
      </c>
    </row>
    <row r="3752" spans="1:4">
      <c r="A3752" s="619">
        <v>42878</v>
      </c>
      <c r="B3752" s="620">
        <v>16.096699999999998</v>
      </c>
    </row>
    <row r="3753" spans="1:4">
      <c r="A3753" s="619">
        <v>42879</v>
      </c>
      <c r="B3753" s="620">
        <v>16.0975</v>
      </c>
    </row>
    <row r="3754" spans="1:4">
      <c r="A3754" s="619">
        <v>42881</v>
      </c>
      <c r="B3754" s="620">
        <v>16.0383</v>
      </c>
    </row>
    <row r="3755" spans="1:4">
      <c r="A3755" s="619">
        <v>42884</v>
      </c>
      <c r="B3755" s="620">
        <v>16.0075</v>
      </c>
    </row>
    <row r="3756" spans="1:4">
      <c r="A3756" s="619">
        <v>42885</v>
      </c>
      <c r="B3756" s="620">
        <v>16.065799999999999</v>
      </c>
      <c r="D3756" s="613">
        <v>42856</v>
      </c>
    </row>
    <row r="3757" spans="1:4">
      <c r="A3757" s="619">
        <v>42886</v>
      </c>
      <c r="B3757" s="620">
        <v>16.141999999999999</v>
      </c>
      <c r="D3757" s="604">
        <v>15.6981</v>
      </c>
    </row>
    <row r="3758" spans="1:4">
      <c r="A3758" s="619">
        <v>42887</v>
      </c>
      <c r="B3758" s="620">
        <v>16.057700000000001</v>
      </c>
      <c r="D3758" s="631"/>
    </row>
    <row r="3759" spans="1:4">
      <c r="A3759" s="619">
        <v>42888</v>
      </c>
      <c r="B3759" s="620">
        <v>16.031300000000002</v>
      </c>
    </row>
    <row r="3760" spans="1:4">
      <c r="A3760" s="619">
        <v>42891</v>
      </c>
      <c r="B3760" s="620">
        <v>16.030999999999999</v>
      </c>
    </row>
    <row r="3761" spans="1:2">
      <c r="A3761" s="619">
        <v>42892</v>
      </c>
      <c r="B3761" s="620">
        <v>16.0075</v>
      </c>
    </row>
    <row r="3762" spans="1:2">
      <c r="A3762" s="619">
        <v>42893</v>
      </c>
      <c r="B3762" s="620">
        <v>16.005500000000001</v>
      </c>
    </row>
    <row r="3763" spans="1:2">
      <c r="A3763" s="619">
        <v>42894</v>
      </c>
      <c r="B3763" s="620">
        <v>15.9892</v>
      </c>
    </row>
    <row r="3764" spans="1:2">
      <c r="A3764" s="619">
        <v>42895</v>
      </c>
      <c r="B3764" s="620">
        <v>15.9</v>
      </c>
    </row>
    <row r="3765" spans="1:2">
      <c r="A3765" s="619">
        <v>42898</v>
      </c>
      <c r="B3765" s="620">
        <v>15.931699999999999</v>
      </c>
    </row>
    <row r="3766" spans="1:2">
      <c r="A3766" s="619">
        <v>42899</v>
      </c>
      <c r="B3766" s="620">
        <v>15.891999999999999</v>
      </c>
    </row>
    <row r="3767" spans="1:2">
      <c r="A3767" s="619">
        <v>42900</v>
      </c>
      <c r="B3767" s="620">
        <v>15.851000000000001</v>
      </c>
    </row>
    <row r="3768" spans="1:2">
      <c r="A3768" s="619">
        <v>42901</v>
      </c>
      <c r="B3768" s="620">
        <v>15.924300000000001</v>
      </c>
    </row>
    <row r="3769" spans="1:2">
      <c r="A3769" s="619">
        <v>42902</v>
      </c>
      <c r="B3769" s="620">
        <v>16.009699999999999</v>
      </c>
    </row>
    <row r="3770" spans="1:2">
      <c r="A3770" s="619">
        <v>42905</v>
      </c>
      <c r="B3770" s="620">
        <v>16.066199999999998</v>
      </c>
    </row>
    <row r="3771" spans="1:2">
      <c r="A3771" s="619">
        <v>42907</v>
      </c>
      <c r="B3771" s="620">
        <v>16.357500000000002</v>
      </c>
    </row>
    <row r="3772" spans="1:2">
      <c r="A3772" s="619">
        <v>42908</v>
      </c>
      <c r="B3772" s="620">
        <v>16.1875</v>
      </c>
    </row>
    <row r="3773" spans="1:2">
      <c r="A3773" s="619">
        <v>42909</v>
      </c>
      <c r="B3773" s="620">
        <v>16.13</v>
      </c>
    </row>
    <row r="3774" spans="1:2">
      <c r="A3774" s="619">
        <v>42912</v>
      </c>
      <c r="B3774" s="620">
        <v>16.238800000000001</v>
      </c>
    </row>
    <row r="3775" spans="1:2">
      <c r="A3775" s="619">
        <v>42913</v>
      </c>
      <c r="B3775" s="620">
        <v>16.39</v>
      </c>
    </row>
    <row r="3776" spans="1:2">
      <c r="A3776" s="619">
        <v>42914</v>
      </c>
      <c r="B3776" s="620">
        <v>16.369</v>
      </c>
    </row>
    <row r="3777" spans="1:4">
      <c r="A3777" s="619">
        <v>42915</v>
      </c>
      <c r="B3777" s="620">
        <v>16.481000000000002</v>
      </c>
      <c r="D3777" s="613">
        <v>42887</v>
      </c>
    </row>
    <row r="3778" spans="1:4">
      <c r="A3778" s="619">
        <v>42916</v>
      </c>
      <c r="B3778" s="620">
        <v>16.598500000000001</v>
      </c>
      <c r="D3778" s="604">
        <v>16.116599999999998</v>
      </c>
    </row>
    <row r="3779" spans="1:4">
      <c r="A3779" s="619">
        <v>42919</v>
      </c>
      <c r="B3779" s="620">
        <v>16.681699999999999</v>
      </c>
      <c r="D3779" s="597"/>
    </row>
    <row r="3780" spans="1:4">
      <c r="A3780" s="619">
        <v>42920</v>
      </c>
      <c r="B3780" s="620">
        <v>16.8733</v>
      </c>
      <c r="D3780" s="597"/>
    </row>
    <row r="3781" spans="1:4">
      <c r="A3781" s="619">
        <v>42921</v>
      </c>
      <c r="B3781" s="620">
        <v>17.001799999999999</v>
      </c>
      <c r="D3781" s="597"/>
    </row>
    <row r="3782" spans="1:4">
      <c r="A3782" s="619">
        <v>42922</v>
      </c>
      <c r="B3782" s="620">
        <v>17.148299999999999</v>
      </c>
      <c r="D3782" s="597"/>
    </row>
    <row r="3783" spans="1:4">
      <c r="A3783" s="619">
        <v>42923</v>
      </c>
      <c r="B3783" s="620">
        <v>16.974299999999999</v>
      </c>
      <c r="D3783" s="597"/>
    </row>
    <row r="3784" spans="1:4">
      <c r="A3784" s="619">
        <v>42926</v>
      </c>
      <c r="B3784" s="620">
        <v>16.989999999999998</v>
      </c>
      <c r="D3784" s="597"/>
    </row>
    <row r="3785" spans="1:4">
      <c r="A3785" s="619">
        <v>42927</v>
      </c>
      <c r="B3785" s="620">
        <v>16.992999999999999</v>
      </c>
      <c r="D3785" s="597"/>
    </row>
    <row r="3786" spans="1:4">
      <c r="A3786" s="619">
        <v>42928</v>
      </c>
      <c r="B3786" s="620">
        <v>16.971699999999998</v>
      </c>
      <c r="D3786" s="597"/>
    </row>
    <row r="3787" spans="1:4">
      <c r="A3787" s="619">
        <v>42929</v>
      </c>
      <c r="B3787" s="620">
        <v>16.951699999999999</v>
      </c>
      <c r="D3787" s="597"/>
    </row>
    <row r="3788" spans="1:4">
      <c r="A3788" s="619">
        <v>42930</v>
      </c>
      <c r="B3788" s="620">
        <v>16.869700000000002</v>
      </c>
      <c r="D3788" s="597"/>
    </row>
    <row r="3789" spans="1:4">
      <c r="A3789" s="619">
        <v>42933</v>
      </c>
      <c r="B3789" s="620">
        <v>16.875800000000002</v>
      </c>
      <c r="D3789" s="597"/>
    </row>
    <row r="3790" spans="1:4">
      <c r="A3790" s="619">
        <v>42934</v>
      </c>
      <c r="B3790" s="620">
        <v>17.026700000000002</v>
      </c>
      <c r="D3790" s="597"/>
    </row>
    <row r="3791" spans="1:4">
      <c r="A3791" s="619">
        <v>42935</v>
      </c>
      <c r="B3791" s="620">
        <v>17.311699999999998</v>
      </c>
      <c r="D3791" s="597"/>
    </row>
    <row r="3792" spans="1:4">
      <c r="A3792" s="619">
        <v>42936</v>
      </c>
      <c r="B3792" s="620">
        <v>17.125800000000002</v>
      </c>
      <c r="D3792" s="597"/>
    </row>
    <row r="3793" spans="1:4">
      <c r="A3793" s="619">
        <v>42937</v>
      </c>
      <c r="B3793" s="620">
        <v>17.3383</v>
      </c>
      <c r="D3793" s="597"/>
    </row>
    <row r="3794" spans="1:4">
      <c r="A3794" s="619">
        <v>42940</v>
      </c>
      <c r="B3794" s="620">
        <v>17.5367</v>
      </c>
      <c r="D3794" s="597"/>
    </row>
    <row r="3795" spans="1:4">
      <c r="A3795" s="619">
        <v>42941</v>
      </c>
      <c r="B3795" s="620">
        <v>17.409199999999998</v>
      </c>
      <c r="D3795" s="597"/>
    </row>
    <row r="3796" spans="1:4">
      <c r="A3796" s="619">
        <v>42942</v>
      </c>
      <c r="B3796" s="620">
        <v>17.474299999999999</v>
      </c>
      <c r="D3796" s="597"/>
    </row>
    <row r="3797" spans="1:4">
      <c r="A3797" s="619">
        <v>42943</v>
      </c>
      <c r="B3797" s="620">
        <v>17.561699999999998</v>
      </c>
      <c r="D3797" s="597"/>
    </row>
    <row r="3798" spans="1:4">
      <c r="A3798" s="619">
        <v>42944</v>
      </c>
      <c r="B3798" s="620">
        <v>17.764199999999999</v>
      </c>
      <c r="D3798" s="613">
        <v>42917</v>
      </c>
    </row>
    <row r="3799" spans="1:4">
      <c r="A3799" s="619">
        <v>42947</v>
      </c>
      <c r="B3799" s="620">
        <v>17.670000000000002</v>
      </c>
      <c r="D3799" s="604">
        <v>17.169</v>
      </c>
    </row>
    <row r="3800" spans="1:4">
      <c r="A3800" s="619">
        <v>42948</v>
      </c>
      <c r="B3800" s="620">
        <v>17.613499999999998</v>
      </c>
      <c r="D3800" s="597"/>
    </row>
    <row r="3801" spans="1:4">
      <c r="A3801" s="619">
        <v>42949</v>
      </c>
      <c r="B3801" s="620">
        <v>17.564800000000002</v>
      </c>
    </row>
    <row r="3802" spans="1:4">
      <c r="A3802" s="619">
        <v>42950</v>
      </c>
      <c r="B3802" s="620">
        <v>17.640799999999999</v>
      </c>
    </row>
    <row r="3803" spans="1:4">
      <c r="A3803" s="619">
        <v>42951</v>
      </c>
      <c r="B3803" s="620">
        <v>17.651700000000002</v>
      </c>
    </row>
    <row r="3804" spans="1:4">
      <c r="A3804" s="619">
        <v>42954</v>
      </c>
      <c r="B3804" s="620">
        <v>17.701699999999999</v>
      </c>
    </row>
    <row r="3805" spans="1:4">
      <c r="A3805" s="619">
        <v>42955</v>
      </c>
      <c r="B3805" s="620">
        <v>17.712800000000001</v>
      </c>
    </row>
    <row r="3806" spans="1:4">
      <c r="A3806" s="619">
        <v>42956</v>
      </c>
      <c r="B3806" s="620">
        <v>17.783300000000001</v>
      </c>
    </row>
    <row r="3807" spans="1:4">
      <c r="A3807" s="619">
        <v>42957</v>
      </c>
      <c r="B3807" s="620">
        <v>17.729800000000001</v>
      </c>
    </row>
    <row r="3808" spans="1:4">
      <c r="A3808" s="619">
        <v>42958</v>
      </c>
      <c r="B3808" s="620">
        <v>17.712</v>
      </c>
    </row>
    <row r="3809" spans="1:4">
      <c r="A3809" s="619">
        <v>42961</v>
      </c>
      <c r="B3809" s="620">
        <v>17.153300000000002</v>
      </c>
    </row>
    <row r="3810" spans="1:4">
      <c r="A3810" s="619">
        <v>42962</v>
      </c>
      <c r="B3810" s="620">
        <v>17.058299999999999</v>
      </c>
    </row>
    <row r="3811" spans="1:4">
      <c r="A3811" s="619">
        <v>42963</v>
      </c>
      <c r="B3811" s="620">
        <v>17.111699999999999</v>
      </c>
    </row>
    <row r="3812" spans="1:4">
      <c r="A3812" s="619">
        <v>42964</v>
      </c>
      <c r="B3812" s="620">
        <v>17.266500000000001</v>
      </c>
    </row>
    <row r="3813" spans="1:4">
      <c r="A3813" s="619">
        <v>42965</v>
      </c>
      <c r="B3813" s="620">
        <v>17.2822</v>
      </c>
    </row>
    <row r="3814" spans="1:4">
      <c r="A3814" s="619">
        <v>42969</v>
      </c>
      <c r="B3814" s="620">
        <v>17.2287</v>
      </c>
    </row>
    <row r="3815" spans="1:4">
      <c r="A3815" s="619">
        <v>42970</v>
      </c>
      <c r="B3815" s="620">
        <v>17.224799999999998</v>
      </c>
    </row>
    <row r="3816" spans="1:4">
      <c r="A3816" s="619">
        <v>42971</v>
      </c>
      <c r="B3816" s="620">
        <v>17.1767</v>
      </c>
    </row>
    <row r="3817" spans="1:4">
      <c r="A3817" s="619">
        <v>42972</v>
      </c>
      <c r="B3817" s="620">
        <v>17.222300000000001</v>
      </c>
    </row>
    <row r="3818" spans="1:4">
      <c r="A3818" s="619">
        <v>42975</v>
      </c>
      <c r="B3818" s="620">
        <v>17.215499999999999</v>
      </c>
    </row>
    <row r="3819" spans="1:4">
      <c r="A3819" s="619">
        <v>42976</v>
      </c>
      <c r="B3819" s="620">
        <v>17.308</v>
      </c>
    </row>
    <row r="3820" spans="1:4">
      <c r="A3820" s="619">
        <v>42977</v>
      </c>
      <c r="B3820" s="620">
        <v>17.440300000000001</v>
      </c>
      <c r="D3820" s="613">
        <v>42948</v>
      </c>
    </row>
    <row r="3821" spans="1:4">
      <c r="A3821" s="619">
        <v>42978</v>
      </c>
      <c r="B3821" s="620">
        <v>17.364999999999998</v>
      </c>
      <c r="D3821" s="604">
        <v>17.416499999999999</v>
      </c>
    </row>
    <row r="3822" spans="1:4">
      <c r="A3822" s="619">
        <v>42979</v>
      </c>
      <c r="B3822" s="620">
        <v>17.236699999999999</v>
      </c>
    </row>
    <row r="3823" spans="1:4">
      <c r="A3823" s="619">
        <v>42982</v>
      </c>
      <c r="B3823" s="620">
        <v>17.2425</v>
      </c>
    </row>
    <row r="3824" spans="1:4">
      <c r="A3824" s="619">
        <v>42983</v>
      </c>
      <c r="B3824" s="620">
        <v>17.258299999999998</v>
      </c>
    </row>
    <row r="3825" spans="1:2">
      <c r="A3825" s="619">
        <v>42984</v>
      </c>
      <c r="B3825" s="620">
        <v>17.218299999999999</v>
      </c>
    </row>
    <row r="3826" spans="1:2">
      <c r="A3826" s="619">
        <v>42985</v>
      </c>
      <c r="B3826" s="620">
        <v>17.2165</v>
      </c>
    </row>
    <row r="3827" spans="1:2">
      <c r="A3827" s="619">
        <v>42986</v>
      </c>
      <c r="B3827" s="620">
        <v>17.208300000000001</v>
      </c>
    </row>
    <row r="3828" spans="1:2">
      <c r="A3828" s="619">
        <v>42989</v>
      </c>
      <c r="B3828" s="620">
        <v>17.2012</v>
      </c>
    </row>
    <row r="3829" spans="1:2">
      <c r="A3829" s="619">
        <v>42990</v>
      </c>
      <c r="B3829" s="620">
        <v>17.112500000000001</v>
      </c>
    </row>
    <row r="3830" spans="1:2">
      <c r="A3830" s="619">
        <v>42991</v>
      </c>
      <c r="B3830" s="620">
        <v>17.058299999999999</v>
      </c>
    </row>
    <row r="3831" spans="1:2">
      <c r="A3831" s="619">
        <v>42992</v>
      </c>
      <c r="B3831" s="620">
        <v>17.0123</v>
      </c>
    </row>
    <row r="3832" spans="1:2">
      <c r="A3832" s="619">
        <v>42993</v>
      </c>
      <c r="B3832" s="620">
        <v>16.972000000000001</v>
      </c>
    </row>
    <row r="3833" spans="1:2">
      <c r="A3833" s="619">
        <v>42996</v>
      </c>
      <c r="B3833" s="620">
        <v>17.055800000000001</v>
      </c>
    </row>
    <row r="3834" spans="1:2">
      <c r="A3834" s="619">
        <v>42997</v>
      </c>
      <c r="B3834" s="620">
        <v>17.1983</v>
      </c>
    </row>
    <row r="3835" spans="1:2">
      <c r="A3835" s="619">
        <v>42998</v>
      </c>
      <c r="B3835" s="620">
        <v>17.148299999999999</v>
      </c>
    </row>
    <row r="3836" spans="1:2">
      <c r="A3836" s="619">
        <v>42999</v>
      </c>
      <c r="B3836" s="620">
        <v>17.275500000000001</v>
      </c>
    </row>
    <row r="3837" spans="1:2">
      <c r="A3837" s="619">
        <v>43000</v>
      </c>
      <c r="B3837" s="620">
        <v>17.3</v>
      </c>
    </row>
    <row r="3838" spans="1:2">
      <c r="A3838" s="619">
        <v>43003</v>
      </c>
      <c r="B3838" s="620">
        <v>17.4087</v>
      </c>
    </row>
    <row r="3839" spans="1:2">
      <c r="A3839" s="619">
        <v>43004</v>
      </c>
      <c r="B3839" s="620">
        <v>17.610800000000001</v>
      </c>
    </row>
    <row r="3840" spans="1:2">
      <c r="A3840" s="619">
        <v>43005</v>
      </c>
      <c r="B3840" s="620">
        <v>17.567</v>
      </c>
    </row>
    <row r="3841" spans="1:4">
      <c r="A3841" s="619">
        <v>43006</v>
      </c>
      <c r="B3841" s="620">
        <v>17.5562</v>
      </c>
      <c r="D3841" s="613">
        <v>42979</v>
      </c>
    </row>
    <row r="3842" spans="1:4">
      <c r="A3842" s="619">
        <v>43007</v>
      </c>
      <c r="B3842" s="620">
        <v>17.318300000000001</v>
      </c>
      <c r="D3842" s="604">
        <v>17.246500000000001</v>
      </c>
    </row>
    <row r="3843" spans="1:4">
      <c r="A3843" s="619">
        <v>43010</v>
      </c>
      <c r="B3843" s="620">
        <v>17.3475</v>
      </c>
    </row>
    <row r="3844" spans="1:4">
      <c r="A3844" s="619">
        <v>43011</v>
      </c>
      <c r="B3844" s="620">
        <v>17.4283</v>
      </c>
    </row>
    <row r="3845" spans="1:4">
      <c r="A3845" s="619">
        <v>43012</v>
      </c>
      <c r="B3845" s="620">
        <v>17.362300000000001</v>
      </c>
    </row>
    <row r="3846" spans="1:4">
      <c r="A3846" s="619">
        <v>43013</v>
      </c>
      <c r="B3846" s="620">
        <v>17.341999999999999</v>
      </c>
    </row>
    <row r="3847" spans="1:4">
      <c r="A3847" s="619">
        <v>43014</v>
      </c>
      <c r="B3847" s="620">
        <v>17.511700000000001</v>
      </c>
    </row>
    <row r="3848" spans="1:4">
      <c r="A3848" s="619">
        <v>43017</v>
      </c>
      <c r="B3848" s="620">
        <v>17.47</v>
      </c>
    </row>
    <row r="3849" spans="1:4">
      <c r="A3849" s="619">
        <v>43018</v>
      </c>
      <c r="B3849" s="620">
        <v>17.442499999999999</v>
      </c>
    </row>
    <row r="3850" spans="1:4">
      <c r="A3850" s="619">
        <v>43019</v>
      </c>
      <c r="B3850" s="620">
        <v>17.4312</v>
      </c>
    </row>
    <row r="3851" spans="1:4">
      <c r="A3851" s="619">
        <v>43020</v>
      </c>
      <c r="B3851" s="620">
        <v>17.434200000000001</v>
      </c>
    </row>
    <row r="3852" spans="1:4">
      <c r="A3852" s="619">
        <v>43021</v>
      </c>
      <c r="B3852" s="620">
        <v>17.361000000000001</v>
      </c>
    </row>
    <row r="3853" spans="1:4">
      <c r="A3853" s="619">
        <v>43025</v>
      </c>
      <c r="B3853" s="620">
        <v>17.379300000000001</v>
      </c>
    </row>
    <row r="3854" spans="1:4">
      <c r="A3854" s="619">
        <v>43026</v>
      </c>
      <c r="B3854" s="620">
        <v>17.324999999999999</v>
      </c>
    </row>
    <row r="3855" spans="1:4">
      <c r="A3855" s="619">
        <v>43027</v>
      </c>
      <c r="B3855" s="620">
        <v>17.4025</v>
      </c>
    </row>
    <row r="3856" spans="1:4">
      <c r="A3856" s="619">
        <v>43028</v>
      </c>
      <c r="B3856" s="620">
        <v>17.471</v>
      </c>
    </row>
    <row r="3857" spans="1:4">
      <c r="A3857" s="619">
        <v>43031</v>
      </c>
      <c r="B3857" s="620">
        <v>17.3217</v>
      </c>
    </row>
    <row r="3858" spans="1:4">
      <c r="A3858" s="619">
        <v>43032</v>
      </c>
      <c r="B3858" s="620">
        <v>17.495000000000001</v>
      </c>
    </row>
    <row r="3859" spans="1:4">
      <c r="A3859" s="619">
        <v>43033</v>
      </c>
      <c r="B3859" s="620">
        <v>17.445799999999998</v>
      </c>
    </row>
    <row r="3860" spans="1:4">
      <c r="A3860" s="619">
        <v>43034</v>
      </c>
      <c r="B3860" s="620">
        <v>17.530799999999999</v>
      </c>
    </row>
    <row r="3861" spans="1:4">
      <c r="A3861" s="619">
        <v>43035</v>
      </c>
      <c r="B3861" s="620">
        <v>17.677499999999998</v>
      </c>
    </row>
    <row r="3862" spans="1:4">
      <c r="A3862" s="619">
        <v>43038</v>
      </c>
      <c r="B3862" s="620">
        <v>17.657800000000002</v>
      </c>
      <c r="D3862" s="613">
        <v>43009</v>
      </c>
    </row>
    <row r="3863" spans="1:4">
      <c r="A3863" s="619">
        <v>43039</v>
      </c>
      <c r="B3863" s="620">
        <v>17.671299999999999</v>
      </c>
      <c r="D3863" s="604">
        <v>17.4528</v>
      </c>
    </row>
    <row r="3864" spans="1:4">
      <c r="A3864" s="619">
        <v>43040</v>
      </c>
      <c r="B3864" s="620">
        <v>17.6492</v>
      </c>
      <c r="D3864" s="597"/>
    </row>
    <row r="3865" spans="1:4">
      <c r="A3865" s="619">
        <v>43041</v>
      </c>
      <c r="B3865" s="620">
        <v>17.5733</v>
      </c>
    </row>
    <row r="3866" spans="1:4">
      <c r="A3866" s="619">
        <v>43042</v>
      </c>
      <c r="B3866" s="620">
        <v>17.5642</v>
      </c>
    </row>
    <row r="3867" spans="1:4">
      <c r="A3867" s="619">
        <v>43046</v>
      </c>
      <c r="B3867" s="620">
        <v>17.670300000000001</v>
      </c>
    </row>
    <row r="3868" spans="1:4">
      <c r="A3868" s="619">
        <v>43047</v>
      </c>
      <c r="B3868" s="620">
        <v>17.557500000000001</v>
      </c>
    </row>
    <row r="3869" spans="1:4">
      <c r="A3869" s="619">
        <v>43048</v>
      </c>
      <c r="B3869" s="620">
        <v>17.536999999999999</v>
      </c>
    </row>
    <row r="3870" spans="1:4">
      <c r="A3870" s="619">
        <v>43049</v>
      </c>
      <c r="B3870" s="620">
        <v>17.515799999999999</v>
      </c>
    </row>
    <row r="3871" spans="1:4">
      <c r="A3871" s="619">
        <v>43052</v>
      </c>
      <c r="B3871" s="620">
        <v>17.5367</v>
      </c>
    </row>
    <row r="3872" spans="1:4">
      <c r="A3872" s="619">
        <v>43053</v>
      </c>
      <c r="B3872" s="620">
        <v>17.489799999999999</v>
      </c>
    </row>
    <row r="3873" spans="1:4">
      <c r="A3873" s="619">
        <v>43054</v>
      </c>
      <c r="B3873" s="620">
        <v>17.532499999999999</v>
      </c>
    </row>
    <row r="3874" spans="1:4">
      <c r="A3874" s="619">
        <v>43055</v>
      </c>
      <c r="B3874" s="620">
        <v>17.494199999999999</v>
      </c>
    </row>
    <row r="3875" spans="1:4">
      <c r="A3875" s="619">
        <v>43056</v>
      </c>
      <c r="B3875" s="620">
        <v>17.486699999999999</v>
      </c>
    </row>
    <row r="3876" spans="1:4">
      <c r="A3876" s="619">
        <v>43060</v>
      </c>
      <c r="B3876" s="620">
        <v>17.510200000000001</v>
      </c>
    </row>
    <row r="3877" spans="1:4">
      <c r="A3877" s="619">
        <v>43061</v>
      </c>
      <c r="B3877" s="620">
        <v>17.467199999999998</v>
      </c>
    </row>
    <row r="3878" spans="1:4">
      <c r="A3878" s="619">
        <v>43062</v>
      </c>
      <c r="B3878" s="620">
        <v>17.423200000000001</v>
      </c>
    </row>
    <row r="3879" spans="1:4">
      <c r="A3879" s="619">
        <v>43063</v>
      </c>
      <c r="B3879" s="620">
        <v>17.371500000000001</v>
      </c>
    </row>
    <row r="3880" spans="1:4">
      <c r="A3880" s="619">
        <v>43066</v>
      </c>
      <c r="B3880" s="620">
        <v>17.3338</v>
      </c>
    </row>
    <row r="3881" spans="1:4">
      <c r="A3881" s="619">
        <v>43067</v>
      </c>
      <c r="B3881" s="620">
        <v>17.3307</v>
      </c>
    </row>
    <row r="3882" spans="1:4">
      <c r="A3882" s="619">
        <v>43068</v>
      </c>
      <c r="B3882" s="620">
        <v>17.421700000000001</v>
      </c>
      <c r="D3882" s="613">
        <v>43040</v>
      </c>
    </row>
    <row r="3883" spans="1:4">
      <c r="A3883" s="619">
        <v>43069</v>
      </c>
      <c r="B3883" s="620">
        <v>17.384499999999999</v>
      </c>
      <c r="D3883" s="604">
        <v>17.4925</v>
      </c>
    </row>
    <row r="3884" spans="1:4">
      <c r="A3884" s="619">
        <v>43070</v>
      </c>
      <c r="B3884" s="620">
        <v>17.260000000000002</v>
      </c>
    </row>
    <row r="3885" spans="1:4">
      <c r="A3885" s="619">
        <v>43073</v>
      </c>
      <c r="B3885" s="620">
        <v>17.2608</v>
      </c>
    </row>
    <row r="3886" spans="1:4">
      <c r="A3886" s="619">
        <v>43074</v>
      </c>
      <c r="B3886" s="620">
        <v>17.351299999999998</v>
      </c>
    </row>
    <row r="3887" spans="1:4">
      <c r="A3887" s="619">
        <v>43075</v>
      </c>
      <c r="B3887" s="620">
        <v>17.286200000000001</v>
      </c>
    </row>
    <row r="3888" spans="1:4">
      <c r="A3888" s="619">
        <v>43076</v>
      </c>
      <c r="B3888" s="620">
        <v>17.305800000000001</v>
      </c>
    </row>
    <row r="3889" spans="1:4">
      <c r="A3889" s="619">
        <v>43080</v>
      </c>
      <c r="B3889" s="620">
        <v>17.2697</v>
      </c>
    </row>
    <row r="3890" spans="1:4">
      <c r="A3890" s="619">
        <v>43081</v>
      </c>
      <c r="B3890" s="620">
        <v>17.263500000000001</v>
      </c>
    </row>
    <row r="3891" spans="1:4">
      <c r="A3891" s="619">
        <v>43082</v>
      </c>
      <c r="B3891" s="620">
        <v>17.315000000000001</v>
      </c>
    </row>
    <row r="3892" spans="1:4">
      <c r="A3892" s="619">
        <v>43083</v>
      </c>
      <c r="B3892" s="620">
        <v>17.3567</v>
      </c>
    </row>
    <row r="3893" spans="1:4">
      <c r="A3893" s="619">
        <v>43084</v>
      </c>
      <c r="B3893" s="620">
        <v>17.5517</v>
      </c>
    </row>
    <row r="3894" spans="1:4">
      <c r="A3894" s="619">
        <v>43087</v>
      </c>
      <c r="B3894" s="620">
        <v>17.5642</v>
      </c>
    </row>
    <row r="3895" spans="1:4">
      <c r="A3895" s="619">
        <v>43088</v>
      </c>
      <c r="B3895" s="620">
        <v>17.565799999999999</v>
      </c>
    </row>
    <row r="3896" spans="1:4">
      <c r="A3896" s="619">
        <v>43089</v>
      </c>
      <c r="B3896" s="620">
        <v>17.780799999999999</v>
      </c>
    </row>
    <row r="3897" spans="1:4">
      <c r="A3897" s="619">
        <v>43090</v>
      </c>
      <c r="B3897" s="620">
        <v>17.87</v>
      </c>
    </row>
    <row r="3898" spans="1:4">
      <c r="A3898" s="619">
        <v>43091</v>
      </c>
      <c r="B3898" s="620">
        <v>18.0108</v>
      </c>
    </row>
    <row r="3899" spans="1:4">
      <c r="A3899" s="619">
        <v>43095</v>
      </c>
      <c r="B3899" s="620">
        <v>18.249500000000001</v>
      </c>
    </row>
    <row r="3900" spans="1:4">
      <c r="A3900" s="619">
        <v>43096</v>
      </c>
      <c r="B3900" s="620">
        <v>18.434999999999999</v>
      </c>
    </row>
    <row r="3901" spans="1:4">
      <c r="A3901" s="619">
        <v>43097</v>
      </c>
      <c r="B3901" s="620">
        <v>18.829999999999998</v>
      </c>
      <c r="D3901" s="613">
        <v>43070</v>
      </c>
    </row>
    <row r="3902" spans="1:4">
      <c r="A3902" s="619">
        <v>43098</v>
      </c>
      <c r="B3902" s="620">
        <v>18.7742</v>
      </c>
      <c r="D3902" s="604">
        <v>17.700052631578945</v>
      </c>
    </row>
    <row r="3903" spans="1:4">
      <c r="A3903" s="619">
        <v>43102</v>
      </c>
      <c r="B3903" s="620">
        <v>18.55</v>
      </c>
      <c r="D3903" s="597"/>
    </row>
    <row r="3904" spans="1:4">
      <c r="A3904" s="619">
        <v>43103</v>
      </c>
      <c r="B3904" s="620">
        <v>18.415800000000001</v>
      </c>
    </row>
    <row r="3905" spans="1:2">
      <c r="A3905" s="619">
        <v>43104</v>
      </c>
      <c r="B3905" s="620">
        <v>18.605</v>
      </c>
    </row>
    <row r="3906" spans="1:2">
      <c r="A3906" s="619">
        <v>43105</v>
      </c>
      <c r="B3906" s="620">
        <v>18.860800000000001</v>
      </c>
    </row>
    <row r="3907" spans="1:2">
      <c r="A3907" s="619">
        <v>43108</v>
      </c>
      <c r="B3907" s="620">
        <v>19.072500000000002</v>
      </c>
    </row>
    <row r="3908" spans="1:2">
      <c r="A3908" s="619">
        <v>43109</v>
      </c>
      <c r="B3908" s="620">
        <v>19.0458</v>
      </c>
    </row>
    <row r="3909" spans="1:2">
      <c r="A3909" s="619">
        <v>43110</v>
      </c>
      <c r="B3909" s="620">
        <v>18.721699999999998</v>
      </c>
    </row>
    <row r="3910" spans="1:2">
      <c r="A3910" s="619">
        <v>43111</v>
      </c>
      <c r="B3910" s="620">
        <v>18.651700000000002</v>
      </c>
    </row>
    <row r="3911" spans="1:2">
      <c r="A3911" s="619">
        <v>43112</v>
      </c>
      <c r="B3911" s="620">
        <v>18.715</v>
      </c>
    </row>
    <row r="3912" spans="1:2">
      <c r="A3912" s="619">
        <v>43115</v>
      </c>
      <c r="B3912" s="620">
        <v>18.720800000000001</v>
      </c>
    </row>
    <row r="3913" spans="1:2">
      <c r="A3913" s="619">
        <v>43116</v>
      </c>
      <c r="B3913" s="620">
        <v>18.825800000000001</v>
      </c>
    </row>
    <row r="3914" spans="1:2">
      <c r="A3914" s="619">
        <v>43117</v>
      </c>
      <c r="B3914" s="620">
        <v>18.8917</v>
      </c>
    </row>
    <row r="3915" spans="1:2">
      <c r="A3915" s="619">
        <v>43118</v>
      </c>
      <c r="B3915" s="620">
        <v>18.852499999999999</v>
      </c>
    </row>
    <row r="3916" spans="1:2">
      <c r="A3916" s="619">
        <v>43119</v>
      </c>
      <c r="B3916" s="620">
        <v>18.962499999999999</v>
      </c>
    </row>
    <row r="3917" spans="1:2">
      <c r="A3917" s="619">
        <v>43122</v>
      </c>
      <c r="B3917" s="620">
        <v>19.07</v>
      </c>
    </row>
    <row r="3918" spans="1:2">
      <c r="A3918" s="619">
        <v>43123</v>
      </c>
      <c r="B3918" s="620">
        <v>19.316700000000001</v>
      </c>
    </row>
    <row r="3919" spans="1:2">
      <c r="A3919" s="619">
        <v>43124</v>
      </c>
      <c r="B3919" s="620">
        <v>19.5258</v>
      </c>
    </row>
    <row r="3920" spans="1:2">
      <c r="A3920" s="619">
        <v>43125</v>
      </c>
      <c r="B3920" s="620">
        <v>19.493300000000001</v>
      </c>
    </row>
    <row r="3921" spans="1:4">
      <c r="A3921" s="619">
        <v>43126</v>
      </c>
      <c r="B3921" s="620">
        <v>19.521699999999999</v>
      </c>
    </row>
    <row r="3922" spans="1:4">
      <c r="A3922" s="619">
        <v>43129</v>
      </c>
      <c r="B3922" s="620">
        <v>19.5717</v>
      </c>
    </row>
    <row r="3923" spans="1:4">
      <c r="A3923" s="619">
        <v>43130</v>
      </c>
      <c r="B3923" s="620">
        <v>19.595500000000001</v>
      </c>
      <c r="D3923" s="613">
        <v>43101</v>
      </c>
    </row>
    <row r="3924" spans="1:4">
      <c r="A3924" s="619">
        <v>43131</v>
      </c>
      <c r="B3924" s="620">
        <v>19.6525</v>
      </c>
      <c r="D3924" s="604">
        <v>19.029</v>
      </c>
    </row>
    <row r="3925" spans="1:4">
      <c r="A3925" s="619">
        <v>43132</v>
      </c>
      <c r="B3925" s="620">
        <v>19.47</v>
      </c>
    </row>
    <row r="3926" spans="1:4">
      <c r="A3926" s="619">
        <v>43133</v>
      </c>
      <c r="B3926" s="620">
        <v>19.5</v>
      </c>
      <c r="D3926" s="597"/>
    </row>
    <row r="3927" spans="1:4">
      <c r="A3927" s="619">
        <v>43136</v>
      </c>
      <c r="B3927" s="620">
        <v>19.5335</v>
      </c>
    </row>
    <row r="3928" spans="1:4">
      <c r="A3928" s="619">
        <v>43137</v>
      </c>
      <c r="B3928" s="620">
        <v>19.690000000000001</v>
      </c>
    </row>
    <row r="3929" spans="1:4">
      <c r="A3929" s="619">
        <v>43138</v>
      </c>
      <c r="B3929" s="620">
        <v>19.624199999999998</v>
      </c>
    </row>
    <row r="3930" spans="1:4">
      <c r="A3930" s="619">
        <v>43139</v>
      </c>
      <c r="B3930" s="620">
        <v>19.840800000000002</v>
      </c>
    </row>
    <row r="3931" spans="1:4">
      <c r="A3931" s="619">
        <v>43140</v>
      </c>
      <c r="B3931" s="620">
        <v>20.125800000000002</v>
      </c>
    </row>
    <row r="3932" spans="1:4">
      <c r="A3932" s="619">
        <v>43145</v>
      </c>
      <c r="B3932" s="620">
        <v>20.024999999999999</v>
      </c>
    </row>
    <row r="3933" spans="1:4">
      <c r="A3933" s="619">
        <v>43146</v>
      </c>
      <c r="B3933" s="620">
        <v>19.736699999999999</v>
      </c>
    </row>
    <row r="3934" spans="1:4">
      <c r="A3934" s="619">
        <v>43147</v>
      </c>
      <c r="B3934" s="620">
        <v>19.666699999999999</v>
      </c>
    </row>
    <row r="3935" spans="1:4">
      <c r="A3935" s="619">
        <v>43150</v>
      </c>
      <c r="B3935" s="620">
        <v>19.837499999999999</v>
      </c>
    </row>
    <row r="3936" spans="1:4">
      <c r="A3936" s="619">
        <v>43151</v>
      </c>
      <c r="B3936" s="620">
        <v>19.9375</v>
      </c>
    </row>
    <row r="3937" spans="1:4">
      <c r="A3937" s="619">
        <v>43152</v>
      </c>
      <c r="B3937" s="620">
        <v>19.9208</v>
      </c>
    </row>
    <row r="3938" spans="1:4">
      <c r="A3938" s="619">
        <v>43153</v>
      </c>
      <c r="B3938" s="620">
        <v>19.9407</v>
      </c>
    </row>
    <row r="3939" spans="1:4">
      <c r="A3939" s="619">
        <v>43154</v>
      </c>
      <c r="B3939" s="620">
        <v>19.968299999999999</v>
      </c>
    </row>
    <row r="3940" spans="1:4">
      <c r="A3940" s="619">
        <v>43157</v>
      </c>
      <c r="B3940" s="620">
        <v>20.0442</v>
      </c>
    </row>
    <row r="3941" spans="1:4">
      <c r="A3941" s="619">
        <v>43158</v>
      </c>
      <c r="B3941" s="620">
        <v>20.16</v>
      </c>
      <c r="D3941" s="613">
        <v>43132</v>
      </c>
    </row>
    <row r="3942" spans="1:4">
      <c r="A3942" s="619">
        <v>43159</v>
      </c>
      <c r="B3942" s="620">
        <v>20.114999999999998</v>
      </c>
      <c r="D3942" s="604">
        <v>19.840900000000001</v>
      </c>
    </row>
    <row r="3943" spans="1:4">
      <c r="A3943" s="619">
        <v>43160</v>
      </c>
      <c r="B3943" s="620">
        <v>20.161999999999999</v>
      </c>
    </row>
    <row r="3944" spans="1:4">
      <c r="A3944" s="619">
        <v>43161</v>
      </c>
      <c r="B3944" s="620">
        <v>20.230799999999999</v>
      </c>
    </row>
    <row r="3945" spans="1:4">
      <c r="A3945" s="619">
        <v>43164</v>
      </c>
      <c r="B3945" s="620">
        <v>20.2942</v>
      </c>
    </row>
    <row r="3946" spans="1:4">
      <c r="A3946" s="619">
        <v>43165</v>
      </c>
      <c r="B3946" s="620">
        <v>20.1982</v>
      </c>
    </row>
    <row r="3947" spans="1:4">
      <c r="A3947" s="619">
        <v>43166</v>
      </c>
      <c r="B3947" s="620">
        <v>20.3492</v>
      </c>
    </row>
    <row r="3948" spans="1:4">
      <c r="A3948" s="619">
        <v>43167</v>
      </c>
      <c r="B3948" s="620">
        <v>20.387499999999999</v>
      </c>
    </row>
    <row r="3949" spans="1:4">
      <c r="A3949" s="619">
        <v>43168</v>
      </c>
      <c r="B3949" s="620">
        <v>20.272500000000001</v>
      </c>
    </row>
    <row r="3950" spans="1:4">
      <c r="A3950" s="619">
        <v>43171</v>
      </c>
      <c r="B3950" s="620">
        <v>20.219200000000001</v>
      </c>
    </row>
    <row r="3951" spans="1:4">
      <c r="A3951" s="619">
        <v>43172</v>
      </c>
      <c r="B3951" s="620">
        <v>20.188700000000001</v>
      </c>
    </row>
    <row r="3952" spans="1:4">
      <c r="A3952" s="619">
        <v>43173</v>
      </c>
      <c r="B3952" s="620">
        <v>20.192699999999999</v>
      </c>
    </row>
    <row r="3953" spans="1:4">
      <c r="A3953" s="619">
        <v>43174</v>
      </c>
      <c r="B3953" s="620">
        <v>20.266500000000001</v>
      </c>
    </row>
    <row r="3954" spans="1:4">
      <c r="A3954" s="619">
        <v>43175</v>
      </c>
      <c r="B3954" s="620">
        <v>20.291799999999999</v>
      </c>
    </row>
    <row r="3955" spans="1:4">
      <c r="A3955" s="619">
        <v>43178</v>
      </c>
      <c r="B3955" s="620">
        <v>20.252500000000001</v>
      </c>
    </row>
    <row r="3956" spans="1:4">
      <c r="A3956" s="619">
        <v>43179</v>
      </c>
      <c r="B3956" s="620">
        <v>20.239000000000001</v>
      </c>
    </row>
    <row r="3957" spans="1:4">
      <c r="A3957" s="619">
        <v>43180</v>
      </c>
      <c r="B3957" s="620">
        <v>20.2805</v>
      </c>
    </row>
    <row r="3958" spans="1:4">
      <c r="A3958" s="619">
        <v>43181</v>
      </c>
      <c r="B3958" s="620">
        <v>20.246500000000001</v>
      </c>
    </row>
    <row r="3959" spans="1:4">
      <c r="A3959" s="619">
        <v>43182</v>
      </c>
      <c r="B3959" s="620">
        <v>20.214200000000002</v>
      </c>
    </row>
    <row r="3960" spans="1:4">
      <c r="A3960" s="619">
        <v>43185</v>
      </c>
      <c r="B3960" s="620">
        <v>20.164200000000001</v>
      </c>
    </row>
    <row r="3961" spans="1:4">
      <c r="A3961" s="619">
        <v>43186</v>
      </c>
      <c r="B3961" s="620">
        <v>20.162500000000001</v>
      </c>
      <c r="D3961" s="613">
        <v>43160</v>
      </c>
    </row>
    <row r="3962" spans="1:4">
      <c r="A3962" s="619">
        <v>43187</v>
      </c>
      <c r="B3962" s="620">
        <v>20.1433</v>
      </c>
      <c r="D3962" s="604">
        <v>20.237800000000004</v>
      </c>
    </row>
    <row r="3963" spans="1:4">
      <c r="A3963" s="619">
        <v>43193</v>
      </c>
      <c r="B3963" s="620">
        <v>20.1648</v>
      </c>
    </row>
    <row r="3964" spans="1:4">
      <c r="A3964" s="619">
        <v>43194</v>
      </c>
      <c r="B3964" s="620">
        <v>20.198</v>
      </c>
    </row>
    <row r="3965" spans="1:4">
      <c r="A3965" s="619">
        <v>43195</v>
      </c>
      <c r="B3965" s="620">
        <v>20.184200000000001</v>
      </c>
    </row>
    <row r="3966" spans="1:4">
      <c r="A3966" s="619">
        <v>43196</v>
      </c>
      <c r="B3966" s="620">
        <v>20.212499999999999</v>
      </c>
    </row>
    <row r="3967" spans="1:4">
      <c r="A3967" s="619">
        <v>43199</v>
      </c>
      <c r="B3967" s="620">
        <v>20.1937</v>
      </c>
    </row>
    <row r="3968" spans="1:4">
      <c r="A3968" s="619">
        <v>43200</v>
      </c>
      <c r="B3968" s="620">
        <v>20.190799999999999</v>
      </c>
    </row>
    <row r="3969" spans="1:4">
      <c r="A3969" s="619">
        <v>43201</v>
      </c>
      <c r="B3969" s="620">
        <v>20.159800000000001</v>
      </c>
    </row>
    <row r="3970" spans="1:4">
      <c r="A3970" s="619">
        <v>43202</v>
      </c>
      <c r="B3970" s="620">
        <v>20.1693</v>
      </c>
    </row>
    <row r="3971" spans="1:4">
      <c r="A3971" s="619">
        <v>43203</v>
      </c>
      <c r="B3971" s="620">
        <v>20.207699999999999</v>
      </c>
    </row>
    <row r="3972" spans="1:4">
      <c r="A3972" s="619">
        <v>43206</v>
      </c>
      <c r="B3972" s="620">
        <v>20.2163</v>
      </c>
    </row>
    <row r="3973" spans="1:4">
      <c r="A3973" s="619">
        <v>43207</v>
      </c>
      <c r="B3973" s="620">
        <v>20.181000000000001</v>
      </c>
    </row>
    <row r="3974" spans="1:4">
      <c r="A3974" s="619">
        <v>43208</v>
      </c>
      <c r="B3974" s="620">
        <v>20.145</v>
      </c>
    </row>
    <row r="3975" spans="1:4">
      <c r="A3975" s="619">
        <v>43209</v>
      </c>
      <c r="B3975" s="620">
        <v>20.1557</v>
      </c>
    </row>
    <row r="3976" spans="1:4">
      <c r="A3976" s="619">
        <v>43210</v>
      </c>
      <c r="B3976" s="620">
        <v>20.186199999999999</v>
      </c>
    </row>
    <row r="3977" spans="1:4">
      <c r="A3977" s="619">
        <v>43213</v>
      </c>
      <c r="B3977" s="620">
        <v>20.2455</v>
      </c>
    </row>
    <row r="3978" spans="1:4">
      <c r="A3978" s="619">
        <v>43214</v>
      </c>
      <c r="B3978" s="620">
        <v>20.253299999999999</v>
      </c>
    </row>
    <row r="3979" spans="1:4">
      <c r="A3979" s="619">
        <v>43215</v>
      </c>
      <c r="B3979" s="620">
        <v>20.259499999999999</v>
      </c>
    </row>
    <row r="3980" spans="1:4">
      <c r="A3980" s="619">
        <v>43216</v>
      </c>
      <c r="B3980" s="620">
        <v>20.447500000000002</v>
      </c>
      <c r="D3980" s="613">
        <v>43191</v>
      </c>
    </row>
    <row r="3981" spans="1:4">
      <c r="A3981" s="619">
        <v>43217</v>
      </c>
      <c r="B3981" s="620">
        <v>20.691700000000001</v>
      </c>
      <c r="D3981" s="604">
        <v>20.2349</v>
      </c>
    </row>
    <row r="3982" spans="1:4">
      <c r="A3982" s="619">
        <v>43222</v>
      </c>
      <c r="B3982" s="620">
        <v>20.965800000000002</v>
      </c>
    </row>
    <row r="3983" spans="1:4">
      <c r="A3983" s="619">
        <v>43223</v>
      </c>
      <c r="B3983" s="620">
        <v>21.749199999999998</v>
      </c>
      <c r="D3983" s="597"/>
    </row>
    <row r="3984" spans="1:4">
      <c r="A3984" s="619">
        <v>43224</v>
      </c>
      <c r="B3984" s="620">
        <v>21.695799999999998</v>
      </c>
    </row>
    <row r="3985" spans="1:2">
      <c r="A3985" s="619">
        <v>43227</v>
      </c>
      <c r="B3985" s="620">
        <v>21.824999999999999</v>
      </c>
    </row>
    <row r="3986" spans="1:2">
      <c r="A3986" s="619">
        <v>43228</v>
      </c>
      <c r="B3986" s="620">
        <v>22.763300000000001</v>
      </c>
    </row>
    <row r="3987" spans="1:2">
      <c r="A3987" s="619">
        <v>43229</v>
      </c>
      <c r="B3987" s="620">
        <v>22.568300000000001</v>
      </c>
    </row>
    <row r="3988" spans="1:2">
      <c r="A3988" s="619">
        <v>43230</v>
      </c>
      <c r="B3988" s="620">
        <v>22.630500000000001</v>
      </c>
    </row>
    <row r="3989" spans="1:2">
      <c r="A3989" s="619">
        <v>43231</v>
      </c>
      <c r="B3989" s="620">
        <v>23.2333</v>
      </c>
    </row>
    <row r="3990" spans="1:2">
      <c r="A3990" s="619">
        <v>43234</v>
      </c>
      <c r="B3990" s="620">
        <v>24.7683</v>
      </c>
    </row>
    <row r="3991" spans="1:2">
      <c r="A3991" s="619">
        <v>43235</v>
      </c>
      <c r="B3991" s="620">
        <v>24.799700000000001</v>
      </c>
    </row>
    <row r="3992" spans="1:2">
      <c r="A3992" s="619">
        <v>43236</v>
      </c>
      <c r="B3992" s="620">
        <v>24.0367</v>
      </c>
    </row>
    <row r="3993" spans="1:2">
      <c r="A3993" s="619">
        <v>43237</v>
      </c>
      <c r="B3993" s="620">
        <v>24.3292</v>
      </c>
    </row>
    <row r="3994" spans="1:2">
      <c r="A3994" s="619">
        <v>43238</v>
      </c>
      <c r="B3994" s="620">
        <v>24.603300000000001</v>
      </c>
    </row>
    <row r="3995" spans="1:2">
      <c r="A3995" s="619">
        <v>43241</v>
      </c>
      <c r="B3995" s="620">
        <v>24.269200000000001</v>
      </c>
    </row>
    <row r="3996" spans="1:2">
      <c r="A3996" s="619">
        <v>43242</v>
      </c>
      <c r="B3996" s="620">
        <v>24.361699999999999</v>
      </c>
    </row>
    <row r="3997" spans="1:2">
      <c r="A3997" s="619">
        <v>43243</v>
      </c>
      <c r="B3997" s="620">
        <v>24.435199999999998</v>
      </c>
    </row>
    <row r="3998" spans="1:2">
      <c r="A3998" s="619">
        <v>43244</v>
      </c>
      <c r="B3998" s="620">
        <v>24.556699999999999</v>
      </c>
    </row>
    <row r="3999" spans="1:2">
      <c r="A3999" s="619">
        <v>43248</v>
      </c>
      <c r="B3999" s="620">
        <v>24.7</v>
      </c>
    </row>
    <row r="4000" spans="1:2">
      <c r="A4000" s="619">
        <v>43249</v>
      </c>
      <c r="B4000" s="620">
        <v>24.9</v>
      </c>
    </row>
    <row r="4001" spans="1:4">
      <c r="A4001" s="619">
        <v>43250</v>
      </c>
      <c r="B4001" s="620">
        <v>24.905000000000001</v>
      </c>
      <c r="D4001" s="613">
        <v>43221</v>
      </c>
    </row>
    <row r="4002" spans="1:4">
      <c r="A4002" s="619">
        <v>43251</v>
      </c>
      <c r="B4002" s="620">
        <v>24.947500000000002</v>
      </c>
      <c r="D4002" s="604">
        <v>23.668700000000001</v>
      </c>
    </row>
    <row r="4003" spans="1:4">
      <c r="A4003" s="619">
        <v>43252</v>
      </c>
      <c r="B4003" s="620">
        <v>24.962499999999999</v>
      </c>
    </row>
    <row r="4004" spans="1:4">
      <c r="A4004" s="619">
        <v>43255</v>
      </c>
      <c r="B4004" s="620">
        <v>24.959199999999999</v>
      </c>
    </row>
    <row r="4005" spans="1:4">
      <c r="A4005" s="619">
        <v>43256</v>
      </c>
      <c r="B4005" s="620">
        <v>24.965299999999999</v>
      </c>
    </row>
    <row r="4006" spans="1:4">
      <c r="A4006" s="619">
        <v>43257</v>
      </c>
      <c r="B4006" s="620">
        <v>24.919499999999999</v>
      </c>
    </row>
    <row r="4007" spans="1:4">
      <c r="A4007" s="619">
        <v>43258</v>
      </c>
      <c r="B4007" s="620">
        <v>24.970300000000002</v>
      </c>
    </row>
    <row r="4008" spans="1:4">
      <c r="A4008" s="619">
        <v>43259</v>
      </c>
      <c r="B4008" s="620">
        <v>25.473299999999998</v>
      </c>
    </row>
    <row r="4009" spans="1:4">
      <c r="A4009" s="619">
        <v>43262</v>
      </c>
      <c r="B4009" s="620">
        <v>25.429200000000002</v>
      </c>
    </row>
    <row r="4010" spans="1:4">
      <c r="A4010" s="619">
        <v>43263</v>
      </c>
      <c r="B4010" s="620">
        <v>25.861699999999999</v>
      </c>
    </row>
    <row r="4011" spans="1:4">
      <c r="A4011" s="619">
        <v>43264</v>
      </c>
      <c r="B4011" s="620">
        <v>25.728300000000001</v>
      </c>
    </row>
    <row r="4012" spans="1:4">
      <c r="A4012" s="619">
        <v>43265</v>
      </c>
      <c r="B4012" s="620">
        <v>27.061699999999998</v>
      </c>
    </row>
    <row r="4013" spans="1:4">
      <c r="A4013" s="619">
        <v>43266</v>
      </c>
      <c r="B4013" s="620">
        <v>27.8767</v>
      </c>
    </row>
    <row r="4014" spans="1:4">
      <c r="A4014" s="619">
        <v>43269</v>
      </c>
      <c r="B4014" s="620">
        <v>27.896699999999999</v>
      </c>
    </row>
    <row r="4015" spans="1:4">
      <c r="A4015" s="619">
        <v>43270</v>
      </c>
      <c r="B4015" s="620">
        <v>27.7133</v>
      </c>
    </row>
    <row r="4016" spans="1:4">
      <c r="A4016" s="619">
        <v>43272</v>
      </c>
      <c r="B4016" s="620">
        <v>27.5533</v>
      </c>
    </row>
    <row r="4017" spans="1:4">
      <c r="A4017" s="619">
        <v>43273</v>
      </c>
      <c r="B4017" s="620">
        <v>27.2042</v>
      </c>
    </row>
    <row r="4018" spans="1:4">
      <c r="A4018" s="619">
        <v>43276</v>
      </c>
      <c r="B4018" s="620">
        <v>27.0167</v>
      </c>
    </row>
    <row r="4019" spans="1:4">
      <c r="A4019" s="619">
        <v>43277</v>
      </c>
      <c r="B4019" s="620">
        <v>27.121700000000001</v>
      </c>
    </row>
    <row r="4020" spans="1:4">
      <c r="A4020" s="619">
        <v>43278</v>
      </c>
      <c r="B4020" s="620">
        <v>27.296700000000001</v>
      </c>
    </row>
    <row r="4021" spans="1:4">
      <c r="A4021" s="619">
        <v>43279</v>
      </c>
      <c r="B4021" s="620">
        <v>27.811699999999998</v>
      </c>
      <c r="D4021" s="613">
        <v>43252</v>
      </c>
    </row>
    <row r="4022" spans="1:4">
      <c r="A4022" s="619">
        <v>43280</v>
      </c>
      <c r="B4022" s="620">
        <v>28.861699999999999</v>
      </c>
      <c r="D4022" s="604">
        <v>26.534199999999998</v>
      </c>
    </row>
    <row r="4023" spans="1:4">
      <c r="A4023" s="619">
        <v>43283</v>
      </c>
      <c r="B4023" s="620">
        <v>28.721699999999998</v>
      </c>
    </row>
    <row r="4024" spans="1:4">
      <c r="A4024" s="619">
        <v>43284</v>
      </c>
      <c r="B4024" s="620">
        <v>27.941700000000001</v>
      </c>
    </row>
    <row r="4025" spans="1:4">
      <c r="A4025" s="619">
        <v>43285</v>
      </c>
      <c r="B4025" s="620">
        <v>28.031700000000001</v>
      </c>
    </row>
    <row r="4026" spans="1:4">
      <c r="A4026" s="619">
        <v>43286</v>
      </c>
      <c r="B4026" s="620">
        <v>28.1675</v>
      </c>
    </row>
    <row r="4027" spans="1:4">
      <c r="A4027" s="619">
        <v>43287</v>
      </c>
      <c r="B4027" s="620">
        <v>28.08</v>
      </c>
    </row>
    <row r="4028" spans="1:4">
      <c r="A4028" s="619">
        <v>43291</v>
      </c>
      <c r="B4028" s="620">
        <v>27.563300000000002</v>
      </c>
    </row>
    <row r="4029" spans="1:4">
      <c r="A4029" s="619">
        <v>43292</v>
      </c>
      <c r="B4029" s="620">
        <v>27.459199999999999</v>
      </c>
    </row>
    <row r="4030" spans="1:4">
      <c r="A4030" s="619">
        <v>43293</v>
      </c>
      <c r="B4030" s="620">
        <v>27.146699999999999</v>
      </c>
    </row>
    <row r="4031" spans="1:4">
      <c r="A4031" s="619">
        <v>43294</v>
      </c>
      <c r="B4031" s="620">
        <v>27.246700000000001</v>
      </c>
    </row>
    <row r="4032" spans="1:4">
      <c r="A4032" s="619">
        <v>43297</v>
      </c>
      <c r="B4032" s="620">
        <v>27.2958</v>
      </c>
    </row>
    <row r="4033" spans="1:4">
      <c r="A4033" s="619">
        <v>43298</v>
      </c>
      <c r="B4033" s="620">
        <v>27.488299999999999</v>
      </c>
    </row>
    <row r="4034" spans="1:4">
      <c r="A4034" s="619">
        <v>43299</v>
      </c>
      <c r="B4034" s="620">
        <v>27.6417</v>
      </c>
    </row>
    <row r="4035" spans="1:4">
      <c r="A4035" s="619">
        <v>43300</v>
      </c>
      <c r="B4035" s="620">
        <v>27.734999999999999</v>
      </c>
    </row>
    <row r="4036" spans="1:4">
      <c r="A4036" s="619">
        <v>43301</v>
      </c>
      <c r="B4036" s="620">
        <v>27.65</v>
      </c>
    </row>
    <row r="4037" spans="1:4">
      <c r="A4037" s="619">
        <v>43304</v>
      </c>
      <c r="B4037" s="620">
        <v>27.628299999999999</v>
      </c>
    </row>
    <row r="4038" spans="1:4">
      <c r="A4038" s="619">
        <v>43305</v>
      </c>
      <c r="B4038" s="620">
        <v>27.4892</v>
      </c>
    </row>
    <row r="4039" spans="1:4">
      <c r="A4039" s="619">
        <v>43306</v>
      </c>
      <c r="B4039" s="620">
        <v>27.359200000000001</v>
      </c>
    </row>
    <row r="4040" spans="1:4">
      <c r="A4040" s="619">
        <v>43307</v>
      </c>
      <c r="B4040" s="620">
        <v>27.44</v>
      </c>
    </row>
    <row r="4041" spans="1:4">
      <c r="A4041" s="619">
        <v>43308</v>
      </c>
      <c r="B4041" s="620">
        <v>27.351700000000001</v>
      </c>
    </row>
    <row r="4042" spans="1:4">
      <c r="A4042" s="619">
        <v>43311</v>
      </c>
      <c r="B4042" s="620">
        <v>27.339200000000002</v>
      </c>
      <c r="D4042" s="613">
        <v>43282</v>
      </c>
    </row>
    <row r="4043" spans="1:4">
      <c r="A4043" s="619">
        <v>43312</v>
      </c>
      <c r="B4043" s="620">
        <v>27.342500000000001</v>
      </c>
      <c r="D4043" s="604">
        <v>27.624700000000001</v>
      </c>
    </row>
    <row r="4044" spans="1:4">
      <c r="A4044" s="619">
        <v>43313</v>
      </c>
      <c r="B4044" s="620">
        <v>27.511700000000001</v>
      </c>
    </row>
    <row r="4045" spans="1:4">
      <c r="A4045" s="619">
        <v>43314</v>
      </c>
      <c r="B4045" s="620">
        <v>27.6008</v>
      </c>
    </row>
    <row r="4046" spans="1:4">
      <c r="A4046" s="619">
        <v>43315</v>
      </c>
      <c r="B4046" s="620">
        <v>27.381699999999999</v>
      </c>
    </row>
    <row r="4047" spans="1:4">
      <c r="A4047" s="619">
        <v>43318</v>
      </c>
      <c r="B4047" s="620">
        <v>27.3733</v>
      </c>
    </row>
    <row r="4048" spans="1:4">
      <c r="A4048" s="619">
        <v>43319</v>
      </c>
      <c r="B4048" s="620">
        <v>27.271699999999999</v>
      </c>
    </row>
    <row r="4049" spans="1:4">
      <c r="A4049" s="619">
        <v>43320</v>
      </c>
      <c r="B4049" s="620">
        <v>27.523299999999999</v>
      </c>
    </row>
    <row r="4050" spans="1:4">
      <c r="A4050" s="619">
        <v>43321</v>
      </c>
      <c r="B4050" s="620">
        <v>27.97</v>
      </c>
    </row>
    <row r="4051" spans="1:4">
      <c r="A4051" s="619">
        <v>43322</v>
      </c>
      <c r="B4051" s="620">
        <v>29.2</v>
      </c>
    </row>
    <row r="4052" spans="1:4">
      <c r="A4052" s="619">
        <v>43325</v>
      </c>
      <c r="B4052" s="620">
        <v>30.008299999999998</v>
      </c>
    </row>
    <row r="4053" spans="1:4">
      <c r="A4053" s="619">
        <v>43326</v>
      </c>
      <c r="B4053" s="620">
        <v>29.414999999999999</v>
      </c>
    </row>
    <row r="4054" spans="1:4">
      <c r="A4054" s="619">
        <v>43327</v>
      </c>
      <c r="B4054" s="620">
        <v>30.004999999999999</v>
      </c>
    </row>
    <row r="4055" spans="1:4">
      <c r="A4055" s="619">
        <v>43328</v>
      </c>
      <c r="B4055" s="620">
        <v>29.81</v>
      </c>
    </row>
    <row r="4056" spans="1:4">
      <c r="A4056" s="619">
        <v>43329</v>
      </c>
      <c r="B4056" s="620">
        <v>29.7942</v>
      </c>
    </row>
    <row r="4057" spans="1:4">
      <c r="A4057" s="619">
        <v>43333</v>
      </c>
      <c r="B4057" s="620">
        <v>29.966699999999999</v>
      </c>
    </row>
    <row r="4058" spans="1:4">
      <c r="A4058" s="619">
        <v>43334</v>
      </c>
      <c r="B4058" s="620">
        <v>30.195</v>
      </c>
    </row>
    <row r="4059" spans="1:4">
      <c r="A4059" s="619">
        <v>43335</v>
      </c>
      <c r="B4059" s="620">
        <v>30.201699999999999</v>
      </c>
    </row>
    <row r="4060" spans="1:4">
      <c r="A4060" s="619">
        <v>43336</v>
      </c>
      <c r="B4060" s="620">
        <v>30.568300000000001</v>
      </c>
    </row>
    <row r="4061" spans="1:4">
      <c r="A4061" s="619">
        <v>43339</v>
      </c>
      <c r="B4061" s="620">
        <v>30.915800000000001</v>
      </c>
    </row>
    <row r="4062" spans="1:4">
      <c r="A4062" s="619">
        <v>43340</v>
      </c>
      <c r="B4062" s="620">
        <v>31.351700000000001</v>
      </c>
    </row>
    <row r="4063" spans="1:4">
      <c r="A4063" s="619">
        <v>43341</v>
      </c>
      <c r="B4063" s="620">
        <v>31.941700000000001</v>
      </c>
    </row>
    <row r="4064" spans="1:4">
      <c r="A4064" s="619">
        <v>43342</v>
      </c>
      <c r="B4064" s="620">
        <v>39.6083</v>
      </c>
      <c r="D4064" s="613">
        <v>43313</v>
      </c>
    </row>
    <row r="4065" spans="1:4">
      <c r="A4065" s="619">
        <v>43343</v>
      </c>
      <c r="B4065" s="620">
        <v>37.125</v>
      </c>
      <c r="C4065" s="597"/>
      <c r="D4065" s="604">
        <v>30.124500000000001</v>
      </c>
    </row>
    <row r="4066" spans="1:4">
      <c r="A4066" s="619">
        <v>43346</v>
      </c>
      <c r="B4066" s="620">
        <v>38.033299999999997</v>
      </c>
    </row>
    <row r="4067" spans="1:4">
      <c r="A4067" s="619">
        <v>43347</v>
      </c>
      <c r="B4067" s="620">
        <v>39.225000000000001</v>
      </c>
    </row>
    <row r="4068" spans="1:4">
      <c r="A4068" s="619">
        <v>43348</v>
      </c>
      <c r="B4068" s="620">
        <v>38.811700000000002</v>
      </c>
    </row>
    <row r="4069" spans="1:4">
      <c r="A4069" s="619">
        <v>43349</v>
      </c>
      <c r="B4069" s="620">
        <v>37.691699999999997</v>
      </c>
    </row>
    <row r="4070" spans="1:4">
      <c r="A4070" s="619">
        <v>43350</v>
      </c>
      <c r="B4070" s="620">
        <v>36.984999999999999</v>
      </c>
    </row>
    <row r="4071" spans="1:4">
      <c r="A4071" s="619">
        <v>43353</v>
      </c>
      <c r="B4071" s="620">
        <v>37.39</v>
      </c>
    </row>
    <row r="4072" spans="1:4">
      <c r="A4072" s="619">
        <v>43354</v>
      </c>
      <c r="B4072" s="620">
        <v>37.915799999999997</v>
      </c>
    </row>
    <row r="4073" spans="1:4">
      <c r="A4073" s="619">
        <v>43355</v>
      </c>
      <c r="B4073" s="620">
        <v>37.8733</v>
      </c>
    </row>
    <row r="4074" spans="1:4">
      <c r="A4074" s="619">
        <v>43356</v>
      </c>
      <c r="B4074" s="620">
        <v>38.7117</v>
      </c>
    </row>
    <row r="4075" spans="1:4">
      <c r="A4075" s="619">
        <v>43357</v>
      </c>
      <c r="B4075" s="620">
        <v>39.708300000000001</v>
      </c>
    </row>
    <row r="4076" spans="1:4">
      <c r="A4076" s="619">
        <v>43360</v>
      </c>
      <c r="B4076" s="620">
        <v>39.5792</v>
      </c>
    </row>
    <row r="4077" spans="1:4">
      <c r="A4077" s="619">
        <v>43361</v>
      </c>
      <c r="B4077" s="620">
        <v>39.731699999999996</v>
      </c>
    </row>
    <row r="4078" spans="1:4">
      <c r="A4078" s="619">
        <v>43362</v>
      </c>
      <c r="B4078" s="620">
        <v>39.46</v>
      </c>
    </row>
    <row r="4079" spans="1:4">
      <c r="A4079" s="619">
        <v>43363</v>
      </c>
      <c r="B4079" s="620">
        <v>38.311700000000002</v>
      </c>
    </row>
    <row r="4080" spans="1:4">
      <c r="A4080" s="619">
        <v>43364</v>
      </c>
      <c r="B4080" s="620">
        <v>37.575000000000003</v>
      </c>
    </row>
    <row r="4081" spans="1:4">
      <c r="A4081" s="619">
        <v>43367</v>
      </c>
      <c r="B4081" s="620">
        <v>37.299999999999997</v>
      </c>
    </row>
    <row r="4082" spans="1:4">
      <c r="A4082" s="619">
        <v>43368</v>
      </c>
      <c r="B4082" s="620">
        <v>38.4</v>
      </c>
    </row>
    <row r="4083" spans="1:4">
      <c r="A4083" s="619">
        <v>43369</v>
      </c>
      <c r="B4083" s="620">
        <v>38.69</v>
      </c>
    </row>
    <row r="4084" spans="1:4">
      <c r="A4084" s="619">
        <v>43370</v>
      </c>
      <c r="B4084" s="620">
        <v>39.51</v>
      </c>
      <c r="D4084" s="613">
        <v>43344</v>
      </c>
    </row>
    <row r="4085" spans="1:4">
      <c r="A4085" s="619">
        <v>43371</v>
      </c>
      <c r="B4085" s="620">
        <v>40.896700000000003</v>
      </c>
      <c r="D4085" s="604">
        <v>38.590000000000003</v>
      </c>
    </row>
    <row r="4086" spans="1:4">
      <c r="A4086" s="619">
        <v>43374</v>
      </c>
      <c r="B4086" s="620">
        <v>40.341700000000003</v>
      </c>
    </row>
    <row r="4087" spans="1:4">
      <c r="A4087" s="619">
        <v>43375</v>
      </c>
      <c r="B4087" s="620">
        <v>38.1633</v>
      </c>
    </row>
    <row r="4088" spans="1:4">
      <c r="A4088" s="619">
        <v>43376</v>
      </c>
      <c r="B4088" s="620">
        <v>37.6083</v>
      </c>
    </row>
    <row r="4089" spans="1:4">
      <c r="A4089" s="619">
        <v>43377</v>
      </c>
      <c r="B4089" s="620">
        <v>38.518300000000004</v>
      </c>
    </row>
    <row r="4090" spans="1:4">
      <c r="A4090" s="619">
        <v>43378</v>
      </c>
      <c r="B4090" s="620">
        <v>38.0167</v>
      </c>
    </row>
    <row r="4091" spans="1:4">
      <c r="A4091" s="619">
        <v>43381</v>
      </c>
      <c r="B4091" s="620">
        <v>37.545000000000002</v>
      </c>
    </row>
    <row r="4092" spans="1:4">
      <c r="A4092" s="619">
        <v>43382</v>
      </c>
      <c r="B4092" s="620">
        <v>37.246699999999997</v>
      </c>
    </row>
    <row r="4093" spans="1:4">
      <c r="A4093" s="619">
        <v>43383</v>
      </c>
      <c r="B4093" s="620">
        <v>37.293300000000002</v>
      </c>
    </row>
    <row r="4094" spans="1:4">
      <c r="A4094" s="619">
        <v>43384</v>
      </c>
      <c r="B4094" s="620">
        <v>36.918300000000002</v>
      </c>
    </row>
    <row r="4095" spans="1:4">
      <c r="A4095" s="619">
        <v>43385</v>
      </c>
      <c r="B4095" s="620">
        <v>36.238300000000002</v>
      </c>
    </row>
    <row r="4096" spans="1:4">
      <c r="A4096" s="619">
        <v>43389</v>
      </c>
      <c r="B4096" s="620">
        <v>36.3583</v>
      </c>
    </row>
    <row r="4097" spans="1:4">
      <c r="A4097" s="619">
        <v>43390</v>
      </c>
      <c r="B4097" s="620">
        <v>36.3033</v>
      </c>
    </row>
    <row r="4098" spans="1:4">
      <c r="A4098" s="619">
        <v>43391</v>
      </c>
      <c r="B4098" s="620">
        <v>36.4133</v>
      </c>
    </row>
    <row r="4099" spans="1:4">
      <c r="A4099" s="619">
        <v>43392</v>
      </c>
      <c r="B4099" s="620">
        <v>36.5533</v>
      </c>
    </row>
    <row r="4100" spans="1:4">
      <c r="A4100" s="619">
        <v>43395</v>
      </c>
      <c r="B4100" s="620">
        <v>36.416699999999999</v>
      </c>
    </row>
    <row r="4101" spans="1:4">
      <c r="A4101" s="619">
        <v>43396</v>
      </c>
      <c r="B4101" s="620">
        <v>36.773299999999999</v>
      </c>
    </row>
    <row r="4102" spans="1:4">
      <c r="A4102" s="619">
        <v>43397</v>
      </c>
      <c r="B4102" s="620">
        <v>36.541699999999999</v>
      </c>
    </row>
    <row r="4103" spans="1:4">
      <c r="A4103" s="619">
        <v>43398</v>
      </c>
      <c r="B4103" s="620">
        <v>36.7883</v>
      </c>
    </row>
    <row r="4104" spans="1:4">
      <c r="A4104" s="619">
        <v>43399</v>
      </c>
      <c r="B4104" s="620">
        <v>36.784999999999997</v>
      </c>
    </row>
    <row r="4105" spans="1:4">
      <c r="A4105" s="619">
        <v>43402</v>
      </c>
      <c r="B4105" s="620">
        <v>36.793300000000002</v>
      </c>
    </row>
    <row r="4106" spans="1:4">
      <c r="A4106" s="619">
        <v>43403</v>
      </c>
      <c r="B4106" s="620">
        <v>36.831699999999998</v>
      </c>
      <c r="D4106" s="613">
        <v>43374</v>
      </c>
    </row>
    <row r="4107" spans="1:4">
      <c r="A4107" s="619">
        <v>43404</v>
      </c>
      <c r="B4107" s="620">
        <v>36.1967</v>
      </c>
      <c r="D4107" s="604">
        <v>37.120199999999997</v>
      </c>
    </row>
    <row r="4108" spans="1:4">
      <c r="A4108" s="619">
        <v>43405</v>
      </c>
      <c r="B4108" s="620">
        <v>35.743299999999998</v>
      </c>
      <c r="D4108" s="597"/>
    </row>
    <row r="4109" spans="1:4">
      <c r="A4109" s="619">
        <v>43406</v>
      </c>
      <c r="B4109" s="620">
        <v>35.590000000000003</v>
      </c>
    </row>
    <row r="4110" spans="1:4">
      <c r="A4110" s="619">
        <v>43409</v>
      </c>
      <c r="B4110" s="620">
        <v>35.547499999999999</v>
      </c>
    </row>
    <row r="4111" spans="1:4">
      <c r="A4111" s="619">
        <v>43411</v>
      </c>
      <c r="B4111" s="620">
        <v>35.761699999999998</v>
      </c>
    </row>
    <row r="4112" spans="1:4">
      <c r="A4112" s="619">
        <v>43412</v>
      </c>
      <c r="B4112" s="620">
        <v>35.609200000000001</v>
      </c>
    </row>
    <row r="4113" spans="1:4">
      <c r="A4113" s="619">
        <v>43413</v>
      </c>
      <c r="B4113" s="620">
        <v>35.488300000000002</v>
      </c>
    </row>
    <row r="4114" spans="1:4">
      <c r="A4114" s="619">
        <v>43416</v>
      </c>
      <c r="B4114" s="620">
        <v>35.505000000000003</v>
      </c>
    </row>
    <row r="4115" spans="1:4">
      <c r="A4115" s="619">
        <v>43417</v>
      </c>
      <c r="B4115" s="620">
        <v>35.884999999999998</v>
      </c>
    </row>
    <row r="4116" spans="1:4">
      <c r="A4116" s="619">
        <v>43418</v>
      </c>
      <c r="B4116" s="620">
        <v>36.1233</v>
      </c>
    </row>
    <row r="4117" spans="1:4">
      <c r="A4117" s="619">
        <v>43419</v>
      </c>
      <c r="B4117" s="620">
        <v>36.064999999999998</v>
      </c>
    </row>
    <row r="4118" spans="1:4">
      <c r="A4118" s="619">
        <v>43420</v>
      </c>
      <c r="B4118" s="620">
        <v>35.976700000000001</v>
      </c>
    </row>
    <row r="4119" spans="1:4">
      <c r="A4119" s="619">
        <v>43424</v>
      </c>
      <c r="B4119" s="620">
        <v>36.258299999999998</v>
      </c>
    </row>
    <row r="4120" spans="1:4">
      <c r="A4120" s="619">
        <v>43425</v>
      </c>
      <c r="B4120" s="620">
        <v>36.273299999999999</v>
      </c>
    </row>
    <row r="4121" spans="1:4">
      <c r="A4121" s="619">
        <v>43426</v>
      </c>
      <c r="B4121" s="620">
        <v>36.424999999999997</v>
      </c>
    </row>
    <row r="4122" spans="1:4">
      <c r="A4122" s="619">
        <v>43427</v>
      </c>
      <c r="B4122" s="620">
        <v>36.886699999999998</v>
      </c>
    </row>
    <row r="4123" spans="1:4">
      <c r="A4123" s="619">
        <v>43430</v>
      </c>
      <c r="B4123" s="620">
        <v>38.155000000000001</v>
      </c>
    </row>
    <row r="4124" spans="1:4">
      <c r="A4124" s="619">
        <v>43431</v>
      </c>
      <c r="B4124" s="620">
        <v>38.875</v>
      </c>
    </row>
    <row r="4125" spans="1:4">
      <c r="A4125" s="619">
        <v>43432</v>
      </c>
      <c r="B4125" s="620">
        <v>38.531700000000001</v>
      </c>
      <c r="D4125" s="613">
        <v>43405</v>
      </c>
    </row>
    <row r="4126" spans="1:4">
      <c r="A4126" s="619">
        <v>43433</v>
      </c>
      <c r="B4126" s="620">
        <v>38.021700000000003</v>
      </c>
      <c r="D4126" s="604">
        <v>36.459036842105263</v>
      </c>
    </row>
    <row r="4127" spans="1:4">
      <c r="A4127" s="619">
        <v>43437</v>
      </c>
      <c r="B4127" s="620">
        <v>36.89</v>
      </c>
    </row>
    <row r="4128" spans="1:4">
      <c r="A4128" s="619">
        <v>43438</v>
      </c>
      <c r="B4128" s="620">
        <v>37.061700000000002</v>
      </c>
    </row>
    <row r="4129" spans="1:4">
      <c r="A4129" s="619">
        <v>43439</v>
      </c>
      <c r="B4129" s="620">
        <v>37.938299999999998</v>
      </c>
    </row>
    <row r="4130" spans="1:4">
      <c r="A4130" s="619">
        <v>43440</v>
      </c>
      <c r="B4130" s="620">
        <v>37.856699999999996</v>
      </c>
    </row>
    <row r="4131" spans="1:4">
      <c r="A4131" s="619">
        <v>43441</v>
      </c>
      <c r="B4131" s="620">
        <v>37.3583</v>
      </c>
    </row>
    <row r="4132" spans="1:4">
      <c r="A4132" s="619">
        <v>43444</v>
      </c>
      <c r="B4132" s="620">
        <v>37.701700000000002</v>
      </c>
    </row>
    <row r="4133" spans="1:4">
      <c r="A4133" s="619">
        <v>43445</v>
      </c>
      <c r="B4133" s="620">
        <v>37.648299999999999</v>
      </c>
    </row>
    <row r="4134" spans="1:4">
      <c r="A4134" s="619">
        <v>43446</v>
      </c>
      <c r="B4134" s="620">
        <v>37.636699999999998</v>
      </c>
    </row>
    <row r="4135" spans="1:4">
      <c r="A4135" s="619">
        <v>43447</v>
      </c>
      <c r="B4135" s="620">
        <v>37.8033</v>
      </c>
    </row>
    <row r="4136" spans="1:4">
      <c r="A4136" s="619">
        <v>43448</v>
      </c>
      <c r="B4136" s="620">
        <v>38.164999999999999</v>
      </c>
    </row>
    <row r="4137" spans="1:4">
      <c r="A4137" s="619">
        <v>43451</v>
      </c>
      <c r="B4137" s="620">
        <v>38.3217</v>
      </c>
    </row>
    <row r="4138" spans="1:4">
      <c r="A4138" s="619">
        <v>43452</v>
      </c>
      <c r="B4138" s="620">
        <v>38.213299999999997</v>
      </c>
    </row>
    <row r="4139" spans="1:4">
      <c r="A4139" s="619">
        <v>43453</v>
      </c>
      <c r="B4139" s="620">
        <v>38.301699999999997</v>
      </c>
    </row>
    <row r="4140" spans="1:4">
      <c r="A4140" s="619">
        <v>43454</v>
      </c>
      <c r="B4140" s="620">
        <v>38.07</v>
      </c>
    </row>
    <row r="4141" spans="1:4">
      <c r="A4141" s="619">
        <v>43455</v>
      </c>
      <c r="B4141" s="620">
        <v>38.078299999999999</v>
      </c>
    </row>
    <row r="4142" spans="1:4">
      <c r="A4142" s="619">
        <v>43460</v>
      </c>
      <c r="B4142" s="620">
        <v>38.51</v>
      </c>
    </row>
    <row r="4143" spans="1:4">
      <c r="A4143" s="619">
        <v>43461</v>
      </c>
      <c r="B4143" s="620">
        <v>38.57</v>
      </c>
      <c r="D4143" s="613">
        <v>43435</v>
      </c>
    </row>
    <row r="4144" spans="1:4">
      <c r="A4144" s="619">
        <v>43462</v>
      </c>
      <c r="B4144" s="620">
        <v>37.808300000000003</v>
      </c>
      <c r="D4144" s="604">
        <v>37.885199999999998</v>
      </c>
    </row>
    <row r="4145" spans="1:2">
      <c r="A4145" s="619">
        <v>43467</v>
      </c>
      <c r="B4145" s="620">
        <v>37.933300000000003</v>
      </c>
    </row>
    <row r="4146" spans="1:2">
      <c r="A4146" s="619">
        <v>43468</v>
      </c>
      <c r="B4146" s="620">
        <v>37.551699999999997</v>
      </c>
    </row>
    <row r="4147" spans="1:2">
      <c r="A4147" s="619">
        <v>43469</v>
      </c>
      <c r="B4147" s="620">
        <v>37.39</v>
      </c>
    </row>
    <row r="4148" spans="1:2">
      <c r="A4148" s="619">
        <v>43472</v>
      </c>
      <c r="B4148" s="620">
        <v>37.3583</v>
      </c>
    </row>
    <row r="4149" spans="1:2">
      <c r="A4149" s="619">
        <v>43473</v>
      </c>
      <c r="B4149" s="620">
        <v>37.374200000000002</v>
      </c>
    </row>
    <row r="4150" spans="1:2">
      <c r="A4150" s="619">
        <v>43474</v>
      </c>
      <c r="B4150" s="620">
        <v>37.470799999999997</v>
      </c>
    </row>
    <row r="4151" spans="1:2">
      <c r="A4151" s="619">
        <v>43475</v>
      </c>
      <c r="B4151" s="620">
        <v>37.309199999999997</v>
      </c>
    </row>
    <row r="4152" spans="1:2">
      <c r="A4152" s="619">
        <v>43476</v>
      </c>
      <c r="B4152" s="620">
        <v>37.103299999999997</v>
      </c>
    </row>
    <row r="4153" spans="1:2">
      <c r="A4153" s="619">
        <v>43479</v>
      </c>
      <c r="B4153" s="620">
        <v>37.094999999999999</v>
      </c>
    </row>
    <row r="4154" spans="1:2">
      <c r="A4154" s="619">
        <v>43480</v>
      </c>
      <c r="B4154" s="620">
        <v>37.134999999999998</v>
      </c>
    </row>
    <row r="4155" spans="1:2">
      <c r="A4155" s="619">
        <v>43481</v>
      </c>
      <c r="B4155" s="620">
        <v>37.356699999999996</v>
      </c>
    </row>
    <row r="4156" spans="1:2">
      <c r="A4156" s="619">
        <v>43482</v>
      </c>
      <c r="B4156" s="620">
        <v>37.738300000000002</v>
      </c>
    </row>
    <row r="4157" spans="1:2">
      <c r="A4157" s="619">
        <v>43483</v>
      </c>
      <c r="B4157" s="620">
        <v>37.619999999999997</v>
      </c>
    </row>
    <row r="4158" spans="1:2">
      <c r="A4158" s="619">
        <v>43486</v>
      </c>
      <c r="B4158" s="620">
        <v>37.704999999999998</v>
      </c>
    </row>
    <row r="4159" spans="1:2">
      <c r="A4159" s="619">
        <v>43487</v>
      </c>
      <c r="B4159" s="620">
        <v>37.590000000000003</v>
      </c>
    </row>
    <row r="4160" spans="1:2">
      <c r="A4160" s="619">
        <v>43488</v>
      </c>
      <c r="B4160" s="620">
        <v>37.56</v>
      </c>
    </row>
    <row r="4161" spans="1:4">
      <c r="A4161" s="619">
        <v>43489</v>
      </c>
      <c r="B4161" s="620">
        <v>37.559199999999997</v>
      </c>
    </row>
    <row r="4162" spans="1:4">
      <c r="A4162" s="619">
        <v>43490</v>
      </c>
      <c r="B4162" s="620">
        <v>37.143300000000004</v>
      </c>
    </row>
    <row r="4163" spans="1:4">
      <c r="A4163" s="619">
        <v>43493</v>
      </c>
      <c r="B4163" s="620">
        <v>37.093299999999999</v>
      </c>
    </row>
    <row r="4164" spans="1:4">
      <c r="A4164" s="619">
        <v>43494</v>
      </c>
      <c r="B4164" s="620">
        <v>37.225000000000001</v>
      </c>
    </row>
    <row r="4165" spans="1:4">
      <c r="A4165" s="619">
        <v>43495</v>
      </c>
      <c r="B4165" s="620">
        <v>37.604999999999997</v>
      </c>
      <c r="D4165" s="613">
        <v>43466</v>
      </c>
    </row>
    <row r="4166" spans="1:4">
      <c r="A4166" s="619">
        <v>43496</v>
      </c>
      <c r="B4166" s="620">
        <v>37.034999999999997</v>
      </c>
      <c r="D4166" s="604">
        <v>37.4069</v>
      </c>
    </row>
    <row r="4167" spans="1:4">
      <c r="A4167" s="619">
        <v>43497</v>
      </c>
      <c r="B4167" s="620">
        <v>37.236699999999999</v>
      </c>
    </row>
    <row r="4168" spans="1:4">
      <c r="A4168" s="619">
        <v>43500</v>
      </c>
      <c r="B4168" s="620">
        <v>37.24</v>
      </c>
    </row>
    <row r="4169" spans="1:4">
      <c r="A4169" s="619">
        <v>43501</v>
      </c>
      <c r="B4169" s="620">
        <v>37.1967</v>
      </c>
    </row>
    <row r="4170" spans="1:4">
      <c r="A4170" s="619">
        <v>43502</v>
      </c>
      <c r="B4170" s="620">
        <v>37.4283</v>
      </c>
    </row>
    <row r="4171" spans="1:4">
      <c r="A4171" s="619">
        <v>43503</v>
      </c>
      <c r="B4171" s="620">
        <v>37.895000000000003</v>
      </c>
    </row>
    <row r="4172" spans="1:4">
      <c r="A4172" s="619">
        <v>43504</v>
      </c>
      <c r="B4172" s="620">
        <v>37.861699999999999</v>
      </c>
    </row>
    <row r="4173" spans="1:4">
      <c r="A4173" s="619">
        <v>43507</v>
      </c>
      <c r="B4173" s="620">
        <v>38.32</v>
      </c>
    </row>
    <row r="4174" spans="1:4">
      <c r="A4174" s="619">
        <v>43508</v>
      </c>
      <c r="B4174" s="620">
        <v>37.816699999999997</v>
      </c>
    </row>
    <row r="4175" spans="1:4">
      <c r="A4175" s="619">
        <v>43509</v>
      </c>
      <c r="B4175" s="620">
        <v>38.146700000000003</v>
      </c>
    </row>
    <row r="4176" spans="1:4">
      <c r="A4176" s="619">
        <v>43510</v>
      </c>
      <c r="B4176" s="620">
        <v>38.371699999999997</v>
      </c>
    </row>
    <row r="4177" spans="1:4">
      <c r="A4177" s="619">
        <v>43511</v>
      </c>
      <c r="B4177" s="620">
        <v>38.325000000000003</v>
      </c>
    </row>
    <row r="4178" spans="1:4">
      <c r="A4178" s="619">
        <v>43514</v>
      </c>
      <c r="B4178" s="620">
        <v>38.765000000000001</v>
      </c>
    </row>
    <row r="4179" spans="1:4">
      <c r="A4179" s="619">
        <v>43515</v>
      </c>
      <c r="B4179" s="620">
        <v>38.915799999999997</v>
      </c>
    </row>
    <row r="4180" spans="1:4">
      <c r="A4180" s="619">
        <v>43516</v>
      </c>
      <c r="B4180" s="620">
        <v>40.04</v>
      </c>
    </row>
    <row r="4181" spans="1:4">
      <c r="A4181" s="619">
        <v>43517</v>
      </c>
      <c r="B4181" s="620">
        <v>39.6633</v>
      </c>
    </row>
    <row r="4182" spans="1:4">
      <c r="A4182" s="619">
        <v>43518</v>
      </c>
      <c r="B4182" s="620">
        <v>39.2517</v>
      </c>
    </row>
    <row r="4183" spans="1:4">
      <c r="A4183" s="619">
        <v>43521</v>
      </c>
      <c r="B4183" s="620">
        <v>38.96</v>
      </c>
    </row>
    <row r="4184" spans="1:4">
      <c r="A4184" s="619">
        <v>43522</v>
      </c>
      <c r="B4184" s="620">
        <v>38.991700000000002</v>
      </c>
    </row>
    <row r="4185" spans="1:4">
      <c r="A4185" s="619">
        <v>43523</v>
      </c>
      <c r="B4185" s="620">
        <v>38.746699999999997</v>
      </c>
      <c r="D4185" s="613">
        <v>43497</v>
      </c>
    </row>
    <row r="4186" spans="1:4">
      <c r="A4186" s="619">
        <v>43524</v>
      </c>
      <c r="B4186" s="620">
        <v>38.9983</v>
      </c>
      <c r="D4186" s="604">
        <v>38.4086</v>
      </c>
    </row>
    <row r="4187" spans="1:4">
      <c r="A4187" s="619">
        <v>43525</v>
      </c>
      <c r="B4187" s="620">
        <v>39.445</v>
      </c>
    </row>
    <row r="4188" spans="1:4">
      <c r="A4188" s="619">
        <v>43530</v>
      </c>
      <c r="B4188" s="620">
        <v>40.481699999999996</v>
      </c>
    </row>
    <row r="4189" spans="1:4">
      <c r="A4189" s="619">
        <v>43531</v>
      </c>
      <c r="B4189" s="620">
        <v>41.225000000000001</v>
      </c>
    </row>
    <row r="4190" spans="1:4">
      <c r="A4190" s="619">
        <v>43532</v>
      </c>
      <c r="B4190" s="620">
        <v>41.3</v>
      </c>
    </row>
    <row r="4191" spans="1:4">
      <c r="A4191" s="619">
        <v>43535</v>
      </c>
      <c r="B4191" s="620">
        <v>40.871699999999997</v>
      </c>
    </row>
    <row r="4192" spans="1:4">
      <c r="A4192" s="619">
        <v>43536</v>
      </c>
      <c r="B4192" s="620">
        <v>41.348300000000002</v>
      </c>
    </row>
    <row r="4193" spans="1:4">
      <c r="A4193" s="619">
        <v>43537</v>
      </c>
      <c r="B4193" s="620">
        <v>41.646700000000003</v>
      </c>
    </row>
    <row r="4194" spans="1:4">
      <c r="A4194" s="619">
        <v>43538</v>
      </c>
      <c r="B4194" s="620">
        <v>40.98</v>
      </c>
    </row>
    <row r="4195" spans="1:4">
      <c r="A4195" s="619">
        <v>43539</v>
      </c>
      <c r="B4195" s="620">
        <v>39.941699999999997</v>
      </c>
    </row>
    <row r="4196" spans="1:4">
      <c r="A4196" s="619">
        <v>43542</v>
      </c>
      <c r="B4196" s="620">
        <v>39.713299999999997</v>
      </c>
    </row>
    <row r="4197" spans="1:4">
      <c r="A4197" s="619">
        <v>43543</v>
      </c>
      <c r="B4197" s="620">
        <v>40.325000000000003</v>
      </c>
    </row>
    <row r="4198" spans="1:4">
      <c r="A4198" s="619">
        <v>43544</v>
      </c>
      <c r="B4198" s="620">
        <v>41.081699999999998</v>
      </c>
    </row>
    <row r="4199" spans="1:4">
      <c r="A4199" s="619">
        <v>43545</v>
      </c>
      <c r="B4199" s="620">
        <v>40.741700000000002</v>
      </c>
    </row>
    <row r="4200" spans="1:4">
      <c r="A4200" s="619">
        <v>43546</v>
      </c>
      <c r="B4200" s="620">
        <v>42.01</v>
      </c>
    </row>
    <row r="4201" spans="1:4">
      <c r="A4201" s="619">
        <v>43549</v>
      </c>
      <c r="B4201" s="620">
        <v>41.784999999999997</v>
      </c>
    </row>
    <row r="4202" spans="1:4">
      <c r="A4202" s="619">
        <v>43550</v>
      </c>
      <c r="B4202" s="620">
        <v>42.346699999999998</v>
      </c>
    </row>
    <row r="4203" spans="1:4">
      <c r="A4203" s="619">
        <v>43551</v>
      </c>
      <c r="B4203" s="620">
        <v>43.698300000000003</v>
      </c>
    </row>
    <row r="4204" spans="1:4">
      <c r="A4204" s="619">
        <v>43552</v>
      </c>
      <c r="B4204" s="620">
        <v>43.59</v>
      </c>
      <c r="D4204" s="613">
        <v>43525</v>
      </c>
    </row>
    <row r="4205" spans="1:4">
      <c r="A4205" s="619">
        <v>43553</v>
      </c>
      <c r="B4205" s="620">
        <v>43.353299999999997</v>
      </c>
      <c r="D4205" s="604">
        <v>41.362400000000001</v>
      </c>
    </row>
    <row r="4206" spans="1:4">
      <c r="A4206" s="619">
        <v>43556</v>
      </c>
      <c r="B4206" s="620">
        <v>42.823300000000003</v>
      </c>
    </row>
    <row r="4207" spans="1:4">
      <c r="A4207" s="619">
        <v>43558</v>
      </c>
      <c r="B4207" s="620">
        <v>42.653300000000002</v>
      </c>
    </row>
    <row r="4208" spans="1:4">
      <c r="A4208" s="619">
        <v>43559</v>
      </c>
      <c r="B4208" s="620">
        <v>43.246699999999997</v>
      </c>
    </row>
    <row r="4209" spans="1:4">
      <c r="A4209" s="619">
        <v>43560</v>
      </c>
      <c r="B4209" s="620">
        <v>43.693300000000001</v>
      </c>
    </row>
    <row r="4210" spans="1:4">
      <c r="A4210" s="619">
        <v>43563</v>
      </c>
      <c r="B4210" s="620">
        <v>43.8</v>
      </c>
    </row>
    <row r="4211" spans="1:4">
      <c r="A4211" s="619">
        <v>43564</v>
      </c>
      <c r="B4211" s="620">
        <v>43.74</v>
      </c>
    </row>
    <row r="4212" spans="1:4">
      <c r="A4212" s="619">
        <v>43565</v>
      </c>
      <c r="B4212" s="620">
        <v>43.041699999999999</v>
      </c>
    </row>
    <row r="4213" spans="1:4">
      <c r="A4213" s="619">
        <v>43566</v>
      </c>
      <c r="B4213" s="620">
        <v>42.911700000000003</v>
      </c>
    </row>
    <row r="4214" spans="1:4">
      <c r="A4214" s="619">
        <v>43567</v>
      </c>
      <c r="B4214" s="620">
        <v>42.33</v>
      </c>
    </row>
    <row r="4215" spans="1:4">
      <c r="A4215" s="619">
        <v>43570</v>
      </c>
      <c r="B4215" s="620">
        <v>41.561700000000002</v>
      </c>
    </row>
    <row r="4216" spans="1:4">
      <c r="A4216" s="619">
        <v>43571</v>
      </c>
      <c r="B4216" s="620">
        <v>42.113300000000002</v>
      </c>
    </row>
    <row r="4217" spans="1:4">
      <c r="A4217" s="619">
        <v>43572</v>
      </c>
      <c r="B4217" s="620">
        <v>41.783299999999997</v>
      </c>
    </row>
    <row r="4218" spans="1:4">
      <c r="A4218" s="619">
        <v>43577</v>
      </c>
      <c r="B4218" s="620">
        <v>42.691699999999997</v>
      </c>
    </row>
    <row r="4219" spans="1:4">
      <c r="A4219" s="619">
        <v>43578</v>
      </c>
      <c r="B4219" s="620">
        <v>42.38</v>
      </c>
    </row>
    <row r="4220" spans="1:4">
      <c r="A4220" s="619">
        <v>43579</v>
      </c>
      <c r="B4220" s="620">
        <v>43.478299999999997</v>
      </c>
    </row>
    <row r="4221" spans="1:4">
      <c r="A4221" s="619">
        <v>43580</v>
      </c>
      <c r="B4221" s="620">
        <v>45.633299999999998</v>
      </c>
    </row>
    <row r="4222" spans="1:4">
      <c r="A4222" s="619">
        <v>43581</v>
      </c>
      <c r="B4222" s="620">
        <v>44.8767</v>
      </c>
    </row>
    <row r="4223" spans="1:4">
      <c r="A4223" s="619">
        <v>43584</v>
      </c>
      <c r="B4223" s="620">
        <v>44.673299999999998</v>
      </c>
      <c r="D4223" s="613">
        <v>43556</v>
      </c>
    </row>
    <row r="4224" spans="1:4">
      <c r="A4224" s="619">
        <v>43585</v>
      </c>
      <c r="B4224" s="620">
        <v>44.01</v>
      </c>
      <c r="D4224" s="604">
        <v>43.233800000000002</v>
      </c>
    </row>
    <row r="4225" spans="1:2">
      <c r="A4225" s="619">
        <v>43587</v>
      </c>
      <c r="B4225" s="620">
        <v>44.7483</v>
      </c>
    </row>
    <row r="4226" spans="1:2">
      <c r="A4226" s="619">
        <v>43588</v>
      </c>
      <c r="B4226" s="620">
        <v>44.423299999999998</v>
      </c>
    </row>
    <row r="4227" spans="1:2">
      <c r="A4227" s="619">
        <v>43591</v>
      </c>
      <c r="B4227" s="620">
        <v>44.896700000000003</v>
      </c>
    </row>
    <row r="4228" spans="1:2">
      <c r="A4228" s="619">
        <v>43592</v>
      </c>
      <c r="B4228" s="620">
        <v>44.895000000000003</v>
      </c>
    </row>
    <row r="4229" spans="1:2">
      <c r="A4229" s="619">
        <v>43593</v>
      </c>
      <c r="B4229" s="620">
        <v>45.0383</v>
      </c>
    </row>
    <row r="4230" spans="1:2">
      <c r="A4230" s="619">
        <v>43594</v>
      </c>
      <c r="B4230" s="620">
        <v>45.566699999999997</v>
      </c>
    </row>
    <row r="4231" spans="1:2">
      <c r="A4231" s="619">
        <v>43595</v>
      </c>
      <c r="B4231" s="620">
        <v>44.981699999999996</v>
      </c>
    </row>
    <row r="4232" spans="1:2">
      <c r="A4232" s="619">
        <v>43598</v>
      </c>
      <c r="B4232" s="620">
        <v>45.4133</v>
      </c>
    </row>
    <row r="4233" spans="1:2">
      <c r="A4233" s="619">
        <v>43599</v>
      </c>
      <c r="B4233" s="620">
        <v>44.984999999999999</v>
      </c>
    </row>
    <row r="4234" spans="1:2">
      <c r="A4234" s="619">
        <v>43600</v>
      </c>
      <c r="B4234" s="620">
        <v>45.153300000000002</v>
      </c>
    </row>
    <row r="4235" spans="1:2">
      <c r="A4235" s="619">
        <v>43601</v>
      </c>
      <c r="B4235" s="620">
        <v>44.8583</v>
      </c>
    </row>
    <row r="4236" spans="1:2">
      <c r="A4236" s="619">
        <v>43602</v>
      </c>
      <c r="B4236" s="620">
        <v>45.018300000000004</v>
      </c>
    </row>
    <row r="4237" spans="1:2">
      <c r="A4237" s="619">
        <v>43605</v>
      </c>
      <c r="B4237" s="620">
        <v>45.324199999999998</v>
      </c>
    </row>
    <row r="4238" spans="1:2">
      <c r="A4238" s="619">
        <v>43606</v>
      </c>
      <c r="B4238" s="620">
        <v>44.82</v>
      </c>
    </row>
    <row r="4239" spans="1:2">
      <c r="A4239" s="619">
        <v>43607</v>
      </c>
      <c r="B4239" s="620">
        <v>44.715000000000003</v>
      </c>
    </row>
    <row r="4240" spans="1:2">
      <c r="A4240" s="619">
        <v>43608</v>
      </c>
      <c r="B4240" s="620">
        <v>45.15</v>
      </c>
    </row>
    <row r="4241" spans="1:4">
      <c r="A4241" s="619">
        <v>43609</v>
      </c>
      <c r="B4241" s="620">
        <v>44.96</v>
      </c>
    </row>
    <row r="4242" spans="1:4">
      <c r="A4242" s="619">
        <v>43612</v>
      </c>
      <c r="B4242" s="620">
        <v>44.978299999999997</v>
      </c>
    </row>
    <row r="4243" spans="1:4">
      <c r="A4243" s="619">
        <v>43613</v>
      </c>
      <c r="B4243" s="620">
        <v>44.786700000000003</v>
      </c>
    </row>
    <row r="4244" spans="1:4">
      <c r="A4244" s="619">
        <v>43614</v>
      </c>
      <c r="B4244" s="620">
        <v>44.503300000000003</v>
      </c>
    </row>
    <row r="4245" spans="1:4">
      <c r="A4245" s="619">
        <v>43615</v>
      </c>
      <c r="B4245" s="620">
        <v>44.445</v>
      </c>
      <c r="D4245" s="613">
        <v>43586</v>
      </c>
    </row>
    <row r="4246" spans="1:4">
      <c r="A4246" s="619">
        <v>43616</v>
      </c>
      <c r="B4246" s="620">
        <v>44.87</v>
      </c>
      <c r="D4246" s="604">
        <v>44.933213636363639</v>
      </c>
    </row>
    <row r="4247" spans="1:4">
      <c r="A4247" s="619">
        <v>43619</v>
      </c>
      <c r="B4247" s="620">
        <v>44.8733</v>
      </c>
    </row>
    <row r="4248" spans="1:4">
      <c r="A4248" s="619">
        <v>43620</v>
      </c>
      <c r="B4248" s="620">
        <v>44.756700000000002</v>
      </c>
    </row>
    <row r="4249" spans="1:4">
      <c r="A4249" s="619">
        <v>43621</v>
      </c>
      <c r="B4249" s="620">
        <v>44.8033</v>
      </c>
    </row>
    <row r="4250" spans="1:4">
      <c r="A4250" s="619">
        <v>43622</v>
      </c>
      <c r="B4250" s="620">
        <v>44.98</v>
      </c>
    </row>
    <row r="4251" spans="1:4">
      <c r="A4251" s="619">
        <v>43623</v>
      </c>
      <c r="B4251" s="620">
        <v>44.883299999999998</v>
      </c>
    </row>
    <row r="4252" spans="1:4">
      <c r="A4252" s="619">
        <v>43626</v>
      </c>
      <c r="B4252" s="620">
        <v>44.97</v>
      </c>
    </row>
    <row r="4253" spans="1:4">
      <c r="A4253" s="619">
        <v>43627</v>
      </c>
      <c r="B4253" s="620">
        <v>44.741700000000002</v>
      </c>
    </row>
    <row r="4254" spans="1:4">
      <c r="A4254" s="619">
        <v>43628</v>
      </c>
      <c r="B4254" s="620">
        <v>43.7483</v>
      </c>
    </row>
    <row r="4255" spans="1:4">
      <c r="A4255" s="619">
        <v>43629</v>
      </c>
      <c r="B4255" s="620">
        <v>43.585000000000001</v>
      </c>
    </row>
    <row r="4256" spans="1:4">
      <c r="A4256" s="619">
        <v>43630</v>
      </c>
      <c r="B4256" s="620">
        <v>43.87</v>
      </c>
    </row>
    <row r="4257" spans="1:4">
      <c r="A4257" s="619">
        <v>43634</v>
      </c>
      <c r="B4257" s="620">
        <v>43.656700000000001</v>
      </c>
    </row>
    <row r="4258" spans="1:4">
      <c r="A4258" s="619">
        <v>43635</v>
      </c>
      <c r="B4258" s="620">
        <v>43.451700000000002</v>
      </c>
    </row>
    <row r="4259" spans="1:4">
      <c r="A4259" s="619">
        <v>43637</v>
      </c>
      <c r="B4259" s="620">
        <v>42.914999999999999</v>
      </c>
    </row>
    <row r="4260" spans="1:4">
      <c r="A4260" s="619">
        <v>43640</v>
      </c>
      <c r="B4260" s="620">
        <v>42.664999999999999</v>
      </c>
    </row>
    <row r="4261" spans="1:4">
      <c r="A4261" s="619">
        <v>43641</v>
      </c>
      <c r="B4261" s="620">
        <v>42.305</v>
      </c>
    </row>
    <row r="4262" spans="1:4">
      <c r="A4262" s="619">
        <v>43642</v>
      </c>
      <c r="B4262" s="620">
        <v>42.7117</v>
      </c>
    </row>
    <row r="4263" spans="1:4">
      <c r="A4263" s="619">
        <v>43643</v>
      </c>
      <c r="B4263" s="620">
        <v>42.843299999999999</v>
      </c>
      <c r="D4263" s="613">
        <v>43617</v>
      </c>
    </row>
    <row r="4264" spans="1:4">
      <c r="A4264" s="619">
        <v>43644</v>
      </c>
      <c r="B4264" s="620">
        <v>42.448300000000003</v>
      </c>
      <c r="D4264" s="604">
        <f>AVERAGE(B4247:B4264)</f>
        <v>43.789349999999985</v>
      </c>
    </row>
    <row r="4265" spans="1:4">
      <c r="A4265" s="619">
        <v>43647</v>
      </c>
      <c r="B4265" s="620">
        <v>42.134999999999998</v>
      </c>
    </row>
    <row r="4266" spans="1:4">
      <c r="A4266" s="619">
        <v>43648</v>
      </c>
      <c r="B4266" s="620">
        <v>42.465000000000003</v>
      </c>
    </row>
    <row r="4267" spans="1:4">
      <c r="A4267" s="619">
        <v>43649</v>
      </c>
      <c r="B4267" s="620">
        <v>42.09</v>
      </c>
    </row>
    <row r="4268" spans="1:4">
      <c r="A4268" s="619">
        <v>43650</v>
      </c>
      <c r="B4268" s="620">
        <v>41.758299999999998</v>
      </c>
    </row>
    <row r="4269" spans="1:4">
      <c r="A4269" s="619">
        <v>43651</v>
      </c>
      <c r="B4269" s="620">
        <v>41.98</v>
      </c>
    </row>
    <row r="4270" spans="1:4">
      <c r="A4270" s="619">
        <v>43656</v>
      </c>
      <c r="B4270" s="620">
        <v>41.880800000000001</v>
      </c>
    </row>
    <row r="4271" spans="1:4">
      <c r="A4271" s="619">
        <v>43657</v>
      </c>
      <c r="B4271" s="620">
        <v>41.755000000000003</v>
      </c>
    </row>
    <row r="4272" spans="1:4">
      <c r="A4272" s="619">
        <v>43658</v>
      </c>
      <c r="B4272" s="620">
        <v>41.658299999999997</v>
      </c>
    </row>
    <row r="4273" spans="1:4">
      <c r="A4273" s="619">
        <v>43661</v>
      </c>
      <c r="B4273" s="620">
        <v>41.861699999999999</v>
      </c>
    </row>
    <row r="4274" spans="1:4">
      <c r="A4274" s="619">
        <v>43662</v>
      </c>
      <c r="B4274" s="620">
        <v>42.633299999999998</v>
      </c>
    </row>
    <row r="4275" spans="1:4">
      <c r="A4275" s="619">
        <v>43663</v>
      </c>
      <c r="B4275" s="620">
        <v>42.52</v>
      </c>
    </row>
    <row r="4276" spans="1:4">
      <c r="A4276" s="619">
        <v>43664</v>
      </c>
      <c r="B4276" s="620">
        <v>42.344999999999999</v>
      </c>
    </row>
    <row r="4277" spans="1:4">
      <c r="A4277" s="619">
        <v>43665</v>
      </c>
      <c r="B4277" s="620">
        <v>42.4467</v>
      </c>
    </row>
    <row r="4278" spans="1:4">
      <c r="A4278" s="619">
        <v>43668</v>
      </c>
      <c r="B4278" s="620">
        <v>42.478299999999997</v>
      </c>
    </row>
    <row r="4279" spans="1:4">
      <c r="A4279" s="619">
        <v>43669</v>
      </c>
      <c r="B4279" s="620">
        <v>42.628300000000003</v>
      </c>
    </row>
    <row r="4280" spans="1:4">
      <c r="A4280" s="619">
        <v>43670</v>
      </c>
      <c r="B4280" s="620">
        <v>42.808300000000003</v>
      </c>
    </row>
    <row r="4281" spans="1:4">
      <c r="A4281" s="619">
        <v>43671</v>
      </c>
      <c r="B4281" s="620">
        <v>43.244999999999997</v>
      </c>
    </row>
    <row r="4282" spans="1:4">
      <c r="A4282" s="619">
        <v>43672</v>
      </c>
      <c r="B4282" s="620">
        <v>43.216700000000003</v>
      </c>
    </row>
    <row r="4283" spans="1:4">
      <c r="A4283" s="619">
        <v>43675</v>
      </c>
      <c r="B4283" s="620">
        <v>43.755000000000003</v>
      </c>
    </row>
    <row r="4284" spans="1:4">
      <c r="A4284" s="619">
        <v>43676</v>
      </c>
      <c r="B4284" s="620">
        <v>43.881700000000002</v>
      </c>
      <c r="D4284" s="613">
        <v>43647</v>
      </c>
    </row>
    <row r="4285" spans="1:4">
      <c r="A4285" s="619">
        <v>43677</v>
      </c>
      <c r="B4285" s="620">
        <v>43.869199999999999</v>
      </c>
      <c r="D4285" s="604">
        <v>42.543399999999998</v>
      </c>
    </row>
    <row r="4286" spans="1:4">
      <c r="A4286" s="619">
        <v>43678</v>
      </c>
      <c r="B4286" s="620">
        <v>44.323300000000003</v>
      </c>
    </row>
    <row r="4287" spans="1:4">
      <c r="A4287" s="619">
        <v>43679</v>
      </c>
      <c r="B4287" s="620">
        <v>44.7042</v>
      </c>
      <c r="D4287" s="597"/>
    </row>
    <row r="4288" spans="1:4">
      <c r="A4288" s="619">
        <v>43682</v>
      </c>
      <c r="B4288" s="620">
        <v>45.438299999999998</v>
      </c>
      <c r="D4288" s="597"/>
    </row>
    <row r="4289" spans="1:2">
      <c r="A4289" s="619">
        <v>43683</v>
      </c>
      <c r="B4289" s="620">
        <v>45.351700000000001</v>
      </c>
    </row>
    <row r="4290" spans="1:2">
      <c r="A4290" s="619">
        <v>43684</v>
      </c>
      <c r="B4290" s="620">
        <v>45.69</v>
      </c>
    </row>
    <row r="4291" spans="1:2">
      <c r="A4291" s="619">
        <v>43685</v>
      </c>
      <c r="B4291" s="620">
        <v>45.411700000000003</v>
      </c>
    </row>
    <row r="4292" spans="1:2">
      <c r="A4292" s="619">
        <v>43686</v>
      </c>
      <c r="B4292" s="620">
        <v>45.403300000000002</v>
      </c>
    </row>
    <row r="4293" spans="1:2">
      <c r="A4293" s="619">
        <v>43689</v>
      </c>
      <c r="B4293" s="620">
        <v>55.75</v>
      </c>
    </row>
    <row r="4294" spans="1:2">
      <c r="A4294" s="619">
        <v>43690</v>
      </c>
      <c r="B4294" s="620">
        <v>56.316699999999997</v>
      </c>
    </row>
    <row r="4295" spans="1:2">
      <c r="A4295" s="619">
        <v>43691</v>
      </c>
      <c r="B4295" s="620">
        <v>58.835000000000001</v>
      </c>
    </row>
    <row r="4296" spans="1:2">
      <c r="A4296" s="619">
        <v>43692</v>
      </c>
      <c r="B4296" s="620">
        <v>56.633299999999998</v>
      </c>
    </row>
    <row r="4297" spans="1:2">
      <c r="A4297" s="619">
        <v>43693</v>
      </c>
      <c r="B4297" s="620">
        <v>56.435000000000002</v>
      </c>
    </row>
    <row r="4298" spans="1:2">
      <c r="A4298" s="619">
        <v>43697</v>
      </c>
      <c r="B4298" s="620">
        <v>55.363300000000002</v>
      </c>
    </row>
    <row r="4299" spans="1:2">
      <c r="A4299" s="619">
        <v>43698</v>
      </c>
      <c r="B4299" s="620">
        <v>54.914999999999999</v>
      </c>
    </row>
    <row r="4300" spans="1:2">
      <c r="A4300" s="619">
        <v>43699</v>
      </c>
      <c r="B4300" s="620">
        <v>55.030799999999999</v>
      </c>
    </row>
    <row r="4301" spans="1:2">
      <c r="A4301" s="619">
        <v>43700</v>
      </c>
      <c r="B4301" s="620">
        <v>55.268300000000004</v>
      </c>
    </row>
    <row r="4302" spans="1:2">
      <c r="A4302" s="619">
        <v>43703</v>
      </c>
      <c r="B4302" s="620">
        <v>55.335000000000001</v>
      </c>
    </row>
    <row r="4303" spans="1:2">
      <c r="A4303" s="619">
        <v>43704</v>
      </c>
      <c r="B4303" s="620">
        <v>55.713299999999997</v>
      </c>
    </row>
    <row r="4304" spans="1:2">
      <c r="A4304" s="619">
        <v>43705</v>
      </c>
      <c r="B4304" s="620">
        <v>58.075000000000003</v>
      </c>
    </row>
    <row r="4305" spans="1:4">
      <c r="A4305" s="619">
        <v>43706</v>
      </c>
      <c r="B4305" s="620">
        <v>58.2</v>
      </c>
      <c r="D4305" s="613">
        <v>43678</v>
      </c>
    </row>
    <row r="4306" spans="1:4">
      <c r="A4306" s="619">
        <v>43707</v>
      </c>
      <c r="B4306" s="620">
        <v>59.075000000000003</v>
      </c>
      <c r="D4306" s="604">
        <v>52.7271</v>
      </c>
    </row>
    <row r="4307" spans="1:4">
      <c r="A4307" s="619">
        <v>43710</v>
      </c>
      <c r="B4307" s="620">
        <v>57.091700000000003</v>
      </c>
    </row>
    <row r="4308" spans="1:4">
      <c r="A4308" s="619">
        <v>43711</v>
      </c>
      <c r="B4308" s="620">
        <v>55.783299999999997</v>
      </c>
    </row>
    <row r="4309" spans="1:4">
      <c r="A4309" s="619">
        <v>43712</v>
      </c>
      <c r="B4309" s="620">
        <v>55.935000000000002</v>
      </c>
    </row>
    <row r="4310" spans="1:4">
      <c r="A4310" s="619">
        <v>43713</v>
      </c>
      <c r="B4310" s="620">
        <v>56.004199999999997</v>
      </c>
    </row>
    <row r="4311" spans="1:4">
      <c r="A4311" s="619">
        <v>43714</v>
      </c>
      <c r="B4311" s="620">
        <v>55.908299999999997</v>
      </c>
    </row>
    <row r="4312" spans="1:4">
      <c r="A4312" s="619">
        <v>43717</v>
      </c>
      <c r="B4312" s="620">
        <v>55.943300000000001</v>
      </c>
    </row>
    <row r="4313" spans="1:4">
      <c r="A4313" s="619">
        <v>43718</v>
      </c>
      <c r="B4313" s="620">
        <v>56.068300000000001</v>
      </c>
    </row>
    <row r="4314" spans="1:4">
      <c r="A4314" s="619">
        <v>43719</v>
      </c>
      <c r="B4314" s="620">
        <v>56.104999999999997</v>
      </c>
    </row>
    <row r="4315" spans="1:4">
      <c r="A4315" s="619">
        <v>43720</v>
      </c>
      <c r="B4315" s="620">
        <v>56.18</v>
      </c>
    </row>
    <row r="4316" spans="1:4">
      <c r="A4316" s="619">
        <v>43721</v>
      </c>
      <c r="B4316" s="620">
        <v>56.152500000000003</v>
      </c>
    </row>
    <row r="4317" spans="1:4">
      <c r="A4317" s="619">
        <v>43724</v>
      </c>
      <c r="B4317" s="620">
        <v>56.2517</v>
      </c>
    </row>
    <row r="4318" spans="1:4">
      <c r="A4318" s="619">
        <v>43725</v>
      </c>
      <c r="B4318" s="620">
        <v>56.450800000000001</v>
      </c>
    </row>
    <row r="4319" spans="1:4">
      <c r="A4319" s="619">
        <v>43726</v>
      </c>
      <c r="B4319" s="620">
        <v>56.502499999999998</v>
      </c>
    </row>
    <row r="4320" spans="1:4">
      <c r="A4320" s="619">
        <v>43727</v>
      </c>
      <c r="B4320" s="620">
        <v>56.606699999999996</v>
      </c>
    </row>
    <row r="4321" spans="1:4">
      <c r="A4321" s="619">
        <v>43728</v>
      </c>
      <c r="B4321" s="620">
        <v>56.618299999999998</v>
      </c>
    </row>
    <row r="4322" spans="1:4">
      <c r="A4322" s="619">
        <v>43731</v>
      </c>
      <c r="B4322" s="620">
        <v>56.928199999999997</v>
      </c>
    </row>
    <row r="4323" spans="1:4">
      <c r="A4323" s="619">
        <v>43732</v>
      </c>
      <c r="B4323" s="620">
        <v>56.936700000000002</v>
      </c>
    </row>
    <row r="4324" spans="1:4">
      <c r="A4324" s="619">
        <v>43733</v>
      </c>
      <c r="B4324" s="620">
        <v>57.0075</v>
      </c>
    </row>
    <row r="4325" spans="1:4">
      <c r="A4325" s="619">
        <v>43734</v>
      </c>
      <c r="B4325" s="620">
        <v>57.18</v>
      </c>
    </row>
    <row r="4326" spans="1:4">
      <c r="A4326" s="619">
        <v>43735</v>
      </c>
      <c r="B4326" s="620">
        <v>57.317500000000003</v>
      </c>
      <c r="D4326" s="613">
        <v>43709</v>
      </c>
    </row>
    <row r="4327" spans="1:4">
      <c r="A4327" s="619">
        <v>43738</v>
      </c>
      <c r="B4327" s="620">
        <v>57.558300000000003</v>
      </c>
      <c r="D4327" s="604">
        <v>56.501399999999997</v>
      </c>
    </row>
    <row r="4328" spans="1:4">
      <c r="A4328" s="619">
        <v>43739</v>
      </c>
      <c r="B4328" s="620">
        <v>57.6967</v>
      </c>
    </row>
    <row r="4329" spans="1:4">
      <c r="A4329" s="619">
        <v>43740</v>
      </c>
      <c r="B4329" s="620">
        <v>57.888300000000001</v>
      </c>
    </row>
    <row r="4330" spans="1:4">
      <c r="A4330" s="619">
        <v>43741</v>
      </c>
      <c r="B4330" s="620">
        <v>57.762500000000003</v>
      </c>
    </row>
    <row r="4331" spans="1:4">
      <c r="A4331" s="619">
        <v>43742</v>
      </c>
      <c r="B4331" s="620">
        <v>57.713299999999997</v>
      </c>
    </row>
    <row r="4332" spans="1:4">
      <c r="A4332" s="619">
        <v>43745</v>
      </c>
      <c r="B4332" s="620">
        <v>57.872500000000002</v>
      </c>
    </row>
    <row r="4333" spans="1:4">
      <c r="A4333" s="619">
        <v>43746</v>
      </c>
      <c r="B4333" s="620">
        <v>57.837499999999999</v>
      </c>
    </row>
    <row r="4334" spans="1:4">
      <c r="A4334" s="619">
        <v>43747</v>
      </c>
      <c r="B4334" s="620">
        <v>57.957500000000003</v>
      </c>
    </row>
    <row r="4335" spans="1:4">
      <c r="A4335" s="619">
        <v>43748</v>
      </c>
      <c r="B4335" s="620">
        <v>57.982799999999997</v>
      </c>
    </row>
    <row r="4336" spans="1:4">
      <c r="A4336" s="619">
        <v>43749</v>
      </c>
      <c r="B4336" s="620">
        <v>58.05</v>
      </c>
    </row>
    <row r="4337" spans="1:4">
      <c r="A4337" s="619">
        <v>43753</v>
      </c>
      <c r="B4337" s="620">
        <v>58.234999999999999</v>
      </c>
    </row>
    <row r="4338" spans="1:4">
      <c r="A4338" s="619">
        <v>43754</v>
      </c>
      <c r="B4338" s="620">
        <v>58.333300000000001</v>
      </c>
    </row>
    <row r="4339" spans="1:4">
      <c r="A4339" s="619">
        <v>43755</v>
      </c>
      <c r="B4339" s="620">
        <v>58.3142</v>
      </c>
    </row>
    <row r="4340" spans="1:4">
      <c r="A4340" s="619">
        <v>43756</v>
      </c>
      <c r="B4340" s="620">
        <v>58.344700000000003</v>
      </c>
    </row>
    <row r="4341" spans="1:4">
      <c r="A4341" s="619">
        <v>43759</v>
      </c>
      <c r="B4341" s="620">
        <v>58.521700000000003</v>
      </c>
    </row>
    <row r="4342" spans="1:4">
      <c r="A4342" s="619">
        <v>43760</v>
      </c>
      <c r="B4342" s="620">
        <v>58.653300000000002</v>
      </c>
    </row>
    <row r="4343" spans="1:4">
      <c r="A4343" s="619">
        <v>43761</v>
      </c>
      <c r="B4343" s="620">
        <v>58.936700000000002</v>
      </c>
    </row>
    <row r="4344" spans="1:4">
      <c r="A4344" s="619">
        <v>43762</v>
      </c>
      <c r="B4344" s="620">
        <v>59.341700000000003</v>
      </c>
    </row>
    <row r="4345" spans="1:4">
      <c r="A4345" s="619">
        <v>43763</v>
      </c>
      <c r="B4345" s="620">
        <v>60.003300000000003</v>
      </c>
    </row>
    <row r="4346" spans="1:4">
      <c r="A4346" s="619">
        <v>43766</v>
      </c>
      <c r="B4346" s="620">
        <v>59.466700000000003</v>
      </c>
    </row>
    <row r="4347" spans="1:4">
      <c r="A4347" s="619">
        <v>43767</v>
      </c>
      <c r="B4347" s="620">
        <v>59.456699999999998</v>
      </c>
    </row>
    <row r="4348" spans="1:4">
      <c r="A4348" s="619">
        <v>43768</v>
      </c>
      <c r="B4348" s="620">
        <v>59.583300000000001</v>
      </c>
      <c r="D4348" s="613">
        <v>43739</v>
      </c>
    </row>
    <row r="4349" spans="1:4">
      <c r="A4349" s="619">
        <v>43769</v>
      </c>
      <c r="B4349" s="620">
        <v>59.726700000000001</v>
      </c>
      <c r="D4349" s="604">
        <v>58.530799999999999</v>
      </c>
    </row>
    <row r="4350" spans="1:4">
      <c r="A4350" s="619">
        <v>43770</v>
      </c>
      <c r="B4350" s="620">
        <v>59.758299999999998</v>
      </c>
    </row>
    <row r="4351" spans="1:4">
      <c r="A4351" s="619">
        <v>43773</v>
      </c>
      <c r="B4351" s="620">
        <v>59.761699999999998</v>
      </c>
    </row>
    <row r="4352" spans="1:4">
      <c r="A4352" s="619">
        <v>43774</v>
      </c>
      <c r="B4352" s="620">
        <v>59.681699999999999</v>
      </c>
    </row>
    <row r="4353" spans="1:4">
      <c r="A4353" s="619">
        <v>43776</v>
      </c>
      <c r="B4353" s="620">
        <v>59.597700000000003</v>
      </c>
    </row>
    <row r="4354" spans="1:4">
      <c r="A4354" s="619">
        <v>43777</v>
      </c>
      <c r="B4354" s="620">
        <v>59.544199999999996</v>
      </c>
    </row>
    <row r="4355" spans="1:4">
      <c r="A4355" s="619">
        <v>43780</v>
      </c>
      <c r="B4355" s="620">
        <v>59.746699999999997</v>
      </c>
    </row>
    <row r="4356" spans="1:4">
      <c r="A4356" s="619">
        <v>43781</v>
      </c>
      <c r="B4356" s="620">
        <v>59.745199999999997</v>
      </c>
    </row>
    <row r="4357" spans="1:4">
      <c r="A4357" s="619">
        <v>43782</v>
      </c>
      <c r="B4357" s="620">
        <v>59.744199999999999</v>
      </c>
    </row>
    <row r="4358" spans="1:4">
      <c r="A4358" s="619">
        <v>43783</v>
      </c>
      <c r="B4358" s="620">
        <v>59.7258</v>
      </c>
    </row>
    <row r="4359" spans="1:4">
      <c r="A4359" s="619">
        <v>43784</v>
      </c>
      <c r="B4359" s="620">
        <v>59.685000000000002</v>
      </c>
    </row>
    <row r="4360" spans="1:4">
      <c r="A4360" s="619">
        <v>43788</v>
      </c>
      <c r="B4360" s="620">
        <v>59.712499999999999</v>
      </c>
    </row>
    <row r="4361" spans="1:4">
      <c r="A4361" s="619">
        <v>43789</v>
      </c>
      <c r="B4361" s="620">
        <v>59.722999999999999</v>
      </c>
    </row>
    <row r="4362" spans="1:4">
      <c r="A4362" s="619">
        <v>43790</v>
      </c>
      <c r="B4362" s="620">
        <v>59.75</v>
      </c>
    </row>
    <row r="4363" spans="1:4">
      <c r="A4363" s="619">
        <v>43791</v>
      </c>
      <c r="B4363" s="620">
        <v>59.794199999999996</v>
      </c>
    </row>
    <row r="4364" spans="1:4">
      <c r="A4364" s="619">
        <v>43794</v>
      </c>
      <c r="B4364" s="620">
        <v>59.744999999999997</v>
      </c>
    </row>
    <row r="4365" spans="1:4">
      <c r="A4365" s="619">
        <v>43795</v>
      </c>
      <c r="B4365" s="620">
        <v>59.716700000000003</v>
      </c>
    </row>
    <row r="4366" spans="1:4">
      <c r="A4366" s="619">
        <v>43796</v>
      </c>
      <c r="B4366" s="620">
        <v>59.878300000000003</v>
      </c>
    </row>
    <row r="4367" spans="1:4">
      <c r="A4367" s="619">
        <v>43797</v>
      </c>
      <c r="B4367" s="620">
        <v>59.85</v>
      </c>
      <c r="D4367" s="613">
        <v>43770</v>
      </c>
    </row>
    <row r="4368" spans="1:4">
      <c r="A4368" s="619">
        <v>43798</v>
      </c>
      <c r="B4368" s="620">
        <v>59.863300000000002</v>
      </c>
      <c r="D4368" s="604">
        <v>59.738100000000003</v>
      </c>
    </row>
    <row r="4369" spans="1:2">
      <c r="A4369" s="619">
        <v>43801</v>
      </c>
      <c r="B4369" s="620">
        <v>59.951700000000002</v>
      </c>
    </row>
    <row r="4370" spans="1:2">
      <c r="A4370" s="619">
        <v>43802</v>
      </c>
      <c r="B4370" s="620">
        <v>59.938299999999998</v>
      </c>
    </row>
    <row r="4371" spans="1:2">
      <c r="A4371" s="619">
        <v>43803</v>
      </c>
      <c r="B4371" s="620">
        <v>59.905799999999999</v>
      </c>
    </row>
    <row r="4372" spans="1:2">
      <c r="A4372" s="619">
        <v>43804</v>
      </c>
      <c r="B4372" s="620">
        <v>59.944200000000002</v>
      </c>
    </row>
    <row r="4373" spans="1:2">
      <c r="A4373" s="619">
        <v>43805</v>
      </c>
      <c r="B4373" s="620">
        <v>59.957500000000003</v>
      </c>
    </row>
    <row r="4374" spans="1:2">
      <c r="A4374" s="619">
        <v>43808</v>
      </c>
      <c r="B4374" s="620">
        <v>59.9512</v>
      </c>
    </row>
    <row r="4375" spans="1:2">
      <c r="A4375" s="619">
        <v>43809</v>
      </c>
      <c r="B4375" s="620">
        <v>59.960799999999999</v>
      </c>
    </row>
    <row r="4376" spans="1:2">
      <c r="A4376" s="619">
        <v>43810</v>
      </c>
      <c r="B4376" s="620">
        <v>59.834200000000003</v>
      </c>
    </row>
    <row r="4377" spans="1:2">
      <c r="A4377" s="619">
        <v>43811</v>
      </c>
      <c r="B4377" s="620">
        <v>59.8322</v>
      </c>
    </row>
    <row r="4378" spans="1:2">
      <c r="A4378" s="619">
        <v>43812</v>
      </c>
      <c r="B4378" s="620">
        <v>59.817</v>
      </c>
    </row>
    <row r="4379" spans="1:2">
      <c r="A4379" s="619">
        <v>43815</v>
      </c>
      <c r="B4379" s="620">
        <v>59.841700000000003</v>
      </c>
    </row>
    <row r="4380" spans="1:2">
      <c r="A4380" s="619">
        <v>43816</v>
      </c>
      <c r="B4380" s="620">
        <v>59.822699999999998</v>
      </c>
    </row>
    <row r="4381" spans="1:2">
      <c r="A4381" s="619">
        <v>43817</v>
      </c>
      <c r="B4381" s="620">
        <v>59.821199999999997</v>
      </c>
    </row>
    <row r="4382" spans="1:2">
      <c r="A4382" s="619">
        <v>43818</v>
      </c>
      <c r="B4382" s="620">
        <v>59.8172</v>
      </c>
    </row>
    <row r="4383" spans="1:2">
      <c r="A4383" s="619">
        <v>43819</v>
      </c>
      <c r="B4383" s="620">
        <v>59.8185</v>
      </c>
    </row>
    <row r="4384" spans="1:2">
      <c r="A4384" s="619">
        <v>43822</v>
      </c>
      <c r="B4384" s="620">
        <v>59.863300000000002</v>
      </c>
    </row>
    <row r="4385" spans="1:4">
      <c r="A4385" s="619">
        <v>43825</v>
      </c>
      <c r="B4385" s="620">
        <v>59.917499999999997</v>
      </c>
    </row>
    <row r="4386" spans="1:4">
      <c r="A4386" s="619">
        <v>43826</v>
      </c>
      <c r="B4386" s="620">
        <v>59.890799999999999</v>
      </c>
      <c r="D4386" s="613">
        <v>43800</v>
      </c>
    </row>
    <row r="4387" spans="1:4">
      <c r="A4387" s="619">
        <v>43829</v>
      </c>
      <c r="B4387" s="620">
        <v>59.895000000000003</v>
      </c>
      <c r="D4387" s="604">
        <v>59.883199999999988</v>
      </c>
    </row>
    <row r="4388" spans="1:4">
      <c r="A4388" s="619">
        <v>43832</v>
      </c>
      <c r="B4388" s="620">
        <v>59.851799999999997</v>
      </c>
    </row>
    <row r="4389" spans="1:4">
      <c r="A4389" s="619">
        <v>43833</v>
      </c>
      <c r="B4389" s="620">
        <v>59.833500000000001</v>
      </c>
    </row>
    <row r="4390" spans="1:4">
      <c r="A4390" s="619">
        <v>43836</v>
      </c>
      <c r="B4390" s="620">
        <v>59.819000000000003</v>
      </c>
    </row>
    <row r="4391" spans="1:4">
      <c r="A4391" s="619">
        <v>43837</v>
      </c>
      <c r="B4391" s="620">
        <v>59.819499999999998</v>
      </c>
    </row>
    <row r="4392" spans="1:4">
      <c r="A4392" s="619">
        <v>43838</v>
      </c>
      <c r="B4392" s="620">
        <v>59.817700000000002</v>
      </c>
    </row>
    <row r="4393" spans="1:4">
      <c r="A4393" s="619">
        <v>43839</v>
      </c>
      <c r="B4393" s="620">
        <v>59.815199999999997</v>
      </c>
    </row>
    <row r="4394" spans="1:4">
      <c r="A4394" s="619">
        <v>43840</v>
      </c>
      <c r="B4394" s="620">
        <v>59.816299999999998</v>
      </c>
    </row>
    <row r="4395" spans="1:4">
      <c r="A4395" s="619">
        <v>43843</v>
      </c>
      <c r="B4395" s="620">
        <v>59.88</v>
      </c>
    </row>
    <row r="4396" spans="1:4">
      <c r="A4396" s="619">
        <v>43844</v>
      </c>
      <c r="B4396" s="620">
        <v>60.036700000000003</v>
      </c>
      <c r="C4396" s="632"/>
    </row>
    <row r="4397" spans="1:4">
      <c r="A4397" s="619">
        <v>43845</v>
      </c>
      <c r="B4397" s="620">
        <v>60.0075</v>
      </c>
    </row>
    <row r="4398" spans="1:4">
      <c r="A4398" s="619">
        <v>43846</v>
      </c>
      <c r="B4398" s="620">
        <v>59.994999999999997</v>
      </c>
    </row>
    <row r="4399" spans="1:4">
      <c r="A4399" s="619">
        <v>43847</v>
      </c>
      <c r="B4399" s="620">
        <v>60.011299999999999</v>
      </c>
    </row>
    <row r="4400" spans="1:4">
      <c r="A4400" s="619">
        <v>43850</v>
      </c>
      <c r="B4400" s="620">
        <v>60.033299999999997</v>
      </c>
    </row>
    <row r="4401" spans="1:4">
      <c r="A4401" s="619">
        <v>43851</v>
      </c>
      <c r="B4401" s="620">
        <v>60.059199999999997</v>
      </c>
      <c r="C4401" s="633"/>
    </row>
    <row r="4402" spans="1:4">
      <c r="A4402" s="619">
        <v>43852</v>
      </c>
      <c r="B4402" s="620">
        <v>60.114800000000002</v>
      </c>
      <c r="C4402" s="633"/>
    </row>
    <row r="4403" spans="1:4">
      <c r="A4403" s="619">
        <v>43853</v>
      </c>
      <c r="B4403" s="620">
        <v>60.090800000000002</v>
      </c>
      <c r="C4403" s="633"/>
    </row>
    <row r="4404" spans="1:4">
      <c r="A4404" s="619">
        <v>43854</v>
      </c>
      <c r="B4404" s="620">
        <v>60.102499999999999</v>
      </c>
      <c r="C4404" s="633"/>
    </row>
    <row r="4405" spans="1:4">
      <c r="A4405" s="619">
        <v>43857</v>
      </c>
      <c r="B4405" s="620">
        <v>60.140799999999999</v>
      </c>
      <c r="C4405" s="633"/>
    </row>
    <row r="4406" spans="1:4">
      <c r="A4406" s="619">
        <v>43858</v>
      </c>
      <c r="B4406" s="620">
        <v>60.180799999999998</v>
      </c>
      <c r="C4406" s="633"/>
    </row>
    <row r="4407" spans="1:4">
      <c r="A4407" s="619">
        <v>43859</v>
      </c>
      <c r="B4407" s="620">
        <v>60.236699999999999</v>
      </c>
      <c r="C4407" s="633"/>
    </row>
    <row r="4408" spans="1:4">
      <c r="A4408" s="619">
        <v>43860</v>
      </c>
      <c r="B4408" s="620">
        <v>60.247500000000002</v>
      </c>
      <c r="C4408" s="633"/>
      <c r="D4408" s="613">
        <v>43831</v>
      </c>
    </row>
    <row r="4409" spans="1:4">
      <c r="A4409" s="619">
        <v>43861</v>
      </c>
      <c r="B4409" s="620">
        <v>60.331200000000003</v>
      </c>
      <c r="C4409" s="633"/>
      <c r="D4409" s="604">
        <f>+AVERAGE(B4388:B4409)</f>
        <v>60.01095909090909</v>
      </c>
    </row>
    <row r="4410" spans="1:4">
      <c r="A4410" s="619">
        <v>43864</v>
      </c>
      <c r="B4410" s="620">
        <v>60.432499999999997</v>
      </c>
      <c r="C4410" s="633"/>
    </row>
    <row r="4411" spans="1:4">
      <c r="A4411" s="619">
        <v>43865</v>
      </c>
      <c r="B4411" s="620">
        <v>60.579000000000001</v>
      </c>
      <c r="C4411" s="633"/>
    </row>
    <row r="4412" spans="1:4">
      <c r="A4412" s="619">
        <v>43866</v>
      </c>
      <c r="B4412" s="620">
        <v>60.576300000000003</v>
      </c>
      <c r="C4412" s="633"/>
    </row>
    <row r="4413" spans="1:4">
      <c r="A4413" s="619">
        <v>43867</v>
      </c>
      <c r="B4413" s="620">
        <v>60.673200000000001</v>
      </c>
      <c r="C4413" s="633"/>
    </row>
    <row r="4414" spans="1:4">
      <c r="A4414" s="619">
        <v>43868</v>
      </c>
      <c r="B4414" s="620">
        <v>60.774500000000003</v>
      </c>
      <c r="C4414" s="633"/>
    </row>
    <row r="4415" spans="1:4">
      <c r="A4415" s="619">
        <v>43871</v>
      </c>
      <c r="B4415" s="620">
        <v>60.968800000000002</v>
      </c>
      <c r="C4415" s="633"/>
    </row>
    <row r="4416" spans="1:4">
      <c r="A4416" s="619">
        <v>43872</v>
      </c>
      <c r="B4416" s="620">
        <v>61.112000000000002</v>
      </c>
      <c r="C4416" s="633"/>
    </row>
    <row r="4417" spans="1:4">
      <c r="A4417" s="619">
        <v>43873</v>
      </c>
      <c r="B4417" s="620">
        <v>61.229700000000001</v>
      </c>
      <c r="C4417" s="633"/>
    </row>
    <row r="4418" spans="1:4">
      <c r="A4418" s="619">
        <v>43874</v>
      </c>
      <c r="B4418" s="620">
        <v>61.380800000000001</v>
      </c>
      <c r="C4418" s="633"/>
    </row>
    <row r="4419" spans="1:4">
      <c r="A4419" s="619">
        <v>43875</v>
      </c>
      <c r="B4419" s="620">
        <v>61.452199999999998</v>
      </c>
    </row>
    <row r="4420" spans="1:4">
      <c r="A4420" s="619">
        <v>43878</v>
      </c>
      <c r="B4420" s="620">
        <v>61.655000000000001</v>
      </c>
    </row>
    <row r="4421" spans="1:4">
      <c r="A4421" s="619">
        <v>43879</v>
      </c>
      <c r="B4421" s="620">
        <v>61.664499999999997</v>
      </c>
    </row>
    <row r="4422" spans="1:4">
      <c r="A4422" s="619">
        <v>43880</v>
      </c>
      <c r="B4422" s="620">
        <v>61.723300000000002</v>
      </c>
    </row>
    <row r="4423" spans="1:4">
      <c r="A4423" s="619">
        <v>43881</v>
      </c>
      <c r="B4423" s="620">
        <v>61.784999999999997</v>
      </c>
    </row>
    <row r="4424" spans="1:4">
      <c r="A4424" s="619">
        <v>43882</v>
      </c>
      <c r="B4424" s="620">
        <v>61.834800000000001</v>
      </c>
    </row>
    <row r="4425" spans="1:4">
      <c r="A4425" s="619">
        <v>43887</v>
      </c>
      <c r="B4425" s="620">
        <v>62.084200000000003</v>
      </c>
    </row>
    <row r="4426" spans="1:4">
      <c r="A4426" s="619">
        <v>43888</v>
      </c>
      <c r="B4426" s="620">
        <v>62.137500000000003</v>
      </c>
      <c r="D4426" s="613">
        <v>43862</v>
      </c>
    </row>
    <row r="4427" spans="1:4">
      <c r="A4427" s="619">
        <v>43889</v>
      </c>
      <c r="B4427" s="620">
        <v>62.207999999999998</v>
      </c>
      <c r="D4427" s="604">
        <f>+AVERAGE(B4410:B4427)</f>
        <v>61.348405555555551</v>
      </c>
    </row>
    <row r="4428" spans="1:4">
      <c r="A4428" s="619">
        <v>43892</v>
      </c>
      <c r="B4428" s="620">
        <v>62.250300000000003</v>
      </c>
    </row>
    <row r="4429" spans="1:4">
      <c r="A4429" s="619">
        <v>43893</v>
      </c>
      <c r="B4429" s="620">
        <v>62.300199999999997</v>
      </c>
    </row>
    <row r="4430" spans="1:4">
      <c r="A4430" s="619">
        <v>43894</v>
      </c>
      <c r="B4430" s="620">
        <v>62.357700000000001</v>
      </c>
    </row>
    <row r="4431" spans="1:4">
      <c r="A4431" s="619">
        <v>43895</v>
      </c>
      <c r="B4431" s="620">
        <v>62.417999999999999</v>
      </c>
    </row>
    <row r="4432" spans="1:4">
      <c r="A4432" s="619">
        <v>43896</v>
      </c>
      <c r="B4432" s="620">
        <v>62.479300000000002</v>
      </c>
    </row>
    <row r="4433" spans="1:4">
      <c r="A4433" s="619">
        <v>43899</v>
      </c>
      <c r="B4433" s="620">
        <v>62.529800000000002</v>
      </c>
    </row>
    <row r="4434" spans="1:4">
      <c r="A4434" s="619">
        <v>43900</v>
      </c>
      <c r="B4434" s="620">
        <v>62.589799999999997</v>
      </c>
    </row>
    <row r="4435" spans="1:4">
      <c r="A4435" s="619">
        <v>43901</v>
      </c>
      <c r="B4435" s="620">
        <v>62.669699999999999</v>
      </c>
    </row>
    <row r="4436" spans="1:4">
      <c r="A4436" s="619">
        <v>43902</v>
      </c>
      <c r="B4436" s="620">
        <v>62.818199999999997</v>
      </c>
    </row>
    <row r="4437" spans="1:4">
      <c r="A4437" s="619">
        <v>43903</v>
      </c>
      <c r="B4437" s="620">
        <v>62.8992</v>
      </c>
    </row>
    <row r="4438" spans="1:4">
      <c r="A4438" s="619">
        <v>43906</v>
      </c>
      <c r="B4438" s="620">
        <v>63.0398</v>
      </c>
    </row>
    <row r="4439" spans="1:4">
      <c r="A4439" s="619">
        <v>43907</v>
      </c>
      <c r="B4439" s="620">
        <v>63.174999999999997</v>
      </c>
    </row>
    <row r="4440" spans="1:4">
      <c r="A4440" s="619">
        <v>43908</v>
      </c>
      <c r="B4440" s="620">
        <v>63.33</v>
      </c>
    </row>
    <row r="4441" spans="1:4">
      <c r="A4441" s="619">
        <v>43909</v>
      </c>
      <c r="B4441" s="620">
        <v>63.549700000000001</v>
      </c>
    </row>
    <row r="4442" spans="1:4">
      <c r="A4442" s="619">
        <v>43910</v>
      </c>
      <c r="B4442" s="620">
        <v>63.768799999999999</v>
      </c>
    </row>
    <row r="4443" spans="1:4">
      <c r="A4443" s="619">
        <v>43915</v>
      </c>
      <c r="B4443" s="620">
        <v>64.047300000000007</v>
      </c>
    </row>
    <row r="4444" spans="1:4">
      <c r="A4444" s="619">
        <v>43916</v>
      </c>
      <c r="B4444" s="620">
        <v>64.229500000000002</v>
      </c>
    </row>
    <row r="4445" spans="1:4">
      <c r="A4445" s="619">
        <v>43917</v>
      </c>
      <c r="B4445" s="620">
        <v>64.409499999999994</v>
      </c>
      <c r="D4445" s="613">
        <v>43891</v>
      </c>
    </row>
    <row r="4446" spans="1:4">
      <c r="A4446" s="619">
        <v>43920</v>
      </c>
      <c r="B4446" s="620">
        <v>64.469700000000003</v>
      </c>
      <c r="D4446" s="604">
        <f>+AVERAGE(B4428:B4446)</f>
        <v>63.122710526315792</v>
      </c>
    </row>
    <row r="4447" spans="1:4">
      <c r="A4447" s="619">
        <v>43922</v>
      </c>
      <c r="B4447" s="620">
        <v>64.529499999999999</v>
      </c>
    </row>
    <row r="4448" spans="1:4">
      <c r="A4448" s="619">
        <v>43923</v>
      </c>
      <c r="B4448" s="620">
        <v>64.716499999999996</v>
      </c>
    </row>
    <row r="4449" spans="1:2">
      <c r="A4449" s="619">
        <v>43924</v>
      </c>
      <c r="B4449" s="620">
        <v>64.906499999999994</v>
      </c>
    </row>
    <row r="4450" spans="1:2">
      <c r="A4450" s="619">
        <v>43927</v>
      </c>
      <c r="B4450" s="620">
        <v>64.988</v>
      </c>
    </row>
    <row r="4451" spans="1:2">
      <c r="A4451" s="619">
        <v>43928</v>
      </c>
      <c r="B4451" s="620">
        <v>65.069500000000005</v>
      </c>
    </row>
    <row r="4452" spans="1:2">
      <c r="A4452" s="619">
        <v>43929</v>
      </c>
      <c r="B4452" s="620">
        <v>65.159499999999994</v>
      </c>
    </row>
    <row r="4453" spans="1:2">
      <c r="A4453" s="619">
        <v>43934</v>
      </c>
      <c r="B4453" s="620">
        <v>65.379499999999993</v>
      </c>
    </row>
    <row r="4454" spans="1:2">
      <c r="A4454" s="619">
        <v>43935</v>
      </c>
      <c r="B4454" s="620">
        <v>65.498000000000005</v>
      </c>
    </row>
    <row r="4455" spans="1:2">
      <c r="A4455" s="619">
        <v>43936</v>
      </c>
      <c r="B4455" s="620">
        <v>65.619500000000002</v>
      </c>
    </row>
    <row r="4456" spans="1:2">
      <c r="A4456" s="619">
        <v>43937</v>
      </c>
      <c r="B4456" s="620">
        <v>65.739500000000007</v>
      </c>
    </row>
    <row r="4457" spans="1:2">
      <c r="A4457" s="619">
        <v>43938</v>
      </c>
      <c r="B4457" s="620">
        <v>65.859499999999997</v>
      </c>
    </row>
    <row r="4458" spans="1:2">
      <c r="A4458" s="619">
        <v>43941</v>
      </c>
      <c r="B4458" s="620">
        <v>65.977800000000002</v>
      </c>
    </row>
    <row r="4459" spans="1:2">
      <c r="A4459" s="619">
        <v>43942</v>
      </c>
      <c r="B4459" s="620">
        <v>66.089500000000001</v>
      </c>
    </row>
    <row r="4460" spans="1:2">
      <c r="A4460" s="619">
        <v>43943</v>
      </c>
      <c r="B4460" s="620">
        <v>66.224999999999994</v>
      </c>
    </row>
    <row r="4461" spans="1:2">
      <c r="A4461" s="619">
        <v>43944</v>
      </c>
      <c r="B4461" s="620">
        <v>66.316699999999997</v>
      </c>
    </row>
    <row r="4462" spans="1:2">
      <c r="A4462" s="619">
        <v>43945</v>
      </c>
      <c r="B4462" s="620">
        <v>66.424999999999997</v>
      </c>
    </row>
    <row r="4463" spans="1:2">
      <c r="A4463" s="619">
        <v>43948</v>
      </c>
      <c r="B4463" s="620">
        <v>66.525000000000006</v>
      </c>
    </row>
    <row r="4464" spans="1:2">
      <c r="A4464" s="619">
        <v>43949</v>
      </c>
      <c r="B4464" s="620">
        <v>66.635000000000005</v>
      </c>
    </row>
    <row r="4465" spans="1:4">
      <c r="A4465" s="619">
        <v>43950</v>
      </c>
      <c r="B4465" s="620">
        <v>66.745000000000005</v>
      </c>
      <c r="D4465" s="613">
        <v>43922</v>
      </c>
    </row>
    <row r="4466" spans="1:4">
      <c r="A4466" s="619">
        <v>43951</v>
      </c>
      <c r="B4466" s="620">
        <v>66.834999999999994</v>
      </c>
      <c r="D4466" s="604">
        <f>+AVERAGE(B4447:B4466)</f>
        <v>65.761975000000007</v>
      </c>
    </row>
    <row r="4467" spans="1:4">
      <c r="A4467" s="619">
        <v>43955</v>
      </c>
      <c r="B4467" s="620">
        <v>66.924999999999997</v>
      </c>
    </row>
    <row r="4468" spans="1:4">
      <c r="A4468" s="619">
        <v>43956</v>
      </c>
      <c r="B4468" s="620">
        <v>67.004999999999995</v>
      </c>
    </row>
    <row r="4469" spans="1:4">
      <c r="A4469" s="619">
        <v>43957</v>
      </c>
      <c r="B4469" s="620">
        <v>67.094999999999999</v>
      </c>
    </row>
    <row r="4470" spans="1:4">
      <c r="A4470" s="619">
        <v>43958</v>
      </c>
      <c r="B4470" s="620">
        <v>67.185000000000002</v>
      </c>
    </row>
    <row r="4471" spans="1:4">
      <c r="A4471" s="619">
        <v>43959</v>
      </c>
      <c r="B4471" s="620">
        <v>67.275000000000006</v>
      </c>
    </row>
    <row r="4472" spans="1:4">
      <c r="A4472" s="619">
        <v>43962</v>
      </c>
      <c r="B4472" s="620">
        <v>67.364999999999995</v>
      </c>
    </row>
    <row r="4473" spans="1:4">
      <c r="A4473" s="619">
        <v>43963</v>
      </c>
      <c r="B4473" s="620">
        <v>67.454999999999998</v>
      </c>
    </row>
    <row r="4474" spans="1:4">
      <c r="A4474" s="619">
        <v>43964</v>
      </c>
      <c r="B4474" s="620">
        <v>67.545000000000002</v>
      </c>
    </row>
    <row r="4475" spans="1:4">
      <c r="A4475" s="619">
        <v>43965</v>
      </c>
      <c r="B4475" s="620">
        <v>67.635000000000005</v>
      </c>
    </row>
    <row r="4476" spans="1:4">
      <c r="A4476" s="619">
        <v>43966</v>
      </c>
      <c r="B4476" s="620">
        <v>67.724999999999994</v>
      </c>
    </row>
    <row r="4477" spans="1:4">
      <c r="A4477" s="619">
        <v>43969</v>
      </c>
      <c r="B4477" s="620">
        <v>67.814999999999998</v>
      </c>
    </row>
    <row r="4478" spans="1:4">
      <c r="A4478" s="619">
        <v>43970</v>
      </c>
      <c r="B4478" s="620">
        <v>67.905000000000001</v>
      </c>
    </row>
    <row r="4479" spans="1:4">
      <c r="A4479" s="619">
        <v>43971</v>
      </c>
      <c r="B4479" s="620">
        <v>67.995000000000005</v>
      </c>
    </row>
    <row r="4480" spans="1:4">
      <c r="A4480" s="619">
        <v>43972</v>
      </c>
      <c r="B4480" s="620">
        <v>68.084999999999994</v>
      </c>
    </row>
    <row r="4481" spans="1:4">
      <c r="A4481" s="619">
        <v>43973</v>
      </c>
      <c r="B4481" s="620">
        <v>68.174999999999997</v>
      </c>
    </row>
    <row r="4482" spans="1:4">
      <c r="A4482" s="619">
        <v>43977</v>
      </c>
      <c r="B4482" s="620">
        <v>68.265000000000001</v>
      </c>
    </row>
    <row r="4483" spans="1:4">
      <c r="A4483" s="619">
        <v>43978</v>
      </c>
      <c r="B4483" s="620">
        <v>68.355000000000004</v>
      </c>
    </row>
    <row r="4484" spans="1:4">
      <c r="A4484" s="619">
        <v>43979</v>
      </c>
      <c r="B4484" s="620">
        <v>68.444999999999993</v>
      </c>
      <c r="D4484" s="613">
        <v>43952</v>
      </c>
    </row>
    <row r="4485" spans="1:4">
      <c r="A4485" s="619">
        <v>43980</v>
      </c>
      <c r="B4485" s="620">
        <v>68.534999999999997</v>
      </c>
      <c r="D4485" s="604">
        <f>+AVERAGE(B4467:B4485)</f>
        <v>67.72552631578948</v>
      </c>
    </row>
    <row r="4486" spans="1:4">
      <c r="A4486" s="619">
        <v>43983</v>
      </c>
      <c r="B4486" s="620">
        <v>68.625</v>
      </c>
    </row>
    <row r="4487" spans="1:4">
      <c r="A4487" s="619">
        <v>43984</v>
      </c>
      <c r="B4487" s="620">
        <v>68.715000000000003</v>
      </c>
    </row>
    <row r="4488" spans="1:4">
      <c r="A4488" s="619">
        <v>43985</v>
      </c>
      <c r="B4488" s="620">
        <v>68.805000000000007</v>
      </c>
    </row>
    <row r="4489" spans="1:4">
      <c r="A4489" s="619">
        <v>43986</v>
      </c>
      <c r="B4489" s="620">
        <v>68.894999999999996</v>
      </c>
    </row>
    <row r="4490" spans="1:4">
      <c r="A4490" s="619">
        <v>43987</v>
      </c>
      <c r="B4490" s="620">
        <v>68.984999999999999</v>
      </c>
    </row>
    <row r="4491" spans="1:4">
      <c r="A4491" s="619">
        <v>43990</v>
      </c>
      <c r="B4491" s="620">
        <v>69.075000000000003</v>
      </c>
    </row>
    <row r="4492" spans="1:4">
      <c r="A4492" s="619">
        <v>43991</v>
      </c>
      <c r="B4492" s="620">
        <v>69.165000000000006</v>
      </c>
    </row>
    <row r="4493" spans="1:4">
      <c r="A4493" s="619">
        <v>43992</v>
      </c>
      <c r="B4493" s="620">
        <v>69.254999999999995</v>
      </c>
    </row>
    <row r="4494" spans="1:4">
      <c r="A4494" s="619">
        <v>43993</v>
      </c>
      <c r="B4494" s="620">
        <v>69.314999999999998</v>
      </c>
    </row>
    <row r="4495" spans="1:4">
      <c r="A4495" s="619">
        <v>43994</v>
      </c>
      <c r="B4495" s="620">
        <v>69.375</v>
      </c>
    </row>
    <row r="4496" spans="1:4">
      <c r="A4496" s="619">
        <v>43998</v>
      </c>
      <c r="B4496" s="620">
        <v>69.614999999999995</v>
      </c>
    </row>
    <row r="4497" spans="1:4">
      <c r="A4497" s="619">
        <v>43999</v>
      </c>
      <c r="B4497" s="620">
        <v>69.674999999999997</v>
      </c>
    </row>
    <row r="4498" spans="1:4">
      <c r="A4498" s="619">
        <v>44000</v>
      </c>
      <c r="B4498" s="620">
        <v>69.734999999999999</v>
      </c>
    </row>
    <row r="4499" spans="1:4">
      <c r="A4499" s="619">
        <v>44001</v>
      </c>
      <c r="B4499" s="620">
        <v>69.795000000000002</v>
      </c>
    </row>
    <row r="4500" spans="1:4">
      <c r="A4500" s="619">
        <v>44004</v>
      </c>
      <c r="B4500" s="620">
        <v>69.974999999999994</v>
      </c>
    </row>
    <row r="4501" spans="1:4">
      <c r="A4501" s="619">
        <v>44005</v>
      </c>
      <c r="B4501" s="620">
        <v>70.034999999999997</v>
      </c>
    </row>
    <row r="4502" spans="1:4">
      <c r="A4502" s="619">
        <v>44006</v>
      </c>
      <c r="B4502" s="620">
        <v>70.094999999999999</v>
      </c>
    </row>
    <row r="4503" spans="1:4">
      <c r="A4503" s="619">
        <v>44007</v>
      </c>
      <c r="B4503" s="620">
        <v>70.155000000000001</v>
      </c>
    </row>
    <row r="4504" spans="1:4">
      <c r="A4504" s="619">
        <v>44008</v>
      </c>
      <c r="B4504" s="620">
        <v>70.215000000000003</v>
      </c>
    </row>
    <row r="4505" spans="1:4">
      <c r="A4505" s="619">
        <v>44011</v>
      </c>
      <c r="B4505" s="620">
        <v>70.394999999999996</v>
      </c>
      <c r="D4505" s="613">
        <v>43983</v>
      </c>
    </row>
    <row r="4506" spans="1:4">
      <c r="A4506" s="619">
        <v>44012</v>
      </c>
      <c r="B4506" s="620">
        <v>70.454999999999998</v>
      </c>
      <c r="D4506" s="604">
        <f>+AVERAGE(B4486:B4506)</f>
        <v>69.540714285714273</v>
      </c>
    </row>
    <row r="4507" spans="1:4">
      <c r="A4507" s="619">
        <v>44013</v>
      </c>
      <c r="B4507" s="620">
        <v>70.515000000000001</v>
      </c>
      <c r="C4507" s="597"/>
    </row>
    <row r="4508" spans="1:4">
      <c r="A4508" s="619">
        <v>44014</v>
      </c>
      <c r="B4508" s="620">
        <v>70.575000000000003</v>
      </c>
      <c r="C4508" s="597"/>
    </row>
    <row r="4509" spans="1:4">
      <c r="A4509" s="619">
        <v>44015</v>
      </c>
      <c r="B4509" s="620">
        <v>70.635000000000005</v>
      </c>
      <c r="C4509" s="597"/>
    </row>
    <row r="4510" spans="1:4">
      <c r="A4510" s="619">
        <v>44018</v>
      </c>
      <c r="B4510" s="620">
        <v>70.814999999999998</v>
      </c>
      <c r="C4510" s="597"/>
    </row>
    <row r="4511" spans="1:4">
      <c r="A4511" s="619">
        <v>44019</v>
      </c>
      <c r="B4511" s="620">
        <v>70.875</v>
      </c>
      <c r="C4511" s="597"/>
    </row>
    <row r="4512" spans="1:4">
      <c r="A4512" s="619">
        <v>44020</v>
      </c>
      <c r="B4512" s="620">
        <v>70.935000000000002</v>
      </c>
      <c r="C4512" s="597"/>
    </row>
    <row r="4513" spans="1:4">
      <c r="A4513" s="619">
        <v>44025</v>
      </c>
      <c r="B4513" s="620">
        <v>71.2333</v>
      </c>
      <c r="C4513" s="597"/>
    </row>
    <row r="4514" spans="1:4">
      <c r="A4514" s="619">
        <v>44026</v>
      </c>
      <c r="B4514" s="620">
        <v>71.295000000000002</v>
      </c>
      <c r="C4514" s="597"/>
    </row>
    <row r="4515" spans="1:4">
      <c r="A4515" s="619">
        <v>44027</v>
      </c>
      <c r="B4515" s="620">
        <v>71.355000000000004</v>
      </c>
      <c r="C4515" s="597"/>
    </row>
    <row r="4516" spans="1:4">
      <c r="A4516" s="619">
        <v>44028</v>
      </c>
      <c r="B4516" s="620">
        <v>71.415000000000006</v>
      </c>
    </row>
    <row r="4517" spans="1:4">
      <c r="A4517" s="619">
        <v>44029</v>
      </c>
      <c r="B4517" s="620">
        <v>71.474999999999994</v>
      </c>
    </row>
    <row r="4518" spans="1:4">
      <c r="A4518" s="619">
        <v>44032</v>
      </c>
      <c r="B4518" s="620">
        <v>71.655000000000001</v>
      </c>
    </row>
    <row r="4519" spans="1:4">
      <c r="A4519" s="619">
        <v>44033</v>
      </c>
      <c r="B4519" s="620">
        <v>71.715000000000003</v>
      </c>
    </row>
    <row r="4520" spans="1:4">
      <c r="A4520" s="619">
        <v>44034</v>
      </c>
      <c r="B4520" s="620">
        <v>71.775000000000006</v>
      </c>
    </row>
    <row r="4521" spans="1:4">
      <c r="A4521" s="619">
        <v>44035</v>
      </c>
      <c r="B4521" s="620">
        <v>71.834999999999994</v>
      </c>
    </row>
    <row r="4522" spans="1:4">
      <c r="A4522" s="619">
        <v>44036</v>
      </c>
      <c r="B4522" s="620">
        <v>71.894999999999996</v>
      </c>
    </row>
    <row r="4523" spans="1:4">
      <c r="A4523" s="619">
        <v>44039</v>
      </c>
      <c r="B4523" s="620">
        <v>72.075000000000003</v>
      </c>
    </row>
    <row r="4524" spans="1:4">
      <c r="A4524" s="619">
        <v>44040</v>
      </c>
      <c r="B4524" s="620">
        <v>72.135000000000005</v>
      </c>
    </row>
    <row r="4525" spans="1:4">
      <c r="A4525" s="619">
        <v>44041</v>
      </c>
      <c r="B4525" s="620">
        <v>72.194999999999993</v>
      </c>
    </row>
    <row r="4526" spans="1:4">
      <c r="A4526" s="619">
        <v>44042</v>
      </c>
      <c r="B4526" s="620">
        <v>72.254999999999995</v>
      </c>
      <c r="D4526" s="613">
        <v>44013</v>
      </c>
    </row>
    <row r="4527" spans="1:4">
      <c r="A4527" s="619">
        <v>44043</v>
      </c>
      <c r="B4527" s="620">
        <v>72.314999999999998</v>
      </c>
      <c r="D4527" s="604">
        <f>+AVERAGE(B4507:B4527)</f>
        <v>71.474919047619053</v>
      </c>
    </row>
    <row r="4528" spans="1:4">
      <c r="A4528" s="619">
        <v>44046</v>
      </c>
      <c r="B4528" s="620">
        <v>72.515000000000001</v>
      </c>
    </row>
    <row r="4529" spans="1:3">
      <c r="A4529" s="619">
        <v>44047</v>
      </c>
      <c r="B4529" s="620">
        <v>72.564999999999998</v>
      </c>
    </row>
    <row r="4530" spans="1:3">
      <c r="A4530" s="619">
        <v>44048</v>
      </c>
      <c r="B4530" s="620">
        <v>72.614999999999995</v>
      </c>
    </row>
    <row r="4531" spans="1:3">
      <c r="A4531" s="619">
        <v>44049</v>
      </c>
      <c r="B4531" s="620">
        <v>72.694999999999993</v>
      </c>
    </row>
    <row r="4532" spans="1:3">
      <c r="A4532" s="619">
        <v>44050</v>
      </c>
      <c r="B4532" s="620">
        <v>72.765000000000001</v>
      </c>
    </row>
    <row r="4533" spans="1:3">
      <c r="A4533" s="619">
        <v>44053</v>
      </c>
      <c r="B4533" s="620">
        <v>72.944999999999993</v>
      </c>
    </row>
    <row r="4534" spans="1:3">
      <c r="A4534" s="619">
        <v>44054</v>
      </c>
      <c r="B4534" s="620">
        <v>72.995000000000005</v>
      </c>
    </row>
    <row r="4535" spans="1:3">
      <c r="A4535" s="619">
        <v>44055</v>
      </c>
      <c r="B4535" s="620">
        <v>73.045000000000002</v>
      </c>
      <c r="C4535" s="597"/>
    </row>
    <row r="4536" spans="1:3">
      <c r="A4536" s="619">
        <v>44056</v>
      </c>
      <c r="B4536" s="620">
        <v>73.105000000000004</v>
      </c>
    </row>
    <row r="4537" spans="1:3">
      <c r="A4537" s="619">
        <v>44057</v>
      </c>
      <c r="B4537" s="620">
        <v>73.155000000000001</v>
      </c>
    </row>
    <row r="4538" spans="1:3">
      <c r="A4538" s="619">
        <v>44061</v>
      </c>
      <c r="B4538" s="620">
        <v>73.394999999999996</v>
      </c>
    </row>
    <row r="4539" spans="1:3">
      <c r="A4539" s="619">
        <v>44062</v>
      </c>
      <c r="B4539" s="620">
        <v>73.474999999999994</v>
      </c>
    </row>
    <row r="4540" spans="1:3">
      <c r="A4540" s="619">
        <v>44063</v>
      </c>
      <c r="B4540" s="620">
        <v>73.525000000000006</v>
      </c>
    </row>
    <row r="4541" spans="1:3">
      <c r="A4541" s="619">
        <v>44064</v>
      </c>
      <c r="B4541" s="620">
        <v>73.575000000000003</v>
      </c>
    </row>
    <row r="4542" spans="1:3">
      <c r="A4542" s="619">
        <v>44067</v>
      </c>
      <c r="B4542" s="620">
        <v>73.724999999999994</v>
      </c>
    </row>
    <row r="4543" spans="1:3">
      <c r="A4543" s="619">
        <v>44068</v>
      </c>
      <c r="B4543" s="620">
        <v>73.805000000000007</v>
      </c>
    </row>
    <row r="4544" spans="1:3">
      <c r="A4544" s="619">
        <v>44069</v>
      </c>
      <c r="B4544" s="620">
        <v>73.855000000000004</v>
      </c>
    </row>
    <row r="4545" spans="1:4">
      <c r="A4545" s="619">
        <v>44070</v>
      </c>
      <c r="B4545" s="620">
        <v>73.935000000000002</v>
      </c>
    </row>
    <row r="4546" spans="1:4">
      <c r="A4546" s="619">
        <v>44071</v>
      </c>
      <c r="B4546" s="620">
        <v>73.995000000000005</v>
      </c>
      <c r="D4546" s="613">
        <v>44044</v>
      </c>
    </row>
    <row r="4547" spans="1:4">
      <c r="A4547" s="619">
        <v>44074</v>
      </c>
      <c r="B4547" s="620">
        <v>74.174999999999997</v>
      </c>
      <c r="D4547" s="604">
        <f>+AVERAGE(B4528:B4547)</f>
        <v>73.292999999999992</v>
      </c>
    </row>
    <row r="4548" spans="1:4">
      <c r="A4548" s="619">
        <v>44075</v>
      </c>
      <c r="B4548" s="620">
        <v>74.245000000000005</v>
      </c>
    </row>
    <row r="4549" spans="1:4">
      <c r="A4549" s="619">
        <v>44076</v>
      </c>
      <c r="B4549" s="620">
        <v>74.314999999999998</v>
      </c>
    </row>
    <row r="4550" spans="1:4">
      <c r="A4550" s="619">
        <v>44077</v>
      </c>
      <c r="B4550" s="620">
        <v>74.375</v>
      </c>
    </row>
    <row r="4551" spans="1:4">
      <c r="A4551" s="619">
        <v>44078</v>
      </c>
      <c r="B4551" s="620">
        <v>74.435000000000002</v>
      </c>
    </row>
    <row r="4552" spans="1:4">
      <c r="A4552" s="619">
        <v>44081</v>
      </c>
      <c r="B4552" s="620">
        <v>74.644999999999996</v>
      </c>
    </row>
    <row r="4553" spans="1:4">
      <c r="A4553" s="619">
        <v>44082</v>
      </c>
      <c r="B4553" s="620">
        <v>74.704999999999998</v>
      </c>
    </row>
    <row r="4554" spans="1:4">
      <c r="A4554" s="619">
        <v>44083</v>
      </c>
      <c r="B4554" s="620">
        <v>74.765000000000001</v>
      </c>
    </row>
    <row r="4555" spans="1:4">
      <c r="A4555" s="619">
        <v>44084</v>
      </c>
      <c r="B4555" s="620">
        <v>74.834999999999994</v>
      </c>
    </row>
    <row r="4556" spans="1:4">
      <c r="A4556" s="619">
        <v>44085</v>
      </c>
      <c r="B4556" s="620">
        <v>74.905000000000001</v>
      </c>
    </row>
    <row r="4557" spans="1:4">
      <c r="A4557" s="619">
        <v>44088</v>
      </c>
      <c r="B4557" s="620">
        <v>75.114999999999995</v>
      </c>
    </row>
    <row r="4558" spans="1:4">
      <c r="A4558" s="619">
        <v>44089</v>
      </c>
      <c r="B4558" s="620">
        <v>75.185000000000002</v>
      </c>
    </row>
    <row r="4559" spans="1:4">
      <c r="A4559" s="619">
        <v>44090</v>
      </c>
      <c r="B4559" s="620">
        <v>75.245000000000005</v>
      </c>
    </row>
    <row r="4560" spans="1:4">
      <c r="A4560" s="619">
        <v>44091</v>
      </c>
      <c r="B4560" s="620">
        <v>75.314999999999998</v>
      </c>
    </row>
    <row r="4561" spans="1:4">
      <c r="A4561" s="619">
        <v>44092</v>
      </c>
      <c r="B4561" s="620">
        <v>75.375</v>
      </c>
    </row>
    <row r="4562" spans="1:4">
      <c r="A4562" s="619">
        <v>44095</v>
      </c>
      <c r="B4562" s="620">
        <v>75.584999999999994</v>
      </c>
    </row>
    <row r="4563" spans="1:4">
      <c r="A4563" s="619">
        <v>44096</v>
      </c>
      <c r="B4563" s="620">
        <v>75.644999999999996</v>
      </c>
    </row>
    <row r="4564" spans="1:4">
      <c r="A4564" s="619">
        <v>44097</v>
      </c>
      <c r="B4564" s="620">
        <v>75.715000000000003</v>
      </c>
    </row>
    <row r="4565" spans="1:4">
      <c r="A4565" s="619">
        <v>44098</v>
      </c>
      <c r="B4565" s="620">
        <v>75.775000000000006</v>
      </c>
    </row>
    <row r="4566" spans="1:4">
      <c r="A4566" s="619">
        <v>44099</v>
      </c>
      <c r="B4566" s="620">
        <v>75.844999999999999</v>
      </c>
    </row>
    <row r="4567" spans="1:4">
      <c r="A4567" s="619">
        <v>44102</v>
      </c>
      <c r="B4567" s="620">
        <v>76.055000000000007</v>
      </c>
    </row>
    <row r="4568" spans="1:4">
      <c r="A4568" s="619">
        <v>44103</v>
      </c>
      <c r="B4568" s="620">
        <v>76.114999999999995</v>
      </c>
      <c r="C4568" s="633"/>
      <c r="D4568" s="613">
        <v>44075</v>
      </c>
    </row>
    <row r="4569" spans="1:4">
      <c r="A4569" s="619">
        <v>44104</v>
      </c>
      <c r="B4569" s="620">
        <v>76.174999999999997</v>
      </c>
      <c r="C4569" s="633"/>
      <c r="D4569" s="604">
        <f>+AVERAGE(B4548:B4569)</f>
        <v>75.198636363636368</v>
      </c>
    </row>
    <row r="4570" spans="1:4">
      <c r="A4570" s="619">
        <v>44105</v>
      </c>
      <c r="B4570" s="620">
        <v>76.245000000000005</v>
      </c>
      <c r="C4570" s="633"/>
    </row>
    <row r="4571" spans="1:4">
      <c r="A4571" s="619">
        <v>44106</v>
      </c>
      <c r="B4571" s="620">
        <v>76.944999999999993</v>
      </c>
      <c r="C4571" s="633"/>
    </row>
    <row r="4572" spans="1:4">
      <c r="A4572" s="619">
        <v>44109</v>
      </c>
      <c r="B4572" s="620">
        <v>77.051699999999997</v>
      </c>
      <c r="C4572" s="633"/>
    </row>
    <row r="4573" spans="1:4">
      <c r="A4573" s="619">
        <v>44110</v>
      </c>
      <c r="B4573" s="620">
        <v>77.08</v>
      </c>
      <c r="C4573" s="633"/>
    </row>
    <row r="4574" spans="1:4">
      <c r="A4574" s="619">
        <v>44111</v>
      </c>
      <c r="B4574" s="620">
        <v>77.096699999999998</v>
      </c>
      <c r="C4574" s="633"/>
    </row>
    <row r="4575" spans="1:4">
      <c r="A4575" s="619">
        <v>44112</v>
      </c>
      <c r="B4575" s="620">
        <v>77.103300000000004</v>
      </c>
      <c r="C4575" s="633"/>
    </row>
    <row r="4576" spans="1:4">
      <c r="A4576" s="619">
        <v>44113</v>
      </c>
      <c r="B4576" s="620">
        <v>77.1083</v>
      </c>
      <c r="C4576" s="633"/>
    </row>
    <row r="4577" spans="1:4">
      <c r="A4577" s="619">
        <v>44117</v>
      </c>
      <c r="B4577" s="620">
        <v>77.403300000000002</v>
      </c>
      <c r="C4577" s="633"/>
    </row>
    <row r="4578" spans="1:4">
      <c r="A4578" s="619">
        <v>44118</v>
      </c>
      <c r="B4578" s="620">
        <v>77.421700000000001</v>
      </c>
      <c r="C4578" s="633"/>
    </row>
    <row r="4579" spans="1:4">
      <c r="A4579" s="619">
        <v>44119</v>
      </c>
      <c r="B4579" s="620">
        <v>77.459999999999994</v>
      </c>
      <c r="C4579" s="633"/>
    </row>
    <row r="4580" spans="1:4">
      <c r="A4580" s="619">
        <v>44120</v>
      </c>
      <c r="B4580" s="620">
        <v>77.531700000000001</v>
      </c>
      <c r="C4580" s="633"/>
    </row>
    <row r="4581" spans="1:4">
      <c r="A4581" s="619">
        <v>44123</v>
      </c>
      <c r="B4581" s="620">
        <v>77.576700000000002</v>
      </c>
      <c r="C4581" s="633"/>
    </row>
    <row r="4582" spans="1:4">
      <c r="A4582" s="619">
        <v>44124</v>
      </c>
      <c r="B4582" s="620">
        <v>77.656700000000001</v>
      </c>
      <c r="C4582" s="633"/>
    </row>
    <row r="4583" spans="1:4">
      <c r="A4583" s="619">
        <v>44125</v>
      </c>
      <c r="B4583" s="620">
        <v>77.713300000000004</v>
      </c>
      <c r="C4583" s="633"/>
    </row>
    <row r="4584" spans="1:4">
      <c r="A4584" s="619">
        <v>44126</v>
      </c>
      <c r="B4584" s="620">
        <v>78.046700000000001</v>
      </c>
      <c r="C4584" s="633"/>
    </row>
    <row r="4585" spans="1:4">
      <c r="A4585" s="619">
        <v>44127</v>
      </c>
      <c r="B4585" s="620">
        <v>78.088300000000004</v>
      </c>
    </row>
    <row r="4586" spans="1:4">
      <c r="A4586" s="619">
        <v>44130</v>
      </c>
      <c r="B4586" s="620">
        <v>78.206699999999998</v>
      </c>
    </row>
    <row r="4587" spans="1:4">
      <c r="A4587" s="619">
        <v>44131</v>
      </c>
      <c r="B4587" s="620">
        <v>78.296700000000001</v>
      </c>
    </row>
    <row r="4588" spans="1:4">
      <c r="A4588" s="619">
        <v>44132</v>
      </c>
      <c r="B4588" s="620">
        <v>78.298299999999998</v>
      </c>
    </row>
    <row r="4589" spans="1:4">
      <c r="A4589" s="619">
        <v>44133</v>
      </c>
      <c r="B4589" s="620">
        <v>78.296700000000001</v>
      </c>
      <c r="D4589" s="613">
        <v>44105</v>
      </c>
    </row>
    <row r="4590" spans="1:4">
      <c r="A4590" s="619">
        <v>44134</v>
      </c>
      <c r="B4590" s="620">
        <v>78.328299999999999</v>
      </c>
      <c r="D4590" s="604">
        <f>+AVERAGE(B4570:B4590)</f>
        <v>77.569290476190488</v>
      </c>
    </row>
    <row r="4591" spans="1:4">
      <c r="A4591" s="619">
        <v>44137</v>
      </c>
      <c r="B4591" s="620">
        <v>78.69</v>
      </c>
    </row>
    <row r="4592" spans="1:4">
      <c r="A4592" s="619">
        <v>44138</v>
      </c>
      <c r="B4592" s="620">
        <v>78.903300000000002</v>
      </c>
    </row>
    <row r="4593" spans="1:4">
      <c r="A4593" s="619">
        <v>44139</v>
      </c>
      <c r="B4593" s="620">
        <v>79.023300000000006</v>
      </c>
    </row>
    <row r="4594" spans="1:4">
      <c r="A4594" s="619">
        <v>44140</v>
      </c>
      <c r="B4594" s="620">
        <v>79.093299999999999</v>
      </c>
    </row>
    <row r="4595" spans="1:4">
      <c r="A4595" s="619">
        <v>44144</v>
      </c>
      <c r="B4595" s="620">
        <v>79.343299999999999</v>
      </c>
    </row>
    <row r="4596" spans="1:4">
      <c r="A4596" s="619">
        <v>44145</v>
      </c>
      <c r="B4596" s="620">
        <v>79.424999999999997</v>
      </c>
    </row>
    <row r="4597" spans="1:4">
      <c r="A4597" s="619">
        <v>44146</v>
      </c>
      <c r="B4597" s="620">
        <v>79.478300000000004</v>
      </c>
    </row>
    <row r="4598" spans="1:4">
      <c r="A4598" s="619">
        <v>44147</v>
      </c>
      <c r="B4598" s="620">
        <v>79.575000000000003</v>
      </c>
    </row>
    <row r="4599" spans="1:4">
      <c r="A4599" s="619">
        <v>44148</v>
      </c>
      <c r="B4599" s="620">
        <v>79.728300000000004</v>
      </c>
    </row>
    <row r="4600" spans="1:4">
      <c r="A4600" s="619">
        <v>44151</v>
      </c>
      <c r="B4600" s="620">
        <v>79.954999999999998</v>
      </c>
    </row>
    <row r="4601" spans="1:4">
      <c r="A4601" s="619">
        <v>44152</v>
      </c>
      <c r="B4601" s="620">
        <v>80.028300000000002</v>
      </c>
    </row>
    <row r="4602" spans="1:4">
      <c r="A4602" s="619">
        <v>44153</v>
      </c>
      <c r="B4602" s="620">
        <v>80.151700000000005</v>
      </c>
    </row>
    <row r="4603" spans="1:4">
      <c r="A4603" s="619">
        <v>44154</v>
      </c>
      <c r="B4603" s="620">
        <v>80.271699999999996</v>
      </c>
    </row>
    <row r="4604" spans="1:4">
      <c r="A4604" s="619">
        <v>44155</v>
      </c>
      <c r="B4604" s="620">
        <v>80.3583</v>
      </c>
    </row>
    <row r="4605" spans="1:4">
      <c r="A4605" s="619">
        <v>44159</v>
      </c>
      <c r="B4605" s="620">
        <v>80.691699999999997</v>
      </c>
    </row>
    <row r="4606" spans="1:4">
      <c r="A4606" s="619">
        <v>44160</v>
      </c>
      <c r="B4606" s="620">
        <v>80.791700000000006</v>
      </c>
    </row>
    <row r="4607" spans="1:4">
      <c r="A4607" s="619">
        <v>44161</v>
      </c>
      <c r="B4607" s="620">
        <v>80.888300000000001</v>
      </c>
    </row>
    <row r="4608" spans="1:4">
      <c r="A4608" s="619">
        <v>44162</v>
      </c>
      <c r="B4608" s="620">
        <v>81.038300000000007</v>
      </c>
      <c r="D4608" s="613">
        <v>44136</v>
      </c>
    </row>
    <row r="4609" spans="1:4">
      <c r="A4609" s="619">
        <v>44165</v>
      </c>
      <c r="B4609" s="620">
        <v>81.296700000000001</v>
      </c>
      <c r="D4609" s="604">
        <f>+AVERAGE(B4591:B4609)</f>
        <v>79.933236842105273</v>
      </c>
    </row>
    <row r="4610" spans="1:4">
      <c r="A4610" s="619">
        <v>44166</v>
      </c>
      <c r="B4610" s="620">
        <v>81.394999999999996</v>
      </c>
    </row>
    <row r="4611" spans="1:4">
      <c r="A4611" s="619">
        <v>44167</v>
      </c>
      <c r="B4611" s="620">
        <v>81.474999999999994</v>
      </c>
    </row>
    <row r="4612" spans="1:4">
      <c r="A4612" s="619">
        <v>44168</v>
      </c>
      <c r="B4612" s="620">
        <v>81.561700000000002</v>
      </c>
    </row>
    <row r="4613" spans="1:4">
      <c r="A4613" s="619">
        <v>44169</v>
      </c>
      <c r="B4613" s="620">
        <v>81.651700000000005</v>
      </c>
    </row>
    <row r="4614" spans="1:4">
      <c r="A4614" s="619">
        <v>44174</v>
      </c>
      <c r="B4614" s="620">
        <v>82.045000000000002</v>
      </c>
    </row>
    <row r="4615" spans="1:4">
      <c r="A4615" s="619">
        <v>44175</v>
      </c>
      <c r="B4615" s="620">
        <v>82.13</v>
      </c>
    </row>
    <row r="4616" spans="1:4">
      <c r="A4616" s="619">
        <v>44176</v>
      </c>
      <c r="B4616" s="620">
        <v>82.215000000000003</v>
      </c>
    </row>
    <row r="4617" spans="1:4">
      <c r="A4617" s="619">
        <v>44179</v>
      </c>
      <c r="B4617" s="620">
        <v>82.456699999999998</v>
      </c>
    </row>
    <row r="4618" spans="1:4">
      <c r="A4618" s="619">
        <v>44180</v>
      </c>
      <c r="B4618" s="620">
        <v>82.534999999999997</v>
      </c>
    </row>
    <row r="4619" spans="1:4">
      <c r="A4619" s="619">
        <v>44181</v>
      </c>
      <c r="B4619" s="620">
        <v>82.6267</v>
      </c>
    </row>
    <row r="4620" spans="1:4">
      <c r="A4620" s="619">
        <v>44182</v>
      </c>
      <c r="B4620" s="620">
        <v>82.721699999999998</v>
      </c>
    </row>
    <row r="4621" spans="1:4">
      <c r="A4621" s="619">
        <v>44183</v>
      </c>
      <c r="B4621" s="620">
        <v>82.838300000000004</v>
      </c>
    </row>
    <row r="4622" spans="1:4">
      <c r="A4622" s="619">
        <v>44186</v>
      </c>
      <c r="B4622" s="620">
        <v>83.148300000000006</v>
      </c>
    </row>
    <row r="4623" spans="1:4">
      <c r="A4623" s="619">
        <v>44187</v>
      </c>
      <c r="B4623" s="620">
        <v>83.2483</v>
      </c>
    </row>
    <row r="4624" spans="1:4">
      <c r="A4624" s="619">
        <v>44188</v>
      </c>
      <c r="B4624" s="620">
        <v>83.3583</v>
      </c>
    </row>
    <row r="4625" spans="1:4">
      <c r="A4625" s="619">
        <v>44193</v>
      </c>
      <c r="B4625" s="620">
        <v>83.905000000000001</v>
      </c>
    </row>
    <row r="4626" spans="1:4">
      <c r="A4626" s="619">
        <v>44194</v>
      </c>
      <c r="B4626" s="620">
        <v>84.025000000000006</v>
      </c>
      <c r="D4626" s="613">
        <v>44166</v>
      </c>
    </row>
    <row r="4627" spans="1:4">
      <c r="A4627" s="619">
        <v>44195</v>
      </c>
      <c r="B4627" s="620">
        <v>84.144999999999996</v>
      </c>
      <c r="D4627" s="604">
        <v>82.637900000000002</v>
      </c>
    </row>
    <row r="4628" spans="1:4">
      <c r="A4628" s="619">
        <v>44200</v>
      </c>
      <c r="B4628" s="620">
        <v>84.703299999999999</v>
      </c>
    </row>
    <row r="4629" spans="1:4">
      <c r="A4629" s="619">
        <v>44201</v>
      </c>
      <c r="B4629" s="620">
        <v>84.796700000000001</v>
      </c>
    </row>
    <row r="4630" spans="1:4">
      <c r="A4630" s="619">
        <v>44202</v>
      </c>
      <c r="B4630" s="620">
        <v>84.903300000000002</v>
      </c>
    </row>
    <row r="4631" spans="1:4">
      <c r="A4631" s="619">
        <v>44203</v>
      </c>
      <c r="B4631" s="620">
        <v>85</v>
      </c>
    </row>
    <row r="4632" spans="1:4">
      <c r="A4632" s="619">
        <v>44204</v>
      </c>
      <c r="B4632" s="620">
        <v>85.105000000000004</v>
      </c>
    </row>
    <row r="4633" spans="1:4">
      <c r="A4633" s="619">
        <v>44207</v>
      </c>
      <c r="B4633" s="620">
        <v>85.378299999999996</v>
      </c>
    </row>
    <row r="4634" spans="1:4">
      <c r="A4634" s="619">
        <v>44208</v>
      </c>
      <c r="B4634" s="620">
        <v>85.465000000000003</v>
      </c>
    </row>
    <row r="4635" spans="1:4">
      <c r="A4635" s="619">
        <v>44209</v>
      </c>
      <c r="B4635" s="620">
        <v>85.555000000000007</v>
      </c>
    </row>
    <row r="4636" spans="1:4">
      <c r="A4636" s="619">
        <v>44210</v>
      </c>
      <c r="B4636" s="620">
        <v>85.644999999999996</v>
      </c>
    </row>
    <row r="4637" spans="1:4">
      <c r="A4637" s="619">
        <v>44211</v>
      </c>
      <c r="B4637" s="620">
        <v>85.734999999999999</v>
      </c>
    </row>
    <row r="4638" spans="1:4">
      <c r="A4638" s="619">
        <v>44214</v>
      </c>
      <c r="B4638" s="620">
        <v>86.066699999999997</v>
      </c>
    </row>
    <row r="4639" spans="1:4">
      <c r="A4639" s="619">
        <v>44215</v>
      </c>
      <c r="B4639" s="620">
        <v>86.196700000000007</v>
      </c>
    </row>
    <row r="4640" spans="1:4">
      <c r="A4640" s="619">
        <v>44216</v>
      </c>
      <c r="B4640" s="620">
        <v>86.32</v>
      </c>
    </row>
    <row r="4641" spans="1:4">
      <c r="A4641" s="619">
        <v>44217</v>
      </c>
      <c r="B4641" s="620">
        <v>86.428299999999993</v>
      </c>
    </row>
    <row r="4642" spans="1:4">
      <c r="A4642" s="619">
        <v>44218</v>
      </c>
      <c r="B4642" s="620">
        <v>86.546700000000001</v>
      </c>
    </row>
    <row r="4643" spans="1:4">
      <c r="A4643" s="619">
        <v>44221</v>
      </c>
      <c r="B4643" s="620">
        <v>86.911699999999996</v>
      </c>
    </row>
    <row r="4644" spans="1:4">
      <c r="A4644" s="619">
        <v>44222</v>
      </c>
      <c r="B4644" s="620">
        <v>87.021699999999996</v>
      </c>
    </row>
    <row r="4645" spans="1:4">
      <c r="A4645" s="619">
        <v>44223</v>
      </c>
      <c r="B4645" s="620">
        <v>87.1233</v>
      </c>
    </row>
    <row r="4646" spans="1:4">
      <c r="A4646" s="619">
        <v>44224</v>
      </c>
      <c r="B4646" s="620">
        <v>87.216700000000003</v>
      </c>
      <c r="D4646" s="613">
        <v>44197</v>
      </c>
    </row>
    <row r="4647" spans="1:4">
      <c r="A4647" s="619">
        <v>44225</v>
      </c>
      <c r="B4647" s="620">
        <v>87.298299999999998</v>
      </c>
      <c r="D4647" s="604">
        <v>85.970799999999997</v>
      </c>
    </row>
    <row r="4648" spans="1:4">
      <c r="A4648" s="619">
        <v>44228</v>
      </c>
      <c r="B4648" s="620">
        <v>87.605000000000004</v>
      </c>
    </row>
    <row r="4649" spans="1:4">
      <c r="A4649" s="619">
        <v>44229</v>
      </c>
      <c r="B4649" s="620">
        <v>87.703299999999999</v>
      </c>
    </row>
    <row r="4650" spans="1:4">
      <c r="A4650" s="619">
        <v>44230</v>
      </c>
      <c r="B4650" s="620">
        <v>87.805000000000007</v>
      </c>
    </row>
    <row r="4651" spans="1:4">
      <c r="A4651" s="619">
        <v>44231</v>
      </c>
      <c r="B4651" s="620">
        <v>87.905000000000001</v>
      </c>
      <c r="C4651" s="597"/>
    </row>
    <row r="4652" spans="1:4">
      <c r="A4652" s="619">
        <v>44232</v>
      </c>
      <c r="B4652" s="620">
        <v>88.004999999999995</v>
      </c>
      <c r="C4652" s="597"/>
    </row>
    <row r="4653" spans="1:4">
      <c r="A4653" s="619">
        <v>44235</v>
      </c>
      <c r="B4653" s="620">
        <v>88.165000000000006</v>
      </c>
      <c r="C4653" s="597"/>
    </row>
    <row r="4654" spans="1:4">
      <c r="A4654" s="619">
        <v>44236</v>
      </c>
      <c r="B4654" s="620">
        <v>88.275000000000006</v>
      </c>
      <c r="C4654" s="597"/>
    </row>
    <row r="4655" spans="1:4">
      <c r="A4655" s="619">
        <v>44237</v>
      </c>
      <c r="B4655" s="620">
        <v>88.355000000000004</v>
      </c>
      <c r="C4655" s="597"/>
    </row>
    <row r="4656" spans="1:4">
      <c r="A4656" s="619">
        <v>44238</v>
      </c>
      <c r="B4656" s="620">
        <v>88.45</v>
      </c>
      <c r="C4656" s="597"/>
    </row>
    <row r="4657" spans="1:4">
      <c r="A4657" s="619">
        <v>44239</v>
      </c>
      <c r="B4657" s="620">
        <v>88.538300000000007</v>
      </c>
    </row>
    <row r="4658" spans="1:4">
      <c r="A4658" s="619">
        <v>44244</v>
      </c>
      <c r="B4658" s="620">
        <v>88.944999999999993</v>
      </c>
    </row>
    <row r="4659" spans="1:4">
      <c r="A4659" s="619">
        <v>44245</v>
      </c>
      <c r="B4659" s="620">
        <v>89.045000000000002</v>
      </c>
      <c r="C4659" s="597"/>
    </row>
    <row r="4660" spans="1:4">
      <c r="A4660" s="619">
        <v>44246</v>
      </c>
      <c r="B4660" s="620">
        <v>89.156700000000001</v>
      </c>
    </row>
    <row r="4661" spans="1:4">
      <c r="A4661" s="619">
        <v>44249</v>
      </c>
      <c r="B4661" s="620">
        <v>89.438299999999998</v>
      </c>
    </row>
    <row r="4662" spans="1:4">
      <c r="A4662" s="619">
        <v>44250</v>
      </c>
      <c r="B4662" s="620">
        <v>89.534999999999997</v>
      </c>
    </row>
    <row r="4663" spans="1:4">
      <c r="A4663" s="619">
        <v>44251</v>
      </c>
      <c r="B4663" s="620">
        <v>89.638300000000001</v>
      </c>
    </row>
    <row r="4664" spans="1:4">
      <c r="A4664" s="619">
        <v>44252</v>
      </c>
      <c r="B4664" s="620">
        <v>89.753299999999996</v>
      </c>
      <c r="D4664" s="613">
        <v>44228</v>
      </c>
    </row>
    <row r="4665" spans="1:4">
      <c r="A4665" s="619">
        <v>44253</v>
      </c>
      <c r="B4665" s="620">
        <v>89.825000000000003</v>
      </c>
      <c r="D4665" s="604">
        <v>88.674599999999998</v>
      </c>
    </row>
    <row r="4666" spans="1:4">
      <c r="A4666" s="619">
        <v>44256</v>
      </c>
      <c r="B4666" s="620">
        <v>90.084999999999994</v>
      </c>
      <c r="C4666" s="597"/>
    </row>
    <row r="4667" spans="1:4">
      <c r="A4667" s="619">
        <v>44257</v>
      </c>
      <c r="B4667" s="620">
        <v>90.155000000000001</v>
      </c>
      <c r="C4667" s="597"/>
    </row>
    <row r="4668" spans="1:4">
      <c r="A4668" s="619">
        <v>44258</v>
      </c>
      <c r="B4668" s="620">
        <v>90.223299999999995</v>
      </c>
      <c r="C4668" s="597"/>
    </row>
    <row r="4669" spans="1:4">
      <c r="A4669" s="619">
        <v>44259</v>
      </c>
      <c r="B4669" s="620">
        <v>90.295000000000002</v>
      </c>
      <c r="C4669" s="597"/>
    </row>
    <row r="4670" spans="1:4">
      <c r="A4670" s="619">
        <v>44260</v>
      </c>
      <c r="B4670" s="620">
        <v>90.364999999999995</v>
      </c>
      <c r="C4670" s="597"/>
    </row>
    <row r="4671" spans="1:4">
      <c r="A4671" s="619">
        <v>44263</v>
      </c>
      <c r="B4671" s="620">
        <v>90.581699999999998</v>
      </c>
      <c r="C4671" s="597"/>
    </row>
    <row r="4672" spans="1:4">
      <c r="A4672" s="619">
        <v>44264</v>
      </c>
      <c r="B4672" s="620">
        <v>90.651700000000005</v>
      </c>
      <c r="C4672" s="597"/>
    </row>
    <row r="4673" spans="1:4">
      <c r="A4673" s="619">
        <v>44265</v>
      </c>
      <c r="B4673" s="620">
        <v>90.723299999999995</v>
      </c>
      <c r="C4673" s="597"/>
    </row>
    <row r="4674" spans="1:4">
      <c r="A4674" s="619">
        <v>44266</v>
      </c>
      <c r="B4674" s="620">
        <v>90.786699999999996</v>
      </c>
      <c r="C4674" s="597"/>
    </row>
    <row r="4675" spans="1:4">
      <c r="A4675" s="619">
        <v>44267</v>
      </c>
      <c r="B4675" s="620">
        <v>90.855000000000004</v>
      </c>
    </row>
    <row r="4676" spans="1:4">
      <c r="A4676" s="619">
        <v>44270</v>
      </c>
      <c r="B4676" s="620">
        <v>91.066699999999997</v>
      </c>
    </row>
    <row r="4677" spans="1:4">
      <c r="A4677" s="619">
        <v>44271</v>
      </c>
      <c r="B4677" s="620">
        <v>91.135000000000005</v>
      </c>
    </row>
    <row r="4678" spans="1:4">
      <c r="A4678" s="619">
        <v>44272</v>
      </c>
      <c r="B4678" s="620">
        <v>91.204999999999998</v>
      </c>
    </row>
    <row r="4679" spans="1:4">
      <c r="A4679" s="619">
        <v>44273</v>
      </c>
      <c r="B4679" s="620">
        <v>91.28</v>
      </c>
    </row>
    <row r="4680" spans="1:4">
      <c r="A4680" s="619">
        <v>44274</v>
      </c>
      <c r="B4680" s="620">
        <v>91.356700000000004</v>
      </c>
    </row>
    <row r="4681" spans="1:4">
      <c r="A4681" s="619">
        <v>44277</v>
      </c>
      <c r="B4681" s="620">
        <v>91.568299999999994</v>
      </c>
    </row>
    <row r="4682" spans="1:4">
      <c r="A4682" s="619">
        <v>44278</v>
      </c>
      <c r="B4682" s="620">
        <v>91.636700000000005</v>
      </c>
    </row>
    <row r="4683" spans="1:4">
      <c r="A4683" s="619">
        <v>44280</v>
      </c>
      <c r="B4683" s="620">
        <v>91.776700000000005</v>
      </c>
    </row>
    <row r="4684" spans="1:4">
      <c r="A4684" s="619">
        <v>44281</v>
      </c>
      <c r="B4684" s="620">
        <v>91.848299999999995</v>
      </c>
    </row>
    <row r="4685" spans="1:4">
      <c r="A4685" s="619">
        <v>44284</v>
      </c>
      <c r="B4685" s="620">
        <v>91.921700000000001</v>
      </c>
    </row>
    <row r="4686" spans="1:4">
      <c r="A4686" s="619">
        <v>44285</v>
      </c>
      <c r="B4686" s="620">
        <v>91.958299999999994</v>
      </c>
      <c r="D4686" s="613">
        <v>44256</v>
      </c>
    </row>
    <row r="4687" spans="1:4">
      <c r="A4687" s="619">
        <v>44286</v>
      </c>
      <c r="B4687" s="620">
        <v>91.984999999999999</v>
      </c>
      <c r="D4687" s="604">
        <v>91.066400000000002</v>
      </c>
    </row>
    <row r="4688" spans="1:4">
      <c r="A4688" s="619">
        <v>44291</v>
      </c>
      <c r="B4688" s="620">
        <v>92.236699999999999</v>
      </c>
    </row>
    <row r="4689" spans="1:3">
      <c r="A4689" s="619">
        <v>44292</v>
      </c>
      <c r="B4689" s="620">
        <v>92.286699999999996</v>
      </c>
    </row>
    <row r="4690" spans="1:3">
      <c r="A4690" s="619">
        <v>44293</v>
      </c>
      <c r="B4690" s="620">
        <v>92.334999999999994</v>
      </c>
    </row>
    <row r="4691" spans="1:3">
      <c r="A4691" s="619">
        <v>44294</v>
      </c>
      <c r="B4691" s="620">
        <v>92.386700000000005</v>
      </c>
    </row>
    <row r="4692" spans="1:3">
      <c r="A4692" s="619">
        <v>44295</v>
      </c>
      <c r="B4692" s="620">
        <v>92.435000000000002</v>
      </c>
    </row>
    <row r="4693" spans="1:3">
      <c r="A4693" s="619">
        <v>44298</v>
      </c>
      <c r="B4693" s="620">
        <v>92.581699999999998</v>
      </c>
    </row>
    <row r="4694" spans="1:3">
      <c r="A4694" s="619">
        <v>44299</v>
      </c>
      <c r="B4694" s="620">
        <v>92.628299999999996</v>
      </c>
    </row>
    <row r="4695" spans="1:3">
      <c r="A4695" s="619">
        <v>44300</v>
      </c>
      <c r="B4695" s="620">
        <v>92.676699999999997</v>
      </c>
    </row>
    <row r="4696" spans="1:3">
      <c r="A4696" s="619">
        <v>44301</v>
      </c>
      <c r="B4696" s="620">
        <v>92.724999999999994</v>
      </c>
    </row>
    <row r="4697" spans="1:3">
      <c r="A4697" s="619">
        <v>44302</v>
      </c>
      <c r="B4697" s="620">
        <v>92.776700000000005</v>
      </c>
    </row>
    <row r="4698" spans="1:3">
      <c r="A4698" s="619">
        <v>44305</v>
      </c>
      <c r="B4698" s="620">
        <v>92.926699999999997</v>
      </c>
    </row>
    <row r="4699" spans="1:3">
      <c r="A4699" s="619">
        <v>44306</v>
      </c>
      <c r="B4699" s="620">
        <v>92.974999999999994</v>
      </c>
    </row>
    <row r="4700" spans="1:3">
      <c r="A4700" s="619">
        <v>44307</v>
      </c>
      <c r="B4700" s="620">
        <v>93.025000000000006</v>
      </c>
    </row>
    <row r="4701" spans="1:3">
      <c r="A4701" s="619">
        <v>44308</v>
      </c>
      <c r="B4701" s="620">
        <v>93.075000000000003</v>
      </c>
    </row>
    <row r="4702" spans="1:3">
      <c r="A4702" s="619">
        <v>44309</v>
      </c>
      <c r="B4702" s="620">
        <v>93.125</v>
      </c>
    </row>
    <row r="4703" spans="1:3">
      <c r="A4703" s="619">
        <v>44312</v>
      </c>
      <c r="B4703" s="620">
        <v>93.275000000000006</v>
      </c>
      <c r="C4703" s="597"/>
    </row>
    <row r="4704" spans="1:3">
      <c r="A4704" s="619">
        <v>44313</v>
      </c>
      <c r="B4704" s="620">
        <v>93.334999999999994</v>
      </c>
    </row>
    <row r="4705" spans="1:4">
      <c r="A4705" s="619">
        <v>44314</v>
      </c>
      <c r="B4705" s="620">
        <v>93.416700000000006</v>
      </c>
    </row>
    <row r="4706" spans="1:4">
      <c r="A4706" s="619">
        <v>44315</v>
      </c>
      <c r="B4706" s="620">
        <v>93.5</v>
      </c>
      <c r="D4706" s="613">
        <v>44287</v>
      </c>
    </row>
    <row r="4707" spans="1:4">
      <c r="A4707" s="619">
        <v>44316</v>
      </c>
      <c r="B4707" s="620">
        <v>93.555000000000007</v>
      </c>
      <c r="D4707" s="604">
        <v>92.863799999999998</v>
      </c>
    </row>
    <row r="4708" spans="1:4">
      <c r="A4708" s="619">
        <v>44319</v>
      </c>
      <c r="B4708" s="620">
        <v>93.674999999999997</v>
      </c>
      <c r="C4708" s="634"/>
    </row>
    <row r="4709" spans="1:4">
      <c r="A4709" s="619">
        <v>44320</v>
      </c>
      <c r="B4709" s="620">
        <v>93.715000000000003</v>
      </c>
      <c r="C4709" s="634"/>
    </row>
    <row r="4710" spans="1:4">
      <c r="A4710" s="619">
        <v>44321</v>
      </c>
      <c r="B4710" s="620">
        <v>93.754999999999995</v>
      </c>
      <c r="C4710" s="634"/>
    </row>
    <row r="4711" spans="1:4">
      <c r="A4711" s="619">
        <v>44322</v>
      </c>
      <c r="B4711" s="620">
        <v>93.795000000000002</v>
      </c>
      <c r="C4711" s="634"/>
    </row>
    <row r="4712" spans="1:4">
      <c r="A4712" s="619">
        <v>44323</v>
      </c>
      <c r="B4712" s="620">
        <v>93.834999999999994</v>
      </c>
      <c r="C4712" s="634"/>
    </row>
    <row r="4713" spans="1:4">
      <c r="A4713" s="619">
        <v>44326</v>
      </c>
      <c r="B4713" s="620">
        <v>93.924999999999997</v>
      </c>
      <c r="C4713" s="634"/>
    </row>
    <row r="4714" spans="1:4">
      <c r="A4714" s="619">
        <v>44327</v>
      </c>
      <c r="B4714" s="620">
        <v>93.954999999999998</v>
      </c>
      <c r="C4714" s="634"/>
    </row>
    <row r="4715" spans="1:4">
      <c r="A4715" s="619">
        <v>44328</v>
      </c>
      <c r="B4715" s="620">
        <v>93.984999999999999</v>
      </c>
      <c r="C4715" s="634"/>
    </row>
    <row r="4716" spans="1:4">
      <c r="A4716" s="619">
        <v>44329</v>
      </c>
      <c r="B4716" s="620">
        <v>94.015000000000001</v>
      </c>
      <c r="C4716" s="634"/>
    </row>
    <row r="4717" spans="1:4">
      <c r="A4717" s="619">
        <v>44330</v>
      </c>
      <c r="B4717" s="620">
        <v>94.045000000000002</v>
      </c>
      <c r="C4717" s="634"/>
    </row>
    <row r="4718" spans="1:4">
      <c r="A4718" s="619">
        <v>44333</v>
      </c>
      <c r="B4718" s="620">
        <v>94.135000000000005</v>
      </c>
      <c r="C4718" s="634"/>
    </row>
    <row r="4719" spans="1:4">
      <c r="A4719" s="619">
        <v>44334</v>
      </c>
      <c r="B4719" s="620">
        <v>94.165000000000006</v>
      </c>
      <c r="C4719" s="634"/>
    </row>
    <row r="4720" spans="1:4">
      <c r="A4720" s="619">
        <v>44335</v>
      </c>
      <c r="B4720" s="620">
        <v>94.21</v>
      </c>
      <c r="C4720" s="634"/>
    </row>
    <row r="4721" spans="1:4">
      <c r="A4721" s="619">
        <v>44336</v>
      </c>
      <c r="B4721" s="620">
        <v>94.245000000000005</v>
      </c>
      <c r="C4721" s="634"/>
    </row>
    <row r="4722" spans="1:4">
      <c r="A4722" s="619">
        <v>44337</v>
      </c>
      <c r="B4722" s="620">
        <v>94.276700000000005</v>
      </c>
      <c r="C4722" s="634"/>
    </row>
    <row r="4723" spans="1:4">
      <c r="A4723" s="619">
        <v>44342</v>
      </c>
      <c r="B4723" s="620">
        <v>94.484999999999999</v>
      </c>
      <c r="C4723" s="634"/>
    </row>
    <row r="4724" spans="1:4">
      <c r="A4724" s="619">
        <v>44343</v>
      </c>
      <c r="B4724" s="620">
        <v>94.525000000000006</v>
      </c>
      <c r="C4724" s="634"/>
    </row>
    <row r="4725" spans="1:4">
      <c r="A4725" s="619">
        <v>44344</v>
      </c>
      <c r="B4725" s="620">
        <v>94.564999999999998</v>
      </c>
      <c r="C4725" s="634"/>
      <c r="D4725" s="613">
        <v>44317</v>
      </c>
    </row>
    <row r="4726" spans="1:4">
      <c r="A4726" s="619">
        <v>44347</v>
      </c>
      <c r="B4726" s="620">
        <v>94.685000000000002</v>
      </c>
      <c r="C4726" s="634"/>
      <c r="D4726" s="604">
        <v>94.104799999999997</v>
      </c>
    </row>
    <row r="4727" spans="1:4">
      <c r="A4727" s="619">
        <v>44348</v>
      </c>
      <c r="B4727" s="620">
        <v>94.734999999999999</v>
      </c>
      <c r="C4727" s="634"/>
    </row>
    <row r="4728" spans="1:4">
      <c r="A4728" s="619">
        <v>44349</v>
      </c>
      <c r="B4728" s="620">
        <v>94.775000000000006</v>
      </c>
      <c r="C4728" s="634"/>
    </row>
    <row r="4729" spans="1:4">
      <c r="A4729" s="619">
        <v>44350</v>
      </c>
      <c r="B4729" s="620">
        <v>94.814999999999998</v>
      </c>
      <c r="C4729" s="634"/>
    </row>
    <row r="4730" spans="1:4">
      <c r="A4730" s="619">
        <v>44351</v>
      </c>
      <c r="B4730" s="620">
        <v>94.86</v>
      </c>
      <c r="C4730" s="634"/>
    </row>
    <row r="4731" spans="1:4">
      <c r="A4731" s="619">
        <v>44354</v>
      </c>
      <c r="B4731" s="620">
        <v>94.974999999999994</v>
      </c>
      <c r="C4731" s="634"/>
    </row>
    <row r="4732" spans="1:4">
      <c r="A4732" s="619">
        <v>44355</v>
      </c>
      <c r="B4732" s="620">
        <v>95.015000000000001</v>
      </c>
      <c r="C4732" s="634"/>
    </row>
    <row r="4733" spans="1:4">
      <c r="A4733" s="619">
        <v>44356</v>
      </c>
      <c r="B4733" s="620">
        <v>95.055000000000007</v>
      </c>
      <c r="C4733" s="634"/>
    </row>
    <row r="4734" spans="1:4">
      <c r="A4734" s="619">
        <v>44357</v>
      </c>
      <c r="B4734" s="620">
        <v>95.096699999999998</v>
      </c>
      <c r="C4734" s="634"/>
    </row>
    <row r="4735" spans="1:4">
      <c r="A4735" s="619">
        <v>44358</v>
      </c>
      <c r="B4735" s="620">
        <v>95.135000000000005</v>
      </c>
      <c r="C4735" s="634"/>
    </row>
    <row r="4736" spans="1:4">
      <c r="A4736" s="619">
        <v>44361</v>
      </c>
      <c r="B4736" s="620">
        <v>95.254999999999995</v>
      </c>
      <c r="C4736" s="634"/>
    </row>
    <row r="4737" spans="1:4">
      <c r="A4737" s="619">
        <v>44362</v>
      </c>
      <c r="B4737" s="620">
        <v>95.284999999999997</v>
      </c>
      <c r="C4737" s="634"/>
    </row>
    <row r="4738" spans="1:4">
      <c r="A4738" s="619">
        <v>44363</v>
      </c>
      <c r="B4738" s="620">
        <v>95.314999999999998</v>
      </c>
      <c r="C4738" s="634"/>
    </row>
    <row r="4739" spans="1:4">
      <c r="A4739" s="619">
        <v>44364</v>
      </c>
      <c r="B4739" s="620">
        <v>95.351699999999994</v>
      </c>
      <c r="C4739" s="634"/>
    </row>
    <row r="4740" spans="1:4">
      <c r="A4740" s="619">
        <v>44365</v>
      </c>
      <c r="B4740" s="620">
        <v>95.381699999999995</v>
      </c>
      <c r="C4740" s="634"/>
    </row>
    <row r="4741" spans="1:4">
      <c r="A4741" s="619">
        <v>44369</v>
      </c>
      <c r="B4741" s="620">
        <v>95.496700000000004</v>
      </c>
      <c r="C4741" s="634"/>
    </row>
    <row r="4742" spans="1:4">
      <c r="A4742" s="619">
        <v>44370</v>
      </c>
      <c r="B4742" s="620">
        <v>95.53</v>
      </c>
      <c r="C4742" s="634"/>
    </row>
    <row r="4743" spans="1:4">
      <c r="A4743" s="619">
        <v>44371</v>
      </c>
      <c r="B4743" s="620">
        <v>95.558300000000003</v>
      </c>
      <c r="C4743" s="634"/>
    </row>
    <row r="4744" spans="1:4">
      <c r="A4744" s="619">
        <v>44372</v>
      </c>
      <c r="B4744" s="620">
        <v>95.59</v>
      </c>
      <c r="C4744" s="634"/>
    </row>
    <row r="4745" spans="1:4">
      <c r="A4745" s="619">
        <v>44375</v>
      </c>
      <c r="B4745" s="620">
        <v>95.683300000000003</v>
      </c>
      <c r="C4745" s="634"/>
    </row>
    <row r="4746" spans="1:4">
      <c r="A4746" s="619">
        <v>44376</v>
      </c>
      <c r="B4746" s="620">
        <v>95.704999999999998</v>
      </c>
      <c r="C4746" s="634"/>
      <c r="D4746" s="613">
        <v>44348</v>
      </c>
    </row>
    <row r="4747" spans="1:4">
      <c r="A4747" s="619">
        <v>44377</v>
      </c>
      <c r="B4747" s="620">
        <v>95.726699999999994</v>
      </c>
      <c r="C4747" s="634"/>
      <c r="D4747" s="604">
        <v>95.254300000000001</v>
      </c>
    </row>
    <row r="4748" spans="1:4">
      <c r="A4748" s="619">
        <v>44378</v>
      </c>
      <c r="B4748" s="620">
        <v>95.7667</v>
      </c>
      <c r="C4748" s="634"/>
    </row>
    <row r="4749" spans="1:4">
      <c r="A4749" s="619">
        <v>44379</v>
      </c>
      <c r="B4749" s="620">
        <v>95.795000000000002</v>
      </c>
      <c r="C4749" s="634"/>
    </row>
    <row r="4750" spans="1:4">
      <c r="A4750" s="619">
        <v>44382</v>
      </c>
      <c r="B4750" s="620">
        <v>95.89</v>
      </c>
      <c r="C4750" s="634"/>
    </row>
    <row r="4751" spans="1:4">
      <c r="A4751" s="619">
        <v>44383</v>
      </c>
      <c r="B4751" s="620">
        <v>95.918300000000002</v>
      </c>
      <c r="C4751" s="634"/>
    </row>
    <row r="4752" spans="1:4">
      <c r="A4752" s="619">
        <v>44384</v>
      </c>
      <c r="B4752" s="620">
        <v>95.948300000000003</v>
      </c>
      <c r="C4752" s="634"/>
    </row>
    <row r="4753" spans="1:4">
      <c r="A4753" s="619">
        <v>44385</v>
      </c>
      <c r="B4753" s="620">
        <v>95.976699999999994</v>
      </c>
      <c r="C4753" s="634"/>
    </row>
    <row r="4754" spans="1:4">
      <c r="A4754" s="619">
        <v>44389</v>
      </c>
      <c r="B4754" s="620">
        <v>96.094999999999999</v>
      </c>
      <c r="C4754" s="634"/>
    </row>
    <row r="4755" spans="1:4">
      <c r="A4755" s="619">
        <v>44390</v>
      </c>
      <c r="B4755" s="620">
        <v>96.125</v>
      </c>
      <c r="C4755" s="634"/>
    </row>
    <row r="4756" spans="1:4">
      <c r="A4756" s="619">
        <v>44391</v>
      </c>
      <c r="B4756" s="620">
        <v>96.155000000000001</v>
      </c>
      <c r="C4756" s="634"/>
    </row>
    <row r="4757" spans="1:4">
      <c r="A4757" s="619">
        <v>44392</v>
      </c>
      <c r="B4757" s="620">
        <v>96.185000000000002</v>
      </c>
      <c r="C4757" s="634"/>
    </row>
    <row r="4758" spans="1:4">
      <c r="A4758" s="619">
        <v>44393</v>
      </c>
      <c r="B4758" s="620">
        <v>96.215000000000003</v>
      </c>
      <c r="C4758" s="634"/>
    </row>
    <row r="4759" spans="1:4">
      <c r="A4759" s="619">
        <v>44396</v>
      </c>
      <c r="B4759" s="620">
        <v>96.305000000000007</v>
      </c>
      <c r="C4759" s="634"/>
    </row>
    <row r="4760" spans="1:4">
      <c r="A4760" s="619">
        <v>44397</v>
      </c>
      <c r="B4760" s="620">
        <v>96.334999999999994</v>
      </c>
      <c r="C4760" s="634"/>
    </row>
    <row r="4761" spans="1:4">
      <c r="A4761" s="619">
        <v>44398</v>
      </c>
      <c r="B4761" s="620">
        <v>96.364999999999995</v>
      </c>
      <c r="C4761" s="634"/>
    </row>
    <row r="4762" spans="1:4">
      <c r="A4762" s="619">
        <v>44399</v>
      </c>
      <c r="B4762" s="620">
        <v>96.394999999999996</v>
      </c>
      <c r="C4762" s="634"/>
    </row>
    <row r="4763" spans="1:4">
      <c r="A4763" s="619">
        <v>44400</v>
      </c>
      <c r="B4763" s="620">
        <v>96.431700000000006</v>
      </c>
      <c r="C4763" s="634"/>
    </row>
    <row r="4764" spans="1:4">
      <c r="A4764" s="619">
        <v>44403</v>
      </c>
      <c r="B4764" s="620">
        <v>96.526700000000005</v>
      </c>
      <c r="C4764" s="634"/>
    </row>
    <row r="4765" spans="1:4">
      <c r="A4765" s="619">
        <v>44404</v>
      </c>
      <c r="B4765" s="620">
        <v>96.578299999999999</v>
      </c>
      <c r="C4765" s="634"/>
    </row>
    <row r="4766" spans="1:4">
      <c r="A4766" s="619">
        <v>44405</v>
      </c>
      <c r="B4766" s="620">
        <v>96.635000000000005</v>
      </c>
      <c r="C4766" s="634"/>
    </row>
    <row r="4767" spans="1:4">
      <c r="A4767" s="619">
        <v>44406</v>
      </c>
      <c r="B4767" s="620">
        <v>96.666700000000006</v>
      </c>
      <c r="D4767" s="613">
        <v>44378</v>
      </c>
    </row>
    <row r="4768" spans="1:4">
      <c r="A4768" s="619">
        <v>44407</v>
      </c>
      <c r="B4768" s="620">
        <v>96.685000000000002</v>
      </c>
      <c r="D4768" s="604">
        <v>96.237799999999993</v>
      </c>
    </row>
    <row r="4769" spans="1:2">
      <c r="A4769" s="619">
        <v>44410</v>
      </c>
      <c r="B4769" s="620">
        <v>96.781700000000001</v>
      </c>
    </row>
    <row r="4770" spans="1:2">
      <c r="A4770" s="619">
        <v>44411</v>
      </c>
      <c r="B4770" s="620">
        <v>96.813299999999998</v>
      </c>
    </row>
    <row r="4771" spans="1:2">
      <c r="A4771" s="619">
        <v>44412</v>
      </c>
      <c r="B4771" s="620">
        <v>96.843299999999999</v>
      </c>
    </row>
    <row r="4772" spans="1:2">
      <c r="A4772" s="619">
        <v>44413</v>
      </c>
      <c r="B4772" s="620">
        <v>96.875</v>
      </c>
    </row>
    <row r="4773" spans="1:2">
      <c r="A4773" s="619">
        <v>44414</v>
      </c>
      <c r="B4773" s="620">
        <v>96.908299999999997</v>
      </c>
    </row>
    <row r="4774" spans="1:2">
      <c r="A4774" s="619">
        <v>44417</v>
      </c>
      <c r="B4774" s="620">
        <v>96.996700000000004</v>
      </c>
    </row>
    <row r="4775" spans="1:2">
      <c r="A4775" s="619">
        <v>44418</v>
      </c>
      <c r="B4775" s="620">
        <v>97.028300000000002</v>
      </c>
    </row>
    <row r="4776" spans="1:2">
      <c r="A4776" s="619">
        <v>44419</v>
      </c>
      <c r="B4776" s="620">
        <v>97.051699999999997</v>
      </c>
    </row>
    <row r="4777" spans="1:2">
      <c r="A4777" s="619">
        <v>44420</v>
      </c>
      <c r="B4777" s="620">
        <v>97.076700000000002</v>
      </c>
    </row>
    <row r="4778" spans="1:2">
      <c r="A4778" s="619">
        <v>44421</v>
      </c>
      <c r="B4778" s="620">
        <v>97.105000000000004</v>
      </c>
    </row>
    <row r="4779" spans="1:2">
      <c r="A4779" s="619">
        <v>44425</v>
      </c>
      <c r="B4779" s="620">
        <v>97.23</v>
      </c>
    </row>
    <row r="4780" spans="1:2">
      <c r="A4780" s="619">
        <v>44426</v>
      </c>
      <c r="B4780" s="620">
        <v>97.265000000000001</v>
      </c>
    </row>
    <row r="4781" spans="1:2">
      <c r="A4781" s="619">
        <v>44427</v>
      </c>
      <c r="B4781" s="620">
        <v>97.288300000000007</v>
      </c>
    </row>
    <row r="4782" spans="1:2">
      <c r="A4782" s="619">
        <v>44428</v>
      </c>
      <c r="B4782" s="620">
        <v>97.314999999999998</v>
      </c>
    </row>
    <row r="4783" spans="1:2">
      <c r="A4783" s="619">
        <v>44431</v>
      </c>
      <c r="B4783" s="620">
        <v>97.411699999999996</v>
      </c>
    </row>
    <row r="4784" spans="1:2">
      <c r="A4784" s="619">
        <v>44432</v>
      </c>
      <c r="B4784" s="620">
        <v>97.436700000000002</v>
      </c>
    </row>
    <row r="4785" spans="1:4">
      <c r="A4785" s="619">
        <v>44433</v>
      </c>
      <c r="B4785" s="620">
        <v>97.4833</v>
      </c>
    </row>
    <row r="4786" spans="1:4">
      <c r="A4786" s="619">
        <v>44434</v>
      </c>
      <c r="B4786" s="620">
        <v>97.545000000000002</v>
      </c>
    </row>
    <row r="4787" spans="1:4">
      <c r="A4787" s="619">
        <v>44435</v>
      </c>
      <c r="B4787" s="620">
        <v>97.566699999999997</v>
      </c>
    </row>
    <row r="4788" spans="1:4">
      <c r="A4788" s="619">
        <v>44438</v>
      </c>
      <c r="B4788" s="620">
        <v>97.716700000000003</v>
      </c>
      <c r="D4788" s="613">
        <v>44409</v>
      </c>
    </row>
    <row r="4789" spans="1:4">
      <c r="A4789" s="619">
        <v>44439</v>
      </c>
      <c r="B4789" s="620">
        <v>97.7517</v>
      </c>
      <c r="D4789" s="604">
        <v>97.213800000000006</v>
      </c>
    </row>
    <row r="4790" spans="1:4">
      <c r="A4790" s="619">
        <v>44440</v>
      </c>
      <c r="B4790" s="620">
        <v>97.78</v>
      </c>
      <c r="C4790" s="632"/>
    </row>
    <row r="4791" spans="1:4">
      <c r="A4791" s="619">
        <v>44441</v>
      </c>
      <c r="B4791" s="620">
        <v>97.833299999999994</v>
      </c>
      <c r="C4791" s="632"/>
    </row>
    <row r="4792" spans="1:4">
      <c r="A4792" s="619">
        <v>44442</v>
      </c>
      <c r="B4792" s="620">
        <v>97.868300000000005</v>
      </c>
      <c r="C4792" s="632"/>
    </row>
    <row r="4793" spans="1:4">
      <c r="A4793" s="619">
        <v>44445</v>
      </c>
      <c r="B4793" s="620">
        <v>97.95</v>
      </c>
      <c r="C4793" s="632"/>
    </row>
    <row r="4794" spans="1:4">
      <c r="A4794" s="619">
        <v>44446</v>
      </c>
      <c r="B4794" s="620">
        <v>97.988299999999995</v>
      </c>
      <c r="C4794" s="632"/>
    </row>
    <row r="4795" spans="1:4">
      <c r="A4795" s="619">
        <v>44447</v>
      </c>
      <c r="B4795" s="620">
        <v>98.023300000000006</v>
      </c>
      <c r="C4795" s="632"/>
    </row>
    <row r="4796" spans="1:4">
      <c r="A4796" s="619">
        <v>44448</v>
      </c>
      <c r="B4796" s="620">
        <v>98.05</v>
      </c>
      <c r="C4796" s="632"/>
    </row>
    <row r="4797" spans="1:4">
      <c r="A4797" s="619">
        <v>44449</v>
      </c>
      <c r="B4797" s="620">
        <v>98.096699999999998</v>
      </c>
      <c r="C4797" s="632"/>
    </row>
    <row r="4798" spans="1:4">
      <c r="A4798" s="619">
        <v>44452</v>
      </c>
      <c r="B4798" s="620">
        <v>98.208299999999994</v>
      </c>
      <c r="C4798" s="632"/>
    </row>
    <row r="4799" spans="1:4">
      <c r="A4799" s="619">
        <v>44453</v>
      </c>
      <c r="B4799" s="620">
        <v>98.22</v>
      </c>
      <c r="C4799" s="632"/>
    </row>
    <row r="4800" spans="1:4">
      <c r="A4800" s="619">
        <v>44454</v>
      </c>
      <c r="B4800" s="620">
        <v>98.245000000000005</v>
      </c>
      <c r="C4800" s="632"/>
    </row>
    <row r="4801" spans="1:4">
      <c r="A4801" s="619">
        <v>44455</v>
      </c>
      <c r="B4801" s="620">
        <v>98.311700000000002</v>
      </c>
      <c r="C4801" s="632"/>
    </row>
    <row r="4802" spans="1:4">
      <c r="A4802" s="619">
        <v>44456</v>
      </c>
      <c r="B4802" s="620">
        <v>98.348299999999995</v>
      </c>
      <c r="C4802" s="632"/>
    </row>
    <row r="4803" spans="1:4">
      <c r="A4803" s="619">
        <v>44459</v>
      </c>
      <c r="B4803" s="620">
        <v>98.481700000000004</v>
      </c>
      <c r="C4803" s="632"/>
    </row>
    <row r="4804" spans="1:4">
      <c r="A4804" s="619">
        <v>44460</v>
      </c>
      <c r="B4804" s="620">
        <v>98.491699999999994</v>
      </c>
    </row>
    <row r="4805" spans="1:4">
      <c r="A4805" s="619">
        <v>44461</v>
      </c>
      <c r="B4805" s="620">
        <v>98.504999999999995</v>
      </c>
    </row>
    <row r="4806" spans="1:4">
      <c r="A4806" s="619">
        <v>44462</v>
      </c>
      <c r="B4806" s="620">
        <v>98.518299999999996</v>
      </c>
    </row>
    <row r="4807" spans="1:4">
      <c r="A4807" s="619">
        <v>44463</v>
      </c>
      <c r="B4807" s="620">
        <v>98.56</v>
      </c>
    </row>
    <row r="4808" spans="1:4">
      <c r="A4808" s="619">
        <v>44466</v>
      </c>
      <c r="B4808" s="620">
        <v>98.668300000000002</v>
      </c>
    </row>
    <row r="4809" spans="1:4">
      <c r="A4809" s="619">
        <v>44467</v>
      </c>
      <c r="B4809" s="620">
        <v>98.681700000000006</v>
      </c>
    </row>
    <row r="4810" spans="1:4">
      <c r="A4810" s="619">
        <v>44468</v>
      </c>
      <c r="B4810" s="620">
        <v>98.704999999999998</v>
      </c>
      <c r="D4810" s="613">
        <v>44440</v>
      </c>
    </row>
    <row r="4811" spans="1:4">
      <c r="A4811" s="619">
        <v>44469</v>
      </c>
      <c r="B4811" s="620">
        <v>98.734999999999999</v>
      </c>
      <c r="D4811" s="604">
        <v>98.284999999999997</v>
      </c>
    </row>
    <row r="4812" spans="1:4">
      <c r="A4812" s="619">
        <v>44470</v>
      </c>
      <c r="B4812" s="620">
        <v>98.781700000000001</v>
      </c>
    </row>
    <row r="4813" spans="1:4">
      <c r="A4813" s="619">
        <v>44473</v>
      </c>
      <c r="B4813" s="620">
        <v>98.885000000000005</v>
      </c>
    </row>
    <row r="4814" spans="1:4">
      <c r="A4814" s="619">
        <v>44474</v>
      </c>
      <c r="B4814" s="620">
        <v>98.9</v>
      </c>
    </row>
    <row r="4815" spans="1:4">
      <c r="A4815" s="619">
        <v>44475</v>
      </c>
      <c r="B4815" s="620">
        <v>98.921700000000001</v>
      </c>
    </row>
    <row r="4816" spans="1:4">
      <c r="A4816" s="619">
        <v>44476</v>
      </c>
      <c r="B4816" s="620">
        <v>98.944999999999993</v>
      </c>
    </row>
    <row r="4817" spans="1:4">
      <c r="A4817" s="619">
        <v>44481</v>
      </c>
      <c r="B4817" s="620">
        <v>99.1</v>
      </c>
    </row>
    <row r="4818" spans="1:4">
      <c r="A4818" s="619">
        <v>44482</v>
      </c>
      <c r="B4818" s="620">
        <v>99.125</v>
      </c>
    </row>
    <row r="4819" spans="1:4">
      <c r="A4819" s="619">
        <v>44483</v>
      </c>
      <c r="B4819" s="620">
        <v>99.155000000000001</v>
      </c>
    </row>
    <row r="4820" spans="1:4">
      <c r="A4820" s="619">
        <v>44484</v>
      </c>
      <c r="B4820" s="620">
        <v>99.185000000000002</v>
      </c>
    </row>
    <row r="4821" spans="1:4">
      <c r="A4821" s="619">
        <v>44487</v>
      </c>
      <c r="B4821" s="620">
        <v>99.275000000000006</v>
      </c>
    </row>
    <row r="4822" spans="1:4">
      <c r="A4822" s="619">
        <v>44488</v>
      </c>
      <c r="B4822" s="620">
        <v>99.305000000000007</v>
      </c>
    </row>
    <row r="4823" spans="1:4">
      <c r="A4823" s="619">
        <v>44489</v>
      </c>
      <c r="B4823" s="620">
        <v>99.338300000000004</v>
      </c>
    </row>
    <row r="4824" spans="1:4">
      <c r="A4824" s="619">
        <v>44490</v>
      </c>
      <c r="B4824" s="620">
        <v>99.368300000000005</v>
      </c>
    </row>
    <row r="4825" spans="1:4">
      <c r="A4825" s="619">
        <v>44491</v>
      </c>
      <c r="B4825" s="620">
        <v>99.398300000000006</v>
      </c>
    </row>
    <row r="4826" spans="1:4">
      <c r="A4826" s="619">
        <v>44494</v>
      </c>
      <c r="B4826" s="620">
        <v>99.493300000000005</v>
      </c>
    </row>
    <row r="4827" spans="1:4">
      <c r="A4827" s="619">
        <v>44495</v>
      </c>
      <c r="B4827" s="620">
        <v>99.526700000000005</v>
      </c>
    </row>
    <row r="4828" spans="1:4">
      <c r="A4828" s="619">
        <v>44496</v>
      </c>
      <c r="B4828" s="620">
        <v>99.616699999999994</v>
      </c>
      <c r="C4828" s="635"/>
    </row>
    <row r="4829" spans="1:4">
      <c r="A4829" s="619">
        <v>44497</v>
      </c>
      <c r="B4829" s="620">
        <v>99.691699999999997</v>
      </c>
      <c r="D4829" s="613">
        <v>44470</v>
      </c>
    </row>
    <row r="4830" spans="1:4">
      <c r="A4830" s="619">
        <v>44498</v>
      </c>
      <c r="B4830" s="620">
        <v>99.721699999999998</v>
      </c>
      <c r="D4830" s="604">
        <v>99.249099999999999</v>
      </c>
    </row>
    <row r="4831" spans="1:4">
      <c r="A4831" s="619">
        <v>44501</v>
      </c>
      <c r="B4831" s="620">
        <v>99.825000000000003</v>
      </c>
    </row>
    <row r="4832" spans="1:4">
      <c r="A4832" s="619">
        <v>44502</v>
      </c>
      <c r="B4832" s="620">
        <v>99.853300000000004</v>
      </c>
    </row>
    <row r="4833" spans="1:2">
      <c r="A4833" s="619">
        <v>44503</v>
      </c>
      <c r="B4833" s="620">
        <v>99.903300000000002</v>
      </c>
    </row>
    <row r="4834" spans="1:2">
      <c r="A4834" s="619">
        <v>44504</v>
      </c>
      <c r="B4834" s="620">
        <v>99.951700000000002</v>
      </c>
    </row>
    <row r="4835" spans="1:2">
      <c r="A4835" s="619">
        <v>44505</v>
      </c>
      <c r="B4835" s="620">
        <v>99.946700000000007</v>
      </c>
    </row>
    <row r="4836" spans="1:2">
      <c r="A4836" s="619">
        <v>44508</v>
      </c>
      <c r="B4836" s="620">
        <v>100.05</v>
      </c>
    </row>
    <row r="4837" spans="1:2">
      <c r="A4837" s="619">
        <v>44509</v>
      </c>
      <c r="B4837" s="620">
        <v>100.09829999999999</v>
      </c>
    </row>
    <row r="4838" spans="1:2">
      <c r="A4838" s="619">
        <v>44510</v>
      </c>
      <c r="B4838" s="620">
        <v>100.1433</v>
      </c>
    </row>
    <row r="4839" spans="1:2">
      <c r="A4839" s="619">
        <v>44511</v>
      </c>
      <c r="B4839" s="620">
        <v>100.175</v>
      </c>
    </row>
    <row r="4840" spans="1:2">
      <c r="A4840" s="619">
        <v>44512</v>
      </c>
      <c r="B4840" s="620">
        <v>100.22669999999999</v>
      </c>
    </row>
    <row r="4841" spans="1:2">
      <c r="A4841" s="619">
        <v>44515</v>
      </c>
      <c r="B4841" s="620">
        <v>100.29170000000001</v>
      </c>
    </row>
    <row r="4842" spans="1:2">
      <c r="A4842" s="619">
        <v>44516</v>
      </c>
      <c r="B4842" s="620">
        <v>100.3083</v>
      </c>
    </row>
    <row r="4843" spans="1:2">
      <c r="A4843" s="619">
        <v>44517</v>
      </c>
      <c r="B4843" s="620">
        <v>100.3583</v>
      </c>
    </row>
    <row r="4844" spans="1:2">
      <c r="A4844" s="619">
        <v>44518</v>
      </c>
      <c r="B4844" s="620">
        <v>100.4067</v>
      </c>
    </row>
    <row r="4845" spans="1:2">
      <c r="A4845" s="619">
        <v>44519</v>
      </c>
      <c r="B4845" s="620">
        <v>100.465</v>
      </c>
    </row>
    <row r="4846" spans="1:2">
      <c r="A4846" s="619">
        <v>44523</v>
      </c>
      <c r="B4846" s="620">
        <v>100.595</v>
      </c>
    </row>
    <row r="4847" spans="1:2">
      <c r="A4847" s="619">
        <v>44524</v>
      </c>
      <c r="B4847" s="620">
        <v>100.6233</v>
      </c>
    </row>
    <row r="4848" spans="1:2">
      <c r="A4848" s="619">
        <v>44525</v>
      </c>
      <c r="B4848" s="620">
        <v>100.6833</v>
      </c>
    </row>
    <row r="4849" spans="1:4">
      <c r="A4849" s="619">
        <v>44526</v>
      </c>
      <c r="B4849" s="620">
        <v>100.75830000000001</v>
      </c>
    </row>
    <row r="4850" spans="1:4">
      <c r="A4850" s="619">
        <v>44529</v>
      </c>
      <c r="B4850" s="620">
        <v>100.9233</v>
      </c>
      <c r="D4850" s="613">
        <v>44501</v>
      </c>
    </row>
    <row r="4851" spans="1:4">
      <c r="A4851" s="619">
        <v>44530</v>
      </c>
      <c r="B4851" s="620">
        <v>100.925</v>
      </c>
      <c r="D4851" s="604">
        <v>100.31010000000001</v>
      </c>
    </row>
    <row r="4852" spans="1:4">
      <c r="A4852" s="619">
        <v>44531</v>
      </c>
      <c r="B4852" s="620">
        <v>101.005</v>
      </c>
    </row>
    <row r="4853" spans="1:4">
      <c r="A4853" s="619">
        <v>44532</v>
      </c>
      <c r="B4853" s="620">
        <v>101.07</v>
      </c>
    </row>
    <row r="4854" spans="1:4">
      <c r="A4854" s="619">
        <v>44533</v>
      </c>
      <c r="B4854" s="620">
        <v>101.155</v>
      </c>
    </row>
    <row r="4855" spans="1:4">
      <c r="A4855" s="619">
        <v>44536</v>
      </c>
      <c r="B4855" s="620">
        <v>101.3233</v>
      </c>
    </row>
    <row r="4856" spans="1:4">
      <c r="A4856" s="619">
        <v>44537</v>
      </c>
      <c r="B4856" s="620">
        <v>101.36499999999999</v>
      </c>
    </row>
    <row r="4857" spans="1:4">
      <c r="A4857" s="619">
        <v>44539</v>
      </c>
      <c r="B4857" s="620">
        <v>101.50830000000001</v>
      </c>
    </row>
    <row r="4858" spans="1:4">
      <c r="A4858" s="619">
        <v>44540</v>
      </c>
      <c r="B4858" s="620">
        <v>101.58</v>
      </c>
    </row>
    <row r="4859" spans="1:4">
      <c r="A4859" s="619">
        <v>44543</v>
      </c>
      <c r="B4859" s="620">
        <v>101.72499999999999</v>
      </c>
    </row>
    <row r="4860" spans="1:4">
      <c r="A4860" s="619">
        <v>44544</v>
      </c>
      <c r="B4860" s="620">
        <v>101.77330000000001</v>
      </c>
    </row>
    <row r="4861" spans="1:4">
      <c r="A4861" s="619">
        <v>44545</v>
      </c>
      <c r="B4861" s="620">
        <v>101.83</v>
      </c>
    </row>
    <row r="4862" spans="1:4">
      <c r="A4862" s="619">
        <v>44546</v>
      </c>
      <c r="B4862" s="620">
        <v>101.8883</v>
      </c>
    </row>
    <row r="4863" spans="1:4">
      <c r="A4863" s="619">
        <v>44547</v>
      </c>
      <c r="B4863" s="620">
        <v>101.9667</v>
      </c>
    </row>
    <row r="4864" spans="1:4">
      <c r="A4864" s="619">
        <v>44550</v>
      </c>
      <c r="B4864" s="620">
        <v>102.145</v>
      </c>
    </row>
    <row r="4865" spans="1:4">
      <c r="A4865" s="619">
        <v>44551</v>
      </c>
      <c r="B4865" s="620">
        <v>102.2017</v>
      </c>
    </row>
    <row r="4866" spans="1:4">
      <c r="A4866" s="619">
        <v>44552</v>
      </c>
      <c r="B4866" s="620">
        <v>102.27670000000001</v>
      </c>
    </row>
    <row r="4867" spans="1:4">
      <c r="A4867" s="619">
        <v>44553</v>
      </c>
      <c r="B4867" s="620">
        <v>102.33</v>
      </c>
    </row>
    <row r="4868" spans="1:4">
      <c r="A4868" s="619">
        <v>44557</v>
      </c>
      <c r="B4868" s="620">
        <v>102.5667</v>
      </c>
    </row>
    <row r="4869" spans="1:4">
      <c r="A4869" s="619">
        <v>44558</v>
      </c>
      <c r="B4869" s="620">
        <v>102.62</v>
      </c>
    </row>
    <row r="4870" spans="1:4">
      <c r="A4870" s="619">
        <v>44559</v>
      </c>
      <c r="B4870" s="620">
        <v>102.69</v>
      </c>
      <c r="D4870" s="613">
        <v>44531</v>
      </c>
    </row>
    <row r="4871" spans="1:4">
      <c r="A4871" s="619">
        <v>44560</v>
      </c>
      <c r="B4871" s="620">
        <v>102.75</v>
      </c>
      <c r="D4871" s="604">
        <v>101.88849999999999</v>
      </c>
    </row>
    <row r="4872" spans="1:4">
      <c r="A4872" s="619">
        <v>44564</v>
      </c>
      <c r="B4872" s="620">
        <v>103.04</v>
      </c>
    </row>
    <row r="4873" spans="1:4">
      <c r="A4873" s="619">
        <v>44565</v>
      </c>
      <c r="B4873" s="620">
        <v>103.08</v>
      </c>
    </row>
    <row r="4874" spans="1:4">
      <c r="A4874" s="619">
        <v>44566</v>
      </c>
      <c r="B4874" s="620">
        <v>103.15</v>
      </c>
    </row>
    <row r="4875" spans="1:4">
      <c r="A4875" s="619">
        <v>44567</v>
      </c>
      <c r="B4875" s="620">
        <v>103.23</v>
      </c>
    </row>
    <row r="4876" spans="1:4">
      <c r="A4876" s="619">
        <v>44568</v>
      </c>
      <c r="B4876" s="620">
        <v>103.29</v>
      </c>
    </row>
    <row r="4877" spans="1:4">
      <c r="A4877" s="619">
        <v>44571</v>
      </c>
      <c r="B4877" s="620">
        <v>103.50830000000001</v>
      </c>
    </row>
    <row r="4878" spans="1:4">
      <c r="A4878" s="619">
        <v>44572</v>
      </c>
      <c r="B4878" s="620">
        <v>103.5767</v>
      </c>
    </row>
    <row r="4879" spans="1:4">
      <c r="A4879" s="619">
        <v>44573</v>
      </c>
      <c r="B4879" s="620">
        <v>103.6417</v>
      </c>
    </row>
    <row r="4880" spans="1:4">
      <c r="A4880" s="619">
        <v>44574</v>
      </c>
      <c r="B4880" s="620">
        <v>103.7433</v>
      </c>
    </row>
    <row r="4881" spans="1:4">
      <c r="A4881" s="619">
        <v>44575</v>
      </c>
      <c r="B4881" s="620">
        <v>103.8467</v>
      </c>
    </row>
    <row r="4882" spans="1:4">
      <c r="A4882" s="619">
        <v>44578</v>
      </c>
      <c r="B4882" s="620">
        <v>104.07</v>
      </c>
    </row>
    <row r="4883" spans="1:4">
      <c r="A4883" s="619">
        <v>44579</v>
      </c>
      <c r="B4883" s="620">
        <v>104.1867</v>
      </c>
    </row>
    <row r="4884" spans="1:4">
      <c r="A4884" s="619">
        <v>44580</v>
      </c>
      <c r="B4884" s="620">
        <v>104.2383</v>
      </c>
    </row>
    <row r="4885" spans="1:4">
      <c r="A4885" s="619">
        <v>44581</v>
      </c>
      <c r="B4885" s="620">
        <v>104.30329999999999</v>
      </c>
    </row>
    <row r="4886" spans="1:4">
      <c r="A4886" s="619">
        <v>44582</v>
      </c>
      <c r="B4886" s="620">
        <v>104.3533</v>
      </c>
    </row>
    <row r="4887" spans="1:4">
      <c r="A4887" s="619">
        <v>44585</v>
      </c>
      <c r="B4887" s="620">
        <v>104.5317</v>
      </c>
    </row>
    <row r="4888" spans="1:4">
      <c r="A4888" s="619">
        <v>44586</v>
      </c>
      <c r="B4888" s="620">
        <v>104.6033</v>
      </c>
    </row>
    <row r="4889" spans="1:4">
      <c r="A4889" s="619">
        <v>44587</v>
      </c>
      <c r="B4889" s="620">
        <v>104.6833</v>
      </c>
    </row>
    <row r="4890" spans="1:4">
      <c r="A4890" s="619">
        <v>44588</v>
      </c>
      <c r="B4890" s="620">
        <v>104.75830000000001</v>
      </c>
    </row>
    <row r="4891" spans="1:4">
      <c r="A4891" s="619">
        <v>44589</v>
      </c>
      <c r="B4891" s="620">
        <v>104.8267</v>
      </c>
      <c r="D4891" s="613">
        <v>44562</v>
      </c>
    </row>
    <row r="4892" spans="1:4">
      <c r="A4892" s="619">
        <v>44592</v>
      </c>
      <c r="B4892" s="620">
        <v>105.015</v>
      </c>
      <c r="D4892" s="604">
        <v>103.9846</v>
      </c>
    </row>
    <row r="4893" spans="1:4">
      <c r="A4893" s="619">
        <v>44593</v>
      </c>
      <c r="B4893" s="620">
        <v>105.13500000000001</v>
      </c>
    </row>
    <row r="4894" spans="1:4">
      <c r="A4894" s="619">
        <v>44594</v>
      </c>
      <c r="B4894" s="620">
        <v>105.2167</v>
      </c>
    </row>
    <row r="4895" spans="1:4">
      <c r="A4895" s="619">
        <v>44595</v>
      </c>
      <c r="B4895" s="620">
        <v>105.31</v>
      </c>
      <c r="C4895" s="632"/>
    </row>
    <row r="4896" spans="1:4">
      <c r="A4896" s="619">
        <v>44596</v>
      </c>
      <c r="B4896" s="620">
        <v>105.41500000000001</v>
      </c>
    </row>
    <row r="4897" spans="1:4">
      <c r="A4897" s="619">
        <v>44599</v>
      </c>
      <c r="B4897" s="620">
        <v>105.69499999999999</v>
      </c>
    </row>
    <row r="4898" spans="1:4">
      <c r="A4898" s="619">
        <v>44600</v>
      </c>
      <c r="B4898" s="620">
        <v>105.795</v>
      </c>
    </row>
    <row r="4899" spans="1:4">
      <c r="A4899" s="619">
        <v>44601</v>
      </c>
      <c r="B4899" s="620">
        <v>105.905</v>
      </c>
    </row>
    <row r="4900" spans="1:4">
      <c r="A4900" s="619">
        <v>44602</v>
      </c>
      <c r="B4900" s="620">
        <v>106.005</v>
      </c>
    </row>
    <row r="4901" spans="1:4">
      <c r="A4901" s="619">
        <v>44603</v>
      </c>
      <c r="B4901" s="620">
        <v>106.1133</v>
      </c>
    </row>
    <row r="4902" spans="1:4">
      <c r="A4902" s="619">
        <v>44606</v>
      </c>
      <c r="B4902" s="620">
        <v>106.3917</v>
      </c>
    </row>
    <row r="4903" spans="1:4">
      <c r="A4903" s="619">
        <v>44607</v>
      </c>
      <c r="B4903" s="620">
        <v>106.47669999999999</v>
      </c>
    </row>
    <row r="4904" spans="1:4">
      <c r="A4904" s="619">
        <v>44608</v>
      </c>
      <c r="B4904" s="620">
        <v>106.575</v>
      </c>
    </row>
    <row r="4905" spans="1:4">
      <c r="A4905" s="619">
        <v>44609</v>
      </c>
      <c r="B4905" s="620">
        <v>106.6767</v>
      </c>
    </row>
    <row r="4906" spans="1:4">
      <c r="A4906" s="619">
        <v>44610</v>
      </c>
      <c r="B4906" s="620">
        <v>106.7783</v>
      </c>
    </row>
    <row r="4907" spans="1:4">
      <c r="A4907" s="619">
        <v>44613</v>
      </c>
      <c r="B4907" s="620">
        <v>107.05500000000001</v>
      </c>
    </row>
    <row r="4908" spans="1:4">
      <c r="A4908" s="619">
        <v>44614</v>
      </c>
      <c r="B4908" s="620">
        <v>107.1567</v>
      </c>
    </row>
    <row r="4909" spans="1:4">
      <c r="A4909" s="619">
        <v>44615</v>
      </c>
      <c r="B4909" s="620">
        <v>107.3</v>
      </c>
    </row>
    <row r="4910" spans="1:4">
      <c r="A4910" s="619">
        <v>44616</v>
      </c>
      <c r="B4910" s="620">
        <v>107.3933</v>
      </c>
      <c r="D4910" s="613">
        <v>44593</v>
      </c>
    </row>
    <row r="4911" spans="1:4">
      <c r="A4911" s="619">
        <v>44617</v>
      </c>
      <c r="B4911" s="620">
        <v>107.4417</v>
      </c>
      <c r="D4911" s="604">
        <v>106.30710000000001</v>
      </c>
    </row>
    <row r="4912" spans="1:4">
      <c r="A4912" s="619">
        <v>44622</v>
      </c>
      <c r="B4912" s="620">
        <v>107.935</v>
      </c>
    </row>
    <row r="4913" spans="1:2">
      <c r="A4913" s="619">
        <v>44623</v>
      </c>
      <c r="B4913" s="620">
        <v>108.03830000000001</v>
      </c>
    </row>
    <row r="4914" spans="1:2">
      <c r="A4914" s="619">
        <v>44624</v>
      </c>
      <c r="B4914" s="620">
        <v>108.1617</v>
      </c>
    </row>
    <row r="4915" spans="1:2">
      <c r="A4915" s="619">
        <v>44627</v>
      </c>
      <c r="B4915" s="620">
        <v>108.4517</v>
      </c>
    </row>
    <row r="4916" spans="1:2">
      <c r="A4916" s="619">
        <v>44628</v>
      </c>
      <c r="B4916" s="620">
        <v>108.55670000000001</v>
      </c>
    </row>
    <row r="4917" spans="1:2">
      <c r="A4917" s="619">
        <v>44629</v>
      </c>
      <c r="B4917" s="620">
        <v>108.6767</v>
      </c>
    </row>
    <row r="4918" spans="1:2">
      <c r="A4918" s="619">
        <v>44630</v>
      </c>
      <c r="B4918" s="620">
        <v>108.7833</v>
      </c>
    </row>
    <row r="4919" spans="1:2">
      <c r="A4919" s="619">
        <v>44631</v>
      </c>
      <c r="B4919" s="620">
        <v>108.8867</v>
      </c>
    </row>
    <row r="4920" spans="1:2">
      <c r="A4920" s="619">
        <v>44634</v>
      </c>
      <c r="B4920" s="620">
        <v>109.21</v>
      </c>
    </row>
    <row r="4921" spans="1:2">
      <c r="A4921" s="619">
        <v>44635</v>
      </c>
      <c r="B4921" s="620">
        <v>109.30500000000001</v>
      </c>
    </row>
    <row r="4922" spans="1:2">
      <c r="A4922" s="619">
        <v>44636</v>
      </c>
      <c r="B4922" s="620">
        <v>109.4267</v>
      </c>
    </row>
    <row r="4923" spans="1:2">
      <c r="A4923" s="619">
        <v>44637</v>
      </c>
      <c r="B4923" s="620">
        <v>109.52</v>
      </c>
    </row>
    <row r="4924" spans="1:2">
      <c r="A4924" s="619">
        <v>44638</v>
      </c>
      <c r="B4924" s="620">
        <v>109.6367</v>
      </c>
    </row>
    <row r="4925" spans="1:2">
      <c r="A4925" s="619">
        <v>44641</v>
      </c>
      <c r="B4925" s="620">
        <v>109.99169999999999</v>
      </c>
    </row>
    <row r="4926" spans="1:2">
      <c r="A4926" s="619">
        <v>44642</v>
      </c>
      <c r="B4926" s="620">
        <v>110.07170000000001</v>
      </c>
    </row>
    <row r="4927" spans="1:2">
      <c r="A4927" s="619">
        <v>44643</v>
      </c>
      <c r="B4927" s="620">
        <v>110.185</v>
      </c>
    </row>
    <row r="4928" spans="1:2">
      <c r="A4928" s="619">
        <v>44645</v>
      </c>
      <c r="B4928" s="620">
        <v>110.39</v>
      </c>
    </row>
    <row r="4929" spans="1:4">
      <c r="A4929" s="619">
        <v>44648</v>
      </c>
      <c r="B4929" s="620">
        <v>110.7033</v>
      </c>
    </row>
    <row r="4930" spans="1:4">
      <c r="A4930" s="619">
        <v>44649</v>
      </c>
      <c r="B4930" s="620">
        <v>110.80329999999999</v>
      </c>
    </row>
    <row r="4931" spans="1:4">
      <c r="A4931" s="619">
        <v>44650</v>
      </c>
      <c r="B4931" s="620">
        <v>110.91670000000001</v>
      </c>
      <c r="D4931" s="613">
        <v>44621</v>
      </c>
    </row>
    <row r="4932" spans="1:4">
      <c r="A4932" s="619">
        <v>44651</v>
      </c>
      <c r="B4932" s="620">
        <v>110.9783</v>
      </c>
      <c r="D4932" s="604">
        <v>109.4585</v>
      </c>
    </row>
    <row r="4933" spans="1:4">
      <c r="A4933" s="619">
        <v>44652</v>
      </c>
      <c r="B4933" s="620">
        <v>111.125</v>
      </c>
    </row>
    <row r="4934" spans="1:4">
      <c r="A4934" s="619">
        <v>44655</v>
      </c>
      <c r="B4934" s="620">
        <v>111.5583</v>
      </c>
    </row>
    <row r="4935" spans="1:4">
      <c r="A4935" s="619">
        <v>44656</v>
      </c>
      <c r="B4935" s="620">
        <v>111.6983</v>
      </c>
    </row>
    <row r="4936" spans="1:4">
      <c r="A4936" s="619">
        <v>44657</v>
      </c>
      <c r="B4936" s="620">
        <v>111.8433</v>
      </c>
    </row>
    <row r="4937" spans="1:4">
      <c r="A4937" s="619">
        <v>44658</v>
      </c>
      <c r="B4937" s="620">
        <v>111.9783</v>
      </c>
    </row>
    <row r="4938" spans="1:4">
      <c r="A4938" s="619">
        <v>44659</v>
      </c>
      <c r="B4938" s="620">
        <v>112.13</v>
      </c>
    </row>
    <row r="4939" spans="1:4">
      <c r="A4939" s="619">
        <v>44662</v>
      </c>
      <c r="B4939" s="620">
        <v>112.5917</v>
      </c>
    </row>
    <row r="4940" spans="1:4">
      <c r="A4940" s="619">
        <v>44663</v>
      </c>
      <c r="B4940" s="620">
        <v>112.735</v>
      </c>
    </row>
    <row r="4941" spans="1:4">
      <c r="A4941" s="619">
        <v>44664</v>
      </c>
      <c r="B4941" s="620">
        <v>112.91330000000001</v>
      </c>
    </row>
    <row r="4942" spans="1:4">
      <c r="A4942" s="619">
        <v>44669</v>
      </c>
      <c r="B4942" s="620">
        <v>113.6617</v>
      </c>
    </row>
    <row r="4943" spans="1:4">
      <c r="A4943" s="619">
        <v>44670</v>
      </c>
      <c r="B4943" s="620">
        <v>113.7867</v>
      </c>
    </row>
    <row r="4944" spans="1:4">
      <c r="A4944" s="619">
        <v>44671</v>
      </c>
      <c r="B4944" s="620">
        <v>113.9483</v>
      </c>
    </row>
    <row r="4945" spans="1:4">
      <c r="A4945" s="619">
        <v>44672</v>
      </c>
      <c r="B4945" s="620">
        <v>114.1067</v>
      </c>
    </row>
    <row r="4946" spans="1:4">
      <c r="A4946" s="619">
        <v>44673</v>
      </c>
      <c r="B4946" s="620">
        <v>114.2517</v>
      </c>
    </row>
    <row r="4947" spans="1:4">
      <c r="A4947" s="619">
        <v>44676</v>
      </c>
      <c r="B4947" s="620">
        <v>114.69499999999999</v>
      </c>
    </row>
    <row r="4948" spans="1:4">
      <c r="A4948" s="619">
        <v>44677</v>
      </c>
      <c r="B4948" s="620">
        <v>114.8417</v>
      </c>
    </row>
    <row r="4949" spans="1:4">
      <c r="A4949" s="619">
        <v>44678</v>
      </c>
      <c r="B4949" s="620">
        <v>115.005</v>
      </c>
    </row>
    <row r="4950" spans="1:4">
      <c r="A4950" s="619">
        <v>44679</v>
      </c>
      <c r="B4950" s="620">
        <v>115.1733</v>
      </c>
      <c r="D4950" s="613">
        <v>44652</v>
      </c>
    </row>
    <row r="4951" spans="1:4">
      <c r="A4951" s="619">
        <v>44680</v>
      </c>
      <c r="B4951" s="620">
        <v>115.3117</v>
      </c>
      <c r="D4951" s="604">
        <v>113.33450000000001</v>
      </c>
    </row>
    <row r="4952" spans="1:4">
      <c r="A4952" s="619">
        <v>44683</v>
      </c>
      <c r="B4952" s="620">
        <v>115.7517</v>
      </c>
    </row>
    <row r="4953" spans="1:4">
      <c r="A4953" s="619">
        <v>44684</v>
      </c>
      <c r="B4953" s="620">
        <v>115.875</v>
      </c>
    </row>
    <row r="4954" spans="1:4">
      <c r="A4954" s="619">
        <v>44685</v>
      </c>
      <c r="B4954" s="620">
        <v>116.015</v>
      </c>
    </row>
    <row r="4955" spans="1:4">
      <c r="A4955" s="619">
        <v>44686</v>
      </c>
      <c r="B4955" s="620">
        <v>116.1583</v>
      </c>
    </row>
    <row r="4956" spans="1:4">
      <c r="A4956" s="619">
        <v>44687</v>
      </c>
      <c r="B4956" s="620">
        <v>116.30500000000001</v>
      </c>
    </row>
    <row r="4957" spans="1:4">
      <c r="A4957" s="619">
        <v>44690</v>
      </c>
      <c r="B4957" s="620">
        <v>116.755</v>
      </c>
    </row>
    <row r="4958" spans="1:4">
      <c r="A4958" s="619">
        <v>44691</v>
      </c>
      <c r="B4958" s="620">
        <v>116.91500000000001</v>
      </c>
    </row>
    <row r="4959" spans="1:4">
      <c r="A4959" s="619">
        <v>44692</v>
      </c>
      <c r="B4959" s="620">
        <v>117.0883</v>
      </c>
    </row>
    <row r="4960" spans="1:4">
      <c r="A4960" s="619">
        <v>44693</v>
      </c>
      <c r="B4960" s="620">
        <v>117.2517</v>
      </c>
    </row>
    <row r="4961" spans="1:4">
      <c r="A4961" s="619">
        <v>44694</v>
      </c>
      <c r="B4961" s="620">
        <v>117.4067</v>
      </c>
    </row>
    <row r="4962" spans="1:4">
      <c r="A4962" s="619">
        <v>44697</v>
      </c>
      <c r="B4962" s="620">
        <v>117.8717</v>
      </c>
    </row>
    <row r="4963" spans="1:4">
      <c r="A4963" s="619">
        <v>44698</v>
      </c>
      <c r="B4963" s="620">
        <v>118.03830000000001</v>
      </c>
    </row>
    <row r="4964" spans="1:4">
      <c r="A4964" s="619">
        <v>44700</v>
      </c>
      <c r="B4964" s="620">
        <v>118.3583</v>
      </c>
    </row>
    <row r="4965" spans="1:4">
      <c r="A4965" s="619">
        <v>44701</v>
      </c>
      <c r="B4965" s="620">
        <v>118.49169999999999</v>
      </c>
    </row>
    <row r="4966" spans="1:4">
      <c r="A4966" s="619">
        <v>44704</v>
      </c>
      <c r="B4966" s="620">
        <v>118.9483</v>
      </c>
    </row>
    <row r="4967" spans="1:4">
      <c r="A4967" s="619">
        <v>44705</v>
      </c>
      <c r="B4967" s="620">
        <v>119.10169999999999</v>
      </c>
    </row>
    <row r="4968" spans="1:4">
      <c r="A4968" s="619">
        <v>44707</v>
      </c>
      <c r="B4968" s="620">
        <v>119.41670000000001</v>
      </c>
    </row>
    <row r="4969" spans="1:4">
      <c r="A4969" s="619">
        <v>44708</v>
      </c>
      <c r="B4969" s="620">
        <v>119.5583</v>
      </c>
    </row>
    <row r="4970" spans="1:4">
      <c r="A4970" s="619">
        <v>44711</v>
      </c>
      <c r="B4970" s="620">
        <v>120.005</v>
      </c>
      <c r="D4970" s="613">
        <v>44682</v>
      </c>
    </row>
    <row r="4971" spans="1:4">
      <c r="A4971" s="619">
        <v>44712</v>
      </c>
      <c r="B4971" s="620">
        <v>120.1617</v>
      </c>
      <c r="D4971" s="604">
        <v>117.77370000000001</v>
      </c>
    </row>
    <row r="4972" spans="1:4">
      <c r="A4972" s="619">
        <v>44713</v>
      </c>
      <c r="B4972" s="620">
        <v>120.325</v>
      </c>
    </row>
    <row r="4973" spans="1:4">
      <c r="A4973" s="619">
        <v>44714</v>
      </c>
      <c r="B4973" s="620">
        <v>120.4683</v>
      </c>
    </row>
    <row r="4974" spans="1:4">
      <c r="A4974" s="619">
        <v>44715</v>
      </c>
      <c r="B4974" s="620">
        <v>120.6283</v>
      </c>
    </row>
    <row r="4975" spans="1:4">
      <c r="A4975" s="619">
        <v>44718</v>
      </c>
      <c r="B4975" s="620">
        <v>121.1083</v>
      </c>
    </row>
    <row r="4976" spans="1:4">
      <c r="A4976" s="619">
        <v>44719</v>
      </c>
      <c r="B4976" s="620">
        <v>121.2783</v>
      </c>
    </row>
    <row r="4977" spans="1:4">
      <c r="A4977" s="619">
        <v>44720</v>
      </c>
      <c r="B4977" s="620">
        <v>121.455</v>
      </c>
    </row>
    <row r="4978" spans="1:4">
      <c r="A4978" s="619">
        <v>44721</v>
      </c>
      <c r="B4978" s="620">
        <v>121.625</v>
      </c>
    </row>
    <row r="4979" spans="1:4">
      <c r="A4979" s="619">
        <v>44722</v>
      </c>
      <c r="B4979" s="620">
        <v>121.7933</v>
      </c>
    </row>
    <row r="4980" spans="1:4">
      <c r="A4980" s="619">
        <v>44725</v>
      </c>
      <c r="B4980" s="620">
        <v>122.2983</v>
      </c>
    </row>
    <row r="4981" spans="1:4">
      <c r="A4981" s="619">
        <v>44726</v>
      </c>
      <c r="B4981" s="620">
        <v>122.47499999999999</v>
      </c>
    </row>
    <row r="4982" spans="1:4">
      <c r="A4982" s="619">
        <v>44727</v>
      </c>
      <c r="B4982" s="620">
        <v>122.69</v>
      </c>
    </row>
    <row r="4983" spans="1:4">
      <c r="A4983" s="619">
        <v>44728</v>
      </c>
      <c r="B4983" s="620">
        <v>122.895</v>
      </c>
    </row>
    <row r="4984" spans="1:4">
      <c r="A4984" s="619">
        <v>44733</v>
      </c>
      <c r="B4984" s="620">
        <v>123.685</v>
      </c>
    </row>
    <row r="4985" spans="1:4">
      <c r="A4985" s="619">
        <v>44734</v>
      </c>
      <c r="B4985" s="620">
        <v>123.8617</v>
      </c>
    </row>
    <row r="4986" spans="1:4">
      <c r="A4986" s="619">
        <v>44735</v>
      </c>
      <c r="B4986" s="620">
        <v>124.0333</v>
      </c>
    </row>
    <row r="4987" spans="1:4">
      <c r="A4987" s="619">
        <v>44736</v>
      </c>
      <c r="B4987" s="620">
        <v>124.255</v>
      </c>
    </row>
    <row r="4988" spans="1:4">
      <c r="A4988" s="619">
        <v>44739</v>
      </c>
      <c r="B4988" s="620">
        <v>124.705</v>
      </c>
    </row>
    <row r="4989" spans="1:4">
      <c r="A4989" s="619">
        <v>44740</v>
      </c>
      <c r="B4989" s="620">
        <v>124.875</v>
      </c>
    </row>
    <row r="4990" spans="1:4">
      <c r="A4990" s="619">
        <v>44741</v>
      </c>
      <c r="B4990" s="620">
        <v>125.045</v>
      </c>
      <c r="D4990" s="613">
        <v>44713</v>
      </c>
    </row>
    <row r="4991" spans="1:4">
      <c r="A4991" s="619">
        <v>44742</v>
      </c>
      <c r="B4991" s="620">
        <v>125.215</v>
      </c>
      <c r="D4991" s="604">
        <v>122.73569999999999</v>
      </c>
    </row>
    <row r="4992" spans="1:4">
      <c r="A4992" s="619">
        <v>44743</v>
      </c>
      <c r="B4992" s="620">
        <v>125.4117</v>
      </c>
    </row>
    <row r="4993" spans="1:2">
      <c r="A4993" s="619">
        <v>44746</v>
      </c>
      <c r="B4993" s="620">
        <v>125.9883</v>
      </c>
    </row>
    <row r="4994" spans="1:2">
      <c r="A4994" s="619">
        <v>44747</v>
      </c>
      <c r="B4994" s="620">
        <v>126.1833</v>
      </c>
    </row>
    <row r="4995" spans="1:2">
      <c r="A4995" s="619">
        <v>44748</v>
      </c>
      <c r="B4995" s="620">
        <v>126.3783</v>
      </c>
    </row>
    <row r="4996" spans="1:2">
      <c r="A4996" s="619">
        <v>44749</v>
      </c>
      <c r="B4996" s="620">
        <v>126.57</v>
      </c>
    </row>
    <row r="4997" spans="1:2">
      <c r="A4997" s="619">
        <v>44750</v>
      </c>
      <c r="B4997" s="620">
        <v>126.7783</v>
      </c>
    </row>
    <row r="4998" spans="1:2">
      <c r="A4998" s="619">
        <v>44753</v>
      </c>
      <c r="B4998" s="620">
        <v>127.3717</v>
      </c>
    </row>
    <row r="4999" spans="1:2">
      <c r="A4999" s="619">
        <v>44754</v>
      </c>
      <c r="B4999" s="620">
        <v>127.5733</v>
      </c>
    </row>
    <row r="5000" spans="1:2">
      <c r="A5000" s="619">
        <v>44755</v>
      </c>
      <c r="B5000" s="620">
        <v>127.7933</v>
      </c>
    </row>
    <row r="5001" spans="1:2">
      <c r="A5001" s="619">
        <v>44756</v>
      </c>
      <c r="B5001" s="620">
        <v>128.01669999999999</v>
      </c>
    </row>
    <row r="5002" spans="1:2">
      <c r="A5002" s="619">
        <v>44757</v>
      </c>
      <c r="B5002" s="620">
        <v>128.23169999999999</v>
      </c>
    </row>
    <row r="5003" spans="1:2">
      <c r="A5003" s="619">
        <v>44760</v>
      </c>
      <c r="B5003" s="620">
        <v>128.89830000000001</v>
      </c>
    </row>
    <row r="5004" spans="1:2">
      <c r="A5004" s="619">
        <v>44761</v>
      </c>
      <c r="B5004" s="620">
        <v>129.1267</v>
      </c>
    </row>
    <row r="5005" spans="1:2">
      <c r="A5005" s="619">
        <v>44762</v>
      </c>
      <c r="B5005" s="620">
        <v>129.38999999999999</v>
      </c>
    </row>
    <row r="5006" spans="1:2">
      <c r="A5006" s="619">
        <v>44763</v>
      </c>
      <c r="B5006" s="620">
        <v>129.61000000000001</v>
      </c>
    </row>
    <row r="5007" spans="1:2">
      <c r="A5007" s="619">
        <v>44764</v>
      </c>
      <c r="B5007" s="620">
        <v>129.76</v>
      </c>
    </row>
    <row r="5008" spans="1:2">
      <c r="A5008" s="619">
        <v>44767</v>
      </c>
      <c r="B5008" s="620">
        <v>130.4033</v>
      </c>
    </row>
    <row r="5009" spans="1:4">
      <c r="A5009" s="619">
        <v>44768</v>
      </c>
      <c r="B5009" s="620">
        <v>130.6233</v>
      </c>
    </row>
    <row r="5010" spans="1:4">
      <c r="A5010" s="619">
        <v>44769</v>
      </c>
      <c r="B5010" s="620">
        <v>130.89330000000001</v>
      </c>
    </row>
    <row r="5011" spans="1:4">
      <c r="A5011" s="619">
        <v>44770</v>
      </c>
      <c r="B5011" s="620">
        <v>131.125</v>
      </c>
      <c r="D5011" s="613">
        <v>44743</v>
      </c>
    </row>
    <row r="5012" spans="1:4">
      <c r="A5012" s="619">
        <v>44771</v>
      </c>
      <c r="B5012" s="620">
        <v>131.22669999999999</v>
      </c>
      <c r="D5012" s="604">
        <v>128.44540000000001</v>
      </c>
    </row>
    <row r="5013" spans="1:4">
      <c r="A5013" s="619">
        <v>44774</v>
      </c>
      <c r="B5013" s="620">
        <v>131.935</v>
      </c>
    </row>
    <row r="5014" spans="1:4">
      <c r="A5014" s="619">
        <v>44775</v>
      </c>
      <c r="B5014" s="620">
        <v>132.17830000000001</v>
      </c>
    </row>
    <row r="5015" spans="1:4">
      <c r="A5015" s="619">
        <v>44776</v>
      </c>
      <c r="B5015" s="620">
        <v>132.41</v>
      </c>
    </row>
    <row r="5016" spans="1:4">
      <c r="A5016" s="619">
        <v>44777</v>
      </c>
      <c r="B5016" s="620">
        <v>132.64169999999999</v>
      </c>
    </row>
    <row r="5017" spans="1:4">
      <c r="A5017" s="619">
        <v>44778</v>
      </c>
      <c r="B5017" s="620">
        <v>132.88669999999999</v>
      </c>
    </row>
    <row r="5018" spans="1:4">
      <c r="A5018" s="619">
        <v>44781</v>
      </c>
      <c r="B5018" s="620">
        <v>133.56</v>
      </c>
    </row>
    <row r="5019" spans="1:4">
      <c r="A5019" s="619">
        <v>44782</v>
      </c>
      <c r="B5019" s="620">
        <v>133.80330000000001</v>
      </c>
    </row>
    <row r="5020" spans="1:4">
      <c r="A5020" s="619">
        <v>44783</v>
      </c>
      <c r="B5020" s="620">
        <v>134.03829999999999</v>
      </c>
    </row>
    <row r="5021" spans="1:4">
      <c r="A5021" s="619">
        <v>44784</v>
      </c>
      <c r="B5021" s="620">
        <v>134.22829999999999</v>
      </c>
    </row>
    <row r="5022" spans="1:4">
      <c r="A5022" s="619">
        <v>44785</v>
      </c>
      <c r="B5022" s="620">
        <v>134.51830000000001</v>
      </c>
    </row>
    <row r="5023" spans="1:4">
      <c r="A5023" s="619">
        <v>44789</v>
      </c>
      <c r="B5023" s="620">
        <v>135.39500000000001</v>
      </c>
    </row>
    <row r="5024" spans="1:4">
      <c r="A5024" s="619">
        <v>44790</v>
      </c>
      <c r="B5024" s="620">
        <v>135.57</v>
      </c>
    </row>
    <row r="5025" spans="1:4">
      <c r="A5025" s="619">
        <v>44791</v>
      </c>
      <c r="B5025" s="620">
        <v>135.77330000000001</v>
      </c>
    </row>
    <row r="5026" spans="1:4">
      <c r="A5026" s="619">
        <v>44792</v>
      </c>
      <c r="B5026" s="620">
        <v>136.06</v>
      </c>
    </row>
    <row r="5027" spans="1:4">
      <c r="A5027" s="619">
        <v>44795</v>
      </c>
      <c r="B5027" s="620">
        <v>136.685</v>
      </c>
    </row>
    <row r="5028" spans="1:4">
      <c r="A5028" s="619">
        <v>44796</v>
      </c>
      <c r="B5028" s="620">
        <v>136.9033</v>
      </c>
    </row>
    <row r="5029" spans="1:4">
      <c r="A5029" s="619">
        <v>44797</v>
      </c>
      <c r="B5029" s="620">
        <v>137.14500000000001</v>
      </c>
    </row>
    <row r="5030" spans="1:4">
      <c r="A5030" s="619">
        <v>44798</v>
      </c>
      <c r="B5030" s="620">
        <v>137.39330000000001</v>
      </c>
    </row>
    <row r="5031" spans="1:4">
      <c r="A5031" s="619">
        <v>44799</v>
      </c>
      <c r="B5031" s="620">
        <v>137.65170000000001</v>
      </c>
    </row>
    <row r="5032" spans="1:4">
      <c r="A5032" s="619">
        <v>44802</v>
      </c>
      <c r="B5032" s="620">
        <v>138.32499999999999</v>
      </c>
    </row>
    <row r="5033" spans="1:4">
      <c r="A5033" s="619">
        <v>44803</v>
      </c>
      <c r="B5033" s="620">
        <v>138.57169999999999</v>
      </c>
      <c r="D5033" s="613">
        <v>44774</v>
      </c>
    </row>
    <row r="5034" spans="1:4">
      <c r="A5034" s="619">
        <v>44804</v>
      </c>
      <c r="B5034" s="620">
        <v>138.7133</v>
      </c>
      <c r="D5034" s="604">
        <v>135.2903</v>
      </c>
    </row>
    <row r="5035" spans="1:4">
      <c r="A5035" s="619">
        <v>44805</v>
      </c>
      <c r="B5035" s="620">
        <v>139.005</v>
      </c>
    </row>
    <row r="5036" spans="1:4">
      <c r="A5036" s="619">
        <v>44806</v>
      </c>
      <c r="B5036" s="620">
        <v>140</v>
      </c>
    </row>
    <row r="5037" spans="1:4">
      <c r="A5037" s="619">
        <v>44809</v>
      </c>
      <c r="B5037" s="620">
        <v>140.19999999999999</v>
      </c>
    </row>
    <row r="5038" spans="1:4">
      <c r="A5038" s="619">
        <v>44810</v>
      </c>
      <c r="B5038" s="620">
        <v>140.57830000000001</v>
      </c>
    </row>
    <row r="5039" spans="1:4">
      <c r="A5039" s="619">
        <v>44811</v>
      </c>
      <c r="B5039" s="620">
        <v>140.82</v>
      </c>
    </row>
    <row r="5040" spans="1:4">
      <c r="A5040" s="619">
        <v>44812</v>
      </c>
      <c r="B5040" s="620">
        <v>141.17670000000001</v>
      </c>
    </row>
    <row r="5041" spans="1:4">
      <c r="A5041" s="619">
        <v>44813</v>
      </c>
      <c r="B5041" s="620">
        <v>141.375</v>
      </c>
    </row>
    <row r="5042" spans="1:4">
      <c r="A5042" s="619">
        <v>44816</v>
      </c>
      <c r="B5042" s="620">
        <v>142.27500000000001</v>
      </c>
    </row>
    <row r="5043" spans="1:4">
      <c r="A5043" s="619">
        <v>44817</v>
      </c>
      <c r="B5043" s="620">
        <v>142.57499999999999</v>
      </c>
    </row>
    <row r="5044" spans="1:4">
      <c r="A5044" s="619">
        <v>44818</v>
      </c>
      <c r="B5044" s="620">
        <v>142.875</v>
      </c>
    </row>
    <row r="5045" spans="1:4">
      <c r="A5045" s="619">
        <v>44819</v>
      </c>
      <c r="B5045" s="620">
        <v>143.18170000000001</v>
      </c>
    </row>
    <row r="5046" spans="1:4">
      <c r="A5046" s="619">
        <v>44820</v>
      </c>
      <c r="B5046" s="620">
        <v>143.4967</v>
      </c>
    </row>
    <row r="5047" spans="1:4">
      <c r="A5047" s="619">
        <v>44823</v>
      </c>
      <c r="B5047" s="620">
        <v>144.345</v>
      </c>
    </row>
    <row r="5048" spans="1:4">
      <c r="A5048" s="619">
        <v>44824</v>
      </c>
      <c r="B5048" s="620">
        <v>144.6317</v>
      </c>
    </row>
    <row r="5049" spans="1:4">
      <c r="A5049" s="619">
        <v>44825</v>
      </c>
      <c r="B5049" s="620">
        <v>144.9033</v>
      </c>
    </row>
    <row r="5050" spans="1:4">
      <c r="A5050" s="619">
        <v>44826</v>
      </c>
      <c r="B5050" s="620">
        <v>145.16829999999999</v>
      </c>
    </row>
    <row r="5051" spans="1:4">
      <c r="A5051" s="619">
        <v>44827</v>
      </c>
      <c r="B5051" s="620">
        <v>145.45830000000001</v>
      </c>
    </row>
    <row r="5052" spans="1:4">
      <c r="A5052" s="619">
        <v>44830</v>
      </c>
      <c r="B5052" s="620">
        <v>146.26329999999999</v>
      </c>
    </row>
    <row r="5053" spans="1:4">
      <c r="A5053" s="619">
        <v>44831</v>
      </c>
      <c r="B5053" s="620">
        <v>146.5583</v>
      </c>
    </row>
    <row r="5054" spans="1:4">
      <c r="A5054" s="619">
        <v>44832</v>
      </c>
      <c r="B5054" s="620">
        <v>146.8383</v>
      </c>
    </row>
    <row r="5055" spans="1:4">
      <c r="A5055" s="619">
        <v>44833</v>
      </c>
      <c r="B5055" s="620">
        <v>147.09</v>
      </c>
      <c r="D5055" s="613">
        <v>44805</v>
      </c>
    </row>
    <row r="5056" spans="1:4">
      <c r="A5056" s="619">
        <v>44834</v>
      </c>
      <c r="B5056" s="620">
        <v>147.315</v>
      </c>
      <c r="D5056" s="604">
        <v>143.62520000000001</v>
      </c>
    </row>
    <row r="5057" spans="1:2">
      <c r="A5057" s="619">
        <v>44837</v>
      </c>
      <c r="B5057" s="620">
        <v>148.2433</v>
      </c>
    </row>
    <row r="5058" spans="1:2">
      <c r="A5058" s="619">
        <v>44838</v>
      </c>
      <c r="B5058" s="620">
        <v>148.57669999999999</v>
      </c>
    </row>
    <row r="5059" spans="1:2">
      <c r="A5059" s="619">
        <v>44839</v>
      </c>
      <c r="B5059" s="620">
        <v>148.91329999999999</v>
      </c>
    </row>
    <row r="5060" spans="1:2">
      <c r="A5060" s="619">
        <v>44840</v>
      </c>
      <c r="B5060" s="620">
        <v>149.19829999999999</v>
      </c>
    </row>
    <row r="5061" spans="1:2">
      <c r="A5061" s="619">
        <v>44845</v>
      </c>
      <c r="B5061" s="620">
        <v>150.72829999999999</v>
      </c>
    </row>
    <row r="5062" spans="1:2">
      <c r="A5062" s="619">
        <v>44846</v>
      </c>
      <c r="B5062" s="620">
        <v>151.02670000000001</v>
      </c>
    </row>
    <row r="5063" spans="1:2">
      <c r="A5063" s="619">
        <v>44847</v>
      </c>
      <c r="B5063" s="620">
        <v>151.32169999999999</v>
      </c>
    </row>
    <row r="5064" spans="1:2">
      <c r="A5064" s="619">
        <v>44848</v>
      </c>
      <c r="B5064" s="620">
        <v>151.6283</v>
      </c>
    </row>
    <row r="5065" spans="1:2">
      <c r="A5065" s="619">
        <v>44851</v>
      </c>
      <c r="B5065" s="620">
        <v>152.53</v>
      </c>
    </row>
    <row r="5066" spans="1:2">
      <c r="A5066" s="619">
        <v>44852</v>
      </c>
      <c r="B5066" s="620">
        <v>152.82499999999999</v>
      </c>
    </row>
    <row r="5067" spans="1:2">
      <c r="A5067" s="619">
        <v>44853</v>
      </c>
      <c r="B5067" s="620">
        <v>153.16499999999999</v>
      </c>
    </row>
    <row r="5068" spans="1:2">
      <c r="A5068" s="619">
        <v>44854</v>
      </c>
      <c r="B5068" s="620">
        <v>153.5</v>
      </c>
    </row>
    <row r="5069" spans="1:2">
      <c r="A5069" s="619">
        <v>44855</v>
      </c>
      <c r="B5069" s="620">
        <v>153.8117</v>
      </c>
    </row>
    <row r="5070" spans="1:2">
      <c r="A5070" s="619">
        <v>44858</v>
      </c>
      <c r="B5070" s="620">
        <v>154.73670000000001</v>
      </c>
    </row>
    <row r="5071" spans="1:2">
      <c r="A5071" s="619">
        <v>44859</v>
      </c>
      <c r="B5071" s="620">
        <v>155.05330000000001</v>
      </c>
    </row>
    <row r="5072" spans="1:2">
      <c r="A5072" s="619">
        <v>44860</v>
      </c>
      <c r="B5072" s="620">
        <v>155.39670000000001</v>
      </c>
    </row>
    <row r="5073" spans="1:4">
      <c r="A5073" s="619">
        <v>44861</v>
      </c>
      <c r="B5073" s="620">
        <v>155.69829999999999</v>
      </c>
    </row>
    <row r="5074" spans="1:4">
      <c r="A5074" s="619">
        <v>44862</v>
      </c>
      <c r="B5074" s="620">
        <v>156.01669999999999</v>
      </c>
      <c r="D5074" s="613">
        <v>44835</v>
      </c>
    </row>
    <row r="5075" spans="1:4">
      <c r="A5075" s="619">
        <v>44865</v>
      </c>
      <c r="B5075" s="620">
        <v>156.89500000000001</v>
      </c>
      <c r="D5075" s="604">
        <v>152.59289999999999</v>
      </c>
    </row>
    <row r="5076" spans="1:4">
      <c r="A5076" s="619">
        <v>44866</v>
      </c>
      <c r="B5076" s="620">
        <v>157.23500000000001</v>
      </c>
    </row>
    <row r="5077" spans="1:4">
      <c r="A5077" s="619">
        <v>44867</v>
      </c>
      <c r="B5077" s="620">
        <v>157.5933</v>
      </c>
    </row>
    <row r="5078" spans="1:4">
      <c r="A5078" s="619">
        <v>44868</v>
      </c>
      <c r="B5078" s="620">
        <v>157.94</v>
      </c>
    </row>
    <row r="5079" spans="1:4">
      <c r="A5079" s="619">
        <v>44869</v>
      </c>
      <c r="B5079" s="620">
        <v>158.26669999999999</v>
      </c>
    </row>
    <row r="5080" spans="1:4">
      <c r="A5080" s="619">
        <v>44872</v>
      </c>
      <c r="B5080" s="620">
        <v>159.33000000000001</v>
      </c>
    </row>
    <row r="5081" spans="1:4">
      <c r="A5081" s="619">
        <v>44873</v>
      </c>
      <c r="B5081" s="620">
        <v>159.70830000000001</v>
      </c>
    </row>
    <row r="5082" spans="1:4">
      <c r="A5082" s="619">
        <v>44874</v>
      </c>
      <c r="B5082" s="620">
        <v>160.04669999999999</v>
      </c>
    </row>
    <row r="5083" spans="1:4">
      <c r="A5083" s="619">
        <v>44875</v>
      </c>
      <c r="B5083" s="620">
        <v>160.36330000000001</v>
      </c>
    </row>
    <row r="5084" spans="1:4">
      <c r="A5084" s="619">
        <v>44876</v>
      </c>
      <c r="B5084" s="620">
        <v>160.70670000000001</v>
      </c>
    </row>
    <row r="5085" spans="1:4">
      <c r="A5085" s="619">
        <v>44879</v>
      </c>
      <c r="B5085" s="620">
        <v>161.76169999999999</v>
      </c>
    </row>
    <row r="5086" spans="1:4">
      <c r="A5086" s="619">
        <v>44880</v>
      </c>
      <c r="B5086" s="620">
        <v>162.1283</v>
      </c>
    </row>
    <row r="5087" spans="1:4">
      <c r="A5087" s="619">
        <v>44881</v>
      </c>
      <c r="B5087" s="620">
        <v>162.45670000000001</v>
      </c>
    </row>
    <row r="5088" spans="1:4">
      <c r="A5088" s="619">
        <v>44882</v>
      </c>
      <c r="B5088" s="620">
        <v>162.79499999999999</v>
      </c>
    </row>
    <row r="5089" spans="1:4">
      <c r="A5089" s="619">
        <v>44883</v>
      </c>
      <c r="B5089" s="620">
        <v>163.14670000000001</v>
      </c>
    </row>
    <row r="5090" spans="1:4">
      <c r="A5090" s="619">
        <v>44887</v>
      </c>
      <c r="B5090" s="620">
        <v>164.52330000000001</v>
      </c>
    </row>
    <row r="5091" spans="1:4">
      <c r="A5091" s="619">
        <v>44888</v>
      </c>
      <c r="B5091" s="620">
        <v>164.8467</v>
      </c>
    </row>
    <row r="5092" spans="1:4">
      <c r="A5092" s="619">
        <v>44889</v>
      </c>
      <c r="B5092" s="620">
        <v>165.2133</v>
      </c>
    </row>
    <row r="5093" spans="1:4">
      <c r="A5093" s="619">
        <v>44890</v>
      </c>
      <c r="B5093" s="620">
        <v>165.5883</v>
      </c>
    </row>
    <row r="5094" spans="1:4">
      <c r="A5094" s="619">
        <v>44893</v>
      </c>
      <c r="B5094" s="620">
        <v>166.625</v>
      </c>
      <c r="D5094" s="593"/>
    </row>
    <row r="5095" spans="1:4">
      <c r="A5095" s="619">
        <v>44894</v>
      </c>
      <c r="B5095" s="620">
        <v>166.95500000000001</v>
      </c>
      <c r="D5095" s="613">
        <v>44866</v>
      </c>
    </row>
    <row r="5096" spans="1:4">
      <c r="A5096" s="619">
        <v>44895</v>
      </c>
      <c r="B5096" s="620">
        <v>167.255</v>
      </c>
      <c r="D5096" s="604">
        <v>162.1183</v>
      </c>
    </row>
    <row r="5097" spans="1:4">
      <c r="A5097" s="619">
        <v>44896</v>
      </c>
      <c r="B5097" s="620">
        <v>167.685</v>
      </c>
    </row>
    <row r="5098" spans="1:4">
      <c r="A5098" s="619">
        <v>44897</v>
      </c>
      <c r="B5098" s="620">
        <v>168.0933</v>
      </c>
    </row>
    <row r="5099" spans="1:4">
      <c r="A5099" s="619">
        <v>44900</v>
      </c>
      <c r="B5099" s="620">
        <v>169.13499999999999</v>
      </c>
    </row>
    <row r="5100" spans="1:4">
      <c r="A5100" s="619">
        <v>44901</v>
      </c>
      <c r="B5100" s="620">
        <v>169.50829999999999</v>
      </c>
    </row>
    <row r="5101" spans="1:4">
      <c r="A5101" s="619">
        <v>44902</v>
      </c>
      <c r="B5101" s="620">
        <v>169.8683</v>
      </c>
    </row>
    <row r="5102" spans="1:4">
      <c r="A5102" s="619">
        <v>44907</v>
      </c>
      <c r="B5102" s="620">
        <v>171.42500000000001</v>
      </c>
    </row>
    <row r="5103" spans="1:4">
      <c r="A5103" s="619">
        <v>44908</v>
      </c>
      <c r="B5103" s="620">
        <v>171.76169999999999</v>
      </c>
    </row>
    <row r="5104" spans="1:4">
      <c r="A5104" s="619">
        <v>44909</v>
      </c>
      <c r="B5104" s="620">
        <v>172.1</v>
      </c>
    </row>
    <row r="5105" spans="1:4">
      <c r="A5105" s="619">
        <v>44910</v>
      </c>
      <c r="B5105" s="620">
        <v>172.42500000000001</v>
      </c>
    </row>
    <row r="5106" spans="1:4">
      <c r="A5106" s="619">
        <v>44911</v>
      </c>
      <c r="B5106" s="620">
        <v>172.73</v>
      </c>
    </row>
    <row r="5107" spans="1:4">
      <c r="A5107" s="619">
        <v>44914</v>
      </c>
      <c r="B5107" s="620">
        <v>173.64500000000001</v>
      </c>
    </row>
    <row r="5108" spans="1:4">
      <c r="A5108" s="619">
        <v>44915</v>
      </c>
      <c r="B5108" s="620">
        <v>173.93170000000001</v>
      </c>
    </row>
    <row r="5109" spans="1:4">
      <c r="A5109" s="619">
        <v>44916</v>
      </c>
      <c r="B5109" s="620">
        <v>174.25</v>
      </c>
    </row>
    <row r="5110" spans="1:4">
      <c r="A5110" s="619">
        <v>44917</v>
      </c>
      <c r="B5110" s="620">
        <v>174.5883</v>
      </c>
    </row>
    <row r="5111" spans="1:4">
      <c r="A5111" s="619">
        <v>44918</v>
      </c>
      <c r="B5111" s="620">
        <v>174.84829999999999</v>
      </c>
    </row>
    <row r="5112" spans="1:4">
      <c r="A5112" s="619">
        <v>44921</v>
      </c>
      <c r="B5112" s="620">
        <v>175.745</v>
      </c>
    </row>
    <row r="5113" spans="1:4">
      <c r="A5113" s="619">
        <v>44922</v>
      </c>
      <c r="B5113" s="620">
        <v>176.07169999999999</v>
      </c>
    </row>
    <row r="5114" spans="1:4">
      <c r="A5114" s="619">
        <v>44923</v>
      </c>
      <c r="B5114" s="620">
        <v>176.38</v>
      </c>
    </row>
    <row r="5115" spans="1:4">
      <c r="A5115" s="619">
        <v>44924</v>
      </c>
      <c r="B5115" s="620">
        <v>176.7433</v>
      </c>
      <c r="D5115" s="613">
        <v>44896</v>
      </c>
    </row>
    <row r="5116" spans="1:4">
      <c r="A5116" s="619">
        <v>44925</v>
      </c>
      <c r="B5116" s="620">
        <v>177.1283</v>
      </c>
      <c r="D5116" s="604">
        <v>172.9032</v>
      </c>
    </row>
    <row r="5117" spans="1:4">
      <c r="A5117" s="619">
        <v>44928</v>
      </c>
      <c r="B5117" s="620">
        <v>178.14169999999999</v>
      </c>
    </row>
    <row r="5118" spans="1:4">
      <c r="A5118" s="619">
        <v>44929</v>
      </c>
      <c r="B5118" s="620">
        <v>178.43170000000001</v>
      </c>
    </row>
    <row r="5119" spans="1:4">
      <c r="A5119" s="619">
        <v>44930</v>
      </c>
      <c r="B5119" s="620">
        <v>178.6533</v>
      </c>
    </row>
    <row r="5120" spans="1:4">
      <c r="A5120" s="619">
        <v>44931</v>
      </c>
      <c r="B5120" s="620">
        <v>178.94</v>
      </c>
    </row>
    <row r="5121" spans="1:2">
      <c r="A5121" s="619">
        <v>44932</v>
      </c>
      <c r="B5121" s="620">
        <v>179.2433</v>
      </c>
    </row>
    <row r="5122" spans="1:2">
      <c r="A5122" s="619">
        <v>44935</v>
      </c>
      <c r="B5122" s="620">
        <v>180.13669999999999</v>
      </c>
    </row>
    <row r="5123" spans="1:2">
      <c r="A5123" s="619">
        <v>44936</v>
      </c>
      <c r="B5123" s="620">
        <v>180.40170000000001</v>
      </c>
    </row>
    <row r="5124" spans="1:2">
      <c r="A5124" s="619">
        <v>44937</v>
      </c>
      <c r="B5124" s="620">
        <v>180.6883</v>
      </c>
    </row>
    <row r="5125" spans="1:2">
      <c r="A5125" s="619">
        <v>44938</v>
      </c>
      <c r="B5125" s="620">
        <v>180.97</v>
      </c>
    </row>
    <row r="5126" spans="1:2">
      <c r="A5126" s="619">
        <v>44939</v>
      </c>
      <c r="B5126" s="620">
        <v>181.28</v>
      </c>
    </row>
    <row r="5127" spans="1:2">
      <c r="A5127" s="619">
        <v>44942</v>
      </c>
      <c r="B5127" s="620">
        <v>182.16329999999999</v>
      </c>
    </row>
    <row r="5128" spans="1:2">
      <c r="A5128" s="619">
        <v>44943</v>
      </c>
      <c r="B5128" s="620">
        <v>182.49170000000001</v>
      </c>
    </row>
    <row r="5129" spans="1:2">
      <c r="A5129" s="619">
        <v>44944</v>
      </c>
      <c r="B5129" s="620">
        <v>182.80330000000001</v>
      </c>
    </row>
    <row r="5130" spans="1:2">
      <c r="A5130" s="619">
        <v>44945</v>
      </c>
      <c r="B5130" s="620">
        <v>183.125</v>
      </c>
    </row>
    <row r="5131" spans="1:2">
      <c r="A5131" s="619">
        <v>44946</v>
      </c>
      <c r="B5131" s="620">
        <v>183.4367</v>
      </c>
    </row>
    <row r="5132" spans="1:2">
      <c r="A5132" s="619">
        <v>44949</v>
      </c>
      <c r="B5132" s="620">
        <v>184.3733</v>
      </c>
    </row>
    <row r="5133" spans="1:2">
      <c r="A5133" s="619">
        <v>44950</v>
      </c>
      <c r="B5133" s="620">
        <v>184.6867</v>
      </c>
    </row>
    <row r="5134" spans="1:2">
      <c r="A5134" s="619">
        <v>44951</v>
      </c>
      <c r="B5134" s="620">
        <v>185.005</v>
      </c>
    </row>
    <row r="5135" spans="1:2">
      <c r="A5135" s="619">
        <v>44952</v>
      </c>
      <c r="B5135" s="620">
        <v>185.315</v>
      </c>
    </row>
    <row r="5136" spans="1:2">
      <c r="A5136" s="619">
        <v>44953</v>
      </c>
      <c r="B5136" s="620">
        <v>185.63</v>
      </c>
    </row>
    <row r="5137" spans="1:4">
      <c r="A5137" s="619">
        <v>44956</v>
      </c>
      <c r="B5137" s="620">
        <v>186.57830000000001</v>
      </c>
      <c r="D5137" s="613">
        <v>44927</v>
      </c>
    </row>
    <row r="5138" spans="1:4">
      <c r="A5138" s="619">
        <v>44957</v>
      </c>
      <c r="B5138" s="620">
        <v>186.875</v>
      </c>
      <c r="D5138" s="604">
        <v>182.2441</v>
      </c>
    </row>
    <row r="5139" spans="1:4">
      <c r="A5139" s="619">
        <v>44958</v>
      </c>
      <c r="B5139" s="620">
        <v>187.3083</v>
      </c>
    </row>
    <row r="5140" spans="1:4">
      <c r="A5140" s="619">
        <v>44959</v>
      </c>
      <c r="B5140" s="620">
        <v>187.61330000000001</v>
      </c>
    </row>
    <row r="5141" spans="1:4">
      <c r="A5141" s="619">
        <v>44960</v>
      </c>
      <c r="B5141" s="620">
        <v>187.95</v>
      </c>
    </row>
    <row r="5142" spans="1:4">
      <c r="A5142" s="619">
        <v>44963</v>
      </c>
      <c r="B5142" s="620">
        <v>189.095</v>
      </c>
    </row>
    <row r="5143" spans="1:4">
      <c r="A5143" s="619">
        <v>44964</v>
      </c>
      <c r="B5143" s="620">
        <v>189.45670000000001</v>
      </c>
    </row>
    <row r="5144" spans="1:4">
      <c r="A5144" s="619">
        <v>44965</v>
      </c>
      <c r="B5144" s="620">
        <v>189.86330000000001</v>
      </c>
    </row>
    <row r="5145" spans="1:4">
      <c r="A5145" s="619">
        <v>44966</v>
      </c>
      <c r="B5145" s="620">
        <v>190.20330000000001</v>
      </c>
    </row>
    <row r="5146" spans="1:4">
      <c r="A5146" s="619">
        <v>44967</v>
      </c>
      <c r="B5146" s="620">
        <v>190.5283</v>
      </c>
    </row>
    <row r="5147" spans="1:4">
      <c r="A5147" s="619">
        <v>44970</v>
      </c>
      <c r="B5147" s="620">
        <v>191.64</v>
      </c>
    </row>
    <row r="5148" spans="1:4">
      <c r="A5148" s="619">
        <v>44971</v>
      </c>
      <c r="B5148" s="620">
        <v>192.02</v>
      </c>
    </row>
    <row r="5149" spans="1:4">
      <c r="A5149" s="619">
        <v>44972</v>
      </c>
      <c r="B5149" s="620">
        <v>192.375</v>
      </c>
    </row>
    <row r="5150" spans="1:4">
      <c r="A5150" s="619">
        <v>44973</v>
      </c>
      <c r="B5150" s="620">
        <v>192.7833</v>
      </c>
    </row>
    <row r="5151" spans="1:4">
      <c r="A5151" s="619">
        <v>44974</v>
      </c>
      <c r="B5151" s="620">
        <v>193.19329999999999</v>
      </c>
    </row>
    <row r="5152" spans="1:4">
      <c r="A5152" s="619">
        <v>44979</v>
      </c>
      <c r="B5152" s="620">
        <v>194.98</v>
      </c>
    </row>
    <row r="5153" spans="1:4">
      <c r="A5153" s="619">
        <v>44980</v>
      </c>
      <c r="B5153" s="620">
        <v>195.35</v>
      </c>
    </row>
    <row r="5154" spans="1:4">
      <c r="A5154" s="619">
        <v>44981</v>
      </c>
      <c r="B5154" s="620">
        <v>195.73830000000001</v>
      </c>
    </row>
    <row r="5155" spans="1:4">
      <c r="A5155" s="619">
        <v>44984</v>
      </c>
      <c r="B5155" s="620">
        <v>196.8117</v>
      </c>
      <c r="D5155" s="613">
        <v>44958</v>
      </c>
    </row>
    <row r="5156" spans="1:4">
      <c r="A5156" s="619">
        <v>44985</v>
      </c>
      <c r="B5156" s="620">
        <v>197.1533</v>
      </c>
      <c r="D5156" s="604">
        <v>191.89240000000001</v>
      </c>
    </row>
    <row r="5157" spans="1:4">
      <c r="A5157" s="619">
        <v>44986</v>
      </c>
      <c r="B5157" s="620">
        <v>197.56</v>
      </c>
    </row>
    <row r="5158" spans="1:4">
      <c r="A5158" s="619">
        <v>44987</v>
      </c>
      <c r="B5158" s="620">
        <v>197.88669999999999</v>
      </c>
    </row>
    <row r="5159" spans="1:4">
      <c r="A5159" s="619">
        <v>44988</v>
      </c>
      <c r="B5159" s="620">
        <v>198.26</v>
      </c>
    </row>
    <row r="5160" spans="1:4">
      <c r="A5160" s="619">
        <v>44991</v>
      </c>
      <c r="B5160" s="620">
        <v>199.345</v>
      </c>
    </row>
    <row r="5161" spans="1:4">
      <c r="A5161" s="619">
        <v>44992</v>
      </c>
      <c r="B5161" s="620">
        <v>199.67169999999999</v>
      </c>
    </row>
    <row r="5162" spans="1:4">
      <c r="A5162" s="619">
        <v>44993</v>
      </c>
      <c r="B5162" s="620">
        <v>200.02670000000001</v>
      </c>
    </row>
    <row r="5163" spans="1:4">
      <c r="A5163" s="619">
        <v>44994</v>
      </c>
      <c r="B5163" s="620">
        <v>200.35669999999999</v>
      </c>
    </row>
    <row r="5164" spans="1:4">
      <c r="A5164" s="619">
        <v>44995</v>
      </c>
      <c r="B5164" s="620">
        <v>200.7217</v>
      </c>
    </row>
    <row r="5165" spans="1:4">
      <c r="A5165" s="619">
        <v>44998</v>
      </c>
      <c r="B5165" s="620">
        <v>201.80170000000001</v>
      </c>
    </row>
    <row r="5166" spans="1:4">
      <c r="A5166" s="619">
        <v>44999</v>
      </c>
      <c r="B5166" s="620">
        <v>202.14830000000001</v>
      </c>
    </row>
    <row r="5167" spans="1:4">
      <c r="A5167" s="619">
        <v>45000</v>
      </c>
      <c r="B5167" s="620">
        <v>202.52170000000001</v>
      </c>
    </row>
    <row r="5168" spans="1:4">
      <c r="A5168" s="619">
        <v>45001</v>
      </c>
      <c r="B5168" s="620">
        <v>202.95500000000001</v>
      </c>
    </row>
    <row r="5169" spans="1:4">
      <c r="A5169" s="619">
        <v>45002</v>
      </c>
      <c r="B5169" s="620">
        <v>203.34</v>
      </c>
    </row>
    <row r="5170" spans="1:4">
      <c r="A5170" s="619">
        <v>45005</v>
      </c>
      <c r="B5170" s="620">
        <v>204.4967</v>
      </c>
    </row>
    <row r="5171" spans="1:4">
      <c r="A5171" s="619">
        <v>45006</v>
      </c>
      <c r="B5171" s="620">
        <v>204.9633</v>
      </c>
    </row>
    <row r="5172" spans="1:4">
      <c r="A5172" s="619">
        <v>45007</v>
      </c>
      <c r="B5172" s="620">
        <v>205.39500000000001</v>
      </c>
    </row>
    <row r="5173" spans="1:4">
      <c r="A5173" s="619">
        <v>45008</v>
      </c>
      <c r="B5173" s="620">
        <v>205.79</v>
      </c>
    </row>
    <row r="5174" spans="1:4">
      <c r="A5174" s="619">
        <v>45012</v>
      </c>
      <c r="B5174" s="620">
        <v>207.40170000000001</v>
      </c>
    </row>
    <row r="5175" spans="1:4">
      <c r="A5175" s="619">
        <v>45013</v>
      </c>
      <c r="B5175" s="620">
        <v>207.84</v>
      </c>
    </row>
    <row r="5176" spans="1:4">
      <c r="A5176" s="619">
        <v>45014</v>
      </c>
      <c r="B5176" s="620">
        <v>208.2533</v>
      </c>
    </row>
    <row r="5177" spans="1:4">
      <c r="A5177" s="619">
        <v>45015</v>
      </c>
      <c r="B5177" s="620">
        <v>208.59829999999999</v>
      </c>
      <c r="D5177" s="613">
        <v>44986</v>
      </c>
    </row>
    <row r="5178" spans="1:4">
      <c r="A5178" s="619">
        <v>45016</v>
      </c>
      <c r="B5178" s="620">
        <v>208.98830000000001</v>
      </c>
      <c r="D5178" s="604">
        <v>203.10550000000001</v>
      </c>
    </row>
    <row r="5179" spans="1:4">
      <c r="A5179" s="619">
        <v>45019</v>
      </c>
      <c r="B5179" s="620">
        <v>210.33</v>
      </c>
    </row>
    <row r="5180" spans="1:4">
      <c r="A5180" s="619">
        <v>45020</v>
      </c>
      <c r="B5180" s="620">
        <v>210.8</v>
      </c>
    </row>
    <row r="5181" spans="1:4">
      <c r="A5181" s="619">
        <v>45021</v>
      </c>
      <c r="B5181" s="620">
        <v>211.23500000000001</v>
      </c>
    </row>
    <row r="5182" spans="1:4">
      <c r="A5182" s="619">
        <v>45026</v>
      </c>
      <c r="B5182" s="620">
        <v>213.32830000000001</v>
      </c>
    </row>
    <row r="5183" spans="1:4">
      <c r="A5183" s="619">
        <v>45027</v>
      </c>
      <c r="B5183" s="620">
        <v>213.79830000000001</v>
      </c>
    </row>
    <row r="5184" spans="1:4">
      <c r="A5184" s="619">
        <v>45028</v>
      </c>
      <c r="B5184" s="620">
        <v>214.25</v>
      </c>
    </row>
    <row r="5185" spans="1:4">
      <c r="A5185" s="619">
        <v>45029</v>
      </c>
      <c r="B5185" s="620">
        <v>214.66499999999999</v>
      </c>
    </row>
    <row r="5186" spans="1:4">
      <c r="A5186" s="619">
        <v>45030</v>
      </c>
      <c r="B5186" s="620">
        <v>215.095</v>
      </c>
    </row>
    <row r="5187" spans="1:4">
      <c r="A5187" s="619">
        <v>45033</v>
      </c>
      <c r="B5187" s="620">
        <v>216.35830000000001</v>
      </c>
    </row>
    <row r="5188" spans="1:4">
      <c r="A5188" s="619">
        <v>45034</v>
      </c>
      <c r="B5188" s="620">
        <v>216.88829999999999</v>
      </c>
    </row>
    <row r="5189" spans="1:4">
      <c r="A5189" s="619">
        <v>45035</v>
      </c>
      <c r="B5189" s="620">
        <v>217.47</v>
      </c>
    </row>
    <row r="5190" spans="1:4">
      <c r="A5190" s="619">
        <v>45036</v>
      </c>
      <c r="B5190" s="620">
        <v>218.02500000000001</v>
      </c>
    </row>
    <row r="5191" spans="1:4">
      <c r="A5191" s="619">
        <v>45037</v>
      </c>
      <c r="B5191" s="620">
        <v>218.50829999999999</v>
      </c>
    </row>
    <row r="5192" spans="1:4">
      <c r="A5192" s="619">
        <v>45040</v>
      </c>
      <c r="B5192" s="620">
        <v>220.23500000000001</v>
      </c>
    </row>
    <row r="5193" spans="1:4">
      <c r="A5193" s="619">
        <v>45041</v>
      </c>
      <c r="B5193" s="620">
        <v>220.8733</v>
      </c>
    </row>
    <row r="5194" spans="1:4">
      <c r="A5194" s="619">
        <v>45042</v>
      </c>
      <c r="B5194" s="620">
        <v>221.55170000000001</v>
      </c>
    </row>
    <row r="5195" spans="1:4">
      <c r="A5195" s="619">
        <v>45043</v>
      </c>
      <c r="B5195" s="620">
        <v>222.02</v>
      </c>
      <c r="D5195" s="613">
        <v>45017</v>
      </c>
    </row>
    <row r="5196" spans="1:4">
      <c r="A5196" s="619">
        <v>45044</v>
      </c>
      <c r="B5196" s="620">
        <v>222.57499999999999</v>
      </c>
      <c r="D5196" s="604">
        <v>216.55590000000001</v>
      </c>
    </row>
    <row r="5197" spans="1:4">
      <c r="A5197" s="619">
        <v>45048</v>
      </c>
      <c r="B5197" s="620">
        <v>224.625</v>
      </c>
    </row>
    <row r="5198" spans="1:4">
      <c r="A5198" s="619">
        <v>45049</v>
      </c>
      <c r="B5198" s="620">
        <v>225.0917</v>
      </c>
    </row>
    <row r="5199" spans="1:4">
      <c r="A5199" s="619">
        <v>45050</v>
      </c>
      <c r="B5199" s="620">
        <v>225.6583</v>
      </c>
    </row>
    <row r="5200" spans="1:4">
      <c r="A5200" s="619">
        <v>45051</v>
      </c>
      <c r="B5200" s="620">
        <v>226.1917</v>
      </c>
    </row>
    <row r="5201" spans="1:2">
      <c r="A5201" s="619">
        <v>45783</v>
      </c>
      <c r="B5201" s="620">
        <v>226.5</v>
      </c>
    </row>
    <row r="5202" spans="1:2">
      <c r="A5202" s="619">
        <v>45052</v>
      </c>
      <c r="B5202" s="620">
        <v>226.5</v>
      </c>
    </row>
    <row r="5203" spans="1:2">
      <c r="A5203" s="619">
        <v>45054</v>
      </c>
      <c r="B5203" s="620">
        <v>227.57499999999999</v>
      </c>
    </row>
    <row r="5204" spans="1:2">
      <c r="A5204" s="619">
        <v>45055</v>
      </c>
      <c r="B5204" s="620">
        <v>228.0583</v>
      </c>
    </row>
    <row r="5205" spans="1:2">
      <c r="A5205" s="619">
        <v>45056</v>
      </c>
      <c r="B5205" s="620">
        <v>228.50829999999999</v>
      </c>
    </row>
    <row r="5206" spans="1:2">
      <c r="A5206" s="619">
        <v>45057</v>
      </c>
      <c r="B5206" s="620">
        <v>228.99170000000001</v>
      </c>
    </row>
    <row r="5207" spans="1:2">
      <c r="A5207" s="619">
        <v>45058</v>
      </c>
      <c r="B5207" s="620">
        <v>229.33330000000001</v>
      </c>
    </row>
    <row r="5208" spans="1:2">
      <c r="A5208" s="619">
        <v>45061</v>
      </c>
      <c r="B5208" s="620">
        <v>230.64169999999999</v>
      </c>
    </row>
    <row r="5209" spans="1:2">
      <c r="A5209" s="619">
        <v>45062</v>
      </c>
      <c r="B5209" s="620">
        <v>231.17500000000001</v>
      </c>
    </row>
    <row r="5210" spans="1:2">
      <c r="A5210" s="619">
        <v>45063</v>
      </c>
      <c r="B5210" s="620">
        <v>231.65</v>
      </c>
    </row>
    <row r="5211" spans="1:2">
      <c r="A5211" s="619">
        <v>45064</v>
      </c>
      <c r="B5211" s="620">
        <v>232.24170000000001</v>
      </c>
    </row>
    <row r="5212" spans="1:2">
      <c r="A5212" s="619">
        <v>45065</v>
      </c>
      <c r="B5212" s="620">
        <v>232.74170000000001</v>
      </c>
    </row>
    <row r="5213" spans="1:2">
      <c r="A5213" s="619">
        <v>45068</v>
      </c>
      <c r="B5213" s="620">
        <v>234.4083</v>
      </c>
    </row>
    <row r="5214" spans="1:2">
      <c r="A5214" s="619">
        <v>45069</v>
      </c>
      <c r="B5214" s="620">
        <v>234.91669999999999</v>
      </c>
    </row>
    <row r="5215" spans="1:2">
      <c r="A5215" s="619">
        <v>45070</v>
      </c>
      <c r="B5215" s="620">
        <v>235.63329999999999</v>
      </c>
    </row>
    <row r="5216" spans="1:2">
      <c r="A5216" s="619">
        <v>45075</v>
      </c>
      <c r="B5216" s="620">
        <v>238.25829999999999</v>
      </c>
    </row>
    <row r="5217" spans="1:4">
      <c r="A5217" s="619">
        <v>45076</v>
      </c>
      <c r="B5217" s="620">
        <v>238.79169999999999</v>
      </c>
      <c r="D5217" s="613">
        <v>45047</v>
      </c>
    </row>
    <row r="5218" spans="1:4">
      <c r="A5218" s="619">
        <v>45077</v>
      </c>
      <c r="B5218" s="620">
        <v>239.32499999999999</v>
      </c>
      <c r="D5218" s="604">
        <v>231.1908</v>
      </c>
    </row>
    <row r="5219" spans="1:4">
      <c r="A5219" s="619">
        <v>45078</v>
      </c>
      <c r="B5219" s="620">
        <v>240.0667</v>
      </c>
    </row>
    <row r="5220" spans="1:4">
      <c r="A5220" s="619">
        <v>45079</v>
      </c>
      <c r="B5220" s="620">
        <v>240.74170000000001</v>
      </c>
    </row>
    <row r="5221" spans="1:4">
      <c r="A5221" s="619">
        <v>45082</v>
      </c>
      <c r="B5221" s="620">
        <v>242.55</v>
      </c>
    </row>
    <row r="5222" spans="1:4">
      <c r="A5222" s="619">
        <v>45083</v>
      </c>
      <c r="B5222" s="620">
        <v>243.17500000000001</v>
      </c>
    </row>
    <row r="5223" spans="1:4">
      <c r="A5223" s="619">
        <v>45084</v>
      </c>
      <c r="B5223" s="620">
        <v>243.8083</v>
      </c>
    </row>
    <row r="5224" spans="1:4">
      <c r="A5224" s="619">
        <v>45085</v>
      </c>
      <c r="B5224" s="620">
        <v>244.33330000000001</v>
      </c>
    </row>
    <row r="5225" spans="1:4">
      <c r="A5225" s="619">
        <v>45086</v>
      </c>
      <c r="B5225" s="620">
        <v>244.9667</v>
      </c>
    </row>
    <row r="5226" spans="1:4">
      <c r="A5226" s="619">
        <v>45089</v>
      </c>
      <c r="B5226" s="620">
        <v>246.7833</v>
      </c>
    </row>
    <row r="5227" spans="1:4">
      <c r="A5227" s="619">
        <v>45090</v>
      </c>
      <c r="B5227" s="620">
        <v>247.29169999999999</v>
      </c>
    </row>
    <row r="5228" spans="1:4">
      <c r="A5228" s="619">
        <v>45091</v>
      </c>
      <c r="B5228" s="620">
        <v>247.8</v>
      </c>
    </row>
    <row r="5229" spans="1:4">
      <c r="A5229" s="619">
        <v>45092</v>
      </c>
      <c r="B5229" s="620">
        <v>248.58330000000001</v>
      </c>
    </row>
    <row r="5230" spans="1:4">
      <c r="A5230" s="619">
        <v>45093</v>
      </c>
      <c r="B5230" s="620">
        <v>249.1583</v>
      </c>
    </row>
    <row r="5231" spans="1:4">
      <c r="A5231" s="619">
        <v>45098</v>
      </c>
      <c r="B5231" s="620">
        <v>252.00829999999999</v>
      </c>
    </row>
    <row r="5232" spans="1:4">
      <c r="A5232" s="619">
        <v>45099</v>
      </c>
      <c r="B5232" s="620">
        <v>252.50829999999999</v>
      </c>
    </row>
    <row r="5233" spans="1:4">
      <c r="A5233" s="619">
        <v>45100</v>
      </c>
      <c r="B5233" s="620">
        <v>252.99170000000001</v>
      </c>
    </row>
    <row r="5234" spans="1:4">
      <c r="A5234" s="619">
        <v>45103</v>
      </c>
      <c r="B5234" s="620">
        <v>254.54169999999999</v>
      </c>
    </row>
    <row r="5235" spans="1:4">
      <c r="A5235" s="619">
        <v>45104</v>
      </c>
      <c r="B5235" s="620">
        <v>255.16669999999999</v>
      </c>
    </row>
    <row r="5236" spans="1:4">
      <c r="A5236" s="619">
        <v>45105</v>
      </c>
      <c r="B5236" s="620">
        <v>255.8417</v>
      </c>
    </row>
    <row r="5237" spans="1:4">
      <c r="A5237" s="619">
        <v>45106</v>
      </c>
      <c r="B5237" s="620">
        <v>256.24169999999998</v>
      </c>
      <c r="D5237" s="613">
        <v>45078</v>
      </c>
    </row>
    <row r="5238" spans="1:4">
      <c r="A5238" s="619">
        <v>45107</v>
      </c>
      <c r="B5238" s="620">
        <v>256.67500000000001</v>
      </c>
      <c r="D5238" s="604">
        <v>248.76169999999999</v>
      </c>
    </row>
    <row r="5239" spans="1:4">
      <c r="A5239" s="619">
        <v>45110</v>
      </c>
      <c r="B5239" s="620">
        <v>257.97500000000002</v>
      </c>
    </row>
    <row r="5240" spans="1:4">
      <c r="A5240" s="619">
        <v>45111</v>
      </c>
      <c r="B5240" s="620">
        <v>259.14999999999998</v>
      </c>
    </row>
    <row r="5241" spans="1:4">
      <c r="A5241" s="619">
        <v>45112</v>
      </c>
      <c r="B5241" s="620">
        <v>259.8</v>
      </c>
    </row>
    <row r="5242" spans="1:4">
      <c r="A5242" s="619">
        <v>45113</v>
      </c>
      <c r="B5242" s="620">
        <v>260.32499999999999</v>
      </c>
    </row>
    <row r="5243" spans="1:4">
      <c r="A5243" s="619">
        <v>45114</v>
      </c>
      <c r="B5243" s="620">
        <v>260.98329999999999</v>
      </c>
    </row>
    <row r="5244" spans="1:4">
      <c r="A5244" s="619">
        <v>45117</v>
      </c>
      <c r="B5244" s="620">
        <v>262.64999999999998</v>
      </c>
    </row>
    <row r="5245" spans="1:4">
      <c r="A5245" s="619">
        <v>45118</v>
      </c>
      <c r="B5245" s="620">
        <v>263.31670000000003</v>
      </c>
    </row>
    <row r="5246" spans="1:4">
      <c r="A5246" s="619">
        <v>45119</v>
      </c>
      <c r="B5246" s="620">
        <v>263.93329999999997</v>
      </c>
    </row>
    <row r="5247" spans="1:4">
      <c r="A5247" s="619">
        <v>45120</v>
      </c>
      <c r="B5247" s="620">
        <v>264.51670000000001</v>
      </c>
    </row>
    <row r="5248" spans="1:4">
      <c r="A5248" s="619">
        <v>45121</v>
      </c>
      <c r="B5248" s="620">
        <v>265.14170000000001</v>
      </c>
    </row>
    <row r="5249" spans="1:4">
      <c r="A5249" s="619">
        <v>45124</v>
      </c>
      <c r="B5249" s="620">
        <v>266.79169999999999</v>
      </c>
    </row>
    <row r="5250" spans="1:4">
      <c r="A5250" s="619">
        <v>45125</v>
      </c>
      <c r="B5250" s="620">
        <v>267.58330000000001</v>
      </c>
    </row>
    <row r="5251" spans="1:4">
      <c r="A5251" s="619">
        <v>45126</v>
      </c>
      <c r="B5251" s="620">
        <v>268.22500000000002</v>
      </c>
    </row>
    <row r="5252" spans="1:4">
      <c r="A5252" s="619">
        <v>45127</v>
      </c>
      <c r="B5252" s="620">
        <v>268.77499999999998</v>
      </c>
    </row>
    <row r="5253" spans="1:4">
      <c r="A5253" s="619">
        <v>45128</v>
      </c>
      <c r="B5253" s="620">
        <v>269.41669999999999</v>
      </c>
    </row>
    <row r="5254" spans="1:4">
      <c r="A5254" s="619">
        <v>45131</v>
      </c>
      <c r="B5254" s="620">
        <v>271.19170000000003</v>
      </c>
    </row>
    <row r="5255" spans="1:4">
      <c r="A5255" s="619">
        <v>45132</v>
      </c>
      <c r="B5255" s="620">
        <v>271.66669999999999</v>
      </c>
    </row>
    <row r="5256" spans="1:4">
      <c r="A5256" s="619">
        <v>45133</v>
      </c>
      <c r="B5256" s="620">
        <v>272.39999999999998</v>
      </c>
    </row>
    <row r="5257" spans="1:4">
      <c r="A5257" s="619">
        <v>45134</v>
      </c>
      <c r="B5257" s="620">
        <v>273</v>
      </c>
    </row>
    <row r="5258" spans="1:4">
      <c r="A5258" s="619">
        <v>45135</v>
      </c>
      <c r="B5258" s="620">
        <v>273.63330000000002</v>
      </c>
      <c r="D5258" s="613">
        <v>45108</v>
      </c>
    </row>
    <row r="5259" spans="1:4">
      <c r="A5259" s="619">
        <v>45138</v>
      </c>
      <c r="B5259" s="620">
        <v>275.2833</v>
      </c>
      <c r="D5259" s="604">
        <v>266.46469999999999</v>
      </c>
    </row>
    <row r="5260" spans="1:4">
      <c r="A5260" s="619">
        <v>45139</v>
      </c>
      <c r="B5260" s="620">
        <v>276.14170000000001</v>
      </c>
    </row>
    <row r="5261" spans="1:4">
      <c r="A5261" s="619">
        <v>45140</v>
      </c>
      <c r="B5261" s="620">
        <v>277.3417</v>
      </c>
    </row>
    <row r="5262" spans="1:4">
      <c r="A5262" s="619">
        <v>45141</v>
      </c>
      <c r="B5262" s="620">
        <v>278.2833</v>
      </c>
    </row>
    <row r="5263" spans="1:4">
      <c r="A5263" s="619">
        <v>45142</v>
      </c>
      <c r="B5263" s="620">
        <v>279.31670000000003</v>
      </c>
    </row>
    <row r="5264" spans="1:4">
      <c r="A5264" s="619">
        <v>45145</v>
      </c>
      <c r="B5264" s="620">
        <v>283.14999999999998</v>
      </c>
    </row>
    <row r="5265" spans="1:4">
      <c r="A5265" s="619">
        <v>45146</v>
      </c>
      <c r="B5265" s="620">
        <v>284.19170000000003</v>
      </c>
    </row>
    <row r="5266" spans="1:4">
      <c r="A5266" s="619">
        <v>45147</v>
      </c>
      <c r="B5266" s="620">
        <v>285.17500000000001</v>
      </c>
    </row>
    <row r="5267" spans="1:4">
      <c r="A5267" s="619">
        <v>45148</v>
      </c>
      <c r="B5267" s="620">
        <v>286.19170000000003</v>
      </c>
    </row>
    <row r="5268" spans="1:4">
      <c r="A5268" s="619">
        <v>45149</v>
      </c>
      <c r="B5268" s="620">
        <v>287.29169999999999</v>
      </c>
    </row>
    <row r="5269" spans="1:4">
      <c r="A5269" s="619">
        <v>45152</v>
      </c>
      <c r="B5269" s="620">
        <v>349.97500000000002</v>
      </c>
    </row>
    <row r="5270" spans="1:4">
      <c r="A5270" s="619">
        <v>45153</v>
      </c>
      <c r="B5270" s="620">
        <v>350.00830000000002</v>
      </c>
    </row>
    <row r="5271" spans="1:4">
      <c r="A5271" s="619">
        <v>45154</v>
      </c>
      <c r="B5271" s="620">
        <v>350</v>
      </c>
    </row>
    <row r="5272" spans="1:4">
      <c r="A5272" s="619">
        <v>45155</v>
      </c>
      <c r="B5272" s="620">
        <v>349.97500000000002</v>
      </c>
    </row>
    <row r="5273" spans="1:4">
      <c r="A5273" s="619">
        <v>45156</v>
      </c>
      <c r="B5273" s="620">
        <v>350.01670000000001</v>
      </c>
    </row>
    <row r="5274" spans="1:4">
      <c r="A5274" s="619">
        <v>45160</v>
      </c>
      <c r="B5274" s="620">
        <v>350.00830000000002</v>
      </c>
    </row>
    <row r="5275" spans="1:4">
      <c r="A5275" s="619">
        <v>45161</v>
      </c>
      <c r="B5275" s="620">
        <v>349.97500000000002</v>
      </c>
    </row>
    <row r="5276" spans="1:4">
      <c r="A5276" s="619">
        <v>45162</v>
      </c>
      <c r="B5276" s="620">
        <v>349.97500000000002</v>
      </c>
    </row>
    <row r="5277" spans="1:4">
      <c r="A5277" s="619">
        <v>45163</v>
      </c>
      <c r="B5277" s="620">
        <v>349.97500000000002</v>
      </c>
    </row>
    <row r="5278" spans="1:4">
      <c r="A5278" s="619">
        <v>45166</v>
      </c>
      <c r="B5278" s="620">
        <v>349.99169999999998</v>
      </c>
    </row>
    <row r="5279" spans="1:4">
      <c r="A5279" s="619">
        <v>45167</v>
      </c>
      <c r="B5279" s="620">
        <v>349.97500000000002</v>
      </c>
    </row>
    <row r="5280" spans="1:4">
      <c r="A5280" s="619">
        <v>45168</v>
      </c>
      <c r="B5280" s="620">
        <v>349.97500000000002</v>
      </c>
      <c r="D5280" s="613">
        <v>45139</v>
      </c>
    </row>
    <row r="5281" spans="1:4">
      <c r="A5281" s="619">
        <v>45169</v>
      </c>
      <c r="B5281" s="620">
        <v>350.01670000000001</v>
      </c>
      <c r="D5281" s="604">
        <v>322.13409999999999</v>
      </c>
    </row>
    <row r="5282" spans="1:4">
      <c r="A5282" s="619">
        <v>45170</v>
      </c>
      <c r="B5282" s="620">
        <v>350</v>
      </c>
    </row>
    <row r="5283" spans="1:4">
      <c r="A5283" s="619">
        <v>45173</v>
      </c>
      <c r="B5283" s="620">
        <v>350.02499999999998</v>
      </c>
    </row>
    <row r="5284" spans="1:4">
      <c r="A5284" s="619">
        <v>45174</v>
      </c>
      <c r="B5284" s="620">
        <v>349.99169999999998</v>
      </c>
    </row>
    <row r="5285" spans="1:4">
      <c r="A5285" s="619">
        <v>45175</v>
      </c>
      <c r="B5285" s="620">
        <v>350</v>
      </c>
    </row>
    <row r="5286" spans="1:4">
      <c r="A5286" s="619">
        <v>45176</v>
      </c>
      <c r="B5286" s="620">
        <v>349.99169999999998</v>
      </c>
    </row>
    <row r="5287" spans="1:4">
      <c r="A5287" s="619">
        <v>45177</v>
      </c>
      <c r="B5287" s="620">
        <v>349.97500000000002</v>
      </c>
    </row>
    <row r="5288" spans="1:4">
      <c r="A5288" s="619">
        <v>45180</v>
      </c>
      <c r="B5288" s="620">
        <v>349.98329999999999</v>
      </c>
    </row>
    <row r="5289" spans="1:4">
      <c r="A5289" s="619">
        <v>45181</v>
      </c>
      <c r="B5289" s="620">
        <v>349.97500000000002</v>
      </c>
    </row>
    <row r="5290" spans="1:4">
      <c r="A5290" s="619">
        <v>45182</v>
      </c>
      <c r="B5290" s="620">
        <v>349.97500000000002</v>
      </c>
    </row>
    <row r="5291" spans="1:4">
      <c r="A5291" s="619">
        <v>45183</v>
      </c>
      <c r="B5291" s="620">
        <v>349.97500000000002</v>
      </c>
    </row>
    <row r="5292" spans="1:4">
      <c r="A5292" s="619">
        <v>45184</v>
      </c>
      <c r="B5292" s="620">
        <v>349.99169999999998</v>
      </c>
    </row>
    <row r="5293" spans="1:4">
      <c r="A5293" s="619">
        <v>45187</v>
      </c>
      <c r="B5293" s="620">
        <v>349.99169999999998</v>
      </c>
    </row>
    <row r="5294" spans="1:4">
      <c r="A5294" s="619">
        <v>45188</v>
      </c>
      <c r="B5294" s="620">
        <v>349.98329999999999</v>
      </c>
    </row>
    <row r="5295" spans="1:4">
      <c r="A5295" s="619">
        <v>45189</v>
      </c>
      <c r="B5295" s="620">
        <v>350</v>
      </c>
    </row>
    <row r="5296" spans="1:4">
      <c r="A5296" s="619">
        <v>45190</v>
      </c>
      <c r="B5296" s="620">
        <v>349.98329999999999</v>
      </c>
    </row>
    <row r="5297" spans="1:4">
      <c r="A5297" s="619">
        <v>45191</v>
      </c>
      <c r="B5297" s="620">
        <v>350.02499999999998</v>
      </c>
    </row>
    <row r="5298" spans="1:4">
      <c r="A5298" s="619">
        <v>45194</v>
      </c>
      <c r="B5298" s="620">
        <v>350.00830000000002</v>
      </c>
    </row>
    <row r="5299" spans="1:4">
      <c r="A5299" s="619">
        <v>45195</v>
      </c>
      <c r="B5299" s="620">
        <v>350.02499999999998</v>
      </c>
    </row>
    <row r="5300" spans="1:4">
      <c r="A5300" s="619">
        <v>45196</v>
      </c>
      <c r="B5300" s="620">
        <v>350.02499999999998</v>
      </c>
    </row>
    <row r="5301" spans="1:4">
      <c r="A5301" s="619">
        <v>45197</v>
      </c>
      <c r="B5301" s="620">
        <v>350.02499999999998</v>
      </c>
      <c r="D5301" s="613">
        <v>45170</v>
      </c>
    </row>
    <row r="5302" spans="1:4">
      <c r="A5302" s="619">
        <v>45198</v>
      </c>
      <c r="B5302" s="620">
        <v>350.00830000000002</v>
      </c>
      <c r="D5302" s="604">
        <v>349.99799999999999</v>
      </c>
    </row>
    <row r="5303" spans="1:4">
      <c r="A5303" s="619">
        <v>45201</v>
      </c>
      <c r="B5303" s="620">
        <v>350.02499999999998</v>
      </c>
    </row>
    <row r="5304" spans="1:4">
      <c r="A5304" s="619">
        <v>45202</v>
      </c>
      <c r="B5304" s="620">
        <v>350.02499999999998</v>
      </c>
    </row>
    <row r="5305" spans="1:4">
      <c r="A5305" s="619">
        <v>45203</v>
      </c>
      <c r="B5305" s="620">
        <v>350.02499999999998</v>
      </c>
    </row>
    <row r="5306" spans="1:4">
      <c r="A5306" s="619">
        <v>45204</v>
      </c>
      <c r="B5306" s="620">
        <v>350.02499999999998</v>
      </c>
    </row>
    <row r="5307" spans="1:4">
      <c r="A5307" s="619">
        <v>45205</v>
      </c>
      <c r="B5307" s="620">
        <v>350.02499999999998</v>
      </c>
    </row>
    <row r="5308" spans="1:4">
      <c r="A5308" s="619">
        <v>45208</v>
      </c>
      <c r="B5308" s="620">
        <v>350.02499999999998</v>
      </c>
    </row>
    <row r="5309" spans="1:4">
      <c r="A5309" s="619">
        <v>45209</v>
      </c>
      <c r="B5309" s="620">
        <v>350.02499999999998</v>
      </c>
    </row>
    <row r="5310" spans="1:4">
      <c r="A5310" s="619">
        <v>45210</v>
      </c>
      <c r="B5310" s="620">
        <v>350.02499999999998</v>
      </c>
    </row>
    <row r="5311" spans="1:4">
      <c r="A5311" s="619">
        <v>45211</v>
      </c>
      <c r="B5311" s="620">
        <v>350.02499999999998</v>
      </c>
    </row>
    <row r="5312" spans="1:4">
      <c r="A5312" s="619">
        <v>45216</v>
      </c>
      <c r="B5312" s="620">
        <v>350.01670000000001</v>
      </c>
    </row>
    <row r="5313" spans="1:4">
      <c r="A5313" s="619">
        <v>45217</v>
      </c>
      <c r="B5313" s="620">
        <v>350.02499999999998</v>
      </c>
    </row>
    <row r="5314" spans="1:4">
      <c r="A5314" s="619">
        <v>45218</v>
      </c>
      <c r="B5314" s="620">
        <v>350.02499999999998</v>
      </c>
    </row>
    <row r="5315" spans="1:4">
      <c r="A5315" s="619">
        <v>45219</v>
      </c>
      <c r="B5315" s="620">
        <v>350.02499999999998</v>
      </c>
    </row>
    <row r="5316" spans="1:4">
      <c r="A5316" s="619">
        <v>45222</v>
      </c>
      <c r="B5316" s="620">
        <v>350</v>
      </c>
    </row>
    <row r="5317" spans="1:4">
      <c r="A5317" s="619">
        <v>45223</v>
      </c>
      <c r="B5317" s="620">
        <v>350.02499999999998</v>
      </c>
    </row>
    <row r="5318" spans="1:4">
      <c r="A5318" s="619">
        <v>45224</v>
      </c>
      <c r="B5318" s="620">
        <v>350.01670000000001</v>
      </c>
    </row>
    <row r="5319" spans="1:4">
      <c r="A5319" s="619">
        <v>45225</v>
      </c>
      <c r="B5319" s="620">
        <v>350.00830000000002</v>
      </c>
    </row>
    <row r="5320" spans="1:4">
      <c r="A5320" s="619">
        <v>45226</v>
      </c>
      <c r="B5320" s="620">
        <v>350.00830000000002</v>
      </c>
    </row>
    <row r="5321" spans="1:4">
      <c r="A5321" s="619">
        <v>45229</v>
      </c>
      <c r="B5321" s="620">
        <v>350.02499999999998</v>
      </c>
      <c r="D5321" s="613">
        <v>45200</v>
      </c>
    </row>
    <row r="5322" spans="1:4">
      <c r="A5322" s="619">
        <v>45230</v>
      </c>
      <c r="B5322" s="620">
        <v>350.00830000000002</v>
      </c>
      <c r="D5322" s="604">
        <v>350.0204</v>
      </c>
    </row>
    <row r="5323" spans="1:4">
      <c r="A5323" s="619">
        <v>45231</v>
      </c>
      <c r="B5323" s="620">
        <v>349.99169999999998</v>
      </c>
    </row>
    <row r="5324" spans="1:4">
      <c r="A5324" s="619">
        <v>45232</v>
      </c>
      <c r="B5324" s="620">
        <v>350.02499999999998</v>
      </c>
    </row>
    <row r="5325" spans="1:4">
      <c r="A5325" s="619">
        <v>45233</v>
      </c>
      <c r="B5325" s="620">
        <v>350.02499999999998</v>
      </c>
    </row>
    <row r="5326" spans="1:4">
      <c r="A5326" s="619">
        <v>45236</v>
      </c>
      <c r="B5326" s="620">
        <v>350.02499999999998</v>
      </c>
    </row>
    <row r="5327" spans="1:4">
      <c r="A5327" s="619">
        <v>45237</v>
      </c>
      <c r="B5327" s="620">
        <v>350.02499999999998</v>
      </c>
    </row>
    <row r="5328" spans="1:4">
      <c r="A5328" s="619">
        <v>45238</v>
      </c>
      <c r="B5328" s="620">
        <v>350.02499999999998</v>
      </c>
    </row>
    <row r="5329" spans="1:4">
      <c r="A5329" s="619">
        <v>45239</v>
      </c>
      <c r="B5329" s="620">
        <v>350.02499999999998</v>
      </c>
    </row>
    <row r="5330" spans="1:4">
      <c r="A5330" s="619">
        <v>45240</v>
      </c>
      <c r="B5330" s="620">
        <v>350</v>
      </c>
    </row>
    <row r="5331" spans="1:4">
      <c r="A5331" s="619">
        <v>45243</v>
      </c>
      <c r="B5331" s="620">
        <v>350.02499999999998</v>
      </c>
    </row>
    <row r="5332" spans="1:4">
      <c r="A5332" s="619">
        <v>45244</v>
      </c>
      <c r="B5332" s="620">
        <v>350.02499999999998</v>
      </c>
    </row>
    <row r="5333" spans="1:4">
      <c r="A5333" s="619">
        <v>45245</v>
      </c>
      <c r="B5333" s="620">
        <v>353.00830000000002</v>
      </c>
    </row>
    <row r="5334" spans="1:4">
      <c r="A5334" s="619">
        <v>45246</v>
      </c>
      <c r="B5334" s="620">
        <v>353.47500000000002</v>
      </c>
    </row>
    <row r="5335" spans="1:4">
      <c r="A5335" s="619">
        <v>45247</v>
      </c>
      <c r="B5335" s="620">
        <v>354.00830000000002</v>
      </c>
    </row>
    <row r="5336" spans="1:4">
      <c r="A5336" s="619">
        <v>45251</v>
      </c>
      <c r="B5336" s="620">
        <v>356.02499999999998</v>
      </c>
    </row>
    <row r="5337" spans="1:4">
      <c r="A5337" s="619">
        <v>45252</v>
      </c>
      <c r="B5337" s="620">
        <v>356.50830000000002</v>
      </c>
    </row>
    <row r="5338" spans="1:4">
      <c r="A5338" s="619">
        <v>45253</v>
      </c>
      <c r="B5338" s="620">
        <v>357.00830000000002</v>
      </c>
    </row>
    <row r="5339" spans="1:4">
      <c r="A5339" s="619">
        <v>45254</v>
      </c>
      <c r="B5339" s="620">
        <v>357.52499999999998</v>
      </c>
    </row>
    <row r="5340" spans="1:4">
      <c r="A5340" s="619">
        <v>45257</v>
      </c>
      <c r="B5340" s="620">
        <v>359.02499999999998</v>
      </c>
    </row>
    <row r="5341" spans="1:4">
      <c r="A5341" s="619">
        <v>45258</v>
      </c>
      <c r="B5341" s="620">
        <v>359.52499999999998</v>
      </c>
    </row>
    <row r="5342" spans="1:4">
      <c r="A5342" s="619">
        <v>45259</v>
      </c>
      <c r="B5342" s="620">
        <v>360.00830000000002</v>
      </c>
      <c r="D5342" s="613">
        <v>45231</v>
      </c>
    </row>
    <row r="5343" spans="1:4">
      <c r="A5343" s="619">
        <v>45260</v>
      </c>
      <c r="B5343" s="620">
        <v>360.52499999999998</v>
      </c>
      <c r="D5343" s="604">
        <v>353.84039999999999</v>
      </c>
    </row>
    <row r="5344" spans="1:4">
      <c r="A5344" s="619">
        <v>45261</v>
      </c>
      <c r="B5344" s="620">
        <v>361.02499999999998</v>
      </c>
    </row>
    <row r="5345" spans="1:2">
      <c r="A5345" s="619">
        <v>45264</v>
      </c>
      <c r="B5345" s="620">
        <v>362.52499999999998</v>
      </c>
    </row>
    <row r="5346" spans="1:2">
      <c r="A5346" s="619">
        <v>45265</v>
      </c>
      <c r="B5346" s="620">
        <v>363.02499999999998</v>
      </c>
    </row>
    <row r="5347" spans="1:2">
      <c r="A5347" s="619">
        <v>45266</v>
      </c>
      <c r="B5347" s="620">
        <v>363.55</v>
      </c>
    </row>
    <row r="5348" spans="1:2">
      <c r="A5348" s="619">
        <v>45267</v>
      </c>
      <c r="B5348" s="620">
        <v>364.4083</v>
      </c>
    </row>
    <row r="5349" spans="1:2">
      <c r="A5349" s="619">
        <v>45271</v>
      </c>
      <c r="B5349" s="620">
        <v>366</v>
      </c>
    </row>
    <row r="5350" spans="1:2">
      <c r="A5350" s="619">
        <v>45272</v>
      </c>
      <c r="B5350" s="620">
        <v>366.5</v>
      </c>
    </row>
    <row r="5351" spans="1:2">
      <c r="A5351" s="619">
        <v>45273</v>
      </c>
      <c r="B5351" s="620">
        <v>799.97500000000002</v>
      </c>
    </row>
    <row r="5352" spans="1:2">
      <c r="A5352" s="619">
        <v>45274</v>
      </c>
      <c r="B5352" s="620">
        <v>800.52499999999998</v>
      </c>
    </row>
    <row r="5353" spans="1:2">
      <c r="A5353" s="619">
        <v>45275</v>
      </c>
      <c r="B5353" s="620">
        <v>801.07500000000005</v>
      </c>
    </row>
    <row r="5354" spans="1:2">
      <c r="A5354" s="619">
        <v>45278</v>
      </c>
      <c r="B5354" s="620">
        <v>802.625</v>
      </c>
    </row>
    <row r="5355" spans="1:2">
      <c r="A5355" s="619">
        <v>45279</v>
      </c>
      <c r="B5355" s="620">
        <v>803.17499999999995</v>
      </c>
    </row>
    <row r="5356" spans="1:2">
      <c r="A5356" s="619">
        <v>45280</v>
      </c>
      <c r="B5356" s="620">
        <v>803.72500000000002</v>
      </c>
    </row>
    <row r="5357" spans="1:2">
      <c r="A5357" s="619">
        <v>45281</v>
      </c>
      <c r="B5357" s="620">
        <v>804.22500000000002</v>
      </c>
    </row>
    <row r="5358" spans="1:2">
      <c r="A5358" s="619">
        <v>45282</v>
      </c>
      <c r="B5358" s="620">
        <v>804.77499999999998</v>
      </c>
    </row>
    <row r="5359" spans="1:2">
      <c r="A5359" s="619">
        <v>45286</v>
      </c>
      <c r="B5359" s="620">
        <v>806.88329999999996</v>
      </c>
    </row>
    <row r="5360" spans="1:2">
      <c r="A5360" s="619">
        <v>45287</v>
      </c>
      <c r="B5360" s="620">
        <v>807.42499999999995</v>
      </c>
    </row>
    <row r="5361" spans="1:4">
      <c r="A5361" s="619">
        <v>45288</v>
      </c>
      <c r="B5361" s="620">
        <v>807.97500000000002</v>
      </c>
      <c r="D5361" s="613">
        <v>45261</v>
      </c>
    </row>
    <row r="5362" spans="1:4">
      <c r="A5362" s="619">
        <v>45289</v>
      </c>
      <c r="B5362" s="620">
        <v>808.48329999999999</v>
      </c>
      <c r="D5362" s="604">
        <v>641.99469999999997</v>
      </c>
    </row>
    <row r="5363" spans="1:4">
      <c r="A5363" s="619">
        <v>45293</v>
      </c>
      <c r="B5363" s="620">
        <v>810.65</v>
      </c>
    </row>
    <row r="5364" spans="1:4">
      <c r="A5364" s="619">
        <v>45294</v>
      </c>
      <c r="B5364" s="620">
        <v>811.15</v>
      </c>
    </row>
    <row r="5365" spans="1:4">
      <c r="A5365" s="619">
        <v>45295</v>
      </c>
      <c r="B5365" s="620">
        <v>811.75</v>
      </c>
    </row>
    <row r="5366" spans="1:4">
      <c r="A5366" s="619">
        <v>45296</v>
      </c>
      <c r="B5366" s="620">
        <v>812.25</v>
      </c>
    </row>
    <row r="5367" spans="1:4">
      <c r="A5367" s="619">
        <v>45299</v>
      </c>
      <c r="B5367" s="620">
        <v>813.85</v>
      </c>
    </row>
    <row r="5368" spans="1:4">
      <c r="A5368" s="619">
        <v>45300</v>
      </c>
      <c r="B5368" s="620">
        <v>814.35</v>
      </c>
    </row>
    <row r="5369" spans="1:4">
      <c r="A5369" s="619">
        <v>45301</v>
      </c>
      <c r="B5369" s="620">
        <v>814.95</v>
      </c>
    </row>
    <row r="5370" spans="1:4">
      <c r="A5370" s="619">
        <v>45302</v>
      </c>
      <c r="B5370" s="620">
        <v>815.45</v>
      </c>
    </row>
    <row r="5371" spans="1:4">
      <c r="A5371" s="619">
        <v>45303</v>
      </c>
      <c r="B5371" s="620">
        <v>816.05</v>
      </c>
    </row>
    <row r="5372" spans="1:4">
      <c r="A5372" s="619">
        <v>45306</v>
      </c>
      <c r="B5372" s="620">
        <v>817.65</v>
      </c>
      <c r="D5372" s="636"/>
    </row>
    <row r="5373" spans="1:4">
      <c r="A5373" s="619">
        <v>45307</v>
      </c>
      <c r="B5373" s="620">
        <v>818.15</v>
      </c>
    </row>
    <row r="5374" spans="1:4">
      <c r="A5374" s="619">
        <v>45308</v>
      </c>
      <c r="B5374" s="620">
        <v>818.65</v>
      </c>
    </row>
    <row r="5375" spans="1:4">
      <c r="A5375" s="619">
        <v>45309</v>
      </c>
      <c r="B5375" s="620">
        <v>819.25</v>
      </c>
    </row>
    <row r="5376" spans="1:4">
      <c r="A5376" s="619">
        <v>45310</v>
      </c>
      <c r="B5376" s="620">
        <v>819.75</v>
      </c>
    </row>
    <row r="5377" spans="1:4">
      <c r="A5377" s="619">
        <v>45313</v>
      </c>
      <c r="B5377" s="620">
        <v>821.45</v>
      </c>
    </row>
    <row r="5378" spans="1:4">
      <c r="A5378" s="619">
        <v>45314</v>
      </c>
      <c r="B5378" s="620">
        <v>821.95</v>
      </c>
    </row>
    <row r="5379" spans="1:4">
      <c r="A5379" s="619">
        <v>45315</v>
      </c>
      <c r="B5379" s="620">
        <v>822.45</v>
      </c>
    </row>
    <row r="5380" spans="1:4">
      <c r="A5380" s="619">
        <v>45316</v>
      </c>
      <c r="B5380" s="620">
        <v>823.05</v>
      </c>
    </row>
    <row r="5381" spans="1:4">
      <c r="A5381" s="619">
        <v>45317</v>
      </c>
      <c r="B5381" s="620">
        <v>823.55</v>
      </c>
    </row>
    <row r="5382" spans="1:4">
      <c r="A5382" s="619">
        <v>45320</v>
      </c>
      <c r="B5382" s="620">
        <v>825.25</v>
      </c>
    </row>
    <row r="5383" spans="1:4">
      <c r="A5383" s="619">
        <v>45321</v>
      </c>
      <c r="B5383" s="620">
        <v>825.75</v>
      </c>
      <c r="D5383" s="613">
        <v>45292</v>
      </c>
    </row>
    <row r="5384" spans="1:4">
      <c r="A5384" s="619">
        <v>45322</v>
      </c>
      <c r="B5384" s="620">
        <v>826.25</v>
      </c>
      <c r="D5384" s="604">
        <v>818.34550000000002</v>
      </c>
    </row>
    <row r="5385" spans="1:4">
      <c r="A5385" s="619">
        <v>45323</v>
      </c>
      <c r="B5385" s="620">
        <v>826.85</v>
      </c>
    </row>
    <row r="5386" spans="1:4">
      <c r="A5386" s="619">
        <v>45324</v>
      </c>
      <c r="B5386" s="620">
        <v>827.35</v>
      </c>
    </row>
    <row r="5387" spans="1:4">
      <c r="A5387" s="619">
        <v>45327</v>
      </c>
      <c r="B5387" s="620">
        <v>829.05</v>
      </c>
    </row>
    <row r="5388" spans="1:4">
      <c r="A5388" s="619">
        <v>45328</v>
      </c>
      <c r="B5388" s="620">
        <v>829.55</v>
      </c>
    </row>
    <row r="5389" spans="1:4">
      <c r="A5389" s="619">
        <v>45329</v>
      </c>
      <c r="B5389" s="620">
        <v>830.15</v>
      </c>
    </row>
    <row r="5390" spans="1:4">
      <c r="A5390" s="619">
        <v>45330</v>
      </c>
      <c r="B5390" s="620">
        <v>830.65</v>
      </c>
    </row>
    <row r="5391" spans="1:4">
      <c r="A5391" s="619">
        <v>45331</v>
      </c>
      <c r="B5391" s="620">
        <v>831.25</v>
      </c>
    </row>
    <row r="5392" spans="1:4">
      <c r="A5392" s="619">
        <v>45336</v>
      </c>
      <c r="B5392" s="620">
        <v>833.95</v>
      </c>
    </row>
    <row r="5393" spans="1:4">
      <c r="A5393" s="619">
        <v>45337</v>
      </c>
      <c r="B5393" s="620">
        <v>834.56669999999997</v>
      </c>
    </row>
    <row r="5394" spans="1:4">
      <c r="A5394" s="619">
        <v>45338</v>
      </c>
      <c r="B5394" s="620">
        <v>835.05</v>
      </c>
    </row>
    <row r="5395" spans="1:4">
      <c r="A5395" s="619">
        <v>45341</v>
      </c>
      <c r="B5395" s="620">
        <v>836.75</v>
      </c>
    </row>
    <row r="5396" spans="1:4">
      <c r="A5396" s="619">
        <v>45342</v>
      </c>
      <c r="B5396" s="620">
        <v>837.25</v>
      </c>
    </row>
    <row r="5397" spans="1:4">
      <c r="A5397" s="619">
        <v>45343</v>
      </c>
      <c r="B5397" s="620">
        <v>837.85</v>
      </c>
    </row>
    <row r="5398" spans="1:4">
      <c r="A5398" s="619">
        <v>45344</v>
      </c>
      <c r="B5398" s="620">
        <v>838.35</v>
      </c>
    </row>
    <row r="5399" spans="1:4">
      <c r="A5399" s="619">
        <v>45345</v>
      </c>
      <c r="B5399" s="620">
        <v>838.95</v>
      </c>
    </row>
    <row r="5400" spans="1:4">
      <c r="A5400" s="619">
        <v>45348</v>
      </c>
      <c r="B5400" s="620">
        <v>840.65</v>
      </c>
    </row>
    <row r="5401" spans="1:4">
      <c r="A5401" s="619">
        <v>45349</v>
      </c>
      <c r="B5401" s="620">
        <v>841.15</v>
      </c>
    </row>
    <row r="5402" spans="1:4">
      <c r="A5402" s="619">
        <v>45350</v>
      </c>
      <c r="B5402" s="620">
        <v>841.75</v>
      </c>
      <c r="D5402" s="613">
        <v>45323</v>
      </c>
    </row>
    <row r="5403" spans="1:4">
      <c r="A5403" s="619">
        <v>45351</v>
      </c>
      <c r="B5403" s="620">
        <v>842.25</v>
      </c>
      <c r="D5403" s="604">
        <v>834.91399999999999</v>
      </c>
    </row>
    <row r="5404" spans="1:4">
      <c r="A5404" s="619">
        <v>45352</v>
      </c>
      <c r="B5404" s="620">
        <v>842.75</v>
      </c>
    </row>
    <row r="5405" spans="1:4">
      <c r="A5405" s="619">
        <v>45355</v>
      </c>
      <c r="B5405" s="620">
        <v>844.25</v>
      </c>
    </row>
    <row r="5406" spans="1:4">
      <c r="A5406" s="619">
        <v>45356</v>
      </c>
      <c r="B5406" s="620">
        <v>845.25</v>
      </c>
    </row>
    <row r="5407" spans="1:4">
      <c r="A5407" s="619">
        <v>45357</v>
      </c>
      <c r="B5407" s="620">
        <v>845.75</v>
      </c>
    </row>
    <row r="5408" spans="1:4">
      <c r="A5408" s="619">
        <v>45358</v>
      </c>
      <c r="B5408" s="620">
        <v>846.25</v>
      </c>
    </row>
    <row r="5409" spans="1:4">
      <c r="A5409" s="619">
        <v>45359</v>
      </c>
      <c r="B5409" s="620">
        <v>846.75</v>
      </c>
    </row>
    <row r="5410" spans="1:4">
      <c r="A5410" s="619">
        <v>45362</v>
      </c>
      <c r="B5410" s="620">
        <v>848.25</v>
      </c>
    </row>
    <row r="5411" spans="1:4">
      <c r="A5411" s="619">
        <v>45363</v>
      </c>
      <c r="B5411" s="620">
        <v>848.75</v>
      </c>
    </row>
    <row r="5412" spans="1:4">
      <c r="A5412" s="619">
        <v>45364</v>
      </c>
      <c r="B5412" s="620">
        <v>849.75</v>
      </c>
    </row>
    <row r="5413" spans="1:4">
      <c r="A5413" s="619">
        <v>45365</v>
      </c>
      <c r="B5413" s="620">
        <v>850.25</v>
      </c>
    </row>
    <row r="5414" spans="1:4">
      <c r="A5414" s="619">
        <v>45366</v>
      </c>
      <c r="B5414" s="620">
        <v>850.75</v>
      </c>
    </row>
    <row r="5415" spans="1:4">
      <c r="A5415" s="619">
        <v>45369</v>
      </c>
      <c r="B5415" s="620">
        <v>852.25</v>
      </c>
    </row>
    <row r="5416" spans="1:4">
      <c r="A5416" s="619">
        <v>45370</v>
      </c>
      <c r="B5416" s="620">
        <v>852.75</v>
      </c>
    </row>
    <row r="5417" spans="1:4">
      <c r="A5417" s="619">
        <v>45371</v>
      </c>
      <c r="B5417" s="620">
        <v>853.25</v>
      </c>
    </row>
    <row r="5418" spans="1:4">
      <c r="A5418" s="619">
        <v>45372</v>
      </c>
      <c r="B5418" s="620">
        <v>854.25</v>
      </c>
    </row>
    <row r="5419" spans="1:4">
      <c r="A5419" s="619">
        <v>45373</v>
      </c>
      <c r="B5419" s="620">
        <v>854.75</v>
      </c>
    </row>
    <row r="5420" spans="1:4">
      <c r="A5420" s="619">
        <v>45376</v>
      </c>
      <c r="B5420" s="620">
        <v>856.25</v>
      </c>
    </row>
    <row r="5421" spans="1:4">
      <c r="A5421" s="619">
        <v>45377</v>
      </c>
      <c r="B5421" s="620">
        <v>856.75</v>
      </c>
      <c r="D5421" s="613">
        <v>45352</v>
      </c>
    </row>
    <row r="5422" spans="1:4">
      <c r="A5422" s="619">
        <v>45378</v>
      </c>
      <c r="B5422" s="620">
        <v>857.41669999999999</v>
      </c>
      <c r="D5422" s="604">
        <v>850.33770000000004</v>
      </c>
    </row>
    <row r="5423" spans="1:4">
      <c r="A5423" s="619">
        <v>45385</v>
      </c>
      <c r="B5423" s="620">
        <v>861.25</v>
      </c>
    </row>
    <row r="5424" spans="1:4">
      <c r="A5424" s="619">
        <v>45386</v>
      </c>
      <c r="B5424" s="620">
        <v>861.75</v>
      </c>
    </row>
    <row r="5425" spans="1:2">
      <c r="A5425" s="619">
        <v>45387</v>
      </c>
      <c r="B5425" s="620">
        <v>862.75</v>
      </c>
    </row>
    <row r="5426" spans="1:2">
      <c r="A5426" s="619">
        <v>45390</v>
      </c>
      <c r="B5426" s="620">
        <v>864.25</v>
      </c>
    </row>
    <row r="5427" spans="1:2">
      <c r="A5427" s="619">
        <v>45391</v>
      </c>
      <c r="B5427" s="620">
        <v>864.75</v>
      </c>
    </row>
    <row r="5428" spans="1:2">
      <c r="A5428" s="619">
        <v>45392</v>
      </c>
      <c r="B5428" s="620">
        <v>865.25</v>
      </c>
    </row>
    <row r="5429" spans="1:2">
      <c r="A5429" s="619">
        <v>45393</v>
      </c>
      <c r="B5429" s="620">
        <v>865.75</v>
      </c>
    </row>
    <row r="5430" spans="1:2">
      <c r="A5430" s="619">
        <v>45394</v>
      </c>
      <c r="B5430" s="620">
        <v>866.75</v>
      </c>
    </row>
    <row r="5431" spans="1:2">
      <c r="A5431" s="619">
        <v>45397</v>
      </c>
      <c r="B5431" s="620">
        <v>868.25</v>
      </c>
    </row>
    <row r="5432" spans="1:2">
      <c r="A5432" s="619">
        <v>45398</v>
      </c>
      <c r="B5432" s="620">
        <v>868.75</v>
      </c>
    </row>
    <row r="5433" spans="1:2">
      <c r="A5433" s="619">
        <v>45399</v>
      </c>
      <c r="B5433" s="620">
        <v>869.25</v>
      </c>
    </row>
    <row r="5434" spans="1:2">
      <c r="A5434" s="619">
        <v>45400</v>
      </c>
      <c r="B5434" s="620">
        <v>869.75</v>
      </c>
    </row>
    <row r="5435" spans="1:2">
      <c r="A5435" s="619">
        <v>45401</v>
      </c>
      <c r="B5435" s="620">
        <v>870.75</v>
      </c>
    </row>
    <row r="5436" spans="1:2">
      <c r="A5436" s="619">
        <v>45404</v>
      </c>
      <c r="B5436" s="620">
        <v>872.25</v>
      </c>
    </row>
    <row r="5437" spans="1:2">
      <c r="A5437" s="619">
        <v>45405</v>
      </c>
      <c r="B5437" s="620">
        <v>872.75</v>
      </c>
    </row>
    <row r="5438" spans="1:2">
      <c r="A5438" s="619">
        <v>45406</v>
      </c>
      <c r="B5438" s="620">
        <v>873.25</v>
      </c>
    </row>
    <row r="5439" spans="1:2">
      <c r="A5439" s="619">
        <v>45407</v>
      </c>
      <c r="B5439" s="620">
        <v>873.75</v>
      </c>
    </row>
    <row r="5440" spans="1:2">
      <c r="A5440" s="619">
        <v>45408</v>
      </c>
      <c r="B5440" s="620">
        <v>874.75</v>
      </c>
    </row>
    <row r="5441" spans="1:4">
      <c r="A5441" s="619">
        <v>45411</v>
      </c>
      <c r="B5441" s="620">
        <v>876.41669999999999</v>
      </c>
      <c r="D5441" s="613">
        <v>45383</v>
      </c>
    </row>
    <row r="5442" spans="1:4">
      <c r="A5442" s="619">
        <v>45412</v>
      </c>
      <c r="B5442" s="620">
        <v>876.75</v>
      </c>
      <c r="D5442" s="604">
        <v>868.95830000000001</v>
      </c>
    </row>
    <row r="5443" spans="1:4">
      <c r="A5443" s="619">
        <v>45414</v>
      </c>
      <c r="B5443" s="620">
        <v>878.25</v>
      </c>
    </row>
    <row r="5444" spans="1:4">
      <c r="A5444" s="619">
        <v>45415</v>
      </c>
      <c r="B5444" s="620">
        <v>878.75</v>
      </c>
    </row>
    <row r="5445" spans="1:4">
      <c r="A5445" s="619">
        <v>45418</v>
      </c>
      <c r="B5445" s="620">
        <v>880.25</v>
      </c>
    </row>
    <row r="5446" spans="1:4">
      <c r="A5446" s="619">
        <v>45419</v>
      </c>
      <c r="B5446" s="620">
        <v>880.75</v>
      </c>
    </row>
    <row r="5447" spans="1:4">
      <c r="A5447" s="619">
        <v>45420</v>
      </c>
      <c r="B5447" s="620">
        <v>881.75</v>
      </c>
    </row>
    <row r="5448" spans="1:4">
      <c r="A5448" s="619">
        <v>45421</v>
      </c>
      <c r="B5448" s="620">
        <v>882.25</v>
      </c>
    </row>
    <row r="5449" spans="1:4">
      <c r="A5449" s="619">
        <v>45422</v>
      </c>
      <c r="B5449" s="620">
        <v>882.75</v>
      </c>
    </row>
    <row r="5450" spans="1:4">
      <c r="A5450" s="619">
        <v>45425</v>
      </c>
      <c r="B5450" s="620">
        <v>884.25</v>
      </c>
    </row>
    <row r="5451" spans="1:4">
      <c r="A5451" s="619">
        <v>45426</v>
      </c>
      <c r="B5451" s="620">
        <v>885.25</v>
      </c>
    </row>
    <row r="5452" spans="1:4">
      <c r="A5452" s="619">
        <v>45427</v>
      </c>
      <c r="B5452" s="620">
        <v>885.75</v>
      </c>
    </row>
    <row r="5453" spans="1:4">
      <c r="A5453" s="619">
        <v>45428</v>
      </c>
      <c r="B5453" s="620">
        <v>886.25</v>
      </c>
    </row>
    <row r="5454" spans="1:4">
      <c r="A5454" s="619">
        <v>45429</v>
      </c>
      <c r="B5454" s="620">
        <v>886.75</v>
      </c>
    </row>
    <row r="5455" spans="1:4">
      <c r="A5455" s="619">
        <v>45432</v>
      </c>
      <c r="B5455" s="620">
        <v>888.75</v>
      </c>
    </row>
    <row r="5456" spans="1:4">
      <c r="A5456" s="619">
        <v>45433</v>
      </c>
      <c r="B5456" s="620">
        <v>889.25</v>
      </c>
    </row>
    <row r="5457" spans="1:4">
      <c r="A5457" s="619">
        <v>45434</v>
      </c>
      <c r="B5457" s="620">
        <v>889.75</v>
      </c>
    </row>
    <row r="5458" spans="1:4">
      <c r="A5458" s="619">
        <v>45435</v>
      </c>
      <c r="B5458" s="620">
        <v>890.25</v>
      </c>
    </row>
    <row r="5459" spans="1:4">
      <c r="A5459" s="619">
        <v>45436</v>
      </c>
      <c r="B5459" s="620">
        <v>890.75</v>
      </c>
    </row>
    <row r="5460" spans="1:4">
      <c r="A5460" s="619">
        <v>45439</v>
      </c>
      <c r="B5460" s="620">
        <v>892.75</v>
      </c>
    </row>
    <row r="5461" spans="1:4">
      <c r="A5461" s="619">
        <v>45440</v>
      </c>
      <c r="B5461" s="620">
        <v>893.25</v>
      </c>
    </row>
    <row r="5462" spans="1:4">
      <c r="A5462" s="619">
        <v>45441</v>
      </c>
      <c r="B5462" s="620">
        <v>893.75</v>
      </c>
    </row>
    <row r="5463" spans="1:4">
      <c r="A5463" s="619">
        <v>45442</v>
      </c>
      <c r="B5463" s="620">
        <v>894.25</v>
      </c>
      <c r="D5463" s="613">
        <v>45413</v>
      </c>
    </row>
    <row r="5464" spans="1:4">
      <c r="A5464" s="619">
        <v>45443</v>
      </c>
      <c r="B5464" s="620">
        <v>895.25</v>
      </c>
      <c r="D5464" s="604">
        <v>886.86360000000002</v>
      </c>
    </row>
    <row r="5465" spans="1:4">
      <c r="A5465" s="619">
        <v>45446</v>
      </c>
      <c r="B5465" s="620">
        <v>896.41669999999999</v>
      </c>
    </row>
    <row r="5466" spans="1:4">
      <c r="A5466" s="619">
        <v>45447</v>
      </c>
      <c r="B5466" s="620">
        <v>896.91669999999999</v>
      </c>
    </row>
    <row r="5467" spans="1:4">
      <c r="A5467" s="619">
        <v>45448</v>
      </c>
      <c r="B5467" s="620">
        <v>898.25</v>
      </c>
    </row>
    <row r="5468" spans="1:4">
      <c r="A5468" s="619">
        <v>45449</v>
      </c>
      <c r="B5468" s="620">
        <v>898.5</v>
      </c>
    </row>
    <row r="5469" spans="1:4">
      <c r="A5469" s="619">
        <v>45450</v>
      </c>
      <c r="B5469" s="620">
        <v>899.08330000000001</v>
      </c>
    </row>
    <row r="5470" spans="1:4">
      <c r="A5470" s="619">
        <v>45453</v>
      </c>
      <c r="B5470" s="620">
        <v>901.16669999999999</v>
      </c>
    </row>
    <row r="5471" spans="1:4">
      <c r="A5471" s="619">
        <v>45454</v>
      </c>
      <c r="B5471" s="620">
        <v>902.16669999999999</v>
      </c>
    </row>
    <row r="5472" spans="1:4">
      <c r="A5472" s="619">
        <v>45455</v>
      </c>
      <c r="B5472" s="620">
        <v>902.25</v>
      </c>
    </row>
    <row r="5473" spans="1:4">
      <c r="A5473" s="619">
        <v>45456</v>
      </c>
      <c r="B5473" s="620">
        <v>902.58330000000001</v>
      </c>
    </row>
    <row r="5474" spans="1:4">
      <c r="A5474" s="619">
        <v>45457</v>
      </c>
      <c r="B5474" s="620">
        <v>902.66669999999999</v>
      </c>
    </row>
    <row r="5475" spans="1:4">
      <c r="A5475" s="619">
        <v>45461</v>
      </c>
      <c r="B5475" s="620">
        <v>905.41669999999999</v>
      </c>
    </row>
    <row r="5476" spans="1:4">
      <c r="A5476" s="619">
        <v>45462</v>
      </c>
      <c r="B5476" s="620">
        <v>906</v>
      </c>
    </row>
    <row r="5477" spans="1:4">
      <c r="A5477" s="619">
        <v>45467</v>
      </c>
      <c r="B5477" s="620">
        <v>909.08330000000001</v>
      </c>
    </row>
    <row r="5478" spans="1:4">
      <c r="A5478" s="619">
        <v>45468</v>
      </c>
      <c r="B5478" s="620">
        <v>909.66669999999999</v>
      </c>
    </row>
    <row r="5479" spans="1:4">
      <c r="A5479" s="619">
        <v>45469</v>
      </c>
      <c r="B5479" s="620">
        <v>910.75</v>
      </c>
    </row>
    <row r="5480" spans="1:4">
      <c r="A5480" s="619">
        <v>45470</v>
      </c>
      <c r="B5480" s="620">
        <v>911.58330000000001</v>
      </c>
      <c r="D5480" s="613">
        <v>45444</v>
      </c>
    </row>
    <row r="5481" spans="1:4">
      <c r="A5481" s="619">
        <v>45471</v>
      </c>
      <c r="B5481" s="620">
        <v>911.75</v>
      </c>
      <c r="D5481" s="604">
        <v>903.77940000000001</v>
      </c>
    </row>
    <row r="5482" spans="1:4">
      <c r="A5482" s="619">
        <v>45474</v>
      </c>
      <c r="B5482" s="620">
        <v>914.5</v>
      </c>
    </row>
    <row r="5483" spans="1:4">
      <c r="A5483" s="619">
        <v>45475</v>
      </c>
      <c r="B5483" s="620">
        <v>915.16669999999999</v>
      </c>
    </row>
    <row r="5484" spans="1:4">
      <c r="A5484" s="619">
        <v>45476</v>
      </c>
      <c r="B5484" s="620">
        <v>915.66669999999999</v>
      </c>
    </row>
    <row r="5485" spans="1:4">
      <c r="A5485" s="619">
        <v>45477</v>
      </c>
      <c r="B5485" s="620">
        <v>915.91669999999999</v>
      </c>
    </row>
    <row r="5486" spans="1:4">
      <c r="A5486" s="619">
        <v>45478</v>
      </c>
      <c r="B5486" s="620">
        <v>918.25</v>
      </c>
    </row>
    <row r="5487" spans="1:4">
      <c r="A5487" s="619">
        <v>45479</v>
      </c>
      <c r="B5487" s="620">
        <v>918.2</v>
      </c>
    </row>
    <row r="5488" spans="1:4">
      <c r="A5488" s="619">
        <v>45481</v>
      </c>
      <c r="B5488" s="620">
        <v>918.91669999999999</v>
      </c>
    </row>
    <row r="5489" spans="1:4">
      <c r="A5489" s="619">
        <v>45483</v>
      </c>
      <c r="B5489" s="620">
        <v>919.83330000000001</v>
      </c>
    </row>
    <row r="5490" spans="1:4">
      <c r="A5490" s="619">
        <v>45484</v>
      </c>
      <c r="B5490" s="620">
        <v>920.5</v>
      </c>
    </row>
    <row r="5491" spans="1:4">
      <c r="A5491" s="619">
        <v>45485</v>
      </c>
      <c r="B5491" s="620">
        <v>921.75</v>
      </c>
    </row>
    <row r="5492" spans="1:4">
      <c r="A5492" s="619">
        <v>45488</v>
      </c>
      <c r="B5492" s="620">
        <v>922.91669999999999</v>
      </c>
    </row>
    <row r="5493" spans="1:4">
      <c r="A5493" s="619">
        <v>45489</v>
      </c>
      <c r="B5493" s="620">
        <v>923.5</v>
      </c>
    </row>
    <row r="5494" spans="1:4">
      <c r="A5494" s="619">
        <v>45490</v>
      </c>
      <c r="B5494" s="620">
        <v>923.83330000000001</v>
      </c>
    </row>
    <row r="5495" spans="1:4">
      <c r="A5495" s="619">
        <v>45491</v>
      </c>
      <c r="B5495" s="620">
        <v>924.75</v>
      </c>
    </row>
    <row r="5496" spans="1:4">
      <c r="A5496" s="619">
        <v>45492</v>
      </c>
      <c r="B5496" s="620">
        <v>926.75</v>
      </c>
    </row>
    <row r="5497" spans="1:4">
      <c r="A5497" s="619">
        <v>45493</v>
      </c>
      <c r="B5497" s="620">
        <v>926.85</v>
      </c>
    </row>
    <row r="5498" spans="1:4">
      <c r="A5498" s="619">
        <v>45495</v>
      </c>
      <c r="B5498" s="620">
        <v>927.08330000000001</v>
      </c>
    </row>
    <row r="5499" spans="1:4">
      <c r="A5499" s="619">
        <v>45496</v>
      </c>
      <c r="B5499" s="620">
        <v>927.33330000000001</v>
      </c>
    </row>
    <row r="5500" spans="1:4">
      <c r="A5500" s="619">
        <v>45497</v>
      </c>
      <c r="B5500" s="620">
        <v>928.66669999999999</v>
      </c>
    </row>
    <row r="5501" spans="1:4">
      <c r="A5501" s="619">
        <v>45498</v>
      </c>
      <c r="B5501" s="620">
        <v>929.16669999999999</v>
      </c>
    </row>
    <row r="5502" spans="1:4">
      <c r="A5502" s="619">
        <v>45499</v>
      </c>
      <c r="B5502" s="620">
        <v>931.58330000000001</v>
      </c>
    </row>
    <row r="5503" spans="1:4">
      <c r="A5503" s="619">
        <v>45502</v>
      </c>
      <c r="B5503" s="620">
        <v>931.75</v>
      </c>
    </row>
    <row r="5504" spans="1:4">
      <c r="A5504" s="619">
        <v>45503</v>
      </c>
      <c r="B5504" s="620">
        <v>932.25</v>
      </c>
      <c r="D5504" s="613">
        <v>45474</v>
      </c>
    </row>
    <row r="5505" spans="1:4">
      <c r="A5505" s="619">
        <v>45504</v>
      </c>
      <c r="B5505" s="620">
        <v>932.75</v>
      </c>
      <c r="D5505" s="604">
        <v>923.76520000000005</v>
      </c>
    </row>
    <row r="5506" spans="1:4">
      <c r="A5506" s="619">
        <v>45505</v>
      </c>
      <c r="B5506" s="620">
        <v>933.41669999999999</v>
      </c>
    </row>
    <row r="5507" spans="1:4">
      <c r="A5507" s="619">
        <v>45506</v>
      </c>
      <c r="B5507" s="620">
        <v>935.08330000000001</v>
      </c>
    </row>
    <row r="5508" spans="1:4">
      <c r="A5508" s="619">
        <v>45509</v>
      </c>
      <c r="B5508" s="620">
        <v>935.75</v>
      </c>
    </row>
    <row r="5509" spans="1:4">
      <c r="A5509" s="619">
        <v>45510</v>
      </c>
      <c r="B5509" s="620">
        <v>936.5</v>
      </c>
    </row>
    <row r="5510" spans="1:4">
      <c r="A5510" s="619">
        <v>45511</v>
      </c>
      <c r="B5510" s="620">
        <v>937.08330000000001</v>
      </c>
    </row>
    <row r="5511" spans="1:4">
      <c r="A5511" s="619">
        <v>45512</v>
      </c>
      <c r="B5511" s="620">
        <v>937.58330000000001</v>
      </c>
    </row>
    <row r="5512" spans="1:4">
      <c r="A5512" s="619">
        <v>45513</v>
      </c>
      <c r="B5512" s="620">
        <v>939.66669999999999</v>
      </c>
    </row>
    <row r="5513" spans="1:4">
      <c r="A5513" s="619">
        <v>45516</v>
      </c>
      <c r="B5513" s="620">
        <v>939.83330000000001</v>
      </c>
    </row>
    <row r="5514" spans="1:4">
      <c r="A5514" s="619">
        <v>45517</v>
      </c>
      <c r="B5514" s="620">
        <v>940.33330000000001</v>
      </c>
    </row>
    <row r="5515" spans="1:4">
      <c r="A5515" s="619">
        <v>45518</v>
      </c>
      <c r="B5515" s="620">
        <v>941.66669999999999</v>
      </c>
    </row>
    <row r="5516" spans="1:4">
      <c r="A5516" s="619">
        <v>45519</v>
      </c>
      <c r="B5516" s="620">
        <v>942</v>
      </c>
    </row>
    <row r="5517" spans="1:4">
      <c r="A5517" s="619">
        <v>45520</v>
      </c>
      <c r="B5517" s="620">
        <v>944</v>
      </c>
    </row>
    <row r="5518" spans="1:4">
      <c r="A5518" s="619">
        <v>45523</v>
      </c>
      <c r="B5518" s="620">
        <v>944.33330000000001</v>
      </c>
    </row>
    <row r="5519" spans="1:4">
      <c r="A5519" s="619">
        <v>45524</v>
      </c>
      <c r="B5519" s="620">
        <v>944.83330000000001</v>
      </c>
    </row>
    <row r="5520" spans="1:4">
      <c r="A5520" s="619">
        <v>45525</v>
      </c>
      <c r="B5520" s="620">
        <v>945.33330000000001</v>
      </c>
    </row>
    <row r="5521" spans="1:4">
      <c r="A5521" s="619">
        <v>45526</v>
      </c>
      <c r="B5521" s="620">
        <v>946.25</v>
      </c>
    </row>
    <row r="5522" spans="1:4">
      <c r="A5522" s="619">
        <v>45527</v>
      </c>
      <c r="B5522" s="620">
        <v>948.16669999999999</v>
      </c>
    </row>
    <row r="5523" spans="1:4">
      <c r="A5523" s="619">
        <v>45528</v>
      </c>
      <c r="B5523" s="620">
        <v>948.5</v>
      </c>
    </row>
    <row r="5524" spans="1:4">
      <c r="A5524" s="619">
        <v>45530</v>
      </c>
      <c r="B5524" s="620">
        <v>949.08330000000001</v>
      </c>
    </row>
    <row r="5525" spans="1:4">
      <c r="A5525" s="619">
        <v>45531</v>
      </c>
      <c r="B5525" s="620">
        <v>949.75</v>
      </c>
    </row>
    <row r="5526" spans="1:4">
      <c r="A5526" s="619">
        <v>45532</v>
      </c>
      <c r="B5526" s="620">
        <v>950.08330000000001</v>
      </c>
    </row>
    <row r="5527" spans="1:4">
      <c r="A5527" s="619">
        <v>45533</v>
      </c>
      <c r="B5527" s="620">
        <v>950.66669999999999</v>
      </c>
      <c r="D5527" s="613">
        <v>45505</v>
      </c>
    </row>
    <row r="5528" spans="1:4">
      <c r="A5528" s="619">
        <v>45534</v>
      </c>
      <c r="B5528" s="620">
        <v>952.83330000000001</v>
      </c>
      <c r="D5528" s="604">
        <v>942.92039999999997</v>
      </c>
    </row>
    <row r="5529" spans="1:4">
      <c r="A5529" s="619">
        <v>45537</v>
      </c>
      <c r="B5529" s="620">
        <v>952.75</v>
      </c>
    </row>
    <row r="5530" spans="1:4">
      <c r="A5530" s="619">
        <v>45538</v>
      </c>
      <c r="B5530" s="620">
        <v>954.16669999999999</v>
      </c>
    </row>
    <row r="5531" spans="1:4">
      <c r="A5531" s="619">
        <v>45539</v>
      </c>
      <c r="B5531" s="620">
        <v>954.5</v>
      </c>
    </row>
    <row r="5532" spans="1:4">
      <c r="A5532" s="619">
        <v>45540</v>
      </c>
      <c r="B5532" s="620">
        <v>954.91669999999999</v>
      </c>
    </row>
    <row r="5533" spans="1:4">
      <c r="A5533" s="619">
        <v>45541</v>
      </c>
      <c r="B5533" s="620">
        <v>957.16669999999999</v>
      </c>
    </row>
    <row r="5534" spans="1:4">
      <c r="A5534" s="619">
        <v>45544</v>
      </c>
      <c r="B5534" s="620">
        <v>957.75</v>
      </c>
    </row>
    <row r="5535" spans="1:4">
      <c r="A5535" s="619">
        <v>45545</v>
      </c>
      <c r="B5535" s="620">
        <v>958.16669999999999</v>
      </c>
    </row>
    <row r="5536" spans="1:4">
      <c r="A5536" s="619">
        <v>45546</v>
      </c>
      <c r="B5536" s="620">
        <v>958.91669999999999</v>
      </c>
    </row>
    <row r="5537" spans="1:4">
      <c r="A5537" s="619">
        <v>45547</v>
      </c>
      <c r="B5537" s="620">
        <v>959.66669999999999</v>
      </c>
    </row>
    <row r="5538" spans="1:4">
      <c r="A5538" s="619">
        <v>45548</v>
      </c>
      <c r="B5538" s="620">
        <v>961.75</v>
      </c>
    </row>
    <row r="5539" spans="1:4">
      <c r="A5539" s="619">
        <v>45551</v>
      </c>
      <c r="B5539" s="620">
        <v>962.08330000000001</v>
      </c>
    </row>
    <row r="5540" spans="1:4">
      <c r="A5540" s="619">
        <v>45552</v>
      </c>
      <c r="B5540" s="620">
        <v>962.41669999999999</v>
      </c>
    </row>
    <row r="5541" spans="1:4">
      <c r="A5541" s="619">
        <v>45553</v>
      </c>
      <c r="B5541" s="620">
        <v>963.33330000000001</v>
      </c>
    </row>
    <row r="5542" spans="1:4">
      <c r="A5542" s="619">
        <v>45554</v>
      </c>
      <c r="B5542" s="620">
        <v>963.75</v>
      </c>
    </row>
    <row r="5543" spans="1:4">
      <c r="A5543" s="619">
        <v>45555</v>
      </c>
      <c r="B5543" s="620">
        <v>965.75</v>
      </c>
    </row>
    <row r="5544" spans="1:4">
      <c r="A5544" s="619">
        <v>45556</v>
      </c>
      <c r="B5544" s="620">
        <v>965.9</v>
      </c>
    </row>
    <row r="5545" spans="1:4">
      <c r="A5545" s="619">
        <v>45558</v>
      </c>
      <c r="B5545" s="620">
        <v>966.33330000000001</v>
      </c>
    </row>
    <row r="5546" spans="1:4">
      <c r="A5546" s="619">
        <v>45559</v>
      </c>
      <c r="B5546" s="620">
        <v>966.75</v>
      </c>
    </row>
    <row r="5547" spans="1:4">
      <c r="A5547" s="619">
        <v>45560</v>
      </c>
      <c r="B5547" s="620">
        <v>967.91669999999999</v>
      </c>
    </row>
    <row r="5548" spans="1:4">
      <c r="A5548" s="619">
        <v>45561</v>
      </c>
      <c r="B5548" s="620">
        <v>968.75</v>
      </c>
    </row>
    <row r="5549" spans="1:4">
      <c r="A5549" s="619">
        <v>45562</v>
      </c>
      <c r="B5549" s="620">
        <v>970.58330000000001</v>
      </c>
      <c r="D5549" s="613">
        <v>45536</v>
      </c>
    </row>
    <row r="5550" spans="1:4">
      <c r="A5550" s="619">
        <v>45563</v>
      </c>
      <c r="B5550" s="620">
        <v>970.6</v>
      </c>
      <c r="D5550" s="613"/>
    </row>
    <row r="5551" spans="1:4">
      <c r="A5551" s="619">
        <v>45564</v>
      </c>
      <c r="B5551" s="620">
        <v>970.6</v>
      </c>
      <c r="D5551" s="613"/>
    </row>
    <row r="5552" spans="1:4">
      <c r="A5552" s="619">
        <v>45565</v>
      </c>
      <c r="B5552" s="620">
        <v>970.91669999999999</v>
      </c>
      <c r="D5552" s="604">
        <v>961.82539999999995</v>
      </c>
    </row>
    <row r="5553" spans="1:4">
      <c r="A5553" s="619">
        <v>45566</v>
      </c>
      <c r="B5553" s="620">
        <v>971.25</v>
      </c>
    </row>
    <row r="5554" spans="1:4">
      <c r="A5554" s="619">
        <v>45567</v>
      </c>
      <c r="B5554" s="620">
        <v>971.75</v>
      </c>
    </row>
    <row r="5555" spans="1:4">
      <c r="A5555" s="619">
        <v>45568</v>
      </c>
      <c r="B5555" s="620">
        <v>972.75</v>
      </c>
    </row>
    <row r="5556" spans="1:4">
      <c r="A5556" s="619">
        <v>45569</v>
      </c>
      <c r="B5556" s="620">
        <v>974.83330000000001</v>
      </c>
      <c r="D5556" s="637"/>
    </row>
    <row r="5557" spans="1:4">
      <c r="A5557" s="619">
        <v>45570</v>
      </c>
      <c r="B5557" s="620">
        <v>974.9</v>
      </c>
      <c r="D5557" s="637"/>
    </row>
    <row r="5558" spans="1:4">
      <c r="A5558" s="619">
        <v>45571</v>
      </c>
      <c r="B5558" s="620">
        <v>974.9</v>
      </c>
      <c r="D5558" s="637"/>
    </row>
    <row r="5559" spans="1:4">
      <c r="A5559" s="619">
        <v>45572</v>
      </c>
      <c r="B5559" s="620">
        <v>975.5</v>
      </c>
      <c r="D5559" s="637"/>
    </row>
    <row r="5560" spans="1:4">
      <c r="A5560" s="619">
        <v>45573</v>
      </c>
      <c r="B5560" s="620">
        <v>975.91669999999999</v>
      </c>
    </row>
    <row r="5561" spans="1:4">
      <c r="A5561" s="619">
        <v>45574</v>
      </c>
      <c r="B5561" s="620">
        <v>976.25</v>
      </c>
    </row>
    <row r="5562" spans="1:4">
      <c r="A5562" s="619">
        <v>45575</v>
      </c>
      <c r="B5562" s="620">
        <v>979.41669999999999</v>
      </c>
    </row>
    <row r="5563" spans="1:4">
      <c r="A5563" s="619">
        <v>45576</v>
      </c>
      <c r="B5563" s="620">
        <v>979.8</v>
      </c>
    </row>
    <row r="5564" spans="1:4">
      <c r="A5564" s="619">
        <v>45577</v>
      </c>
      <c r="B5564" s="620">
        <v>979.8</v>
      </c>
    </row>
    <row r="5565" spans="1:4">
      <c r="A5565" s="619">
        <v>45578</v>
      </c>
      <c r="B5565" s="620">
        <v>979.8</v>
      </c>
    </row>
    <row r="5566" spans="1:4">
      <c r="A5566" s="619">
        <v>45579</v>
      </c>
      <c r="B5566" s="620">
        <v>980.16669999999999</v>
      </c>
    </row>
    <row r="5567" spans="1:4">
      <c r="A5567" s="619">
        <v>45580</v>
      </c>
      <c r="B5567" s="620">
        <v>980.58330000000001</v>
      </c>
    </row>
    <row r="5568" spans="1:4">
      <c r="A5568" s="619">
        <v>45581</v>
      </c>
      <c r="B5568" s="620">
        <v>981.58330000000001</v>
      </c>
    </row>
    <row r="5569" spans="1:4">
      <c r="A5569" s="619">
        <v>45582</v>
      </c>
      <c r="B5569" s="620">
        <v>981.75</v>
      </c>
    </row>
    <row r="5570" spans="1:4">
      <c r="A5570" s="619">
        <v>45583</v>
      </c>
      <c r="B5570" s="620">
        <v>983.83330000000001</v>
      </c>
    </row>
    <row r="5571" spans="1:4">
      <c r="A5571" s="619">
        <v>45586</v>
      </c>
      <c r="B5571" s="620">
        <v>984.41669999999999</v>
      </c>
    </row>
    <row r="5572" spans="1:4">
      <c r="A5572" s="619">
        <v>45587</v>
      </c>
      <c r="B5572" s="620">
        <v>984.83330000000001</v>
      </c>
    </row>
    <row r="5573" spans="1:4">
      <c r="A5573" s="619">
        <v>45588</v>
      </c>
      <c r="B5573" s="620">
        <v>985.91669999999999</v>
      </c>
    </row>
    <row r="5574" spans="1:4">
      <c r="A5574" s="619">
        <v>45589</v>
      </c>
      <c r="B5574" s="620">
        <v>986.33330000000001</v>
      </c>
    </row>
    <row r="5575" spans="1:4">
      <c r="A5575" s="619">
        <v>45590</v>
      </c>
      <c r="B5575" s="620">
        <v>988.33330000000001</v>
      </c>
    </row>
    <row r="5576" spans="1:4">
      <c r="A5576" s="619">
        <v>45593</v>
      </c>
      <c r="B5576" s="620">
        <v>988.83330000000001</v>
      </c>
    </row>
    <row r="5577" spans="1:4">
      <c r="A5577" s="619">
        <v>45594</v>
      </c>
      <c r="B5577" s="620">
        <v>989.25</v>
      </c>
    </row>
    <row r="5578" spans="1:4">
      <c r="A5578" s="619">
        <v>45595</v>
      </c>
      <c r="B5578" s="620">
        <v>990.25</v>
      </c>
      <c r="D5578" s="613">
        <v>45566</v>
      </c>
    </row>
    <row r="5579" spans="1:4">
      <c r="A5579" s="619">
        <v>45596</v>
      </c>
      <c r="B5579" s="620">
        <v>990.75</v>
      </c>
      <c r="D5579" s="604">
        <v>981.56820000000005</v>
      </c>
    </row>
    <row r="5580" spans="1:4">
      <c r="A5580" s="619">
        <v>45597</v>
      </c>
      <c r="B5580" s="620">
        <v>992.75</v>
      </c>
    </row>
    <row r="5581" spans="1:4">
      <c r="A5581" s="619">
        <v>45600</v>
      </c>
      <c r="B5581" s="620">
        <v>993.33330000000001</v>
      </c>
    </row>
    <row r="5582" spans="1:4">
      <c r="A5582" s="619">
        <v>45601</v>
      </c>
      <c r="B5582" s="620">
        <v>994.75</v>
      </c>
    </row>
    <row r="5583" spans="1:4">
      <c r="A5583" s="619">
        <v>45603</v>
      </c>
      <c r="B5583" s="620">
        <v>995.33333333333337</v>
      </c>
    </row>
    <row r="5584" spans="1:4">
      <c r="A5584" s="619">
        <v>45604</v>
      </c>
      <c r="B5584" s="620">
        <v>997.25</v>
      </c>
    </row>
    <row r="5585" spans="1:4">
      <c r="A5585" s="619">
        <v>45607</v>
      </c>
      <c r="B5585" s="620">
        <v>997.75</v>
      </c>
    </row>
    <row r="5586" spans="1:4">
      <c r="A5586" s="619">
        <v>45608</v>
      </c>
      <c r="B5586" s="620">
        <v>998.75</v>
      </c>
    </row>
    <row r="5587" spans="1:4">
      <c r="A5587" s="619">
        <v>45609</v>
      </c>
      <c r="B5587" s="620">
        <v>999.25</v>
      </c>
    </row>
    <row r="5588" spans="1:4">
      <c r="A5588" s="619">
        <v>45610</v>
      </c>
      <c r="B5588" s="620">
        <v>999.75</v>
      </c>
    </row>
    <row r="5589" spans="1:4">
      <c r="A5589" s="619">
        <v>45611</v>
      </c>
      <c r="B5589" s="620">
        <v>1002.75</v>
      </c>
    </row>
    <row r="5590" spans="1:4">
      <c r="A5590" s="619">
        <v>45615</v>
      </c>
      <c r="B5590" s="620">
        <v>1003.25</v>
      </c>
    </row>
    <row r="5591" spans="1:4">
      <c r="A5591" s="619">
        <v>45616</v>
      </c>
      <c r="B5591" s="620">
        <v>1003.75</v>
      </c>
    </row>
    <row r="5592" spans="1:4">
      <c r="A5592" s="619">
        <v>45617</v>
      </c>
      <c r="B5592" s="620">
        <v>1004.75</v>
      </c>
    </row>
    <row r="5593" spans="1:4">
      <c r="A5593" s="619">
        <v>45618</v>
      </c>
      <c r="B5593" s="620">
        <v>1006.75</v>
      </c>
    </row>
    <row r="5594" spans="1:4">
      <c r="A5594" s="619">
        <v>45619</v>
      </c>
      <c r="B5594" s="620">
        <v>1006.9</v>
      </c>
    </row>
    <row r="5595" spans="1:4">
      <c r="A5595" s="619">
        <v>45620</v>
      </c>
      <c r="B5595" s="620">
        <v>1006.9</v>
      </c>
    </row>
    <row r="5596" spans="1:4">
      <c r="A5596" s="619">
        <v>45621</v>
      </c>
      <c r="B5596" s="620">
        <v>1007.25</v>
      </c>
    </row>
    <row r="5597" spans="1:4">
      <c r="A5597" s="619">
        <v>45622</v>
      </c>
      <c r="B5597" s="620">
        <v>1007.75</v>
      </c>
    </row>
    <row r="5598" spans="1:4">
      <c r="A5598" s="619">
        <v>45623</v>
      </c>
      <c r="B5598" s="620">
        <v>1008.75</v>
      </c>
    </row>
    <row r="5599" spans="1:4">
      <c r="A5599" s="619">
        <v>45624</v>
      </c>
      <c r="B5599" s="620">
        <v>1009.25</v>
      </c>
    </row>
    <row r="5600" spans="1:4">
      <c r="A5600" s="619">
        <v>45625</v>
      </c>
      <c r="B5600" s="620">
        <v>1011.75</v>
      </c>
      <c r="D5600" s="613">
        <v>45597</v>
      </c>
    </row>
    <row r="5601" spans="1:4">
      <c r="A5601" s="619">
        <v>45626</v>
      </c>
      <c r="B5601" s="620">
        <v>1011.82</v>
      </c>
      <c r="D5601" s="604">
        <v>1001.8377</v>
      </c>
    </row>
    <row r="5602" spans="1:4">
      <c r="A5602" s="619">
        <v>45628</v>
      </c>
      <c r="B5602" s="620">
        <v>1011.9167</v>
      </c>
    </row>
    <row r="5603" spans="1:4">
      <c r="A5603" s="619">
        <v>45629</v>
      </c>
      <c r="B5603" s="620">
        <v>1013.1667</v>
      </c>
    </row>
    <row r="5604" spans="1:4">
      <c r="A5604" s="619">
        <v>45630</v>
      </c>
      <c r="B5604" s="620">
        <v>1013.25</v>
      </c>
    </row>
    <row r="5605" spans="1:4">
      <c r="A5605" s="619">
        <v>45631</v>
      </c>
      <c r="B5605" s="620">
        <v>1013.8333</v>
      </c>
    </row>
    <row r="5606" spans="1:4">
      <c r="A5606" s="619">
        <v>45632</v>
      </c>
      <c r="B5606" s="620">
        <v>1015.75</v>
      </c>
    </row>
    <row r="5607" spans="1:4">
      <c r="A5607" s="619">
        <v>45635</v>
      </c>
      <c r="B5607" s="620">
        <v>1016.75</v>
      </c>
    </row>
    <row r="5608" spans="1:4">
      <c r="A5608" s="619">
        <v>45636</v>
      </c>
      <c r="B5608" s="620">
        <v>1017.25</v>
      </c>
    </row>
    <row r="5609" spans="1:4">
      <c r="A5609" s="619">
        <v>45637</v>
      </c>
      <c r="B5609" s="620">
        <v>1017.75</v>
      </c>
    </row>
    <row r="5610" spans="1:4">
      <c r="A5610" s="619">
        <v>45638</v>
      </c>
      <c r="B5610" s="620">
        <v>1018.75</v>
      </c>
    </row>
    <row r="5611" spans="1:4">
      <c r="A5611" s="619">
        <v>45639</v>
      </c>
      <c r="B5611" s="620">
        <v>1020.75</v>
      </c>
    </row>
    <row r="5612" spans="1:4">
      <c r="A5612" s="619">
        <v>45642</v>
      </c>
      <c r="B5612" s="620">
        <v>1021.25</v>
      </c>
    </row>
    <row r="5613" spans="1:4">
      <c r="A5613" s="619">
        <v>45643</v>
      </c>
      <c r="B5613" s="620">
        <v>1021.8333</v>
      </c>
    </row>
    <row r="5614" spans="1:4">
      <c r="A5614" s="619">
        <v>45644</v>
      </c>
      <c r="B5614" s="620">
        <v>1022.75</v>
      </c>
    </row>
    <row r="5615" spans="1:4">
      <c r="A5615" s="619">
        <v>45645</v>
      </c>
      <c r="B5615" s="620">
        <v>1023.25</v>
      </c>
    </row>
    <row r="5616" spans="1:4">
      <c r="A5616" s="619">
        <v>45646</v>
      </c>
      <c r="B5616" s="620">
        <v>1025.4167</v>
      </c>
    </row>
    <row r="5617" spans="1:4">
      <c r="A5617" s="619">
        <v>45649</v>
      </c>
      <c r="B5617" s="620">
        <v>1027.75</v>
      </c>
    </row>
    <row r="5618" spans="1:4">
      <c r="A5618" s="619">
        <v>45652</v>
      </c>
      <c r="B5618" s="620">
        <v>1029</v>
      </c>
    </row>
    <row r="5619" spans="1:4">
      <c r="A5619" s="619">
        <v>45653</v>
      </c>
      <c r="B5619" s="620">
        <v>1030.5</v>
      </c>
      <c r="D5619" s="613">
        <v>45627</v>
      </c>
    </row>
    <row r="5620" spans="1:4">
      <c r="A5620" s="619">
        <v>45656</v>
      </c>
      <c r="B5620" s="620">
        <v>1032.5</v>
      </c>
      <c r="D5620" s="604">
        <v>1020.7061</v>
      </c>
    </row>
    <row r="5621" spans="1:4">
      <c r="A5621" s="619">
        <v>45659</v>
      </c>
      <c r="B5621" s="620">
        <v>1032.75</v>
      </c>
    </row>
    <row r="5622" spans="1:4">
      <c r="A5622" s="619">
        <v>45660</v>
      </c>
      <c r="B5622" s="620">
        <v>1034.75</v>
      </c>
    </row>
    <row r="5623" spans="1:4">
      <c r="A5623" s="619">
        <v>45663</v>
      </c>
      <c r="B5623" s="620">
        <v>1035.75</v>
      </c>
    </row>
    <row r="5624" spans="1:4">
      <c r="A5624" s="619">
        <v>45664</v>
      </c>
      <c r="B5624" s="620">
        <v>1036.25</v>
      </c>
    </row>
    <row r="5625" spans="1:4">
      <c r="A5625" s="619">
        <v>45665</v>
      </c>
      <c r="B5625" s="620">
        <v>1036.75</v>
      </c>
    </row>
    <row r="5626" spans="1:4">
      <c r="A5626" s="619">
        <v>45666</v>
      </c>
      <c r="B5626" s="620">
        <v>1037.75</v>
      </c>
    </row>
    <row r="5627" spans="1:4">
      <c r="A5627" s="619">
        <v>45667</v>
      </c>
      <c r="B5627" s="620">
        <v>1039.75</v>
      </c>
    </row>
    <row r="5628" spans="1:4">
      <c r="A5628" s="619">
        <v>45670</v>
      </c>
      <c r="B5628" s="620">
        <v>1040.25</v>
      </c>
    </row>
    <row r="5629" spans="1:4">
      <c r="A5629" s="619">
        <v>45671</v>
      </c>
      <c r="B5629" s="620">
        <v>1041.25</v>
      </c>
    </row>
    <row r="5630" spans="1:4">
      <c r="A5630" s="619">
        <v>45672</v>
      </c>
      <c r="B5630" s="620">
        <v>1041.75</v>
      </c>
    </row>
    <row r="5631" spans="1:4">
      <c r="A5631" s="619">
        <v>45673</v>
      </c>
      <c r="B5631" s="620">
        <v>1042.25</v>
      </c>
    </row>
    <row r="5632" spans="1:4">
      <c r="A5632" s="619">
        <v>45674</v>
      </c>
      <c r="B5632" s="620">
        <v>1044.5</v>
      </c>
    </row>
    <row r="5633" spans="1:4">
      <c r="A5633" s="619">
        <v>45677</v>
      </c>
      <c r="B5633" s="620">
        <v>1045.25</v>
      </c>
    </row>
    <row r="5634" spans="1:4">
      <c r="A5634" s="619">
        <v>45678</v>
      </c>
      <c r="B5634" s="620">
        <v>1045.9167</v>
      </c>
    </row>
    <row r="5635" spans="1:4">
      <c r="A5635" s="619">
        <v>45679</v>
      </c>
      <c r="B5635" s="620">
        <v>1047.25</v>
      </c>
    </row>
    <row r="5636" spans="1:4">
      <c r="A5636" s="619">
        <v>45680</v>
      </c>
      <c r="B5636" s="620">
        <v>1047.6667</v>
      </c>
    </row>
    <row r="5637" spans="1:4">
      <c r="A5637" s="619">
        <v>45681</v>
      </c>
      <c r="B5637" s="620">
        <v>1049.5833</v>
      </c>
    </row>
    <row r="5638" spans="1:4">
      <c r="A5638" s="619">
        <v>45684</v>
      </c>
      <c r="B5638" s="620">
        <v>1050.5</v>
      </c>
    </row>
    <row r="5639" spans="1:4">
      <c r="A5639" s="619">
        <v>45685</v>
      </c>
      <c r="B5639" s="620">
        <v>1050.9167</v>
      </c>
    </row>
    <row r="5640" spans="1:4">
      <c r="A5640" s="619">
        <v>45686</v>
      </c>
      <c r="B5640" s="620">
        <v>1051.5833</v>
      </c>
    </row>
    <row r="5641" spans="1:4">
      <c r="A5641" s="619">
        <v>45687</v>
      </c>
      <c r="B5641" s="620">
        <v>1052.5</v>
      </c>
      <c r="D5641" s="613">
        <v>45658</v>
      </c>
    </row>
    <row r="5642" spans="1:4">
      <c r="A5642" s="619">
        <v>45688</v>
      </c>
      <c r="B5642" s="620">
        <v>1053.5</v>
      </c>
      <c r="D5642" s="604">
        <v>1043.5644</v>
      </c>
    </row>
    <row r="5643" spans="1:4">
      <c r="A5643" s="619">
        <v>45691</v>
      </c>
      <c r="B5643" s="620">
        <v>1053.9167</v>
      </c>
    </row>
    <row r="5644" spans="1:4">
      <c r="A5644" s="619">
        <v>45692</v>
      </c>
      <c r="B5644" s="620">
        <v>1054.25</v>
      </c>
    </row>
    <row r="5645" spans="1:4">
      <c r="A5645" s="619">
        <v>45693</v>
      </c>
      <c r="B5645" s="620">
        <v>1054.7083</v>
      </c>
    </row>
    <row r="5646" spans="1:4">
      <c r="A5646" s="619">
        <v>45694</v>
      </c>
      <c r="B5646" s="620">
        <v>1054.875</v>
      </c>
    </row>
    <row r="5647" spans="1:4">
      <c r="A5647" s="619">
        <v>45695</v>
      </c>
      <c r="B5647" s="620">
        <v>1055.9167</v>
      </c>
    </row>
    <row r="5648" spans="1:4">
      <c r="A5648" s="619">
        <f>+A5647+1</f>
        <v>45696</v>
      </c>
      <c r="B5648" s="620">
        <v>1055.99</v>
      </c>
    </row>
    <row r="5649" spans="1:4">
      <c r="A5649" s="619">
        <f>+A5648+1</f>
        <v>45697</v>
      </c>
      <c r="B5649" s="620">
        <v>1056</v>
      </c>
    </row>
    <row r="5650" spans="1:4">
      <c r="A5650" s="619">
        <v>45698</v>
      </c>
      <c r="B5650" s="620">
        <v>1056.375</v>
      </c>
    </row>
    <row r="5651" spans="1:4">
      <c r="A5651" s="619">
        <v>45699</v>
      </c>
      <c r="B5651" s="620">
        <v>1056.625</v>
      </c>
    </row>
    <row r="5652" spans="1:4">
      <c r="A5652" s="619">
        <v>45700</v>
      </c>
      <c r="B5652" s="620">
        <v>1056.875</v>
      </c>
    </row>
    <row r="5653" spans="1:4">
      <c r="A5653" s="619">
        <v>45701</v>
      </c>
      <c r="B5653" s="620">
        <v>1057.4583</v>
      </c>
    </row>
    <row r="5654" spans="1:4">
      <c r="A5654" s="619">
        <v>45702</v>
      </c>
      <c r="B5654" s="620">
        <v>1058.5</v>
      </c>
    </row>
    <row r="5655" spans="1:4">
      <c r="A5655" s="619">
        <v>45705</v>
      </c>
      <c r="B5655" s="620">
        <v>1059.0833</v>
      </c>
    </row>
    <row r="5656" spans="1:4">
      <c r="A5656" s="619">
        <v>45706</v>
      </c>
      <c r="B5656" s="620">
        <v>1059.1667</v>
      </c>
    </row>
    <row r="5657" spans="1:4">
      <c r="A5657" s="619">
        <v>45707</v>
      </c>
      <c r="B5657" s="620">
        <v>1059.375</v>
      </c>
    </row>
    <row r="5658" spans="1:4">
      <c r="A5658" s="619">
        <v>45708</v>
      </c>
      <c r="B5658" s="620">
        <v>1059.875</v>
      </c>
    </row>
    <row r="5659" spans="1:4">
      <c r="A5659" s="619">
        <v>45709</v>
      </c>
      <c r="B5659" s="620">
        <v>1060.875</v>
      </c>
    </row>
    <row r="5660" spans="1:4">
      <c r="A5660" s="619">
        <v>45712</v>
      </c>
      <c r="B5660" s="620">
        <v>1061.125</v>
      </c>
    </row>
    <row r="5661" spans="1:4">
      <c r="A5661" s="619">
        <v>45713</v>
      </c>
      <c r="B5661" s="620">
        <v>1061.625</v>
      </c>
    </row>
    <row r="5662" spans="1:4">
      <c r="A5662" s="619">
        <v>45714</v>
      </c>
      <c r="B5662" s="620">
        <v>1061.875</v>
      </c>
    </row>
    <row r="5663" spans="1:4">
      <c r="A5663" s="619">
        <v>45715</v>
      </c>
      <c r="B5663" s="620">
        <v>1062.375</v>
      </c>
      <c r="D5663" s="613">
        <v>45689</v>
      </c>
    </row>
    <row r="5664" spans="1:4">
      <c r="A5664" s="619">
        <v>45716</v>
      </c>
      <c r="B5664" s="620">
        <v>1064.375</v>
      </c>
      <c r="D5664" s="604">
        <v>1058.4625000000001</v>
      </c>
    </row>
    <row r="5665" spans="1:2">
      <c r="A5665" s="619">
        <v>45721</v>
      </c>
      <c r="B5665" s="620">
        <v>1064.375</v>
      </c>
    </row>
    <row r="5666" spans="1:2">
      <c r="A5666" s="619">
        <v>45722</v>
      </c>
      <c r="B5666" s="620">
        <v>1064.625</v>
      </c>
    </row>
    <row r="5667" spans="1:2">
      <c r="A5667" s="619">
        <v>45723</v>
      </c>
      <c r="B5667" s="620">
        <v>1066.0417</v>
      </c>
    </row>
    <row r="5668" spans="1:2">
      <c r="A5668" s="619">
        <v>45726</v>
      </c>
      <c r="B5668" s="620">
        <v>1066.3333</v>
      </c>
    </row>
    <row r="5669" spans="1:2">
      <c r="A5669" s="619">
        <v>45727</v>
      </c>
      <c r="B5669" s="620">
        <v>1066.6667</v>
      </c>
    </row>
    <row r="5670" spans="1:2">
      <c r="A5670" s="619">
        <v>45728</v>
      </c>
      <c r="B5670" s="620">
        <v>1066.875</v>
      </c>
    </row>
    <row r="5671" spans="1:2">
      <c r="A5671" s="619">
        <v>45729</v>
      </c>
      <c r="B5671" s="620">
        <v>1067.125</v>
      </c>
    </row>
    <row r="5672" spans="1:2">
      <c r="A5672" s="619">
        <v>45730</v>
      </c>
      <c r="B5672" s="620">
        <v>1068.5417</v>
      </c>
    </row>
    <row r="5673" spans="1:2">
      <c r="A5673" s="619">
        <v>45733</v>
      </c>
      <c r="B5673" s="620">
        <v>1068.9167</v>
      </c>
    </row>
    <row r="5674" spans="1:2">
      <c r="A5674" s="619">
        <v>45734</v>
      </c>
      <c r="B5674" s="620">
        <v>1069.125</v>
      </c>
    </row>
    <row r="5675" spans="1:2">
      <c r="A5675" s="619">
        <v>45735</v>
      </c>
      <c r="B5675" s="620">
        <v>1069.625</v>
      </c>
    </row>
    <row r="5676" spans="1:2">
      <c r="A5676" s="619">
        <v>45736</v>
      </c>
      <c r="B5676" s="620">
        <v>1069.8333</v>
      </c>
    </row>
    <row r="5677" spans="1:2">
      <c r="A5677" s="619">
        <v>45737</v>
      </c>
      <c r="B5677" s="620">
        <v>1071.3333</v>
      </c>
    </row>
    <row r="5678" spans="1:2">
      <c r="A5678" s="619">
        <v>45741</v>
      </c>
      <c r="B5678" s="620">
        <v>1071.5833</v>
      </c>
    </row>
    <row r="5679" spans="1:2">
      <c r="A5679" s="619">
        <v>45742</v>
      </c>
      <c r="B5679" s="620">
        <v>1072.0833</v>
      </c>
    </row>
    <row r="5680" spans="1:2">
      <c r="A5680" s="619">
        <v>45743</v>
      </c>
      <c r="B5680" s="620">
        <v>1072.2917</v>
      </c>
    </row>
    <row r="5681" spans="1:4">
      <c r="A5681" s="619">
        <v>45744</v>
      </c>
      <c r="B5681" s="620">
        <v>1073.375</v>
      </c>
      <c r="D5681" s="613">
        <v>45717</v>
      </c>
    </row>
    <row r="5682" spans="1:4">
      <c r="A5682" s="619">
        <v>45747</v>
      </c>
      <c r="B5682" s="620">
        <v>1073.875</v>
      </c>
      <c r="D5682" s="604">
        <v>1069.0346999999999</v>
      </c>
    </row>
    <row r="5683" spans="1:4">
      <c r="A5683" s="619">
        <v>45748</v>
      </c>
      <c r="B5683" s="620">
        <v>1074.5417</v>
      </c>
    </row>
    <row r="5684" spans="1:4">
      <c r="A5684" s="619">
        <v>45749</v>
      </c>
      <c r="B5684" s="620">
        <v>1074.6199999999999</v>
      </c>
    </row>
    <row r="5685" spans="1:4">
      <c r="A5685" s="619">
        <v>45750</v>
      </c>
      <c r="B5685" s="620">
        <v>1074.8333</v>
      </c>
    </row>
    <row r="5686" spans="1:4">
      <c r="A5686" s="619">
        <v>45751</v>
      </c>
      <c r="B5686" s="620">
        <v>1075.875</v>
      </c>
    </row>
    <row r="5687" spans="1:4">
      <c r="A5687" s="619">
        <v>45754</v>
      </c>
      <c r="B5687" s="620">
        <v>1076.3333</v>
      </c>
    </row>
    <row r="5688" spans="1:4">
      <c r="A5688" s="619">
        <v>45755</v>
      </c>
      <c r="B5688" s="620">
        <v>1076.5833</v>
      </c>
    </row>
    <row r="5689" spans="1:4">
      <c r="A5689" s="619">
        <v>45756</v>
      </c>
      <c r="B5689" s="620">
        <v>1077.125</v>
      </c>
    </row>
    <row r="5690" spans="1:4">
      <c r="A5690" s="619">
        <v>45757</v>
      </c>
      <c r="B5690" s="620">
        <v>1077.375</v>
      </c>
    </row>
    <row r="5691" spans="1:4">
      <c r="A5691" s="619">
        <v>45758</v>
      </c>
      <c r="B5691" s="620">
        <v>1078.375</v>
      </c>
    </row>
    <row r="5692" spans="1:4">
      <c r="A5692" s="619">
        <v>45761</v>
      </c>
      <c r="B5692" s="620">
        <v>1182.4167</v>
      </c>
    </row>
    <row r="5693" spans="1:4">
      <c r="A5693" s="619">
        <v>45762</v>
      </c>
      <c r="B5693" s="620">
        <v>1200.8333</v>
      </c>
    </row>
    <row r="5694" spans="1:4">
      <c r="A5694" s="619">
        <v>45763</v>
      </c>
      <c r="B5694" s="620">
        <v>1172.8333</v>
      </c>
    </row>
    <row r="5695" spans="1:4">
      <c r="A5695" s="619">
        <v>45764</v>
      </c>
      <c r="B5695" s="620">
        <v>1100</v>
      </c>
    </row>
    <row r="5696" spans="1:4">
      <c r="A5696" s="619">
        <v>45768</v>
      </c>
      <c r="B5696" s="620">
        <v>1070.4167</v>
      </c>
    </row>
    <row r="5697" spans="1:4">
      <c r="A5697" s="619">
        <v>45769</v>
      </c>
      <c r="B5697" s="620">
        <v>1093.3333</v>
      </c>
    </row>
    <row r="5698" spans="1:4">
      <c r="A5698" s="619">
        <v>45770</v>
      </c>
      <c r="B5698" s="620">
        <v>1122.5</v>
      </c>
    </row>
    <row r="5699" spans="1:4">
      <c r="A5699" s="619">
        <v>45771</v>
      </c>
      <c r="B5699" s="620">
        <v>1176.4167</v>
      </c>
    </row>
    <row r="5700" spans="1:4">
      <c r="A5700" s="619">
        <v>45772</v>
      </c>
      <c r="B5700" s="620">
        <v>1174.1667</v>
      </c>
    </row>
    <row r="5701" spans="1:4">
      <c r="A5701" s="619">
        <v>45775</v>
      </c>
      <c r="B5701" s="620">
        <v>1163.1667</v>
      </c>
    </row>
    <row r="5702" spans="1:4">
      <c r="A5702" s="619">
        <v>45776</v>
      </c>
      <c r="B5702" s="620">
        <v>1170.6667</v>
      </c>
      <c r="D5702" s="613">
        <v>45748</v>
      </c>
    </row>
    <row r="5703" spans="1:4">
      <c r="A5703" s="619">
        <v>45777</v>
      </c>
      <c r="B5703" s="620">
        <v>1172</v>
      </c>
      <c r="D5703" s="604">
        <v>1121.568</v>
      </c>
    </row>
    <row r="5704" spans="1:4">
      <c r="A5704" s="619">
        <v>45782</v>
      </c>
      <c r="B5704" s="620">
        <v>1178.5</v>
      </c>
    </row>
    <row r="5705" spans="1:4">
      <c r="A5705" s="619">
        <v>45783</v>
      </c>
      <c r="B5705" s="620">
        <v>1203.8333</v>
      </c>
    </row>
    <row r="5706" spans="1:4">
      <c r="A5706" s="619">
        <v>45784</v>
      </c>
      <c r="B5706" s="620">
        <v>1153.5</v>
      </c>
    </row>
    <row r="5707" spans="1:4">
      <c r="A5707" s="619">
        <v>45785</v>
      </c>
      <c r="B5707" s="620">
        <v>1117.5</v>
      </c>
    </row>
    <row r="5708" spans="1:4">
      <c r="A5708" s="619">
        <v>45786</v>
      </c>
      <c r="B5708" s="620">
        <v>1113.5833</v>
      </c>
    </row>
    <row r="5709" spans="1:4">
      <c r="A5709" s="619">
        <v>45789</v>
      </c>
      <c r="B5709" s="620">
        <v>1126</v>
      </c>
    </row>
    <row r="5710" spans="1:4">
      <c r="A5710" s="619">
        <v>45790</v>
      </c>
      <c r="B5710" s="620">
        <v>1125.6667</v>
      </c>
    </row>
    <row r="5711" spans="1:4">
      <c r="A5711" s="619">
        <v>45791</v>
      </c>
      <c r="B5711" s="620">
        <v>1129.8333</v>
      </c>
    </row>
    <row r="5712" spans="1:4">
      <c r="A5712" s="619">
        <v>45792</v>
      </c>
      <c r="B5712" s="620">
        <v>1135.5</v>
      </c>
    </row>
    <row r="5713" spans="1:4">
      <c r="A5713" s="619">
        <v>45793</v>
      </c>
      <c r="B5713" s="620">
        <v>1146.1667</v>
      </c>
    </row>
    <row r="5714" spans="1:4">
      <c r="A5714" s="619">
        <v>45796</v>
      </c>
      <c r="B5714" s="620">
        <v>1134.25</v>
      </c>
    </row>
    <row r="5715" spans="1:4">
      <c r="A5715" s="619">
        <v>45797</v>
      </c>
      <c r="B5715" s="620">
        <v>1142</v>
      </c>
    </row>
    <row r="5716" spans="1:4">
      <c r="A5716" s="619">
        <v>45798</v>
      </c>
      <c r="B5716" s="620">
        <v>1145</v>
      </c>
    </row>
    <row r="5717" spans="1:4">
      <c r="A5717" s="619">
        <v>45799</v>
      </c>
      <c r="B5717" s="620">
        <v>1143.5833</v>
      </c>
    </row>
    <row r="5718" spans="1:4">
      <c r="A5718" s="619">
        <v>45800</v>
      </c>
      <c r="B5718" s="620">
        <v>1137</v>
      </c>
    </row>
    <row r="5719" spans="1:4">
      <c r="A5719" s="619">
        <v>45803</v>
      </c>
      <c r="B5719" s="620">
        <v>1139.8333</v>
      </c>
    </row>
    <row r="5720" spans="1:4">
      <c r="A5720" s="619">
        <v>45804</v>
      </c>
      <c r="B5720" s="620">
        <v>1148</v>
      </c>
    </row>
    <row r="5721" spans="1:4">
      <c r="A5721" s="619">
        <v>45805</v>
      </c>
      <c r="B5721" s="620">
        <v>1161</v>
      </c>
    </row>
    <row r="5722" spans="1:4">
      <c r="A5722" s="619">
        <v>45806</v>
      </c>
      <c r="B5722" s="620">
        <v>1174.5</v>
      </c>
      <c r="D5722" s="613">
        <v>45778</v>
      </c>
    </row>
    <row r="5723" spans="1:4">
      <c r="A5723" s="619">
        <v>45807</v>
      </c>
      <c r="B5723" s="620">
        <v>1195.3333</v>
      </c>
      <c r="D5723" s="604">
        <v>1147.5291999999999</v>
      </c>
    </row>
    <row r="5724" spans="1:4">
      <c r="A5724" s="619">
        <v>45810</v>
      </c>
      <c r="B5724" s="620">
        <v>1181.1667</v>
      </c>
    </row>
    <row r="5725" spans="1:4">
      <c r="A5725" s="619">
        <v>45811</v>
      </c>
      <c r="B5725" s="620">
        <v>1184</v>
      </c>
    </row>
    <row r="5726" spans="1:4">
      <c r="A5726" s="619">
        <v>45812</v>
      </c>
      <c r="B5726" s="620">
        <v>1184.3333</v>
      </c>
    </row>
    <row r="5727" spans="1:4">
      <c r="A5727" s="619">
        <v>45813</v>
      </c>
      <c r="B5727" s="620">
        <v>1189.6667</v>
      </c>
    </row>
    <row r="5728" spans="1:4">
      <c r="A5728" s="619">
        <v>45814</v>
      </c>
      <c r="B5728" s="620">
        <v>1190</v>
      </c>
    </row>
    <row r="5729" spans="1:4">
      <c r="A5729" s="619">
        <v>45817</v>
      </c>
      <c r="B5729" s="620">
        <v>1186.4167</v>
      </c>
    </row>
    <row r="5730" spans="1:4">
      <c r="A5730" s="619">
        <v>45818</v>
      </c>
      <c r="B5730" s="620">
        <v>1187</v>
      </c>
    </row>
    <row r="5731" spans="1:4">
      <c r="A5731" s="619">
        <v>45819</v>
      </c>
      <c r="B5731" s="620">
        <v>1184.5</v>
      </c>
    </row>
    <row r="5732" spans="1:4">
      <c r="A5732" s="619">
        <v>45820</v>
      </c>
      <c r="B5732" s="620">
        <v>1185.5</v>
      </c>
    </row>
    <row r="5733" spans="1:4">
      <c r="A5733" s="619">
        <v>45821</v>
      </c>
      <c r="B5733" s="620">
        <v>1187.6667</v>
      </c>
    </row>
    <row r="5734" spans="1:4">
      <c r="A5734" s="619">
        <v>45825</v>
      </c>
      <c r="B5734" s="620">
        <v>1180.0833</v>
      </c>
    </row>
    <row r="5735" spans="1:4">
      <c r="A5735" s="619">
        <v>45826</v>
      </c>
      <c r="B5735" s="620">
        <v>1151</v>
      </c>
    </row>
    <row r="5736" spans="1:4">
      <c r="A5736" s="619">
        <v>45827</v>
      </c>
      <c r="B5736" s="620">
        <v>1156.1667</v>
      </c>
    </row>
    <row r="5737" spans="1:4">
      <c r="A5737" s="619">
        <v>45831</v>
      </c>
      <c r="B5737" s="620">
        <v>1167.3333</v>
      </c>
    </row>
    <row r="5738" spans="1:4">
      <c r="A5738" s="619">
        <v>45832</v>
      </c>
      <c r="B5738" s="620">
        <v>1176</v>
      </c>
    </row>
    <row r="5739" spans="1:4">
      <c r="A5739" s="619">
        <v>45833</v>
      </c>
      <c r="B5739" s="620">
        <v>1176.3333</v>
      </c>
    </row>
    <row r="5740" spans="1:4">
      <c r="A5740" s="619">
        <v>45834</v>
      </c>
      <c r="B5740" s="620">
        <v>1194.6667</v>
      </c>
    </row>
    <row r="5741" spans="1:4">
      <c r="A5741" s="619">
        <v>45835</v>
      </c>
      <c r="B5741" s="620">
        <v>1189.8333</v>
      </c>
      <c r="D5741" s="613">
        <v>45809</v>
      </c>
    </row>
    <row r="5742" spans="1:4">
      <c r="A5742" s="619">
        <v>45838</v>
      </c>
      <c r="B5742" s="620">
        <v>1194.0833</v>
      </c>
      <c r="D5742" s="604">
        <v>1181.3552999999999</v>
      </c>
    </row>
    <row r="5743" spans="1:4">
      <c r="A5743" s="619">
        <v>45839</v>
      </c>
      <c r="B5743" s="620">
        <v>1203</v>
      </c>
    </row>
    <row r="5744" spans="1:4">
      <c r="A5744" s="619">
        <v>45840</v>
      </c>
      <c r="B5744" s="620">
        <v>1231.3333</v>
      </c>
    </row>
    <row r="5745" spans="1:2">
      <c r="A5745" s="619">
        <v>45841</v>
      </c>
      <c r="B5745" s="620">
        <v>1226.9167</v>
      </c>
    </row>
    <row r="5746" spans="1:2">
      <c r="A5746" s="619">
        <v>45842</v>
      </c>
      <c r="B5746" s="620">
        <v>1239.8333</v>
      </c>
    </row>
    <row r="5747" spans="1:2">
      <c r="A5747" s="619">
        <v>45845</v>
      </c>
      <c r="B5747" s="620">
        <v>1257.9167</v>
      </c>
    </row>
    <row r="5748" spans="1:2">
      <c r="A5748" s="619">
        <v>45846</v>
      </c>
      <c r="B5748" s="620">
        <v>1258</v>
      </c>
    </row>
    <row r="5749" spans="1:2">
      <c r="A5749" s="619">
        <v>45848</v>
      </c>
      <c r="B5749" s="620">
        <v>1261.1667</v>
      </c>
    </row>
    <row r="5750" spans="1:2">
      <c r="A5750" s="619">
        <v>45849</v>
      </c>
      <c r="B5750" s="620">
        <v>1261.5833</v>
      </c>
    </row>
    <row r="5751" spans="1:2">
      <c r="A5751" s="619">
        <v>45852</v>
      </c>
      <c r="B5751" s="620">
        <v>1266.1667</v>
      </c>
    </row>
    <row r="5752" spans="1:2">
      <c r="A5752" s="619">
        <v>45853</v>
      </c>
      <c r="B5752" s="620">
        <v>1277</v>
      </c>
    </row>
    <row r="5753" spans="1:2">
      <c r="A5753" s="619">
        <v>45854</v>
      </c>
      <c r="B5753" s="620">
        <v>1259.9167</v>
      </c>
    </row>
    <row r="5754" spans="1:2">
      <c r="A5754" s="619">
        <v>45855</v>
      </c>
      <c r="B5754" s="620">
        <v>1266.25</v>
      </c>
    </row>
    <row r="5755" spans="1:2">
      <c r="A5755" s="619">
        <v>45856</v>
      </c>
      <c r="B5755" s="620">
        <v>1283.8333</v>
      </c>
    </row>
    <row r="5756" spans="1:2">
      <c r="A5756" s="619">
        <v>45859</v>
      </c>
      <c r="B5756" s="620">
        <v>1286</v>
      </c>
    </row>
    <row r="5757" spans="1:2">
      <c r="A5757" s="619">
        <v>45860</v>
      </c>
      <c r="B5757" s="620">
        <v>1266.1667</v>
      </c>
    </row>
    <row r="5758" spans="1:2">
      <c r="A5758" s="619">
        <v>45861</v>
      </c>
      <c r="B5758" s="620">
        <v>1259.6667</v>
      </c>
    </row>
    <row r="5759" spans="1:2">
      <c r="A5759" s="619">
        <v>45862</v>
      </c>
      <c r="B5759" s="620">
        <v>1262</v>
      </c>
    </row>
    <row r="5760" spans="1:2">
      <c r="A5760" s="619">
        <v>45863</v>
      </c>
      <c r="B5760" s="620">
        <v>1277.75</v>
      </c>
    </row>
    <row r="5761" spans="1:4">
      <c r="A5761" s="619">
        <v>45866</v>
      </c>
      <c r="B5761" s="620">
        <v>1287.3333</v>
      </c>
    </row>
    <row r="5762" spans="1:4">
      <c r="A5762" s="619">
        <v>45867</v>
      </c>
      <c r="B5762" s="620">
        <v>1296.6667</v>
      </c>
    </row>
    <row r="5763" spans="1:4">
      <c r="A5763" s="619">
        <v>45868</v>
      </c>
      <c r="B5763" s="620">
        <v>1294.1667</v>
      </c>
      <c r="D5763" s="613">
        <v>45839</v>
      </c>
    </row>
    <row r="5764" spans="1:4">
      <c r="A5764" s="619">
        <v>45869</v>
      </c>
      <c r="B5764" s="620">
        <v>1351.8333</v>
      </c>
      <c r="D5764" s="604">
        <v>1267.0227</v>
      </c>
    </row>
    <row r="5765" spans="1:4">
      <c r="A5765" s="619">
        <v>45870</v>
      </c>
      <c r="B5765" s="620">
        <v>1361.3333</v>
      </c>
    </row>
    <row r="5766" spans="1:4">
      <c r="A5766" s="619">
        <v>45873</v>
      </c>
      <c r="B5766" s="620">
        <v>1361.8333</v>
      </c>
    </row>
    <row r="5767" spans="1:4">
      <c r="A5767" s="619">
        <v>45874</v>
      </c>
      <c r="B5767" s="620">
        <v>1351.1667</v>
      </c>
    </row>
    <row r="5768" spans="1:4">
      <c r="A5768" s="619">
        <v>45875</v>
      </c>
      <c r="B5768" s="620">
        <v>1333.6667</v>
      </c>
    </row>
    <row r="5769" spans="1:4">
      <c r="A5769" s="619">
        <v>45876</v>
      </c>
      <c r="B5769" s="620">
        <v>1331.0833</v>
      </c>
    </row>
    <row r="5770" spans="1:4">
      <c r="A5770" s="619">
        <v>45877</v>
      </c>
      <c r="B5770" s="620">
        <v>1329.4167</v>
      </c>
    </row>
    <row r="5771" spans="1:4">
      <c r="A5771" s="619">
        <v>45880</v>
      </c>
      <c r="B5771" s="620">
        <v>1330.5</v>
      </c>
    </row>
    <row r="5772" spans="1:4">
      <c r="A5772" s="619">
        <v>45881</v>
      </c>
      <c r="B5772" s="620">
        <v>1321.5</v>
      </c>
    </row>
    <row r="5773" spans="1:4">
      <c r="A5773" s="619">
        <v>45882</v>
      </c>
      <c r="B5773" s="620">
        <v>1318</v>
      </c>
    </row>
    <row r="5774" spans="1:4">
      <c r="A5774" s="619">
        <v>45883</v>
      </c>
      <c r="B5774" s="620">
        <v>1308.3333</v>
      </c>
    </row>
    <row r="5775" spans="1:4">
      <c r="A5775" s="619">
        <v>45887</v>
      </c>
      <c r="B5775" s="620">
        <v>1298.8333</v>
      </c>
    </row>
    <row r="5776" spans="1:4">
      <c r="A5776" s="619">
        <v>45888</v>
      </c>
      <c r="B5776" s="620">
        <v>1292.3333</v>
      </c>
    </row>
    <row r="5777" spans="1:4">
      <c r="A5777" s="619">
        <v>45889</v>
      </c>
      <c r="B5777" s="620">
        <v>1298.5</v>
      </c>
    </row>
    <row r="5778" spans="1:4">
      <c r="A5778" s="619">
        <v>45890</v>
      </c>
      <c r="B5778" s="620">
        <v>1309.25</v>
      </c>
    </row>
    <row r="5779" spans="1:4">
      <c r="A5779" s="619">
        <v>45891</v>
      </c>
      <c r="B5779" s="620">
        <v>1321.5833</v>
      </c>
    </row>
    <row r="5780" spans="1:4">
      <c r="A5780" s="619">
        <v>45894</v>
      </c>
      <c r="B5780" s="620">
        <v>1344.1667</v>
      </c>
    </row>
    <row r="5781" spans="1:4">
      <c r="A5781" s="619">
        <v>45895</v>
      </c>
      <c r="B5781" s="620">
        <v>1352.3333</v>
      </c>
    </row>
    <row r="5782" spans="1:4">
      <c r="A5782" s="619">
        <v>45896</v>
      </c>
      <c r="B5782" s="620">
        <v>1359.4167</v>
      </c>
    </row>
    <row r="5783" spans="1:4">
      <c r="A5783" s="619">
        <v>45897</v>
      </c>
      <c r="B5783" s="620">
        <v>1343.6667</v>
      </c>
      <c r="D5783" s="613">
        <v>45870</v>
      </c>
    </row>
    <row r="5784" spans="1:4">
      <c r="A5784" s="619">
        <v>45898</v>
      </c>
      <c r="B5784" s="620">
        <v>1323.8333</v>
      </c>
      <c r="D5784" s="604">
        <v>1329.5374999999999</v>
      </c>
    </row>
    <row r="5785" spans="1:4">
      <c r="A5785" s="619">
        <v>45901</v>
      </c>
      <c r="B5785" s="620">
        <v>1371.1667</v>
      </c>
    </row>
    <row r="5786" spans="1:4">
      <c r="A5786" s="619">
        <v>45902</v>
      </c>
      <c r="B5786" s="620">
        <v>1368.25</v>
      </c>
    </row>
    <row r="5787" spans="1:4">
      <c r="A5787" s="619">
        <v>45903</v>
      </c>
      <c r="B5787" s="620">
        <v>1360.1667</v>
      </c>
    </row>
    <row r="5788" spans="1:4">
      <c r="A5788" s="619">
        <v>45904</v>
      </c>
      <c r="B5788" s="620">
        <v>1362.3333</v>
      </c>
    </row>
    <row r="5789" spans="1:4">
      <c r="A5789" s="619">
        <v>45905</v>
      </c>
      <c r="B5789" s="620">
        <v>1365.4167</v>
      </c>
    </row>
    <row r="5790" spans="1:4">
      <c r="A5790" s="619">
        <v>45908</v>
      </c>
      <c r="B5790" s="620">
        <v>1422.1667</v>
      </c>
    </row>
    <row r="5791" spans="1:4">
      <c r="A5791" s="619">
        <v>45909</v>
      </c>
      <c r="B5791" s="620">
        <v>1418.6667</v>
      </c>
    </row>
    <row r="5792" spans="1:4">
      <c r="A5792" s="619">
        <v>45910</v>
      </c>
      <c r="B5792" s="620">
        <v>1419.9167</v>
      </c>
    </row>
    <row r="5793" spans="1:4">
      <c r="A5793" s="619">
        <v>45911</v>
      </c>
      <c r="B5793" s="620">
        <v>1427.5833</v>
      </c>
    </row>
    <row r="5794" spans="1:4">
      <c r="A5794" s="619">
        <v>45912</v>
      </c>
      <c r="B5794" s="620">
        <v>1447.1667</v>
      </c>
    </row>
    <row r="5795" spans="1:4">
      <c r="A5795" s="619">
        <v>45915</v>
      </c>
      <c r="B5795" s="620">
        <v>1462</v>
      </c>
    </row>
    <row r="5796" spans="1:4">
      <c r="A5796" s="619">
        <v>45916</v>
      </c>
      <c r="B5796" s="620">
        <v>1464.6667</v>
      </c>
    </row>
    <row r="5797" spans="1:4">
      <c r="A5797" s="619">
        <v>45917</v>
      </c>
      <c r="B5797" s="620">
        <v>1471.4167</v>
      </c>
    </row>
    <row r="5798" spans="1:4">
      <c r="A5798" s="619">
        <v>45918</v>
      </c>
      <c r="B5798" s="620">
        <v>1474.25</v>
      </c>
    </row>
    <row r="5799" spans="1:4">
      <c r="A5799" s="619">
        <v>45919</v>
      </c>
      <c r="B5799" s="620">
        <v>1474.75</v>
      </c>
    </row>
    <row r="5800" spans="1:4">
      <c r="A5800" s="619">
        <v>45922</v>
      </c>
      <c r="B5800" s="620">
        <v>1425.6667</v>
      </c>
    </row>
    <row r="5801" spans="1:4">
      <c r="A5801" s="619">
        <v>45923</v>
      </c>
      <c r="B5801" s="620">
        <v>1354.1667</v>
      </c>
    </row>
    <row r="5802" spans="1:4">
      <c r="A5802" s="619">
        <v>45924</v>
      </c>
      <c r="B5802" s="620">
        <v>1343.3333</v>
      </c>
    </row>
    <row r="5803" spans="1:4">
      <c r="A5803" s="619">
        <v>45925</v>
      </c>
      <c r="B5803" s="620">
        <v>1325.0833</v>
      </c>
    </row>
    <row r="5804" spans="1:4">
      <c r="A5804" s="619">
        <v>45926</v>
      </c>
      <c r="B5804" s="620">
        <v>1332</v>
      </c>
    </row>
    <row r="5805" spans="1:4">
      <c r="A5805" s="619">
        <v>45929</v>
      </c>
      <c r="B5805" s="620">
        <v>1341</v>
      </c>
      <c r="D5805" s="613">
        <v>45901</v>
      </c>
    </row>
    <row r="5806" spans="1:4">
      <c r="A5806" s="619">
        <v>45930</v>
      </c>
      <c r="B5806" s="620">
        <v>1366.5833</v>
      </c>
      <c r="D5806" s="604">
        <v>1399.8977</v>
      </c>
    </row>
    <row r="5807" spans="1:4">
      <c r="A5807" s="619">
        <v>45931</v>
      </c>
      <c r="B5807" s="620">
        <v>1423.8333</v>
      </c>
    </row>
    <row r="5808" spans="1:4">
      <c r="A5808" s="619">
        <v>45932</v>
      </c>
      <c r="B5808" s="620">
        <v>1424.75</v>
      </c>
    </row>
    <row r="5809" spans="1:2">
      <c r="A5809" s="619">
        <v>45933</v>
      </c>
      <c r="B5809" s="620">
        <v>1424.75</v>
      </c>
    </row>
    <row r="5810" spans="1:2">
      <c r="A5810" s="619">
        <v>45936</v>
      </c>
      <c r="B5810" s="620">
        <v>1429.75</v>
      </c>
    </row>
    <row r="5811" spans="1:2">
      <c r="A5811" s="619">
        <v>45937</v>
      </c>
      <c r="B5811" s="620">
        <v>1429.75</v>
      </c>
    </row>
    <row r="5812" spans="1:2">
      <c r="A5812" s="619">
        <v>45938</v>
      </c>
      <c r="B5812" s="620">
        <v>1429.75</v>
      </c>
    </row>
    <row r="5813" spans="1:2">
      <c r="A5813" s="619">
        <v>45939</v>
      </c>
      <c r="B5813" s="620">
        <v>1451.75</v>
      </c>
    </row>
    <row r="5814" spans="1:2">
      <c r="A5814" s="619">
        <v>45943</v>
      </c>
      <c r="B5814" s="620">
        <v>1347.6667</v>
      </c>
    </row>
    <row r="5815" spans="1:2">
      <c r="A5815" s="619">
        <v>45944</v>
      </c>
      <c r="B5815" s="620">
        <v>1359.8333</v>
      </c>
    </row>
    <row r="5816" spans="1:2">
      <c r="A5816" s="619">
        <v>45945</v>
      </c>
      <c r="B5816" s="620">
        <v>1373.5</v>
      </c>
    </row>
    <row r="5817" spans="1:2">
      <c r="A5817" s="619">
        <v>45946</v>
      </c>
      <c r="B5817" s="620">
        <v>1387.1667</v>
      </c>
    </row>
    <row r="5818" spans="1:2">
      <c r="A5818" s="619">
        <v>45947</v>
      </c>
      <c r="B5818" s="620">
        <v>1439.5</v>
      </c>
    </row>
    <row r="5819" spans="1:2">
      <c r="A5819" s="619">
        <v>45950</v>
      </c>
      <c r="B5819" s="620">
        <v>1462.8333</v>
      </c>
    </row>
    <row r="5820" spans="1:2">
      <c r="A5820" s="619">
        <v>45951</v>
      </c>
      <c r="B5820" s="620">
        <v>1484.75</v>
      </c>
    </row>
    <row r="5821" spans="1:2">
      <c r="A5821" s="619">
        <v>45952</v>
      </c>
      <c r="B5821" s="620">
        <v>1487.0833</v>
      </c>
    </row>
    <row r="5822" spans="1:2">
      <c r="A5822" s="619">
        <v>45953</v>
      </c>
      <c r="B5822" s="620">
        <v>1484</v>
      </c>
    </row>
    <row r="5823" spans="1:2">
      <c r="A5823" s="619">
        <v>45954</v>
      </c>
      <c r="B5823" s="620">
        <v>1485.9167</v>
      </c>
    </row>
    <row r="5824" spans="1:2">
      <c r="A5824" s="619">
        <v>45957</v>
      </c>
      <c r="B5824" s="620">
        <v>1378.9167</v>
      </c>
    </row>
    <row r="5825" spans="1:4">
      <c r="A5825" s="619">
        <v>45958</v>
      </c>
      <c r="B5825" s="620">
        <v>1470.8333</v>
      </c>
    </row>
    <row r="5826" spans="1:4">
      <c r="A5826" s="619">
        <v>45959</v>
      </c>
      <c r="B5826" s="620">
        <v>1451.5</v>
      </c>
    </row>
    <row r="5827" spans="1:4">
      <c r="A5827" s="619">
        <v>45960</v>
      </c>
      <c r="B5827" s="620">
        <v>1433.6667</v>
      </c>
    </row>
    <row r="5828" spans="1:4">
      <c r="A5828" s="619">
        <v>45961</v>
      </c>
      <c r="B5828" s="620">
        <v>1443</v>
      </c>
      <c r="D5828" s="604">
        <v>1432.0227</v>
      </c>
    </row>
    <row r="5829" spans="1:4">
      <c r="A5829" s="619">
        <v>45964</v>
      </c>
      <c r="B5829" s="620">
        <v>1457.4167</v>
      </c>
    </row>
    <row r="5830" spans="1:4">
      <c r="A5830" s="619">
        <v>45965</v>
      </c>
      <c r="B5830" s="620">
        <v>1473.1667</v>
      </c>
    </row>
    <row r="5831" spans="1:4">
      <c r="A5831" s="619">
        <v>45966</v>
      </c>
      <c r="B5831" s="620">
        <v>1447.5</v>
      </c>
    </row>
    <row r="5832" spans="1:4">
      <c r="A5832" s="619">
        <v>45968</v>
      </c>
      <c r="B5832" s="620">
        <v>1441.5</v>
      </c>
    </row>
    <row r="5833" spans="1:4">
      <c r="A5833" s="619">
        <v>45971</v>
      </c>
      <c r="B5833" s="620">
        <v>1419.3333</v>
      </c>
    </row>
    <row r="5834" spans="1:4">
      <c r="A5834" s="619">
        <v>45972</v>
      </c>
      <c r="B5834" s="620">
        <v>1416.5</v>
      </c>
    </row>
    <row r="5835" spans="1:4">
      <c r="A5835" s="619">
        <v>45973</v>
      </c>
      <c r="B5835" s="620">
        <v>1402</v>
      </c>
    </row>
    <row r="5836" spans="1:4">
      <c r="A5836" s="619">
        <v>45974</v>
      </c>
      <c r="B5836" s="620">
        <v>1408.8333</v>
      </c>
    </row>
    <row r="5837" spans="1:4">
      <c r="A5837" s="619">
        <v>45975</v>
      </c>
      <c r="B5837" s="620">
        <v>1405</v>
      </c>
    </row>
    <row r="5838" spans="1:4">
      <c r="A5838" s="619">
        <v>45978</v>
      </c>
      <c r="B5838" s="620">
        <v>1401</v>
      </c>
    </row>
    <row r="5839" spans="1:4">
      <c r="A5839" s="619">
        <v>45979</v>
      </c>
      <c r="B5839" s="620">
        <v>1388</v>
      </c>
    </row>
    <row r="5840" spans="1:4">
      <c r="A5840" s="619">
        <v>45980</v>
      </c>
      <c r="B5840" s="620">
        <v>1402.5</v>
      </c>
    </row>
    <row r="5841" spans="1:4">
      <c r="A5841" s="619">
        <v>45981</v>
      </c>
      <c r="B5841" s="620">
        <v>1416.6667</v>
      </c>
    </row>
    <row r="5842" spans="1:4">
      <c r="A5842" s="619">
        <v>45986</v>
      </c>
      <c r="B5842" s="620">
        <v>1442.8333</v>
      </c>
    </row>
    <row r="5843" spans="1:4">
      <c r="A5843" s="619">
        <v>45987</v>
      </c>
      <c r="B5843" s="620">
        <v>1448.5</v>
      </c>
    </row>
    <row r="5844" spans="1:4">
      <c r="A5844" s="619">
        <v>45988</v>
      </c>
      <c r="B5844" s="620">
        <v>1448</v>
      </c>
    </row>
    <row r="5845" spans="1:4">
      <c r="A5845" s="619">
        <v>45989</v>
      </c>
      <c r="B5845" s="620">
        <v>1450.75</v>
      </c>
      <c r="D5845" s="604">
        <v>1427.6176</v>
      </c>
    </row>
    <row r="5846" spans="1:4">
      <c r="A5846" s="619">
        <v>45992</v>
      </c>
      <c r="B5846" s="620">
        <v>1449.0833</v>
      </c>
    </row>
    <row r="5847" spans="1:4">
      <c r="A5847" s="619">
        <v>45993</v>
      </c>
      <c r="B5847" s="620">
        <v>1453.5833</v>
      </c>
    </row>
    <row r="5848" spans="1:4">
      <c r="A5848" s="619">
        <v>45994</v>
      </c>
      <c r="B5848" s="620">
        <v>1453.5</v>
      </c>
    </row>
    <row r="5849" spans="1:4">
      <c r="A5849" s="619">
        <v>45995</v>
      </c>
      <c r="B5849" s="620">
        <v>1449.3333</v>
      </c>
    </row>
    <row r="5850" spans="1:4">
      <c r="A5850" s="619">
        <v>45996</v>
      </c>
      <c r="B5850" s="620">
        <v>1438.5833</v>
      </c>
    </row>
    <row r="5851" spans="1:4">
      <c r="A5851" s="619">
        <v>46000</v>
      </c>
      <c r="B5851" s="620">
        <v>1437.4167</v>
      </c>
    </row>
    <row r="5852" spans="1:4">
      <c r="A5852" s="619">
        <v>46001</v>
      </c>
      <c r="B5852" s="620">
        <v>1439.4167</v>
      </c>
    </row>
    <row r="5853" spans="1:4">
      <c r="A5853" s="619">
        <v>46002</v>
      </c>
      <c r="B5853" s="620">
        <v>1438.25</v>
      </c>
    </row>
    <row r="5854" spans="1:4">
      <c r="A5854" s="619">
        <v>46003</v>
      </c>
      <c r="B5854" s="620">
        <v>1438.4167</v>
      </c>
    </row>
    <row r="5855" spans="1:4">
      <c r="A5855" s="619">
        <v>46006</v>
      </c>
      <c r="B5855" s="620">
        <v>1439.8333</v>
      </c>
    </row>
    <row r="5856" spans="1:4">
      <c r="A5856" s="619">
        <v>46007</v>
      </c>
      <c r="B5856" s="620">
        <v>1451.3333</v>
      </c>
    </row>
    <row r="5857" spans="1:5">
      <c r="A5857" s="619">
        <v>46008</v>
      </c>
      <c r="B5857" s="620">
        <v>1448.5833</v>
      </c>
      <c r="E5857" s="598"/>
    </row>
    <row r="5858" spans="1:5">
      <c r="A5858" s="619">
        <v>46009</v>
      </c>
      <c r="B5858" s="620">
        <v>1453.1667</v>
      </c>
      <c r="E5858" s="598"/>
    </row>
    <row r="5859" spans="1:5">
      <c r="A5859" s="619">
        <v>46010</v>
      </c>
      <c r="B5859" s="620">
        <v>1452.25</v>
      </c>
      <c r="E5859" s="598"/>
    </row>
    <row r="5860" spans="1:5">
      <c r="A5860" s="619">
        <v>46013</v>
      </c>
      <c r="B5860" s="620">
        <v>1450.4167</v>
      </c>
      <c r="E5860" s="598"/>
    </row>
    <row r="5861" spans="1:5">
      <c r="A5861" s="619">
        <v>46014</v>
      </c>
      <c r="B5861" s="620">
        <v>1450.5</v>
      </c>
      <c r="E5861" s="598"/>
    </row>
    <row r="5862" spans="1:5">
      <c r="A5862" s="619">
        <v>46017</v>
      </c>
      <c r="B5862" s="620">
        <v>1450.9167</v>
      </c>
      <c r="E5862" s="598"/>
    </row>
    <row r="5863" spans="1:5">
      <c r="A5863" s="619">
        <v>46020</v>
      </c>
      <c r="B5863" s="620">
        <v>1454.9167</v>
      </c>
      <c r="D5863" s="613">
        <v>45992</v>
      </c>
      <c r="E5863" s="598"/>
    </row>
    <row r="5864" spans="1:5">
      <c r="A5864" s="619">
        <v>46021</v>
      </c>
      <c r="B5864" s="620">
        <v>1459.4167</v>
      </c>
      <c r="D5864" s="604">
        <v>1447.8377</v>
      </c>
      <c r="E5864" s="598"/>
    </row>
    <row r="5865" spans="1:5">
      <c r="A5865" s="619">
        <v>46024</v>
      </c>
      <c r="B5865" s="620">
        <v>1469.6130000000001</v>
      </c>
      <c r="E5865" s="598"/>
    </row>
    <row r="5866" spans="1:5">
      <c r="A5866" s="619">
        <v>46027</v>
      </c>
      <c r="B5866" s="620">
        <v>1472.7348</v>
      </c>
      <c r="E5866" s="598"/>
    </row>
    <row r="5867" spans="1:5">
      <c r="A5867" s="619">
        <v>46028</v>
      </c>
      <c r="B5867" s="620">
        <v>1467.6207999999999</v>
      </c>
      <c r="E5867" s="598"/>
    </row>
    <row r="5868" spans="1:5">
      <c r="A5868" s="619">
        <v>46029</v>
      </c>
      <c r="B5868" s="620">
        <v>1466.0309</v>
      </c>
      <c r="E5868" s="598"/>
    </row>
    <row r="5869" spans="1:5">
      <c r="A5869" s="619">
        <v>46030</v>
      </c>
      <c r="B5869" s="620">
        <v>1459.5816</v>
      </c>
      <c r="E5869" s="598"/>
    </row>
    <row r="5870" spans="1:5">
      <c r="A5870" s="619">
        <v>46031</v>
      </c>
      <c r="B5870" s="620">
        <v>1466.4689000000001</v>
      </c>
      <c r="E5870" s="598"/>
    </row>
    <row r="5871" spans="1:5">
      <c r="A5871" s="619">
        <v>46034</v>
      </c>
      <c r="B5871" s="620">
        <v>1466.646</v>
      </c>
      <c r="E5871" s="598"/>
    </row>
    <row r="5872" spans="1:5">
      <c r="A5872" s="619">
        <v>46035</v>
      </c>
      <c r="B5872" s="620">
        <v>1463.3168000000001</v>
      </c>
      <c r="E5872" s="598"/>
    </row>
    <row r="5873" spans="1:5">
      <c r="A5873" s="619">
        <v>46036</v>
      </c>
      <c r="B5873" s="620">
        <v>1454.3237999999999</v>
      </c>
      <c r="E5873" s="598"/>
    </row>
    <row r="5874" spans="1:5">
      <c r="A5874" s="619">
        <v>46037</v>
      </c>
      <c r="B5874" s="620">
        <v>1443.8584000000001</v>
      </c>
      <c r="E5874" s="598"/>
    </row>
    <row r="5875" spans="1:5">
      <c r="A5875" s="619">
        <v>46038</v>
      </c>
      <c r="B5875" s="620">
        <v>1431.0550000000001</v>
      </c>
      <c r="E5875" s="598"/>
    </row>
    <row r="5876" spans="1:5">
      <c r="A5876" s="619">
        <v>46041</v>
      </c>
      <c r="B5876" s="620">
        <v>1432.6913</v>
      </c>
      <c r="E5876" s="598"/>
    </row>
    <row r="5877" spans="1:5">
      <c r="A5877" s="619">
        <v>46042</v>
      </c>
      <c r="B5877" s="620">
        <v>1435.6262999999999</v>
      </c>
      <c r="E5877" s="598"/>
    </row>
    <row r="5878" spans="1:5">
      <c r="A5878" s="619">
        <v>46043</v>
      </c>
      <c r="B5878" s="620">
        <v>1429.7799</v>
      </c>
      <c r="E5878" s="598"/>
    </row>
    <row r="5879" spans="1:5">
      <c r="A5879" s="619">
        <v>46044</v>
      </c>
      <c r="B5879" s="620">
        <v>1427.0331000000001</v>
      </c>
      <c r="E5879" s="598"/>
    </row>
    <row r="5880" spans="1:5">
      <c r="A5880" s="619">
        <v>46045</v>
      </c>
      <c r="B5880" s="620">
        <v>1433.1999000000001</v>
      </c>
    </row>
    <row r="5881" spans="1:5">
      <c r="A5881" s="619">
        <v>46048</v>
      </c>
      <c r="B5881" s="620">
        <v>1438.4603</v>
      </c>
    </row>
    <row r="5882" spans="1:5">
      <c r="A5882" s="619">
        <v>46049</v>
      </c>
      <c r="B5882" s="620">
        <v>1441.3244999999999</v>
      </c>
    </row>
    <row r="5883" spans="1:5">
      <c r="A5883" s="619">
        <v>46050</v>
      </c>
      <c r="B5883" s="620">
        <v>1442.6958999999999</v>
      </c>
    </row>
    <row r="5884" spans="1:5">
      <c r="A5884" s="619">
        <v>46051</v>
      </c>
      <c r="B5884" s="620">
        <v>1446.3009999999999</v>
      </c>
    </row>
    <row r="5885" spans="1:5">
      <c r="A5885" s="619">
        <v>46052</v>
      </c>
      <c r="B5885" s="620">
        <v>1447.6657</v>
      </c>
      <c r="D5885" s="598">
        <v>1449.3347000000001</v>
      </c>
    </row>
    <row r="5886" spans="1:5">
      <c r="A5886" s="619">
        <v>46055</v>
      </c>
      <c r="B5886" s="620">
        <v>1451.701</v>
      </c>
    </row>
    <row r="5887" spans="1:5">
      <c r="A5887" s="619">
        <v>46056</v>
      </c>
      <c r="B5887" s="620">
        <v>1447.6650999999999</v>
      </c>
    </row>
    <row r="5888" spans="1:5">
      <c r="A5888" s="619">
        <v>46057</v>
      </c>
      <c r="B5888" s="620">
        <v>1447.6232</v>
      </c>
    </row>
    <row r="5889" spans="1:4">
      <c r="A5889" s="619">
        <v>46058</v>
      </c>
      <c r="B5889" s="620">
        <v>1445.6242</v>
      </c>
    </row>
    <row r="5890" spans="1:4">
      <c r="A5890" s="619">
        <v>46059</v>
      </c>
      <c r="B5890" s="620">
        <v>1430.5889999999999</v>
      </c>
    </row>
    <row r="5891" spans="1:4">
      <c r="A5891" s="619">
        <v>46062</v>
      </c>
      <c r="B5891" s="620">
        <v>1423.3639000000001</v>
      </c>
    </row>
    <row r="5892" spans="1:4">
      <c r="A5892" s="619">
        <v>46063</v>
      </c>
      <c r="B5892" s="620">
        <v>1405.4269999999999</v>
      </c>
    </row>
    <row r="5893" spans="1:4">
      <c r="A5893" s="619">
        <v>46064</v>
      </c>
      <c r="B5893" s="620">
        <v>1403.6981000000001</v>
      </c>
    </row>
    <row r="5894" spans="1:4">
      <c r="A5894" s="619">
        <v>46065</v>
      </c>
      <c r="B5894" s="620">
        <v>1394.154</v>
      </c>
    </row>
    <row r="5895" spans="1:4">
      <c r="A5895" s="619">
        <v>46066</v>
      </c>
      <c r="B5895" s="620">
        <v>1395.4204999999999</v>
      </c>
    </row>
    <row r="5896" spans="1:4">
      <c r="A5896" s="619">
        <v>46071</v>
      </c>
      <c r="B5896" s="620">
        <v>1401.8090999999999</v>
      </c>
    </row>
    <row r="5897" spans="1:4">
      <c r="A5897" s="619">
        <v>46072</v>
      </c>
      <c r="B5897" s="620">
        <v>1391.9703</v>
      </c>
    </row>
    <row r="5898" spans="1:4">
      <c r="A5898" s="619">
        <v>46073</v>
      </c>
      <c r="B5898" s="620">
        <v>1384.2049999999999</v>
      </c>
    </row>
    <row r="5899" spans="1:4">
      <c r="A5899" s="619">
        <v>46076</v>
      </c>
      <c r="B5899" s="620">
        <v>1367.2357</v>
      </c>
    </row>
    <row r="5900" spans="1:4">
      <c r="A5900" s="619">
        <v>46077</v>
      </c>
      <c r="B5900" s="620">
        <v>1377.0942</v>
      </c>
    </row>
    <row r="5901" spans="1:4">
      <c r="A5901" s="619">
        <v>46078</v>
      </c>
      <c r="B5901" s="620">
        <v>1388.5847000000001</v>
      </c>
    </row>
    <row r="5902" spans="1:4">
      <c r="A5902" s="619">
        <v>46079</v>
      </c>
      <c r="B5902" s="620">
        <v>1408.6966</v>
      </c>
    </row>
    <row r="5903" spans="1:4">
      <c r="A5903" s="619">
        <v>46080</v>
      </c>
      <c r="B5903" s="620">
        <v>1408.9662000000001</v>
      </c>
      <c r="D5903" s="598">
        <v>1409.6570999999999</v>
      </c>
    </row>
    <row r="5904" spans="1:4">
      <c r="A5904" s="619">
        <v>46083</v>
      </c>
      <c r="B5904" s="620">
        <v>1401.5785000000001</v>
      </c>
    </row>
    <row r="5905" spans="1:2">
      <c r="A5905" s="619">
        <v>46084</v>
      </c>
      <c r="B5905" s="620">
        <v>1411.1067</v>
      </c>
    </row>
    <row r="5906" spans="1:2">
      <c r="A5906" s="619">
        <v>46085</v>
      </c>
      <c r="B5906" s="620">
        <v>1401.5797</v>
      </c>
    </row>
    <row r="5907" spans="1:2">
      <c r="A5907" s="619">
        <v>46086</v>
      </c>
      <c r="B5907" s="620">
        <v>1407.1504</v>
      </c>
    </row>
    <row r="5908" spans="1:2">
      <c r="A5908" s="619">
        <v>46087</v>
      </c>
      <c r="B5908" s="620">
        <v>1413.8217999999999</v>
      </c>
    </row>
    <row r="5909" spans="1:2">
      <c r="A5909" s="619">
        <v>46090</v>
      </c>
      <c r="B5909" s="620">
        <v>1418.2781</v>
      </c>
    </row>
    <row r="5910" spans="1:2">
      <c r="A5910" s="619">
        <v>46091</v>
      </c>
      <c r="B5910" s="620">
        <v>1402.3815999999999</v>
      </c>
    </row>
    <row r="5911" spans="1:2">
      <c r="A5911" s="619">
        <v>46092</v>
      </c>
      <c r="B5911" s="620">
        <v>1396.4528</v>
      </c>
    </row>
    <row r="5912" spans="1:2">
      <c r="A5912" s="619">
        <v>46093</v>
      </c>
      <c r="B5912" s="620">
        <v>1399.6749</v>
      </c>
    </row>
    <row r="5913" spans="1:2">
      <c r="A5913" s="619">
        <v>46094</v>
      </c>
      <c r="B5913" s="620">
        <v>1392.9851000000001</v>
      </c>
    </row>
    <row r="5914" spans="1:2">
      <c r="A5914" s="619">
        <v>46097</v>
      </c>
      <c r="B5914" s="620">
        <v>1394.655</v>
      </c>
    </row>
    <row r="5915" spans="1:2">
      <c r="A5915" s="619">
        <v>46098</v>
      </c>
      <c r="B5915" s="620">
        <v>1395.5134</v>
      </c>
    </row>
    <row r="5916" spans="1:2">
      <c r="A5916" s="619">
        <v>46099</v>
      </c>
      <c r="B5916" s="620">
        <v>1399.6042</v>
      </c>
    </row>
    <row r="5917" spans="1:2">
      <c r="A5917" s="619">
        <v>46100</v>
      </c>
      <c r="B5917" s="620">
        <v>1395.5142000000001</v>
      </c>
    </row>
    <row r="5918" spans="1:2">
      <c r="A5918" s="619">
        <v>46101</v>
      </c>
      <c r="B5918" s="620">
        <v>1393.4380000000001</v>
      </c>
    </row>
    <row r="5919" spans="1:2">
      <c r="A5919" s="619">
        <v>46106</v>
      </c>
      <c r="B5919" s="620">
        <v>1378.9689000000001</v>
      </c>
    </row>
    <row r="5920" spans="1:2">
      <c r="A5920" s="619">
        <v>46107</v>
      </c>
      <c r="B5920" s="620">
        <v>1370.2909</v>
      </c>
    </row>
    <row r="5921" spans="1:4">
      <c r="A5921" s="619">
        <v>46108</v>
      </c>
      <c r="B5921" s="620">
        <v>1376.0989</v>
      </c>
    </row>
    <row r="5922" spans="1:4">
      <c r="A5922" s="619">
        <v>46111</v>
      </c>
      <c r="B5922" s="620">
        <v>1394.9233999999999</v>
      </c>
    </row>
    <row r="5923" spans="1:4">
      <c r="A5923" s="619">
        <v>46112</v>
      </c>
      <c r="B5923" s="620">
        <v>1382.7578000000001</v>
      </c>
      <c r="D5923" s="604">
        <v>1396.3387</v>
      </c>
    </row>
    <row r="5924" spans="1:4">
      <c r="A5924" s="619">
        <v>46113</v>
      </c>
      <c r="B5924" s="620">
        <v>1387.7212</v>
      </c>
    </row>
    <row r="5925" spans="1:4">
      <c r="A5925" s="619">
        <v>46118</v>
      </c>
      <c r="B5925" s="620">
        <v>1391.6886999999999</v>
      </c>
    </row>
    <row r="5926" spans="1:4">
      <c r="A5926" s="619">
        <v>46119</v>
      </c>
      <c r="B5926" s="620">
        <v>1395.0979</v>
      </c>
    </row>
    <row r="5927" spans="1:4">
      <c r="A5927" s="619">
        <v>46120</v>
      </c>
      <c r="B5927" s="620">
        <v>1387.0308</v>
      </c>
    </row>
    <row r="5928" spans="1:4">
      <c r="A5928" s="619">
        <v>46121</v>
      </c>
      <c r="B5928" s="620">
        <v>1383.2311999999999</v>
      </c>
    </row>
    <row r="5929" spans="1:4">
      <c r="A5929" s="619">
        <v>46122</v>
      </c>
      <c r="B5929" s="620">
        <v>1373.9032999999999</v>
      </c>
    </row>
    <row r="5930" spans="1:4">
      <c r="A5930" s="619">
        <v>46125</v>
      </c>
      <c r="B5930" s="620">
        <v>1362.8139000000001</v>
      </c>
    </row>
    <row r="5931" spans="1:4">
      <c r="A5931" s="619">
        <v>46126</v>
      </c>
      <c r="B5931" s="620">
        <v>1358.5219999999999</v>
      </c>
    </row>
    <row r="5932" spans="1:4">
      <c r="A5932" s="619">
        <v>46127</v>
      </c>
      <c r="B5932" s="620">
        <v>1363.6566</v>
      </c>
    </row>
    <row r="5933" spans="1:4">
      <c r="A5933" s="619">
        <v>46128</v>
      </c>
      <c r="B5933" s="620">
        <v>1352.9774</v>
      </c>
    </row>
    <row r="5934" spans="1:4">
      <c r="A5934" s="619">
        <v>46129</v>
      </c>
      <c r="B5934" s="620">
        <v>1360.0307</v>
      </c>
    </row>
    <row r="5935" spans="1:4">
      <c r="A5935" s="619">
        <v>46132</v>
      </c>
      <c r="B5935" s="620">
        <v>1372.7745</v>
      </c>
    </row>
    <row r="5936" spans="1:4">
      <c r="A5936" s="619">
        <v>46133</v>
      </c>
      <c r="B5936" s="620">
        <v>1379.0516</v>
      </c>
    </row>
    <row r="5937" spans="1:4">
      <c r="A5937" s="619">
        <v>46134</v>
      </c>
      <c r="B5937" s="620">
        <v>1378.1258</v>
      </c>
    </row>
    <row r="5938" spans="1:4">
      <c r="A5938" s="619">
        <v>46135</v>
      </c>
      <c r="B5938" s="620">
        <v>1387.6960999999999</v>
      </c>
    </row>
    <row r="5939" spans="1:4">
      <c r="A5939" s="619">
        <v>46136</v>
      </c>
      <c r="B5939" s="620">
        <v>1397.2063000000001</v>
      </c>
    </row>
    <row r="5940" spans="1:4">
      <c r="A5940" s="619">
        <v>46139</v>
      </c>
      <c r="B5940" s="620">
        <v>1412.9865</v>
      </c>
    </row>
    <row r="5941" spans="1:4">
      <c r="A5941" s="619">
        <v>46140</v>
      </c>
      <c r="B5941" s="620">
        <v>1408.1491000000001</v>
      </c>
    </row>
    <row r="5942" spans="1:4">
      <c r="A5942" s="619">
        <v>46141</v>
      </c>
      <c r="B5942" s="620">
        <v>1395.2865999999999</v>
      </c>
    </row>
    <row r="5943" spans="1:4">
      <c r="A5943" s="619">
        <v>46142</v>
      </c>
      <c r="B5943" s="620">
        <v>1381.0953999999999</v>
      </c>
      <c r="D5943" s="604">
        <v>1381.4522999999999</v>
      </c>
    </row>
    <row r="5944" spans="1:4">
      <c r="A5944" s="619">
        <v>46146</v>
      </c>
      <c r="B5944" s="620">
        <v>1398.3143</v>
      </c>
    </row>
    <row r="5945" spans="1:4">
      <c r="A5945" s="619">
        <v>46147</v>
      </c>
      <c r="B5945" s="620">
        <v>1395.1909000000001</v>
      </c>
    </row>
    <row r="5946" spans="1:4">
      <c r="A5946" s="619">
        <v>46148</v>
      </c>
      <c r="B5946" s="620">
        <v>1386.2923000000001</v>
      </c>
    </row>
    <row r="5947" spans="1:4">
      <c r="A5947" s="619">
        <v>46149</v>
      </c>
      <c r="B5947" s="620">
        <v>1390.6369999999999</v>
      </c>
    </row>
    <row r="5948" spans="1:4">
      <c r="A5948" s="619">
        <v>46150</v>
      </c>
      <c r="B5948" s="620">
        <v>1394.1232</v>
      </c>
    </row>
    <row r="5949" spans="1:4">
      <c r="A5949" s="619">
        <v>46153</v>
      </c>
      <c r="B5949" s="620">
        <v>1399.4748999999999</v>
      </c>
    </row>
    <row r="5950" spans="1:4">
      <c r="A5950" s="619">
        <v>46154</v>
      </c>
      <c r="B5950" s="620">
        <v>1386.5259000000001</v>
      </c>
    </row>
    <row r="5951" spans="1:4">
      <c r="A5951" s="619">
        <v>46155</v>
      </c>
      <c r="B5951" s="620">
        <v>1389.2073</v>
      </c>
    </row>
    <row r="5952" spans="1:4">
      <c r="A5952" s="619">
        <v>46156</v>
      </c>
      <c r="B5952" s="620">
        <v>1393.2321999999999</v>
      </c>
    </row>
    <row r="5953" spans="1:2">
      <c r="A5953" s="619">
        <v>46157</v>
      </c>
      <c r="B5953" s="620">
        <v>1395.3478</v>
      </c>
    </row>
    <row r="5954" spans="1:2">
      <c r="A5954" s="619">
        <v>46160</v>
      </c>
      <c r="B5954" s="620">
        <v>1394.9739999999999</v>
      </c>
    </row>
    <row r="5955" spans="1:2">
      <c r="A5955" s="619">
        <v>46161</v>
      </c>
      <c r="B5955" s="620">
        <v>1398.9159999999999</v>
      </c>
    </row>
    <row r="5956" spans="1:2">
      <c r="A5956" s="619">
        <v>46162</v>
      </c>
      <c r="B5956" s="620">
        <v>1398.8345999999999</v>
      </c>
    </row>
    <row r="5957" spans="1:2">
      <c r="A5957" s="619">
        <v>46163</v>
      </c>
      <c r="B5957" s="620">
        <v>1392.1704999999999</v>
      </c>
    </row>
    <row r="5958" spans="1:2">
      <c r="A5958" s="619">
        <v>46164</v>
      </c>
      <c r="B5958" s="620">
        <v>1393.5019</v>
      </c>
    </row>
    <row r="5959" spans="1:2">
      <c r="A5959" s="619">
        <v>46168</v>
      </c>
      <c r="B5959" s="620">
        <v>1407.8893</v>
      </c>
    </row>
    <row r="5960" spans="1:2">
      <c r="A5960" s="619">
        <v>46169</v>
      </c>
      <c r="B5960" s="620">
        <v>1411.1795999999999</v>
      </c>
    </row>
    <row r="5961" spans="1:2">
      <c r="A5961" s="619">
        <v>46170</v>
      </c>
      <c r="B5961" s="620">
        <v>1411.4054000000001</v>
      </c>
    </row>
    <row r="5962" spans="1:2">
      <c r="A5962" s="619">
        <v>46171</v>
      </c>
      <c r="B5962" s="620">
        <v>1410.2904000000001</v>
      </c>
    </row>
    <row r="5963" spans="1:2">
      <c r="A5963" s="619">
        <v>46174</v>
      </c>
      <c r="B5963" s="620">
        <v>1421.4672</v>
      </c>
    </row>
    <row r="5964" spans="1:2">
      <c r="A5964" s="619">
        <v>46175</v>
      </c>
      <c r="B5964" s="620">
        <v>1426.9788000000001</v>
      </c>
    </row>
    <row r="5965" spans="1:2">
      <c r="A5965" s="619">
        <v>46176</v>
      </c>
      <c r="B5965" s="620">
        <v>1435.3812</v>
      </c>
    </row>
    <row r="5966" spans="1:2">
      <c r="A5966" s="619">
        <v>46177</v>
      </c>
      <c r="B5966" s="620">
        <v>1438.8159000000001</v>
      </c>
    </row>
    <row r="5967" spans="1:2">
      <c r="A5967" s="619">
        <v>46178</v>
      </c>
      <c r="B5967" s="620">
        <v>1442.4148</v>
      </c>
    </row>
  </sheetData>
  <conditionalFormatting sqref="C4708:C4766">
    <cfRule type="dataBar" priority="1">
      <dataBar>
        <cfvo type="min"/>
        <cfvo type="max"/>
        <color rgb="FFFF555A"/>
      </dataBar>
      <extLst>
        <ext xmlns:x14="http://schemas.microsoft.com/office/spreadsheetml/2009/9/main" uri="{B025F937-C7B1-47D3-B67F-A62EFF666E3E}">
          <x14:id>{6668FE13-75E8-4E71-8892-53C609F6A1CE}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668FE13-75E8-4E71-8892-53C609F6A1CE}">
            <x14:dataBar minLength="0" maxLength="100" negativeBarColorSameAsPositive="1" axisPosition="none">
              <x14:cfvo type="min"/>
              <x14:cfvo type="max"/>
            </x14:dataBar>
          </x14:cfRule>
          <xm:sqref>C4708:C4766</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B0AC9-52FE-4505-A481-EE1F2EAEC6DC}">
  <dimension ref="A1:L38"/>
  <sheetViews>
    <sheetView workbookViewId="0"/>
  </sheetViews>
  <sheetFormatPr baseColWidth="10" defaultRowHeight="15"/>
  <cols>
    <col min="1" max="1" width="10.28515625" bestFit="1" customWidth="1"/>
    <col min="2" max="2" width="9" style="463" bestFit="1" customWidth="1"/>
    <col min="3" max="3" width="12.28515625" style="255" bestFit="1" customWidth="1"/>
    <col min="4" max="4" width="13.28515625" bestFit="1" customWidth="1"/>
    <col min="5" max="5" width="11.5703125" bestFit="1" customWidth="1"/>
    <col min="8" max="8" width="20" bestFit="1" customWidth="1"/>
    <col min="9" max="9" width="14.140625" bestFit="1" customWidth="1"/>
    <col min="10" max="10" width="15.140625" style="735" bestFit="1" customWidth="1"/>
    <col min="11" max="11" width="14.28515625" style="253" bestFit="1" customWidth="1"/>
    <col min="12" max="12" width="11.5703125" bestFit="1" customWidth="1"/>
  </cols>
  <sheetData>
    <row r="1" spans="1:12" s="686" customFormat="1" ht="60">
      <c r="A1" s="733" t="s">
        <v>298</v>
      </c>
      <c r="B1" s="733" t="s">
        <v>295</v>
      </c>
      <c r="C1" s="734" t="s">
        <v>299</v>
      </c>
      <c r="D1"/>
      <c r="E1"/>
      <c r="H1" s="473" t="s">
        <v>297</v>
      </c>
      <c r="I1" s="733" t="s">
        <v>296</v>
      </c>
      <c r="J1" s="736" t="s">
        <v>295</v>
      </c>
      <c r="K1" s="692" t="s">
        <v>299</v>
      </c>
      <c r="L1"/>
    </row>
    <row r="2" spans="1:12">
      <c r="A2" s="689">
        <v>356</v>
      </c>
      <c r="B2" s="737">
        <v>1</v>
      </c>
      <c r="C2" s="732">
        <v>244146.51999999996</v>
      </c>
      <c r="H2" s="506" t="s">
        <v>368</v>
      </c>
      <c r="I2" s="689">
        <v>1</v>
      </c>
      <c r="J2" s="737">
        <v>2.8089887640449437E-3</v>
      </c>
      <c r="K2" s="669">
        <v>550</v>
      </c>
    </row>
    <row r="3" spans="1:12">
      <c r="B3"/>
      <c r="C3"/>
      <c r="H3" s="506" t="s">
        <v>361</v>
      </c>
      <c r="I3" s="689">
        <v>18</v>
      </c>
      <c r="J3" s="737">
        <v>5.0561797752808987E-2</v>
      </c>
      <c r="K3" s="669">
        <v>10120</v>
      </c>
    </row>
    <row r="4" spans="1:12">
      <c r="B4"/>
      <c r="C4"/>
      <c r="H4" s="506" t="s">
        <v>380</v>
      </c>
      <c r="I4" s="689">
        <v>6</v>
      </c>
      <c r="J4" s="737">
        <v>1.6853932584269662E-2</v>
      </c>
      <c r="K4" s="669">
        <v>3210</v>
      </c>
    </row>
    <row r="5" spans="1:12">
      <c r="B5"/>
      <c r="C5"/>
      <c r="H5" s="506" t="s">
        <v>367</v>
      </c>
      <c r="I5" s="689">
        <v>4</v>
      </c>
      <c r="J5" s="737">
        <v>1.1235955056179775E-2</v>
      </c>
      <c r="K5" s="669">
        <v>2240</v>
      </c>
    </row>
    <row r="6" spans="1:12">
      <c r="B6"/>
      <c r="C6"/>
      <c r="H6" s="506" t="s">
        <v>370</v>
      </c>
      <c r="I6" s="689">
        <v>1</v>
      </c>
      <c r="J6" s="737">
        <v>2.8089887640449437E-3</v>
      </c>
      <c r="K6" s="669">
        <v>560</v>
      </c>
    </row>
    <row r="7" spans="1:12">
      <c r="B7"/>
      <c r="C7"/>
      <c r="H7" s="506" t="s">
        <v>376</v>
      </c>
      <c r="I7" s="689">
        <v>1</v>
      </c>
      <c r="J7" s="737">
        <v>2.8089887640449437E-3</v>
      </c>
      <c r="K7" s="669">
        <v>560</v>
      </c>
    </row>
    <row r="8" spans="1:12">
      <c r="B8"/>
      <c r="C8"/>
      <c r="H8" s="506" t="s">
        <v>366</v>
      </c>
      <c r="I8" s="689">
        <v>4</v>
      </c>
      <c r="J8" s="737">
        <v>1.1235955056179775E-2</v>
      </c>
      <c r="K8" s="669">
        <v>2240</v>
      </c>
    </row>
    <row r="9" spans="1:12">
      <c r="B9"/>
      <c r="C9"/>
      <c r="H9" s="506" t="s">
        <v>364</v>
      </c>
      <c r="I9" s="689">
        <v>2</v>
      </c>
      <c r="J9" s="737">
        <v>5.6179775280898875E-3</v>
      </c>
      <c r="K9" s="669">
        <v>1100</v>
      </c>
    </row>
    <row r="10" spans="1:12">
      <c r="B10"/>
      <c r="C10"/>
      <c r="H10" s="506" t="s">
        <v>365</v>
      </c>
      <c r="I10" s="689">
        <v>302</v>
      </c>
      <c r="J10" s="737">
        <v>0.848314606741573</v>
      </c>
      <c r="K10" s="669">
        <v>214605.56</v>
      </c>
    </row>
    <row r="11" spans="1:12">
      <c r="H11" s="506" t="s">
        <v>369</v>
      </c>
      <c r="I11" s="689">
        <v>6</v>
      </c>
      <c r="J11" s="737">
        <v>1.6853932584269662E-2</v>
      </c>
      <c r="K11" s="669">
        <v>3360</v>
      </c>
    </row>
    <row r="12" spans="1:12">
      <c r="H12" s="506" t="s">
        <v>362</v>
      </c>
      <c r="I12" s="689">
        <v>1</v>
      </c>
      <c r="J12" s="737">
        <v>2.8089887640449437E-3</v>
      </c>
      <c r="K12" s="669">
        <v>560</v>
      </c>
    </row>
    <row r="13" spans="1:12">
      <c r="H13" s="506" t="s">
        <v>265</v>
      </c>
      <c r="I13" s="689">
        <v>1</v>
      </c>
      <c r="J13" s="737">
        <v>2.8089887640449437E-3</v>
      </c>
      <c r="K13" s="669">
        <v>0</v>
      </c>
    </row>
    <row r="14" spans="1:12">
      <c r="H14" s="506" t="s">
        <v>477</v>
      </c>
      <c r="I14" s="689">
        <v>8</v>
      </c>
      <c r="J14" s="737">
        <v>2.247191011235955E-2</v>
      </c>
      <c r="K14" s="669">
        <v>4480.96</v>
      </c>
    </row>
    <row r="15" spans="1:12">
      <c r="H15" s="506" t="s">
        <v>542</v>
      </c>
      <c r="I15" s="689">
        <v>1</v>
      </c>
      <c r="J15" s="737">
        <v>2.8089887640449437E-3</v>
      </c>
      <c r="K15" s="669">
        <v>560</v>
      </c>
    </row>
    <row r="16" spans="1:12">
      <c r="H16" s="506" t="s">
        <v>243</v>
      </c>
      <c r="I16" s="689">
        <v>356</v>
      </c>
      <c r="J16" s="737">
        <v>1</v>
      </c>
      <c r="K16" s="669">
        <v>244146.52</v>
      </c>
    </row>
    <row r="17" spans="10:11">
      <c r="J17"/>
      <c r="K17"/>
    </row>
    <row r="18" spans="10:11">
      <c r="J18"/>
      <c r="K18"/>
    </row>
    <row r="19" spans="10:11">
      <c r="J19"/>
      <c r="K19"/>
    </row>
    <row r="20" spans="10:11">
      <c r="J20"/>
      <c r="K20"/>
    </row>
    <row r="21" spans="10:11">
      <c r="J21"/>
      <c r="K21"/>
    </row>
    <row r="22" spans="10:11">
      <c r="J22"/>
      <c r="K22"/>
    </row>
    <row r="23" spans="10:11">
      <c r="J23"/>
      <c r="K23"/>
    </row>
    <row r="24" spans="10:11">
      <c r="J24"/>
      <c r="K24"/>
    </row>
    <row r="25" spans="10:11">
      <c r="J25"/>
      <c r="K25"/>
    </row>
    <row r="26" spans="10:11">
      <c r="J26"/>
      <c r="K26"/>
    </row>
    <row r="27" spans="10:11">
      <c r="J27"/>
      <c r="K27"/>
    </row>
    <row r="28" spans="10:11">
      <c r="J28"/>
      <c r="K28"/>
    </row>
    <row r="29" spans="10:11">
      <c r="J29"/>
      <c r="K29"/>
    </row>
    <row r="30" spans="10:11">
      <c r="J30"/>
      <c r="K30"/>
    </row>
    <row r="31" spans="10:11">
      <c r="J31"/>
      <c r="K31"/>
    </row>
    <row r="32" spans="10:11">
      <c r="J32"/>
      <c r="K32"/>
    </row>
    <row r="33" spans="10:11">
      <c r="J33"/>
      <c r="K33"/>
    </row>
    <row r="34" spans="10:11">
      <c r="J34"/>
      <c r="K34"/>
    </row>
    <row r="35" spans="10:11">
      <c r="J35"/>
      <c r="K35"/>
    </row>
    <row r="36" spans="10:11">
      <c r="J36"/>
      <c r="K36"/>
    </row>
    <row r="37" spans="10:11">
      <c r="J37"/>
      <c r="K37"/>
    </row>
    <row r="38" spans="10:11">
      <c r="J38"/>
      <c r="K3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26</vt:i4>
      </vt:variant>
    </vt:vector>
  </HeadingPairs>
  <TitlesOfParts>
    <vt:vector size="45" baseType="lpstr">
      <vt:lpstr>KPI´S</vt:lpstr>
      <vt:lpstr>RESUMEN AVANCE MES</vt:lpstr>
      <vt:lpstr>CONSOLIDADO VTAS</vt:lpstr>
      <vt:lpstr>VENTA POR CLIENTE</vt:lpstr>
      <vt:lpstr>ACUMULADOS</vt:lpstr>
      <vt:lpstr>UNICOS</vt:lpstr>
      <vt:lpstr>EVOLUTIVO BOLSAS</vt:lpstr>
      <vt:lpstr>CREDITO CLIENTES</vt:lpstr>
      <vt:lpstr>VENTA + PREV COBRANZA SEMANAL</vt:lpstr>
      <vt:lpstr>DETALLE VALORES EN CARTERA</vt:lpstr>
      <vt:lpstr>VALORES POR FC EMPRESA</vt:lpstr>
      <vt:lpstr>OC FC RTO EQU</vt:lpstr>
      <vt:lpstr>CUADRO RESUMEN</vt:lpstr>
      <vt:lpstr>COMPARATIVO ANUAL</vt:lpstr>
      <vt:lpstr>COMPARATIVO PCIOS REFERENCIA</vt:lpstr>
      <vt:lpstr>RECLAMO CLIENTES ZAFRA 2026</vt:lpstr>
      <vt:lpstr>PRECIO CACTU</vt:lpstr>
      <vt:lpstr>TIPO DE CAMBIO</vt:lpstr>
      <vt:lpstr>ANALISIS COSTO FLETES</vt:lpstr>
      <vt:lpstr>CANTIDAD_EQUIPOS</vt:lpstr>
      <vt:lpstr>CLIENTE</vt:lpstr>
      <vt:lpstr>DIAS_VTO</vt:lpstr>
      <vt:lpstr>ESTADO_ENTREGA</vt:lpstr>
      <vt:lpstr>FC_SUCRO</vt:lpstr>
      <vt:lpstr>FECHA_ENTREGA</vt:lpstr>
      <vt:lpstr>FECHA_FC</vt:lpstr>
      <vt:lpstr>FECHA_RETIRO_VALORES</vt:lpstr>
      <vt:lpstr>FECHA_VTO_VALORES</vt:lpstr>
      <vt:lpstr>FORMA_PAGO</vt:lpstr>
      <vt:lpstr>IVA</vt:lpstr>
      <vt:lpstr>KGS</vt:lpstr>
      <vt:lpstr>MES</vt:lpstr>
      <vt:lpstr>OC</vt:lpstr>
      <vt:lpstr>PENDIENTE_DE_COBRO</vt:lpstr>
      <vt:lpstr>PENDIENTE_DE_ENTREGA</vt:lpstr>
      <vt:lpstr>PLAZO_PAGO_DIAS</vt:lpstr>
      <vt:lpstr>PLAZO_VALORES</vt:lpstr>
      <vt:lpstr>PRECIO_POR_KILO</vt:lpstr>
      <vt:lpstr>PRODUCTO</vt:lpstr>
      <vt:lpstr>SEMANA_ACREDITACION_PAGO</vt:lpstr>
      <vt:lpstr>SUBTOTAL</vt:lpstr>
      <vt:lpstr>TASA_FINANCIACION_MENSUAL</vt:lpstr>
      <vt:lpstr>TOTAL</vt:lpstr>
      <vt:lpstr>VALORES_COBRADOS</vt:lpstr>
      <vt:lpstr>VALORES_EN_CARTERA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cp:lastPrinted>2025-11-12T16:08:01Z</cp:lastPrinted>
  <dcterms:created xsi:type="dcterms:W3CDTF">2025-02-16T21:43:47Z</dcterms:created>
  <dcterms:modified xsi:type="dcterms:W3CDTF">2026-06-08T17:07:13Z</dcterms:modified>
</cp:coreProperties>
</file>